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codeName="ЭтаКнига" defaultThemeVersion="124226"/>
  <bookViews>
    <workbookView xWindow="32757" yWindow="32882" windowWidth="19421" windowHeight="9216" tabRatio="806"/>
  </bookViews>
  <sheets>
    <sheet name="серпень" sheetId="23" r:id="rId1"/>
    <sheet name="№2" sheetId="7" r:id="rId2"/>
    <sheet name="№5" sheetId="8" r:id="rId3"/>
    <sheet name="№ 6" sheetId="9" r:id="rId4"/>
    <sheet name="№14" sheetId="11" r:id="rId5"/>
    <sheet name="№ 20" sheetId="13" r:id="rId6"/>
    <sheet name="№ 23" sheetId="15" r:id="rId7"/>
    <sheet name="№27" sheetId="16" r:id="rId8"/>
    <sheet name="№ 31" sheetId="18" r:id="rId9"/>
    <sheet name="№ 34" sheetId="19" r:id="rId10"/>
    <sheet name="№ 41" sheetId="22" r:id="rId11"/>
    <sheet name="Тарифи " sheetId="26" state="hidden" r:id="rId12"/>
    <sheet name="потреба до кінця року" sheetId="27" state="hidden" r:id="rId13"/>
    <sheet name="потреба до кінця 2025року" sheetId="28" state="hidden" r:id="rId14"/>
  </sheets>
  <definedNames>
    <definedName name="_xlnm.Print_Titles" localSheetId="0">серпень!$13:$14</definedName>
    <definedName name="_xlnm.Print_Area" localSheetId="5">'№ 20'!$A$1:$W$748</definedName>
    <definedName name="_xlnm.Print_Area" localSheetId="6">'№ 23'!$A$1:$W$748</definedName>
    <definedName name="_xlnm.Print_Area" localSheetId="8">'№ 31'!$A$1:$W$748</definedName>
    <definedName name="_xlnm.Print_Area" localSheetId="9">'№ 34'!$A$1:$W$748</definedName>
    <definedName name="_xlnm.Print_Area" localSheetId="10">'№ 41'!$A$1:$W$748</definedName>
    <definedName name="_xlnm.Print_Area" localSheetId="3">'№ 6'!$A$1:$W$748</definedName>
    <definedName name="_xlnm.Print_Area" localSheetId="4">№14!$A$1:$W$748</definedName>
    <definedName name="_xlnm.Print_Area" localSheetId="1">№2!$A$1:$W$748</definedName>
    <definedName name="_xlnm.Print_Area" localSheetId="7">№27!$A$1:$W$747</definedName>
    <definedName name="_xlnm.Print_Area" localSheetId="2">№5!$A$1:$W$748</definedName>
    <definedName name="_xlnm.Print_Area" localSheetId="0">серпень!$A$1:$W$676</definedName>
  </definedNames>
  <calcPr calcId="145621" fullPrecision="0"/>
  <fileRecoveryPr autoRecover="0"/>
</workbook>
</file>

<file path=xl/calcChain.xml><?xml version="1.0" encoding="utf-8"?>
<calcChain xmlns="http://schemas.openxmlformats.org/spreadsheetml/2006/main">
  <c r="O82" i="11" l="1"/>
  <c r="P509" i="22" l="1"/>
  <c r="O504" i="22"/>
  <c r="P495" i="22"/>
  <c r="P494" i="22" s="1"/>
  <c r="O489" i="22"/>
  <c r="O574" i="22" l="1"/>
  <c r="O576" i="22"/>
  <c r="O509" i="22"/>
  <c r="O494" i="22"/>
  <c r="N489" i="22"/>
  <c r="O368" i="22"/>
  <c r="O372" i="22"/>
  <c r="O371" i="22"/>
  <c r="S82" i="22"/>
  <c r="O82" i="22"/>
  <c r="N601" i="19"/>
  <c r="N600" i="19" s="1"/>
  <c r="O606" i="19"/>
  <c r="O605" i="19" s="1"/>
  <c r="P605" i="19"/>
  <c r="O600" i="19"/>
  <c r="O576" i="19"/>
  <c r="O575" i="19" s="1"/>
  <c r="P575" i="19"/>
  <c r="N570" i="19"/>
  <c r="O570" i="19"/>
  <c r="O509" i="19"/>
  <c r="P509" i="19"/>
  <c r="N504" i="19"/>
  <c r="O504" i="19"/>
  <c r="P495" i="19"/>
  <c r="O494" i="19"/>
  <c r="P494" i="19"/>
  <c r="P435" i="19"/>
  <c r="P434" i="19" s="1"/>
  <c r="P433" i="19"/>
  <c r="O434" i="19"/>
  <c r="N429" i="19"/>
  <c r="O429" i="19"/>
  <c r="P373" i="19"/>
  <c r="P372" i="19" s="1"/>
  <c r="P371" i="19"/>
  <c r="O372" i="19"/>
  <c r="N367" i="19"/>
  <c r="O367" i="19"/>
  <c r="N571" i="18" l="1"/>
  <c r="O576" i="18"/>
  <c r="O575" i="18" s="1"/>
  <c r="N605" i="18"/>
  <c r="O605" i="18"/>
  <c r="P605" i="18"/>
  <c r="N600" i="18"/>
  <c r="O600" i="18"/>
  <c r="S591" i="18"/>
  <c r="P574" i="18"/>
  <c r="P575" i="18" s="1"/>
  <c r="N574" i="18"/>
  <c r="N575" i="18" s="1"/>
  <c r="N570" i="18"/>
  <c r="O570" i="18"/>
  <c r="N509" i="18"/>
  <c r="O509" i="18"/>
  <c r="P509" i="18"/>
  <c r="N504" i="18"/>
  <c r="O504" i="18"/>
  <c r="N489" i="18"/>
  <c r="O489" i="18"/>
  <c r="O434" i="18"/>
  <c r="P434" i="18"/>
  <c r="N429" i="18"/>
  <c r="O429" i="18"/>
  <c r="N367" i="18"/>
  <c r="O367" i="18"/>
  <c r="S606" i="16"/>
  <c r="O605" i="16"/>
  <c r="P605" i="16"/>
  <c r="N600" i="16"/>
  <c r="O600" i="16"/>
  <c r="O575" i="16"/>
  <c r="N570" i="16"/>
  <c r="O570" i="16"/>
  <c r="N371" i="16"/>
  <c r="N372" i="16" s="1"/>
  <c r="N373" i="16"/>
  <c r="N509" i="16"/>
  <c r="O509" i="16"/>
  <c r="P509" i="16"/>
  <c r="N504" i="16"/>
  <c r="O504" i="16"/>
  <c r="N494" i="16"/>
  <c r="O494" i="16"/>
  <c r="P494" i="16"/>
  <c r="N489" i="16"/>
  <c r="O489" i="16"/>
  <c r="N434" i="16"/>
  <c r="O434" i="16"/>
  <c r="P434" i="16"/>
  <c r="N429" i="16"/>
  <c r="O429" i="16"/>
  <c r="O372" i="16"/>
  <c r="P372" i="16"/>
  <c r="N367" i="16"/>
  <c r="O367" i="16"/>
  <c r="O75" i="16"/>
  <c r="N75" i="16"/>
  <c r="O76" i="16"/>
  <c r="O81" i="16"/>
  <c r="P81" i="16"/>
  <c r="X5" i="16"/>
  <c r="P495" i="15" l="1"/>
  <c r="P493" i="15"/>
  <c r="J490" i="15"/>
  <c r="J488" i="15"/>
  <c r="P574" i="15"/>
  <c r="N575" i="15"/>
  <c r="O575" i="15"/>
  <c r="N570" i="15"/>
  <c r="O570" i="15"/>
  <c r="O494" i="15"/>
  <c r="N494" i="15"/>
  <c r="N489" i="15"/>
  <c r="O489" i="15"/>
  <c r="P371" i="15"/>
  <c r="P372" i="15" s="1"/>
  <c r="N372" i="15"/>
  <c r="O372" i="15"/>
  <c r="N367" i="15"/>
  <c r="O367" i="15"/>
  <c r="X82" i="15"/>
  <c r="O75" i="15"/>
  <c r="N75" i="15"/>
  <c r="N81" i="15"/>
  <c r="O81" i="15"/>
  <c r="F76" i="15"/>
  <c r="G76" i="15"/>
  <c r="H76" i="15"/>
  <c r="I76" i="15"/>
  <c r="J76" i="15"/>
  <c r="K76" i="15"/>
  <c r="N76" i="15"/>
  <c r="O76" i="15"/>
  <c r="P494" i="15" l="1"/>
  <c r="P495" i="13" l="1"/>
  <c r="P494" i="13" s="1"/>
  <c r="S576" i="13"/>
  <c r="P652" i="13"/>
  <c r="N652" i="13"/>
  <c r="O652" i="13"/>
  <c r="N647" i="13"/>
  <c r="O647" i="13"/>
  <c r="O509" i="13"/>
  <c r="P509" i="13"/>
  <c r="N504" i="13"/>
  <c r="O504" i="13"/>
  <c r="N494" i="13"/>
  <c r="O494" i="13"/>
  <c r="N489" i="13"/>
  <c r="O489" i="13"/>
  <c r="P433" i="13"/>
  <c r="N434" i="13"/>
  <c r="O434" i="13"/>
  <c r="N429" i="13"/>
  <c r="O429" i="13"/>
  <c r="P373" i="13"/>
  <c r="P371" i="13"/>
  <c r="N372" i="13"/>
  <c r="O372" i="13"/>
  <c r="N367" i="13"/>
  <c r="O367" i="13"/>
  <c r="N81" i="13"/>
  <c r="O81" i="13"/>
  <c r="P81" i="13"/>
  <c r="N76" i="13"/>
  <c r="O76" i="13"/>
  <c r="N722" i="11" l="1"/>
  <c r="N575" i="11"/>
  <c r="O575" i="11"/>
  <c r="P575" i="11"/>
  <c r="N570" i="11"/>
  <c r="O570" i="11"/>
  <c r="N494" i="11"/>
  <c r="O494" i="11"/>
  <c r="N489" i="11"/>
  <c r="O489" i="11"/>
  <c r="N372" i="11"/>
  <c r="O372" i="11"/>
  <c r="P372" i="11"/>
  <c r="N367" i="11"/>
  <c r="O367" i="11"/>
  <c r="P81" i="11"/>
  <c r="N81" i="11"/>
  <c r="O81" i="11"/>
  <c r="N76" i="11"/>
  <c r="O76" i="11"/>
  <c r="S82" i="9" l="1"/>
  <c r="N82" i="9"/>
  <c r="N605" i="9"/>
  <c r="O605" i="9"/>
  <c r="P605" i="9"/>
  <c r="N600" i="9"/>
  <c r="O600" i="9"/>
  <c r="S576" i="9"/>
  <c r="N575" i="9"/>
  <c r="O575" i="9"/>
  <c r="P575" i="9"/>
  <c r="N570" i="9"/>
  <c r="O570" i="9"/>
  <c r="N509" i="9"/>
  <c r="O509" i="9"/>
  <c r="P509" i="9"/>
  <c r="N504" i="9"/>
  <c r="O504" i="9"/>
  <c r="N494" i="9"/>
  <c r="O494" i="9"/>
  <c r="P494" i="9"/>
  <c r="N489" i="9"/>
  <c r="O489" i="9"/>
  <c r="P435" i="9"/>
  <c r="P433" i="9"/>
  <c r="N434" i="9"/>
  <c r="O434" i="9"/>
  <c r="N429" i="9"/>
  <c r="O429" i="9"/>
  <c r="P371" i="9"/>
  <c r="P372" i="9" s="1"/>
  <c r="N372" i="9"/>
  <c r="O372" i="9"/>
  <c r="N367" i="9"/>
  <c r="O367" i="9"/>
  <c r="P82" i="9"/>
  <c r="K77" i="9"/>
  <c r="N76" i="9"/>
  <c r="O76" i="9"/>
  <c r="P434" i="9" l="1"/>
  <c r="N652" i="8" l="1"/>
  <c r="O652" i="8"/>
  <c r="P652" i="8"/>
  <c r="N647" i="8"/>
  <c r="O647" i="8"/>
  <c r="N509" i="8"/>
  <c r="O509" i="8"/>
  <c r="P509" i="8"/>
  <c r="N504" i="8"/>
  <c r="O504" i="8"/>
  <c r="N494" i="8"/>
  <c r="O494" i="8"/>
  <c r="P494" i="8"/>
  <c r="N489" i="8"/>
  <c r="O489" i="8"/>
  <c r="N434" i="8"/>
  <c r="O434" i="8"/>
  <c r="N429" i="8"/>
  <c r="O429" i="8"/>
  <c r="N372" i="8"/>
  <c r="O372" i="8"/>
  <c r="P372" i="8"/>
  <c r="N367" i="8"/>
  <c r="O367" i="8"/>
  <c r="N81" i="8"/>
  <c r="O81" i="8"/>
  <c r="P81" i="8"/>
  <c r="N76" i="8"/>
  <c r="O76" i="8"/>
  <c r="S621" i="7" l="1"/>
  <c r="P604" i="7"/>
  <c r="P605" i="7" s="1"/>
  <c r="N605" i="7"/>
  <c r="O605" i="7"/>
  <c r="N600" i="7"/>
  <c r="O600" i="7"/>
  <c r="P574" i="7"/>
  <c r="P575" i="7" s="1"/>
  <c r="N575" i="7"/>
  <c r="O575" i="7"/>
  <c r="N570" i="7"/>
  <c r="O570" i="7"/>
  <c r="N509" i="7"/>
  <c r="O509" i="7"/>
  <c r="P509" i="7"/>
  <c r="O504" i="7"/>
  <c r="N504" i="7"/>
  <c r="N494" i="7"/>
  <c r="O494" i="7"/>
  <c r="P494" i="7"/>
  <c r="N489" i="7"/>
  <c r="O489" i="7"/>
  <c r="N434" i="7"/>
  <c r="O434" i="7"/>
  <c r="P434" i="7"/>
  <c r="N429" i="7"/>
  <c r="P373" i="7"/>
  <c r="P371" i="7"/>
  <c r="N81" i="7"/>
  <c r="O81" i="7"/>
  <c r="P81" i="7"/>
  <c r="S492" i="22" l="1"/>
  <c r="O492" i="22"/>
  <c r="O507" i="22"/>
  <c r="S79" i="22"/>
  <c r="O79" i="22"/>
  <c r="S603" i="19"/>
  <c r="O603" i="19"/>
  <c r="Q492" i="19"/>
  <c r="O492" i="19"/>
  <c r="Q370" i="19"/>
  <c r="O370" i="19"/>
  <c r="S507" i="18"/>
  <c r="R507" i="18"/>
  <c r="R492" i="18"/>
  <c r="Q492" i="18"/>
  <c r="O507" i="18"/>
  <c r="O492" i="18"/>
  <c r="S603" i="16"/>
  <c r="R603" i="16"/>
  <c r="Q603" i="16"/>
  <c r="O603" i="16"/>
  <c r="R432" i="16"/>
  <c r="Q432" i="16"/>
  <c r="O432" i="16"/>
  <c r="S79" i="16"/>
  <c r="S573" i="15"/>
  <c r="O573" i="15"/>
  <c r="O492" i="15"/>
  <c r="O370" i="15"/>
  <c r="S79" i="15"/>
  <c r="Q650" i="13"/>
  <c r="Q573" i="13"/>
  <c r="O573" i="13"/>
  <c r="O650" i="13"/>
  <c r="S507" i="13"/>
  <c r="S492" i="13"/>
  <c r="Q492" i="13"/>
  <c r="O492" i="13"/>
  <c r="O507" i="13"/>
  <c r="O573" i="11"/>
  <c r="Q492" i="11"/>
  <c r="O492" i="11"/>
  <c r="Q603" i="9"/>
  <c r="O603" i="9"/>
  <c r="S492" i="9"/>
  <c r="O492" i="9"/>
  <c r="Q370" i="9"/>
  <c r="O370" i="9"/>
  <c r="S79" i="9"/>
  <c r="O79" i="9"/>
  <c r="Q650" i="8"/>
  <c r="O650" i="8"/>
  <c r="Q492" i="8"/>
  <c r="O492" i="8"/>
  <c r="V370" i="8"/>
  <c r="Q370" i="8"/>
  <c r="V432" i="8"/>
  <c r="S370" i="8"/>
  <c r="O370" i="8"/>
  <c r="S79" i="8"/>
  <c r="O507" i="7"/>
  <c r="S79" i="7"/>
  <c r="O740" i="11" l="1"/>
  <c r="S573" i="11"/>
  <c r="V573" i="11"/>
  <c r="J573" i="11"/>
  <c r="V740" i="11"/>
  <c r="V725" i="11"/>
  <c r="N725" i="11"/>
  <c r="N740" i="11"/>
  <c r="O737" i="11"/>
  <c r="K740" i="11" l="1"/>
  <c r="K573" i="11"/>
  <c r="K373" i="7" l="1"/>
  <c r="J77" i="7"/>
  <c r="K82" i="7"/>
  <c r="S82" i="16" l="1"/>
  <c r="N82" i="16"/>
  <c r="G90" i="15" l="1"/>
  <c r="G92" i="15"/>
  <c r="F90" i="15"/>
  <c r="H90" i="15"/>
  <c r="I368" i="22"/>
  <c r="J368" i="19"/>
  <c r="K373" i="19"/>
  <c r="K368" i="18"/>
  <c r="J368" i="18"/>
  <c r="J373" i="18"/>
  <c r="I373" i="18"/>
  <c r="F368" i="15"/>
  <c r="G373" i="15"/>
  <c r="J648" i="13"/>
  <c r="K653" i="13"/>
  <c r="K571" i="11"/>
  <c r="K576" i="11"/>
  <c r="I571" i="9"/>
  <c r="J576" i="9"/>
  <c r="I368" i="9"/>
  <c r="J373" i="9"/>
  <c r="F571" i="7"/>
  <c r="G576" i="7"/>
  <c r="I571" i="7"/>
  <c r="J576" i="7"/>
  <c r="I368" i="7"/>
  <c r="J373" i="7"/>
  <c r="N576" i="19"/>
  <c r="N605" i="19"/>
  <c r="K600" i="19"/>
  <c r="S576" i="19"/>
  <c r="N575" i="19"/>
  <c r="K570" i="19"/>
  <c r="N509" i="19"/>
  <c r="K504" i="19"/>
  <c r="N494" i="19"/>
  <c r="N489" i="19"/>
  <c r="K489" i="19"/>
  <c r="N434" i="19"/>
  <c r="K429" i="19"/>
  <c r="N372" i="19"/>
  <c r="K367" i="19"/>
  <c r="F570" i="15" l="1"/>
  <c r="G570" i="15"/>
  <c r="H570" i="15"/>
  <c r="I570" i="15"/>
  <c r="J570" i="15"/>
  <c r="K570" i="15"/>
  <c r="F489" i="15"/>
  <c r="G489" i="15"/>
  <c r="H489" i="15"/>
  <c r="I489" i="15"/>
  <c r="J489" i="15"/>
  <c r="K489" i="15"/>
  <c r="F367" i="15"/>
  <c r="G367" i="15"/>
  <c r="H367" i="15"/>
  <c r="I367" i="15"/>
  <c r="J367" i="15"/>
  <c r="K367" i="15"/>
  <c r="J571" i="18"/>
  <c r="J569" i="18"/>
  <c r="N576" i="18"/>
  <c r="N493" i="18"/>
  <c r="K366" i="18"/>
  <c r="N371" i="18"/>
  <c r="N434" i="18"/>
  <c r="K571" i="16"/>
  <c r="N576" i="16"/>
  <c r="N575" i="16" s="1"/>
  <c r="N605" i="16"/>
  <c r="S576" i="16"/>
  <c r="K570" i="16"/>
  <c r="K504" i="16"/>
  <c r="K489" i="16"/>
  <c r="K429" i="16"/>
  <c r="K367" i="16"/>
  <c r="N76" i="16"/>
  <c r="N81" i="16"/>
  <c r="K76" i="16"/>
  <c r="F91" i="15" l="1"/>
  <c r="G91" i="15"/>
  <c r="H91" i="15"/>
  <c r="H92" i="15"/>
  <c r="I91" i="15"/>
  <c r="N96" i="15"/>
  <c r="S80" i="15"/>
  <c r="P574" i="13" l="1"/>
  <c r="N590" i="13"/>
  <c r="K647" i="13"/>
  <c r="N509" i="13"/>
  <c r="K504" i="13"/>
  <c r="K489" i="13" l="1"/>
  <c r="F429" i="13"/>
  <c r="G429" i="13"/>
  <c r="H429" i="13"/>
  <c r="I429" i="13"/>
  <c r="J429" i="13"/>
  <c r="K429" i="13"/>
  <c r="I371" i="13"/>
  <c r="F367" i="13"/>
  <c r="G367" i="13"/>
  <c r="H367" i="13"/>
  <c r="I367" i="13"/>
  <c r="J367" i="13"/>
  <c r="K367" i="13"/>
  <c r="K76" i="13"/>
  <c r="N742" i="11" l="1"/>
  <c r="O742" i="11"/>
  <c r="N737" i="11"/>
  <c r="N727" i="11"/>
  <c r="J368" i="22"/>
  <c r="J366" i="22"/>
  <c r="I366" i="22"/>
  <c r="H368" i="22"/>
  <c r="H366" i="22"/>
  <c r="G368" i="22"/>
  <c r="G366" i="22"/>
  <c r="K368" i="22"/>
  <c r="K366" i="22"/>
  <c r="K489" i="11"/>
  <c r="K367" i="11"/>
  <c r="K76" i="11"/>
  <c r="K76" i="9" l="1"/>
  <c r="K600" i="9"/>
  <c r="K570" i="9"/>
  <c r="K504" i="9"/>
  <c r="K489" i="9"/>
  <c r="K429" i="9"/>
  <c r="K367" i="9"/>
  <c r="K647" i="8" l="1"/>
  <c r="K504" i="8"/>
  <c r="K489" i="8"/>
  <c r="K367" i="8"/>
  <c r="K76" i="8"/>
  <c r="K570" i="7" l="1"/>
  <c r="K504" i="7"/>
  <c r="N371" i="22"/>
  <c r="N372" i="22" s="1"/>
  <c r="N575" i="22"/>
  <c r="K570" i="22"/>
  <c r="N509" i="22"/>
  <c r="N504" i="22"/>
  <c r="K504" i="22"/>
  <c r="N494" i="22"/>
  <c r="K489" i="22"/>
  <c r="N434" i="22"/>
  <c r="N429" i="22"/>
  <c r="N367" i="22"/>
  <c r="N81" i="22"/>
  <c r="N76" i="22"/>
  <c r="K76" i="22"/>
  <c r="K367" i="22" l="1"/>
  <c r="N492" i="22" l="1"/>
  <c r="N507" i="22"/>
  <c r="R507" i="22"/>
  <c r="R492" i="22"/>
  <c r="P432" i="22"/>
  <c r="O432" i="22"/>
  <c r="O370" i="22"/>
  <c r="N432" i="22"/>
  <c r="N370" i="22"/>
  <c r="N79" i="22"/>
  <c r="P603" i="19"/>
  <c r="N603" i="19"/>
  <c r="N492" i="19"/>
  <c r="P370" i="19"/>
  <c r="N370" i="19"/>
  <c r="P588" i="18" l="1"/>
  <c r="P603" i="18"/>
  <c r="P573" i="18"/>
  <c r="N573" i="18"/>
  <c r="N588" i="18"/>
  <c r="N603" i="18"/>
  <c r="P492" i="18"/>
  <c r="N492" i="18"/>
  <c r="N507" i="18"/>
  <c r="P432" i="18"/>
  <c r="P370" i="18"/>
  <c r="N432" i="18"/>
  <c r="N370" i="18"/>
  <c r="S507" i="16"/>
  <c r="N507" i="16"/>
  <c r="P432" i="16"/>
  <c r="N432" i="16"/>
  <c r="P573" i="15"/>
  <c r="N573" i="15"/>
  <c r="N370" i="15"/>
  <c r="P650" i="13"/>
  <c r="N650" i="13"/>
  <c r="R507" i="13"/>
  <c r="N507" i="13"/>
  <c r="N492" i="13"/>
  <c r="N492" i="9"/>
  <c r="N370" i="9"/>
  <c r="P492" i="8"/>
  <c r="N492" i="8"/>
  <c r="P603" i="7"/>
  <c r="P573" i="7"/>
  <c r="N573" i="7"/>
  <c r="N603" i="7"/>
  <c r="P492" i="7"/>
  <c r="N492" i="7"/>
  <c r="P432" i="7"/>
  <c r="P370" i="7"/>
  <c r="N370" i="7"/>
  <c r="N432" i="7"/>
  <c r="S94" i="7"/>
  <c r="F10" i="23"/>
  <c r="S495" i="19" l="1"/>
  <c r="S495" i="18"/>
  <c r="S495" i="9"/>
  <c r="K372" i="22" l="1"/>
  <c r="K373" i="22"/>
  <c r="K493" i="22"/>
  <c r="K494" i="22" s="1"/>
  <c r="K495" i="22"/>
  <c r="F570" i="22"/>
  <c r="G570" i="22"/>
  <c r="H570" i="22"/>
  <c r="I570" i="22"/>
  <c r="J570" i="22"/>
  <c r="K509" i="22"/>
  <c r="J512" i="22"/>
  <c r="J513" i="22"/>
  <c r="J514" i="22"/>
  <c r="J515" i="22" s="1"/>
  <c r="J550" i="22"/>
  <c r="J533" i="22" s="1"/>
  <c r="J516" i="22" s="1"/>
  <c r="J551" i="22"/>
  <c r="J534" i="22" s="1"/>
  <c r="J517" i="22" s="1"/>
  <c r="J552" i="22"/>
  <c r="J535" i="22" s="1"/>
  <c r="J518" i="22" s="1"/>
  <c r="J554" i="22"/>
  <c r="J537" i="22" s="1"/>
  <c r="J555" i="22"/>
  <c r="J538" i="22" s="1"/>
  <c r="J521" i="22" s="1"/>
  <c r="J556" i="22"/>
  <c r="J557" i="22"/>
  <c r="J540" i="22" s="1"/>
  <c r="J523" i="22" s="1"/>
  <c r="J558" i="22"/>
  <c r="J541" i="22" s="1"/>
  <c r="J559" i="22"/>
  <c r="J542" i="22" s="1"/>
  <c r="J525" i="22" s="1"/>
  <c r="J561" i="22"/>
  <c r="J544" i="22" s="1"/>
  <c r="J562" i="22"/>
  <c r="J545" i="22" s="1"/>
  <c r="J528" i="22" s="1"/>
  <c r="J563" i="22"/>
  <c r="J546" i="22" s="1"/>
  <c r="J529" i="22" s="1"/>
  <c r="J564" i="22"/>
  <c r="J565" i="22"/>
  <c r="J566" i="22"/>
  <c r="F504" i="22"/>
  <c r="G504" i="22"/>
  <c r="H504" i="22"/>
  <c r="I504" i="22"/>
  <c r="J504" i="22"/>
  <c r="F489" i="22"/>
  <c r="G489" i="22"/>
  <c r="H489" i="22"/>
  <c r="I489" i="22"/>
  <c r="J489" i="22"/>
  <c r="K434" i="22"/>
  <c r="K429" i="22"/>
  <c r="F367" i="22"/>
  <c r="G367" i="22"/>
  <c r="H367" i="22"/>
  <c r="J367" i="22"/>
  <c r="K81" i="22"/>
  <c r="F76" i="22"/>
  <c r="G76" i="22"/>
  <c r="H76" i="22"/>
  <c r="I76" i="22"/>
  <c r="J76" i="22"/>
  <c r="J527" i="22" l="1"/>
  <c r="J543" i="22"/>
  <c r="J524" i="22"/>
  <c r="J530" i="22" s="1"/>
  <c r="J547" i="22"/>
  <c r="J548" i="22" s="1"/>
  <c r="J549" i="22" s="1"/>
  <c r="J520" i="22"/>
  <c r="J536" i="22"/>
  <c r="J539" i="22"/>
  <c r="J553" i="22"/>
  <c r="J560" i="22"/>
  <c r="I367" i="22"/>
  <c r="J522" i="22" l="1"/>
  <c r="J519" i="22"/>
  <c r="J526" i="22"/>
  <c r="J531" i="22"/>
  <c r="J532" i="22" s="1"/>
  <c r="J601" i="19" l="1"/>
  <c r="K606" i="19"/>
  <c r="K605" i="19" s="1"/>
  <c r="K494" i="19"/>
  <c r="F600" i="19"/>
  <c r="G600" i="19"/>
  <c r="H600" i="19"/>
  <c r="I600" i="19"/>
  <c r="J600" i="19"/>
  <c r="K575" i="19"/>
  <c r="F570" i="19"/>
  <c r="G570" i="19"/>
  <c r="H570" i="19"/>
  <c r="I570" i="19"/>
  <c r="J570" i="19"/>
  <c r="K509" i="19"/>
  <c r="F504" i="19"/>
  <c r="G504" i="19"/>
  <c r="H504" i="19"/>
  <c r="I504" i="19"/>
  <c r="J504" i="19"/>
  <c r="F489" i="19"/>
  <c r="G489" i="19"/>
  <c r="H489" i="19"/>
  <c r="I489" i="19"/>
  <c r="J489" i="19"/>
  <c r="K434" i="19"/>
  <c r="F429" i="19"/>
  <c r="G429" i="19"/>
  <c r="H429" i="19"/>
  <c r="I429" i="19"/>
  <c r="J429" i="19"/>
  <c r="F367" i="19"/>
  <c r="G367" i="19"/>
  <c r="H367" i="19"/>
  <c r="I367" i="19"/>
  <c r="J367" i="19"/>
  <c r="K605" i="18" l="1"/>
  <c r="F600" i="18"/>
  <c r="G600" i="18"/>
  <c r="H600" i="18"/>
  <c r="I600" i="18"/>
  <c r="J600" i="18"/>
  <c r="K600" i="18"/>
  <c r="K575" i="18"/>
  <c r="F570" i="18"/>
  <c r="G570" i="18"/>
  <c r="H570" i="18"/>
  <c r="I570" i="18"/>
  <c r="J570" i="18"/>
  <c r="K570" i="18"/>
  <c r="K509" i="18"/>
  <c r="F504" i="18"/>
  <c r="G504" i="18"/>
  <c r="H504" i="18"/>
  <c r="I504" i="18"/>
  <c r="J504" i="18"/>
  <c r="K504" i="18"/>
  <c r="K494" i="18"/>
  <c r="F489" i="18"/>
  <c r="G489" i="18"/>
  <c r="H489" i="18"/>
  <c r="I489" i="18"/>
  <c r="J489" i="18"/>
  <c r="K489" i="18"/>
  <c r="K434" i="18"/>
  <c r="F429" i="18"/>
  <c r="G429" i="18"/>
  <c r="H429" i="18"/>
  <c r="I429" i="18"/>
  <c r="J429" i="18"/>
  <c r="K429" i="18"/>
  <c r="F367" i="18"/>
  <c r="G367" i="18"/>
  <c r="H367" i="18"/>
  <c r="I367" i="18"/>
  <c r="J367" i="18"/>
  <c r="K367" i="18"/>
  <c r="K575" i="16" l="1"/>
  <c r="F570" i="16"/>
  <c r="G570" i="16"/>
  <c r="H570" i="16"/>
  <c r="I570" i="16"/>
  <c r="J570" i="16"/>
  <c r="K509" i="16"/>
  <c r="F504" i="16"/>
  <c r="G504" i="16"/>
  <c r="H504" i="16"/>
  <c r="I504" i="16"/>
  <c r="J504" i="16"/>
  <c r="K494" i="16"/>
  <c r="F489" i="16"/>
  <c r="G489" i="16"/>
  <c r="H489" i="16"/>
  <c r="I489" i="16"/>
  <c r="J489" i="16"/>
  <c r="K434" i="16"/>
  <c r="F429" i="16"/>
  <c r="G429" i="16"/>
  <c r="H429" i="16"/>
  <c r="I429" i="16"/>
  <c r="J429" i="16"/>
  <c r="K372" i="16"/>
  <c r="F367" i="16"/>
  <c r="G367" i="16"/>
  <c r="H367" i="16"/>
  <c r="I367" i="16"/>
  <c r="J367" i="16"/>
  <c r="J96" i="16"/>
  <c r="K96" i="16"/>
  <c r="I91" i="16"/>
  <c r="J91" i="16"/>
  <c r="K91" i="16"/>
  <c r="K81" i="16"/>
  <c r="F76" i="16"/>
  <c r="G76" i="16"/>
  <c r="H76" i="16"/>
  <c r="I76" i="16"/>
  <c r="J76" i="16"/>
  <c r="K575" i="15" l="1"/>
  <c r="K494" i="15"/>
  <c r="K372" i="15"/>
  <c r="J96" i="15"/>
  <c r="K96" i="15"/>
  <c r="J91" i="15"/>
  <c r="K91" i="15"/>
  <c r="K81" i="15"/>
  <c r="K652" i="13" l="1"/>
  <c r="F647" i="13"/>
  <c r="G647" i="13"/>
  <c r="H647" i="13"/>
  <c r="I647" i="13"/>
  <c r="J647" i="13"/>
  <c r="K509" i="13"/>
  <c r="F504" i="13"/>
  <c r="G504" i="13"/>
  <c r="H504" i="13"/>
  <c r="I504" i="13"/>
  <c r="J504" i="13"/>
  <c r="K494" i="13"/>
  <c r="F489" i="13"/>
  <c r="G489" i="13"/>
  <c r="H489" i="13"/>
  <c r="I489" i="13"/>
  <c r="J489" i="13"/>
  <c r="K434" i="13"/>
  <c r="K372" i="13"/>
  <c r="N96" i="13"/>
  <c r="J91" i="13"/>
  <c r="K91" i="13"/>
  <c r="K81" i="13"/>
  <c r="F76" i="13"/>
  <c r="G76" i="13"/>
  <c r="H76" i="13"/>
  <c r="I76" i="13"/>
  <c r="J76" i="13"/>
  <c r="K737" i="11" l="1"/>
  <c r="K575" i="11"/>
  <c r="F570" i="11"/>
  <c r="G570" i="11"/>
  <c r="H570" i="11"/>
  <c r="I570" i="11"/>
  <c r="J570" i="11"/>
  <c r="K570" i="11"/>
  <c r="K494" i="11"/>
  <c r="F489" i="11"/>
  <c r="G489" i="11"/>
  <c r="H489" i="11"/>
  <c r="I489" i="11"/>
  <c r="J489" i="11"/>
  <c r="K372" i="11"/>
  <c r="F367" i="11"/>
  <c r="G367" i="11"/>
  <c r="H367" i="11"/>
  <c r="I367" i="11"/>
  <c r="J367" i="11"/>
  <c r="K81" i="11"/>
  <c r="F76" i="11"/>
  <c r="G76" i="11"/>
  <c r="H76" i="11"/>
  <c r="I76" i="11"/>
  <c r="J76" i="11"/>
  <c r="K82" i="9" l="1"/>
  <c r="K81" i="9" s="1"/>
  <c r="K11" i="9"/>
  <c r="F600" i="9"/>
  <c r="G600" i="9"/>
  <c r="H600" i="9"/>
  <c r="I600" i="9"/>
  <c r="J600" i="9"/>
  <c r="F570" i="9"/>
  <c r="G570" i="9"/>
  <c r="H570" i="9"/>
  <c r="I570" i="9"/>
  <c r="J570" i="9"/>
  <c r="K509" i="9"/>
  <c r="F504" i="9"/>
  <c r="G504" i="9"/>
  <c r="H504" i="9"/>
  <c r="I504" i="9"/>
  <c r="J504" i="9"/>
  <c r="K494" i="9"/>
  <c r="F489" i="9"/>
  <c r="G489" i="9"/>
  <c r="H489" i="9"/>
  <c r="I489" i="9"/>
  <c r="J489" i="9"/>
  <c r="K434" i="9"/>
  <c r="F429" i="9"/>
  <c r="G429" i="9"/>
  <c r="H429" i="9"/>
  <c r="I429" i="9"/>
  <c r="J429" i="9"/>
  <c r="K372" i="9"/>
  <c r="F367" i="9"/>
  <c r="G367" i="9"/>
  <c r="H367" i="9"/>
  <c r="I367" i="9"/>
  <c r="J367" i="9"/>
  <c r="F76" i="9"/>
  <c r="G76" i="9"/>
  <c r="H76" i="9"/>
  <c r="I76" i="9"/>
  <c r="J76" i="9"/>
  <c r="K652" i="8" l="1"/>
  <c r="F647" i="8"/>
  <c r="G647" i="8"/>
  <c r="H647" i="8"/>
  <c r="I647" i="8"/>
  <c r="J647" i="8"/>
  <c r="F504" i="8"/>
  <c r="G504" i="8"/>
  <c r="H504" i="8"/>
  <c r="I504" i="8"/>
  <c r="J504" i="8"/>
  <c r="K494" i="8"/>
  <c r="F489" i="8"/>
  <c r="G489" i="8"/>
  <c r="H489" i="8"/>
  <c r="I489" i="8"/>
  <c r="J489" i="8"/>
  <c r="L434" i="8"/>
  <c r="K434" i="8"/>
  <c r="F429" i="8"/>
  <c r="G429" i="8"/>
  <c r="H429" i="8"/>
  <c r="I429" i="8"/>
  <c r="J429" i="8"/>
  <c r="K429" i="8"/>
  <c r="F367" i="8"/>
  <c r="G367" i="8"/>
  <c r="H367" i="8"/>
  <c r="I367" i="8"/>
  <c r="J367" i="8"/>
  <c r="K81" i="8"/>
  <c r="F76" i="8"/>
  <c r="G76" i="8"/>
  <c r="H76" i="8"/>
  <c r="I76" i="8"/>
  <c r="J76" i="8"/>
  <c r="K605" i="7" l="1"/>
  <c r="K575" i="7"/>
  <c r="F570" i="7"/>
  <c r="G570" i="7"/>
  <c r="H570" i="7"/>
  <c r="I570" i="7"/>
  <c r="J570" i="7"/>
  <c r="K509" i="7"/>
  <c r="F504" i="7"/>
  <c r="G504" i="7"/>
  <c r="H504" i="7"/>
  <c r="I504" i="7"/>
  <c r="J504" i="7"/>
  <c r="K494" i="7"/>
  <c r="F489" i="7"/>
  <c r="G489" i="7"/>
  <c r="H489" i="7"/>
  <c r="I489" i="7"/>
  <c r="J489" i="7"/>
  <c r="K434" i="7"/>
  <c r="F429" i="7"/>
  <c r="G429" i="7"/>
  <c r="H429" i="7"/>
  <c r="I429" i="7"/>
  <c r="J429" i="7"/>
  <c r="K372" i="7"/>
  <c r="F367" i="7"/>
  <c r="G367" i="7"/>
  <c r="H367" i="7"/>
  <c r="I367" i="7"/>
  <c r="J367" i="7"/>
  <c r="N96" i="7"/>
  <c r="J96" i="7"/>
  <c r="K96" i="7"/>
  <c r="I91" i="7"/>
  <c r="J91" i="7"/>
  <c r="K91" i="7"/>
  <c r="K81" i="7"/>
  <c r="F76" i="7"/>
  <c r="G76" i="7"/>
  <c r="H76" i="7"/>
  <c r="I76" i="7"/>
  <c r="J76" i="7"/>
  <c r="H370" i="22" l="1"/>
  <c r="V507" i="22"/>
  <c r="V492" i="22"/>
  <c r="Q492" i="22"/>
  <c r="K507" i="22"/>
  <c r="Q370" i="22"/>
  <c r="K370" i="22"/>
  <c r="K79" i="22"/>
  <c r="Q603" i="19"/>
  <c r="K603" i="19"/>
  <c r="R492" i="19"/>
  <c r="K492" i="19"/>
  <c r="K507" i="19"/>
  <c r="R507" i="19"/>
  <c r="K370" i="19"/>
  <c r="K507" i="18"/>
  <c r="K492" i="18"/>
  <c r="Q370" i="18"/>
  <c r="K370" i="18"/>
  <c r="P603" i="16" l="1"/>
  <c r="K603" i="16"/>
  <c r="K573" i="16"/>
  <c r="S492" i="16"/>
  <c r="Q507" i="16"/>
  <c r="P507" i="16"/>
  <c r="O507" i="16"/>
  <c r="N492" i="16"/>
  <c r="K507" i="16"/>
  <c r="Q370" i="16"/>
  <c r="O370" i="16"/>
  <c r="K370" i="16"/>
  <c r="K573" i="15" l="1"/>
  <c r="H370" i="15"/>
  <c r="K650" i="13"/>
  <c r="K507" i="13"/>
  <c r="N603" i="9"/>
  <c r="K603" i="9"/>
  <c r="Q432" i="9"/>
  <c r="P432" i="9"/>
  <c r="N432" i="9"/>
  <c r="K432" i="9"/>
  <c r="K79" i="9"/>
  <c r="K492" i="8"/>
  <c r="K370" i="8"/>
  <c r="N370" i="8"/>
  <c r="K507" i="7"/>
  <c r="K370" i="7"/>
  <c r="U1" i="9" l="1"/>
  <c r="R426" i="23" l="1"/>
  <c r="Q426" i="23"/>
  <c r="P426" i="23"/>
  <c r="O426" i="23"/>
  <c r="N426" i="23"/>
  <c r="O355" i="23"/>
  <c r="P355" i="23"/>
  <c r="Q355" i="23"/>
  <c r="N355" i="23"/>
  <c r="O356" i="23"/>
  <c r="P356" i="23"/>
  <c r="Q356" i="23"/>
  <c r="R356" i="23"/>
  <c r="S356" i="23"/>
  <c r="G356" i="23"/>
  <c r="H356" i="23"/>
  <c r="I356" i="23"/>
  <c r="J356" i="23"/>
  <c r="K356" i="23"/>
  <c r="G351" i="23"/>
  <c r="H351" i="23"/>
  <c r="I351" i="23"/>
  <c r="J351" i="23"/>
  <c r="K351" i="23"/>
  <c r="R351" i="23"/>
  <c r="S351" i="23"/>
  <c r="G289" i="23"/>
  <c r="H289" i="23"/>
  <c r="I289" i="23"/>
  <c r="J289" i="23"/>
  <c r="K289" i="23"/>
  <c r="G294" i="23"/>
  <c r="H294" i="23"/>
  <c r="I294" i="23"/>
  <c r="J294" i="23"/>
  <c r="K294" i="23"/>
  <c r="O294" i="23"/>
  <c r="P294" i="23"/>
  <c r="Q294" i="23"/>
  <c r="R294" i="23"/>
  <c r="S294" i="23"/>
  <c r="P289" i="23"/>
  <c r="R289" i="23"/>
  <c r="S289" i="23"/>
  <c r="S495" i="11" l="1"/>
  <c r="I576" i="9" l="1"/>
  <c r="J653" i="13"/>
  <c r="J576" i="19"/>
  <c r="J576" i="16"/>
  <c r="G92" i="22"/>
  <c r="G90" i="22"/>
  <c r="J97" i="22"/>
  <c r="J97" i="15" l="1"/>
  <c r="J575" i="18"/>
  <c r="J509" i="18"/>
  <c r="S493" i="18"/>
  <c r="J493" i="18"/>
  <c r="J494" i="18" s="1"/>
  <c r="J434" i="18"/>
  <c r="J575" i="15" l="1"/>
  <c r="J574" i="15"/>
  <c r="J494" i="15" l="1"/>
  <c r="S373" i="15"/>
  <c r="J371" i="15"/>
  <c r="J372" i="15" s="1"/>
  <c r="J95" i="15"/>
  <c r="I96" i="15"/>
  <c r="J575" i="22"/>
  <c r="S495" i="22"/>
  <c r="J494" i="22"/>
  <c r="J434" i="22"/>
  <c r="J429" i="22"/>
  <c r="J372" i="22"/>
  <c r="J81" i="22"/>
  <c r="S606" i="19" l="1"/>
  <c r="J605" i="19"/>
  <c r="J575" i="19"/>
  <c r="J509" i="19"/>
  <c r="J494" i="19"/>
  <c r="S435" i="19"/>
  <c r="J434" i="19"/>
  <c r="J605" i="18" l="1"/>
  <c r="V506" i="18"/>
  <c r="V491" i="18"/>
  <c r="J506" i="18"/>
  <c r="F494" i="18"/>
  <c r="G494" i="18"/>
  <c r="H494" i="18"/>
  <c r="I494" i="18"/>
  <c r="J605" i="16" l="1"/>
  <c r="F590" i="16"/>
  <c r="G590" i="16"/>
  <c r="H590" i="16"/>
  <c r="I590" i="16"/>
  <c r="J590" i="16"/>
  <c r="F585" i="16"/>
  <c r="G585" i="16"/>
  <c r="H585" i="16"/>
  <c r="J585" i="16"/>
  <c r="J575" i="16"/>
  <c r="J509" i="16"/>
  <c r="H434" i="16"/>
  <c r="I434" i="16"/>
  <c r="J434" i="16"/>
  <c r="J372" i="16"/>
  <c r="J84" i="16"/>
  <c r="J81" i="16"/>
  <c r="J652" i="13" l="1"/>
  <c r="J575" i="13"/>
  <c r="F570" i="13"/>
  <c r="G570" i="13"/>
  <c r="H570" i="13"/>
  <c r="I570" i="13"/>
  <c r="J509" i="13"/>
  <c r="J494" i="13"/>
  <c r="J434" i="13"/>
  <c r="J372" i="13"/>
  <c r="J81" i="13"/>
  <c r="J652" i="8" l="1"/>
  <c r="J509" i="8"/>
  <c r="J494" i="8"/>
  <c r="J434" i="8"/>
  <c r="J372" i="8"/>
  <c r="J81" i="8"/>
  <c r="J605" i="7" l="1"/>
  <c r="J575" i="7"/>
  <c r="J509" i="7"/>
  <c r="J494" i="7"/>
  <c r="J434" i="7"/>
  <c r="I372" i="7"/>
  <c r="J372" i="7"/>
  <c r="J81" i="7"/>
  <c r="J737" i="11" l="1"/>
  <c r="F737" i="11"/>
  <c r="G737" i="11"/>
  <c r="H737" i="11"/>
  <c r="I737" i="11"/>
  <c r="J742" i="11"/>
  <c r="K742" i="11"/>
  <c r="G575" i="11"/>
  <c r="H575" i="11"/>
  <c r="I575" i="11"/>
  <c r="J575" i="11"/>
  <c r="I494" i="11"/>
  <c r="J494" i="11"/>
  <c r="I372" i="11"/>
  <c r="J372" i="11"/>
  <c r="N96" i="11"/>
  <c r="J91" i="11"/>
  <c r="K91" i="11"/>
  <c r="I81" i="11"/>
  <c r="J81" i="11"/>
  <c r="S604" i="9" l="1"/>
  <c r="S606" i="9" s="1"/>
  <c r="J605" i="9"/>
  <c r="S574" i="9"/>
  <c r="I509" i="9"/>
  <c r="J509" i="9"/>
  <c r="I494" i="9"/>
  <c r="J494" i="9"/>
  <c r="N356" i="23"/>
  <c r="I434" i="9"/>
  <c r="J434" i="9"/>
  <c r="I372" i="9"/>
  <c r="J372" i="9"/>
  <c r="N91" i="9"/>
  <c r="N96" i="9"/>
  <c r="J96" i="9"/>
  <c r="K96" i="9"/>
  <c r="I91" i="9"/>
  <c r="J91" i="9"/>
  <c r="K91" i="9"/>
  <c r="J81" i="9"/>
  <c r="J477" i="22" l="1"/>
  <c r="J492" i="22"/>
  <c r="I507" i="22"/>
  <c r="J370" i="22"/>
  <c r="I370" i="22"/>
  <c r="J79" i="22"/>
  <c r="J603" i="19"/>
  <c r="J507" i="19"/>
  <c r="J492" i="19"/>
  <c r="J492" i="18"/>
  <c r="V506" i="16"/>
  <c r="S573" i="16"/>
  <c r="O573" i="16"/>
  <c r="J573" i="16"/>
  <c r="P370" i="16"/>
  <c r="J370" i="16"/>
  <c r="J79" i="16"/>
  <c r="J370" i="15"/>
  <c r="J79" i="13"/>
  <c r="I492" i="11"/>
  <c r="N79" i="11"/>
  <c r="K79" i="11"/>
  <c r="J79" i="11"/>
  <c r="R492" i="9"/>
  <c r="I492" i="9"/>
  <c r="S432" i="9"/>
  <c r="S355" i="23" s="1"/>
  <c r="R432" i="9"/>
  <c r="R355" i="23" s="1"/>
  <c r="J432" i="9"/>
  <c r="I370" i="9"/>
  <c r="I432" i="9"/>
  <c r="J79" i="9"/>
  <c r="L538" i="8"/>
  <c r="M538" i="8" s="1"/>
  <c r="J650" i="8"/>
  <c r="P370" i="8"/>
  <c r="J370" i="8"/>
  <c r="V10" i="7"/>
  <c r="V506" i="7"/>
  <c r="H137" i="22" l="1"/>
  <c r="I142" i="22"/>
  <c r="I495" i="22"/>
  <c r="F494" i="19"/>
  <c r="G494" i="19"/>
  <c r="H494" i="19"/>
  <c r="I494" i="19"/>
  <c r="I576" i="16" l="1"/>
  <c r="I653" i="13"/>
  <c r="K5" i="28" l="1"/>
  <c r="K6" i="28"/>
  <c r="K7" i="28"/>
  <c r="K4" i="28"/>
  <c r="G36" i="28"/>
  <c r="H36" i="28" s="1"/>
  <c r="G32" i="28"/>
  <c r="H32" i="28" s="1"/>
  <c r="F44" i="28"/>
  <c r="F45" i="28"/>
  <c r="F49" i="28" s="1"/>
  <c r="F51" i="28" s="1"/>
  <c r="F46" i="28"/>
  <c r="F48" i="28"/>
  <c r="E45" i="28"/>
  <c r="E49" i="28" s="1"/>
  <c r="E51" i="28" s="1"/>
  <c r="E46" i="28"/>
  <c r="E48" i="28"/>
  <c r="E44" i="28"/>
  <c r="I575" i="22"/>
  <c r="I509" i="22"/>
  <c r="I494" i="22"/>
  <c r="I434" i="22"/>
  <c r="F429" i="22"/>
  <c r="G429" i="22"/>
  <c r="H429" i="22"/>
  <c r="I429" i="22"/>
  <c r="I372" i="22"/>
  <c r="F136" i="22"/>
  <c r="G136" i="22"/>
  <c r="H136" i="22"/>
  <c r="I136" i="22"/>
  <c r="J136" i="22"/>
  <c r="K136" i="22"/>
  <c r="I96" i="22"/>
  <c r="J96" i="22"/>
  <c r="K96" i="22"/>
  <c r="J91" i="22"/>
  <c r="K91" i="22"/>
  <c r="F91" i="22"/>
  <c r="G91" i="22"/>
  <c r="H91" i="22"/>
  <c r="I91" i="22"/>
  <c r="I81" i="22"/>
  <c r="I605" i="19" l="1"/>
  <c r="I575" i="19"/>
  <c r="I509" i="19"/>
  <c r="I434" i="19"/>
  <c r="I372" i="19"/>
  <c r="J201" i="19"/>
  <c r="K201" i="19"/>
  <c r="I196" i="19"/>
  <c r="J196" i="19"/>
  <c r="K196" i="19"/>
  <c r="I201" i="19"/>
  <c r="F196" i="19"/>
  <c r="G196" i="19"/>
  <c r="H196" i="19"/>
  <c r="I181" i="19"/>
  <c r="J181" i="19"/>
  <c r="K181" i="19"/>
  <c r="I186" i="19"/>
  <c r="J186" i="19"/>
  <c r="F181" i="19"/>
  <c r="G181" i="19"/>
  <c r="H181" i="19"/>
  <c r="F165" i="19"/>
  <c r="G165" i="19"/>
  <c r="H165" i="19"/>
  <c r="I165" i="19"/>
  <c r="F167" i="19"/>
  <c r="F166" i="19" s="1"/>
  <c r="G167" i="19"/>
  <c r="G166" i="19" s="1"/>
  <c r="H167" i="19"/>
  <c r="H166" i="19" s="1"/>
  <c r="I167" i="19"/>
  <c r="I166" i="19" s="1"/>
  <c r="I574" i="15" l="1"/>
  <c r="I576" i="15"/>
  <c r="I493" i="15"/>
  <c r="I371" i="15"/>
  <c r="F81" i="15" l="1"/>
  <c r="G81" i="15"/>
  <c r="H81" i="15"/>
  <c r="I81" i="15"/>
  <c r="J81" i="15"/>
  <c r="I605" i="9" l="1"/>
  <c r="I141" i="9"/>
  <c r="J141" i="9"/>
  <c r="F136" i="9"/>
  <c r="G136" i="9"/>
  <c r="H136" i="9"/>
  <c r="I136" i="9"/>
  <c r="J136" i="9"/>
  <c r="K136" i="9"/>
  <c r="I96" i="9"/>
  <c r="F91" i="9"/>
  <c r="G91" i="9"/>
  <c r="H91" i="9"/>
  <c r="I81" i="9"/>
  <c r="K231" i="18" l="1"/>
  <c r="I231" i="18"/>
  <c r="J231" i="18"/>
  <c r="F226" i="18"/>
  <c r="G226" i="18"/>
  <c r="H226" i="18"/>
  <c r="F136" i="18"/>
  <c r="G136" i="18"/>
  <c r="H136" i="18"/>
  <c r="I495" i="18" l="1"/>
  <c r="I576" i="18"/>
  <c r="I605" i="18"/>
  <c r="S576" i="18"/>
  <c r="I575" i="18"/>
  <c r="I506" i="18"/>
  <c r="I509" i="18"/>
  <c r="I434" i="18"/>
  <c r="I372" i="18"/>
  <c r="J226" i="18"/>
  <c r="K226" i="18"/>
  <c r="I226" i="18"/>
  <c r="I141" i="18"/>
  <c r="J141" i="18"/>
  <c r="J136" i="18"/>
  <c r="K136" i="18"/>
  <c r="I136" i="18"/>
  <c r="I605" i="16" l="1"/>
  <c r="I575" i="16"/>
  <c r="I509" i="16"/>
  <c r="I494" i="16"/>
  <c r="J494" i="16"/>
  <c r="I372" i="16"/>
  <c r="V138" i="16"/>
  <c r="J136" i="16"/>
  <c r="K136" i="16"/>
  <c r="F136" i="16"/>
  <c r="G136" i="16"/>
  <c r="H136" i="16"/>
  <c r="I136" i="16"/>
  <c r="I96" i="16"/>
  <c r="F91" i="16"/>
  <c r="G91" i="16"/>
  <c r="H91" i="16"/>
  <c r="I81" i="16"/>
  <c r="G652" i="13" l="1"/>
  <c r="H652" i="13"/>
  <c r="I652" i="13"/>
  <c r="I651" i="13"/>
  <c r="I509" i="13" l="1"/>
  <c r="I494" i="13"/>
  <c r="I434" i="13"/>
  <c r="I372" i="13"/>
  <c r="J136" i="13"/>
  <c r="K136" i="13"/>
  <c r="J141" i="13"/>
  <c r="K141" i="13"/>
  <c r="I141" i="13"/>
  <c r="F136" i="13"/>
  <c r="G136" i="13"/>
  <c r="H136" i="13"/>
  <c r="I136" i="13"/>
  <c r="I96" i="13"/>
  <c r="J96" i="13"/>
  <c r="K96" i="13"/>
  <c r="F91" i="13"/>
  <c r="G91" i="13"/>
  <c r="H91" i="13"/>
  <c r="I91" i="13"/>
  <c r="I81" i="13"/>
  <c r="J96" i="11" l="1"/>
  <c r="K96" i="11"/>
  <c r="F91" i="11"/>
  <c r="G91" i="11"/>
  <c r="H91" i="11"/>
  <c r="F81" i="7" l="1"/>
  <c r="G81" i="7"/>
  <c r="H81" i="7"/>
  <c r="I81" i="7"/>
  <c r="I605" i="7"/>
  <c r="I575" i="7"/>
  <c r="I509" i="7"/>
  <c r="S495" i="7"/>
  <c r="I494" i="7"/>
  <c r="S435" i="7"/>
  <c r="I434" i="7"/>
  <c r="J141" i="7"/>
  <c r="K141" i="7"/>
  <c r="I136" i="7"/>
  <c r="J136" i="7"/>
  <c r="K136" i="7"/>
  <c r="H136" i="7"/>
  <c r="G136" i="7"/>
  <c r="F136" i="7"/>
  <c r="F141" i="7"/>
  <c r="G141" i="7"/>
  <c r="H141" i="7"/>
  <c r="I141" i="7"/>
  <c r="S97" i="7"/>
  <c r="I96" i="7"/>
  <c r="F91" i="7"/>
  <c r="G91" i="7"/>
  <c r="H91" i="7"/>
  <c r="H651" i="8" l="1"/>
  <c r="F652" i="8"/>
  <c r="G652" i="8"/>
  <c r="H652" i="8"/>
  <c r="I652" i="8"/>
  <c r="I509" i="8"/>
  <c r="I494" i="8"/>
  <c r="G434" i="8"/>
  <c r="H434" i="8"/>
  <c r="I434" i="8"/>
  <c r="I372" i="8"/>
  <c r="N141" i="8"/>
  <c r="O141" i="8"/>
  <c r="P141" i="8"/>
  <c r="Q141" i="8"/>
  <c r="R141" i="8"/>
  <c r="N136" i="8"/>
  <c r="O136" i="8"/>
  <c r="P136" i="8"/>
  <c r="Q136" i="8"/>
  <c r="F136" i="8"/>
  <c r="G136" i="8"/>
  <c r="H136" i="8"/>
  <c r="I141" i="8"/>
  <c r="J141" i="8"/>
  <c r="N96" i="8"/>
  <c r="O96" i="8"/>
  <c r="P96" i="8"/>
  <c r="Q96" i="8"/>
  <c r="R96" i="8"/>
  <c r="N91" i="8"/>
  <c r="O91" i="8"/>
  <c r="P91" i="8"/>
  <c r="Q91" i="8"/>
  <c r="J91" i="8"/>
  <c r="K91" i="8"/>
  <c r="I96" i="8"/>
  <c r="J96" i="8"/>
  <c r="F91" i="8"/>
  <c r="G91" i="8"/>
  <c r="H91" i="8"/>
  <c r="I91" i="8"/>
  <c r="F81" i="8"/>
  <c r="G81" i="8"/>
  <c r="H81" i="8"/>
  <c r="I81" i="8"/>
  <c r="I513" i="7" l="1"/>
  <c r="G145" i="7"/>
  <c r="H145" i="7"/>
  <c r="I145" i="7"/>
  <c r="J145" i="7"/>
  <c r="K145" i="7"/>
  <c r="F145" i="7"/>
  <c r="S145" i="7"/>
  <c r="U2" i="23"/>
  <c r="K492" i="22"/>
  <c r="I492" i="22"/>
  <c r="P370" i="22"/>
  <c r="I432" i="22"/>
  <c r="S94" i="22"/>
  <c r="I94" i="22"/>
  <c r="I603" i="19"/>
  <c r="I492" i="19"/>
  <c r="S184" i="19"/>
  <c r="I184" i="19"/>
  <c r="U2" i="18"/>
  <c r="S492" i="18"/>
  <c r="I492" i="18"/>
  <c r="S229" i="18"/>
  <c r="I229" i="18"/>
  <c r="U2" i="16"/>
  <c r="S94" i="16"/>
  <c r="I79" i="16"/>
  <c r="I94" i="16"/>
  <c r="Q79" i="16"/>
  <c r="R573" i="16"/>
  <c r="I573" i="16"/>
  <c r="I507" i="16"/>
  <c r="I370" i="16"/>
  <c r="I573" i="15"/>
  <c r="V492" i="15"/>
  <c r="H492" i="15"/>
  <c r="S94" i="15"/>
  <c r="I94" i="15"/>
  <c r="U2" i="13"/>
  <c r="I650" i="13"/>
  <c r="K492" i="13"/>
  <c r="I492" i="13"/>
  <c r="S94" i="13"/>
  <c r="I94" i="13"/>
  <c r="I573" i="11"/>
  <c r="I94" i="11"/>
  <c r="K573" i="9"/>
  <c r="I573" i="9"/>
  <c r="I603" i="9"/>
  <c r="K492" i="9"/>
  <c r="R370" i="9"/>
  <c r="S94" i="9"/>
  <c r="I94" i="9"/>
  <c r="I79" i="9"/>
  <c r="I650" i="8"/>
  <c r="S492" i="8"/>
  <c r="I492" i="8"/>
  <c r="R370" i="8"/>
  <c r="I370" i="8"/>
  <c r="S94" i="8"/>
  <c r="I94" i="8"/>
  <c r="S492" i="7"/>
  <c r="I492" i="7"/>
  <c r="I94" i="7"/>
  <c r="U2" i="15" l="1"/>
  <c r="U2" i="11"/>
  <c r="S495" i="8" l="1"/>
  <c r="V138" i="7" l="1"/>
  <c r="H434" i="22"/>
  <c r="H372" i="22"/>
  <c r="H141" i="22"/>
  <c r="H111" i="22"/>
  <c r="I111" i="22"/>
  <c r="F106" i="22"/>
  <c r="G106" i="22"/>
  <c r="H106" i="22"/>
  <c r="H96" i="22"/>
  <c r="H81" i="22"/>
  <c r="H492" i="22" l="1"/>
  <c r="H94" i="22"/>
  <c r="H576" i="19"/>
  <c r="H575" i="19" s="1"/>
  <c r="H605" i="19"/>
  <c r="G575" i="19"/>
  <c r="H509" i="19"/>
  <c r="G434" i="19"/>
  <c r="H434" i="19"/>
  <c r="H372" i="19"/>
  <c r="H201" i="19"/>
  <c r="H186" i="19"/>
  <c r="H603" i="19" l="1"/>
  <c r="H492" i="19"/>
  <c r="I370" i="19"/>
  <c r="H370" i="19"/>
  <c r="H184" i="19"/>
  <c r="H605" i="18"/>
  <c r="F585" i="18"/>
  <c r="G585" i="18"/>
  <c r="H585" i="18"/>
  <c r="H575" i="18"/>
  <c r="H509" i="18"/>
  <c r="H434" i="18"/>
  <c r="H372" i="18"/>
  <c r="H231" i="18"/>
  <c r="H141" i="18"/>
  <c r="H492" i="18" l="1"/>
  <c r="H229" i="18"/>
  <c r="H64" i="18"/>
  <c r="H70" i="18"/>
  <c r="S145" i="18"/>
  <c r="R145" i="18"/>
  <c r="Q145" i="18"/>
  <c r="P145" i="18"/>
  <c r="O145" i="18"/>
  <c r="N145" i="18"/>
  <c r="G145" i="18"/>
  <c r="H145" i="18"/>
  <c r="I145" i="18"/>
  <c r="J145" i="18"/>
  <c r="K145" i="18"/>
  <c r="F145" i="18"/>
  <c r="H509" i="16"/>
  <c r="H494" i="16"/>
  <c r="H372" i="16"/>
  <c r="S145" i="16"/>
  <c r="R145" i="16"/>
  <c r="Q145" i="16"/>
  <c r="P145" i="16"/>
  <c r="O145" i="16"/>
  <c r="N145" i="16"/>
  <c r="G145" i="16"/>
  <c r="H145" i="16"/>
  <c r="I145" i="16"/>
  <c r="J145" i="16"/>
  <c r="K145" i="16"/>
  <c r="F145" i="16"/>
  <c r="H141" i="16"/>
  <c r="I141" i="16"/>
  <c r="H96" i="16"/>
  <c r="H81" i="16"/>
  <c r="H507" i="16" l="1"/>
  <c r="J507" i="16"/>
  <c r="H492" i="16"/>
  <c r="K432" i="16"/>
  <c r="H370" i="16"/>
  <c r="H432" i="16"/>
  <c r="H94" i="16"/>
  <c r="I575" i="15"/>
  <c r="H575" i="15"/>
  <c r="H494" i="15"/>
  <c r="I494" i="15"/>
  <c r="H372" i="15"/>
  <c r="I372" i="15"/>
  <c r="H573" i="15" l="1"/>
  <c r="J492" i="15"/>
  <c r="H94" i="15"/>
  <c r="H575" i="13"/>
  <c r="I575" i="13"/>
  <c r="H509" i="13"/>
  <c r="H494" i="13"/>
  <c r="H434" i="13"/>
  <c r="H372" i="13"/>
  <c r="F141" i="13"/>
  <c r="G141" i="13"/>
  <c r="H141" i="13"/>
  <c r="H80" i="13"/>
  <c r="H81" i="13" s="1"/>
  <c r="H96" i="13"/>
  <c r="F81" i="13"/>
  <c r="G81" i="13"/>
  <c r="J573" i="13" l="1"/>
  <c r="H573" i="13"/>
  <c r="V138" i="13"/>
  <c r="H94" i="13"/>
  <c r="H494" i="11"/>
  <c r="H372" i="11"/>
  <c r="H96" i="11"/>
  <c r="I96" i="11"/>
  <c r="H94" i="11"/>
  <c r="H81" i="11"/>
  <c r="H492" i="11"/>
  <c r="H79" i="11"/>
  <c r="F605" i="9" l="1"/>
  <c r="G605" i="9"/>
  <c r="H605" i="9"/>
  <c r="H575" i="9"/>
  <c r="H509" i="9"/>
  <c r="H494" i="9"/>
  <c r="H434" i="9"/>
  <c r="F372" i="9"/>
  <c r="G372" i="9"/>
  <c r="H372" i="9"/>
  <c r="H141" i="9"/>
  <c r="H96" i="9"/>
  <c r="H81" i="9"/>
  <c r="H492" i="9" l="1"/>
  <c r="K370" i="9"/>
  <c r="H370" i="9"/>
  <c r="H94" i="9"/>
  <c r="H509" i="8"/>
  <c r="F494" i="8"/>
  <c r="G494" i="8"/>
  <c r="H494" i="8"/>
  <c r="H372" i="8"/>
  <c r="H141" i="8"/>
  <c r="H96" i="8"/>
  <c r="H650" i="8" l="1"/>
  <c r="H370" i="8"/>
  <c r="H94" i="8"/>
  <c r="H620" i="7"/>
  <c r="I620" i="7"/>
  <c r="F615" i="7"/>
  <c r="G615" i="7"/>
  <c r="H615" i="7"/>
  <c r="H605" i="7"/>
  <c r="H590" i="7"/>
  <c r="I590" i="7"/>
  <c r="H575" i="7"/>
  <c r="H509" i="7"/>
  <c r="H494" i="7"/>
  <c r="H434" i="7"/>
  <c r="H372" i="7"/>
  <c r="F96" i="7"/>
  <c r="G96" i="7"/>
  <c r="H96" i="7"/>
  <c r="O370" i="7"/>
  <c r="K432" i="7"/>
  <c r="H370" i="7"/>
  <c r="H432" i="7"/>
  <c r="H94" i="7"/>
  <c r="N537" i="23" l="1"/>
  <c r="O537" i="23"/>
  <c r="P537" i="23"/>
  <c r="Q537" i="23"/>
  <c r="R537" i="23"/>
  <c r="S537" i="23"/>
  <c r="N540" i="23"/>
  <c r="O540" i="23"/>
  <c r="P540" i="23"/>
  <c r="Q540" i="23"/>
  <c r="R540" i="23"/>
  <c r="S540" i="23"/>
  <c r="N541" i="23"/>
  <c r="O541" i="23"/>
  <c r="P541" i="23"/>
  <c r="Q541" i="23"/>
  <c r="R541" i="23"/>
  <c r="S541" i="23"/>
  <c r="N542" i="23"/>
  <c r="O542" i="23"/>
  <c r="P542" i="23"/>
  <c r="Q542" i="23"/>
  <c r="R542" i="23"/>
  <c r="S542" i="23"/>
  <c r="N545" i="23"/>
  <c r="O545" i="23"/>
  <c r="P545" i="23"/>
  <c r="Q545" i="23"/>
  <c r="R545" i="23"/>
  <c r="S545" i="23"/>
  <c r="S591" i="15" l="1"/>
  <c r="F590" i="15"/>
  <c r="G590" i="15"/>
  <c r="H590" i="15"/>
  <c r="F575" i="15"/>
  <c r="G575" i="15"/>
  <c r="F494" i="15"/>
  <c r="G494" i="15"/>
  <c r="F372" i="15"/>
  <c r="G372" i="15"/>
  <c r="F96" i="15"/>
  <c r="G96" i="15"/>
  <c r="H96" i="15"/>
  <c r="F575" i="22" l="1"/>
  <c r="G575" i="22"/>
  <c r="H575" i="22"/>
  <c r="F509" i="22"/>
  <c r="G509" i="22"/>
  <c r="H509" i="22"/>
  <c r="H494" i="22"/>
  <c r="F494" i="22"/>
  <c r="G494" i="22"/>
  <c r="F434" i="22"/>
  <c r="G434" i="22"/>
  <c r="F372" i="22"/>
  <c r="G372" i="22"/>
  <c r="F141" i="22"/>
  <c r="G141" i="22"/>
  <c r="F96" i="22"/>
  <c r="G96" i="22"/>
  <c r="F81" i="22"/>
  <c r="G81" i="22"/>
  <c r="F605" i="19" l="1"/>
  <c r="G605" i="19"/>
  <c r="S591" i="19"/>
  <c r="F575" i="19"/>
  <c r="F509" i="19"/>
  <c r="G509" i="19"/>
  <c r="F434" i="19"/>
  <c r="F372" i="19"/>
  <c r="G372" i="19"/>
  <c r="F201" i="19"/>
  <c r="G201" i="19"/>
  <c r="F186" i="19"/>
  <c r="G186" i="19"/>
  <c r="F615" i="18" l="1"/>
  <c r="G615" i="18"/>
  <c r="F605" i="18"/>
  <c r="G605" i="18"/>
  <c r="F590" i="18"/>
  <c r="G590" i="18"/>
  <c r="H590" i="18"/>
  <c r="F575" i="18"/>
  <c r="G575" i="18"/>
  <c r="F509" i="18"/>
  <c r="G509" i="18"/>
  <c r="F434" i="18"/>
  <c r="G434" i="18"/>
  <c r="G371" i="18"/>
  <c r="G372" i="18" s="1"/>
  <c r="F372" i="18"/>
  <c r="F231" i="18"/>
  <c r="G231" i="18"/>
  <c r="F141" i="18"/>
  <c r="G141" i="18"/>
  <c r="F620" i="9" l="1"/>
  <c r="G620" i="9"/>
  <c r="H620" i="9"/>
  <c r="F590" i="9"/>
  <c r="G590" i="9"/>
  <c r="H590" i="9"/>
  <c r="F585" i="9"/>
  <c r="G585" i="9"/>
  <c r="F575" i="9"/>
  <c r="G575" i="9"/>
  <c r="F509" i="9"/>
  <c r="G509" i="9"/>
  <c r="F494" i="9"/>
  <c r="G494" i="9"/>
  <c r="F434" i="9"/>
  <c r="G434" i="9"/>
  <c r="F141" i="9"/>
  <c r="G141" i="9"/>
  <c r="F96" i="9"/>
  <c r="G96" i="9"/>
  <c r="F81" i="9"/>
  <c r="G81" i="9"/>
  <c r="F605" i="16" l="1"/>
  <c r="G605" i="16"/>
  <c r="H605" i="16"/>
  <c r="F575" i="16"/>
  <c r="G575" i="16"/>
  <c r="H575" i="16"/>
  <c r="F509" i="16"/>
  <c r="G509" i="16"/>
  <c r="F434" i="16"/>
  <c r="G434" i="16"/>
  <c r="F372" i="16"/>
  <c r="G372" i="16"/>
  <c r="F141" i="16"/>
  <c r="G141" i="16"/>
  <c r="F96" i="16"/>
  <c r="G96" i="16"/>
  <c r="F81" i="16"/>
  <c r="G81" i="16"/>
  <c r="F652" i="13" l="1"/>
  <c r="F590" i="13"/>
  <c r="G590" i="13"/>
  <c r="H590" i="13"/>
  <c r="F585" i="13"/>
  <c r="G585" i="13"/>
  <c r="E585" i="13"/>
  <c r="F575" i="13"/>
  <c r="G575" i="13"/>
  <c r="F509" i="13"/>
  <c r="G509" i="13"/>
  <c r="F494" i="13"/>
  <c r="G494" i="13"/>
  <c r="F434" i="13"/>
  <c r="G434" i="13"/>
  <c r="F372" i="13"/>
  <c r="G372" i="13"/>
  <c r="F96" i="13"/>
  <c r="G96" i="13"/>
  <c r="F575" i="11" l="1"/>
  <c r="F494" i="11"/>
  <c r="G494" i="11"/>
  <c r="F372" i="11"/>
  <c r="G372" i="11"/>
  <c r="F96" i="11"/>
  <c r="G96" i="11"/>
  <c r="F81" i="11"/>
  <c r="G81" i="11"/>
  <c r="F156" i="9" l="1"/>
  <c r="G156" i="9"/>
  <c r="H156" i="9"/>
  <c r="F509" i="8" l="1"/>
  <c r="G509" i="8"/>
  <c r="F370" i="8"/>
  <c r="F372" i="8"/>
  <c r="G372" i="8"/>
  <c r="F141" i="8"/>
  <c r="G141" i="8"/>
  <c r="F96" i="8"/>
  <c r="G96" i="8"/>
  <c r="F620" i="7" l="1"/>
  <c r="G620" i="7"/>
  <c r="F605" i="7"/>
  <c r="G605" i="7"/>
  <c r="S589" i="7"/>
  <c r="F590" i="7"/>
  <c r="G590" i="7"/>
  <c r="F575" i="7"/>
  <c r="G575" i="7"/>
  <c r="F509" i="7"/>
  <c r="G509" i="7"/>
  <c r="F494" i="7"/>
  <c r="G494" i="7"/>
  <c r="F434" i="7"/>
  <c r="G434" i="7"/>
  <c r="F372" i="7"/>
  <c r="G372" i="7"/>
  <c r="S573" i="18" l="1"/>
  <c r="G573" i="18"/>
  <c r="G492" i="22"/>
  <c r="G370" i="22"/>
  <c r="F370" i="22"/>
  <c r="G94" i="22"/>
  <c r="G603" i="19"/>
  <c r="H507" i="19"/>
  <c r="G507" i="19"/>
  <c r="K432" i="19"/>
  <c r="J432" i="19"/>
  <c r="J370" i="19"/>
  <c r="I432" i="19"/>
  <c r="G370" i="19"/>
  <c r="G432" i="19"/>
  <c r="G184" i="19"/>
  <c r="I507" i="18"/>
  <c r="G507" i="18"/>
  <c r="G229" i="18"/>
  <c r="G507" i="16"/>
  <c r="J432" i="16"/>
  <c r="G432" i="16"/>
  <c r="S588" i="15"/>
  <c r="G588" i="15"/>
  <c r="G94" i="15"/>
  <c r="H492" i="13"/>
  <c r="G492" i="13"/>
  <c r="G94" i="13"/>
  <c r="G573" i="11"/>
  <c r="H370" i="11"/>
  <c r="G370" i="11"/>
  <c r="G79" i="11"/>
  <c r="G94" i="11"/>
  <c r="F561" i="9"/>
  <c r="R558" i="9"/>
  <c r="Q558" i="9"/>
  <c r="P558" i="9"/>
  <c r="O558" i="9"/>
  <c r="N558" i="9"/>
  <c r="I558" i="9"/>
  <c r="J558" i="9"/>
  <c r="K558" i="9"/>
  <c r="F558" i="9"/>
  <c r="F554" i="9"/>
  <c r="F555" i="9"/>
  <c r="S573" i="9"/>
  <c r="H573" i="9"/>
  <c r="H558" i="9" s="1"/>
  <c r="H618" i="9"/>
  <c r="H603" i="9"/>
  <c r="H588" i="9"/>
  <c r="G618" i="9"/>
  <c r="G603" i="9"/>
  <c r="G588" i="9"/>
  <c r="G573" i="9"/>
  <c r="G558" i="9" s="1"/>
  <c r="G492" i="9"/>
  <c r="J370" i="9"/>
  <c r="G432" i="9"/>
  <c r="G370" i="9"/>
  <c r="F432" i="9"/>
  <c r="F370" i="9"/>
  <c r="G94" i="9"/>
  <c r="S650" i="8"/>
  <c r="G650" i="8"/>
  <c r="G432" i="8"/>
  <c r="G94" i="8"/>
  <c r="G94" i="7"/>
  <c r="S603" i="7"/>
  <c r="S573" i="7"/>
  <c r="G603" i="7"/>
  <c r="G573" i="7"/>
  <c r="H492" i="7"/>
  <c r="H507" i="7"/>
  <c r="G507" i="7"/>
  <c r="G492" i="7"/>
  <c r="F556" i="9" l="1"/>
  <c r="V79" i="9"/>
  <c r="O77" i="22" l="1"/>
  <c r="P77" i="22"/>
  <c r="Q77" i="22"/>
  <c r="R77" i="22"/>
  <c r="S77" i="22"/>
  <c r="S97" i="15"/>
  <c r="S97" i="13"/>
  <c r="S82" i="13"/>
  <c r="S97" i="11"/>
  <c r="S82" i="11"/>
  <c r="S621" i="9" l="1"/>
  <c r="S544" i="23" s="1"/>
  <c r="S543" i="23" s="1"/>
  <c r="F61" i="9"/>
  <c r="F60" i="9"/>
  <c r="X528" i="15"/>
  <c r="X545" i="15"/>
  <c r="X562" i="15"/>
  <c r="X577" i="15"/>
  <c r="X592" i="15"/>
  <c r="S373" i="18"/>
  <c r="X528" i="18"/>
  <c r="X545" i="18"/>
  <c r="X562" i="18"/>
  <c r="X528" i="19"/>
  <c r="X545" i="19"/>
  <c r="X562" i="19"/>
  <c r="X577" i="19"/>
  <c r="X592" i="19"/>
  <c r="X607" i="19"/>
  <c r="X622" i="19"/>
  <c r="F62" i="9" l="1"/>
  <c r="E615" i="9"/>
  <c r="E600" i="9"/>
  <c r="E585" i="9"/>
  <c r="E570" i="9"/>
  <c r="E106" i="9"/>
  <c r="F111" i="9"/>
  <c r="E570" i="13" l="1"/>
  <c r="E570" i="15" l="1"/>
  <c r="F111" i="22" l="1"/>
  <c r="F156" i="22"/>
  <c r="F494" i="16" l="1"/>
  <c r="S435" i="16"/>
  <c r="F620" i="19" l="1"/>
  <c r="F590" i="19"/>
  <c r="V371" i="19"/>
  <c r="F585" i="11" l="1"/>
  <c r="G590" i="11"/>
  <c r="G591" i="11"/>
  <c r="F590" i="11"/>
  <c r="F620" i="8" l="1"/>
  <c r="E615" i="8"/>
  <c r="F605" i="8"/>
  <c r="F600" i="8"/>
  <c r="E600" i="8"/>
  <c r="F590" i="8"/>
  <c r="F585" i="8"/>
  <c r="E585" i="8"/>
  <c r="F575" i="8"/>
  <c r="F570" i="8"/>
  <c r="E570" i="8"/>
  <c r="V366" i="8"/>
  <c r="G370" i="8"/>
  <c r="E429" i="8"/>
  <c r="F434" i="8"/>
  <c r="S591" i="7" l="1"/>
  <c r="S591" i="9"/>
  <c r="S591" i="11"/>
  <c r="S591" i="13"/>
  <c r="S591" i="16"/>
  <c r="S621" i="16"/>
  <c r="S586" i="22"/>
  <c r="S591" i="22"/>
  <c r="S576" i="22"/>
  <c r="S573" i="22"/>
  <c r="S571" i="22"/>
  <c r="V573" i="22"/>
  <c r="S573" i="19"/>
  <c r="S571" i="19"/>
  <c r="V573" i="19"/>
  <c r="S586" i="19"/>
  <c r="S621" i="18" l="1"/>
  <c r="S616" i="18"/>
  <c r="S606" i="18"/>
  <c r="S603" i="18"/>
  <c r="S601" i="18"/>
  <c r="V603" i="18"/>
  <c r="S586" i="18"/>
  <c r="S571" i="18"/>
  <c r="V573" i="18"/>
  <c r="S616" i="16"/>
  <c r="S601" i="16"/>
  <c r="V603" i="16"/>
  <c r="S586" i="16"/>
  <c r="S571" i="16"/>
  <c r="V573" i="16"/>
  <c r="S586" i="15"/>
  <c r="F586" i="15"/>
  <c r="S576" i="15"/>
  <c r="V573" i="15"/>
  <c r="S571" i="15"/>
  <c r="S586" i="13"/>
  <c r="S573" i="13"/>
  <c r="S571" i="13"/>
  <c r="V573" i="13"/>
  <c r="S576" i="11"/>
  <c r="S571" i="11"/>
  <c r="S586" i="11"/>
  <c r="S586" i="9"/>
  <c r="S616" i="9"/>
  <c r="S539" i="23" s="1"/>
  <c r="S538" i="23" s="1"/>
  <c r="V603" i="9"/>
  <c r="S601" i="9"/>
  <c r="S603" i="9"/>
  <c r="S558" i="9" s="1"/>
  <c r="S571" i="9"/>
  <c r="V573" i="9"/>
  <c r="S576" i="7"/>
  <c r="S571" i="7"/>
  <c r="V573" i="7"/>
  <c r="S586" i="7"/>
  <c r="S142" i="18" l="1"/>
  <c r="S140" i="18"/>
  <c r="S137" i="18"/>
  <c r="S95" i="13" l="1"/>
  <c r="S92" i="13"/>
  <c r="S368" i="7" l="1"/>
  <c r="O368" i="7"/>
  <c r="P368" i="7"/>
  <c r="Q368" i="7"/>
  <c r="R368" i="7"/>
  <c r="S202" i="19" l="1"/>
  <c r="S197" i="19"/>
  <c r="S187" i="19"/>
  <c r="S185" i="19"/>
  <c r="S182" i="19"/>
  <c r="S230" i="18" l="1"/>
  <c r="S227" i="18"/>
  <c r="E13" i="7" l="1"/>
  <c r="E13" i="8"/>
  <c r="E13" i="9"/>
  <c r="E13" i="11"/>
  <c r="E13" i="18"/>
  <c r="E13" i="19"/>
  <c r="E13" i="22"/>
  <c r="D748" i="22"/>
  <c r="D747" i="22"/>
  <c r="D746" i="22"/>
  <c r="D745" i="22"/>
  <c r="D744" i="22"/>
  <c r="D743" i="22"/>
  <c r="D742" i="22"/>
  <c r="D741" i="22"/>
  <c r="D740" i="22"/>
  <c r="D739" i="22"/>
  <c r="D738" i="22"/>
  <c r="D737" i="22"/>
  <c r="D736" i="22"/>
  <c r="D735" i="22"/>
  <c r="D734" i="22"/>
  <c r="D733" i="22"/>
  <c r="D732" i="22"/>
  <c r="D731" i="22"/>
  <c r="D730" i="22"/>
  <c r="D729" i="22"/>
  <c r="D728" i="22"/>
  <c r="D727" i="22"/>
  <c r="D726" i="22"/>
  <c r="D725" i="22"/>
  <c r="D724" i="22"/>
  <c r="D723" i="22"/>
  <c r="D722" i="22"/>
  <c r="D721" i="22"/>
  <c r="D720" i="22"/>
  <c r="D719" i="22"/>
  <c r="D718" i="22"/>
  <c r="D717" i="22"/>
  <c r="D716" i="22"/>
  <c r="D715" i="22"/>
  <c r="D714" i="22"/>
  <c r="D713" i="22"/>
  <c r="D712" i="22"/>
  <c r="D711" i="22"/>
  <c r="D710" i="22"/>
  <c r="D709" i="22"/>
  <c r="D708" i="22"/>
  <c r="D707" i="22"/>
  <c r="D706" i="22"/>
  <c r="D705" i="22"/>
  <c r="D704" i="22"/>
  <c r="D703" i="22"/>
  <c r="D702" i="22"/>
  <c r="D701" i="22"/>
  <c r="D700" i="22"/>
  <c r="D699" i="22"/>
  <c r="D698" i="22"/>
  <c r="D697" i="22"/>
  <c r="D696" i="22"/>
  <c r="D695" i="22"/>
  <c r="D694" i="22"/>
  <c r="D693" i="22"/>
  <c r="D692" i="22"/>
  <c r="D691" i="22"/>
  <c r="D690" i="22"/>
  <c r="D689" i="22"/>
  <c r="D688" i="22"/>
  <c r="D687" i="22"/>
  <c r="D686" i="22"/>
  <c r="D685" i="22"/>
  <c r="D684" i="22"/>
  <c r="D683" i="22"/>
  <c r="D682" i="22"/>
  <c r="D681" i="22"/>
  <c r="D680" i="22"/>
  <c r="D679" i="22"/>
  <c r="D678" i="22"/>
  <c r="D677" i="22"/>
  <c r="D676" i="22"/>
  <c r="D675" i="22"/>
  <c r="D674" i="22"/>
  <c r="D673" i="22"/>
  <c r="D672" i="22"/>
  <c r="D671" i="22"/>
  <c r="D670" i="22"/>
  <c r="D669" i="22"/>
  <c r="D668" i="22"/>
  <c r="D667" i="22"/>
  <c r="D666" i="22"/>
  <c r="D665" i="22"/>
  <c r="D664" i="22"/>
  <c r="D663" i="22"/>
  <c r="D662" i="22"/>
  <c r="D661" i="22"/>
  <c r="D660" i="22"/>
  <c r="D659" i="22"/>
  <c r="D658" i="22"/>
  <c r="D657" i="22"/>
  <c r="D656" i="22"/>
  <c r="D655" i="22"/>
  <c r="D654" i="22"/>
  <c r="D653" i="22"/>
  <c r="D652" i="22"/>
  <c r="D651" i="22"/>
  <c r="D650" i="22"/>
  <c r="D649" i="22"/>
  <c r="D648" i="22"/>
  <c r="D647" i="22"/>
  <c r="D646" i="22"/>
  <c r="D645" i="22"/>
  <c r="D644" i="22"/>
  <c r="D643" i="22"/>
  <c r="D642" i="22"/>
  <c r="D641" i="22"/>
  <c r="D640" i="22"/>
  <c r="D639" i="22"/>
  <c r="D638" i="22"/>
  <c r="D637" i="22"/>
  <c r="D636" i="22"/>
  <c r="D635" i="22"/>
  <c r="D634" i="22"/>
  <c r="D633" i="22"/>
  <c r="D632" i="22"/>
  <c r="D631" i="22"/>
  <c r="D630" i="22"/>
  <c r="D629" i="22"/>
  <c r="D628" i="22"/>
  <c r="D627" i="22"/>
  <c r="D626" i="22"/>
  <c r="D625" i="22"/>
  <c r="D624" i="22"/>
  <c r="D623" i="22"/>
  <c r="D622" i="22"/>
  <c r="D621" i="22"/>
  <c r="D620" i="22"/>
  <c r="D619" i="22"/>
  <c r="D618" i="22"/>
  <c r="D617" i="22"/>
  <c r="D616" i="22"/>
  <c r="D615" i="22"/>
  <c r="D614" i="22"/>
  <c r="D613" i="22"/>
  <c r="D612" i="22"/>
  <c r="D611" i="22"/>
  <c r="D610" i="22"/>
  <c r="D609" i="22"/>
  <c r="D608" i="22"/>
  <c r="D607" i="22"/>
  <c r="D606" i="22"/>
  <c r="D605" i="22"/>
  <c r="D604" i="22"/>
  <c r="D603" i="22"/>
  <c r="D602" i="22"/>
  <c r="D601" i="22"/>
  <c r="D600" i="22"/>
  <c r="D599" i="22"/>
  <c r="D598" i="22"/>
  <c r="D597" i="22"/>
  <c r="D596" i="22"/>
  <c r="D595" i="22"/>
  <c r="D594" i="22"/>
  <c r="D593" i="22"/>
  <c r="D592" i="22"/>
  <c r="D591" i="22"/>
  <c r="D590" i="22"/>
  <c r="D589" i="22"/>
  <c r="D588" i="22"/>
  <c r="D587" i="22"/>
  <c r="D586" i="22"/>
  <c r="D585" i="22"/>
  <c r="D584" i="22"/>
  <c r="D583" i="22"/>
  <c r="D582" i="22"/>
  <c r="D581" i="22"/>
  <c r="D580" i="22"/>
  <c r="D579" i="22"/>
  <c r="D578" i="22"/>
  <c r="D577" i="22"/>
  <c r="D576" i="22"/>
  <c r="D575" i="22"/>
  <c r="D574" i="22"/>
  <c r="D573" i="22"/>
  <c r="D572" i="22"/>
  <c r="D571" i="22"/>
  <c r="D570" i="22"/>
  <c r="D569" i="22"/>
  <c r="D568" i="22"/>
  <c r="D567" i="22"/>
  <c r="D566" i="22"/>
  <c r="D565" i="22"/>
  <c r="D564" i="22"/>
  <c r="D563" i="22"/>
  <c r="D562" i="22"/>
  <c r="D561" i="22"/>
  <c r="D560" i="22"/>
  <c r="D559" i="22"/>
  <c r="D558" i="22"/>
  <c r="D557" i="22"/>
  <c r="D556" i="22"/>
  <c r="D555" i="22"/>
  <c r="D554" i="22"/>
  <c r="D553" i="22"/>
  <c r="D552" i="22"/>
  <c r="D551" i="22"/>
  <c r="D550" i="22"/>
  <c r="D549" i="22"/>
  <c r="D548" i="22"/>
  <c r="D547" i="22"/>
  <c r="D546" i="22"/>
  <c r="D545" i="22"/>
  <c r="D544" i="22"/>
  <c r="D543" i="22"/>
  <c r="D542" i="22"/>
  <c r="D541" i="22"/>
  <c r="D540" i="22"/>
  <c r="D539" i="22"/>
  <c r="D538" i="22"/>
  <c r="D537" i="22"/>
  <c r="D536" i="22"/>
  <c r="D535" i="22"/>
  <c r="D534" i="22"/>
  <c r="D533" i="22"/>
  <c r="D532" i="22"/>
  <c r="D531" i="22"/>
  <c r="D530" i="22"/>
  <c r="D529" i="22"/>
  <c r="D528" i="22"/>
  <c r="D527" i="22"/>
  <c r="D526" i="22"/>
  <c r="D525" i="22"/>
  <c r="D524" i="22"/>
  <c r="D523" i="22"/>
  <c r="D522" i="22"/>
  <c r="D521" i="22"/>
  <c r="D520" i="22"/>
  <c r="D519" i="22"/>
  <c r="D518" i="22"/>
  <c r="D517" i="22"/>
  <c r="D516" i="22"/>
  <c r="D515" i="22"/>
  <c r="D514" i="22"/>
  <c r="D513" i="22"/>
  <c r="D512" i="22"/>
  <c r="D511" i="22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748" i="19"/>
  <c r="D747" i="19"/>
  <c r="D746" i="19"/>
  <c r="D745" i="19"/>
  <c r="D744" i="19"/>
  <c r="D743" i="19"/>
  <c r="D742" i="19"/>
  <c r="D741" i="19"/>
  <c r="D740" i="19"/>
  <c r="D739" i="19"/>
  <c r="D738" i="19"/>
  <c r="D737" i="19"/>
  <c r="D736" i="19"/>
  <c r="D735" i="19"/>
  <c r="D734" i="19"/>
  <c r="D733" i="19"/>
  <c r="D732" i="19"/>
  <c r="D731" i="19"/>
  <c r="D730" i="19"/>
  <c r="D729" i="19"/>
  <c r="D728" i="19"/>
  <c r="D727" i="19"/>
  <c r="D726" i="19"/>
  <c r="D725" i="19"/>
  <c r="D724" i="19"/>
  <c r="D723" i="19"/>
  <c r="D722" i="19"/>
  <c r="D721" i="19"/>
  <c r="D720" i="19"/>
  <c r="D719" i="19"/>
  <c r="D718" i="19"/>
  <c r="D717" i="19"/>
  <c r="D716" i="19"/>
  <c r="D715" i="19"/>
  <c r="D714" i="19"/>
  <c r="D713" i="19"/>
  <c r="D712" i="19"/>
  <c r="D711" i="19"/>
  <c r="D710" i="19"/>
  <c r="D709" i="19"/>
  <c r="D708" i="19"/>
  <c r="D707" i="19"/>
  <c r="D706" i="19"/>
  <c r="D705" i="19"/>
  <c r="D704" i="19"/>
  <c r="D703" i="19"/>
  <c r="D702" i="19"/>
  <c r="D701" i="19"/>
  <c r="D700" i="19"/>
  <c r="D699" i="19"/>
  <c r="D698" i="19"/>
  <c r="D697" i="19"/>
  <c r="D696" i="19"/>
  <c r="D695" i="19"/>
  <c r="D694" i="19"/>
  <c r="D693" i="19"/>
  <c r="D692" i="19"/>
  <c r="D691" i="19"/>
  <c r="D690" i="19"/>
  <c r="D689" i="19"/>
  <c r="D688" i="19"/>
  <c r="D687" i="19"/>
  <c r="D686" i="19"/>
  <c r="D685" i="19"/>
  <c r="D684" i="19"/>
  <c r="D683" i="19"/>
  <c r="D682" i="19"/>
  <c r="D681" i="19"/>
  <c r="D680" i="19"/>
  <c r="D679" i="19"/>
  <c r="D678" i="19"/>
  <c r="D677" i="19"/>
  <c r="D676" i="19"/>
  <c r="D675" i="19"/>
  <c r="D674" i="19"/>
  <c r="D673" i="19"/>
  <c r="D672" i="19"/>
  <c r="D671" i="19"/>
  <c r="D670" i="19"/>
  <c r="D669" i="19"/>
  <c r="D668" i="19"/>
  <c r="D667" i="19"/>
  <c r="D666" i="19"/>
  <c r="D665" i="19"/>
  <c r="D664" i="19"/>
  <c r="D663" i="19"/>
  <c r="D662" i="19"/>
  <c r="D661" i="19"/>
  <c r="D660" i="19"/>
  <c r="D659" i="19"/>
  <c r="D658" i="19"/>
  <c r="D657" i="19"/>
  <c r="D656" i="19"/>
  <c r="D655" i="19"/>
  <c r="D654" i="19"/>
  <c r="D653" i="19"/>
  <c r="D652" i="19"/>
  <c r="D651" i="19"/>
  <c r="D650" i="19"/>
  <c r="D649" i="19"/>
  <c r="D648" i="19"/>
  <c r="D647" i="19"/>
  <c r="D646" i="19"/>
  <c r="D645" i="19"/>
  <c r="D644" i="19"/>
  <c r="D643" i="19"/>
  <c r="D642" i="19"/>
  <c r="D641" i="19"/>
  <c r="D640" i="19"/>
  <c r="D639" i="19"/>
  <c r="D638" i="19"/>
  <c r="D637" i="19"/>
  <c r="D636" i="19"/>
  <c r="D635" i="19"/>
  <c r="D634" i="19"/>
  <c r="D633" i="19"/>
  <c r="D632" i="19"/>
  <c r="D631" i="19"/>
  <c r="D630" i="19"/>
  <c r="D629" i="19"/>
  <c r="D628" i="19"/>
  <c r="D627" i="19"/>
  <c r="D626" i="19"/>
  <c r="D625" i="19"/>
  <c r="D624" i="19"/>
  <c r="D623" i="19"/>
  <c r="D622" i="19"/>
  <c r="D621" i="19"/>
  <c r="D620" i="19"/>
  <c r="D619" i="19"/>
  <c r="D618" i="19"/>
  <c r="D617" i="19"/>
  <c r="D616" i="19"/>
  <c r="D615" i="19"/>
  <c r="D614" i="19"/>
  <c r="D613" i="19"/>
  <c r="D612" i="19"/>
  <c r="D611" i="19"/>
  <c r="D610" i="19"/>
  <c r="D609" i="19"/>
  <c r="D608" i="19"/>
  <c r="D607" i="19"/>
  <c r="D606" i="19"/>
  <c r="D605" i="19"/>
  <c r="D604" i="19"/>
  <c r="D603" i="19"/>
  <c r="D602" i="19"/>
  <c r="D601" i="19"/>
  <c r="D600" i="19"/>
  <c r="D599" i="19"/>
  <c r="D598" i="19"/>
  <c r="D597" i="19"/>
  <c r="D596" i="19"/>
  <c r="D595" i="19"/>
  <c r="D594" i="19"/>
  <c r="D593" i="19"/>
  <c r="D592" i="19"/>
  <c r="D591" i="19"/>
  <c r="D590" i="19"/>
  <c r="D589" i="19"/>
  <c r="D588" i="19"/>
  <c r="D587" i="19"/>
  <c r="D586" i="19"/>
  <c r="D585" i="19"/>
  <c r="D584" i="19"/>
  <c r="D583" i="19"/>
  <c r="D582" i="19"/>
  <c r="D581" i="19"/>
  <c r="D580" i="19"/>
  <c r="D579" i="19"/>
  <c r="D578" i="19"/>
  <c r="D577" i="19"/>
  <c r="D576" i="19"/>
  <c r="D575" i="19"/>
  <c r="D574" i="19"/>
  <c r="D573" i="19"/>
  <c r="D572" i="19"/>
  <c r="D571" i="19"/>
  <c r="D570" i="19"/>
  <c r="D569" i="19"/>
  <c r="D568" i="19"/>
  <c r="D567" i="19"/>
  <c r="D566" i="19"/>
  <c r="D565" i="19"/>
  <c r="D564" i="19"/>
  <c r="D563" i="19"/>
  <c r="D562" i="19"/>
  <c r="D561" i="19"/>
  <c r="D560" i="19"/>
  <c r="D559" i="19"/>
  <c r="D558" i="19"/>
  <c r="D557" i="19"/>
  <c r="D556" i="19"/>
  <c r="D555" i="19"/>
  <c r="D554" i="19"/>
  <c r="D553" i="19"/>
  <c r="D552" i="19"/>
  <c r="D551" i="19"/>
  <c r="D550" i="19"/>
  <c r="D549" i="19"/>
  <c r="D548" i="19"/>
  <c r="D547" i="19"/>
  <c r="D546" i="19"/>
  <c r="D545" i="19"/>
  <c r="D544" i="19"/>
  <c r="D543" i="19"/>
  <c r="D542" i="19"/>
  <c r="D541" i="19"/>
  <c r="D540" i="19"/>
  <c r="D539" i="19"/>
  <c r="D538" i="19"/>
  <c r="D537" i="19"/>
  <c r="D536" i="19"/>
  <c r="D535" i="19"/>
  <c r="D534" i="19"/>
  <c r="D533" i="19"/>
  <c r="D532" i="19"/>
  <c r="D531" i="19"/>
  <c r="D530" i="19"/>
  <c r="D529" i="19"/>
  <c r="D528" i="19"/>
  <c r="D527" i="19"/>
  <c r="D526" i="19"/>
  <c r="D525" i="19"/>
  <c r="D524" i="19"/>
  <c r="D523" i="19"/>
  <c r="D522" i="19"/>
  <c r="D521" i="19"/>
  <c r="D520" i="19"/>
  <c r="D519" i="19"/>
  <c r="D518" i="19"/>
  <c r="D517" i="19"/>
  <c r="D516" i="19"/>
  <c r="D515" i="19"/>
  <c r="D514" i="19"/>
  <c r="D513" i="19"/>
  <c r="D512" i="19"/>
  <c r="D511" i="19"/>
  <c r="D510" i="19"/>
  <c r="D509" i="19"/>
  <c r="D508" i="19"/>
  <c r="D507" i="19"/>
  <c r="D506" i="19"/>
  <c r="D505" i="19"/>
  <c r="D504" i="19"/>
  <c r="D503" i="19"/>
  <c r="D502" i="19"/>
  <c r="D501" i="19"/>
  <c r="D500" i="19"/>
  <c r="D499" i="19"/>
  <c r="D498" i="19"/>
  <c r="D497" i="19"/>
  <c r="D496" i="19"/>
  <c r="D495" i="19"/>
  <c r="D494" i="19"/>
  <c r="D493" i="19"/>
  <c r="D492" i="19"/>
  <c r="D491" i="19"/>
  <c r="D490" i="19"/>
  <c r="D489" i="19"/>
  <c r="D488" i="19"/>
  <c r="D487" i="19"/>
  <c r="D486" i="19"/>
  <c r="D485" i="19"/>
  <c r="D484" i="19"/>
  <c r="D483" i="19"/>
  <c r="D482" i="19"/>
  <c r="D481" i="19"/>
  <c r="D480" i="19"/>
  <c r="D479" i="19"/>
  <c r="D478" i="19"/>
  <c r="D477" i="19"/>
  <c r="D476" i="19"/>
  <c r="D475" i="19"/>
  <c r="D474" i="19"/>
  <c r="D473" i="19"/>
  <c r="D472" i="19"/>
  <c r="D471" i="19"/>
  <c r="D470" i="19"/>
  <c r="D469" i="19"/>
  <c r="D468" i="19"/>
  <c r="D467" i="19"/>
  <c r="D466" i="19"/>
  <c r="D465" i="19"/>
  <c r="D464" i="19"/>
  <c r="D463" i="19"/>
  <c r="D462" i="19"/>
  <c r="D461" i="19"/>
  <c r="D460" i="19"/>
  <c r="D459" i="19"/>
  <c r="D458" i="19"/>
  <c r="D457" i="19"/>
  <c r="D456" i="19"/>
  <c r="D455" i="19"/>
  <c r="D454" i="19"/>
  <c r="D453" i="19"/>
  <c r="D452" i="19"/>
  <c r="D451" i="19"/>
  <c r="D450" i="19"/>
  <c r="D449" i="19"/>
  <c r="D448" i="19"/>
  <c r="D447" i="19"/>
  <c r="D446" i="19"/>
  <c r="D445" i="19"/>
  <c r="D444" i="19"/>
  <c r="D443" i="19"/>
  <c r="D442" i="19"/>
  <c r="D441" i="19"/>
  <c r="D440" i="19"/>
  <c r="D439" i="19"/>
  <c r="D438" i="19"/>
  <c r="D437" i="19"/>
  <c r="D436" i="19"/>
  <c r="D435" i="19"/>
  <c r="D434" i="19"/>
  <c r="D433" i="19"/>
  <c r="D432" i="19"/>
  <c r="D431" i="19"/>
  <c r="D430" i="19"/>
  <c r="D429" i="19"/>
  <c r="D428" i="19"/>
  <c r="D427" i="19"/>
  <c r="D426" i="19"/>
  <c r="D425" i="19"/>
  <c r="D424" i="19"/>
  <c r="D423" i="19"/>
  <c r="D422" i="19"/>
  <c r="D421" i="19"/>
  <c r="D420" i="19"/>
  <c r="D419" i="19"/>
  <c r="D418" i="19"/>
  <c r="D417" i="19"/>
  <c r="D416" i="19"/>
  <c r="D415" i="19"/>
  <c r="D414" i="19"/>
  <c r="D413" i="19"/>
  <c r="D412" i="19"/>
  <c r="D411" i="19"/>
  <c r="D410" i="19"/>
  <c r="D409" i="19"/>
  <c r="D408" i="19"/>
  <c r="D407" i="19"/>
  <c r="D406" i="19"/>
  <c r="D405" i="19"/>
  <c r="D404" i="19"/>
  <c r="D403" i="19"/>
  <c r="D402" i="19"/>
  <c r="D401" i="19"/>
  <c r="D400" i="19"/>
  <c r="D399" i="19"/>
  <c r="D398" i="19"/>
  <c r="D397" i="19"/>
  <c r="D396" i="19"/>
  <c r="D395" i="19"/>
  <c r="D394" i="19"/>
  <c r="D393" i="19"/>
  <c r="D392" i="19"/>
  <c r="D391" i="19"/>
  <c r="D390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D377" i="19"/>
  <c r="D376" i="19"/>
  <c r="D375" i="19"/>
  <c r="D374" i="19"/>
  <c r="D373" i="19"/>
  <c r="D372" i="19"/>
  <c r="D371" i="19"/>
  <c r="D370" i="19"/>
  <c r="D369" i="19"/>
  <c r="D368" i="19"/>
  <c r="D367" i="19"/>
  <c r="D366" i="19"/>
  <c r="D365" i="19"/>
  <c r="D364" i="19"/>
  <c r="D363" i="19"/>
  <c r="D362" i="19"/>
  <c r="D361" i="19"/>
  <c r="D360" i="19"/>
  <c r="D359" i="19"/>
  <c r="D358" i="19"/>
  <c r="D357" i="19"/>
  <c r="D356" i="19"/>
  <c r="D355" i="19"/>
  <c r="D354" i="19"/>
  <c r="D353" i="19"/>
  <c r="D352" i="19"/>
  <c r="D351" i="19"/>
  <c r="D350" i="19"/>
  <c r="D349" i="19"/>
  <c r="D348" i="19"/>
  <c r="D347" i="19"/>
  <c r="D346" i="19"/>
  <c r="D345" i="19"/>
  <c r="D344" i="19"/>
  <c r="D343" i="19"/>
  <c r="D342" i="19"/>
  <c r="D341" i="19"/>
  <c r="D340" i="19"/>
  <c r="D339" i="19"/>
  <c r="D338" i="19"/>
  <c r="D337" i="19"/>
  <c r="D336" i="19"/>
  <c r="D335" i="19"/>
  <c r="D334" i="19"/>
  <c r="D333" i="19"/>
  <c r="D332" i="19"/>
  <c r="D331" i="19"/>
  <c r="D330" i="19"/>
  <c r="D284" i="19"/>
  <c r="D283" i="19"/>
  <c r="D282" i="19"/>
  <c r="D281" i="19"/>
  <c r="D280" i="19"/>
  <c r="D279" i="19"/>
  <c r="D278" i="19"/>
  <c r="D277" i="19"/>
  <c r="D276" i="19"/>
  <c r="D275" i="19"/>
  <c r="D274" i="19"/>
  <c r="D273" i="19"/>
  <c r="D272" i="19"/>
  <c r="D271" i="19"/>
  <c r="D270" i="19"/>
  <c r="D269" i="19"/>
  <c r="D268" i="19"/>
  <c r="D267" i="19"/>
  <c r="D266" i="19"/>
  <c r="D265" i="19"/>
  <c r="D264" i="19"/>
  <c r="D263" i="19"/>
  <c r="D262" i="19"/>
  <c r="D261" i="19"/>
  <c r="D260" i="19"/>
  <c r="D259" i="19"/>
  <c r="D258" i="19"/>
  <c r="D257" i="19"/>
  <c r="D256" i="19"/>
  <c r="D255" i="19"/>
  <c r="D254" i="19"/>
  <c r="D253" i="19"/>
  <c r="D252" i="19"/>
  <c r="D251" i="19"/>
  <c r="D250" i="19"/>
  <c r="D249" i="19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3" i="19"/>
  <c r="D232" i="19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4" i="19"/>
  <c r="D203" i="19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1" i="19"/>
  <c r="D160" i="19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6" i="19"/>
  <c r="D135" i="19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8" i="19"/>
  <c r="D107" i="19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748" i="18"/>
  <c r="D747" i="18"/>
  <c r="D746" i="18"/>
  <c r="D745" i="18"/>
  <c r="D744" i="18"/>
  <c r="D743" i="18"/>
  <c r="D742" i="18"/>
  <c r="D741" i="18"/>
  <c r="D740" i="18"/>
  <c r="D739" i="18"/>
  <c r="D738" i="18"/>
  <c r="D737" i="18"/>
  <c r="D736" i="18"/>
  <c r="D735" i="18"/>
  <c r="D734" i="18"/>
  <c r="D733" i="18"/>
  <c r="D732" i="18"/>
  <c r="D731" i="18"/>
  <c r="D730" i="18"/>
  <c r="D729" i="18"/>
  <c r="D728" i="18"/>
  <c r="D727" i="18"/>
  <c r="D726" i="18"/>
  <c r="D725" i="18"/>
  <c r="D724" i="18"/>
  <c r="D723" i="18"/>
  <c r="D722" i="18"/>
  <c r="D721" i="18"/>
  <c r="D720" i="18"/>
  <c r="D719" i="18"/>
  <c r="D718" i="18"/>
  <c r="D717" i="18"/>
  <c r="D716" i="18"/>
  <c r="D715" i="18"/>
  <c r="D714" i="18"/>
  <c r="D713" i="18"/>
  <c r="D712" i="18"/>
  <c r="D711" i="18"/>
  <c r="D710" i="18"/>
  <c r="D709" i="18"/>
  <c r="D708" i="18"/>
  <c r="D707" i="18"/>
  <c r="D706" i="18"/>
  <c r="D705" i="18"/>
  <c r="D704" i="18"/>
  <c r="D703" i="18"/>
  <c r="D702" i="18"/>
  <c r="D701" i="18"/>
  <c r="D700" i="18"/>
  <c r="D699" i="18"/>
  <c r="D698" i="18"/>
  <c r="D697" i="18"/>
  <c r="D696" i="18"/>
  <c r="D695" i="18"/>
  <c r="D694" i="18"/>
  <c r="D693" i="18"/>
  <c r="D692" i="18"/>
  <c r="D691" i="18"/>
  <c r="D690" i="18"/>
  <c r="D689" i="18"/>
  <c r="D688" i="18"/>
  <c r="D687" i="18"/>
  <c r="D686" i="18"/>
  <c r="D685" i="18"/>
  <c r="D684" i="18"/>
  <c r="D683" i="18"/>
  <c r="D682" i="18"/>
  <c r="D681" i="18"/>
  <c r="D680" i="18"/>
  <c r="D679" i="18"/>
  <c r="D678" i="18"/>
  <c r="D677" i="18"/>
  <c r="D676" i="18"/>
  <c r="D675" i="18"/>
  <c r="D674" i="18"/>
  <c r="D673" i="18"/>
  <c r="D672" i="18"/>
  <c r="D671" i="18"/>
  <c r="D670" i="18"/>
  <c r="D669" i="18"/>
  <c r="D668" i="18"/>
  <c r="D667" i="18"/>
  <c r="D666" i="18"/>
  <c r="D665" i="18"/>
  <c r="D664" i="18"/>
  <c r="D663" i="18"/>
  <c r="D662" i="18"/>
  <c r="D661" i="18"/>
  <c r="D660" i="18"/>
  <c r="D659" i="18"/>
  <c r="D658" i="18"/>
  <c r="D657" i="18"/>
  <c r="D656" i="18"/>
  <c r="D655" i="18"/>
  <c r="D654" i="18"/>
  <c r="D653" i="18"/>
  <c r="D652" i="18"/>
  <c r="D651" i="18"/>
  <c r="D650" i="18"/>
  <c r="D649" i="18"/>
  <c r="D648" i="18"/>
  <c r="D647" i="18"/>
  <c r="D646" i="18"/>
  <c r="D645" i="18"/>
  <c r="D644" i="18"/>
  <c r="D643" i="18"/>
  <c r="D642" i="18"/>
  <c r="D641" i="18"/>
  <c r="D640" i="18"/>
  <c r="D639" i="18"/>
  <c r="D638" i="18"/>
  <c r="D637" i="18"/>
  <c r="D636" i="18"/>
  <c r="D635" i="18"/>
  <c r="D634" i="18"/>
  <c r="D633" i="18"/>
  <c r="D632" i="18"/>
  <c r="D631" i="18"/>
  <c r="D630" i="18"/>
  <c r="D629" i="18"/>
  <c r="D628" i="18"/>
  <c r="D627" i="18"/>
  <c r="D626" i="18"/>
  <c r="D625" i="18"/>
  <c r="D624" i="18"/>
  <c r="D623" i="18"/>
  <c r="D622" i="18"/>
  <c r="D621" i="18"/>
  <c r="D620" i="18"/>
  <c r="D619" i="18"/>
  <c r="D618" i="18"/>
  <c r="D617" i="18"/>
  <c r="D616" i="18"/>
  <c r="D615" i="18"/>
  <c r="D614" i="18"/>
  <c r="D613" i="18"/>
  <c r="D612" i="18"/>
  <c r="D611" i="18"/>
  <c r="D610" i="18"/>
  <c r="D609" i="18"/>
  <c r="D608" i="18"/>
  <c r="D607" i="18"/>
  <c r="D606" i="18"/>
  <c r="D605" i="18"/>
  <c r="D604" i="18"/>
  <c r="D603" i="18"/>
  <c r="D602" i="18"/>
  <c r="D601" i="18"/>
  <c r="D600" i="18"/>
  <c r="D599" i="18"/>
  <c r="D598" i="18"/>
  <c r="D597" i="18"/>
  <c r="D596" i="18"/>
  <c r="D595" i="18"/>
  <c r="D594" i="18"/>
  <c r="D593" i="18"/>
  <c r="D592" i="18"/>
  <c r="D591" i="18"/>
  <c r="D590" i="18"/>
  <c r="D589" i="18"/>
  <c r="D588" i="18"/>
  <c r="D587" i="18"/>
  <c r="D586" i="18"/>
  <c r="D585" i="18"/>
  <c r="D584" i="18"/>
  <c r="D583" i="18"/>
  <c r="D582" i="18"/>
  <c r="D581" i="18"/>
  <c r="D580" i="18"/>
  <c r="D579" i="18"/>
  <c r="D578" i="18"/>
  <c r="D577" i="18"/>
  <c r="D576" i="18"/>
  <c r="D575" i="18"/>
  <c r="D574" i="18"/>
  <c r="D573" i="18"/>
  <c r="D572" i="18"/>
  <c r="D571" i="18"/>
  <c r="D570" i="18"/>
  <c r="D569" i="18"/>
  <c r="D568" i="18"/>
  <c r="D567" i="18"/>
  <c r="D566" i="18"/>
  <c r="D565" i="18"/>
  <c r="D564" i="18"/>
  <c r="D563" i="18"/>
  <c r="D562" i="18"/>
  <c r="D561" i="18"/>
  <c r="D560" i="18"/>
  <c r="D559" i="18"/>
  <c r="D558" i="18"/>
  <c r="D557" i="18"/>
  <c r="D556" i="18"/>
  <c r="D555" i="18"/>
  <c r="D554" i="18"/>
  <c r="D553" i="18"/>
  <c r="D552" i="18"/>
  <c r="D551" i="18"/>
  <c r="D550" i="18"/>
  <c r="D549" i="18"/>
  <c r="D548" i="18"/>
  <c r="D547" i="18"/>
  <c r="D546" i="18"/>
  <c r="D545" i="18"/>
  <c r="D544" i="18"/>
  <c r="D543" i="18"/>
  <c r="D542" i="18"/>
  <c r="D541" i="18"/>
  <c r="D540" i="18"/>
  <c r="D539" i="18"/>
  <c r="D538" i="18"/>
  <c r="D537" i="18"/>
  <c r="D536" i="18"/>
  <c r="D535" i="18"/>
  <c r="D534" i="18"/>
  <c r="D533" i="18"/>
  <c r="D532" i="18"/>
  <c r="D531" i="18"/>
  <c r="D530" i="18"/>
  <c r="D529" i="18"/>
  <c r="D528" i="18"/>
  <c r="D527" i="18"/>
  <c r="D526" i="18"/>
  <c r="D525" i="18"/>
  <c r="D524" i="18"/>
  <c r="D523" i="18"/>
  <c r="D522" i="18"/>
  <c r="D521" i="18"/>
  <c r="D520" i="18"/>
  <c r="D519" i="18"/>
  <c r="D518" i="18"/>
  <c r="D517" i="18"/>
  <c r="D516" i="18"/>
  <c r="D515" i="18"/>
  <c r="D514" i="18"/>
  <c r="D513" i="18"/>
  <c r="D512" i="18"/>
  <c r="D511" i="18"/>
  <c r="D510" i="18"/>
  <c r="D509" i="18"/>
  <c r="D508" i="18"/>
  <c r="D507" i="18"/>
  <c r="D506" i="18"/>
  <c r="D505" i="18"/>
  <c r="D504" i="18"/>
  <c r="D503" i="18"/>
  <c r="D502" i="18"/>
  <c r="D501" i="18"/>
  <c r="D500" i="18"/>
  <c r="D499" i="18"/>
  <c r="D498" i="18"/>
  <c r="D497" i="18"/>
  <c r="D496" i="18"/>
  <c r="D495" i="18"/>
  <c r="D494" i="18"/>
  <c r="D493" i="18"/>
  <c r="D492" i="18"/>
  <c r="D491" i="18"/>
  <c r="D490" i="18"/>
  <c r="D489" i="18"/>
  <c r="D488" i="18"/>
  <c r="D487" i="18"/>
  <c r="D486" i="18"/>
  <c r="D485" i="18"/>
  <c r="D484" i="18"/>
  <c r="D483" i="18"/>
  <c r="D482" i="18"/>
  <c r="D481" i="18"/>
  <c r="D480" i="18"/>
  <c r="D479" i="18"/>
  <c r="D478" i="18"/>
  <c r="D477" i="18"/>
  <c r="D476" i="18"/>
  <c r="D475" i="18"/>
  <c r="D474" i="18"/>
  <c r="D473" i="18"/>
  <c r="D472" i="18"/>
  <c r="D471" i="18"/>
  <c r="D470" i="18"/>
  <c r="D469" i="18"/>
  <c r="D468" i="18"/>
  <c r="D467" i="18"/>
  <c r="D466" i="18"/>
  <c r="D465" i="18"/>
  <c r="D464" i="18"/>
  <c r="D463" i="18"/>
  <c r="D462" i="18"/>
  <c r="D461" i="18"/>
  <c r="D460" i="18"/>
  <c r="D459" i="18"/>
  <c r="D458" i="18"/>
  <c r="D457" i="18"/>
  <c r="D456" i="18"/>
  <c r="D455" i="18"/>
  <c r="D454" i="18"/>
  <c r="D453" i="18"/>
  <c r="D452" i="18"/>
  <c r="D451" i="18"/>
  <c r="D450" i="18"/>
  <c r="D449" i="18"/>
  <c r="D448" i="18"/>
  <c r="D447" i="18"/>
  <c r="D446" i="18"/>
  <c r="D445" i="18"/>
  <c r="D444" i="18"/>
  <c r="D443" i="18"/>
  <c r="D442" i="18"/>
  <c r="D441" i="18"/>
  <c r="D440" i="18"/>
  <c r="D439" i="18"/>
  <c r="D438" i="18"/>
  <c r="D437" i="18"/>
  <c r="D436" i="18"/>
  <c r="D435" i="18"/>
  <c r="D434" i="18"/>
  <c r="D433" i="18"/>
  <c r="D432" i="18"/>
  <c r="D431" i="18"/>
  <c r="D430" i="18"/>
  <c r="D429" i="18"/>
  <c r="D428" i="18"/>
  <c r="D427" i="18"/>
  <c r="D426" i="18"/>
  <c r="D425" i="18"/>
  <c r="D424" i="18"/>
  <c r="D423" i="18"/>
  <c r="D422" i="18"/>
  <c r="D421" i="18"/>
  <c r="D420" i="18"/>
  <c r="D419" i="18"/>
  <c r="D418" i="18"/>
  <c r="D417" i="18"/>
  <c r="D416" i="18"/>
  <c r="D415" i="18"/>
  <c r="D414" i="18"/>
  <c r="D413" i="18"/>
  <c r="D412" i="18"/>
  <c r="D411" i="18"/>
  <c r="D410" i="18"/>
  <c r="D409" i="18"/>
  <c r="D408" i="18"/>
  <c r="D407" i="18"/>
  <c r="D406" i="18"/>
  <c r="D405" i="18"/>
  <c r="D404" i="18"/>
  <c r="D403" i="18"/>
  <c r="D402" i="18"/>
  <c r="D401" i="18"/>
  <c r="D400" i="18"/>
  <c r="D399" i="18"/>
  <c r="D398" i="18"/>
  <c r="D397" i="18"/>
  <c r="D396" i="18"/>
  <c r="D395" i="18"/>
  <c r="D394" i="18"/>
  <c r="D393" i="18"/>
  <c r="D392" i="18"/>
  <c r="D391" i="18"/>
  <c r="D390" i="18"/>
  <c r="D389" i="18"/>
  <c r="D388" i="18"/>
  <c r="D387" i="18"/>
  <c r="D386" i="18"/>
  <c r="D385" i="18"/>
  <c r="D384" i="18"/>
  <c r="D383" i="18"/>
  <c r="D382" i="18"/>
  <c r="D381" i="18"/>
  <c r="D380" i="18"/>
  <c r="D379" i="18"/>
  <c r="D378" i="18"/>
  <c r="D377" i="18"/>
  <c r="D376" i="18"/>
  <c r="D375" i="18"/>
  <c r="D374" i="18"/>
  <c r="D373" i="18"/>
  <c r="D372" i="18"/>
  <c r="D371" i="18"/>
  <c r="D370" i="18"/>
  <c r="D369" i="18"/>
  <c r="D368" i="18"/>
  <c r="D367" i="18"/>
  <c r="D366" i="18"/>
  <c r="D365" i="18"/>
  <c r="D364" i="18"/>
  <c r="D363" i="18"/>
  <c r="D362" i="18"/>
  <c r="D361" i="18"/>
  <c r="D360" i="18"/>
  <c r="D359" i="18"/>
  <c r="D358" i="18"/>
  <c r="D357" i="18"/>
  <c r="D356" i="18"/>
  <c r="D355" i="18"/>
  <c r="D354" i="18"/>
  <c r="D353" i="18"/>
  <c r="D352" i="18"/>
  <c r="D351" i="18"/>
  <c r="D350" i="18"/>
  <c r="D349" i="18"/>
  <c r="D348" i="18"/>
  <c r="D347" i="18"/>
  <c r="D346" i="18"/>
  <c r="D345" i="18"/>
  <c r="D344" i="18"/>
  <c r="D343" i="18"/>
  <c r="D342" i="18"/>
  <c r="D341" i="18"/>
  <c r="D340" i="18"/>
  <c r="D339" i="18"/>
  <c r="D338" i="18"/>
  <c r="D337" i="18"/>
  <c r="D336" i="18"/>
  <c r="D335" i="18"/>
  <c r="D334" i="18"/>
  <c r="D333" i="18"/>
  <c r="D332" i="18"/>
  <c r="D331" i="18"/>
  <c r="D330" i="18"/>
  <c r="D284" i="18"/>
  <c r="D283" i="18"/>
  <c r="D282" i="18"/>
  <c r="D281" i="18"/>
  <c r="D280" i="18"/>
  <c r="D279" i="18"/>
  <c r="D278" i="18"/>
  <c r="D277" i="18"/>
  <c r="D276" i="18"/>
  <c r="D275" i="18"/>
  <c r="D274" i="18"/>
  <c r="D273" i="18"/>
  <c r="D272" i="18"/>
  <c r="D271" i="18"/>
  <c r="D270" i="18"/>
  <c r="D269" i="18"/>
  <c r="D268" i="18"/>
  <c r="D267" i="18"/>
  <c r="D266" i="18"/>
  <c r="D265" i="18"/>
  <c r="D264" i="18"/>
  <c r="D263" i="18"/>
  <c r="D262" i="18"/>
  <c r="D261" i="18"/>
  <c r="D260" i="18"/>
  <c r="D259" i="18"/>
  <c r="D258" i="18"/>
  <c r="D257" i="18"/>
  <c r="D256" i="18"/>
  <c r="D255" i="18"/>
  <c r="D254" i="18"/>
  <c r="D253" i="18"/>
  <c r="D252" i="18"/>
  <c r="D251" i="18"/>
  <c r="D250" i="18"/>
  <c r="D249" i="18"/>
  <c r="D248" i="18"/>
  <c r="D247" i="18"/>
  <c r="D246" i="18"/>
  <c r="D245" i="18"/>
  <c r="D244" i="18"/>
  <c r="D243" i="18"/>
  <c r="D242" i="18"/>
  <c r="D241" i="18"/>
  <c r="D240" i="18"/>
  <c r="D239" i="18"/>
  <c r="D238" i="18"/>
  <c r="D237" i="18"/>
  <c r="D236" i="18"/>
  <c r="D235" i="18"/>
  <c r="D234" i="18"/>
  <c r="D233" i="18"/>
  <c r="D232" i="18"/>
  <c r="D231" i="18"/>
  <c r="D230" i="18"/>
  <c r="D229" i="18"/>
  <c r="D228" i="18"/>
  <c r="D227" i="18"/>
  <c r="D226" i="18"/>
  <c r="D225" i="18"/>
  <c r="D224" i="18"/>
  <c r="D223" i="18"/>
  <c r="D222" i="18"/>
  <c r="D221" i="18"/>
  <c r="D220" i="18"/>
  <c r="D219" i="18"/>
  <c r="D218" i="18"/>
  <c r="D217" i="18"/>
  <c r="D216" i="18"/>
  <c r="D215" i="18"/>
  <c r="D214" i="18"/>
  <c r="D213" i="18"/>
  <c r="D212" i="18"/>
  <c r="D211" i="18"/>
  <c r="D210" i="18"/>
  <c r="D209" i="18"/>
  <c r="D208" i="18"/>
  <c r="D207" i="18"/>
  <c r="D206" i="18"/>
  <c r="D205" i="18"/>
  <c r="D204" i="18"/>
  <c r="D203" i="18"/>
  <c r="D202" i="18"/>
  <c r="D201" i="18"/>
  <c r="D200" i="18"/>
  <c r="D199" i="18"/>
  <c r="D198" i="18"/>
  <c r="D197" i="18"/>
  <c r="D196" i="18"/>
  <c r="D195" i="18"/>
  <c r="D194" i="18"/>
  <c r="D193" i="18"/>
  <c r="D192" i="18"/>
  <c r="D191" i="18"/>
  <c r="D190" i="18"/>
  <c r="D189" i="18"/>
  <c r="D188" i="18"/>
  <c r="D187" i="18"/>
  <c r="D186" i="18"/>
  <c r="D185" i="18"/>
  <c r="D184" i="18"/>
  <c r="D183" i="18"/>
  <c r="D182" i="18"/>
  <c r="D181" i="18"/>
  <c r="D180" i="18"/>
  <c r="D179" i="18"/>
  <c r="D178" i="18"/>
  <c r="D177" i="18"/>
  <c r="D176" i="18"/>
  <c r="D175" i="18"/>
  <c r="D174" i="18"/>
  <c r="D173" i="18"/>
  <c r="D172" i="18"/>
  <c r="D171" i="18"/>
  <c r="D170" i="18"/>
  <c r="D169" i="18"/>
  <c r="D168" i="18"/>
  <c r="D167" i="18"/>
  <c r="D166" i="18"/>
  <c r="D165" i="18"/>
  <c r="D164" i="18"/>
  <c r="D163" i="18"/>
  <c r="D162" i="18"/>
  <c r="D161" i="18"/>
  <c r="D160" i="18"/>
  <c r="D159" i="18"/>
  <c r="D158" i="18"/>
  <c r="D157" i="18"/>
  <c r="D156" i="18"/>
  <c r="D155" i="18"/>
  <c r="D154" i="18"/>
  <c r="D153" i="18"/>
  <c r="D152" i="18"/>
  <c r="D151" i="18"/>
  <c r="D150" i="18"/>
  <c r="D149" i="18"/>
  <c r="D148" i="18"/>
  <c r="D147" i="18"/>
  <c r="D146" i="18"/>
  <c r="D145" i="18"/>
  <c r="D144" i="18"/>
  <c r="D143" i="18"/>
  <c r="D142" i="18"/>
  <c r="D141" i="18"/>
  <c r="D140" i="18"/>
  <c r="D139" i="18"/>
  <c r="D138" i="18"/>
  <c r="D137" i="18"/>
  <c r="D136" i="18"/>
  <c r="D135" i="18"/>
  <c r="D134" i="18"/>
  <c r="D133" i="18"/>
  <c r="D132" i="18"/>
  <c r="D131" i="18"/>
  <c r="D130" i="18"/>
  <c r="D129" i="18"/>
  <c r="D128" i="18"/>
  <c r="D127" i="18"/>
  <c r="D126" i="18"/>
  <c r="D125" i="18"/>
  <c r="D124" i="18"/>
  <c r="D123" i="18"/>
  <c r="D122" i="18"/>
  <c r="D121" i="18"/>
  <c r="D120" i="18"/>
  <c r="D119" i="18"/>
  <c r="D118" i="18"/>
  <c r="D117" i="18"/>
  <c r="D116" i="18"/>
  <c r="D115" i="18"/>
  <c r="D114" i="18"/>
  <c r="D113" i="18"/>
  <c r="D112" i="18"/>
  <c r="D111" i="18"/>
  <c r="D110" i="18"/>
  <c r="D109" i="18"/>
  <c r="D108" i="18"/>
  <c r="D107" i="18"/>
  <c r="D106" i="18"/>
  <c r="D105" i="18"/>
  <c r="D104" i="18"/>
  <c r="D103" i="18"/>
  <c r="D102" i="18"/>
  <c r="D101" i="18"/>
  <c r="D100" i="18"/>
  <c r="D99" i="18"/>
  <c r="D98" i="18"/>
  <c r="D97" i="18"/>
  <c r="D96" i="18"/>
  <c r="D95" i="18"/>
  <c r="D94" i="18"/>
  <c r="D93" i="18"/>
  <c r="D92" i="18"/>
  <c r="D91" i="18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5" i="18"/>
  <c r="D74" i="18"/>
  <c r="D73" i="18"/>
  <c r="D72" i="18"/>
  <c r="D71" i="18"/>
  <c r="D70" i="18"/>
  <c r="D69" i="18"/>
  <c r="D68" i="18"/>
  <c r="D67" i="18"/>
  <c r="D66" i="18"/>
  <c r="D65" i="18"/>
  <c r="D64" i="18"/>
  <c r="D63" i="18"/>
  <c r="D62" i="18"/>
  <c r="D61" i="18"/>
  <c r="D60" i="18"/>
  <c r="D59" i="18"/>
  <c r="D58" i="18"/>
  <c r="D57" i="18"/>
  <c r="D56" i="18"/>
  <c r="D55" i="18"/>
  <c r="D54" i="18"/>
  <c r="D53" i="18"/>
  <c r="D52" i="18"/>
  <c r="D51" i="18"/>
  <c r="D50" i="18"/>
  <c r="D49" i="18"/>
  <c r="D48" i="18"/>
  <c r="D47" i="18"/>
  <c r="D46" i="18"/>
  <c r="D45" i="18"/>
  <c r="D44" i="18"/>
  <c r="D43" i="18"/>
  <c r="D42" i="18"/>
  <c r="D41" i="18"/>
  <c r="D40" i="18"/>
  <c r="D39" i="18"/>
  <c r="D38" i="18"/>
  <c r="D37" i="18"/>
  <c r="D36" i="18"/>
  <c r="D35" i="18"/>
  <c r="D34" i="18"/>
  <c r="D33" i="18"/>
  <c r="D32" i="18"/>
  <c r="D31" i="18"/>
  <c r="D30" i="18"/>
  <c r="D29" i="18"/>
  <c r="D28" i="18"/>
  <c r="D27" i="18"/>
  <c r="D26" i="18"/>
  <c r="D25" i="18"/>
  <c r="D24" i="18"/>
  <c r="D23" i="18"/>
  <c r="D22" i="18"/>
  <c r="D748" i="16"/>
  <c r="D747" i="16"/>
  <c r="D746" i="16"/>
  <c r="D745" i="16"/>
  <c r="D744" i="16"/>
  <c r="D743" i="16"/>
  <c r="D742" i="16"/>
  <c r="D741" i="16"/>
  <c r="D740" i="16"/>
  <c r="D739" i="16"/>
  <c r="D738" i="16"/>
  <c r="D737" i="16"/>
  <c r="D736" i="16"/>
  <c r="D735" i="16"/>
  <c r="D734" i="16"/>
  <c r="D733" i="16"/>
  <c r="D732" i="16"/>
  <c r="D731" i="16"/>
  <c r="D730" i="16"/>
  <c r="D729" i="16"/>
  <c r="D728" i="16"/>
  <c r="D727" i="16"/>
  <c r="D726" i="16"/>
  <c r="D725" i="16"/>
  <c r="D724" i="16"/>
  <c r="D723" i="16"/>
  <c r="D722" i="16"/>
  <c r="D721" i="16"/>
  <c r="D720" i="16"/>
  <c r="D719" i="16"/>
  <c r="D718" i="16"/>
  <c r="D717" i="16"/>
  <c r="D716" i="16"/>
  <c r="D715" i="16"/>
  <c r="D714" i="16"/>
  <c r="D713" i="16"/>
  <c r="D712" i="16"/>
  <c r="D711" i="16"/>
  <c r="D710" i="16"/>
  <c r="D709" i="16"/>
  <c r="D708" i="16"/>
  <c r="D707" i="16"/>
  <c r="D706" i="16"/>
  <c r="D705" i="16"/>
  <c r="D704" i="16"/>
  <c r="D703" i="16"/>
  <c r="D702" i="16"/>
  <c r="D701" i="16"/>
  <c r="D700" i="16"/>
  <c r="D699" i="16"/>
  <c r="D698" i="16"/>
  <c r="D697" i="16"/>
  <c r="D696" i="16"/>
  <c r="D695" i="16"/>
  <c r="D694" i="16"/>
  <c r="D693" i="16"/>
  <c r="D692" i="16"/>
  <c r="D691" i="16"/>
  <c r="D690" i="16"/>
  <c r="D689" i="16"/>
  <c r="D688" i="16"/>
  <c r="D687" i="16"/>
  <c r="D686" i="16"/>
  <c r="D685" i="16"/>
  <c r="D684" i="16"/>
  <c r="D683" i="16"/>
  <c r="D682" i="16"/>
  <c r="D681" i="16"/>
  <c r="D680" i="16"/>
  <c r="D679" i="16"/>
  <c r="D678" i="16"/>
  <c r="D677" i="16"/>
  <c r="D676" i="16"/>
  <c r="D675" i="16"/>
  <c r="D674" i="16"/>
  <c r="D673" i="16"/>
  <c r="D672" i="16"/>
  <c r="D671" i="16"/>
  <c r="D670" i="16"/>
  <c r="D669" i="16"/>
  <c r="D668" i="16"/>
  <c r="D667" i="16"/>
  <c r="D666" i="16"/>
  <c r="D665" i="16"/>
  <c r="D664" i="16"/>
  <c r="D663" i="16"/>
  <c r="D662" i="16"/>
  <c r="D661" i="16"/>
  <c r="D660" i="16"/>
  <c r="D659" i="16"/>
  <c r="D658" i="16"/>
  <c r="D657" i="16"/>
  <c r="D656" i="16"/>
  <c r="D655" i="16"/>
  <c r="D654" i="16"/>
  <c r="D653" i="16"/>
  <c r="D652" i="16"/>
  <c r="D651" i="16"/>
  <c r="D650" i="16"/>
  <c r="D649" i="16"/>
  <c r="D648" i="16"/>
  <c r="D647" i="16"/>
  <c r="D646" i="16"/>
  <c r="D645" i="16"/>
  <c r="D644" i="16"/>
  <c r="D643" i="16"/>
  <c r="D642" i="16"/>
  <c r="D641" i="16"/>
  <c r="D640" i="16"/>
  <c r="D639" i="16"/>
  <c r="D638" i="16"/>
  <c r="D637" i="16"/>
  <c r="D636" i="16"/>
  <c r="D635" i="16"/>
  <c r="D634" i="16"/>
  <c r="D633" i="16"/>
  <c r="D632" i="16"/>
  <c r="D631" i="16"/>
  <c r="D630" i="16"/>
  <c r="D629" i="16"/>
  <c r="D628" i="16"/>
  <c r="D627" i="16"/>
  <c r="D626" i="16"/>
  <c r="D625" i="16"/>
  <c r="D624" i="16"/>
  <c r="D623" i="16"/>
  <c r="D622" i="16"/>
  <c r="D621" i="16"/>
  <c r="D620" i="16"/>
  <c r="D619" i="16"/>
  <c r="D618" i="16"/>
  <c r="D617" i="16"/>
  <c r="D616" i="16"/>
  <c r="D615" i="16"/>
  <c r="D614" i="16"/>
  <c r="D613" i="16"/>
  <c r="D612" i="16"/>
  <c r="D611" i="16"/>
  <c r="D610" i="16"/>
  <c r="D609" i="16"/>
  <c r="D608" i="16"/>
  <c r="D607" i="16"/>
  <c r="D606" i="16"/>
  <c r="D605" i="16"/>
  <c r="D604" i="16"/>
  <c r="D603" i="16"/>
  <c r="D602" i="16"/>
  <c r="D601" i="16"/>
  <c r="D600" i="16"/>
  <c r="D599" i="16"/>
  <c r="D598" i="16"/>
  <c r="D597" i="16"/>
  <c r="D596" i="16"/>
  <c r="D595" i="16"/>
  <c r="D594" i="16"/>
  <c r="D593" i="16"/>
  <c r="D592" i="16"/>
  <c r="D591" i="16"/>
  <c r="D590" i="16"/>
  <c r="D589" i="16"/>
  <c r="D588" i="16"/>
  <c r="D587" i="16"/>
  <c r="D586" i="16"/>
  <c r="D585" i="16"/>
  <c r="D584" i="16"/>
  <c r="D583" i="16"/>
  <c r="D582" i="16"/>
  <c r="D581" i="16"/>
  <c r="D580" i="16"/>
  <c r="D579" i="16"/>
  <c r="D578" i="16"/>
  <c r="D577" i="16"/>
  <c r="D576" i="16"/>
  <c r="D575" i="16"/>
  <c r="D574" i="16"/>
  <c r="D573" i="16"/>
  <c r="D572" i="16"/>
  <c r="D571" i="16"/>
  <c r="D570" i="16"/>
  <c r="D569" i="16"/>
  <c r="D568" i="16"/>
  <c r="D567" i="16"/>
  <c r="D566" i="16"/>
  <c r="D565" i="16"/>
  <c r="D564" i="16"/>
  <c r="D563" i="16"/>
  <c r="D562" i="16"/>
  <c r="D561" i="16"/>
  <c r="D560" i="16"/>
  <c r="D559" i="16"/>
  <c r="D558" i="16"/>
  <c r="D557" i="16"/>
  <c r="D556" i="16"/>
  <c r="D555" i="16"/>
  <c r="D554" i="16"/>
  <c r="D553" i="16"/>
  <c r="D552" i="16"/>
  <c r="D551" i="16"/>
  <c r="D550" i="16"/>
  <c r="D549" i="16"/>
  <c r="D548" i="16"/>
  <c r="D547" i="16"/>
  <c r="D546" i="16"/>
  <c r="D545" i="16"/>
  <c r="D544" i="16"/>
  <c r="D543" i="16"/>
  <c r="D542" i="16"/>
  <c r="D541" i="16"/>
  <c r="D540" i="16"/>
  <c r="D539" i="16"/>
  <c r="D538" i="16"/>
  <c r="D537" i="16"/>
  <c r="D536" i="16"/>
  <c r="D535" i="16"/>
  <c r="D534" i="16"/>
  <c r="D533" i="16"/>
  <c r="D532" i="16"/>
  <c r="D531" i="16"/>
  <c r="D530" i="16"/>
  <c r="D529" i="16"/>
  <c r="D528" i="16"/>
  <c r="D527" i="16"/>
  <c r="D526" i="16"/>
  <c r="D525" i="16"/>
  <c r="D524" i="16"/>
  <c r="D523" i="16"/>
  <c r="D522" i="16"/>
  <c r="D521" i="16"/>
  <c r="D520" i="16"/>
  <c r="D519" i="16"/>
  <c r="D518" i="16"/>
  <c r="D517" i="16"/>
  <c r="D516" i="16"/>
  <c r="D515" i="16"/>
  <c r="D514" i="16"/>
  <c r="D513" i="16"/>
  <c r="D512" i="16"/>
  <c r="D511" i="16"/>
  <c r="D510" i="16"/>
  <c r="D509" i="16"/>
  <c r="D508" i="16"/>
  <c r="D507" i="16"/>
  <c r="D506" i="16"/>
  <c r="D505" i="16"/>
  <c r="D504" i="16"/>
  <c r="D503" i="16"/>
  <c r="D502" i="16"/>
  <c r="D501" i="16"/>
  <c r="D500" i="16"/>
  <c r="D499" i="16"/>
  <c r="D498" i="16"/>
  <c r="D497" i="16"/>
  <c r="D496" i="16"/>
  <c r="D495" i="16"/>
  <c r="D494" i="16"/>
  <c r="D493" i="16"/>
  <c r="D492" i="16"/>
  <c r="D491" i="16"/>
  <c r="D490" i="16"/>
  <c r="D489" i="16"/>
  <c r="D488" i="16"/>
  <c r="D487" i="16"/>
  <c r="D486" i="16"/>
  <c r="D485" i="16"/>
  <c r="D484" i="16"/>
  <c r="D483" i="16"/>
  <c r="D482" i="16"/>
  <c r="D481" i="16"/>
  <c r="D480" i="16"/>
  <c r="D479" i="16"/>
  <c r="D478" i="16"/>
  <c r="D477" i="16"/>
  <c r="D476" i="16"/>
  <c r="D475" i="16"/>
  <c r="D474" i="16"/>
  <c r="D473" i="16"/>
  <c r="D472" i="16"/>
  <c r="D471" i="16"/>
  <c r="D470" i="16"/>
  <c r="D469" i="16"/>
  <c r="D468" i="16"/>
  <c r="D467" i="16"/>
  <c r="D466" i="16"/>
  <c r="D465" i="16"/>
  <c r="D464" i="16"/>
  <c r="D463" i="16"/>
  <c r="D462" i="16"/>
  <c r="D461" i="16"/>
  <c r="D460" i="16"/>
  <c r="D459" i="16"/>
  <c r="D458" i="16"/>
  <c r="D457" i="16"/>
  <c r="D456" i="16"/>
  <c r="D455" i="16"/>
  <c r="D454" i="16"/>
  <c r="D453" i="16"/>
  <c r="D452" i="16"/>
  <c r="D451" i="16"/>
  <c r="D450" i="16"/>
  <c r="D449" i="16"/>
  <c r="D448" i="16"/>
  <c r="D447" i="16"/>
  <c r="D446" i="16"/>
  <c r="D445" i="16"/>
  <c r="D444" i="16"/>
  <c r="D443" i="16"/>
  <c r="D442" i="16"/>
  <c r="D441" i="16"/>
  <c r="D440" i="16"/>
  <c r="D439" i="16"/>
  <c r="D438" i="16"/>
  <c r="D437" i="16"/>
  <c r="D436" i="16"/>
  <c r="D435" i="16"/>
  <c r="D434" i="16"/>
  <c r="D433" i="16"/>
  <c r="D432" i="16"/>
  <c r="D431" i="16"/>
  <c r="D430" i="16"/>
  <c r="D429" i="16"/>
  <c r="D428" i="16"/>
  <c r="D427" i="16"/>
  <c r="D426" i="16"/>
  <c r="D425" i="16"/>
  <c r="D424" i="16"/>
  <c r="D423" i="16"/>
  <c r="D422" i="16"/>
  <c r="D421" i="16"/>
  <c r="D420" i="16"/>
  <c r="D419" i="16"/>
  <c r="D418" i="16"/>
  <c r="D417" i="16"/>
  <c r="D416" i="16"/>
  <c r="D415" i="16"/>
  <c r="D414" i="16"/>
  <c r="D413" i="16"/>
  <c r="D412" i="16"/>
  <c r="D411" i="16"/>
  <c r="D410" i="16"/>
  <c r="D409" i="16"/>
  <c r="D408" i="16"/>
  <c r="D407" i="16"/>
  <c r="D406" i="16"/>
  <c r="D405" i="16"/>
  <c r="D404" i="16"/>
  <c r="D403" i="16"/>
  <c r="D402" i="16"/>
  <c r="D401" i="16"/>
  <c r="D400" i="16"/>
  <c r="D399" i="16"/>
  <c r="D398" i="16"/>
  <c r="D397" i="16"/>
  <c r="D396" i="16"/>
  <c r="D395" i="16"/>
  <c r="D394" i="16"/>
  <c r="D393" i="16"/>
  <c r="D392" i="16"/>
  <c r="D391" i="16"/>
  <c r="D390" i="16"/>
  <c r="D389" i="16"/>
  <c r="D388" i="16"/>
  <c r="D387" i="16"/>
  <c r="D386" i="16"/>
  <c r="D385" i="16"/>
  <c r="D384" i="16"/>
  <c r="D383" i="16"/>
  <c r="D382" i="16"/>
  <c r="D381" i="16"/>
  <c r="D380" i="16"/>
  <c r="D379" i="16"/>
  <c r="D378" i="16"/>
  <c r="D377" i="16"/>
  <c r="D376" i="16"/>
  <c r="D375" i="16"/>
  <c r="D374" i="16"/>
  <c r="D373" i="16"/>
  <c r="D372" i="16"/>
  <c r="D371" i="16"/>
  <c r="D370" i="16"/>
  <c r="D369" i="16"/>
  <c r="D368" i="16"/>
  <c r="D367" i="16"/>
  <c r="D366" i="16"/>
  <c r="D365" i="16"/>
  <c r="D364" i="16"/>
  <c r="D363" i="16"/>
  <c r="D362" i="16"/>
  <c r="D361" i="16"/>
  <c r="D360" i="16"/>
  <c r="D359" i="16"/>
  <c r="D358" i="16"/>
  <c r="D357" i="16"/>
  <c r="D356" i="16"/>
  <c r="D355" i="16"/>
  <c r="D354" i="16"/>
  <c r="D353" i="16"/>
  <c r="D352" i="16"/>
  <c r="D351" i="16"/>
  <c r="D350" i="16"/>
  <c r="D349" i="16"/>
  <c r="D348" i="16"/>
  <c r="D347" i="16"/>
  <c r="D346" i="16"/>
  <c r="D345" i="16"/>
  <c r="D344" i="16"/>
  <c r="D343" i="16"/>
  <c r="D342" i="16"/>
  <c r="D341" i="16"/>
  <c r="D340" i="16"/>
  <c r="D339" i="16"/>
  <c r="D338" i="16"/>
  <c r="D337" i="16"/>
  <c r="D336" i="16"/>
  <c r="D335" i="16"/>
  <c r="D334" i="16"/>
  <c r="D333" i="16"/>
  <c r="D332" i="16"/>
  <c r="D331" i="16"/>
  <c r="D330" i="16"/>
  <c r="D284" i="16"/>
  <c r="D283" i="16"/>
  <c r="D282" i="16"/>
  <c r="D281" i="16"/>
  <c r="D280" i="16"/>
  <c r="D279" i="16"/>
  <c r="D278" i="16"/>
  <c r="D277" i="16"/>
  <c r="D276" i="16"/>
  <c r="D275" i="16"/>
  <c r="D274" i="16"/>
  <c r="D273" i="16"/>
  <c r="D272" i="16"/>
  <c r="D271" i="16"/>
  <c r="D270" i="16"/>
  <c r="D269" i="16"/>
  <c r="D268" i="16"/>
  <c r="D267" i="16"/>
  <c r="D266" i="16"/>
  <c r="D265" i="16"/>
  <c r="D264" i="16"/>
  <c r="D263" i="16"/>
  <c r="D262" i="16"/>
  <c r="D261" i="16"/>
  <c r="D260" i="16"/>
  <c r="D259" i="16"/>
  <c r="D258" i="16"/>
  <c r="D257" i="16"/>
  <c r="D256" i="16"/>
  <c r="D255" i="16"/>
  <c r="D254" i="16"/>
  <c r="D253" i="16"/>
  <c r="D252" i="16"/>
  <c r="D251" i="16"/>
  <c r="D250" i="16"/>
  <c r="D249" i="16"/>
  <c r="D248" i="16"/>
  <c r="D247" i="16"/>
  <c r="D246" i="16"/>
  <c r="D245" i="16"/>
  <c r="D244" i="16"/>
  <c r="D243" i="16"/>
  <c r="D242" i="16"/>
  <c r="D241" i="16"/>
  <c r="D240" i="16"/>
  <c r="D239" i="16"/>
  <c r="D238" i="16"/>
  <c r="D237" i="16"/>
  <c r="D236" i="16"/>
  <c r="D235" i="16"/>
  <c r="D234" i="16"/>
  <c r="D233" i="16"/>
  <c r="D232" i="16"/>
  <c r="D231" i="16"/>
  <c r="D230" i="16"/>
  <c r="D229" i="16"/>
  <c r="D228" i="16"/>
  <c r="D227" i="16"/>
  <c r="D226" i="16"/>
  <c r="D225" i="16"/>
  <c r="D224" i="16"/>
  <c r="D223" i="16"/>
  <c r="D222" i="16"/>
  <c r="D221" i="16"/>
  <c r="D220" i="16"/>
  <c r="D219" i="16"/>
  <c r="D218" i="16"/>
  <c r="D217" i="16"/>
  <c r="D216" i="16"/>
  <c r="D215" i="16"/>
  <c r="D214" i="16"/>
  <c r="D213" i="16"/>
  <c r="D212" i="16"/>
  <c r="D211" i="16"/>
  <c r="D210" i="16"/>
  <c r="D209" i="16"/>
  <c r="D208" i="16"/>
  <c r="D207" i="16"/>
  <c r="D206" i="16"/>
  <c r="D205" i="16"/>
  <c r="D204" i="16"/>
  <c r="D203" i="16"/>
  <c r="D202" i="16"/>
  <c r="D201" i="16"/>
  <c r="D200" i="16"/>
  <c r="D199" i="16"/>
  <c r="D198" i="16"/>
  <c r="D197" i="16"/>
  <c r="D196" i="16"/>
  <c r="D195" i="16"/>
  <c r="D194" i="16"/>
  <c r="D193" i="16"/>
  <c r="D192" i="16"/>
  <c r="D191" i="16"/>
  <c r="D190" i="16"/>
  <c r="D189" i="16"/>
  <c r="D188" i="16"/>
  <c r="D187" i="16"/>
  <c r="D186" i="16"/>
  <c r="D185" i="16"/>
  <c r="D184" i="16"/>
  <c r="D183" i="16"/>
  <c r="D182" i="16"/>
  <c r="D181" i="16"/>
  <c r="D180" i="16"/>
  <c r="D179" i="16"/>
  <c r="D178" i="16"/>
  <c r="D177" i="16"/>
  <c r="D176" i="16"/>
  <c r="D175" i="16"/>
  <c r="D174" i="16"/>
  <c r="D173" i="16"/>
  <c r="D172" i="16"/>
  <c r="D171" i="16"/>
  <c r="D170" i="16"/>
  <c r="D169" i="16"/>
  <c r="D168" i="16"/>
  <c r="D167" i="16"/>
  <c r="D166" i="16"/>
  <c r="D165" i="16"/>
  <c r="D164" i="16"/>
  <c r="D163" i="16"/>
  <c r="D162" i="16"/>
  <c r="D161" i="16"/>
  <c r="D160" i="16"/>
  <c r="D159" i="16"/>
  <c r="D158" i="16"/>
  <c r="D157" i="16"/>
  <c r="D156" i="16"/>
  <c r="D155" i="16"/>
  <c r="D154" i="16"/>
  <c r="D153" i="16"/>
  <c r="D152" i="16"/>
  <c r="D151" i="16"/>
  <c r="D150" i="16"/>
  <c r="D149" i="16"/>
  <c r="D148" i="16"/>
  <c r="D147" i="16"/>
  <c r="D146" i="16"/>
  <c r="D145" i="16"/>
  <c r="D144" i="16"/>
  <c r="D143" i="16"/>
  <c r="D142" i="16"/>
  <c r="D141" i="16"/>
  <c r="D140" i="16"/>
  <c r="D139" i="16"/>
  <c r="D138" i="16"/>
  <c r="D137" i="16"/>
  <c r="D136" i="16"/>
  <c r="D135" i="16"/>
  <c r="D134" i="16"/>
  <c r="D133" i="16"/>
  <c r="D132" i="16"/>
  <c r="D131" i="16"/>
  <c r="D130" i="16"/>
  <c r="D129" i="16"/>
  <c r="D128" i="16"/>
  <c r="D127" i="16"/>
  <c r="D126" i="16"/>
  <c r="D125" i="16"/>
  <c r="D124" i="16"/>
  <c r="D123" i="16"/>
  <c r="D122" i="16"/>
  <c r="D121" i="16"/>
  <c r="D120" i="16"/>
  <c r="D119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D106" i="16"/>
  <c r="D105" i="16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748" i="15"/>
  <c r="D747" i="15"/>
  <c r="D746" i="15"/>
  <c r="D745" i="15"/>
  <c r="D744" i="15"/>
  <c r="D743" i="15"/>
  <c r="D742" i="15"/>
  <c r="D741" i="15"/>
  <c r="D740" i="15"/>
  <c r="D739" i="15"/>
  <c r="D738" i="15"/>
  <c r="D737" i="15"/>
  <c r="D736" i="15"/>
  <c r="D735" i="15"/>
  <c r="D734" i="15"/>
  <c r="D733" i="15"/>
  <c r="D732" i="15"/>
  <c r="D731" i="15"/>
  <c r="D730" i="15"/>
  <c r="D729" i="15"/>
  <c r="D728" i="15"/>
  <c r="D727" i="15"/>
  <c r="D726" i="15"/>
  <c r="D725" i="15"/>
  <c r="D724" i="15"/>
  <c r="D723" i="15"/>
  <c r="D722" i="15"/>
  <c r="D721" i="15"/>
  <c r="D720" i="15"/>
  <c r="D719" i="15"/>
  <c r="D718" i="15"/>
  <c r="D717" i="15"/>
  <c r="D716" i="15"/>
  <c r="D715" i="15"/>
  <c r="D714" i="15"/>
  <c r="D713" i="15"/>
  <c r="D712" i="15"/>
  <c r="D711" i="15"/>
  <c r="D710" i="15"/>
  <c r="D709" i="15"/>
  <c r="D708" i="15"/>
  <c r="D707" i="15"/>
  <c r="D706" i="15"/>
  <c r="D705" i="15"/>
  <c r="D704" i="15"/>
  <c r="D703" i="15"/>
  <c r="D702" i="15"/>
  <c r="D701" i="15"/>
  <c r="D700" i="15"/>
  <c r="D699" i="15"/>
  <c r="D698" i="15"/>
  <c r="D697" i="15"/>
  <c r="D696" i="15"/>
  <c r="D695" i="15"/>
  <c r="D694" i="15"/>
  <c r="D693" i="15"/>
  <c r="D692" i="15"/>
  <c r="D691" i="15"/>
  <c r="D690" i="15"/>
  <c r="D689" i="15"/>
  <c r="D688" i="15"/>
  <c r="D687" i="15"/>
  <c r="D686" i="15"/>
  <c r="D685" i="15"/>
  <c r="D684" i="15"/>
  <c r="D683" i="15"/>
  <c r="D682" i="15"/>
  <c r="D681" i="15"/>
  <c r="D680" i="15"/>
  <c r="D679" i="15"/>
  <c r="D678" i="15"/>
  <c r="D677" i="15"/>
  <c r="D676" i="15"/>
  <c r="D675" i="15"/>
  <c r="D674" i="15"/>
  <c r="D673" i="15"/>
  <c r="D672" i="15"/>
  <c r="D671" i="15"/>
  <c r="D670" i="15"/>
  <c r="D669" i="15"/>
  <c r="D668" i="15"/>
  <c r="D667" i="15"/>
  <c r="D666" i="15"/>
  <c r="D665" i="15"/>
  <c r="D664" i="15"/>
  <c r="D663" i="15"/>
  <c r="D662" i="15"/>
  <c r="D661" i="15"/>
  <c r="D660" i="15"/>
  <c r="D659" i="15"/>
  <c r="D658" i="15"/>
  <c r="D657" i="15"/>
  <c r="D656" i="15"/>
  <c r="D655" i="15"/>
  <c r="D654" i="15"/>
  <c r="D653" i="15"/>
  <c r="D652" i="15"/>
  <c r="D651" i="15"/>
  <c r="D650" i="15"/>
  <c r="D649" i="15"/>
  <c r="D648" i="15"/>
  <c r="D647" i="15"/>
  <c r="D646" i="15"/>
  <c r="D645" i="15"/>
  <c r="D644" i="15"/>
  <c r="D643" i="15"/>
  <c r="D642" i="15"/>
  <c r="D641" i="15"/>
  <c r="D640" i="15"/>
  <c r="D639" i="15"/>
  <c r="D638" i="15"/>
  <c r="D637" i="15"/>
  <c r="D636" i="15"/>
  <c r="D635" i="15"/>
  <c r="D634" i="15"/>
  <c r="D633" i="15"/>
  <c r="D632" i="15"/>
  <c r="D631" i="15"/>
  <c r="D630" i="15"/>
  <c r="D629" i="15"/>
  <c r="D628" i="15"/>
  <c r="D627" i="15"/>
  <c r="D626" i="15"/>
  <c r="D625" i="15"/>
  <c r="D624" i="15"/>
  <c r="D623" i="15"/>
  <c r="D622" i="15"/>
  <c r="D621" i="15"/>
  <c r="D620" i="15"/>
  <c r="D619" i="15"/>
  <c r="D618" i="15"/>
  <c r="D617" i="15"/>
  <c r="D616" i="15"/>
  <c r="D615" i="15"/>
  <c r="D614" i="15"/>
  <c r="D613" i="15"/>
  <c r="D612" i="15"/>
  <c r="D611" i="15"/>
  <c r="D610" i="15"/>
  <c r="D609" i="15"/>
  <c r="D608" i="15"/>
  <c r="D607" i="15"/>
  <c r="D606" i="15"/>
  <c r="D605" i="15"/>
  <c r="D604" i="15"/>
  <c r="D603" i="15"/>
  <c r="D602" i="15"/>
  <c r="D601" i="15"/>
  <c r="D600" i="15"/>
  <c r="D599" i="15"/>
  <c r="D598" i="15"/>
  <c r="D597" i="15"/>
  <c r="D596" i="15"/>
  <c r="D595" i="15"/>
  <c r="D594" i="15"/>
  <c r="D593" i="15"/>
  <c r="D592" i="15"/>
  <c r="D591" i="15"/>
  <c r="D590" i="15"/>
  <c r="D589" i="15"/>
  <c r="D588" i="15"/>
  <c r="D587" i="15"/>
  <c r="D586" i="15"/>
  <c r="D585" i="15"/>
  <c r="D584" i="15"/>
  <c r="D583" i="15"/>
  <c r="D582" i="15"/>
  <c r="D581" i="15"/>
  <c r="D580" i="15"/>
  <c r="D579" i="15"/>
  <c r="D578" i="15"/>
  <c r="D577" i="15"/>
  <c r="D576" i="15"/>
  <c r="D575" i="15"/>
  <c r="D574" i="15"/>
  <c r="D573" i="15"/>
  <c r="D572" i="15"/>
  <c r="D571" i="15"/>
  <c r="D570" i="15"/>
  <c r="D569" i="15"/>
  <c r="D568" i="15"/>
  <c r="D567" i="15"/>
  <c r="D566" i="15"/>
  <c r="D565" i="15"/>
  <c r="D564" i="15"/>
  <c r="D563" i="15"/>
  <c r="D562" i="15"/>
  <c r="D561" i="15"/>
  <c r="D560" i="15"/>
  <c r="D559" i="15"/>
  <c r="D558" i="15"/>
  <c r="D557" i="15"/>
  <c r="D556" i="15"/>
  <c r="D555" i="15"/>
  <c r="D554" i="15"/>
  <c r="D553" i="15"/>
  <c r="D552" i="15"/>
  <c r="D551" i="15"/>
  <c r="D550" i="15"/>
  <c r="D549" i="15"/>
  <c r="D548" i="15"/>
  <c r="D547" i="15"/>
  <c r="D546" i="15"/>
  <c r="D545" i="15"/>
  <c r="D544" i="15"/>
  <c r="D543" i="15"/>
  <c r="D542" i="15"/>
  <c r="D541" i="15"/>
  <c r="D540" i="15"/>
  <c r="D539" i="15"/>
  <c r="D538" i="15"/>
  <c r="D537" i="15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748" i="13"/>
  <c r="D747" i="13"/>
  <c r="D746" i="13"/>
  <c r="D745" i="13"/>
  <c r="D744" i="13"/>
  <c r="D743" i="13"/>
  <c r="D742" i="13"/>
  <c r="D741" i="13"/>
  <c r="D740" i="13"/>
  <c r="D739" i="13"/>
  <c r="D738" i="13"/>
  <c r="D737" i="13"/>
  <c r="D736" i="13"/>
  <c r="D735" i="13"/>
  <c r="D734" i="13"/>
  <c r="D733" i="13"/>
  <c r="D732" i="13"/>
  <c r="D731" i="13"/>
  <c r="D730" i="13"/>
  <c r="D729" i="13"/>
  <c r="D728" i="13"/>
  <c r="D727" i="13"/>
  <c r="D726" i="13"/>
  <c r="D725" i="13"/>
  <c r="D724" i="13"/>
  <c r="D723" i="13"/>
  <c r="D722" i="13"/>
  <c r="D721" i="13"/>
  <c r="D720" i="13"/>
  <c r="D719" i="13"/>
  <c r="D718" i="13"/>
  <c r="D717" i="13"/>
  <c r="D716" i="13"/>
  <c r="D715" i="13"/>
  <c r="D714" i="13"/>
  <c r="D713" i="13"/>
  <c r="D712" i="13"/>
  <c r="D711" i="13"/>
  <c r="D710" i="13"/>
  <c r="D709" i="13"/>
  <c r="D708" i="13"/>
  <c r="D707" i="13"/>
  <c r="D706" i="13"/>
  <c r="D705" i="13"/>
  <c r="D704" i="13"/>
  <c r="D703" i="13"/>
  <c r="D702" i="13"/>
  <c r="D701" i="13"/>
  <c r="D700" i="13"/>
  <c r="D699" i="13"/>
  <c r="D698" i="13"/>
  <c r="D697" i="13"/>
  <c r="D696" i="13"/>
  <c r="D695" i="13"/>
  <c r="D694" i="13"/>
  <c r="D693" i="13"/>
  <c r="D692" i="13"/>
  <c r="D691" i="13"/>
  <c r="D690" i="13"/>
  <c r="D689" i="13"/>
  <c r="D688" i="13"/>
  <c r="D687" i="13"/>
  <c r="D686" i="13"/>
  <c r="D685" i="13"/>
  <c r="D684" i="13"/>
  <c r="D683" i="13"/>
  <c r="D682" i="13"/>
  <c r="D681" i="13"/>
  <c r="D680" i="13"/>
  <c r="D679" i="13"/>
  <c r="D678" i="13"/>
  <c r="D677" i="13"/>
  <c r="D676" i="13"/>
  <c r="D675" i="13"/>
  <c r="D674" i="13"/>
  <c r="D673" i="13"/>
  <c r="D672" i="13"/>
  <c r="D671" i="13"/>
  <c r="D670" i="13"/>
  <c r="D669" i="13"/>
  <c r="D668" i="13"/>
  <c r="D667" i="13"/>
  <c r="D666" i="13"/>
  <c r="D665" i="13"/>
  <c r="D664" i="13"/>
  <c r="D663" i="13"/>
  <c r="D662" i="13"/>
  <c r="D661" i="13"/>
  <c r="D660" i="13"/>
  <c r="D659" i="13"/>
  <c r="D658" i="13"/>
  <c r="D657" i="13"/>
  <c r="D656" i="13"/>
  <c r="D655" i="13"/>
  <c r="D654" i="13"/>
  <c r="D653" i="13"/>
  <c r="D652" i="13"/>
  <c r="D651" i="13"/>
  <c r="D650" i="13"/>
  <c r="D649" i="13"/>
  <c r="D648" i="13"/>
  <c r="D647" i="13"/>
  <c r="D646" i="13"/>
  <c r="D645" i="13"/>
  <c r="D644" i="13"/>
  <c r="D643" i="13"/>
  <c r="D642" i="13"/>
  <c r="D641" i="13"/>
  <c r="D640" i="13"/>
  <c r="D639" i="13"/>
  <c r="D638" i="13"/>
  <c r="D637" i="13"/>
  <c r="D636" i="13"/>
  <c r="D635" i="13"/>
  <c r="D634" i="13"/>
  <c r="D633" i="13"/>
  <c r="D632" i="13"/>
  <c r="D631" i="13"/>
  <c r="D630" i="13"/>
  <c r="D629" i="13"/>
  <c r="D628" i="13"/>
  <c r="D627" i="13"/>
  <c r="D626" i="13"/>
  <c r="D625" i="13"/>
  <c r="D624" i="13"/>
  <c r="D623" i="13"/>
  <c r="D622" i="13"/>
  <c r="D621" i="13"/>
  <c r="D620" i="13"/>
  <c r="D619" i="13"/>
  <c r="D618" i="13"/>
  <c r="D617" i="13"/>
  <c r="D616" i="13"/>
  <c r="D615" i="13"/>
  <c r="D614" i="13"/>
  <c r="D613" i="13"/>
  <c r="D612" i="13"/>
  <c r="D611" i="13"/>
  <c r="D610" i="13"/>
  <c r="D609" i="13"/>
  <c r="D608" i="13"/>
  <c r="D607" i="13"/>
  <c r="D606" i="13"/>
  <c r="D605" i="13"/>
  <c r="D604" i="13"/>
  <c r="D603" i="13"/>
  <c r="D602" i="13"/>
  <c r="D601" i="13"/>
  <c r="D600" i="13"/>
  <c r="D599" i="13"/>
  <c r="D598" i="13"/>
  <c r="D597" i="13"/>
  <c r="D596" i="13"/>
  <c r="D595" i="13"/>
  <c r="D594" i="13"/>
  <c r="D593" i="13"/>
  <c r="D592" i="13"/>
  <c r="D591" i="13"/>
  <c r="D590" i="13"/>
  <c r="D589" i="13"/>
  <c r="D588" i="13"/>
  <c r="D587" i="13"/>
  <c r="D586" i="13"/>
  <c r="D585" i="13"/>
  <c r="D584" i="13"/>
  <c r="D583" i="13"/>
  <c r="D582" i="13"/>
  <c r="D581" i="13"/>
  <c r="D580" i="13"/>
  <c r="D579" i="13"/>
  <c r="D578" i="13"/>
  <c r="D577" i="13"/>
  <c r="D576" i="13"/>
  <c r="D575" i="13"/>
  <c r="D574" i="13"/>
  <c r="D573" i="13"/>
  <c r="D572" i="13"/>
  <c r="D571" i="13"/>
  <c r="D570" i="13"/>
  <c r="D569" i="13"/>
  <c r="D568" i="13"/>
  <c r="D567" i="13"/>
  <c r="D566" i="13"/>
  <c r="D565" i="13"/>
  <c r="D564" i="13"/>
  <c r="D563" i="13"/>
  <c r="D562" i="13"/>
  <c r="D561" i="13"/>
  <c r="D560" i="13"/>
  <c r="D559" i="13"/>
  <c r="D558" i="13"/>
  <c r="D557" i="13"/>
  <c r="D556" i="13"/>
  <c r="D555" i="13"/>
  <c r="D554" i="13"/>
  <c r="D553" i="13"/>
  <c r="D552" i="13"/>
  <c r="D551" i="13"/>
  <c r="D550" i="13"/>
  <c r="D549" i="13"/>
  <c r="D548" i="13"/>
  <c r="D547" i="13"/>
  <c r="D546" i="13"/>
  <c r="D545" i="13"/>
  <c r="D544" i="13"/>
  <c r="D543" i="13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748" i="11"/>
  <c r="D747" i="11"/>
  <c r="D746" i="11"/>
  <c r="D745" i="11"/>
  <c r="D744" i="11"/>
  <c r="D743" i="11"/>
  <c r="D742" i="11"/>
  <c r="D741" i="11"/>
  <c r="D740" i="11"/>
  <c r="D739" i="11"/>
  <c r="D738" i="11"/>
  <c r="D737" i="11"/>
  <c r="D736" i="11"/>
  <c r="D735" i="11"/>
  <c r="D734" i="11"/>
  <c r="D733" i="11"/>
  <c r="D732" i="11"/>
  <c r="D731" i="11"/>
  <c r="D730" i="11"/>
  <c r="D729" i="11"/>
  <c r="D728" i="11"/>
  <c r="D727" i="11"/>
  <c r="D726" i="11"/>
  <c r="D725" i="11"/>
  <c r="D724" i="11"/>
  <c r="D723" i="11"/>
  <c r="D722" i="11"/>
  <c r="D721" i="11"/>
  <c r="D720" i="11"/>
  <c r="D719" i="11"/>
  <c r="D718" i="11"/>
  <c r="D717" i="11"/>
  <c r="D716" i="11"/>
  <c r="D715" i="11"/>
  <c r="D714" i="11"/>
  <c r="D713" i="11"/>
  <c r="D712" i="11"/>
  <c r="D711" i="11"/>
  <c r="D710" i="11"/>
  <c r="D709" i="11"/>
  <c r="D708" i="11"/>
  <c r="D707" i="11"/>
  <c r="D706" i="11"/>
  <c r="D705" i="11"/>
  <c r="D704" i="11"/>
  <c r="D703" i="11"/>
  <c r="D702" i="11"/>
  <c r="D701" i="11"/>
  <c r="D700" i="11"/>
  <c r="D699" i="11"/>
  <c r="D698" i="11"/>
  <c r="D697" i="11"/>
  <c r="D696" i="11"/>
  <c r="D695" i="11"/>
  <c r="D694" i="11"/>
  <c r="D693" i="11"/>
  <c r="D692" i="11"/>
  <c r="D691" i="11"/>
  <c r="D690" i="11"/>
  <c r="D689" i="11"/>
  <c r="D688" i="11"/>
  <c r="D687" i="11"/>
  <c r="D686" i="11"/>
  <c r="D685" i="11"/>
  <c r="D684" i="11"/>
  <c r="D683" i="11"/>
  <c r="D682" i="11"/>
  <c r="D681" i="11"/>
  <c r="D680" i="11"/>
  <c r="D679" i="11"/>
  <c r="D678" i="11"/>
  <c r="D677" i="11"/>
  <c r="D676" i="11"/>
  <c r="D675" i="11"/>
  <c r="D674" i="11"/>
  <c r="D673" i="11"/>
  <c r="D672" i="11"/>
  <c r="D671" i="11"/>
  <c r="D670" i="11"/>
  <c r="D669" i="11"/>
  <c r="D668" i="11"/>
  <c r="D667" i="11"/>
  <c r="D666" i="11"/>
  <c r="D665" i="11"/>
  <c r="D664" i="11"/>
  <c r="D663" i="11"/>
  <c r="D662" i="11"/>
  <c r="D661" i="11"/>
  <c r="D660" i="11"/>
  <c r="D659" i="11"/>
  <c r="D658" i="11"/>
  <c r="D657" i="11"/>
  <c r="D656" i="11"/>
  <c r="D655" i="11"/>
  <c r="D654" i="11"/>
  <c r="D653" i="11"/>
  <c r="D652" i="11"/>
  <c r="D651" i="11"/>
  <c r="D650" i="11"/>
  <c r="D649" i="11"/>
  <c r="D648" i="11"/>
  <c r="D647" i="11"/>
  <c r="D646" i="11"/>
  <c r="D645" i="11"/>
  <c r="D644" i="11"/>
  <c r="D643" i="11"/>
  <c r="D642" i="11"/>
  <c r="D641" i="11"/>
  <c r="D640" i="11"/>
  <c r="D639" i="11"/>
  <c r="D638" i="11"/>
  <c r="D637" i="11"/>
  <c r="D636" i="11"/>
  <c r="D635" i="11"/>
  <c r="D634" i="11"/>
  <c r="D633" i="11"/>
  <c r="D632" i="11"/>
  <c r="D631" i="11"/>
  <c r="D630" i="11"/>
  <c r="D629" i="11"/>
  <c r="D628" i="11"/>
  <c r="D627" i="11"/>
  <c r="D626" i="11"/>
  <c r="D625" i="11"/>
  <c r="D624" i="11"/>
  <c r="D623" i="11"/>
  <c r="D622" i="11"/>
  <c r="D621" i="11"/>
  <c r="D620" i="11"/>
  <c r="D619" i="11"/>
  <c r="D618" i="11"/>
  <c r="D617" i="11"/>
  <c r="D616" i="11"/>
  <c r="D615" i="11"/>
  <c r="D614" i="11"/>
  <c r="D613" i="11"/>
  <c r="D612" i="11"/>
  <c r="D611" i="11"/>
  <c r="D610" i="11"/>
  <c r="D609" i="11"/>
  <c r="D608" i="11"/>
  <c r="D607" i="11"/>
  <c r="D606" i="11"/>
  <c r="D605" i="11"/>
  <c r="D604" i="11"/>
  <c r="D603" i="11"/>
  <c r="D602" i="11"/>
  <c r="D601" i="11"/>
  <c r="D600" i="11"/>
  <c r="D599" i="11"/>
  <c r="D598" i="11"/>
  <c r="D597" i="11"/>
  <c r="D596" i="11"/>
  <c r="D595" i="11"/>
  <c r="D594" i="11"/>
  <c r="D593" i="11"/>
  <c r="D592" i="11"/>
  <c r="D591" i="11"/>
  <c r="D590" i="11"/>
  <c r="D589" i="11"/>
  <c r="D588" i="11"/>
  <c r="D587" i="11"/>
  <c r="D586" i="11"/>
  <c r="D585" i="11"/>
  <c r="D584" i="11"/>
  <c r="D583" i="11"/>
  <c r="D582" i="11"/>
  <c r="D581" i="11"/>
  <c r="D580" i="11"/>
  <c r="D579" i="11"/>
  <c r="D578" i="11"/>
  <c r="D577" i="11"/>
  <c r="D576" i="11"/>
  <c r="D575" i="11"/>
  <c r="D574" i="11"/>
  <c r="D573" i="11"/>
  <c r="D572" i="11"/>
  <c r="D571" i="11"/>
  <c r="D570" i="11"/>
  <c r="D569" i="11"/>
  <c r="D568" i="11"/>
  <c r="D567" i="11"/>
  <c r="D566" i="11"/>
  <c r="D565" i="11"/>
  <c r="D564" i="11"/>
  <c r="D563" i="11"/>
  <c r="D562" i="11"/>
  <c r="D561" i="11"/>
  <c r="D560" i="11"/>
  <c r="D559" i="11"/>
  <c r="D558" i="11"/>
  <c r="D557" i="11"/>
  <c r="D556" i="11"/>
  <c r="D555" i="11"/>
  <c r="D554" i="11"/>
  <c r="D553" i="11"/>
  <c r="D552" i="11"/>
  <c r="D551" i="11"/>
  <c r="D550" i="11"/>
  <c r="D549" i="11"/>
  <c r="D548" i="11"/>
  <c r="D547" i="11"/>
  <c r="D546" i="11"/>
  <c r="D545" i="11"/>
  <c r="D544" i="11"/>
  <c r="D543" i="11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748" i="9"/>
  <c r="D747" i="9"/>
  <c r="D746" i="9"/>
  <c r="D745" i="9"/>
  <c r="D744" i="9"/>
  <c r="D743" i="9"/>
  <c r="D742" i="9"/>
  <c r="D741" i="9"/>
  <c r="D740" i="9"/>
  <c r="D739" i="9"/>
  <c r="D738" i="9"/>
  <c r="D737" i="9"/>
  <c r="D736" i="9"/>
  <c r="D735" i="9"/>
  <c r="D734" i="9"/>
  <c r="D733" i="9"/>
  <c r="D732" i="9"/>
  <c r="D731" i="9"/>
  <c r="D730" i="9"/>
  <c r="D729" i="9"/>
  <c r="D728" i="9"/>
  <c r="D727" i="9"/>
  <c r="D726" i="9"/>
  <c r="D725" i="9"/>
  <c r="D724" i="9"/>
  <c r="D723" i="9"/>
  <c r="D722" i="9"/>
  <c r="D721" i="9"/>
  <c r="D720" i="9"/>
  <c r="D719" i="9"/>
  <c r="D718" i="9"/>
  <c r="D717" i="9"/>
  <c r="D716" i="9"/>
  <c r="D715" i="9"/>
  <c r="D714" i="9"/>
  <c r="D713" i="9"/>
  <c r="D712" i="9"/>
  <c r="D711" i="9"/>
  <c r="D710" i="9"/>
  <c r="D709" i="9"/>
  <c r="D708" i="9"/>
  <c r="D707" i="9"/>
  <c r="D706" i="9"/>
  <c r="D705" i="9"/>
  <c r="D704" i="9"/>
  <c r="D703" i="9"/>
  <c r="D702" i="9"/>
  <c r="D701" i="9"/>
  <c r="D700" i="9"/>
  <c r="D699" i="9"/>
  <c r="D698" i="9"/>
  <c r="D697" i="9"/>
  <c r="D696" i="9"/>
  <c r="D695" i="9"/>
  <c r="D694" i="9"/>
  <c r="D693" i="9"/>
  <c r="D692" i="9"/>
  <c r="D691" i="9"/>
  <c r="D690" i="9"/>
  <c r="D689" i="9"/>
  <c r="D688" i="9"/>
  <c r="D687" i="9"/>
  <c r="D686" i="9"/>
  <c r="D685" i="9"/>
  <c r="D684" i="9"/>
  <c r="D683" i="9"/>
  <c r="D682" i="9"/>
  <c r="D681" i="9"/>
  <c r="D680" i="9"/>
  <c r="D679" i="9"/>
  <c r="D678" i="9"/>
  <c r="D677" i="9"/>
  <c r="D676" i="9"/>
  <c r="D675" i="9"/>
  <c r="D674" i="9"/>
  <c r="D673" i="9"/>
  <c r="D672" i="9"/>
  <c r="D671" i="9"/>
  <c r="D670" i="9"/>
  <c r="D669" i="9"/>
  <c r="D668" i="9"/>
  <c r="D667" i="9"/>
  <c r="D666" i="9"/>
  <c r="D665" i="9"/>
  <c r="D664" i="9"/>
  <c r="D663" i="9"/>
  <c r="D662" i="9"/>
  <c r="D661" i="9"/>
  <c r="D660" i="9"/>
  <c r="D659" i="9"/>
  <c r="D658" i="9"/>
  <c r="D657" i="9"/>
  <c r="D656" i="9"/>
  <c r="D655" i="9"/>
  <c r="D654" i="9"/>
  <c r="D653" i="9"/>
  <c r="D652" i="9"/>
  <c r="D651" i="9"/>
  <c r="D650" i="9"/>
  <c r="D649" i="9"/>
  <c r="D648" i="9"/>
  <c r="D647" i="9"/>
  <c r="D646" i="9"/>
  <c r="D645" i="9"/>
  <c r="D644" i="9"/>
  <c r="D643" i="9"/>
  <c r="D642" i="9"/>
  <c r="D641" i="9"/>
  <c r="D640" i="9"/>
  <c r="D639" i="9"/>
  <c r="D638" i="9"/>
  <c r="D637" i="9"/>
  <c r="D636" i="9"/>
  <c r="D635" i="9"/>
  <c r="D634" i="9"/>
  <c r="D633" i="9"/>
  <c r="D632" i="9"/>
  <c r="D631" i="9"/>
  <c r="D630" i="9"/>
  <c r="D629" i="9"/>
  <c r="D628" i="9"/>
  <c r="D627" i="9"/>
  <c r="D626" i="9"/>
  <c r="D625" i="9"/>
  <c r="D624" i="9"/>
  <c r="D623" i="9"/>
  <c r="D622" i="9"/>
  <c r="D621" i="9"/>
  <c r="D620" i="9"/>
  <c r="D619" i="9"/>
  <c r="D618" i="9"/>
  <c r="D617" i="9"/>
  <c r="D616" i="9"/>
  <c r="D615" i="9"/>
  <c r="D614" i="9"/>
  <c r="D613" i="9"/>
  <c r="D612" i="9"/>
  <c r="D611" i="9"/>
  <c r="D610" i="9"/>
  <c r="D609" i="9"/>
  <c r="D608" i="9"/>
  <c r="D607" i="9"/>
  <c r="D606" i="9"/>
  <c r="D605" i="9"/>
  <c r="D604" i="9"/>
  <c r="D603" i="9"/>
  <c r="D602" i="9"/>
  <c r="D601" i="9"/>
  <c r="D600" i="9"/>
  <c r="D599" i="9"/>
  <c r="D598" i="9"/>
  <c r="D597" i="9"/>
  <c r="D596" i="9"/>
  <c r="D595" i="9"/>
  <c r="D594" i="9"/>
  <c r="D593" i="9"/>
  <c r="D592" i="9"/>
  <c r="D591" i="9"/>
  <c r="D590" i="9"/>
  <c r="D589" i="9"/>
  <c r="D588" i="9"/>
  <c r="D587" i="9"/>
  <c r="D586" i="9"/>
  <c r="D585" i="9"/>
  <c r="D584" i="9"/>
  <c r="D583" i="9"/>
  <c r="D582" i="9"/>
  <c r="D581" i="9"/>
  <c r="D580" i="9"/>
  <c r="D579" i="9"/>
  <c r="D578" i="9"/>
  <c r="D577" i="9"/>
  <c r="D576" i="9"/>
  <c r="D575" i="9"/>
  <c r="D574" i="9"/>
  <c r="D573" i="9"/>
  <c r="D572" i="9"/>
  <c r="D571" i="9"/>
  <c r="D570" i="9"/>
  <c r="D569" i="9"/>
  <c r="D568" i="9"/>
  <c r="D567" i="9"/>
  <c r="D566" i="9"/>
  <c r="D565" i="9"/>
  <c r="D564" i="9"/>
  <c r="D563" i="9"/>
  <c r="D562" i="9"/>
  <c r="D561" i="9"/>
  <c r="D560" i="9"/>
  <c r="D559" i="9"/>
  <c r="D558" i="9"/>
  <c r="D557" i="9"/>
  <c r="D556" i="9"/>
  <c r="D555" i="9"/>
  <c r="D554" i="9"/>
  <c r="D553" i="9"/>
  <c r="D552" i="9"/>
  <c r="D551" i="9"/>
  <c r="D550" i="9"/>
  <c r="D549" i="9"/>
  <c r="D548" i="9"/>
  <c r="D547" i="9"/>
  <c r="D546" i="9"/>
  <c r="D545" i="9"/>
  <c r="D544" i="9"/>
  <c r="D543" i="9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748" i="8"/>
  <c r="D747" i="8"/>
  <c r="D746" i="8"/>
  <c r="D745" i="8"/>
  <c r="D744" i="8"/>
  <c r="D743" i="8"/>
  <c r="D742" i="8"/>
  <c r="D741" i="8"/>
  <c r="D740" i="8"/>
  <c r="D739" i="8"/>
  <c r="D738" i="8"/>
  <c r="D737" i="8"/>
  <c r="D736" i="8"/>
  <c r="D735" i="8"/>
  <c r="D734" i="8"/>
  <c r="D733" i="8"/>
  <c r="D732" i="8"/>
  <c r="D731" i="8"/>
  <c r="D730" i="8"/>
  <c r="D729" i="8"/>
  <c r="D728" i="8"/>
  <c r="D727" i="8"/>
  <c r="D726" i="8"/>
  <c r="D725" i="8"/>
  <c r="D724" i="8"/>
  <c r="D723" i="8"/>
  <c r="D722" i="8"/>
  <c r="D721" i="8"/>
  <c r="D720" i="8"/>
  <c r="D719" i="8"/>
  <c r="D718" i="8"/>
  <c r="D717" i="8"/>
  <c r="D716" i="8"/>
  <c r="D715" i="8"/>
  <c r="D714" i="8"/>
  <c r="D713" i="8"/>
  <c r="D712" i="8"/>
  <c r="D711" i="8"/>
  <c r="D710" i="8"/>
  <c r="D709" i="8"/>
  <c r="D708" i="8"/>
  <c r="D707" i="8"/>
  <c r="D706" i="8"/>
  <c r="D705" i="8"/>
  <c r="D704" i="8"/>
  <c r="D703" i="8"/>
  <c r="D702" i="8"/>
  <c r="D701" i="8"/>
  <c r="D700" i="8"/>
  <c r="D699" i="8"/>
  <c r="D698" i="8"/>
  <c r="D697" i="8"/>
  <c r="D696" i="8"/>
  <c r="D695" i="8"/>
  <c r="D694" i="8"/>
  <c r="D693" i="8"/>
  <c r="D692" i="8"/>
  <c r="D691" i="8"/>
  <c r="D690" i="8"/>
  <c r="D689" i="8"/>
  <c r="D688" i="8"/>
  <c r="D687" i="8"/>
  <c r="D686" i="8"/>
  <c r="D685" i="8"/>
  <c r="D684" i="8"/>
  <c r="D683" i="8"/>
  <c r="D682" i="8"/>
  <c r="D681" i="8"/>
  <c r="D680" i="8"/>
  <c r="D679" i="8"/>
  <c r="D678" i="8"/>
  <c r="D677" i="8"/>
  <c r="D676" i="8"/>
  <c r="D675" i="8"/>
  <c r="D674" i="8"/>
  <c r="D673" i="8"/>
  <c r="D672" i="8"/>
  <c r="D671" i="8"/>
  <c r="D670" i="8"/>
  <c r="D669" i="8"/>
  <c r="D668" i="8"/>
  <c r="D667" i="8"/>
  <c r="D666" i="8"/>
  <c r="D665" i="8"/>
  <c r="D664" i="8"/>
  <c r="D663" i="8"/>
  <c r="D662" i="8"/>
  <c r="D661" i="8"/>
  <c r="D660" i="8"/>
  <c r="D659" i="8"/>
  <c r="D658" i="8"/>
  <c r="D657" i="8"/>
  <c r="D656" i="8"/>
  <c r="D655" i="8"/>
  <c r="D654" i="8"/>
  <c r="D653" i="8"/>
  <c r="D652" i="8"/>
  <c r="D651" i="8"/>
  <c r="D650" i="8"/>
  <c r="D649" i="8"/>
  <c r="D648" i="8"/>
  <c r="D647" i="8"/>
  <c r="D646" i="8"/>
  <c r="D645" i="8"/>
  <c r="D644" i="8"/>
  <c r="D643" i="8"/>
  <c r="D642" i="8"/>
  <c r="D641" i="8"/>
  <c r="D640" i="8"/>
  <c r="D639" i="8"/>
  <c r="D638" i="8"/>
  <c r="D637" i="8"/>
  <c r="D636" i="8"/>
  <c r="D635" i="8"/>
  <c r="D634" i="8"/>
  <c r="D633" i="8"/>
  <c r="D632" i="8"/>
  <c r="D631" i="8"/>
  <c r="D630" i="8"/>
  <c r="D629" i="8"/>
  <c r="D628" i="8"/>
  <c r="D627" i="8"/>
  <c r="D626" i="8"/>
  <c r="D625" i="8"/>
  <c r="D624" i="8"/>
  <c r="D623" i="8"/>
  <c r="D622" i="8"/>
  <c r="D621" i="8"/>
  <c r="D620" i="8"/>
  <c r="D619" i="8"/>
  <c r="D618" i="8"/>
  <c r="D617" i="8"/>
  <c r="D616" i="8"/>
  <c r="D615" i="8"/>
  <c r="D614" i="8"/>
  <c r="D613" i="8"/>
  <c r="D612" i="8"/>
  <c r="D611" i="8"/>
  <c r="D610" i="8"/>
  <c r="D609" i="8"/>
  <c r="D608" i="8"/>
  <c r="D607" i="8"/>
  <c r="D606" i="8"/>
  <c r="D605" i="8"/>
  <c r="D604" i="8"/>
  <c r="D603" i="8"/>
  <c r="D602" i="8"/>
  <c r="D601" i="8"/>
  <c r="D600" i="8"/>
  <c r="D599" i="8"/>
  <c r="D598" i="8"/>
  <c r="D597" i="8"/>
  <c r="D596" i="8"/>
  <c r="D595" i="8"/>
  <c r="D594" i="8"/>
  <c r="D593" i="8"/>
  <c r="D592" i="8"/>
  <c r="D591" i="8"/>
  <c r="D590" i="8"/>
  <c r="D589" i="8"/>
  <c r="D588" i="8"/>
  <c r="D587" i="8"/>
  <c r="D586" i="8"/>
  <c r="D585" i="8"/>
  <c r="D584" i="8"/>
  <c r="D583" i="8"/>
  <c r="D582" i="8"/>
  <c r="D581" i="8"/>
  <c r="D580" i="8"/>
  <c r="D579" i="8"/>
  <c r="D578" i="8"/>
  <c r="D577" i="8"/>
  <c r="D576" i="8"/>
  <c r="D575" i="8"/>
  <c r="D574" i="8"/>
  <c r="D573" i="8"/>
  <c r="D572" i="8"/>
  <c r="D571" i="8"/>
  <c r="D570" i="8"/>
  <c r="D569" i="8"/>
  <c r="D568" i="8"/>
  <c r="D567" i="8"/>
  <c r="D566" i="8"/>
  <c r="D565" i="8"/>
  <c r="D564" i="8"/>
  <c r="D563" i="8"/>
  <c r="D562" i="8"/>
  <c r="D561" i="8"/>
  <c r="D560" i="8"/>
  <c r="D559" i="8"/>
  <c r="D558" i="8"/>
  <c r="D557" i="8"/>
  <c r="D556" i="8"/>
  <c r="D555" i="8"/>
  <c r="D554" i="8"/>
  <c r="D553" i="8"/>
  <c r="D552" i="8"/>
  <c r="D551" i="8"/>
  <c r="D550" i="8"/>
  <c r="D549" i="8"/>
  <c r="D548" i="8"/>
  <c r="D547" i="8"/>
  <c r="D546" i="8"/>
  <c r="D545" i="8"/>
  <c r="D544" i="8"/>
  <c r="D543" i="8"/>
  <c r="D542" i="8"/>
  <c r="D541" i="8"/>
  <c r="D540" i="8"/>
  <c r="D539" i="8"/>
  <c r="D538" i="8"/>
  <c r="D537" i="8"/>
  <c r="D536" i="8"/>
  <c r="D535" i="8"/>
  <c r="D534" i="8"/>
  <c r="D533" i="8"/>
  <c r="D532" i="8"/>
  <c r="D531" i="8"/>
  <c r="D530" i="8"/>
  <c r="D529" i="8"/>
  <c r="D528" i="8"/>
  <c r="D527" i="8"/>
  <c r="D526" i="8"/>
  <c r="D525" i="8"/>
  <c r="D524" i="8"/>
  <c r="D523" i="8"/>
  <c r="D522" i="8"/>
  <c r="D521" i="8"/>
  <c r="D520" i="8"/>
  <c r="D519" i="8"/>
  <c r="D518" i="8"/>
  <c r="D517" i="8"/>
  <c r="D516" i="8"/>
  <c r="D515" i="8"/>
  <c r="D514" i="8"/>
  <c r="D513" i="8"/>
  <c r="D512" i="8"/>
  <c r="D511" i="8"/>
  <c r="D510" i="8"/>
  <c r="D509" i="8"/>
  <c r="D508" i="8"/>
  <c r="D507" i="8"/>
  <c r="D506" i="8"/>
  <c r="D505" i="8"/>
  <c r="D504" i="8"/>
  <c r="D503" i="8"/>
  <c r="D502" i="8"/>
  <c r="D501" i="8"/>
  <c r="D500" i="8"/>
  <c r="D499" i="8"/>
  <c r="D498" i="8"/>
  <c r="D497" i="8"/>
  <c r="D496" i="8"/>
  <c r="D495" i="8"/>
  <c r="D494" i="8"/>
  <c r="D493" i="8"/>
  <c r="D492" i="8"/>
  <c r="D491" i="8"/>
  <c r="D490" i="8"/>
  <c r="D489" i="8"/>
  <c r="D488" i="8"/>
  <c r="D487" i="8"/>
  <c r="D486" i="8"/>
  <c r="D485" i="8"/>
  <c r="D484" i="8"/>
  <c r="D483" i="8"/>
  <c r="D482" i="8"/>
  <c r="D481" i="8"/>
  <c r="D480" i="8"/>
  <c r="D479" i="8"/>
  <c r="D478" i="8"/>
  <c r="D477" i="8"/>
  <c r="D476" i="8"/>
  <c r="D475" i="8"/>
  <c r="D474" i="8"/>
  <c r="D473" i="8"/>
  <c r="D472" i="8"/>
  <c r="D471" i="8"/>
  <c r="D470" i="8"/>
  <c r="D469" i="8"/>
  <c r="D468" i="8"/>
  <c r="D467" i="8"/>
  <c r="D466" i="8"/>
  <c r="D465" i="8"/>
  <c r="D464" i="8"/>
  <c r="D463" i="8"/>
  <c r="D462" i="8"/>
  <c r="D461" i="8"/>
  <c r="D460" i="8"/>
  <c r="D459" i="8"/>
  <c r="D458" i="8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1" i="8"/>
  <c r="D420" i="8"/>
  <c r="D419" i="8"/>
  <c r="D418" i="8"/>
  <c r="D417" i="8"/>
  <c r="D416" i="8"/>
  <c r="D415" i="8"/>
  <c r="D414" i="8"/>
  <c r="D413" i="8"/>
  <c r="D412" i="8"/>
  <c r="D411" i="8"/>
  <c r="D410" i="8"/>
  <c r="D409" i="8"/>
  <c r="D408" i="8"/>
  <c r="D407" i="8"/>
  <c r="D406" i="8"/>
  <c r="D405" i="8"/>
  <c r="D404" i="8"/>
  <c r="D403" i="8"/>
  <c r="D402" i="8"/>
  <c r="D401" i="8"/>
  <c r="D400" i="8"/>
  <c r="D399" i="8"/>
  <c r="D398" i="8"/>
  <c r="D397" i="8"/>
  <c r="D396" i="8"/>
  <c r="D395" i="8"/>
  <c r="D394" i="8"/>
  <c r="D393" i="8"/>
  <c r="D392" i="8"/>
  <c r="D391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374" i="8"/>
  <c r="D373" i="8"/>
  <c r="D372" i="8"/>
  <c r="D371" i="8"/>
  <c r="D370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D338" i="8"/>
  <c r="D337" i="8"/>
  <c r="D336" i="8"/>
  <c r="D335" i="8"/>
  <c r="D334" i="8"/>
  <c r="D333" i="8"/>
  <c r="D332" i="8"/>
  <c r="D331" i="8"/>
  <c r="D330" i="8"/>
  <c r="D284" i="8"/>
  <c r="D283" i="8"/>
  <c r="D282" i="8"/>
  <c r="D281" i="8"/>
  <c r="D280" i="8"/>
  <c r="D279" i="8"/>
  <c r="D278" i="8"/>
  <c r="D277" i="8"/>
  <c r="D276" i="8"/>
  <c r="D275" i="8"/>
  <c r="D274" i="8"/>
  <c r="D273" i="8"/>
  <c r="D272" i="8"/>
  <c r="D271" i="8"/>
  <c r="D270" i="8"/>
  <c r="D269" i="8"/>
  <c r="D268" i="8"/>
  <c r="D267" i="8"/>
  <c r="D266" i="8"/>
  <c r="D265" i="8"/>
  <c r="D264" i="8"/>
  <c r="D263" i="8"/>
  <c r="D262" i="8"/>
  <c r="D261" i="8"/>
  <c r="D260" i="8"/>
  <c r="D259" i="8"/>
  <c r="D258" i="8"/>
  <c r="D257" i="8"/>
  <c r="D256" i="8"/>
  <c r="D255" i="8"/>
  <c r="D254" i="8"/>
  <c r="D253" i="8"/>
  <c r="D252" i="8"/>
  <c r="D251" i="8"/>
  <c r="D250" i="8"/>
  <c r="D249" i="8"/>
  <c r="D248" i="8"/>
  <c r="D247" i="8"/>
  <c r="D246" i="8"/>
  <c r="D245" i="8"/>
  <c r="D244" i="8"/>
  <c r="D243" i="8"/>
  <c r="D242" i="8"/>
  <c r="D241" i="8"/>
  <c r="D240" i="8"/>
  <c r="D239" i="8"/>
  <c r="D238" i="8"/>
  <c r="D237" i="8"/>
  <c r="D236" i="8"/>
  <c r="D235" i="8"/>
  <c r="D234" i="8"/>
  <c r="D233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748" i="7"/>
  <c r="D747" i="7"/>
  <c r="D746" i="7"/>
  <c r="D745" i="7"/>
  <c r="D744" i="7"/>
  <c r="D743" i="7"/>
  <c r="D742" i="7"/>
  <c r="D741" i="7"/>
  <c r="D740" i="7"/>
  <c r="D739" i="7"/>
  <c r="D738" i="7"/>
  <c r="D737" i="7"/>
  <c r="D736" i="7"/>
  <c r="D735" i="7"/>
  <c r="D734" i="7"/>
  <c r="D733" i="7"/>
  <c r="D732" i="7"/>
  <c r="D731" i="7"/>
  <c r="D730" i="7"/>
  <c r="D729" i="7"/>
  <c r="D728" i="7"/>
  <c r="D727" i="7"/>
  <c r="D726" i="7"/>
  <c r="D725" i="7"/>
  <c r="D724" i="7"/>
  <c r="D723" i="7"/>
  <c r="D722" i="7"/>
  <c r="D721" i="7"/>
  <c r="D720" i="7"/>
  <c r="D719" i="7"/>
  <c r="D718" i="7"/>
  <c r="D717" i="7"/>
  <c r="D716" i="7"/>
  <c r="D715" i="7"/>
  <c r="D714" i="7"/>
  <c r="D713" i="7"/>
  <c r="D712" i="7"/>
  <c r="D711" i="7"/>
  <c r="D710" i="7"/>
  <c r="D709" i="7"/>
  <c r="D708" i="7"/>
  <c r="D707" i="7"/>
  <c r="D706" i="7"/>
  <c r="D705" i="7"/>
  <c r="D704" i="7"/>
  <c r="D703" i="7"/>
  <c r="D702" i="7"/>
  <c r="D701" i="7"/>
  <c r="D700" i="7"/>
  <c r="D699" i="7"/>
  <c r="D698" i="7"/>
  <c r="D697" i="7"/>
  <c r="D696" i="7"/>
  <c r="D695" i="7"/>
  <c r="D694" i="7"/>
  <c r="D693" i="7"/>
  <c r="D692" i="7"/>
  <c r="D691" i="7"/>
  <c r="D690" i="7"/>
  <c r="D689" i="7"/>
  <c r="D688" i="7"/>
  <c r="D687" i="7"/>
  <c r="D686" i="7"/>
  <c r="D685" i="7"/>
  <c r="D684" i="7"/>
  <c r="D683" i="7"/>
  <c r="D682" i="7"/>
  <c r="D681" i="7"/>
  <c r="D680" i="7"/>
  <c r="D679" i="7"/>
  <c r="D678" i="7"/>
  <c r="D677" i="7"/>
  <c r="D676" i="7"/>
  <c r="D675" i="7"/>
  <c r="D674" i="7"/>
  <c r="D673" i="7"/>
  <c r="D672" i="7"/>
  <c r="D671" i="7"/>
  <c r="D670" i="7"/>
  <c r="D669" i="7"/>
  <c r="D668" i="7"/>
  <c r="D667" i="7"/>
  <c r="D666" i="7"/>
  <c r="D665" i="7"/>
  <c r="D664" i="7"/>
  <c r="D663" i="7"/>
  <c r="D662" i="7"/>
  <c r="D661" i="7"/>
  <c r="D660" i="7"/>
  <c r="D659" i="7"/>
  <c r="D658" i="7"/>
  <c r="D657" i="7"/>
  <c r="D656" i="7"/>
  <c r="D655" i="7"/>
  <c r="D654" i="7"/>
  <c r="D653" i="7"/>
  <c r="D652" i="7"/>
  <c r="D651" i="7"/>
  <c r="D650" i="7"/>
  <c r="D649" i="7"/>
  <c r="D648" i="7"/>
  <c r="D647" i="7"/>
  <c r="D646" i="7"/>
  <c r="D645" i="7"/>
  <c r="D644" i="7"/>
  <c r="D643" i="7"/>
  <c r="D642" i="7"/>
  <c r="D641" i="7"/>
  <c r="D640" i="7"/>
  <c r="D639" i="7"/>
  <c r="D638" i="7"/>
  <c r="D637" i="7"/>
  <c r="D636" i="7"/>
  <c r="D635" i="7"/>
  <c r="D634" i="7"/>
  <c r="D633" i="7"/>
  <c r="D632" i="7"/>
  <c r="D631" i="7"/>
  <c r="D630" i="7"/>
  <c r="D629" i="7"/>
  <c r="D628" i="7"/>
  <c r="D627" i="7"/>
  <c r="D626" i="7"/>
  <c r="D625" i="7"/>
  <c r="D624" i="7"/>
  <c r="D623" i="7"/>
  <c r="D622" i="7"/>
  <c r="D621" i="7"/>
  <c r="D620" i="7"/>
  <c r="D619" i="7"/>
  <c r="D618" i="7"/>
  <c r="D617" i="7"/>
  <c r="D616" i="7"/>
  <c r="D615" i="7"/>
  <c r="D614" i="7"/>
  <c r="D613" i="7"/>
  <c r="D612" i="7"/>
  <c r="D611" i="7"/>
  <c r="D610" i="7"/>
  <c r="D609" i="7"/>
  <c r="D608" i="7"/>
  <c r="D607" i="7"/>
  <c r="D606" i="7"/>
  <c r="D605" i="7"/>
  <c r="D604" i="7"/>
  <c r="D603" i="7"/>
  <c r="D602" i="7"/>
  <c r="D601" i="7"/>
  <c r="D600" i="7"/>
  <c r="D599" i="7"/>
  <c r="D598" i="7"/>
  <c r="D597" i="7"/>
  <c r="D596" i="7"/>
  <c r="D595" i="7"/>
  <c r="D594" i="7"/>
  <c r="D593" i="7"/>
  <c r="D592" i="7"/>
  <c r="D591" i="7"/>
  <c r="D590" i="7"/>
  <c r="D589" i="7"/>
  <c r="D588" i="7"/>
  <c r="D587" i="7"/>
  <c r="D586" i="7"/>
  <c r="D585" i="7"/>
  <c r="D584" i="7"/>
  <c r="D583" i="7"/>
  <c r="D582" i="7"/>
  <c r="D581" i="7"/>
  <c r="D580" i="7"/>
  <c r="D579" i="7"/>
  <c r="D578" i="7"/>
  <c r="D577" i="7"/>
  <c r="D576" i="7"/>
  <c r="D575" i="7"/>
  <c r="D574" i="7"/>
  <c r="D573" i="7"/>
  <c r="D572" i="7"/>
  <c r="D571" i="7"/>
  <c r="D570" i="7"/>
  <c r="D569" i="7"/>
  <c r="D568" i="7"/>
  <c r="D567" i="7"/>
  <c r="D566" i="7"/>
  <c r="D565" i="7"/>
  <c r="D564" i="7"/>
  <c r="D563" i="7"/>
  <c r="D562" i="7"/>
  <c r="D561" i="7"/>
  <c r="D560" i="7"/>
  <c r="D559" i="7"/>
  <c r="D558" i="7"/>
  <c r="D557" i="7"/>
  <c r="D556" i="7"/>
  <c r="D555" i="7"/>
  <c r="D554" i="7"/>
  <c r="D553" i="7"/>
  <c r="D552" i="7"/>
  <c r="D551" i="7"/>
  <c r="D550" i="7"/>
  <c r="D549" i="7"/>
  <c r="D548" i="7"/>
  <c r="D547" i="7"/>
  <c r="D546" i="7"/>
  <c r="D545" i="7"/>
  <c r="D544" i="7"/>
  <c r="D543" i="7"/>
  <c r="D542" i="7"/>
  <c r="D541" i="7"/>
  <c r="D540" i="7"/>
  <c r="D539" i="7"/>
  <c r="D538" i="7"/>
  <c r="D537" i="7"/>
  <c r="D536" i="7"/>
  <c r="D535" i="7"/>
  <c r="D534" i="7"/>
  <c r="D533" i="7"/>
  <c r="D532" i="7"/>
  <c r="D531" i="7"/>
  <c r="D530" i="7"/>
  <c r="D529" i="7"/>
  <c r="D528" i="7"/>
  <c r="D527" i="7"/>
  <c r="D526" i="7"/>
  <c r="D525" i="7"/>
  <c r="D524" i="7"/>
  <c r="D523" i="7"/>
  <c r="D522" i="7"/>
  <c r="D521" i="7"/>
  <c r="D520" i="7"/>
  <c r="D519" i="7"/>
  <c r="D518" i="7"/>
  <c r="D517" i="7"/>
  <c r="D516" i="7"/>
  <c r="D515" i="7"/>
  <c r="D514" i="7"/>
  <c r="D513" i="7"/>
  <c r="D512" i="7"/>
  <c r="D511" i="7"/>
  <c r="D510" i="7"/>
  <c r="D509" i="7"/>
  <c r="D508" i="7"/>
  <c r="D507" i="7"/>
  <c r="D506" i="7"/>
  <c r="D505" i="7"/>
  <c r="D504" i="7"/>
  <c r="D503" i="7"/>
  <c r="D502" i="7"/>
  <c r="D501" i="7"/>
  <c r="D500" i="7"/>
  <c r="D499" i="7"/>
  <c r="D498" i="7"/>
  <c r="D497" i="7"/>
  <c r="D496" i="7"/>
  <c r="D495" i="7"/>
  <c r="D494" i="7"/>
  <c r="D493" i="7"/>
  <c r="D492" i="7"/>
  <c r="D491" i="7"/>
  <c r="D490" i="7"/>
  <c r="D489" i="7"/>
  <c r="D488" i="7"/>
  <c r="D487" i="7"/>
  <c r="D486" i="7"/>
  <c r="D485" i="7"/>
  <c r="D484" i="7"/>
  <c r="D483" i="7"/>
  <c r="D482" i="7"/>
  <c r="D481" i="7"/>
  <c r="D480" i="7"/>
  <c r="D479" i="7"/>
  <c r="D478" i="7"/>
  <c r="D477" i="7"/>
  <c r="D476" i="7"/>
  <c r="D475" i="7"/>
  <c r="D474" i="7"/>
  <c r="D473" i="7"/>
  <c r="D472" i="7"/>
  <c r="D471" i="7"/>
  <c r="D470" i="7"/>
  <c r="D469" i="7"/>
  <c r="D468" i="7"/>
  <c r="D467" i="7"/>
  <c r="D466" i="7"/>
  <c r="D465" i="7"/>
  <c r="D464" i="7"/>
  <c r="D463" i="7"/>
  <c r="D462" i="7"/>
  <c r="D461" i="7"/>
  <c r="D460" i="7"/>
  <c r="D459" i="7"/>
  <c r="D458" i="7"/>
  <c r="D457" i="7"/>
  <c r="D456" i="7"/>
  <c r="D455" i="7"/>
  <c r="D454" i="7"/>
  <c r="D453" i="7"/>
  <c r="D452" i="7"/>
  <c r="D451" i="7"/>
  <c r="D450" i="7"/>
  <c r="D449" i="7"/>
  <c r="D448" i="7"/>
  <c r="D447" i="7"/>
  <c r="D446" i="7"/>
  <c r="D445" i="7"/>
  <c r="D444" i="7"/>
  <c r="D443" i="7"/>
  <c r="D442" i="7"/>
  <c r="D441" i="7"/>
  <c r="D440" i="7"/>
  <c r="D439" i="7"/>
  <c r="D438" i="7"/>
  <c r="D437" i="7"/>
  <c r="D436" i="7"/>
  <c r="D435" i="7"/>
  <c r="D434" i="7"/>
  <c r="D433" i="7"/>
  <c r="D432" i="7"/>
  <c r="D431" i="7"/>
  <c r="D430" i="7"/>
  <c r="D429" i="7"/>
  <c r="D428" i="7"/>
  <c r="D427" i="7"/>
  <c r="D426" i="7"/>
  <c r="D425" i="7"/>
  <c r="D424" i="7"/>
  <c r="D423" i="7"/>
  <c r="D422" i="7"/>
  <c r="D421" i="7"/>
  <c r="D420" i="7"/>
  <c r="D419" i="7"/>
  <c r="D418" i="7"/>
  <c r="D417" i="7"/>
  <c r="D416" i="7"/>
  <c r="D415" i="7"/>
  <c r="D414" i="7"/>
  <c r="D413" i="7"/>
  <c r="D412" i="7"/>
  <c r="D411" i="7"/>
  <c r="D410" i="7"/>
  <c r="D409" i="7"/>
  <c r="D408" i="7"/>
  <c r="D407" i="7"/>
  <c r="D406" i="7"/>
  <c r="D405" i="7"/>
  <c r="D404" i="7"/>
  <c r="D403" i="7"/>
  <c r="D402" i="7"/>
  <c r="D401" i="7"/>
  <c r="D400" i="7"/>
  <c r="D399" i="7"/>
  <c r="D398" i="7"/>
  <c r="D397" i="7"/>
  <c r="D396" i="7"/>
  <c r="D395" i="7"/>
  <c r="D394" i="7"/>
  <c r="D393" i="7"/>
  <c r="D392" i="7"/>
  <c r="D391" i="7"/>
  <c r="D390" i="7"/>
  <c r="D389" i="7"/>
  <c r="D388" i="7"/>
  <c r="D387" i="7"/>
  <c r="D386" i="7"/>
  <c r="D385" i="7"/>
  <c r="D384" i="7"/>
  <c r="D383" i="7"/>
  <c r="D382" i="7"/>
  <c r="D381" i="7"/>
  <c r="D380" i="7"/>
  <c r="D379" i="7"/>
  <c r="D378" i="7"/>
  <c r="D377" i="7"/>
  <c r="D376" i="7"/>
  <c r="D375" i="7"/>
  <c r="D374" i="7"/>
  <c r="D373" i="7"/>
  <c r="D372" i="7"/>
  <c r="D371" i="7"/>
  <c r="D370" i="7"/>
  <c r="D369" i="7"/>
  <c r="D368" i="7"/>
  <c r="D367" i="7"/>
  <c r="D366" i="7"/>
  <c r="D365" i="7"/>
  <c r="D364" i="7"/>
  <c r="D363" i="7"/>
  <c r="D362" i="7"/>
  <c r="D361" i="7"/>
  <c r="D360" i="7"/>
  <c r="D359" i="7"/>
  <c r="D358" i="7"/>
  <c r="D357" i="7"/>
  <c r="D356" i="7"/>
  <c r="D355" i="7"/>
  <c r="D354" i="7"/>
  <c r="D353" i="7"/>
  <c r="D352" i="7"/>
  <c r="D351" i="7"/>
  <c r="D350" i="7"/>
  <c r="D349" i="7"/>
  <c r="D348" i="7"/>
  <c r="D347" i="7"/>
  <c r="D346" i="7"/>
  <c r="D345" i="7"/>
  <c r="D344" i="7"/>
  <c r="D343" i="7"/>
  <c r="D342" i="7"/>
  <c r="D341" i="7"/>
  <c r="D340" i="7"/>
  <c r="D339" i="7"/>
  <c r="D338" i="7"/>
  <c r="D337" i="7"/>
  <c r="D336" i="7"/>
  <c r="D335" i="7"/>
  <c r="D334" i="7"/>
  <c r="D333" i="7"/>
  <c r="D332" i="7"/>
  <c r="D331" i="7"/>
  <c r="D330" i="7"/>
  <c r="D284" i="7"/>
  <c r="D283" i="7"/>
  <c r="D282" i="7"/>
  <c r="D281" i="7"/>
  <c r="D280" i="7"/>
  <c r="D279" i="7"/>
  <c r="D278" i="7"/>
  <c r="D277" i="7"/>
  <c r="D276" i="7"/>
  <c r="D275" i="7"/>
  <c r="D274" i="7"/>
  <c r="D273" i="7"/>
  <c r="D272" i="7"/>
  <c r="D271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0" i="7"/>
  <c r="D41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3" i="7"/>
  <c r="D24" i="7"/>
  <c r="D22" i="7"/>
  <c r="V526" i="23"/>
  <c r="V525" i="23"/>
  <c r="V522" i="23"/>
  <c r="V521" i="23"/>
  <c r="V520" i="23"/>
  <c r="R527" i="23"/>
  <c r="Q527" i="23"/>
  <c r="P527" i="23"/>
  <c r="O527" i="23"/>
  <c r="N527" i="23"/>
  <c r="G527" i="23"/>
  <c r="H527" i="23"/>
  <c r="I527" i="23"/>
  <c r="J527" i="23"/>
  <c r="K527" i="23"/>
  <c r="S530" i="23"/>
  <c r="R530" i="23"/>
  <c r="Q530" i="23"/>
  <c r="P530" i="23"/>
  <c r="O530" i="23"/>
  <c r="N530" i="23"/>
  <c r="G530" i="23"/>
  <c r="H530" i="23"/>
  <c r="I530" i="23"/>
  <c r="J530" i="23"/>
  <c r="K530" i="23"/>
  <c r="F530" i="23"/>
  <c r="F527" i="23"/>
  <c r="S522" i="23"/>
  <c r="R522" i="23"/>
  <c r="Q522" i="23"/>
  <c r="P522" i="23"/>
  <c r="O522" i="23"/>
  <c r="N522" i="23"/>
  <c r="S521" i="23"/>
  <c r="R521" i="23"/>
  <c r="Q521" i="23"/>
  <c r="P521" i="23"/>
  <c r="O521" i="23"/>
  <c r="N521" i="23"/>
  <c r="S520" i="23"/>
  <c r="R520" i="23"/>
  <c r="Q520" i="23"/>
  <c r="P520" i="23"/>
  <c r="O520" i="23"/>
  <c r="N520" i="23"/>
  <c r="G520" i="23"/>
  <c r="H520" i="23"/>
  <c r="I520" i="23"/>
  <c r="J520" i="23"/>
  <c r="K520" i="23"/>
  <c r="G521" i="23"/>
  <c r="H521" i="23"/>
  <c r="I521" i="23"/>
  <c r="J521" i="23"/>
  <c r="K521" i="23"/>
  <c r="G522" i="23"/>
  <c r="H522" i="23"/>
  <c r="I522" i="23"/>
  <c r="J522" i="23"/>
  <c r="K522" i="23"/>
  <c r="F520" i="23"/>
  <c r="F521" i="23"/>
  <c r="F522" i="23"/>
  <c r="S526" i="23"/>
  <c r="R526" i="23"/>
  <c r="Q526" i="23"/>
  <c r="P526" i="23"/>
  <c r="O526" i="23"/>
  <c r="N526" i="23"/>
  <c r="S525" i="23"/>
  <c r="R525" i="23"/>
  <c r="Q525" i="23"/>
  <c r="P525" i="23"/>
  <c r="O525" i="23"/>
  <c r="N525" i="23"/>
  <c r="G525" i="23"/>
  <c r="H525" i="23"/>
  <c r="I525" i="23"/>
  <c r="J525" i="23"/>
  <c r="K525" i="23"/>
  <c r="G526" i="23"/>
  <c r="H526" i="23"/>
  <c r="I526" i="23"/>
  <c r="J526" i="23"/>
  <c r="K526" i="23"/>
  <c r="F526" i="23"/>
  <c r="F525" i="23"/>
  <c r="F497" i="23"/>
  <c r="S621" i="19"/>
  <c r="S618" i="19"/>
  <c r="S616" i="19"/>
  <c r="V606" i="19"/>
  <c r="V603" i="19"/>
  <c r="S601" i="19"/>
  <c r="X654" i="13"/>
  <c r="X744" i="11"/>
  <c r="X729" i="11"/>
  <c r="X714" i="11"/>
  <c r="X592" i="11"/>
  <c r="X577" i="11"/>
  <c r="S562" i="11"/>
  <c r="R562" i="11"/>
  <c r="Q562" i="11"/>
  <c r="P562" i="11"/>
  <c r="O562" i="11"/>
  <c r="N562" i="11"/>
  <c r="G562" i="11"/>
  <c r="H562" i="11"/>
  <c r="I562" i="11"/>
  <c r="J562" i="11"/>
  <c r="K562" i="11"/>
  <c r="F562" i="11"/>
  <c r="R586" i="9"/>
  <c r="Q586" i="9"/>
  <c r="P586" i="9"/>
  <c r="O586" i="9"/>
  <c r="N586" i="9"/>
  <c r="U2" i="7"/>
  <c r="S606" i="7"/>
  <c r="V606" i="7"/>
  <c r="V603" i="7"/>
  <c r="S601" i="7"/>
  <c r="S616" i="7"/>
  <c r="X622" i="7" l="1"/>
  <c r="X607" i="7"/>
  <c r="S599" i="7"/>
  <c r="F482" i="23"/>
  <c r="V507" i="23"/>
  <c r="V511" i="23"/>
  <c r="V510" i="23"/>
  <c r="V506" i="23"/>
  <c r="V505" i="23"/>
  <c r="S651" i="13" l="1"/>
  <c r="Q635" i="13"/>
  <c r="O635" i="13"/>
  <c r="N635" i="13"/>
  <c r="S635" i="13"/>
  <c r="R635" i="13"/>
  <c r="P635" i="13"/>
  <c r="S636" i="13"/>
  <c r="R636" i="13"/>
  <c r="Q636" i="13"/>
  <c r="P636" i="13"/>
  <c r="O636" i="13"/>
  <c r="N636" i="13"/>
  <c r="G636" i="13"/>
  <c r="H636" i="13"/>
  <c r="I636" i="13"/>
  <c r="J636" i="13"/>
  <c r="K636" i="13"/>
  <c r="F636" i="13"/>
  <c r="G635" i="13"/>
  <c r="H635" i="13"/>
  <c r="I635" i="13"/>
  <c r="J635" i="13"/>
  <c r="K635" i="13"/>
  <c r="F635" i="13"/>
  <c r="V569" i="23"/>
  <c r="V568" i="23"/>
  <c r="V567" i="23"/>
  <c r="V573" i="23"/>
  <c r="V572" i="23"/>
  <c r="S577" i="23"/>
  <c r="R577" i="23"/>
  <c r="Q577" i="23"/>
  <c r="P577" i="23"/>
  <c r="O577" i="23"/>
  <c r="N577" i="23"/>
  <c r="K577" i="23"/>
  <c r="J577" i="23"/>
  <c r="I577" i="23"/>
  <c r="H577" i="23"/>
  <c r="G577" i="23"/>
  <c r="F577" i="23"/>
  <c r="S574" i="23"/>
  <c r="R574" i="23"/>
  <c r="Q574" i="23"/>
  <c r="P574" i="23"/>
  <c r="O574" i="23"/>
  <c r="N574" i="23"/>
  <c r="K574" i="23"/>
  <c r="J574" i="23"/>
  <c r="I574" i="23"/>
  <c r="H574" i="23"/>
  <c r="G574" i="23"/>
  <c r="F574" i="23"/>
  <c r="S573" i="23"/>
  <c r="R573" i="23"/>
  <c r="Q573" i="23"/>
  <c r="P573" i="23"/>
  <c r="O573" i="23"/>
  <c r="N573" i="23"/>
  <c r="S572" i="23"/>
  <c r="R572" i="23"/>
  <c r="Q572" i="23"/>
  <c r="P572" i="23"/>
  <c r="O572" i="23"/>
  <c r="N572" i="23"/>
  <c r="K573" i="23"/>
  <c r="J573" i="23"/>
  <c r="I573" i="23"/>
  <c r="H573" i="23"/>
  <c r="G573" i="23"/>
  <c r="F573" i="23"/>
  <c r="K572" i="23"/>
  <c r="J572" i="23"/>
  <c r="I572" i="23"/>
  <c r="H572" i="23"/>
  <c r="G572" i="23"/>
  <c r="F572" i="23"/>
  <c r="R569" i="23"/>
  <c r="Q569" i="23"/>
  <c r="P569" i="23"/>
  <c r="O569" i="23"/>
  <c r="N569" i="23"/>
  <c r="S568" i="23"/>
  <c r="R568" i="23"/>
  <c r="Q568" i="23"/>
  <c r="P568" i="23"/>
  <c r="O568" i="23"/>
  <c r="N568" i="23"/>
  <c r="S567" i="23"/>
  <c r="R567" i="23"/>
  <c r="Q567" i="23"/>
  <c r="P567" i="23"/>
  <c r="O567" i="23"/>
  <c r="N567" i="23"/>
  <c r="G567" i="23"/>
  <c r="H567" i="23"/>
  <c r="I567" i="23"/>
  <c r="J567" i="23"/>
  <c r="K567" i="23"/>
  <c r="G568" i="23"/>
  <c r="H568" i="23"/>
  <c r="I568" i="23"/>
  <c r="J568" i="23"/>
  <c r="K568" i="23"/>
  <c r="G569" i="23"/>
  <c r="H569" i="23"/>
  <c r="I569" i="23"/>
  <c r="J569" i="23"/>
  <c r="K569" i="23"/>
  <c r="F568" i="23"/>
  <c r="F569" i="23"/>
  <c r="F567" i="23"/>
  <c r="V588" i="23" l="1"/>
  <c r="V587" i="23"/>
  <c r="V584" i="23"/>
  <c r="V583" i="23"/>
  <c r="V582" i="23"/>
  <c r="E529" i="23"/>
  <c r="E527" i="23"/>
  <c r="E591" i="23"/>
  <c r="E589" i="23"/>
  <c r="E666" i="23"/>
  <c r="E664" i="23"/>
  <c r="V663" i="23"/>
  <c r="V662" i="23"/>
  <c r="V659" i="23"/>
  <c r="V658" i="23"/>
  <c r="V657" i="23"/>
  <c r="S667" i="23"/>
  <c r="R667" i="23"/>
  <c r="Q667" i="23"/>
  <c r="P667" i="23"/>
  <c r="O667" i="23"/>
  <c r="N667" i="23"/>
  <c r="K667" i="23"/>
  <c r="J667" i="23"/>
  <c r="I667" i="23"/>
  <c r="H667" i="23"/>
  <c r="G667" i="23"/>
  <c r="F667" i="23"/>
  <c r="L667" i="23" s="1"/>
  <c r="M667" i="23" s="1"/>
  <c r="S664" i="23"/>
  <c r="R664" i="23"/>
  <c r="Q664" i="23"/>
  <c r="P664" i="23"/>
  <c r="O664" i="23"/>
  <c r="N664" i="23"/>
  <c r="K664" i="23"/>
  <c r="J664" i="23"/>
  <c r="I664" i="23"/>
  <c r="H664" i="23"/>
  <c r="G664" i="23"/>
  <c r="F664" i="23"/>
  <c r="S663" i="23"/>
  <c r="R663" i="23"/>
  <c r="Q663" i="23"/>
  <c r="P663" i="23"/>
  <c r="O663" i="23"/>
  <c r="N663" i="23"/>
  <c r="K663" i="23"/>
  <c r="J663" i="23"/>
  <c r="I663" i="23"/>
  <c r="H663" i="23"/>
  <c r="G663" i="23"/>
  <c r="F663" i="23"/>
  <c r="L663" i="23" s="1"/>
  <c r="M663" i="23" s="1"/>
  <c r="S662" i="23"/>
  <c r="R662" i="23"/>
  <c r="Q662" i="23"/>
  <c r="P662" i="23"/>
  <c r="O662" i="23"/>
  <c r="N662" i="23"/>
  <c r="K662" i="23"/>
  <c r="J662" i="23"/>
  <c r="I662" i="23"/>
  <c r="H662" i="23"/>
  <c r="G662" i="23"/>
  <c r="F662" i="23"/>
  <c r="L662" i="23" s="1"/>
  <c r="M662" i="23" s="1"/>
  <c r="S659" i="23"/>
  <c r="R659" i="23"/>
  <c r="Q659" i="23"/>
  <c r="P659" i="23"/>
  <c r="O659" i="23"/>
  <c r="N659" i="23"/>
  <c r="K659" i="23"/>
  <c r="J659" i="23"/>
  <c r="I659" i="23"/>
  <c r="H659" i="23"/>
  <c r="G659" i="23"/>
  <c r="F659" i="23"/>
  <c r="S658" i="23"/>
  <c r="R658" i="23"/>
  <c r="Q658" i="23"/>
  <c r="P658" i="23"/>
  <c r="O658" i="23"/>
  <c r="N658" i="23"/>
  <c r="K658" i="23"/>
  <c r="J658" i="23"/>
  <c r="I658" i="23"/>
  <c r="H658" i="23"/>
  <c r="G658" i="23"/>
  <c r="F658" i="23"/>
  <c r="S657" i="23"/>
  <c r="R657" i="23"/>
  <c r="Q657" i="23"/>
  <c r="P657" i="23"/>
  <c r="O657" i="23"/>
  <c r="N657" i="23"/>
  <c r="K657" i="23"/>
  <c r="J657" i="23"/>
  <c r="I657" i="23"/>
  <c r="H657" i="23"/>
  <c r="G657" i="23"/>
  <c r="F657" i="23"/>
  <c r="L657" i="23" s="1"/>
  <c r="M657" i="23" s="1"/>
  <c r="V648" i="23"/>
  <c r="V647" i="23"/>
  <c r="V644" i="23"/>
  <c r="V643" i="23"/>
  <c r="V642" i="23"/>
  <c r="E651" i="23"/>
  <c r="E649" i="23"/>
  <c r="E634" i="23" s="1"/>
  <c r="S652" i="23"/>
  <c r="R652" i="23"/>
  <c r="Q652" i="23"/>
  <c r="P652" i="23"/>
  <c r="O652" i="23"/>
  <c r="N652" i="23"/>
  <c r="S649" i="23"/>
  <c r="R649" i="23"/>
  <c r="Q649" i="23"/>
  <c r="P649" i="23"/>
  <c r="O649" i="23"/>
  <c r="N649" i="23"/>
  <c r="S648" i="23"/>
  <c r="R648" i="23"/>
  <c r="Q648" i="23"/>
  <c r="P648" i="23"/>
  <c r="O648" i="23"/>
  <c r="N648" i="23"/>
  <c r="S647" i="23"/>
  <c r="R647" i="23"/>
  <c r="Q647" i="23"/>
  <c r="P647" i="23"/>
  <c r="O647" i="23"/>
  <c r="N647" i="23"/>
  <c r="S644" i="23"/>
  <c r="R644" i="23"/>
  <c r="Q644" i="23"/>
  <c r="P644" i="23"/>
  <c r="O644" i="23"/>
  <c r="N644" i="23"/>
  <c r="S643" i="23"/>
  <c r="R643" i="23"/>
  <c r="Q643" i="23"/>
  <c r="P643" i="23"/>
  <c r="O643" i="23"/>
  <c r="N643" i="23"/>
  <c r="S642" i="23"/>
  <c r="R642" i="23"/>
  <c r="Q642" i="23"/>
  <c r="P642" i="23"/>
  <c r="O642" i="23"/>
  <c r="N642" i="23"/>
  <c r="K652" i="23"/>
  <c r="J652" i="23"/>
  <c r="I652" i="23"/>
  <c r="H652" i="23"/>
  <c r="G652" i="23"/>
  <c r="F652" i="23"/>
  <c r="K649" i="23"/>
  <c r="J649" i="23"/>
  <c r="I649" i="23"/>
  <c r="H649" i="23"/>
  <c r="G649" i="23"/>
  <c r="F649" i="23"/>
  <c r="K648" i="23"/>
  <c r="J648" i="23"/>
  <c r="I648" i="23"/>
  <c r="H648" i="23"/>
  <c r="G648" i="23"/>
  <c r="F648" i="23"/>
  <c r="K647" i="23"/>
  <c r="J647" i="23"/>
  <c r="I647" i="23"/>
  <c r="H647" i="23"/>
  <c r="G647" i="23"/>
  <c r="F647" i="23"/>
  <c r="G642" i="23"/>
  <c r="H642" i="23"/>
  <c r="I642" i="23"/>
  <c r="J642" i="23"/>
  <c r="K642" i="23"/>
  <c r="G643" i="23"/>
  <c r="H643" i="23"/>
  <c r="I643" i="23"/>
  <c r="J643" i="23"/>
  <c r="K643" i="23"/>
  <c r="G644" i="23"/>
  <c r="H644" i="23"/>
  <c r="I644" i="23"/>
  <c r="J644" i="23"/>
  <c r="K644" i="23"/>
  <c r="F643" i="23"/>
  <c r="F644" i="23"/>
  <c r="F642" i="23"/>
  <c r="E621" i="23"/>
  <c r="E619" i="23"/>
  <c r="V618" i="23"/>
  <c r="V617" i="23"/>
  <c r="V614" i="23"/>
  <c r="V613" i="23"/>
  <c r="V612" i="23"/>
  <c r="S619" i="23"/>
  <c r="R619" i="23"/>
  <c r="Q619" i="23"/>
  <c r="P619" i="23"/>
  <c r="O619" i="23"/>
  <c r="N619" i="23"/>
  <c r="S622" i="23"/>
  <c r="R622" i="23"/>
  <c r="Q622" i="23"/>
  <c r="P622" i="23"/>
  <c r="O622" i="23"/>
  <c r="N622" i="23"/>
  <c r="S618" i="23"/>
  <c r="R618" i="23"/>
  <c r="Q618" i="23"/>
  <c r="P618" i="23"/>
  <c r="O618" i="23"/>
  <c r="N618" i="23"/>
  <c r="S617" i="23"/>
  <c r="R617" i="23"/>
  <c r="Q617" i="23"/>
  <c r="P617" i="23"/>
  <c r="O617" i="23"/>
  <c r="N617" i="23"/>
  <c r="S614" i="23"/>
  <c r="R614" i="23"/>
  <c r="Q614" i="23"/>
  <c r="P614" i="23"/>
  <c r="O614" i="23"/>
  <c r="N614" i="23"/>
  <c r="S613" i="23"/>
  <c r="R613" i="23"/>
  <c r="Q613" i="23"/>
  <c r="P613" i="23"/>
  <c r="O613" i="23"/>
  <c r="N613" i="23"/>
  <c r="S612" i="23"/>
  <c r="R612" i="23"/>
  <c r="Q612" i="23"/>
  <c r="P612" i="23"/>
  <c r="O612" i="23"/>
  <c r="N612" i="23"/>
  <c r="K622" i="23"/>
  <c r="J622" i="23"/>
  <c r="I622" i="23"/>
  <c r="H622" i="23"/>
  <c r="G622" i="23"/>
  <c r="F622" i="23"/>
  <c r="K619" i="23"/>
  <c r="J619" i="23"/>
  <c r="I619" i="23"/>
  <c r="H619" i="23"/>
  <c r="G619" i="23"/>
  <c r="F619" i="23"/>
  <c r="K618" i="23"/>
  <c r="J618" i="23"/>
  <c r="I618" i="23"/>
  <c r="H618" i="23"/>
  <c r="G618" i="23"/>
  <c r="F618" i="23"/>
  <c r="K617" i="23"/>
  <c r="J617" i="23"/>
  <c r="I617" i="23"/>
  <c r="H617" i="23"/>
  <c r="G617" i="23"/>
  <c r="F617" i="23"/>
  <c r="F613" i="23"/>
  <c r="G613" i="23"/>
  <c r="H613" i="23"/>
  <c r="I613" i="23"/>
  <c r="J613" i="23"/>
  <c r="K613" i="23"/>
  <c r="F614" i="23"/>
  <c r="G614" i="23"/>
  <c r="H614" i="23"/>
  <c r="I614" i="23"/>
  <c r="J614" i="23"/>
  <c r="K614" i="23"/>
  <c r="K612" i="23"/>
  <c r="J612" i="23"/>
  <c r="I612" i="23"/>
  <c r="H612" i="23"/>
  <c r="G612" i="23"/>
  <c r="F612" i="23"/>
  <c r="E606" i="23"/>
  <c r="E604" i="23"/>
  <c r="F604" i="23"/>
  <c r="F559" i="23" s="1"/>
  <c r="F607" i="23"/>
  <c r="V603" i="23"/>
  <c r="V602" i="23"/>
  <c r="V557" i="23" s="1"/>
  <c r="V599" i="23"/>
  <c r="V552" i="23" s="1"/>
  <c r="V598" i="23"/>
  <c r="V551" i="23" s="1"/>
  <c r="V597" i="23"/>
  <c r="V550" i="23" s="1"/>
  <c r="S604" i="23"/>
  <c r="S559" i="23" s="1"/>
  <c r="R604" i="23"/>
  <c r="R559" i="23" s="1"/>
  <c r="Q604" i="23"/>
  <c r="Q559" i="23" s="1"/>
  <c r="P604" i="23"/>
  <c r="P559" i="23" s="1"/>
  <c r="O604" i="23"/>
  <c r="O559" i="23" s="1"/>
  <c r="N604" i="23"/>
  <c r="N559" i="23" s="1"/>
  <c r="S599" i="23"/>
  <c r="R599" i="23"/>
  <c r="R552" i="23" s="1"/>
  <c r="Q599" i="23"/>
  <c r="Q552" i="23" s="1"/>
  <c r="P599" i="23"/>
  <c r="P552" i="23" s="1"/>
  <c r="O599" i="23"/>
  <c r="O552" i="23" s="1"/>
  <c r="N599" i="23"/>
  <c r="N552" i="23" s="1"/>
  <c r="S598" i="23"/>
  <c r="S551" i="23" s="1"/>
  <c r="R598" i="23"/>
  <c r="R551" i="23" s="1"/>
  <c r="Q598" i="23"/>
  <c r="Q551" i="23" s="1"/>
  <c r="P598" i="23"/>
  <c r="P551" i="23" s="1"/>
  <c r="O598" i="23"/>
  <c r="O551" i="23" s="1"/>
  <c r="N598" i="23"/>
  <c r="N551" i="23" s="1"/>
  <c r="S597" i="23"/>
  <c r="S550" i="23" s="1"/>
  <c r="R597" i="23"/>
  <c r="R550" i="23" s="1"/>
  <c r="Q597" i="23"/>
  <c r="Q550" i="23" s="1"/>
  <c r="P597" i="23"/>
  <c r="P550" i="23" s="1"/>
  <c r="O597" i="23"/>
  <c r="O550" i="23" s="1"/>
  <c r="N597" i="23"/>
  <c r="N550" i="23" s="1"/>
  <c r="S603" i="23"/>
  <c r="R603" i="23"/>
  <c r="Q603" i="23"/>
  <c r="P603" i="23"/>
  <c r="O603" i="23"/>
  <c r="N603" i="23"/>
  <c r="S602" i="23"/>
  <c r="R602" i="23"/>
  <c r="Q602" i="23"/>
  <c r="P602" i="23"/>
  <c r="O602" i="23"/>
  <c r="N602" i="23"/>
  <c r="S607" i="23"/>
  <c r="R607" i="23"/>
  <c r="Q607" i="23"/>
  <c r="P607" i="23"/>
  <c r="O607" i="23"/>
  <c r="N607" i="23"/>
  <c r="K607" i="23"/>
  <c r="J607" i="23"/>
  <c r="I607" i="23"/>
  <c r="H607" i="23"/>
  <c r="G607" i="23"/>
  <c r="K604" i="23"/>
  <c r="K559" i="23" s="1"/>
  <c r="J604" i="23"/>
  <c r="J559" i="23" s="1"/>
  <c r="I604" i="23"/>
  <c r="I559" i="23" s="1"/>
  <c r="H604" i="23"/>
  <c r="H559" i="23" s="1"/>
  <c r="G604" i="23"/>
  <c r="G559" i="23" s="1"/>
  <c r="K603" i="23"/>
  <c r="J603" i="23"/>
  <c r="I603" i="23"/>
  <c r="H603" i="23"/>
  <c r="G603" i="23"/>
  <c r="F603" i="23"/>
  <c r="F609" i="23" s="1"/>
  <c r="K602" i="23"/>
  <c r="J602" i="23"/>
  <c r="I602" i="23"/>
  <c r="H602" i="23"/>
  <c r="G602" i="23"/>
  <c r="F602" i="23"/>
  <c r="G597" i="23"/>
  <c r="G550" i="23" s="1"/>
  <c r="H597" i="23"/>
  <c r="H550" i="23" s="1"/>
  <c r="I597" i="23"/>
  <c r="I550" i="23" s="1"/>
  <c r="J597" i="23"/>
  <c r="J550" i="23" s="1"/>
  <c r="K597" i="23"/>
  <c r="K550" i="23" s="1"/>
  <c r="G598" i="23"/>
  <c r="G551" i="23" s="1"/>
  <c r="H598" i="23"/>
  <c r="H551" i="23" s="1"/>
  <c r="I598" i="23"/>
  <c r="I551" i="23" s="1"/>
  <c r="J598" i="23"/>
  <c r="J551" i="23" s="1"/>
  <c r="K598" i="23"/>
  <c r="K551" i="23" s="1"/>
  <c r="G599" i="23"/>
  <c r="G552" i="23" s="1"/>
  <c r="H599" i="23"/>
  <c r="H552" i="23" s="1"/>
  <c r="I599" i="23"/>
  <c r="I552" i="23" s="1"/>
  <c r="J599" i="23"/>
  <c r="J552" i="23" s="1"/>
  <c r="K599" i="23"/>
  <c r="K552" i="23" s="1"/>
  <c r="F598" i="23"/>
  <c r="F551" i="23" s="1"/>
  <c r="F599" i="23"/>
  <c r="F552" i="23" s="1"/>
  <c r="F597" i="23"/>
  <c r="F550" i="23" s="1"/>
  <c r="S592" i="23"/>
  <c r="S562" i="23" s="1"/>
  <c r="R592" i="23"/>
  <c r="Q592" i="23"/>
  <c r="Q562" i="23" s="1"/>
  <c r="P592" i="23"/>
  <c r="O592" i="23"/>
  <c r="O562" i="23" s="1"/>
  <c r="N592" i="23"/>
  <c r="S589" i="23"/>
  <c r="R589" i="23"/>
  <c r="Q589" i="23"/>
  <c r="P589" i="23"/>
  <c r="O589" i="23"/>
  <c r="N589" i="23"/>
  <c r="S588" i="23"/>
  <c r="S558" i="23" s="1"/>
  <c r="R588" i="23"/>
  <c r="Q588" i="23"/>
  <c r="Q558" i="23" s="1"/>
  <c r="P588" i="23"/>
  <c r="O588" i="23"/>
  <c r="O558" i="23" s="1"/>
  <c r="N588" i="23"/>
  <c r="S587" i="23"/>
  <c r="R587" i="23"/>
  <c r="Q587" i="23"/>
  <c r="P587" i="23"/>
  <c r="O587" i="23"/>
  <c r="N587" i="23"/>
  <c r="S584" i="23"/>
  <c r="R584" i="23"/>
  <c r="Q584" i="23"/>
  <c r="P584" i="23"/>
  <c r="O584" i="23"/>
  <c r="N584" i="23"/>
  <c r="S583" i="23"/>
  <c r="R583" i="23"/>
  <c r="Q583" i="23"/>
  <c r="P583" i="23"/>
  <c r="O583" i="23"/>
  <c r="N583" i="23"/>
  <c r="S582" i="23"/>
  <c r="R582" i="23"/>
  <c r="Q582" i="23"/>
  <c r="P582" i="23"/>
  <c r="O582" i="23"/>
  <c r="N582" i="23"/>
  <c r="K592" i="23"/>
  <c r="K562" i="23" s="1"/>
  <c r="J592" i="23"/>
  <c r="I592" i="23"/>
  <c r="I562" i="23" s="1"/>
  <c r="H592" i="23"/>
  <c r="G592" i="23"/>
  <c r="G562" i="23" s="1"/>
  <c r="F592" i="23"/>
  <c r="K589" i="23"/>
  <c r="J589" i="23"/>
  <c r="I589" i="23"/>
  <c r="H589" i="23"/>
  <c r="G589" i="23"/>
  <c r="F589" i="23"/>
  <c r="K587" i="23"/>
  <c r="J587" i="23"/>
  <c r="I587" i="23"/>
  <c r="H587" i="23"/>
  <c r="G587" i="23"/>
  <c r="F587" i="23"/>
  <c r="K584" i="23"/>
  <c r="J584" i="23"/>
  <c r="I584" i="23"/>
  <c r="H584" i="23"/>
  <c r="G584" i="23"/>
  <c r="F584" i="23"/>
  <c r="K583" i="23"/>
  <c r="J583" i="23"/>
  <c r="I583" i="23"/>
  <c r="H583" i="23"/>
  <c r="G583" i="23"/>
  <c r="F583" i="23"/>
  <c r="K582" i="23"/>
  <c r="J582" i="23"/>
  <c r="I582" i="23"/>
  <c r="H582" i="23"/>
  <c r="G582" i="23"/>
  <c r="F582" i="23"/>
  <c r="E576" i="23"/>
  <c r="E574" i="23"/>
  <c r="E544" i="23"/>
  <c r="E543" i="23" s="1"/>
  <c r="E542" i="23"/>
  <c r="V541" i="23"/>
  <c r="V540" i="23"/>
  <c r="V537" i="23"/>
  <c r="V536" i="23"/>
  <c r="V535" i="23"/>
  <c r="K545" i="23"/>
  <c r="J545" i="23"/>
  <c r="I545" i="23"/>
  <c r="H545" i="23"/>
  <c r="G545" i="23"/>
  <c r="F545" i="23"/>
  <c r="K542" i="23"/>
  <c r="J542" i="23"/>
  <c r="I542" i="23"/>
  <c r="H542" i="23"/>
  <c r="G542" i="23"/>
  <c r="F542" i="23"/>
  <c r="K541" i="23"/>
  <c r="J541" i="23"/>
  <c r="I541" i="23"/>
  <c r="H541" i="23"/>
  <c r="G541" i="23"/>
  <c r="F541" i="23"/>
  <c r="K540" i="23"/>
  <c r="J540" i="23"/>
  <c r="I540" i="23"/>
  <c r="H540" i="23"/>
  <c r="G540" i="23"/>
  <c r="F540" i="23"/>
  <c r="S536" i="23"/>
  <c r="R536" i="23"/>
  <c r="Q536" i="23"/>
  <c r="P536" i="23"/>
  <c r="O536" i="23"/>
  <c r="N536" i="23"/>
  <c r="S535" i="23"/>
  <c r="R535" i="23"/>
  <c r="Q535" i="23"/>
  <c r="P535" i="23"/>
  <c r="O535" i="23"/>
  <c r="N535" i="23"/>
  <c r="K537" i="23"/>
  <c r="J537" i="23"/>
  <c r="I537" i="23"/>
  <c r="H537" i="23"/>
  <c r="G537" i="23"/>
  <c r="F537" i="23"/>
  <c r="K536" i="23"/>
  <c r="J536" i="23"/>
  <c r="I536" i="23"/>
  <c r="H536" i="23"/>
  <c r="G536" i="23"/>
  <c r="F536" i="23"/>
  <c r="K535" i="23"/>
  <c r="J535" i="23"/>
  <c r="I535" i="23"/>
  <c r="H535" i="23"/>
  <c r="G535" i="23"/>
  <c r="F535" i="23"/>
  <c r="E514" i="23"/>
  <c r="E512" i="23"/>
  <c r="S515" i="23"/>
  <c r="R515" i="23"/>
  <c r="Q515" i="23"/>
  <c r="P515" i="23"/>
  <c r="O515" i="23"/>
  <c r="N515" i="23"/>
  <c r="K515" i="23"/>
  <c r="J515" i="23"/>
  <c r="I515" i="23"/>
  <c r="H515" i="23"/>
  <c r="G515" i="23"/>
  <c r="F515" i="23"/>
  <c r="S512" i="23"/>
  <c r="R512" i="23"/>
  <c r="Q512" i="23"/>
  <c r="P512" i="23"/>
  <c r="O512" i="23"/>
  <c r="N512" i="23"/>
  <c r="S511" i="23"/>
  <c r="R511" i="23"/>
  <c r="Q511" i="23"/>
  <c r="P511" i="23"/>
  <c r="O511" i="23"/>
  <c r="N511" i="23"/>
  <c r="S510" i="23"/>
  <c r="R510" i="23"/>
  <c r="Q510" i="23"/>
  <c r="P510" i="23"/>
  <c r="O510" i="23"/>
  <c r="N510" i="23"/>
  <c r="K512" i="23"/>
  <c r="J512" i="23"/>
  <c r="I512" i="23"/>
  <c r="H512" i="23"/>
  <c r="G512" i="23"/>
  <c r="F512" i="23"/>
  <c r="K511" i="23"/>
  <c r="J511" i="23"/>
  <c r="I511" i="23"/>
  <c r="H511" i="23"/>
  <c r="G511" i="23"/>
  <c r="F511" i="23"/>
  <c r="K510" i="23"/>
  <c r="J510" i="23"/>
  <c r="I510" i="23"/>
  <c r="H510" i="23"/>
  <c r="G510" i="23"/>
  <c r="F510" i="23"/>
  <c r="S507" i="23"/>
  <c r="R507" i="23"/>
  <c r="Q507" i="23"/>
  <c r="P507" i="23"/>
  <c r="O507" i="23"/>
  <c r="N507" i="23"/>
  <c r="S506" i="23"/>
  <c r="R506" i="23"/>
  <c r="Q506" i="23"/>
  <c r="P506" i="23"/>
  <c r="O506" i="23"/>
  <c r="N506" i="23"/>
  <c r="S505" i="23"/>
  <c r="R505" i="23"/>
  <c r="Q505" i="23"/>
  <c r="P505" i="23"/>
  <c r="O505" i="23"/>
  <c r="N505" i="23"/>
  <c r="G505" i="23"/>
  <c r="H505" i="23"/>
  <c r="I505" i="23"/>
  <c r="J505" i="23"/>
  <c r="K505" i="23"/>
  <c r="G506" i="23"/>
  <c r="H506" i="23"/>
  <c r="I506" i="23"/>
  <c r="J506" i="23"/>
  <c r="K506" i="23"/>
  <c r="G507" i="23"/>
  <c r="H507" i="23"/>
  <c r="I507" i="23"/>
  <c r="J507" i="23"/>
  <c r="K507" i="23"/>
  <c r="F506" i="23"/>
  <c r="F507" i="23"/>
  <c r="F505" i="23"/>
  <c r="V496" i="23"/>
  <c r="V495" i="23"/>
  <c r="V480" i="23" s="1"/>
  <c r="V491" i="23"/>
  <c r="V474" i="23" s="1"/>
  <c r="V490" i="23"/>
  <c r="V473" i="23" s="1"/>
  <c r="E499" i="23"/>
  <c r="E497" i="23"/>
  <c r="S497" i="23"/>
  <c r="R497" i="23"/>
  <c r="Q497" i="23"/>
  <c r="P497" i="23"/>
  <c r="O497" i="23"/>
  <c r="N497" i="23"/>
  <c r="K497" i="23"/>
  <c r="J497" i="23"/>
  <c r="I497" i="23"/>
  <c r="H497" i="23"/>
  <c r="G497" i="23"/>
  <c r="S500" i="23"/>
  <c r="S485" i="23" s="1"/>
  <c r="R500" i="23"/>
  <c r="R485" i="23" s="1"/>
  <c r="Q500" i="23"/>
  <c r="Q485" i="23" s="1"/>
  <c r="P500" i="23"/>
  <c r="P485" i="23" s="1"/>
  <c r="O500" i="23"/>
  <c r="O485" i="23" s="1"/>
  <c r="N500" i="23"/>
  <c r="N485" i="23" s="1"/>
  <c r="K500" i="23"/>
  <c r="K485" i="23" s="1"/>
  <c r="J500" i="23"/>
  <c r="J485" i="23" s="1"/>
  <c r="I500" i="23"/>
  <c r="I485" i="23" s="1"/>
  <c r="H500" i="23"/>
  <c r="H485" i="23" s="1"/>
  <c r="G500" i="23"/>
  <c r="G485" i="23" s="1"/>
  <c r="F500" i="23"/>
  <c r="F485" i="23" s="1"/>
  <c r="S496" i="23"/>
  <c r="R496" i="23"/>
  <c r="Q496" i="23"/>
  <c r="P496" i="23"/>
  <c r="O496" i="23"/>
  <c r="N496" i="23"/>
  <c r="S495" i="23"/>
  <c r="R495" i="23"/>
  <c r="Q495" i="23"/>
  <c r="P495" i="23"/>
  <c r="O495" i="23"/>
  <c r="N495" i="23"/>
  <c r="K496" i="23"/>
  <c r="J496" i="23"/>
  <c r="I496" i="23"/>
  <c r="H496" i="23"/>
  <c r="G496" i="23"/>
  <c r="F496" i="23"/>
  <c r="K495" i="23"/>
  <c r="J495" i="23"/>
  <c r="I495" i="23"/>
  <c r="H495" i="23"/>
  <c r="G495" i="23"/>
  <c r="F495" i="23"/>
  <c r="S492" i="23"/>
  <c r="S475" i="23" s="1"/>
  <c r="R492" i="23"/>
  <c r="R475" i="23" s="1"/>
  <c r="Q492" i="23"/>
  <c r="Q475" i="23" s="1"/>
  <c r="P492" i="23"/>
  <c r="P475" i="23" s="1"/>
  <c r="O492" i="23"/>
  <c r="O475" i="23" s="1"/>
  <c r="N492" i="23"/>
  <c r="N475" i="23" s="1"/>
  <c r="S491" i="23"/>
  <c r="S474" i="23" s="1"/>
  <c r="R491" i="23"/>
  <c r="R474" i="23" s="1"/>
  <c r="Q491" i="23"/>
  <c r="Q474" i="23" s="1"/>
  <c r="P491" i="23"/>
  <c r="P474" i="23" s="1"/>
  <c r="O491" i="23"/>
  <c r="O474" i="23" s="1"/>
  <c r="N491" i="23"/>
  <c r="N474" i="23" s="1"/>
  <c r="S490" i="23"/>
  <c r="S473" i="23" s="1"/>
  <c r="R490" i="23"/>
  <c r="R473" i="23" s="1"/>
  <c r="Q490" i="23"/>
  <c r="Q473" i="23" s="1"/>
  <c r="P490" i="23"/>
  <c r="P473" i="23" s="1"/>
  <c r="O490" i="23"/>
  <c r="O473" i="23" s="1"/>
  <c r="N490" i="23"/>
  <c r="N473" i="23" s="1"/>
  <c r="G490" i="23"/>
  <c r="G473" i="23" s="1"/>
  <c r="H490" i="23"/>
  <c r="H473" i="23" s="1"/>
  <c r="I490" i="23"/>
  <c r="I473" i="23" s="1"/>
  <c r="K490" i="23"/>
  <c r="K473" i="23" s="1"/>
  <c r="G491" i="23"/>
  <c r="G474" i="23" s="1"/>
  <c r="H491" i="23"/>
  <c r="H474" i="23" s="1"/>
  <c r="I491" i="23"/>
  <c r="I474" i="23" s="1"/>
  <c r="K491" i="23"/>
  <c r="K474" i="23" s="1"/>
  <c r="G492" i="23"/>
  <c r="G475" i="23" s="1"/>
  <c r="H492" i="23"/>
  <c r="H475" i="23" s="1"/>
  <c r="I492" i="23"/>
  <c r="I475" i="23" s="1"/>
  <c r="K492" i="23"/>
  <c r="K475" i="23" s="1"/>
  <c r="F491" i="23"/>
  <c r="F474" i="23" s="1"/>
  <c r="F492" i="23"/>
  <c r="F475" i="23" s="1"/>
  <c r="F490" i="23"/>
  <c r="F473" i="23" s="1"/>
  <c r="V430" i="23"/>
  <c r="V429" i="23"/>
  <c r="V426" i="23"/>
  <c r="V425" i="23"/>
  <c r="V424" i="23"/>
  <c r="E433" i="23"/>
  <c r="E431" i="23"/>
  <c r="K434" i="23"/>
  <c r="I434" i="23"/>
  <c r="H434" i="23"/>
  <c r="G434" i="23"/>
  <c r="F434" i="23"/>
  <c r="S434" i="23"/>
  <c r="R434" i="23"/>
  <c r="Q434" i="23"/>
  <c r="P434" i="23"/>
  <c r="O434" i="23"/>
  <c r="N434" i="23"/>
  <c r="R431" i="23"/>
  <c r="Q431" i="23"/>
  <c r="P431" i="23"/>
  <c r="O431" i="23"/>
  <c r="N431" i="23"/>
  <c r="K431" i="23"/>
  <c r="J431" i="23"/>
  <c r="I431" i="23"/>
  <c r="H431" i="23"/>
  <c r="G431" i="23"/>
  <c r="F431" i="23"/>
  <c r="K430" i="23"/>
  <c r="J430" i="23"/>
  <c r="I430" i="23"/>
  <c r="H430" i="23"/>
  <c r="G430" i="23"/>
  <c r="K429" i="23"/>
  <c r="J429" i="23"/>
  <c r="I429" i="23"/>
  <c r="H429" i="23"/>
  <c r="G429" i="23"/>
  <c r="F429" i="23"/>
  <c r="S430" i="23"/>
  <c r="R430" i="23"/>
  <c r="Q430" i="23"/>
  <c r="P430" i="23"/>
  <c r="O430" i="23"/>
  <c r="N430" i="23"/>
  <c r="S429" i="23"/>
  <c r="R429" i="23"/>
  <c r="Q429" i="23"/>
  <c r="P429" i="23"/>
  <c r="O429" i="23"/>
  <c r="N429" i="23"/>
  <c r="S425" i="23"/>
  <c r="R425" i="23"/>
  <c r="Q425" i="23"/>
  <c r="P425" i="23"/>
  <c r="O425" i="23"/>
  <c r="N425" i="23"/>
  <c r="S424" i="23"/>
  <c r="R424" i="23"/>
  <c r="Q424" i="23"/>
  <c r="P424" i="23"/>
  <c r="O424" i="23"/>
  <c r="N424" i="23"/>
  <c r="F425" i="23"/>
  <c r="G425" i="23"/>
  <c r="H425" i="23"/>
  <c r="I425" i="23"/>
  <c r="J425" i="23"/>
  <c r="K425" i="23"/>
  <c r="H426" i="23"/>
  <c r="I426" i="23"/>
  <c r="J426" i="23"/>
  <c r="K426" i="23"/>
  <c r="G424" i="23"/>
  <c r="H424" i="23"/>
  <c r="I424" i="23"/>
  <c r="J424" i="23"/>
  <c r="K424" i="23"/>
  <c r="F424" i="23"/>
  <c r="V415" i="23"/>
  <c r="V414" i="23"/>
  <c r="V411" i="23"/>
  <c r="V410" i="23"/>
  <c r="V409" i="23"/>
  <c r="E418" i="23"/>
  <c r="S419" i="23"/>
  <c r="R419" i="23"/>
  <c r="Q419" i="23"/>
  <c r="P419" i="23"/>
  <c r="O419" i="23"/>
  <c r="N419" i="23"/>
  <c r="R416" i="23"/>
  <c r="Q416" i="23"/>
  <c r="P416" i="23"/>
  <c r="O416" i="23"/>
  <c r="N416" i="23"/>
  <c r="S415" i="23"/>
  <c r="R415" i="23"/>
  <c r="Q415" i="23"/>
  <c r="P415" i="23"/>
  <c r="O415" i="23"/>
  <c r="N415" i="23"/>
  <c r="S414" i="23"/>
  <c r="R414" i="23"/>
  <c r="Q414" i="23"/>
  <c r="P414" i="23"/>
  <c r="O414" i="23"/>
  <c r="N414" i="23"/>
  <c r="R411" i="23"/>
  <c r="Q411" i="23"/>
  <c r="S410" i="23"/>
  <c r="R410" i="23"/>
  <c r="Q410" i="23"/>
  <c r="P410" i="23"/>
  <c r="O410" i="23"/>
  <c r="N410" i="23"/>
  <c r="S409" i="23"/>
  <c r="R409" i="23"/>
  <c r="Q409" i="23"/>
  <c r="P409" i="23"/>
  <c r="O409" i="23"/>
  <c r="N409" i="23"/>
  <c r="K419" i="23"/>
  <c r="J419" i="23"/>
  <c r="I419" i="23"/>
  <c r="H419" i="23"/>
  <c r="G419" i="23"/>
  <c r="F419" i="23"/>
  <c r="K416" i="23"/>
  <c r="J416" i="23"/>
  <c r="I416" i="23"/>
  <c r="H416" i="23"/>
  <c r="G416" i="23"/>
  <c r="F416" i="23"/>
  <c r="K415" i="23"/>
  <c r="J415" i="23"/>
  <c r="I415" i="23"/>
  <c r="H415" i="23"/>
  <c r="G415" i="23"/>
  <c r="K414" i="23"/>
  <c r="J414" i="23"/>
  <c r="I414" i="23"/>
  <c r="H414" i="23"/>
  <c r="G414" i="23"/>
  <c r="F414" i="23"/>
  <c r="K411" i="23"/>
  <c r="J411" i="23"/>
  <c r="I411" i="23"/>
  <c r="H411" i="23"/>
  <c r="G411" i="23"/>
  <c r="F411" i="23"/>
  <c r="K410" i="23"/>
  <c r="J410" i="23"/>
  <c r="I410" i="23"/>
  <c r="H410" i="23"/>
  <c r="G410" i="23"/>
  <c r="F410" i="23"/>
  <c r="G409" i="23"/>
  <c r="H409" i="23"/>
  <c r="I409" i="23"/>
  <c r="J409" i="23"/>
  <c r="K409" i="23"/>
  <c r="F409" i="23"/>
  <c r="V385" i="23"/>
  <c r="V384" i="23"/>
  <c r="V381" i="23"/>
  <c r="V380" i="23"/>
  <c r="V379" i="23"/>
  <c r="E388" i="23"/>
  <c r="E386" i="23"/>
  <c r="S389" i="23"/>
  <c r="R389" i="23"/>
  <c r="Q389" i="23"/>
  <c r="P389" i="23"/>
  <c r="O389" i="23"/>
  <c r="N389" i="23"/>
  <c r="R386" i="23"/>
  <c r="Q386" i="23"/>
  <c r="P386" i="23"/>
  <c r="O386" i="23"/>
  <c r="N386" i="23"/>
  <c r="K389" i="23"/>
  <c r="J389" i="23"/>
  <c r="I389" i="23"/>
  <c r="H389" i="23"/>
  <c r="G389" i="23"/>
  <c r="F389" i="23"/>
  <c r="K386" i="23"/>
  <c r="J386" i="23"/>
  <c r="I386" i="23"/>
  <c r="H386" i="23"/>
  <c r="G386" i="23"/>
  <c r="F386" i="23"/>
  <c r="S385" i="23"/>
  <c r="R385" i="23"/>
  <c r="Q385" i="23"/>
  <c r="P385" i="23"/>
  <c r="O385" i="23"/>
  <c r="N385" i="23"/>
  <c r="S384" i="23"/>
  <c r="R384" i="23"/>
  <c r="Q384" i="23"/>
  <c r="P384" i="23"/>
  <c r="O384" i="23"/>
  <c r="N384" i="23"/>
  <c r="K385" i="23"/>
  <c r="J385" i="23"/>
  <c r="I385" i="23"/>
  <c r="H385" i="23"/>
  <c r="G385" i="23"/>
  <c r="F385" i="23"/>
  <c r="K384" i="23"/>
  <c r="J384" i="23"/>
  <c r="I384" i="23"/>
  <c r="H384" i="23"/>
  <c r="G384" i="23"/>
  <c r="F384" i="23"/>
  <c r="S381" i="23"/>
  <c r="R381" i="23"/>
  <c r="Q381" i="23"/>
  <c r="P381" i="23"/>
  <c r="O381" i="23"/>
  <c r="N381" i="23"/>
  <c r="S380" i="23"/>
  <c r="R380" i="23"/>
  <c r="Q380" i="23"/>
  <c r="P380" i="23"/>
  <c r="O380" i="23"/>
  <c r="N380" i="23"/>
  <c r="S379" i="23"/>
  <c r="R379" i="23"/>
  <c r="Q379" i="23"/>
  <c r="P379" i="23"/>
  <c r="O379" i="23"/>
  <c r="N379" i="23"/>
  <c r="K381" i="23"/>
  <c r="J381" i="23"/>
  <c r="I381" i="23"/>
  <c r="H381" i="23"/>
  <c r="G381" i="23"/>
  <c r="F381" i="23"/>
  <c r="K380" i="23"/>
  <c r="J380" i="23"/>
  <c r="I380" i="23"/>
  <c r="H380" i="23"/>
  <c r="G380" i="23"/>
  <c r="F380" i="23"/>
  <c r="G379" i="23"/>
  <c r="H379" i="23"/>
  <c r="I379" i="23"/>
  <c r="J379" i="23"/>
  <c r="K379" i="23"/>
  <c r="F379" i="23"/>
  <c r="E373" i="23"/>
  <c r="E371" i="23"/>
  <c r="V370" i="23"/>
  <c r="V369" i="23"/>
  <c r="V366" i="23"/>
  <c r="V365" i="23"/>
  <c r="V364" i="23"/>
  <c r="S374" i="23"/>
  <c r="R374" i="23"/>
  <c r="Q374" i="23"/>
  <c r="P374" i="23"/>
  <c r="O374" i="23"/>
  <c r="N374" i="23"/>
  <c r="R371" i="23"/>
  <c r="Q371" i="23"/>
  <c r="P371" i="23"/>
  <c r="O371" i="23"/>
  <c r="N371" i="23"/>
  <c r="S370" i="23"/>
  <c r="R370" i="23"/>
  <c r="Q370" i="23"/>
  <c r="P370" i="23"/>
  <c r="O370" i="23"/>
  <c r="N370" i="23"/>
  <c r="S369" i="23"/>
  <c r="R369" i="23"/>
  <c r="Q369" i="23"/>
  <c r="P369" i="23"/>
  <c r="O369" i="23"/>
  <c r="N369" i="23"/>
  <c r="S366" i="23"/>
  <c r="R366" i="23"/>
  <c r="Q366" i="23"/>
  <c r="P366" i="23"/>
  <c r="O366" i="23"/>
  <c r="N366" i="23"/>
  <c r="S365" i="23"/>
  <c r="R365" i="23"/>
  <c r="Q365" i="23"/>
  <c r="P365" i="23"/>
  <c r="O365" i="23"/>
  <c r="N365" i="23"/>
  <c r="S364" i="23"/>
  <c r="R364" i="23"/>
  <c r="Q364" i="23"/>
  <c r="P364" i="23"/>
  <c r="O364" i="23"/>
  <c r="N364" i="23"/>
  <c r="K374" i="23"/>
  <c r="J374" i="23"/>
  <c r="I374" i="23"/>
  <c r="H374" i="23"/>
  <c r="G374" i="23"/>
  <c r="F374" i="23"/>
  <c r="K371" i="23"/>
  <c r="J371" i="23"/>
  <c r="I371" i="23"/>
  <c r="H371" i="23"/>
  <c r="G371" i="23"/>
  <c r="F371" i="23"/>
  <c r="K370" i="23"/>
  <c r="J370" i="23"/>
  <c r="I370" i="23"/>
  <c r="H370" i="23"/>
  <c r="G370" i="23"/>
  <c r="F370" i="23"/>
  <c r="K369" i="23"/>
  <c r="J369" i="23"/>
  <c r="I369" i="23"/>
  <c r="H369" i="23"/>
  <c r="G369" i="23"/>
  <c r="F369" i="23"/>
  <c r="K366" i="23"/>
  <c r="J366" i="23"/>
  <c r="I366" i="23"/>
  <c r="H366" i="23"/>
  <c r="G366" i="23"/>
  <c r="F366" i="23"/>
  <c r="K365" i="23"/>
  <c r="J365" i="23"/>
  <c r="I365" i="23"/>
  <c r="H365" i="23"/>
  <c r="G365" i="23"/>
  <c r="F365" i="23"/>
  <c r="G364" i="23"/>
  <c r="H364" i="23"/>
  <c r="I364" i="23"/>
  <c r="J364" i="23"/>
  <c r="K364" i="23"/>
  <c r="F364" i="23"/>
  <c r="E358" i="23"/>
  <c r="E356" i="23"/>
  <c r="V355" i="23"/>
  <c r="V354" i="23"/>
  <c r="V351" i="23"/>
  <c r="V350" i="23"/>
  <c r="V349" i="23"/>
  <c r="F356" i="23"/>
  <c r="S359" i="23"/>
  <c r="R359" i="23"/>
  <c r="Q359" i="23"/>
  <c r="P359" i="23"/>
  <c r="O359" i="23"/>
  <c r="N359" i="23"/>
  <c r="K359" i="23"/>
  <c r="J359" i="23"/>
  <c r="I359" i="23"/>
  <c r="H359" i="23"/>
  <c r="G359" i="23"/>
  <c r="F359" i="23"/>
  <c r="K355" i="23"/>
  <c r="J355" i="23"/>
  <c r="I355" i="23"/>
  <c r="H355" i="23"/>
  <c r="G355" i="23"/>
  <c r="F355" i="23"/>
  <c r="K354" i="23"/>
  <c r="J354" i="23"/>
  <c r="I354" i="23"/>
  <c r="H354" i="23"/>
  <c r="G354" i="23"/>
  <c r="F354" i="23"/>
  <c r="S350" i="23"/>
  <c r="R350" i="23"/>
  <c r="Q350" i="23"/>
  <c r="P350" i="23"/>
  <c r="O350" i="23"/>
  <c r="N350" i="23"/>
  <c r="S349" i="23"/>
  <c r="R349" i="23"/>
  <c r="Q349" i="23"/>
  <c r="P349" i="23"/>
  <c r="O349" i="23"/>
  <c r="N349" i="23"/>
  <c r="G349" i="23"/>
  <c r="H349" i="23"/>
  <c r="I349" i="23"/>
  <c r="J349" i="23"/>
  <c r="K349" i="23"/>
  <c r="G350" i="23"/>
  <c r="H350" i="23"/>
  <c r="I350" i="23"/>
  <c r="J350" i="23"/>
  <c r="K350" i="23"/>
  <c r="F350" i="23"/>
  <c r="F351" i="23"/>
  <c r="F349" i="23"/>
  <c r="V323" i="23"/>
  <c r="V322" i="23"/>
  <c r="V319" i="23"/>
  <c r="V318" i="23"/>
  <c r="V317" i="23"/>
  <c r="E326" i="23"/>
  <c r="E324" i="23"/>
  <c r="S327" i="23"/>
  <c r="R327" i="23"/>
  <c r="Q327" i="23"/>
  <c r="P327" i="23"/>
  <c r="O327" i="23"/>
  <c r="N327" i="23"/>
  <c r="R324" i="23"/>
  <c r="Q324" i="23"/>
  <c r="P324" i="23"/>
  <c r="O324" i="23"/>
  <c r="N324" i="23"/>
  <c r="S323" i="23"/>
  <c r="R323" i="23"/>
  <c r="Q323" i="23"/>
  <c r="P323" i="23"/>
  <c r="O323" i="23"/>
  <c r="N323" i="23"/>
  <c r="S322" i="23"/>
  <c r="R322" i="23"/>
  <c r="Q322" i="23"/>
  <c r="P322" i="23"/>
  <c r="O322" i="23"/>
  <c r="N322" i="23"/>
  <c r="S319" i="23"/>
  <c r="R319" i="23"/>
  <c r="Q319" i="23"/>
  <c r="P319" i="23"/>
  <c r="O319" i="23"/>
  <c r="N319" i="23"/>
  <c r="S318" i="23"/>
  <c r="R318" i="23"/>
  <c r="Q318" i="23"/>
  <c r="P318" i="23"/>
  <c r="O318" i="23"/>
  <c r="N318" i="23"/>
  <c r="S317" i="23"/>
  <c r="R317" i="23"/>
  <c r="Q317" i="23"/>
  <c r="P317" i="23"/>
  <c r="O317" i="23"/>
  <c r="N317" i="23"/>
  <c r="K327" i="23"/>
  <c r="J327" i="23"/>
  <c r="I327" i="23"/>
  <c r="H327" i="23"/>
  <c r="G327" i="23"/>
  <c r="F327" i="23"/>
  <c r="K324" i="23"/>
  <c r="J324" i="23"/>
  <c r="I324" i="23"/>
  <c r="H324" i="23"/>
  <c r="G324" i="23"/>
  <c r="F324" i="23"/>
  <c r="K323" i="23"/>
  <c r="J323" i="23"/>
  <c r="I323" i="23"/>
  <c r="H323" i="23"/>
  <c r="G323" i="23"/>
  <c r="F323" i="23"/>
  <c r="K322" i="23"/>
  <c r="J322" i="23"/>
  <c r="I322" i="23"/>
  <c r="H322" i="23"/>
  <c r="G322" i="23"/>
  <c r="F322" i="23"/>
  <c r="G317" i="23"/>
  <c r="H317" i="23"/>
  <c r="I317" i="23"/>
  <c r="J317" i="23"/>
  <c r="K317" i="23"/>
  <c r="G318" i="23"/>
  <c r="H318" i="23"/>
  <c r="I318" i="23"/>
  <c r="J318" i="23"/>
  <c r="K318" i="23"/>
  <c r="G319" i="23"/>
  <c r="H319" i="23"/>
  <c r="I319" i="23"/>
  <c r="J319" i="23"/>
  <c r="K319" i="23"/>
  <c r="F318" i="23"/>
  <c r="F319" i="23"/>
  <c r="F317" i="23"/>
  <c r="V308" i="23"/>
  <c r="V307" i="23"/>
  <c r="V304" i="23"/>
  <c r="V303" i="23"/>
  <c r="V302" i="23"/>
  <c r="E311" i="23"/>
  <c r="E309" i="23"/>
  <c r="S312" i="23"/>
  <c r="R312" i="23"/>
  <c r="Q312" i="23"/>
  <c r="P312" i="23"/>
  <c r="O312" i="23"/>
  <c r="N312" i="23"/>
  <c r="R309" i="23"/>
  <c r="Q309" i="23"/>
  <c r="P309" i="23"/>
  <c r="O309" i="23"/>
  <c r="N309" i="23"/>
  <c r="S308" i="23"/>
  <c r="R308" i="23"/>
  <c r="Q308" i="23"/>
  <c r="P308" i="23"/>
  <c r="O308" i="23"/>
  <c r="N308" i="23"/>
  <c r="S307" i="23"/>
  <c r="R307" i="23"/>
  <c r="Q307" i="23"/>
  <c r="P307" i="23"/>
  <c r="O307" i="23"/>
  <c r="N307" i="23"/>
  <c r="S304" i="23"/>
  <c r="R304" i="23"/>
  <c r="Q304" i="23"/>
  <c r="P304" i="23"/>
  <c r="O304" i="23"/>
  <c r="N304" i="23"/>
  <c r="S303" i="23"/>
  <c r="R303" i="23"/>
  <c r="Q303" i="23"/>
  <c r="P303" i="23"/>
  <c r="O303" i="23"/>
  <c r="N303" i="23"/>
  <c r="S302" i="23"/>
  <c r="R302" i="23"/>
  <c r="Q302" i="23"/>
  <c r="P302" i="23"/>
  <c r="O302" i="23"/>
  <c r="N302" i="23"/>
  <c r="K312" i="23"/>
  <c r="J312" i="23"/>
  <c r="I312" i="23"/>
  <c r="H312" i="23"/>
  <c r="G312" i="23"/>
  <c r="F312" i="23"/>
  <c r="K309" i="23"/>
  <c r="J309" i="23"/>
  <c r="I309" i="23"/>
  <c r="H309" i="23"/>
  <c r="G309" i="23"/>
  <c r="F309" i="23"/>
  <c r="K308" i="23"/>
  <c r="J308" i="23"/>
  <c r="I308" i="23"/>
  <c r="H308" i="23"/>
  <c r="G308" i="23"/>
  <c r="F308" i="23"/>
  <c r="K307" i="23"/>
  <c r="J307" i="23"/>
  <c r="I307" i="23"/>
  <c r="H307" i="23"/>
  <c r="G307" i="23"/>
  <c r="F307" i="23"/>
  <c r="G302" i="23"/>
  <c r="H302" i="23"/>
  <c r="I302" i="23"/>
  <c r="J302" i="23"/>
  <c r="K302" i="23"/>
  <c r="G303" i="23"/>
  <c r="H303" i="23"/>
  <c r="I303" i="23"/>
  <c r="J303" i="23"/>
  <c r="K303" i="23"/>
  <c r="G304" i="23"/>
  <c r="H304" i="23"/>
  <c r="I304" i="23"/>
  <c r="J304" i="23"/>
  <c r="K304" i="23"/>
  <c r="F303" i="23"/>
  <c r="F304" i="23"/>
  <c r="F302" i="23"/>
  <c r="V293" i="23"/>
  <c r="V292" i="23"/>
  <c r="V289" i="23"/>
  <c r="V288" i="23"/>
  <c r="V287" i="23"/>
  <c r="E296" i="23"/>
  <c r="E294" i="23"/>
  <c r="S297" i="23"/>
  <c r="R297" i="23"/>
  <c r="Q297" i="23"/>
  <c r="P297" i="23"/>
  <c r="O297" i="23"/>
  <c r="N297" i="23"/>
  <c r="N294" i="23"/>
  <c r="S293" i="23"/>
  <c r="R293" i="23"/>
  <c r="Q293" i="23"/>
  <c r="P293" i="23"/>
  <c r="O293" i="23"/>
  <c r="N293" i="23"/>
  <c r="S292" i="23"/>
  <c r="R292" i="23"/>
  <c r="Q292" i="23"/>
  <c r="P292" i="23"/>
  <c r="O292" i="23"/>
  <c r="N292" i="23"/>
  <c r="S288" i="23"/>
  <c r="R288" i="23"/>
  <c r="Q288" i="23"/>
  <c r="P288" i="23"/>
  <c r="O288" i="23"/>
  <c r="N288" i="23"/>
  <c r="S287" i="23"/>
  <c r="R287" i="23"/>
  <c r="Q287" i="23"/>
  <c r="P287" i="23"/>
  <c r="O287" i="23"/>
  <c r="N287" i="23"/>
  <c r="K297" i="23"/>
  <c r="J297" i="23"/>
  <c r="I297" i="23"/>
  <c r="H297" i="23"/>
  <c r="G297" i="23"/>
  <c r="F297" i="23"/>
  <c r="F294" i="23"/>
  <c r="K293" i="23"/>
  <c r="J293" i="23"/>
  <c r="I293" i="23"/>
  <c r="H293" i="23"/>
  <c r="G293" i="23"/>
  <c r="F293" i="23"/>
  <c r="K292" i="23"/>
  <c r="J292" i="23"/>
  <c r="I292" i="23"/>
  <c r="H292" i="23"/>
  <c r="G292" i="23"/>
  <c r="F292" i="23"/>
  <c r="F287" i="23"/>
  <c r="G287" i="23"/>
  <c r="H287" i="23"/>
  <c r="I287" i="23"/>
  <c r="J287" i="23"/>
  <c r="K287" i="23"/>
  <c r="F288" i="23"/>
  <c r="G288" i="23"/>
  <c r="H288" i="23"/>
  <c r="I288" i="23"/>
  <c r="J288" i="23"/>
  <c r="K288" i="23"/>
  <c r="F289" i="23"/>
  <c r="V244" i="23"/>
  <c r="V243" i="23"/>
  <c r="V240" i="23"/>
  <c r="V239" i="23"/>
  <c r="V238" i="23"/>
  <c r="E247" i="23"/>
  <c r="E245" i="23"/>
  <c r="R245" i="23"/>
  <c r="Q245" i="23"/>
  <c r="P245" i="23"/>
  <c r="O245" i="23"/>
  <c r="N245" i="23"/>
  <c r="K245" i="23"/>
  <c r="J245" i="23"/>
  <c r="I245" i="23"/>
  <c r="H245" i="23"/>
  <c r="G245" i="23"/>
  <c r="F245" i="23"/>
  <c r="S248" i="23"/>
  <c r="R248" i="23"/>
  <c r="Q248" i="23"/>
  <c r="P248" i="23"/>
  <c r="O248" i="23"/>
  <c r="N248" i="23"/>
  <c r="K248" i="23"/>
  <c r="J248" i="23"/>
  <c r="I248" i="23"/>
  <c r="H248" i="23"/>
  <c r="G248" i="23"/>
  <c r="F248" i="23"/>
  <c r="K244" i="23"/>
  <c r="J244" i="23"/>
  <c r="I244" i="23"/>
  <c r="H244" i="23"/>
  <c r="G244" i="23"/>
  <c r="F244" i="23"/>
  <c r="K243" i="23"/>
  <c r="J243" i="23"/>
  <c r="I243" i="23"/>
  <c r="H243" i="23"/>
  <c r="G243" i="23"/>
  <c r="F243" i="23"/>
  <c r="S244" i="23"/>
  <c r="R244" i="23"/>
  <c r="Q244" i="23"/>
  <c r="P244" i="23"/>
  <c r="O244" i="23"/>
  <c r="N244" i="23"/>
  <c r="S243" i="23"/>
  <c r="R243" i="23"/>
  <c r="Q243" i="23"/>
  <c r="P243" i="23"/>
  <c r="O243" i="23"/>
  <c r="N243" i="23"/>
  <c r="S240" i="23"/>
  <c r="R240" i="23"/>
  <c r="Q240" i="23"/>
  <c r="P240" i="23"/>
  <c r="O240" i="23"/>
  <c r="N240" i="23"/>
  <c r="S239" i="23"/>
  <c r="R239" i="23"/>
  <c r="Q239" i="23"/>
  <c r="P239" i="23"/>
  <c r="O239" i="23"/>
  <c r="N239" i="23"/>
  <c r="S238" i="23"/>
  <c r="R238" i="23"/>
  <c r="Q238" i="23"/>
  <c r="P238" i="23"/>
  <c r="O238" i="23"/>
  <c r="N238" i="23"/>
  <c r="G238" i="23"/>
  <c r="H238" i="23"/>
  <c r="I238" i="23"/>
  <c r="J238" i="23"/>
  <c r="K238" i="23"/>
  <c r="G239" i="23"/>
  <c r="H239" i="23"/>
  <c r="I239" i="23"/>
  <c r="J239" i="23"/>
  <c r="K239" i="23"/>
  <c r="G240" i="23"/>
  <c r="H240" i="23"/>
  <c r="I240" i="23"/>
  <c r="J240" i="23"/>
  <c r="K240" i="23"/>
  <c r="F239" i="23"/>
  <c r="F240" i="23"/>
  <c r="F238" i="23"/>
  <c r="E232" i="23"/>
  <c r="E230" i="23"/>
  <c r="F230" i="23"/>
  <c r="F233" i="23"/>
  <c r="V229" i="23"/>
  <c r="V228" i="23"/>
  <c r="V225" i="23"/>
  <c r="V224" i="23"/>
  <c r="V223" i="23"/>
  <c r="S233" i="23"/>
  <c r="R233" i="23"/>
  <c r="Q233" i="23"/>
  <c r="P233" i="23"/>
  <c r="O233" i="23"/>
  <c r="N233" i="23"/>
  <c r="R230" i="23"/>
  <c r="Q230" i="23"/>
  <c r="P230" i="23"/>
  <c r="O230" i="23"/>
  <c r="N230" i="23"/>
  <c r="S229" i="23"/>
  <c r="R229" i="23"/>
  <c r="Q229" i="23"/>
  <c r="P229" i="23"/>
  <c r="O229" i="23"/>
  <c r="N229" i="23"/>
  <c r="S228" i="23"/>
  <c r="R228" i="23"/>
  <c r="Q228" i="23"/>
  <c r="P228" i="23"/>
  <c r="O228" i="23"/>
  <c r="N228" i="23"/>
  <c r="S225" i="23"/>
  <c r="R225" i="23"/>
  <c r="Q225" i="23"/>
  <c r="P225" i="23"/>
  <c r="O225" i="23"/>
  <c r="N225" i="23"/>
  <c r="S224" i="23"/>
  <c r="R224" i="23"/>
  <c r="Q224" i="23"/>
  <c r="P224" i="23"/>
  <c r="O224" i="23"/>
  <c r="N224" i="23"/>
  <c r="S223" i="23"/>
  <c r="R223" i="23"/>
  <c r="Q223" i="23"/>
  <c r="P223" i="23"/>
  <c r="O223" i="23"/>
  <c r="N223" i="23"/>
  <c r="K233" i="23"/>
  <c r="J233" i="23"/>
  <c r="I233" i="23"/>
  <c r="H233" i="23"/>
  <c r="G233" i="23"/>
  <c r="K230" i="23"/>
  <c r="J230" i="23"/>
  <c r="I230" i="23"/>
  <c r="H230" i="23"/>
  <c r="G230" i="23"/>
  <c r="K229" i="23"/>
  <c r="J229" i="23"/>
  <c r="I229" i="23"/>
  <c r="H229" i="23"/>
  <c r="G229" i="23"/>
  <c r="F229" i="23"/>
  <c r="F235" i="23" s="1"/>
  <c r="K228" i="23"/>
  <c r="J228" i="23"/>
  <c r="I228" i="23"/>
  <c r="H228" i="23"/>
  <c r="G228" i="23"/>
  <c r="F228" i="23"/>
  <c r="K225" i="23"/>
  <c r="J225" i="23"/>
  <c r="I225" i="23"/>
  <c r="H225" i="23"/>
  <c r="G225" i="23"/>
  <c r="F225" i="23"/>
  <c r="K224" i="23"/>
  <c r="J224" i="23"/>
  <c r="I224" i="23"/>
  <c r="H224" i="23"/>
  <c r="G224" i="23"/>
  <c r="F224" i="23"/>
  <c r="G223" i="23"/>
  <c r="H223" i="23"/>
  <c r="I223" i="23"/>
  <c r="J223" i="23"/>
  <c r="K223" i="23"/>
  <c r="F223" i="23"/>
  <c r="F208" i="23" s="1"/>
  <c r="V199" i="23"/>
  <c r="V198" i="23"/>
  <c r="V195" i="23"/>
  <c r="V194" i="23"/>
  <c r="V193" i="23"/>
  <c r="S203" i="23"/>
  <c r="R203" i="23"/>
  <c r="Q203" i="23"/>
  <c r="P203" i="23"/>
  <c r="O203" i="23"/>
  <c r="N203" i="23"/>
  <c r="R200" i="23"/>
  <c r="Q200" i="23"/>
  <c r="P200" i="23"/>
  <c r="O200" i="23"/>
  <c r="N200" i="23"/>
  <c r="S199" i="23"/>
  <c r="R199" i="23"/>
  <c r="Q199" i="23"/>
  <c r="P199" i="23"/>
  <c r="O199" i="23"/>
  <c r="N199" i="23"/>
  <c r="S198" i="23"/>
  <c r="R198" i="23"/>
  <c r="Q198" i="23"/>
  <c r="P198" i="23"/>
  <c r="O198" i="23"/>
  <c r="N198" i="23"/>
  <c r="S195" i="23"/>
  <c r="R195" i="23"/>
  <c r="Q195" i="23"/>
  <c r="P195" i="23"/>
  <c r="O195" i="23"/>
  <c r="N195" i="23"/>
  <c r="S194" i="23"/>
  <c r="R194" i="23"/>
  <c r="Q194" i="23"/>
  <c r="P194" i="23"/>
  <c r="O194" i="23"/>
  <c r="N194" i="23"/>
  <c r="S193" i="23"/>
  <c r="R193" i="23"/>
  <c r="Q193" i="23"/>
  <c r="P193" i="23"/>
  <c r="O193" i="23"/>
  <c r="N193" i="23"/>
  <c r="E202" i="23"/>
  <c r="E200" i="23"/>
  <c r="K200" i="23"/>
  <c r="J200" i="23"/>
  <c r="I200" i="23"/>
  <c r="H200" i="23"/>
  <c r="G200" i="23"/>
  <c r="F200" i="23"/>
  <c r="K203" i="23"/>
  <c r="J203" i="23"/>
  <c r="I203" i="23"/>
  <c r="H203" i="23"/>
  <c r="G203" i="23"/>
  <c r="F203" i="23"/>
  <c r="K199" i="23"/>
  <c r="J199" i="23"/>
  <c r="I199" i="23"/>
  <c r="H199" i="23"/>
  <c r="G199" i="23"/>
  <c r="F199" i="23"/>
  <c r="K198" i="23"/>
  <c r="J198" i="23"/>
  <c r="I198" i="23"/>
  <c r="H198" i="23"/>
  <c r="G198" i="23"/>
  <c r="F198" i="23"/>
  <c r="G193" i="23"/>
  <c r="H193" i="23"/>
  <c r="I193" i="23"/>
  <c r="J193" i="23"/>
  <c r="K193" i="23"/>
  <c r="G194" i="23"/>
  <c r="H194" i="23"/>
  <c r="I194" i="23"/>
  <c r="J194" i="23"/>
  <c r="K194" i="23"/>
  <c r="G195" i="23"/>
  <c r="H195" i="23"/>
  <c r="I195" i="23"/>
  <c r="J195" i="23"/>
  <c r="K195" i="23"/>
  <c r="F194" i="23"/>
  <c r="F195" i="23"/>
  <c r="F193" i="23"/>
  <c r="V184" i="23"/>
  <c r="V183" i="23"/>
  <c r="V180" i="23"/>
  <c r="V179" i="23"/>
  <c r="V178" i="23"/>
  <c r="E187" i="23"/>
  <c r="E185" i="23"/>
  <c r="R185" i="23"/>
  <c r="Q185" i="23"/>
  <c r="P185" i="23"/>
  <c r="O185" i="23"/>
  <c r="N185" i="23"/>
  <c r="S188" i="23"/>
  <c r="R188" i="23"/>
  <c r="Q188" i="23"/>
  <c r="P188" i="23"/>
  <c r="O188" i="23"/>
  <c r="N188" i="23"/>
  <c r="S184" i="23"/>
  <c r="R184" i="23"/>
  <c r="Q184" i="23"/>
  <c r="P184" i="23"/>
  <c r="O184" i="23"/>
  <c r="N184" i="23"/>
  <c r="S183" i="23"/>
  <c r="R183" i="23"/>
  <c r="Q183" i="23"/>
  <c r="P183" i="23"/>
  <c r="O183" i="23"/>
  <c r="N183" i="23"/>
  <c r="K188" i="23"/>
  <c r="J188" i="23"/>
  <c r="I188" i="23"/>
  <c r="H188" i="23"/>
  <c r="G188" i="23"/>
  <c r="F188" i="23"/>
  <c r="K185" i="23"/>
  <c r="J185" i="23"/>
  <c r="I185" i="23"/>
  <c r="H185" i="23"/>
  <c r="G185" i="23"/>
  <c r="F185" i="23"/>
  <c r="K184" i="23"/>
  <c r="J184" i="23"/>
  <c r="I184" i="23"/>
  <c r="H184" i="23"/>
  <c r="G184" i="23"/>
  <c r="F184" i="23"/>
  <c r="K183" i="23"/>
  <c r="J183" i="23"/>
  <c r="I183" i="23"/>
  <c r="H183" i="23"/>
  <c r="G183" i="23"/>
  <c r="F183" i="23"/>
  <c r="S180" i="23"/>
  <c r="R180" i="23"/>
  <c r="Q180" i="23"/>
  <c r="P180" i="23"/>
  <c r="O180" i="23"/>
  <c r="N180" i="23"/>
  <c r="S179" i="23"/>
  <c r="R179" i="23"/>
  <c r="Q179" i="23"/>
  <c r="P179" i="23"/>
  <c r="O179" i="23"/>
  <c r="N179" i="23"/>
  <c r="S178" i="23"/>
  <c r="R178" i="23"/>
  <c r="Q178" i="23"/>
  <c r="P178" i="23"/>
  <c r="O178" i="23"/>
  <c r="N178" i="23"/>
  <c r="G178" i="23"/>
  <c r="H178" i="23"/>
  <c r="I178" i="23"/>
  <c r="J178" i="23"/>
  <c r="K178" i="23"/>
  <c r="G179" i="23"/>
  <c r="H179" i="23"/>
  <c r="I179" i="23"/>
  <c r="J179" i="23"/>
  <c r="K179" i="23"/>
  <c r="G180" i="23"/>
  <c r="H180" i="23"/>
  <c r="I180" i="23"/>
  <c r="J180" i="23"/>
  <c r="K180" i="23"/>
  <c r="F179" i="23"/>
  <c r="F180" i="23"/>
  <c r="F178" i="23"/>
  <c r="V153" i="23"/>
  <c r="V150" i="23"/>
  <c r="V149" i="23"/>
  <c r="V148" i="23"/>
  <c r="S158" i="23"/>
  <c r="R158" i="23"/>
  <c r="Q158" i="23"/>
  <c r="P158" i="23"/>
  <c r="O158" i="23"/>
  <c r="N158" i="23"/>
  <c r="S155" i="23"/>
  <c r="R155" i="23"/>
  <c r="Q155" i="23"/>
  <c r="P155" i="23"/>
  <c r="O155" i="23"/>
  <c r="N155" i="23"/>
  <c r="R154" i="23"/>
  <c r="Q154" i="23"/>
  <c r="P154" i="23"/>
  <c r="O154" i="23"/>
  <c r="N154" i="23"/>
  <c r="S153" i="23"/>
  <c r="R153" i="23"/>
  <c r="Q153" i="23"/>
  <c r="P153" i="23"/>
  <c r="O153" i="23"/>
  <c r="N153" i="23"/>
  <c r="S150" i="23"/>
  <c r="R150" i="23"/>
  <c r="Q150" i="23"/>
  <c r="P150" i="23"/>
  <c r="O150" i="23"/>
  <c r="N150" i="23"/>
  <c r="S149" i="23"/>
  <c r="R149" i="23"/>
  <c r="Q149" i="23"/>
  <c r="P149" i="23"/>
  <c r="O149" i="23"/>
  <c r="N149" i="23"/>
  <c r="S148" i="23"/>
  <c r="R148" i="23"/>
  <c r="Q148" i="23"/>
  <c r="P148" i="23"/>
  <c r="O148" i="23"/>
  <c r="N148" i="23"/>
  <c r="K158" i="23"/>
  <c r="J158" i="23"/>
  <c r="I158" i="23"/>
  <c r="H158" i="23"/>
  <c r="G158" i="23"/>
  <c r="F158" i="23"/>
  <c r="F157" i="23"/>
  <c r="E157" i="23"/>
  <c r="K155" i="23"/>
  <c r="J155" i="23"/>
  <c r="I155" i="23"/>
  <c r="H155" i="23"/>
  <c r="G155" i="23"/>
  <c r="F155" i="23"/>
  <c r="E155" i="23"/>
  <c r="K154" i="23"/>
  <c r="J154" i="23"/>
  <c r="I154" i="23"/>
  <c r="H154" i="23"/>
  <c r="K153" i="23"/>
  <c r="J153" i="23"/>
  <c r="I153" i="23"/>
  <c r="H153" i="23"/>
  <c r="G153" i="23"/>
  <c r="F153" i="23"/>
  <c r="K150" i="23"/>
  <c r="J150" i="23"/>
  <c r="I150" i="23"/>
  <c r="H150" i="23"/>
  <c r="G150" i="23"/>
  <c r="F150" i="23"/>
  <c r="K149" i="23"/>
  <c r="J149" i="23"/>
  <c r="I149" i="23"/>
  <c r="H149" i="23"/>
  <c r="G149" i="23"/>
  <c r="F149" i="23"/>
  <c r="K148" i="23"/>
  <c r="J148" i="23"/>
  <c r="I148" i="23"/>
  <c r="H148" i="23"/>
  <c r="G148" i="23"/>
  <c r="F148" i="23"/>
  <c r="V138" i="23"/>
  <c r="V135" i="23"/>
  <c r="V134" i="23"/>
  <c r="V133" i="23"/>
  <c r="E142" i="23"/>
  <c r="E140" i="23"/>
  <c r="K143" i="23"/>
  <c r="J143" i="23"/>
  <c r="I143" i="23"/>
  <c r="H143" i="23"/>
  <c r="G143" i="23"/>
  <c r="F143" i="23"/>
  <c r="F142" i="23"/>
  <c r="K140" i="23"/>
  <c r="J140" i="23"/>
  <c r="I140" i="23"/>
  <c r="H140" i="23"/>
  <c r="G140" i="23"/>
  <c r="F140" i="23"/>
  <c r="F141" i="23" s="1"/>
  <c r="K139" i="23"/>
  <c r="J139" i="23"/>
  <c r="I139" i="23"/>
  <c r="H139" i="23"/>
  <c r="G139" i="23"/>
  <c r="K138" i="23"/>
  <c r="J138" i="23"/>
  <c r="I138" i="23"/>
  <c r="H138" i="23"/>
  <c r="G138" i="23"/>
  <c r="F138" i="23"/>
  <c r="F137" i="23"/>
  <c r="K135" i="23"/>
  <c r="J135" i="23"/>
  <c r="I135" i="23"/>
  <c r="H135" i="23"/>
  <c r="G135" i="23"/>
  <c r="F135" i="23"/>
  <c r="F136" i="23" s="1"/>
  <c r="K134" i="23"/>
  <c r="J134" i="23"/>
  <c r="I134" i="23"/>
  <c r="H134" i="23"/>
  <c r="G134" i="23"/>
  <c r="F134" i="23"/>
  <c r="K133" i="23"/>
  <c r="J133" i="23"/>
  <c r="I133" i="23"/>
  <c r="H133" i="23"/>
  <c r="G133" i="23"/>
  <c r="F133" i="23"/>
  <c r="S143" i="23"/>
  <c r="R143" i="23"/>
  <c r="Q143" i="23"/>
  <c r="P143" i="23"/>
  <c r="O143" i="23"/>
  <c r="N143" i="23"/>
  <c r="R140" i="23"/>
  <c r="Q140" i="23"/>
  <c r="P140" i="23"/>
  <c r="O140" i="23"/>
  <c r="N140" i="23"/>
  <c r="R139" i="23"/>
  <c r="Q139" i="23"/>
  <c r="P139" i="23"/>
  <c r="O139" i="23"/>
  <c r="N139" i="23"/>
  <c r="S138" i="23"/>
  <c r="R138" i="23"/>
  <c r="Q138" i="23"/>
  <c r="P138" i="23"/>
  <c r="O138" i="23"/>
  <c r="N138" i="23"/>
  <c r="S135" i="23"/>
  <c r="R135" i="23"/>
  <c r="Q135" i="23"/>
  <c r="P135" i="23"/>
  <c r="O135" i="23"/>
  <c r="N135" i="23"/>
  <c r="S134" i="23"/>
  <c r="R134" i="23"/>
  <c r="Q134" i="23"/>
  <c r="P134" i="23"/>
  <c r="O134" i="23"/>
  <c r="N134" i="23"/>
  <c r="S133" i="23"/>
  <c r="R133" i="23"/>
  <c r="Q133" i="23"/>
  <c r="P133" i="23"/>
  <c r="O133" i="23"/>
  <c r="N133" i="23"/>
  <c r="E127" i="23"/>
  <c r="E125" i="23"/>
  <c r="V124" i="23"/>
  <c r="V123" i="23"/>
  <c r="V120" i="23"/>
  <c r="V119" i="23"/>
  <c r="V118" i="23"/>
  <c r="S128" i="23"/>
  <c r="R128" i="23"/>
  <c r="Q128" i="23"/>
  <c r="P128" i="23"/>
  <c r="O128" i="23"/>
  <c r="N128" i="23"/>
  <c r="S125" i="23"/>
  <c r="R125" i="23"/>
  <c r="Q125" i="23"/>
  <c r="P125" i="23"/>
  <c r="O125" i="23"/>
  <c r="N125" i="23"/>
  <c r="S124" i="23"/>
  <c r="R124" i="23"/>
  <c r="Q124" i="23"/>
  <c r="P124" i="23"/>
  <c r="O124" i="23"/>
  <c r="N124" i="23"/>
  <c r="S123" i="23"/>
  <c r="R123" i="23"/>
  <c r="Q123" i="23"/>
  <c r="P123" i="23"/>
  <c r="O123" i="23"/>
  <c r="N123" i="23"/>
  <c r="S120" i="23"/>
  <c r="R120" i="23"/>
  <c r="Q120" i="23"/>
  <c r="P120" i="23"/>
  <c r="O120" i="23"/>
  <c r="N120" i="23"/>
  <c r="S119" i="23"/>
  <c r="R119" i="23"/>
  <c r="Q119" i="23"/>
  <c r="P119" i="23"/>
  <c r="O119" i="23"/>
  <c r="N119" i="23"/>
  <c r="S118" i="23"/>
  <c r="R118" i="23"/>
  <c r="Q118" i="23"/>
  <c r="P118" i="23"/>
  <c r="O118" i="23"/>
  <c r="N118" i="23"/>
  <c r="K128" i="23"/>
  <c r="J128" i="23"/>
  <c r="I128" i="23"/>
  <c r="H128" i="23"/>
  <c r="G128" i="23"/>
  <c r="F128" i="23"/>
  <c r="K125" i="23"/>
  <c r="J125" i="23"/>
  <c r="I125" i="23"/>
  <c r="H125" i="23"/>
  <c r="G125" i="23"/>
  <c r="F125" i="23"/>
  <c r="K124" i="23"/>
  <c r="J124" i="23"/>
  <c r="I124" i="23"/>
  <c r="H124" i="23"/>
  <c r="G124" i="23"/>
  <c r="F124" i="23"/>
  <c r="K123" i="23"/>
  <c r="J123" i="23"/>
  <c r="I123" i="23"/>
  <c r="H123" i="23"/>
  <c r="G123" i="23"/>
  <c r="F123" i="23"/>
  <c r="K120" i="23"/>
  <c r="J120" i="23"/>
  <c r="I120" i="23"/>
  <c r="H120" i="23"/>
  <c r="G120" i="23"/>
  <c r="F120" i="23"/>
  <c r="K119" i="23"/>
  <c r="J119" i="23"/>
  <c r="I119" i="23"/>
  <c r="H119" i="23"/>
  <c r="G119" i="23"/>
  <c r="F119" i="23"/>
  <c r="K118" i="23"/>
  <c r="J118" i="23"/>
  <c r="I118" i="23"/>
  <c r="H118" i="23"/>
  <c r="G118" i="23"/>
  <c r="F118" i="23"/>
  <c r="V109" i="23"/>
  <c r="V108" i="23"/>
  <c r="V105" i="23"/>
  <c r="V104" i="23"/>
  <c r="V103" i="23"/>
  <c r="S113" i="23"/>
  <c r="R113" i="23"/>
  <c r="Q113" i="23"/>
  <c r="P113" i="23"/>
  <c r="O113" i="23"/>
  <c r="N113" i="23"/>
  <c r="S110" i="23"/>
  <c r="R110" i="23"/>
  <c r="Q110" i="23"/>
  <c r="P110" i="23"/>
  <c r="O110" i="23"/>
  <c r="N110" i="23"/>
  <c r="S109" i="23"/>
  <c r="R109" i="23"/>
  <c r="Q109" i="23"/>
  <c r="P109" i="23"/>
  <c r="O109" i="23"/>
  <c r="N109" i="23"/>
  <c r="S108" i="23"/>
  <c r="R108" i="23"/>
  <c r="Q108" i="23"/>
  <c r="P108" i="23"/>
  <c r="O108" i="23"/>
  <c r="N108" i="23"/>
  <c r="S105" i="23"/>
  <c r="R105" i="23"/>
  <c r="Q105" i="23"/>
  <c r="P105" i="23"/>
  <c r="O105" i="23"/>
  <c r="N105" i="23"/>
  <c r="S104" i="23"/>
  <c r="R104" i="23"/>
  <c r="Q104" i="23"/>
  <c r="P104" i="23"/>
  <c r="O104" i="23"/>
  <c r="N104" i="23"/>
  <c r="S103" i="23"/>
  <c r="R103" i="23"/>
  <c r="Q103" i="23"/>
  <c r="P103" i="23"/>
  <c r="O103" i="23"/>
  <c r="N103" i="23"/>
  <c r="K113" i="23"/>
  <c r="J113" i="23"/>
  <c r="I113" i="23"/>
  <c r="H113" i="23"/>
  <c r="G113" i="23"/>
  <c r="F113" i="23"/>
  <c r="E112" i="23"/>
  <c r="K110" i="23"/>
  <c r="J110" i="23"/>
  <c r="I110" i="23"/>
  <c r="H110" i="23"/>
  <c r="G110" i="23"/>
  <c r="F110" i="23"/>
  <c r="E110" i="23"/>
  <c r="K109" i="23"/>
  <c r="J109" i="23"/>
  <c r="I109" i="23"/>
  <c r="H109" i="23"/>
  <c r="G109" i="23"/>
  <c r="K108" i="23"/>
  <c r="J108" i="23"/>
  <c r="I108" i="23"/>
  <c r="H108" i="23"/>
  <c r="G108" i="23"/>
  <c r="F108" i="23"/>
  <c r="K105" i="23"/>
  <c r="J105" i="23"/>
  <c r="I105" i="23"/>
  <c r="H105" i="23"/>
  <c r="G105" i="23"/>
  <c r="F105" i="23"/>
  <c r="K104" i="23"/>
  <c r="J104" i="23"/>
  <c r="I104" i="23"/>
  <c r="H104" i="23"/>
  <c r="G104" i="23"/>
  <c r="F104" i="23"/>
  <c r="K103" i="23"/>
  <c r="J103" i="23"/>
  <c r="I103" i="23"/>
  <c r="H103" i="23"/>
  <c r="G103" i="23"/>
  <c r="F103" i="23"/>
  <c r="V94" i="23"/>
  <c r="V93" i="23"/>
  <c r="V90" i="23"/>
  <c r="V89" i="23"/>
  <c r="V88" i="23"/>
  <c r="E97" i="23"/>
  <c r="E95" i="23"/>
  <c r="E65" i="23" s="1"/>
  <c r="S98" i="23"/>
  <c r="R98" i="23"/>
  <c r="Q98" i="23"/>
  <c r="P98" i="23"/>
  <c r="O98" i="23"/>
  <c r="N98" i="23"/>
  <c r="R95" i="23"/>
  <c r="Q95" i="23"/>
  <c r="P95" i="23"/>
  <c r="O95" i="23"/>
  <c r="N95" i="23"/>
  <c r="S94" i="23"/>
  <c r="R94" i="23"/>
  <c r="Q94" i="23"/>
  <c r="P94" i="23"/>
  <c r="O94" i="23"/>
  <c r="N94" i="23"/>
  <c r="S93" i="23"/>
  <c r="R93" i="23"/>
  <c r="Q93" i="23"/>
  <c r="P93" i="23"/>
  <c r="O93" i="23"/>
  <c r="N93" i="23"/>
  <c r="R90" i="23"/>
  <c r="Q90" i="23"/>
  <c r="P90" i="23"/>
  <c r="O90" i="23"/>
  <c r="N90" i="23"/>
  <c r="S89" i="23"/>
  <c r="R89" i="23"/>
  <c r="Q89" i="23"/>
  <c r="P89" i="23"/>
  <c r="O89" i="23"/>
  <c r="N89" i="23"/>
  <c r="S88" i="23"/>
  <c r="R88" i="23"/>
  <c r="Q88" i="23"/>
  <c r="P88" i="23"/>
  <c r="O88" i="23"/>
  <c r="N88" i="23"/>
  <c r="K98" i="23"/>
  <c r="J98" i="23"/>
  <c r="I98" i="23"/>
  <c r="H98" i="23"/>
  <c r="G98" i="23"/>
  <c r="F98" i="23"/>
  <c r="F97" i="23"/>
  <c r="K95" i="23"/>
  <c r="J95" i="23"/>
  <c r="I95" i="23"/>
  <c r="H95" i="23"/>
  <c r="G95" i="23"/>
  <c r="F95" i="23"/>
  <c r="F96" i="23" s="1"/>
  <c r="K94" i="23"/>
  <c r="J94" i="23"/>
  <c r="I94" i="23"/>
  <c r="H94" i="23"/>
  <c r="G94" i="23"/>
  <c r="K93" i="23"/>
  <c r="J93" i="23"/>
  <c r="I93" i="23"/>
  <c r="H93" i="23"/>
  <c r="G93" i="23"/>
  <c r="F93" i="23"/>
  <c r="F92" i="23"/>
  <c r="K90" i="23"/>
  <c r="J90" i="23"/>
  <c r="I90" i="23"/>
  <c r="H90" i="23"/>
  <c r="G90" i="23"/>
  <c r="F90" i="23"/>
  <c r="F91" i="23" s="1"/>
  <c r="K89" i="23"/>
  <c r="J89" i="23"/>
  <c r="I89" i="23"/>
  <c r="H89" i="23"/>
  <c r="G89" i="23"/>
  <c r="F89" i="23"/>
  <c r="K88" i="23"/>
  <c r="J88" i="23"/>
  <c r="I88" i="23"/>
  <c r="H88" i="23"/>
  <c r="G88" i="23"/>
  <c r="F88" i="23"/>
  <c r="E82" i="23"/>
  <c r="E80" i="23"/>
  <c r="V79" i="23"/>
  <c r="V78" i="23"/>
  <c r="V75" i="23"/>
  <c r="V74" i="23"/>
  <c r="V73" i="23"/>
  <c r="S83" i="23"/>
  <c r="R83" i="23"/>
  <c r="Q83" i="23"/>
  <c r="P83" i="23"/>
  <c r="O83" i="23"/>
  <c r="N83" i="23"/>
  <c r="H80" i="23"/>
  <c r="G80" i="23"/>
  <c r="F80" i="23"/>
  <c r="R79" i="23"/>
  <c r="Q79" i="23"/>
  <c r="P79" i="23"/>
  <c r="O79" i="23"/>
  <c r="N79" i="23"/>
  <c r="S78" i="23"/>
  <c r="R78" i="23"/>
  <c r="Q78" i="23"/>
  <c r="P78" i="23"/>
  <c r="O78" i="23"/>
  <c r="N78" i="23"/>
  <c r="K83" i="23"/>
  <c r="J83" i="23"/>
  <c r="I83" i="23"/>
  <c r="H83" i="23"/>
  <c r="G83" i="23"/>
  <c r="F83" i="23"/>
  <c r="K79" i="23"/>
  <c r="J79" i="23"/>
  <c r="I79" i="23"/>
  <c r="H79" i="23"/>
  <c r="G79" i="23"/>
  <c r="K78" i="23"/>
  <c r="J78" i="23"/>
  <c r="I78" i="23"/>
  <c r="H78" i="23"/>
  <c r="G78" i="23"/>
  <c r="F78" i="23"/>
  <c r="S75" i="23"/>
  <c r="R75" i="23"/>
  <c r="Q75" i="23"/>
  <c r="P75" i="23"/>
  <c r="O75" i="23"/>
  <c r="N75" i="23"/>
  <c r="S74" i="23"/>
  <c r="R74" i="23"/>
  <c r="Q74" i="23"/>
  <c r="P74" i="23"/>
  <c r="O74" i="23"/>
  <c r="N74" i="23"/>
  <c r="S73" i="23"/>
  <c r="R73" i="23"/>
  <c r="Q73" i="23"/>
  <c r="P73" i="23"/>
  <c r="O73" i="23"/>
  <c r="N73" i="23"/>
  <c r="G73" i="23"/>
  <c r="H73" i="23"/>
  <c r="I73" i="23"/>
  <c r="J73" i="23"/>
  <c r="K73" i="23"/>
  <c r="G74" i="23"/>
  <c r="H74" i="23"/>
  <c r="I74" i="23"/>
  <c r="J74" i="23"/>
  <c r="K74" i="23"/>
  <c r="G75" i="23"/>
  <c r="F74" i="23"/>
  <c r="F75" i="23"/>
  <c r="F73" i="23"/>
  <c r="S562" i="22"/>
  <c r="R562" i="22"/>
  <c r="Q562" i="22"/>
  <c r="P562" i="22"/>
  <c r="O562" i="22"/>
  <c r="N562" i="22"/>
  <c r="G562" i="22"/>
  <c r="H562" i="22"/>
  <c r="I562" i="22"/>
  <c r="K562" i="22"/>
  <c r="F562" i="22"/>
  <c r="V556" i="22"/>
  <c r="Q558" i="22"/>
  <c r="O558" i="22"/>
  <c r="R571" i="22"/>
  <c r="Q571" i="22"/>
  <c r="P571" i="22"/>
  <c r="R576" i="22"/>
  <c r="Q576" i="22"/>
  <c r="P576" i="22"/>
  <c r="V557" i="22"/>
  <c r="S558" i="22"/>
  <c r="R558" i="22"/>
  <c r="P558" i="22"/>
  <c r="N558" i="22"/>
  <c r="S557" i="22"/>
  <c r="R557" i="22"/>
  <c r="Q557" i="22"/>
  <c r="P557" i="22"/>
  <c r="O557" i="22"/>
  <c r="N557" i="22"/>
  <c r="T557" i="22" s="1"/>
  <c r="G557" i="22"/>
  <c r="H557" i="22"/>
  <c r="I557" i="22"/>
  <c r="K557" i="22"/>
  <c r="G558" i="22"/>
  <c r="H558" i="22"/>
  <c r="I558" i="22"/>
  <c r="K558" i="22"/>
  <c r="F558" i="22"/>
  <c r="V635" i="22"/>
  <c r="V634" i="22"/>
  <c r="S635" i="22"/>
  <c r="R635" i="22"/>
  <c r="Q635" i="22"/>
  <c r="P635" i="22"/>
  <c r="O635" i="22"/>
  <c r="N635" i="22"/>
  <c r="S634" i="22"/>
  <c r="R634" i="22"/>
  <c r="Q634" i="22"/>
  <c r="P634" i="22"/>
  <c r="O634" i="22"/>
  <c r="N634" i="22"/>
  <c r="T634" i="22" s="1"/>
  <c r="G634" i="22"/>
  <c r="H634" i="22"/>
  <c r="I634" i="22"/>
  <c r="J634" i="22"/>
  <c r="K634" i="22"/>
  <c r="G635" i="22"/>
  <c r="H635" i="22"/>
  <c r="I635" i="22"/>
  <c r="J635" i="22"/>
  <c r="K635" i="22"/>
  <c r="F635" i="22"/>
  <c r="Q712" i="19"/>
  <c r="S707" i="19"/>
  <c r="O707" i="19"/>
  <c r="I712" i="19"/>
  <c r="S743" i="19"/>
  <c r="S747" i="19" s="1"/>
  <c r="R743" i="19"/>
  <c r="Q743" i="19"/>
  <c r="Q747" i="19" s="1"/>
  <c r="P743" i="19"/>
  <c r="O743" i="19"/>
  <c r="O747" i="19" s="1"/>
  <c r="N743" i="19"/>
  <c r="K743" i="19"/>
  <c r="J743" i="19"/>
  <c r="I743" i="19"/>
  <c r="H743" i="19"/>
  <c r="G743" i="19"/>
  <c r="F743" i="19"/>
  <c r="M741" i="19"/>
  <c r="L741" i="19"/>
  <c r="M740" i="19"/>
  <c r="L740" i="19"/>
  <c r="M739" i="19"/>
  <c r="L739" i="19"/>
  <c r="S738" i="19"/>
  <c r="R738" i="19"/>
  <c r="Q738" i="19"/>
  <c r="P738" i="19"/>
  <c r="O738" i="19"/>
  <c r="N738" i="19"/>
  <c r="K738" i="19"/>
  <c r="J738" i="19"/>
  <c r="I738" i="19"/>
  <c r="H738" i="19"/>
  <c r="G738" i="19"/>
  <c r="F738" i="19"/>
  <c r="K728" i="19"/>
  <c r="K713" i="19" s="1"/>
  <c r="K712" i="19" s="1"/>
  <c r="J728" i="19"/>
  <c r="I728" i="19"/>
  <c r="I713" i="19" s="1"/>
  <c r="H728" i="19"/>
  <c r="G728" i="19"/>
  <c r="G713" i="19" s="1"/>
  <c r="G712" i="19" s="1"/>
  <c r="F728" i="19"/>
  <c r="S728" i="19"/>
  <c r="S713" i="19" s="1"/>
  <c r="S712" i="19" s="1"/>
  <c r="R728" i="19"/>
  <c r="Q728" i="19"/>
  <c r="Q713" i="19" s="1"/>
  <c r="P728" i="19"/>
  <c r="O728" i="19"/>
  <c r="N728" i="19"/>
  <c r="N730" i="19"/>
  <c r="N731" i="19"/>
  <c r="T731" i="19" s="1"/>
  <c r="O731" i="19"/>
  <c r="N732" i="19"/>
  <c r="S723" i="19"/>
  <c r="S708" i="19" s="1"/>
  <c r="R723" i="19"/>
  <c r="Q723" i="19"/>
  <c r="Q708" i="19" s="1"/>
  <c r="Q707" i="19" s="1"/>
  <c r="P723" i="19"/>
  <c r="O723" i="19"/>
  <c r="O708" i="19" s="1"/>
  <c r="N723" i="19"/>
  <c r="S728" i="22"/>
  <c r="R728" i="22"/>
  <c r="Q728" i="22"/>
  <c r="P728" i="22"/>
  <c r="O728" i="22"/>
  <c r="N728" i="22"/>
  <c r="K728" i="22"/>
  <c r="J728" i="22"/>
  <c r="I728" i="22"/>
  <c r="H728" i="22"/>
  <c r="G728" i="22"/>
  <c r="F728" i="22"/>
  <c r="L728" i="22" s="1"/>
  <c r="L726" i="22"/>
  <c r="M726" i="22" s="1"/>
  <c r="L725" i="22"/>
  <c r="M725" i="22" s="1"/>
  <c r="L724" i="22"/>
  <c r="M724" i="22" s="1"/>
  <c r="S723" i="22"/>
  <c r="R723" i="22"/>
  <c r="Q723" i="22"/>
  <c r="P723" i="22"/>
  <c r="O723" i="22"/>
  <c r="N723" i="22"/>
  <c r="K723" i="22"/>
  <c r="J723" i="22"/>
  <c r="I723" i="22"/>
  <c r="H723" i="22"/>
  <c r="G723" i="22"/>
  <c r="F723" i="22"/>
  <c r="L723" i="22" s="1"/>
  <c r="S738" i="22"/>
  <c r="S708" i="22" s="1"/>
  <c r="R738" i="22"/>
  <c r="Q738" i="22"/>
  <c r="Q708" i="22" s="1"/>
  <c r="P738" i="22"/>
  <c r="O738" i="22"/>
  <c r="O708" i="22" s="1"/>
  <c r="N738" i="22"/>
  <c r="S743" i="22"/>
  <c r="R743" i="22"/>
  <c r="Q743" i="22"/>
  <c r="P743" i="22"/>
  <c r="O743" i="22"/>
  <c r="N743" i="22"/>
  <c r="K743" i="22"/>
  <c r="J743" i="22"/>
  <c r="I743" i="22"/>
  <c r="H743" i="22"/>
  <c r="G743" i="22"/>
  <c r="F743" i="22"/>
  <c r="S746" i="22"/>
  <c r="R746" i="22"/>
  <c r="Q746" i="22"/>
  <c r="P746" i="22"/>
  <c r="O746" i="22"/>
  <c r="N746" i="22"/>
  <c r="K746" i="22"/>
  <c r="K747" i="22" s="1"/>
  <c r="J746" i="22"/>
  <c r="I746" i="22"/>
  <c r="I747" i="22" s="1"/>
  <c r="H746" i="22"/>
  <c r="G746" i="22"/>
  <c r="G747" i="22" s="1"/>
  <c r="F746" i="22"/>
  <c r="V745" i="22"/>
  <c r="V744" i="22"/>
  <c r="T744" i="22"/>
  <c r="L744" i="22"/>
  <c r="M744" i="22" s="1"/>
  <c r="S747" i="22"/>
  <c r="R747" i="22"/>
  <c r="Q747" i="22"/>
  <c r="P747" i="22"/>
  <c r="O747" i="22"/>
  <c r="N747" i="22"/>
  <c r="J747" i="22"/>
  <c r="H747" i="22"/>
  <c r="F747" i="22"/>
  <c r="F748" i="22" s="1"/>
  <c r="E742" i="22"/>
  <c r="V741" i="22"/>
  <c r="T741" i="22"/>
  <c r="U741" i="22" s="1"/>
  <c r="W741" i="22" s="1"/>
  <c r="L741" i="22"/>
  <c r="M741" i="22" s="1"/>
  <c r="T740" i="22"/>
  <c r="L740" i="22"/>
  <c r="M740" i="22" s="1"/>
  <c r="T739" i="22"/>
  <c r="U739" i="22" s="1"/>
  <c r="W739" i="22" s="1"/>
  <c r="L739" i="22"/>
  <c r="M739" i="22" s="1"/>
  <c r="V738" i="22"/>
  <c r="V743" i="22" s="1"/>
  <c r="V742" i="22" s="1"/>
  <c r="K738" i="22"/>
  <c r="J738" i="22"/>
  <c r="J708" i="22" s="1"/>
  <c r="I738" i="22"/>
  <c r="H738" i="22"/>
  <c r="H708" i="22" s="1"/>
  <c r="G738" i="22"/>
  <c r="F738" i="22"/>
  <c r="T736" i="22"/>
  <c r="L736" i="22"/>
  <c r="M736" i="22" s="1"/>
  <c r="T735" i="22"/>
  <c r="U735" i="22" s="1"/>
  <c r="W735" i="22" s="1"/>
  <c r="L735" i="22"/>
  <c r="M735" i="22" s="1"/>
  <c r="T734" i="22"/>
  <c r="L734" i="22"/>
  <c r="M734" i="22" s="1"/>
  <c r="S731" i="22"/>
  <c r="S732" i="22" s="1"/>
  <c r="R731" i="22"/>
  <c r="R732" i="22" s="1"/>
  <c r="Q731" i="22"/>
  <c r="Q732" i="22" s="1"/>
  <c r="P731" i="22"/>
  <c r="O731" i="22"/>
  <c r="O732" i="22" s="1"/>
  <c r="N731" i="22"/>
  <c r="N732" i="22" s="1"/>
  <c r="K731" i="22"/>
  <c r="K732" i="22" s="1"/>
  <c r="J731" i="22"/>
  <c r="I731" i="22"/>
  <c r="I732" i="22" s="1"/>
  <c r="H731" i="22"/>
  <c r="H732" i="22" s="1"/>
  <c r="G731" i="22"/>
  <c r="G732" i="22" s="1"/>
  <c r="F731" i="22"/>
  <c r="V730" i="22"/>
  <c r="V729" i="22"/>
  <c r="V714" i="22" s="1"/>
  <c r="T729" i="22"/>
  <c r="L729" i="22"/>
  <c r="M729" i="22" s="1"/>
  <c r="P730" i="22"/>
  <c r="J732" i="22"/>
  <c r="F732" i="22"/>
  <c r="F733" i="22" s="1"/>
  <c r="E727" i="22"/>
  <c r="V726" i="22"/>
  <c r="T726" i="22"/>
  <c r="U726" i="22" s="1"/>
  <c r="W726" i="22" s="1"/>
  <c r="T725" i="22"/>
  <c r="T724" i="22"/>
  <c r="U724" i="22" s="1"/>
  <c r="W724" i="22" s="1"/>
  <c r="V723" i="22"/>
  <c r="V722" i="22" s="1"/>
  <c r="U721" i="22"/>
  <c r="W721" i="22" s="1"/>
  <c r="T721" i="22"/>
  <c r="M721" i="22"/>
  <c r="L721" i="22"/>
  <c r="T720" i="22"/>
  <c r="U720" i="22" s="1"/>
  <c r="W720" i="22" s="1"/>
  <c r="L720" i="22"/>
  <c r="M720" i="22" s="1"/>
  <c r="U719" i="22"/>
  <c r="W719" i="22" s="1"/>
  <c r="T719" i="22"/>
  <c r="M719" i="22"/>
  <c r="L719" i="22"/>
  <c r="V715" i="22"/>
  <c r="S714" i="22"/>
  <c r="R714" i="22"/>
  <c r="Q714" i="22"/>
  <c r="P714" i="22"/>
  <c r="O714" i="22"/>
  <c r="N714" i="22"/>
  <c r="K714" i="22"/>
  <c r="J714" i="22"/>
  <c r="I714" i="22"/>
  <c r="H714" i="22"/>
  <c r="G714" i="22"/>
  <c r="F714" i="22"/>
  <c r="S713" i="22"/>
  <c r="S712" i="22" s="1"/>
  <c r="R713" i="22"/>
  <c r="Q713" i="22"/>
  <c r="Q712" i="22" s="1"/>
  <c r="P713" i="22"/>
  <c r="O713" i="22"/>
  <c r="O712" i="22" s="1"/>
  <c r="N713" i="22"/>
  <c r="J713" i="22"/>
  <c r="H713" i="22"/>
  <c r="F713" i="22"/>
  <c r="E712" i="22"/>
  <c r="V711" i="22"/>
  <c r="S711" i="22"/>
  <c r="R711" i="22"/>
  <c r="Q711" i="22"/>
  <c r="P711" i="22"/>
  <c r="O711" i="22"/>
  <c r="N711" i="22"/>
  <c r="K711" i="22"/>
  <c r="J711" i="22"/>
  <c r="I711" i="22"/>
  <c r="H711" i="22"/>
  <c r="G711" i="22"/>
  <c r="F711" i="22"/>
  <c r="V710" i="22"/>
  <c r="S710" i="22"/>
  <c r="R710" i="22"/>
  <c r="Q710" i="22"/>
  <c r="P710" i="22"/>
  <c r="O710" i="22"/>
  <c r="N710" i="22"/>
  <c r="K710" i="22"/>
  <c r="K716" i="22" s="1"/>
  <c r="J710" i="22"/>
  <c r="J716" i="22" s="1"/>
  <c r="I710" i="22"/>
  <c r="I716" i="22" s="1"/>
  <c r="H710" i="22"/>
  <c r="H716" i="22" s="1"/>
  <c r="G710" i="22"/>
  <c r="G716" i="22" s="1"/>
  <c r="F710" i="22"/>
  <c r="F716" i="22" s="1"/>
  <c r="V709" i="22"/>
  <c r="S709" i="22"/>
  <c r="R709" i="22"/>
  <c r="Q709" i="22"/>
  <c r="P709" i="22"/>
  <c r="O709" i="22"/>
  <c r="N709" i="22"/>
  <c r="K709" i="22"/>
  <c r="J709" i="22"/>
  <c r="I709" i="22"/>
  <c r="H709" i="22"/>
  <c r="G709" i="22"/>
  <c r="F709" i="22"/>
  <c r="V708" i="22"/>
  <c r="R708" i="22"/>
  <c r="R707" i="22" s="1"/>
  <c r="P708" i="22"/>
  <c r="N708" i="22"/>
  <c r="N707" i="22" s="1"/>
  <c r="K708" i="22"/>
  <c r="I708" i="22"/>
  <c r="G708" i="22"/>
  <c r="F708" i="22"/>
  <c r="F707" i="22" s="1"/>
  <c r="V706" i="22"/>
  <c r="S706" i="22"/>
  <c r="R706" i="22"/>
  <c r="Q706" i="22"/>
  <c r="P706" i="22"/>
  <c r="O706" i="22"/>
  <c r="N706" i="22"/>
  <c r="K706" i="22"/>
  <c r="J706" i="22"/>
  <c r="I706" i="22"/>
  <c r="H706" i="22"/>
  <c r="G706" i="22"/>
  <c r="F706" i="22"/>
  <c r="V705" i="22"/>
  <c r="S705" i="22"/>
  <c r="R705" i="22"/>
  <c r="Q705" i="22"/>
  <c r="P705" i="22"/>
  <c r="O705" i="22"/>
  <c r="N705" i="22"/>
  <c r="K705" i="22"/>
  <c r="J705" i="22"/>
  <c r="I705" i="22"/>
  <c r="H705" i="22"/>
  <c r="G705" i="22"/>
  <c r="F705" i="22"/>
  <c r="V704" i="22"/>
  <c r="S704" i="22"/>
  <c r="R704" i="22"/>
  <c r="Q704" i="22"/>
  <c r="P704" i="22"/>
  <c r="O704" i="22"/>
  <c r="N704" i="22"/>
  <c r="K704" i="22"/>
  <c r="J704" i="22"/>
  <c r="I704" i="22"/>
  <c r="H704" i="22"/>
  <c r="G704" i="22"/>
  <c r="F704" i="22"/>
  <c r="S701" i="22"/>
  <c r="R701" i="22"/>
  <c r="Q701" i="22"/>
  <c r="P701" i="22"/>
  <c r="O701" i="22"/>
  <c r="N701" i="22"/>
  <c r="K701" i="22"/>
  <c r="J701" i="22"/>
  <c r="I701" i="22"/>
  <c r="H701" i="22"/>
  <c r="G701" i="22"/>
  <c r="F701" i="22"/>
  <c r="V700" i="22"/>
  <c r="V699" i="22"/>
  <c r="T699" i="22"/>
  <c r="U699" i="22" s="1"/>
  <c r="L699" i="22"/>
  <c r="M699" i="22" s="1"/>
  <c r="S698" i="22"/>
  <c r="S702" i="22" s="1"/>
  <c r="R698" i="22"/>
  <c r="R700" i="22" s="1"/>
  <c r="Q698" i="22"/>
  <c r="Q702" i="22" s="1"/>
  <c r="P698" i="22"/>
  <c r="P700" i="22" s="1"/>
  <c r="O698" i="22"/>
  <c r="O702" i="22" s="1"/>
  <c r="N698" i="22"/>
  <c r="N700" i="22" s="1"/>
  <c r="K698" i="22"/>
  <c r="K702" i="22" s="1"/>
  <c r="J698" i="22"/>
  <c r="J700" i="22" s="1"/>
  <c r="I698" i="22"/>
  <c r="I702" i="22" s="1"/>
  <c r="H698" i="22"/>
  <c r="H700" i="22" s="1"/>
  <c r="G698" i="22"/>
  <c r="G702" i="22" s="1"/>
  <c r="F698" i="22"/>
  <c r="F700" i="22" s="1"/>
  <c r="E697" i="22"/>
  <c r="V696" i="22"/>
  <c r="U696" i="22"/>
  <c r="W696" i="22" s="1"/>
  <c r="T696" i="22"/>
  <c r="M696" i="22"/>
  <c r="L696" i="22"/>
  <c r="T695" i="22"/>
  <c r="U695" i="22" s="1"/>
  <c r="L695" i="22"/>
  <c r="M695" i="22" s="1"/>
  <c r="U694" i="22"/>
  <c r="W694" i="22" s="1"/>
  <c r="T694" i="22"/>
  <c r="M694" i="22"/>
  <c r="L694" i="22"/>
  <c r="V693" i="22"/>
  <c r="V698" i="22" s="1"/>
  <c r="S693" i="22"/>
  <c r="R693" i="22"/>
  <c r="Q693" i="22"/>
  <c r="P693" i="22"/>
  <c r="O693" i="22"/>
  <c r="N693" i="22"/>
  <c r="T693" i="22" s="1"/>
  <c r="K693" i="22"/>
  <c r="J693" i="22"/>
  <c r="I693" i="22"/>
  <c r="H693" i="22"/>
  <c r="G693" i="22"/>
  <c r="F693" i="22"/>
  <c r="L693" i="22" s="1"/>
  <c r="T691" i="22"/>
  <c r="L691" i="22"/>
  <c r="M691" i="22" s="1"/>
  <c r="T690" i="22"/>
  <c r="L690" i="22"/>
  <c r="U690" i="22" s="1"/>
  <c r="W690" i="22" s="1"/>
  <c r="T689" i="22"/>
  <c r="L689" i="22"/>
  <c r="M689" i="22" s="1"/>
  <c r="S671" i="22"/>
  <c r="R671" i="22"/>
  <c r="Q671" i="22"/>
  <c r="P671" i="22"/>
  <c r="O671" i="22"/>
  <c r="N671" i="22"/>
  <c r="T671" i="22" s="1"/>
  <c r="K671" i="22"/>
  <c r="J671" i="22"/>
  <c r="I671" i="22"/>
  <c r="H671" i="22"/>
  <c r="G671" i="22"/>
  <c r="F671" i="22"/>
  <c r="L671" i="22" s="1"/>
  <c r="M671" i="22" s="1"/>
  <c r="V670" i="22"/>
  <c r="V669" i="22"/>
  <c r="T669" i="22"/>
  <c r="L669" i="22"/>
  <c r="M669" i="22" s="1"/>
  <c r="S668" i="22"/>
  <c r="S672" i="22" s="1"/>
  <c r="R668" i="22"/>
  <c r="R672" i="22" s="1"/>
  <c r="Q668" i="22"/>
  <c r="Q672" i="22" s="1"/>
  <c r="P668" i="22"/>
  <c r="P672" i="22" s="1"/>
  <c r="O668" i="22"/>
  <c r="O672" i="22" s="1"/>
  <c r="N668" i="22"/>
  <c r="N672" i="22" s="1"/>
  <c r="K668" i="22"/>
  <c r="K672" i="22" s="1"/>
  <c r="J668" i="22"/>
  <c r="J672" i="22" s="1"/>
  <c r="I668" i="22"/>
  <c r="I672" i="22" s="1"/>
  <c r="H668" i="22"/>
  <c r="H672" i="22" s="1"/>
  <c r="G668" i="22"/>
  <c r="G672" i="22" s="1"/>
  <c r="F668" i="22"/>
  <c r="F672" i="22" s="1"/>
  <c r="F673" i="22" s="1"/>
  <c r="E667" i="22"/>
  <c r="V666" i="22"/>
  <c r="T666" i="22"/>
  <c r="L666" i="22"/>
  <c r="M666" i="22" s="1"/>
  <c r="T665" i="22"/>
  <c r="L665" i="22"/>
  <c r="M665" i="22" s="1"/>
  <c r="T664" i="22"/>
  <c r="L664" i="22"/>
  <c r="M664" i="22" s="1"/>
  <c r="V663" i="22"/>
  <c r="S663" i="22"/>
  <c r="S632" i="22" s="1"/>
  <c r="R663" i="22"/>
  <c r="Q663" i="22"/>
  <c r="Q632" i="22" s="1"/>
  <c r="P663" i="22"/>
  <c r="O663" i="22"/>
  <c r="O632" i="22" s="1"/>
  <c r="N663" i="22"/>
  <c r="K663" i="22"/>
  <c r="K632" i="22" s="1"/>
  <c r="J663" i="22"/>
  <c r="I663" i="22"/>
  <c r="I632" i="22" s="1"/>
  <c r="H663" i="22"/>
  <c r="G663" i="22"/>
  <c r="G632" i="22" s="1"/>
  <c r="F663" i="22"/>
  <c r="V662" i="22"/>
  <c r="T661" i="22"/>
  <c r="L661" i="22"/>
  <c r="M661" i="22" s="1"/>
  <c r="T660" i="22"/>
  <c r="L660" i="22"/>
  <c r="M660" i="22" s="1"/>
  <c r="T659" i="22"/>
  <c r="L659" i="22"/>
  <c r="M659" i="22" s="1"/>
  <c r="K621" i="22"/>
  <c r="J621" i="22"/>
  <c r="I621" i="22"/>
  <c r="H621" i="22"/>
  <c r="G621" i="22"/>
  <c r="F621" i="22"/>
  <c r="S621" i="22"/>
  <c r="R621" i="22"/>
  <c r="Q621" i="22"/>
  <c r="P621" i="22"/>
  <c r="O621" i="22"/>
  <c r="N621" i="22"/>
  <c r="S616" i="22"/>
  <c r="S555" i="22" s="1"/>
  <c r="S538" i="22" s="1"/>
  <c r="R616" i="22"/>
  <c r="Q616" i="22"/>
  <c r="P616" i="22"/>
  <c r="O616" i="22"/>
  <c r="N616" i="22"/>
  <c r="G616" i="22"/>
  <c r="H616" i="22"/>
  <c r="I616" i="22"/>
  <c r="J616" i="22"/>
  <c r="K616" i="22"/>
  <c r="F616" i="22"/>
  <c r="F555" i="22" s="1"/>
  <c r="S624" i="22"/>
  <c r="R624" i="22"/>
  <c r="Q624" i="22"/>
  <c r="P624" i="22"/>
  <c r="O624" i="22"/>
  <c r="N624" i="22"/>
  <c r="T624" i="22" s="1"/>
  <c r="K624" i="22"/>
  <c r="J624" i="22"/>
  <c r="I624" i="22"/>
  <c r="H624" i="22"/>
  <c r="G624" i="22"/>
  <c r="F624" i="22"/>
  <c r="L624" i="22" s="1"/>
  <c r="M624" i="22" s="1"/>
  <c r="V623" i="22"/>
  <c r="V622" i="22"/>
  <c r="T622" i="22"/>
  <c r="L622" i="22"/>
  <c r="M622" i="22" s="1"/>
  <c r="S625" i="22"/>
  <c r="R623" i="22"/>
  <c r="Q625" i="22"/>
  <c r="P623" i="22"/>
  <c r="O625" i="22"/>
  <c r="N623" i="22"/>
  <c r="K625" i="22"/>
  <c r="J623" i="22"/>
  <c r="I625" i="22"/>
  <c r="H623" i="22"/>
  <c r="G625" i="22"/>
  <c r="F623" i="22"/>
  <c r="E620" i="22"/>
  <c r="V619" i="22"/>
  <c r="T619" i="22"/>
  <c r="L619" i="22"/>
  <c r="T618" i="22"/>
  <c r="L618" i="22"/>
  <c r="M618" i="22" s="1"/>
  <c r="T617" i="22"/>
  <c r="L617" i="22"/>
  <c r="M617" i="22" s="1"/>
  <c r="V616" i="22"/>
  <c r="V615" i="22"/>
  <c r="T614" i="22"/>
  <c r="L614" i="22"/>
  <c r="U614" i="22" s="1"/>
  <c r="W614" i="22" s="1"/>
  <c r="T613" i="22"/>
  <c r="L613" i="22"/>
  <c r="M613" i="22" s="1"/>
  <c r="T612" i="22"/>
  <c r="L612" i="22"/>
  <c r="M612" i="22" s="1"/>
  <c r="R591" i="22"/>
  <c r="Q591" i="22"/>
  <c r="Q593" i="22" s="1"/>
  <c r="P591" i="22"/>
  <c r="O591" i="22"/>
  <c r="O593" i="22" s="1"/>
  <c r="N591" i="22"/>
  <c r="R586" i="22"/>
  <c r="Q586" i="22"/>
  <c r="P586" i="22"/>
  <c r="O586" i="22"/>
  <c r="N586" i="22"/>
  <c r="K591" i="22"/>
  <c r="J591" i="22"/>
  <c r="J593" i="22" s="1"/>
  <c r="I591" i="22"/>
  <c r="H593" i="22"/>
  <c r="F593" i="22"/>
  <c r="H586" i="22"/>
  <c r="I586" i="22"/>
  <c r="J586" i="22"/>
  <c r="K586" i="22"/>
  <c r="S594" i="22"/>
  <c r="R594" i="22"/>
  <c r="R595" i="22" s="1"/>
  <c r="Q594" i="22"/>
  <c r="P594" i="22"/>
  <c r="P595" i="22" s="1"/>
  <c r="J594" i="22"/>
  <c r="I594" i="22"/>
  <c r="I595" i="22" s="1"/>
  <c r="F594" i="22"/>
  <c r="V593" i="22"/>
  <c r="R593" i="22"/>
  <c r="P593" i="22"/>
  <c r="N593" i="22"/>
  <c r="K593" i="22"/>
  <c r="I593" i="22"/>
  <c r="G593" i="22"/>
  <c r="V592" i="22"/>
  <c r="T592" i="22"/>
  <c r="U592" i="22" s="1"/>
  <c r="L592" i="22"/>
  <c r="M592" i="22" s="1"/>
  <c r="E590" i="22"/>
  <c r="V589" i="22"/>
  <c r="T589" i="22"/>
  <c r="L589" i="22"/>
  <c r="M589" i="22" s="1"/>
  <c r="O594" i="22"/>
  <c r="O595" i="22" s="1"/>
  <c r="T588" i="22"/>
  <c r="K594" i="22"/>
  <c r="K595" i="22" s="1"/>
  <c r="H594" i="22"/>
  <c r="G594" i="22"/>
  <c r="G595" i="22" s="1"/>
  <c r="T587" i="22"/>
  <c r="L587" i="22"/>
  <c r="U587" i="22" s="1"/>
  <c r="V586" i="22"/>
  <c r="V591" i="22" s="1"/>
  <c r="E585" i="22"/>
  <c r="T584" i="22"/>
  <c r="L584" i="22"/>
  <c r="T583" i="22"/>
  <c r="L583" i="22"/>
  <c r="M583" i="22" s="1"/>
  <c r="T582" i="22"/>
  <c r="L582" i="22"/>
  <c r="M582" i="22" s="1"/>
  <c r="R510" i="22"/>
  <c r="Q510" i="22"/>
  <c r="S505" i="22"/>
  <c r="R505" i="22"/>
  <c r="Q505" i="22"/>
  <c r="P505" i="22"/>
  <c r="S490" i="22"/>
  <c r="R490" i="22"/>
  <c r="Q490" i="22"/>
  <c r="P490" i="22"/>
  <c r="R495" i="22"/>
  <c r="Q495" i="22"/>
  <c r="S430" i="22"/>
  <c r="O430" i="22"/>
  <c r="P430" i="22"/>
  <c r="Q430" i="22"/>
  <c r="R430" i="22"/>
  <c r="S435" i="22"/>
  <c r="R435" i="22"/>
  <c r="Q435" i="22"/>
  <c r="P435" i="22"/>
  <c r="O435" i="22"/>
  <c r="S373" i="22"/>
  <c r="S368" i="22"/>
  <c r="R373" i="22"/>
  <c r="Q373" i="22"/>
  <c r="P373" i="22"/>
  <c r="R368" i="22"/>
  <c r="Q368" i="22"/>
  <c r="P368" i="22"/>
  <c r="V155" i="22"/>
  <c r="S157" i="22"/>
  <c r="R157" i="22"/>
  <c r="Q157" i="22"/>
  <c r="P157" i="22"/>
  <c r="O157" i="22"/>
  <c r="N157" i="22"/>
  <c r="S152" i="22"/>
  <c r="R152" i="22"/>
  <c r="Q152" i="22"/>
  <c r="P152" i="22"/>
  <c r="O152" i="22"/>
  <c r="N152" i="22"/>
  <c r="K157" i="22"/>
  <c r="J157" i="22"/>
  <c r="I157" i="22"/>
  <c r="H157" i="22"/>
  <c r="H157" i="23" s="1"/>
  <c r="G157" i="22"/>
  <c r="G157" i="23" s="1"/>
  <c r="G152" i="22"/>
  <c r="G152" i="23" s="1"/>
  <c r="H152" i="22"/>
  <c r="I152" i="22"/>
  <c r="J152" i="22"/>
  <c r="K152" i="22"/>
  <c r="F152" i="22"/>
  <c r="F152" i="23" s="1"/>
  <c r="S137" i="22"/>
  <c r="R142" i="22"/>
  <c r="Q142" i="22"/>
  <c r="P142" i="22"/>
  <c r="O142" i="22"/>
  <c r="N142" i="22"/>
  <c r="S112" i="22"/>
  <c r="R112" i="22"/>
  <c r="Q112" i="22"/>
  <c r="P112" i="22"/>
  <c r="O112" i="22"/>
  <c r="N112" i="22"/>
  <c r="K112" i="22"/>
  <c r="J112" i="22"/>
  <c r="S107" i="22"/>
  <c r="R107" i="22"/>
  <c r="Q107" i="22"/>
  <c r="P107" i="22"/>
  <c r="O107" i="22"/>
  <c r="N107" i="22"/>
  <c r="G107" i="23"/>
  <c r="I107" i="22"/>
  <c r="J107" i="22"/>
  <c r="K107" i="22"/>
  <c r="F107" i="23"/>
  <c r="S92" i="22"/>
  <c r="R92" i="22"/>
  <c r="Q92" i="22"/>
  <c r="P92" i="22"/>
  <c r="O92" i="22"/>
  <c r="N92" i="22"/>
  <c r="R97" i="22"/>
  <c r="Q97" i="22"/>
  <c r="P97" i="22"/>
  <c r="O97" i="22"/>
  <c r="N97" i="22"/>
  <c r="S80" i="22"/>
  <c r="I80" i="23"/>
  <c r="J80" i="23"/>
  <c r="K80" i="23"/>
  <c r="L80" i="22"/>
  <c r="M80" i="22" s="1"/>
  <c r="N80" i="23"/>
  <c r="O80" i="23"/>
  <c r="P80" i="23"/>
  <c r="Q80" i="23"/>
  <c r="R80" i="23"/>
  <c r="T80" i="22"/>
  <c r="U80" i="22" s="1"/>
  <c r="V80" i="22"/>
  <c r="L82" i="22"/>
  <c r="L81" i="22" s="1"/>
  <c r="P82" i="22"/>
  <c r="Q82" i="22"/>
  <c r="R82" i="22"/>
  <c r="H75" i="23"/>
  <c r="I75" i="23"/>
  <c r="J75" i="23"/>
  <c r="K75" i="23"/>
  <c r="S11" i="22"/>
  <c r="R11" i="22"/>
  <c r="Q11" i="22"/>
  <c r="P11" i="22"/>
  <c r="O11" i="22"/>
  <c r="N11" i="22"/>
  <c r="K11" i="22"/>
  <c r="J11" i="22"/>
  <c r="I11" i="22"/>
  <c r="H11" i="22"/>
  <c r="G11" i="22"/>
  <c r="F11" i="22"/>
  <c r="S2" i="22"/>
  <c r="R2" i="22"/>
  <c r="Q2" i="22"/>
  <c r="P2" i="22"/>
  <c r="O2" i="22"/>
  <c r="N2" i="22"/>
  <c r="K2" i="22"/>
  <c r="J2" i="22"/>
  <c r="I2" i="22"/>
  <c r="H2" i="22"/>
  <c r="G2" i="22"/>
  <c r="F2" i="22"/>
  <c r="U2" i="22"/>
  <c r="C8" i="22"/>
  <c r="I17" i="19"/>
  <c r="V562" i="19"/>
  <c r="R563" i="19"/>
  <c r="Q563" i="19"/>
  <c r="S562" i="19"/>
  <c r="R562" i="19"/>
  <c r="Q562" i="19"/>
  <c r="P562" i="19"/>
  <c r="O562" i="19"/>
  <c r="N562" i="19"/>
  <c r="R561" i="19"/>
  <c r="Q561" i="19"/>
  <c r="P561" i="19"/>
  <c r="O561" i="19"/>
  <c r="I561" i="19"/>
  <c r="J561" i="19"/>
  <c r="K561" i="19"/>
  <c r="G562" i="19"/>
  <c r="H562" i="19"/>
  <c r="I562" i="19"/>
  <c r="J562" i="19"/>
  <c r="K562" i="19"/>
  <c r="F561" i="19"/>
  <c r="F562" i="19"/>
  <c r="R540" i="19"/>
  <c r="R17" i="19" s="1"/>
  <c r="N540" i="19"/>
  <c r="N17" i="19" s="1"/>
  <c r="H540" i="19"/>
  <c r="H17" i="19" s="1"/>
  <c r="J540" i="19"/>
  <c r="J17" i="19" s="1"/>
  <c r="F541" i="19"/>
  <c r="W557" i="19"/>
  <c r="V558" i="19"/>
  <c r="V541" i="19" s="1"/>
  <c r="V557" i="19"/>
  <c r="T557" i="19"/>
  <c r="U557" i="19" s="1"/>
  <c r="L557" i="19"/>
  <c r="M557" i="19" s="1"/>
  <c r="S558" i="19"/>
  <c r="S541" i="19" s="1"/>
  <c r="R558" i="19"/>
  <c r="Q558" i="19"/>
  <c r="P558" i="19"/>
  <c r="P541" i="19" s="1"/>
  <c r="O558" i="19"/>
  <c r="N558" i="19"/>
  <c r="S557" i="19"/>
  <c r="R557" i="19"/>
  <c r="Q557" i="19"/>
  <c r="P557" i="19"/>
  <c r="O557" i="19"/>
  <c r="N557" i="19"/>
  <c r="S555" i="19"/>
  <c r="R555" i="19"/>
  <c r="Q555" i="19"/>
  <c r="P555" i="19"/>
  <c r="O555" i="19"/>
  <c r="N555" i="19"/>
  <c r="S554" i="19"/>
  <c r="S556" i="19" s="1"/>
  <c r="R554" i="19"/>
  <c r="R556" i="19" s="1"/>
  <c r="Q554" i="19"/>
  <c r="Q556" i="19" s="1"/>
  <c r="P554" i="19"/>
  <c r="P556" i="19" s="1"/>
  <c r="O554" i="19"/>
  <c r="O556" i="19" s="1"/>
  <c r="N554" i="19"/>
  <c r="N556" i="19" s="1"/>
  <c r="G554" i="19"/>
  <c r="H554" i="19"/>
  <c r="I554" i="19"/>
  <c r="I556" i="19" s="1"/>
  <c r="J554" i="19"/>
  <c r="K554" i="19"/>
  <c r="K556" i="19" s="1"/>
  <c r="G555" i="19"/>
  <c r="H555" i="19"/>
  <c r="I555" i="19"/>
  <c r="J555" i="19"/>
  <c r="K555" i="19"/>
  <c r="G556" i="19"/>
  <c r="G557" i="19"/>
  <c r="H557" i="19"/>
  <c r="I557" i="19"/>
  <c r="J557" i="19"/>
  <c r="K557" i="19"/>
  <c r="G558" i="19"/>
  <c r="H558" i="19"/>
  <c r="H541" i="19" s="1"/>
  <c r="I558" i="19"/>
  <c r="J558" i="19"/>
  <c r="K558" i="19"/>
  <c r="F558" i="19"/>
  <c r="F555" i="19"/>
  <c r="L555" i="19" s="1"/>
  <c r="M555" i="19" s="1"/>
  <c r="R576" i="19"/>
  <c r="Q576" i="19"/>
  <c r="R571" i="19"/>
  <c r="Q571" i="19"/>
  <c r="P571" i="19"/>
  <c r="S574" i="19"/>
  <c r="S593" i="19"/>
  <c r="R591" i="19"/>
  <c r="R593" i="19" s="1"/>
  <c r="Q591" i="19"/>
  <c r="Q593" i="19" s="1"/>
  <c r="P591" i="19"/>
  <c r="P593" i="19" s="1"/>
  <c r="O591" i="19"/>
  <c r="O593" i="19" s="1"/>
  <c r="N591" i="19"/>
  <c r="N593" i="19" s="1"/>
  <c r="R586" i="19"/>
  <c r="Q586" i="19"/>
  <c r="P586" i="19"/>
  <c r="O586" i="19"/>
  <c r="N586" i="19"/>
  <c r="K591" i="19"/>
  <c r="K593" i="19" s="1"/>
  <c r="J591" i="19"/>
  <c r="J593" i="19" s="1"/>
  <c r="I591" i="19"/>
  <c r="I593" i="19" s="1"/>
  <c r="H591" i="19"/>
  <c r="H593" i="19" s="1"/>
  <c r="G593" i="19"/>
  <c r="F593" i="19"/>
  <c r="K586" i="19"/>
  <c r="J586" i="19"/>
  <c r="I586" i="19"/>
  <c r="H586" i="19"/>
  <c r="G586" i="19"/>
  <c r="R606" i="19"/>
  <c r="Q606" i="19"/>
  <c r="N561" i="19"/>
  <c r="G561" i="19"/>
  <c r="R601" i="19"/>
  <c r="Q601" i="19"/>
  <c r="P601" i="19"/>
  <c r="R621" i="19"/>
  <c r="Q621" i="19"/>
  <c r="P621" i="19"/>
  <c r="O621" i="19"/>
  <c r="N621" i="19"/>
  <c r="K621" i="19"/>
  <c r="J621" i="19"/>
  <c r="I621" i="19"/>
  <c r="H621" i="19"/>
  <c r="R616" i="19"/>
  <c r="Q616" i="19"/>
  <c r="P616" i="19"/>
  <c r="O616" i="19"/>
  <c r="N616" i="19"/>
  <c r="T616" i="19" s="1"/>
  <c r="G616" i="19"/>
  <c r="H616" i="19"/>
  <c r="I616" i="19"/>
  <c r="J616" i="19"/>
  <c r="K616" i="19"/>
  <c r="F616" i="19"/>
  <c r="V635" i="19"/>
  <c r="V634" i="19"/>
  <c r="S635" i="19"/>
  <c r="R635" i="19"/>
  <c r="R541" i="19" s="1"/>
  <c r="Q635" i="19"/>
  <c r="Q541" i="19" s="1"/>
  <c r="P635" i="19"/>
  <c r="O635" i="19"/>
  <c r="O541" i="19" s="1"/>
  <c r="N635" i="19"/>
  <c r="T635" i="19" s="1"/>
  <c r="S634" i="19"/>
  <c r="S540" i="19" s="1"/>
  <c r="S17" i="19" s="1"/>
  <c r="R634" i="19"/>
  <c r="Q634" i="19"/>
  <c r="Q540" i="19" s="1"/>
  <c r="Q17" i="19" s="1"/>
  <c r="P634" i="19"/>
  <c r="P540" i="19" s="1"/>
  <c r="P17" i="19" s="1"/>
  <c r="O634" i="19"/>
  <c r="O540" i="19" s="1"/>
  <c r="O17" i="19" s="1"/>
  <c r="N634" i="19"/>
  <c r="T634" i="19" s="1"/>
  <c r="R632" i="19"/>
  <c r="R538" i="19" s="1"/>
  <c r="R521" i="19" s="1"/>
  <c r="N632" i="19"/>
  <c r="J632" i="19"/>
  <c r="J538" i="19" s="1"/>
  <c r="J521" i="19" s="1"/>
  <c r="G634" i="19"/>
  <c r="G540" i="19" s="1"/>
  <c r="G17" i="19" s="1"/>
  <c r="H634" i="19"/>
  <c r="I634" i="19"/>
  <c r="I540" i="19" s="1"/>
  <c r="J634" i="19"/>
  <c r="K634" i="19"/>
  <c r="K540" i="19" s="1"/>
  <c r="K17" i="19" s="1"/>
  <c r="G635" i="19"/>
  <c r="H635" i="19"/>
  <c r="I635" i="19"/>
  <c r="J635" i="19"/>
  <c r="K635" i="19"/>
  <c r="F635" i="19"/>
  <c r="L635" i="19" s="1"/>
  <c r="M635" i="19" s="1"/>
  <c r="S668" i="19"/>
  <c r="R668" i="19"/>
  <c r="Q668" i="19"/>
  <c r="P668" i="19"/>
  <c r="O668" i="19"/>
  <c r="N668" i="19"/>
  <c r="S663" i="19"/>
  <c r="S632" i="19" s="1"/>
  <c r="R663" i="19"/>
  <c r="Q663" i="19"/>
  <c r="Q632" i="19" s="1"/>
  <c r="Q538" i="19" s="1"/>
  <c r="Q521" i="19" s="1"/>
  <c r="P663" i="19"/>
  <c r="P632" i="19" s="1"/>
  <c r="P538" i="19" s="1"/>
  <c r="P521" i="19" s="1"/>
  <c r="O663" i="19"/>
  <c r="O632" i="19" s="1"/>
  <c r="O538" i="19" s="1"/>
  <c r="O521" i="19" s="1"/>
  <c r="N663" i="19"/>
  <c r="K668" i="19"/>
  <c r="J668" i="19"/>
  <c r="I668" i="19"/>
  <c r="H668" i="19"/>
  <c r="G668" i="19"/>
  <c r="F668" i="19"/>
  <c r="K663" i="19"/>
  <c r="K632" i="19" s="1"/>
  <c r="K538" i="19" s="1"/>
  <c r="K521" i="19" s="1"/>
  <c r="J663" i="19"/>
  <c r="I663" i="19"/>
  <c r="I632" i="19" s="1"/>
  <c r="I538" i="19" s="1"/>
  <c r="I521" i="19" s="1"/>
  <c r="H663" i="19"/>
  <c r="H632" i="19" s="1"/>
  <c r="H538" i="19" s="1"/>
  <c r="H521" i="19" s="1"/>
  <c r="G663" i="19"/>
  <c r="G632" i="19" s="1"/>
  <c r="G538" i="19" s="1"/>
  <c r="G521" i="19" s="1"/>
  <c r="F663" i="19"/>
  <c r="S698" i="19"/>
  <c r="R698" i="19"/>
  <c r="Q698" i="19"/>
  <c r="P698" i="19"/>
  <c r="O698" i="19"/>
  <c r="N698" i="19"/>
  <c r="S693" i="19"/>
  <c r="R693" i="19"/>
  <c r="Q693" i="19"/>
  <c r="P693" i="19"/>
  <c r="O693" i="19"/>
  <c r="N693" i="19"/>
  <c r="K698" i="19"/>
  <c r="J698" i="19"/>
  <c r="I698" i="19"/>
  <c r="H698" i="19"/>
  <c r="G698" i="19"/>
  <c r="F698" i="19"/>
  <c r="G693" i="19"/>
  <c r="H693" i="19"/>
  <c r="I693" i="19"/>
  <c r="J693" i="19"/>
  <c r="K693" i="19"/>
  <c r="F693" i="19"/>
  <c r="V714" i="19"/>
  <c r="V710" i="19"/>
  <c r="V709" i="19"/>
  <c r="V706" i="19"/>
  <c r="V705" i="19"/>
  <c r="V704" i="19"/>
  <c r="S711" i="19"/>
  <c r="R711" i="19"/>
  <c r="Q711" i="19"/>
  <c r="P711" i="19"/>
  <c r="O711" i="19"/>
  <c r="N711" i="19"/>
  <c r="K711" i="19"/>
  <c r="J711" i="19"/>
  <c r="I711" i="19"/>
  <c r="H711" i="19"/>
  <c r="G711" i="19"/>
  <c r="F711" i="19"/>
  <c r="S714" i="19"/>
  <c r="R714" i="19"/>
  <c r="Q714" i="19"/>
  <c r="P714" i="19"/>
  <c r="O714" i="19"/>
  <c r="N714" i="19"/>
  <c r="R713" i="19"/>
  <c r="P713" i="19"/>
  <c r="P712" i="19" s="1"/>
  <c r="N713" i="19"/>
  <c r="K714" i="19"/>
  <c r="J714" i="19"/>
  <c r="I714" i="19"/>
  <c r="H714" i="19"/>
  <c r="G714" i="19"/>
  <c r="F714" i="19"/>
  <c r="J713" i="19"/>
  <c r="J712" i="19" s="1"/>
  <c r="H713" i="19"/>
  <c r="F713" i="19"/>
  <c r="F712" i="19" s="1"/>
  <c r="S710" i="19"/>
  <c r="R710" i="19"/>
  <c r="Q710" i="19"/>
  <c r="P710" i="19"/>
  <c r="O710" i="19"/>
  <c r="N710" i="19"/>
  <c r="S709" i="19"/>
  <c r="R709" i="19"/>
  <c r="R523" i="19" s="1"/>
  <c r="Q709" i="19"/>
  <c r="P709" i="19"/>
  <c r="O709" i="19"/>
  <c r="N709" i="19"/>
  <c r="N523" i="19" s="1"/>
  <c r="R708" i="19"/>
  <c r="P708" i="19"/>
  <c r="P707" i="19" s="1"/>
  <c r="N708" i="19"/>
  <c r="S706" i="19"/>
  <c r="R706" i="19"/>
  <c r="Q706" i="19"/>
  <c r="P706" i="19"/>
  <c r="O706" i="19"/>
  <c r="N706" i="19"/>
  <c r="S705" i="19"/>
  <c r="R705" i="19"/>
  <c r="Q705" i="19"/>
  <c r="P705" i="19"/>
  <c r="O705" i="19"/>
  <c r="N705" i="19"/>
  <c r="S704" i="19"/>
  <c r="R704" i="19"/>
  <c r="Q704" i="19"/>
  <c r="P704" i="19"/>
  <c r="O704" i="19"/>
  <c r="N704" i="19"/>
  <c r="K710" i="19"/>
  <c r="J710" i="19"/>
  <c r="I710" i="19"/>
  <c r="H710" i="19"/>
  <c r="G710" i="19"/>
  <c r="F710" i="19"/>
  <c r="K709" i="19"/>
  <c r="J709" i="19"/>
  <c r="J523" i="19" s="1"/>
  <c r="I709" i="19"/>
  <c r="H709" i="19"/>
  <c r="G709" i="19"/>
  <c r="F709" i="19"/>
  <c r="G704" i="19"/>
  <c r="H704" i="19"/>
  <c r="I704" i="19"/>
  <c r="J704" i="19"/>
  <c r="K704" i="19"/>
  <c r="G705" i="19"/>
  <c r="H705" i="19"/>
  <c r="I705" i="19"/>
  <c r="J705" i="19"/>
  <c r="K705" i="19"/>
  <c r="G706" i="19"/>
  <c r="H706" i="19"/>
  <c r="I706" i="19"/>
  <c r="J706" i="19"/>
  <c r="K706" i="19"/>
  <c r="F705" i="19"/>
  <c r="F706" i="19"/>
  <c r="F704" i="19"/>
  <c r="S746" i="19"/>
  <c r="R746" i="19"/>
  <c r="Q746" i="19"/>
  <c r="P746" i="19"/>
  <c r="O746" i="19"/>
  <c r="N746" i="19"/>
  <c r="T746" i="19" s="1"/>
  <c r="K746" i="19"/>
  <c r="J746" i="19"/>
  <c r="I746" i="19"/>
  <c r="H746" i="19"/>
  <c r="G746" i="19"/>
  <c r="F746" i="19"/>
  <c r="L746" i="19" s="1"/>
  <c r="M746" i="19" s="1"/>
  <c r="V745" i="19"/>
  <c r="V744" i="19"/>
  <c r="T744" i="19"/>
  <c r="U744" i="19" s="1"/>
  <c r="W744" i="19" s="1"/>
  <c r="L744" i="19"/>
  <c r="M744" i="19" s="1"/>
  <c r="R747" i="19"/>
  <c r="P747" i="19"/>
  <c r="N747" i="19"/>
  <c r="K747" i="19"/>
  <c r="J747" i="19"/>
  <c r="I747" i="19"/>
  <c r="H747" i="19"/>
  <c r="G747" i="19"/>
  <c r="F747" i="19"/>
  <c r="F748" i="19" s="1"/>
  <c r="E742" i="19"/>
  <c r="V741" i="19"/>
  <c r="T741" i="19"/>
  <c r="U741" i="19" s="1"/>
  <c r="T740" i="19"/>
  <c r="U740" i="19" s="1"/>
  <c r="W740" i="19" s="1"/>
  <c r="T739" i="19"/>
  <c r="U739" i="19" s="1"/>
  <c r="W739" i="19" s="1"/>
  <c r="V738" i="19"/>
  <c r="V743" i="19" s="1"/>
  <c r="T738" i="19"/>
  <c r="V737" i="19"/>
  <c r="T736" i="19"/>
  <c r="U736" i="19" s="1"/>
  <c r="W736" i="19" s="1"/>
  <c r="L736" i="19"/>
  <c r="M736" i="19" s="1"/>
  <c r="T735" i="19"/>
  <c r="L735" i="19"/>
  <c r="M735" i="19" s="1"/>
  <c r="T734" i="19"/>
  <c r="U734" i="19" s="1"/>
  <c r="W734" i="19" s="1"/>
  <c r="L734" i="19"/>
  <c r="M734" i="19" s="1"/>
  <c r="S731" i="19"/>
  <c r="R731" i="19"/>
  <c r="R732" i="19" s="1"/>
  <c r="Q731" i="19"/>
  <c r="P731" i="19"/>
  <c r="P732" i="19" s="1"/>
  <c r="K731" i="19"/>
  <c r="J731" i="19"/>
  <c r="I731" i="19"/>
  <c r="H731" i="19"/>
  <c r="G731" i="19"/>
  <c r="F731" i="19"/>
  <c r="V730" i="19"/>
  <c r="V715" i="19" s="1"/>
  <c r="V729" i="19"/>
  <c r="T729" i="19"/>
  <c r="U729" i="19" s="1"/>
  <c r="W729" i="19" s="1"/>
  <c r="L729" i="19"/>
  <c r="M729" i="19" s="1"/>
  <c r="S732" i="19"/>
  <c r="Q732" i="19"/>
  <c r="K732" i="19"/>
  <c r="J732" i="19"/>
  <c r="I732" i="19"/>
  <c r="H732" i="19"/>
  <c r="G732" i="19"/>
  <c r="F732" i="19"/>
  <c r="F733" i="19" s="1"/>
  <c r="E727" i="19"/>
  <c r="V726" i="19"/>
  <c r="V711" i="19" s="1"/>
  <c r="T726" i="19"/>
  <c r="U726" i="19" s="1"/>
  <c r="L726" i="19"/>
  <c r="M726" i="19" s="1"/>
  <c r="U725" i="19"/>
  <c r="W725" i="19" s="1"/>
  <c r="T725" i="19"/>
  <c r="M725" i="19"/>
  <c r="L725" i="19"/>
  <c r="T724" i="19"/>
  <c r="U724" i="19" s="1"/>
  <c r="W724" i="19" s="1"/>
  <c r="L724" i="19"/>
  <c r="M724" i="19" s="1"/>
  <c r="V723" i="19"/>
  <c r="T723" i="19"/>
  <c r="K723" i="19"/>
  <c r="K708" i="19" s="1"/>
  <c r="K707" i="19" s="1"/>
  <c r="J723" i="19"/>
  <c r="J708" i="19" s="1"/>
  <c r="J707" i="19" s="1"/>
  <c r="I723" i="19"/>
  <c r="I708" i="19" s="1"/>
  <c r="I707" i="19" s="1"/>
  <c r="H723" i="19"/>
  <c r="H708" i="19" s="1"/>
  <c r="H707" i="19" s="1"/>
  <c r="G723" i="19"/>
  <c r="G708" i="19" s="1"/>
  <c r="G707" i="19" s="1"/>
  <c r="F723" i="19"/>
  <c r="V722" i="19"/>
  <c r="T721" i="19"/>
  <c r="U721" i="19" s="1"/>
  <c r="W721" i="19" s="1"/>
  <c r="L721" i="19"/>
  <c r="M721" i="19" s="1"/>
  <c r="T720" i="19"/>
  <c r="L720" i="19"/>
  <c r="M720" i="19" s="1"/>
  <c r="T719" i="19"/>
  <c r="U719" i="19" s="1"/>
  <c r="W719" i="19" s="1"/>
  <c r="L719" i="19"/>
  <c r="M719" i="19" s="1"/>
  <c r="S701" i="19"/>
  <c r="R701" i="19"/>
  <c r="Q701" i="19"/>
  <c r="P701" i="19"/>
  <c r="O701" i="19"/>
  <c r="N701" i="19"/>
  <c r="T701" i="19" s="1"/>
  <c r="K701" i="19"/>
  <c r="J701" i="19"/>
  <c r="I701" i="19"/>
  <c r="H701" i="19"/>
  <c r="G701" i="19"/>
  <c r="F701" i="19"/>
  <c r="L701" i="19" s="1"/>
  <c r="M701" i="19" s="1"/>
  <c r="V700" i="19"/>
  <c r="V699" i="19"/>
  <c r="T699" i="19"/>
  <c r="L699" i="19"/>
  <c r="M699" i="19" s="1"/>
  <c r="S702" i="19"/>
  <c r="R700" i="19"/>
  <c r="Q702" i="19"/>
  <c r="P700" i="19"/>
  <c r="O702" i="19"/>
  <c r="N700" i="19"/>
  <c r="K702" i="19"/>
  <c r="J700" i="19"/>
  <c r="I702" i="19"/>
  <c r="H700" i="19"/>
  <c r="G702" i="19"/>
  <c r="F700" i="19"/>
  <c r="E697" i="19"/>
  <c r="V696" i="19"/>
  <c r="T696" i="19"/>
  <c r="L696" i="19"/>
  <c r="U696" i="19" s="1"/>
  <c r="W696" i="19" s="1"/>
  <c r="T695" i="19"/>
  <c r="L695" i="19"/>
  <c r="M695" i="19" s="1"/>
  <c r="T694" i="19"/>
  <c r="M694" i="19"/>
  <c r="L694" i="19"/>
  <c r="U694" i="19" s="1"/>
  <c r="W694" i="19" s="1"/>
  <c r="V693" i="19"/>
  <c r="V692" i="19" s="1"/>
  <c r="T693" i="19"/>
  <c r="L693" i="19"/>
  <c r="T691" i="19"/>
  <c r="L691" i="19"/>
  <c r="T690" i="19"/>
  <c r="U690" i="19" s="1"/>
  <c r="W690" i="19" s="1"/>
  <c r="L690" i="19"/>
  <c r="M690" i="19" s="1"/>
  <c r="T689" i="19"/>
  <c r="U689" i="19" s="1"/>
  <c r="W689" i="19" s="1"/>
  <c r="L689" i="19"/>
  <c r="M689" i="19" s="1"/>
  <c r="S671" i="19"/>
  <c r="R671" i="19"/>
  <c r="Q671" i="19"/>
  <c r="P671" i="19"/>
  <c r="O671" i="19"/>
  <c r="N671" i="19"/>
  <c r="K671" i="19"/>
  <c r="J671" i="19"/>
  <c r="I671" i="19"/>
  <c r="H671" i="19"/>
  <c r="G671" i="19"/>
  <c r="F671" i="19"/>
  <c r="V670" i="19"/>
  <c r="V669" i="19"/>
  <c r="T669" i="19"/>
  <c r="U669" i="19" s="1"/>
  <c r="L669" i="19"/>
  <c r="M669" i="19" s="1"/>
  <c r="S672" i="19"/>
  <c r="R670" i="19"/>
  <c r="Q672" i="19"/>
  <c r="P670" i="19"/>
  <c r="O672" i="19"/>
  <c r="N670" i="19"/>
  <c r="K672" i="19"/>
  <c r="J670" i="19"/>
  <c r="I672" i="19"/>
  <c r="H670" i="19"/>
  <c r="G672" i="19"/>
  <c r="F670" i="19"/>
  <c r="E667" i="19"/>
  <c r="V666" i="19"/>
  <c r="T666" i="19"/>
  <c r="U666" i="19" s="1"/>
  <c r="W666" i="19" s="1"/>
  <c r="L666" i="19"/>
  <c r="M666" i="19" s="1"/>
  <c r="T665" i="19"/>
  <c r="U665" i="19" s="1"/>
  <c r="L665" i="19"/>
  <c r="M665" i="19" s="1"/>
  <c r="T664" i="19"/>
  <c r="U664" i="19" s="1"/>
  <c r="W664" i="19" s="1"/>
  <c r="L664" i="19"/>
  <c r="M664" i="19" s="1"/>
  <c r="V663" i="19"/>
  <c r="V632" i="19" s="1"/>
  <c r="T663" i="19"/>
  <c r="V662" i="19"/>
  <c r="T661" i="19"/>
  <c r="L661" i="19"/>
  <c r="M661" i="19" s="1"/>
  <c r="T660" i="19"/>
  <c r="L660" i="19"/>
  <c r="M660" i="19" s="1"/>
  <c r="T659" i="19"/>
  <c r="L659" i="19"/>
  <c r="M659" i="19" s="1"/>
  <c r="S624" i="19"/>
  <c r="Q624" i="19"/>
  <c r="Q625" i="19" s="1"/>
  <c r="K624" i="19"/>
  <c r="K625" i="19" s="1"/>
  <c r="H624" i="19"/>
  <c r="H625" i="19" s="1"/>
  <c r="V623" i="19"/>
  <c r="Q623" i="19"/>
  <c r="P623" i="19"/>
  <c r="O623" i="19"/>
  <c r="N623" i="19"/>
  <c r="K623" i="19"/>
  <c r="J623" i="19"/>
  <c r="I623" i="19"/>
  <c r="H623" i="19"/>
  <c r="G623" i="19"/>
  <c r="F623" i="19"/>
  <c r="V622" i="19"/>
  <c r="W622" i="19" s="1"/>
  <c r="T622" i="19"/>
  <c r="U622" i="19" s="1"/>
  <c r="L622" i="19"/>
  <c r="M622" i="19" s="1"/>
  <c r="R623" i="19"/>
  <c r="L621" i="19"/>
  <c r="M621" i="19" s="1"/>
  <c r="E620" i="19"/>
  <c r="V619" i="19"/>
  <c r="L619" i="19"/>
  <c r="R624" i="19"/>
  <c r="P624" i="19"/>
  <c r="P625" i="19" s="1"/>
  <c r="O624" i="19"/>
  <c r="O625" i="19" s="1"/>
  <c r="N624" i="19"/>
  <c r="J624" i="19"/>
  <c r="J625" i="19" s="1"/>
  <c r="I624" i="19"/>
  <c r="I625" i="19" s="1"/>
  <c r="G624" i="19"/>
  <c r="G625" i="19" s="1"/>
  <c r="F624" i="19"/>
  <c r="T617" i="19"/>
  <c r="L617" i="19"/>
  <c r="M617" i="19" s="1"/>
  <c r="V616" i="19"/>
  <c r="V621" i="19" s="1"/>
  <c r="L616" i="19"/>
  <c r="M616" i="19" s="1"/>
  <c r="V615" i="19"/>
  <c r="E615" i="19"/>
  <c r="T614" i="19"/>
  <c r="L614" i="19"/>
  <c r="T613" i="19"/>
  <c r="U613" i="19" s="1"/>
  <c r="L613" i="19"/>
  <c r="M613" i="19" s="1"/>
  <c r="T612" i="19"/>
  <c r="U612" i="19" s="1"/>
  <c r="L612" i="19"/>
  <c r="M612" i="19" s="1"/>
  <c r="O594" i="19"/>
  <c r="O595" i="19" s="1"/>
  <c r="N594" i="19"/>
  <c r="N595" i="19" s="1"/>
  <c r="V593" i="19"/>
  <c r="V592" i="19"/>
  <c r="T592" i="19"/>
  <c r="U592" i="19" s="1"/>
  <c r="L592" i="19"/>
  <c r="M592" i="19" s="1"/>
  <c r="L591" i="19"/>
  <c r="M591" i="19" s="1"/>
  <c r="E590" i="19"/>
  <c r="V589" i="19"/>
  <c r="T589" i="19"/>
  <c r="L589" i="19"/>
  <c r="L590" i="19" s="1"/>
  <c r="S594" i="19"/>
  <c r="R594" i="19"/>
  <c r="Q594" i="19"/>
  <c r="Q595" i="19" s="1"/>
  <c r="T588" i="19"/>
  <c r="K594" i="19"/>
  <c r="K595" i="19" s="1"/>
  <c r="J594" i="19"/>
  <c r="J595" i="19" s="1"/>
  <c r="I594" i="19"/>
  <c r="I595" i="19" s="1"/>
  <c r="H594" i="19"/>
  <c r="H595" i="19" s="1"/>
  <c r="G594" i="19"/>
  <c r="G595" i="19" s="1"/>
  <c r="L588" i="19"/>
  <c r="M588" i="19" s="1"/>
  <c r="T587" i="19"/>
  <c r="L587" i="19"/>
  <c r="M587" i="19" s="1"/>
  <c r="V586" i="19"/>
  <c r="L586" i="19"/>
  <c r="M586" i="19" s="1"/>
  <c r="V585" i="19"/>
  <c r="E585" i="19"/>
  <c r="T584" i="19"/>
  <c r="L584" i="19"/>
  <c r="T583" i="19"/>
  <c r="L583" i="19"/>
  <c r="M583" i="19" s="1"/>
  <c r="T582" i="19"/>
  <c r="L582" i="19"/>
  <c r="M582" i="19" s="1"/>
  <c r="S510" i="19"/>
  <c r="S505" i="19"/>
  <c r="R505" i="19"/>
  <c r="Q505" i="19"/>
  <c r="P505" i="19"/>
  <c r="R510" i="19"/>
  <c r="Q510" i="19"/>
  <c r="S490" i="19"/>
  <c r="R495" i="19"/>
  <c r="Q495" i="19"/>
  <c r="R490" i="19"/>
  <c r="Q490" i="19"/>
  <c r="P490" i="19"/>
  <c r="O490" i="19"/>
  <c r="S430" i="19"/>
  <c r="P430" i="19"/>
  <c r="Q430" i="19"/>
  <c r="R430" i="19"/>
  <c r="R435" i="19"/>
  <c r="Q435" i="19"/>
  <c r="Q373" i="19"/>
  <c r="R373" i="19"/>
  <c r="S373" i="19"/>
  <c r="S368" i="19"/>
  <c r="R368" i="19"/>
  <c r="Q368" i="19"/>
  <c r="P368" i="19"/>
  <c r="R197" i="19"/>
  <c r="Q197" i="19"/>
  <c r="P197" i="19"/>
  <c r="O197" i="19"/>
  <c r="N197" i="19"/>
  <c r="R202" i="19"/>
  <c r="Q202" i="19"/>
  <c r="P202" i="19"/>
  <c r="O202" i="19"/>
  <c r="N202" i="19"/>
  <c r="O187" i="19"/>
  <c r="P187" i="19"/>
  <c r="Q187" i="19"/>
  <c r="R187" i="19"/>
  <c r="O182" i="19"/>
  <c r="P182" i="19"/>
  <c r="Q182" i="19"/>
  <c r="R182" i="19"/>
  <c r="N182" i="19"/>
  <c r="N187" i="19"/>
  <c r="C8" i="19"/>
  <c r="S11" i="19"/>
  <c r="R11" i="19"/>
  <c r="Q11" i="19"/>
  <c r="P11" i="19"/>
  <c r="O11" i="19"/>
  <c r="N11" i="19"/>
  <c r="K11" i="19"/>
  <c r="J11" i="19"/>
  <c r="I11" i="19"/>
  <c r="H11" i="19"/>
  <c r="G11" i="19"/>
  <c r="F11" i="19"/>
  <c r="S2" i="19"/>
  <c r="R2" i="19"/>
  <c r="Q2" i="19"/>
  <c r="P2" i="19"/>
  <c r="O2" i="19"/>
  <c r="N2" i="19"/>
  <c r="K2" i="19"/>
  <c r="J2" i="19"/>
  <c r="I2" i="19"/>
  <c r="H2" i="19"/>
  <c r="G2" i="19"/>
  <c r="F2" i="19"/>
  <c r="F3" i="19" s="1"/>
  <c r="U2" i="19"/>
  <c r="R521" i="18"/>
  <c r="Q521" i="18"/>
  <c r="P521" i="18"/>
  <c r="O521" i="18"/>
  <c r="N521" i="18"/>
  <c r="I521" i="18"/>
  <c r="J521" i="18"/>
  <c r="F541" i="18"/>
  <c r="R538" i="18"/>
  <c r="Q538" i="18"/>
  <c r="P538" i="18"/>
  <c r="O538" i="18"/>
  <c r="N538" i="18"/>
  <c r="I538" i="18"/>
  <c r="J538" i="18"/>
  <c r="S561" i="18"/>
  <c r="R576" i="18"/>
  <c r="Q576" i="18"/>
  <c r="H561" i="18"/>
  <c r="J561" i="18"/>
  <c r="P571" i="18"/>
  <c r="Q571" i="18"/>
  <c r="G554" i="18"/>
  <c r="I554" i="18"/>
  <c r="I556" i="18" s="1"/>
  <c r="K554" i="18"/>
  <c r="O554" i="18"/>
  <c r="O556" i="18" s="1"/>
  <c r="Q554" i="18"/>
  <c r="Q556" i="18" s="1"/>
  <c r="R571" i="18"/>
  <c r="S554" i="18"/>
  <c r="O579" i="18"/>
  <c r="F580" i="18"/>
  <c r="O580" i="18"/>
  <c r="V562" i="18"/>
  <c r="S562" i="18"/>
  <c r="R562" i="18"/>
  <c r="Q562" i="18"/>
  <c r="P562" i="18"/>
  <c r="O562" i="18"/>
  <c r="N562" i="18"/>
  <c r="R561" i="18"/>
  <c r="Q561" i="18"/>
  <c r="P561" i="18"/>
  <c r="I561" i="18"/>
  <c r="K561" i="18"/>
  <c r="G562" i="18"/>
  <c r="H562" i="18"/>
  <c r="I562" i="18"/>
  <c r="J562" i="18"/>
  <c r="K562" i="18"/>
  <c r="F562" i="18"/>
  <c r="F561" i="18"/>
  <c r="T557" i="18"/>
  <c r="U557" i="18" s="1"/>
  <c r="V558" i="18"/>
  <c r="V557" i="18"/>
  <c r="S558" i="18"/>
  <c r="R558" i="18"/>
  <c r="Q558" i="18"/>
  <c r="P558" i="18"/>
  <c r="O558" i="18"/>
  <c r="N558" i="18"/>
  <c r="S557" i="18"/>
  <c r="R557" i="18"/>
  <c r="Q557" i="18"/>
  <c r="P557" i="18"/>
  <c r="O557" i="18"/>
  <c r="N557" i="18"/>
  <c r="S555" i="18"/>
  <c r="T555" i="18" s="1"/>
  <c r="R555" i="18"/>
  <c r="Q555" i="18"/>
  <c r="P555" i="18"/>
  <c r="O555" i="18"/>
  <c r="N555" i="18"/>
  <c r="R554" i="18"/>
  <c r="R556" i="18" s="1"/>
  <c r="P554" i="18"/>
  <c r="P556" i="18" s="1"/>
  <c r="N554" i="18"/>
  <c r="N556" i="18" s="1"/>
  <c r="H554" i="18"/>
  <c r="J554" i="18"/>
  <c r="G555" i="18"/>
  <c r="G538" i="18" s="1"/>
  <c r="G521" i="18" s="1"/>
  <c r="H555" i="18"/>
  <c r="H538" i="18" s="1"/>
  <c r="H521" i="18" s="1"/>
  <c r="I555" i="18"/>
  <c r="J555" i="18"/>
  <c r="G557" i="18"/>
  <c r="H557" i="18"/>
  <c r="I557" i="18"/>
  <c r="J557" i="18"/>
  <c r="K557" i="18"/>
  <c r="G558" i="18"/>
  <c r="H558" i="18"/>
  <c r="I558" i="18"/>
  <c r="J558" i="18"/>
  <c r="K558" i="18"/>
  <c r="F558" i="18"/>
  <c r="F555" i="18"/>
  <c r="F538" i="18" s="1"/>
  <c r="F521" i="18" s="1"/>
  <c r="V635" i="18"/>
  <c r="V634" i="18"/>
  <c r="V540" i="18" s="1"/>
  <c r="S635" i="18"/>
  <c r="R635" i="18"/>
  <c r="Q635" i="18"/>
  <c r="P635" i="18"/>
  <c r="O635" i="18"/>
  <c r="N635" i="18"/>
  <c r="S634" i="18"/>
  <c r="R634" i="18"/>
  <c r="Q634" i="18"/>
  <c r="P634" i="18"/>
  <c r="O634" i="18"/>
  <c r="N634" i="18"/>
  <c r="G634" i="18"/>
  <c r="H634" i="18"/>
  <c r="I634" i="18"/>
  <c r="J634" i="18"/>
  <c r="K634" i="18"/>
  <c r="G635" i="18"/>
  <c r="H635" i="18"/>
  <c r="I635" i="18"/>
  <c r="J635" i="18"/>
  <c r="K635" i="18"/>
  <c r="F635" i="18"/>
  <c r="P707" i="18"/>
  <c r="G707" i="18"/>
  <c r="S714" i="18"/>
  <c r="R714" i="18"/>
  <c r="Q714" i="18"/>
  <c r="P714" i="18"/>
  <c r="O714" i="18"/>
  <c r="N714" i="18"/>
  <c r="S713" i="18"/>
  <c r="Q713" i="18"/>
  <c r="Q712" i="18" s="1"/>
  <c r="O713" i="18"/>
  <c r="G713" i="18"/>
  <c r="G712" i="18" s="1"/>
  <c r="I713" i="18"/>
  <c r="K713" i="18"/>
  <c r="K712" i="18" s="1"/>
  <c r="G714" i="18"/>
  <c r="H714" i="18"/>
  <c r="I714" i="18"/>
  <c r="J714" i="18"/>
  <c r="K714" i="18"/>
  <c r="F714" i="18"/>
  <c r="S711" i="18"/>
  <c r="R711" i="18"/>
  <c r="Q711" i="18"/>
  <c r="P711" i="18"/>
  <c r="O711" i="18"/>
  <c r="N711" i="18"/>
  <c r="G711" i="18"/>
  <c r="H711" i="18"/>
  <c r="I711" i="18"/>
  <c r="J711" i="18"/>
  <c r="K711" i="18"/>
  <c r="F711" i="18"/>
  <c r="V710" i="18"/>
  <c r="V709" i="18"/>
  <c r="V708" i="18"/>
  <c r="S710" i="18"/>
  <c r="R710" i="18"/>
  <c r="Q710" i="18"/>
  <c r="P710" i="18"/>
  <c r="O710" i="18"/>
  <c r="N710" i="18"/>
  <c r="S709" i="18"/>
  <c r="R709" i="18"/>
  <c r="Q709" i="18"/>
  <c r="P709" i="18"/>
  <c r="O709" i="18"/>
  <c r="N709" i="18"/>
  <c r="R708" i="18"/>
  <c r="R707" i="18" s="1"/>
  <c r="P708" i="18"/>
  <c r="N708" i="18"/>
  <c r="N707" i="18" s="1"/>
  <c r="G709" i="18"/>
  <c r="H709" i="18"/>
  <c r="I709" i="18"/>
  <c r="J709" i="18"/>
  <c r="K709" i="18"/>
  <c r="G710" i="18"/>
  <c r="H710" i="18"/>
  <c r="I710" i="18"/>
  <c r="J710" i="18"/>
  <c r="K710" i="18"/>
  <c r="F709" i="18"/>
  <c r="F710" i="18"/>
  <c r="S706" i="18"/>
  <c r="R706" i="18"/>
  <c r="Q706" i="18"/>
  <c r="P706" i="18"/>
  <c r="O706" i="18"/>
  <c r="N706" i="18"/>
  <c r="S705" i="18"/>
  <c r="R705" i="18"/>
  <c r="Q705" i="18"/>
  <c r="P705" i="18"/>
  <c r="O705" i="18"/>
  <c r="N705" i="18"/>
  <c r="S704" i="18"/>
  <c r="R704" i="18"/>
  <c r="Q704" i="18"/>
  <c r="P704" i="18"/>
  <c r="O704" i="18"/>
  <c r="N704" i="18"/>
  <c r="G704" i="18"/>
  <c r="H704" i="18"/>
  <c r="I704" i="18"/>
  <c r="J704" i="18"/>
  <c r="K704" i="18"/>
  <c r="G705" i="18"/>
  <c r="H705" i="18"/>
  <c r="I705" i="18"/>
  <c r="J705" i="18"/>
  <c r="K705" i="18"/>
  <c r="G706" i="18"/>
  <c r="H706" i="18"/>
  <c r="I706" i="18"/>
  <c r="J706" i="18"/>
  <c r="K706" i="18"/>
  <c r="F705" i="18"/>
  <c r="F706" i="18"/>
  <c r="F704" i="18"/>
  <c r="S746" i="18"/>
  <c r="R746" i="18"/>
  <c r="Q746" i="18"/>
  <c r="P746" i="18"/>
  <c r="O746" i="18"/>
  <c r="N746" i="18"/>
  <c r="T746" i="18" s="1"/>
  <c r="K746" i="18"/>
  <c r="J746" i="18"/>
  <c r="I746" i="18"/>
  <c r="H746" i="18"/>
  <c r="G746" i="18"/>
  <c r="F746" i="18"/>
  <c r="L746" i="18" s="1"/>
  <c r="M746" i="18" s="1"/>
  <c r="V745" i="18"/>
  <c r="V744" i="18"/>
  <c r="T744" i="18"/>
  <c r="L744" i="18"/>
  <c r="M744" i="18" s="1"/>
  <c r="S743" i="18"/>
  <c r="S747" i="18" s="1"/>
  <c r="R743" i="18"/>
  <c r="R747" i="18" s="1"/>
  <c r="Q743" i="18"/>
  <c r="Q747" i="18" s="1"/>
  <c r="P743" i="18"/>
  <c r="P747" i="18" s="1"/>
  <c r="O743" i="18"/>
  <c r="O747" i="18" s="1"/>
  <c r="N743" i="18"/>
  <c r="N747" i="18" s="1"/>
  <c r="K743" i="18"/>
  <c r="K747" i="18" s="1"/>
  <c r="J743" i="18"/>
  <c r="J747" i="18" s="1"/>
  <c r="I743" i="18"/>
  <c r="I747" i="18" s="1"/>
  <c r="H743" i="18"/>
  <c r="H747" i="18" s="1"/>
  <c r="G743" i="18"/>
  <c r="G747" i="18" s="1"/>
  <c r="F743" i="18"/>
  <c r="F747" i="18" s="1"/>
  <c r="F748" i="18" s="1"/>
  <c r="E742" i="18"/>
  <c r="V741" i="18"/>
  <c r="T741" i="18"/>
  <c r="L741" i="18"/>
  <c r="M741" i="18" s="1"/>
  <c r="T740" i="18"/>
  <c r="U740" i="18" s="1"/>
  <c r="W740" i="18" s="1"/>
  <c r="L740" i="18"/>
  <c r="M740" i="18" s="1"/>
  <c r="T739" i="18"/>
  <c r="L739" i="18"/>
  <c r="M739" i="18" s="1"/>
  <c r="V738" i="18"/>
  <c r="V743" i="18" s="1"/>
  <c r="S738" i="18"/>
  <c r="R738" i="18"/>
  <c r="Q738" i="18"/>
  <c r="P738" i="18"/>
  <c r="O738" i="18"/>
  <c r="N738" i="18"/>
  <c r="K738" i="18"/>
  <c r="J738" i="18"/>
  <c r="I738" i="18"/>
  <c r="H738" i="18"/>
  <c r="G738" i="18"/>
  <c r="F738" i="18"/>
  <c r="V737" i="18"/>
  <c r="T736" i="18"/>
  <c r="U736" i="18" s="1"/>
  <c r="W736" i="18" s="1"/>
  <c r="L736" i="18"/>
  <c r="M736" i="18" s="1"/>
  <c r="T735" i="18"/>
  <c r="L735" i="18"/>
  <c r="M735" i="18" s="1"/>
  <c r="T734" i="18"/>
  <c r="U734" i="18" s="1"/>
  <c r="W734" i="18" s="1"/>
  <c r="L734" i="18"/>
  <c r="M734" i="18" s="1"/>
  <c r="S731" i="18"/>
  <c r="R731" i="18"/>
  <c r="Q731" i="18"/>
  <c r="P731" i="18"/>
  <c r="O731" i="18"/>
  <c r="N731" i="18"/>
  <c r="T731" i="18" s="1"/>
  <c r="K731" i="18"/>
  <c r="J731" i="18"/>
  <c r="I731" i="18"/>
  <c r="H731" i="18"/>
  <c r="G731" i="18"/>
  <c r="F731" i="18"/>
  <c r="L731" i="18" s="1"/>
  <c r="M731" i="18" s="1"/>
  <c r="V730" i="18"/>
  <c r="V715" i="18" s="1"/>
  <c r="V729" i="18"/>
  <c r="V714" i="18" s="1"/>
  <c r="T729" i="18"/>
  <c r="L729" i="18"/>
  <c r="M729" i="18" s="1"/>
  <c r="S728" i="18"/>
  <c r="S732" i="18" s="1"/>
  <c r="R728" i="18"/>
  <c r="Q728" i="18"/>
  <c r="Q732" i="18" s="1"/>
  <c r="P728" i="18"/>
  <c r="O728" i="18"/>
  <c r="O732" i="18" s="1"/>
  <c r="N728" i="18"/>
  <c r="K728" i="18"/>
  <c r="K732" i="18" s="1"/>
  <c r="J728" i="18"/>
  <c r="I728" i="18"/>
  <c r="I732" i="18" s="1"/>
  <c r="H728" i="18"/>
  <c r="G728" i="18"/>
  <c r="G732" i="18" s="1"/>
  <c r="F728" i="18"/>
  <c r="E727" i="18"/>
  <c r="V726" i="18"/>
  <c r="T726" i="18"/>
  <c r="L726" i="18"/>
  <c r="M726" i="18" s="1"/>
  <c r="T725" i="18"/>
  <c r="U725" i="18" s="1"/>
  <c r="W725" i="18" s="1"/>
  <c r="L725" i="18"/>
  <c r="M725" i="18" s="1"/>
  <c r="T724" i="18"/>
  <c r="L724" i="18"/>
  <c r="M724" i="18" s="1"/>
  <c r="V723" i="18"/>
  <c r="V728" i="18" s="1"/>
  <c r="V713" i="18" s="1"/>
  <c r="S723" i="18"/>
  <c r="S708" i="18" s="1"/>
  <c r="S707" i="18" s="1"/>
  <c r="R723" i="18"/>
  <c r="Q723" i="18"/>
  <c r="Q708" i="18" s="1"/>
  <c r="Q707" i="18" s="1"/>
  <c r="P723" i="18"/>
  <c r="O723" i="18"/>
  <c r="O708" i="18" s="1"/>
  <c r="O707" i="18" s="1"/>
  <c r="N723" i="18"/>
  <c r="K723" i="18"/>
  <c r="K708" i="18" s="1"/>
  <c r="K707" i="18" s="1"/>
  <c r="J723" i="18"/>
  <c r="J708" i="18" s="1"/>
  <c r="J707" i="18" s="1"/>
  <c r="I723" i="18"/>
  <c r="I708" i="18" s="1"/>
  <c r="I707" i="18" s="1"/>
  <c r="H723" i="18"/>
  <c r="H708" i="18" s="1"/>
  <c r="H707" i="18" s="1"/>
  <c r="G723" i="18"/>
  <c r="G708" i="18" s="1"/>
  <c r="F723" i="18"/>
  <c r="L723" i="18" s="1"/>
  <c r="V722" i="18"/>
  <c r="U721" i="18"/>
  <c r="W721" i="18" s="1"/>
  <c r="T721" i="18"/>
  <c r="M721" i="18"/>
  <c r="L721" i="18"/>
  <c r="T720" i="18"/>
  <c r="U720" i="18" s="1"/>
  <c r="W720" i="18" s="1"/>
  <c r="L720" i="18"/>
  <c r="M720" i="18" s="1"/>
  <c r="U719" i="18"/>
  <c r="W719" i="18" s="1"/>
  <c r="T719" i="18"/>
  <c r="M719" i="18"/>
  <c r="L719" i="18"/>
  <c r="S701" i="18"/>
  <c r="R701" i="18"/>
  <c r="Q701" i="18"/>
  <c r="P701" i="18"/>
  <c r="O701" i="18"/>
  <c r="N701" i="18"/>
  <c r="K701" i="18"/>
  <c r="J701" i="18"/>
  <c r="I701" i="18"/>
  <c r="H701" i="18"/>
  <c r="G701" i="18"/>
  <c r="F701" i="18"/>
  <c r="V700" i="18"/>
  <c r="V699" i="18"/>
  <c r="T699" i="18"/>
  <c r="U699" i="18" s="1"/>
  <c r="L699" i="18"/>
  <c r="M699" i="18" s="1"/>
  <c r="S698" i="18"/>
  <c r="S702" i="18" s="1"/>
  <c r="R698" i="18"/>
  <c r="R700" i="18" s="1"/>
  <c r="Q698" i="18"/>
  <c r="Q702" i="18" s="1"/>
  <c r="P698" i="18"/>
  <c r="P700" i="18" s="1"/>
  <c r="O698" i="18"/>
  <c r="O702" i="18" s="1"/>
  <c r="N698" i="18"/>
  <c r="N700" i="18" s="1"/>
  <c r="K698" i="18"/>
  <c r="K702" i="18" s="1"/>
  <c r="J698" i="18"/>
  <c r="J700" i="18" s="1"/>
  <c r="I698" i="18"/>
  <c r="I702" i="18" s="1"/>
  <c r="H698" i="18"/>
  <c r="H700" i="18" s="1"/>
  <c r="G698" i="18"/>
  <c r="G702" i="18" s="1"/>
  <c r="F698" i="18"/>
  <c r="F700" i="18" s="1"/>
  <c r="E697" i="18"/>
  <c r="V696" i="18"/>
  <c r="U696" i="18"/>
  <c r="W696" i="18" s="1"/>
  <c r="T696" i="18"/>
  <c r="M696" i="18"/>
  <c r="L696" i="18"/>
  <c r="T695" i="18"/>
  <c r="U695" i="18" s="1"/>
  <c r="L695" i="18"/>
  <c r="M695" i="18" s="1"/>
  <c r="U694" i="18"/>
  <c r="W694" i="18" s="1"/>
  <c r="T694" i="18"/>
  <c r="M694" i="18"/>
  <c r="L694" i="18"/>
  <c r="V693" i="18"/>
  <c r="V698" i="18" s="1"/>
  <c r="S693" i="18"/>
  <c r="R693" i="18"/>
  <c r="R632" i="18" s="1"/>
  <c r="Q693" i="18"/>
  <c r="P693" i="18"/>
  <c r="O693" i="18"/>
  <c r="N693" i="18"/>
  <c r="T693" i="18" s="1"/>
  <c r="K693" i="18"/>
  <c r="J693" i="18"/>
  <c r="J632" i="18" s="1"/>
  <c r="I693" i="18"/>
  <c r="H693" i="18"/>
  <c r="G693" i="18"/>
  <c r="F693" i="18"/>
  <c r="L693" i="18" s="1"/>
  <c r="T691" i="18"/>
  <c r="L691" i="18"/>
  <c r="U691" i="18" s="1"/>
  <c r="T690" i="18"/>
  <c r="L690" i="18"/>
  <c r="M690" i="18" s="1"/>
  <c r="T689" i="18"/>
  <c r="M689" i="18"/>
  <c r="L689" i="18"/>
  <c r="S683" i="18"/>
  <c r="R683" i="18"/>
  <c r="Q683" i="18"/>
  <c r="P683" i="18"/>
  <c r="O683" i="18"/>
  <c r="N683" i="18"/>
  <c r="S678" i="18"/>
  <c r="R678" i="18"/>
  <c r="Q678" i="18"/>
  <c r="P678" i="18"/>
  <c r="O678" i="18"/>
  <c r="N678" i="18"/>
  <c r="K683" i="18"/>
  <c r="J683" i="18"/>
  <c r="I683" i="18"/>
  <c r="H683" i="18"/>
  <c r="G683" i="18"/>
  <c r="F683" i="18"/>
  <c r="K678" i="18"/>
  <c r="J678" i="18"/>
  <c r="I678" i="18"/>
  <c r="H678" i="18"/>
  <c r="G678" i="18"/>
  <c r="F678" i="18"/>
  <c r="S668" i="18"/>
  <c r="R668" i="18"/>
  <c r="Q668" i="18"/>
  <c r="P668" i="18"/>
  <c r="O668" i="18"/>
  <c r="N668" i="18"/>
  <c r="S663" i="18"/>
  <c r="S632" i="18" s="1"/>
  <c r="R663" i="18"/>
  <c r="Q663" i="18"/>
  <c r="Q632" i="18" s="1"/>
  <c r="P663" i="18"/>
  <c r="P632" i="18" s="1"/>
  <c r="O663" i="18"/>
  <c r="N663" i="18"/>
  <c r="K668" i="18"/>
  <c r="J668" i="18"/>
  <c r="I668" i="18"/>
  <c r="H668" i="18"/>
  <c r="G668" i="18"/>
  <c r="F668" i="18"/>
  <c r="K663" i="18"/>
  <c r="K632" i="18" s="1"/>
  <c r="J663" i="18"/>
  <c r="I663" i="18"/>
  <c r="I632" i="18" s="1"/>
  <c r="H663" i="18"/>
  <c r="H632" i="18" s="1"/>
  <c r="G663" i="18"/>
  <c r="F663" i="18"/>
  <c r="S671" i="18"/>
  <c r="R671" i="18"/>
  <c r="Q671" i="18"/>
  <c r="P671" i="18"/>
  <c r="O671" i="18"/>
  <c r="N671" i="18"/>
  <c r="K671" i="18"/>
  <c r="J671" i="18"/>
  <c r="I671" i="18"/>
  <c r="H671" i="18"/>
  <c r="G671" i="18"/>
  <c r="F671" i="18"/>
  <c r="V670" i="18"/>
  <c r="V669" i="18"/>
  <c r="T669" i="18"/>
  <c r="U669" i="18" s="1"/>
  <c r="L669" i="18"/>
  <c r="M669" i="18" s="1"/>
  <c r="S672" i="18"/>
  <c r="R670" i="18"/>
  <c r="Q672" i="18"/>
  <c r="P670" i="18"/>
  <c r="O672" i="18"/>
  <c r="N670" i="18"/>
  <c r="K672" i="18"/>
  <c r="J670" i="18"/>
  <c r="I672" i="18"/>
  <c r="H670" i="18"/>
  <c r="G672" i="18"/>
  <c r="F670" i="18"/>
  <c r="E667" i="18"/>
  <c r="V666" i="18"/>
  <c r="T666" i="18"/>
  <c r="U666" i="18" s="1"/>
  <c r="W666" i="18" s="1"/>
  <c r="L666" i="18"/>
  <c r="M666" i="18" s="1"/>
  <c r="T665" i="18"/>
  <c r="U665" i="18" s="1"/>
  <c r="L665" i="18"/>
  <c r="M665" i="18" s="1"/>
  <c r="T664" i="18"/>
  <c r="U664" i="18" s="1"/>
  <c r="W664" i="18" s="1"/>
  <c r="L664" i="18"/>
  <c r="M664" i="18" s="1"/>
  <c r="V663" i="18"/>
  <c r="V632" i="18" s="1"/>
  <c r="T661" i="18"/>
  <c r="L661" i="18"/>
  <c r="T660" i="18"/>
  <c r="U660" i="18" s="1"/>
  <c r="W660" i="18" s="1"/>
  <c r="L660" i="18"/>
  <c r="M660" i="18" s="1"/>
  <c r="T659" i="18"/>
  <c r="U659" i="18" s="1"/>
  <c r="W659" i="18" s="1"/>
  <c r="L659" i="18"/>
  <c r="M659" i="18" s="1"/>
  <c r="R621" i="18"/>
  <c r="Q621" i="18"/>
  <c r="Q623" i="18" s="1"/>
  <c r="P621" i="18"/>
  <c r="O621" i="18"/>
  <c r="O623" i="18" s="1"/>
  <c r="K621" i="18"/>
  <c r="J621" i="18"/>
  <c r="I621" i="18"/>
  <c r="L621" i="18"/>
  <c r="M621" i="18" s="1"/>
  <c r="O616" i="18"/>
  <c r="P616" i="18"/>
  <c r="Q616" i="18"/>
  <c r="R616" i="18"/>
  <c r="N616" i="18"/>
  <c r="R606" i="18"/>
  <c r="Q606" i="18"/>
  <c r="G561" i="18"/>
  <c r="R601" i="18"/>
  <c r="Q601" i="18"/>
  <c r="P601" i="18"/>
  <c r="S624" i="18"/>
  <c r="R624" i="18"/>
  <c r="R625" i="18" s="1"/>
  <c r="O624" i="18"/>
  <c r="O625" i="18" s="1"/>
  <c r="H624" i="18"/>
  <c r="H625" i="18" s="1"/>
  <c r="R623" i="18"/>
  <c r="P623" i="18"/>
  <c r="N623" i="18"/>
  <c r="J623" i="18"/>
  <c r="I623" i="18"/>
  <c r="H623" i="18"/>
  <c r="G623" i="18"/>
  <c r="F623" i="18"/>
  <c r="V622" i="18"/>
  <c r="T622" i="18"/>
  <c r="L622" i="18"/>
  <c r="M622" i="18" s="1"/>
  <c r="K623" i="18"/>
  <c r="E620" i="18"/>
  <c r="V619" i="18"/>
  <c r="V623" i="18"/>
  <c r="Q624" i="18"/>
  <c r="Q625" i="18" s="1"/>
  <c r="T618" i="18"/>
  <c r="N624" i="18"/>
  <c r="K624" i="18"/>
  <c r="K625" i="18" s="1"/>
  <c r="J624" i="18"/>
  <c r="J625" i="18" s="1"/>
  <c r="I624" i="18"/>
  <c r="I625" i="18" s="1"/>
  <c r="G624" i="18"/>
  <c r="G625" i="18" s="1"/>
  <c r="F618" i="18"/>
  <c r="F624" i="18" s="1"/>
  <c r="U617" i="18"/>
  <c r="T617" i="18"/>
  <c r="M617" i="18"/>
  <c r="L617" i="18"/>
  <c r="V616" i="18"/>
  <c r="V621" i="18" s="1"/>
  <c r="E615" i="18"/>
  <c r="T614" i="18"/>
  <c r="L614" i="18"/>
  <c r="M614" i="18" s="1"/>
  <c r="T613" i="18"/>
  <c r="U613" i="18" s="1"/>
  <c r="L613" i="18"/>
  <c r="M613" i="18" s="1"/>
  <c r="T612" i="18"/>
  <c r="U612" i="18" s="1"/>
  <c r="L612" i="18"/>
  <c r="M612" i="18" s="1"/>
  <c r="K594" i="18"/>
  <c r="I594" i="18"/>
  <c r="G594" i="18"/>
  <c r="F594" i="18"/>
  <c r="K591" i="18"/>
  <c r="J591" i="18"/>
  <c r="J593" i="18" s="1"/>
  <c r="I591" i="18"/>
  <c r="I593" i="18" s="1"/>
  <c r="H593" i="18"/>
  <c r="F593" i="18"/>
  <c r="R591" i="18"/>
  <c r="R593" i="18" s="1"/>
  <c r="Q591" i="18"/>
  <c r="P591" i="18"/>
  <c r="P593" i="18" s="1"/>
  <c r="O593" i="18"/>
  <c r="N593" i="18"/>
  <c r="R586" i="18"/>
  <c r="Q586" i="18"/>
  <c r="P586" i="18"/>
  <c r="O586" i="18"/>
  <c r="N586" i="18"/>
  <c r="K586" i="18"/>
  <c r="J586" i="18"/>
  <c r="I586" i="18"/>
  <c r="R594" i="18"/>
  <c r="P594" i="18"/>
  <c r="P595" i="18" s="1"/>
  <c r="Q593" i="18"/>
  <c r="K593" i="18"/>
  <c r="G593" i="18"/>
  <c r="T592" i="18"/>
  <c r="L591" i="18"/>
  <c r="M591" i="18" s="1"/>
  <c r="E590" i="18"/>
  <c r="T589" i="18"/>
  <c r="L589" i="18"/>
  <c r="M589" i="18" s="1"/>
  <c r="V593" i="18"/>
  <c r="S594" i="18"/>
  <c r="Q594" i="18"/>
  <c r="O594" i="18"/>
  <c r="N594" i="18"/>
  <c r="J594" i="18"/>
  <c r="J595" i="18" s="1"/>
  <c r="H594" i="18"/>
  <c r="H595" i="18" s="1"/>
  <c r="T587" i="18"/>
  <c r="L587" i="18"/>
  <c r="M587" i="18" s="1"/>
  <c r="V586" i="18"/>
  <c r="V591" i="18" s="1"/>
  <c r="L586" i="18"/>
  <c r="M586" i="18" s="1"/>
  <c r="V585" i="18"/>
  <c r="E585" i="18"/>
  <c r="T584" i="18"/>
  <c r="L584" i="18"/>
  <c r="M584" i="18" s="1"/>
  <c r="T583" i="18"/>
  <c r="L583" i="18"/>
  <c r="U583" i="18" s="1"/>
  <c r="T582" i="18"/>
  <c r="L582" i="18"/>
  <c r="U582" i="18" s="1"/>
  <c r="R510" i="18"/>
  <c r="Q510" i="18"/>
  <c r="S505" i="18"/>
  <c r="R505" i="18"/>
  <c r="Q505" i="18"/>
  <c r="P505" i="18"/>
  <c r="S488" i="18"/>
  <c r="S490" i="18" s="1"/>
  <c r="R495" i="18"/>
  <c r="Q495" i="18"/>
  <c r="R490" i="18"/>
  <c r="Q490" i="18"/>
  <c r="P490" i="18"/>
  <c r="S435" i="18"/>
  <c r="G432" i="18"/>
  <c r="R435" i="18"/>
  <c r="Q435" i="18"/>
  <c r="S430" i="18"/>
  <c r="R430" i="18"/>
  <c r="Q430" i="18"/>
  <c r="P430" i="18"/>
  <c r="G370" i="18"/>
  <c r="R373" i="18"/>
  <c r="Q373" i="18"/>
  <c r="S368" i="18"/>
  <c r="R368" i="18"/>
  <c r="Q368" i="18"/>
  <c r="P368" i="18"/>
  <c r="R232" i="18"/>
  <c r="Q232" i="18"/>
  <c r="P232" i="18"/>
  <c r="O232" i="18"/>
  <c r="N232" i="18"/>
  <c r="R227" i="18"/>
  <c r="Q227" i="18"/>
  <c r="P227" i="18"/>
  <c r="O227" i="18"/>
  <c r="N227" i="18"/>
  <c r="R142" i="18"/>
  <c r="Q142" i="18"/>
  <c r="P142" i="18"/>
  <c r="O142" i="18"/>
  <c r="N142" i="18"/>
  <c r="R137" i="18"/>
  <c r="Q137" i="18"/>
  <c r="P137" i="18"/>
  <c r="O137" i="18"/>
  <c r="N137" i="18"/>
  <c r="S77" i="18"/>
  <c r="R77" i="18"/>
  <c r="Q77" i="18"/>
  <c r="P77" i="18"/>
  <c r="O77" i="18"/>
  <c r="N77" i="18"/>
  <c r="S82" i="18"/>
  <c r="R82" i="18"/>
  <c r="Q82" i="18"/>
  <c r="P82" i="18"/>
  <c r="O82" i="18"/>
  <c r="N82" i="18"/>
  <c r="K82" i="18"/>
  <c r="J82" i="18"/>
  <c r="I82" i="18"/>
  <c r="H82" i="18"/>
  <c r="G82" i="18"/>
  <c r="F82" i="18"/>
  <c r="G77" i="18"/>
  <c r="H77" i="18"/>
  <c r="I77" i="18"/>
  <c r="J77" i="18"/>
  <c r="K77" i="18"/>
  <c r="F77" i="18"/>
  <c r="F77" i="23" s="1"/>
  <c r="S11" i="18"/>
  <c r="R11" i="18"/>
  <c r="Q11" i="18"/>
  <c r="P11" i="18"/>
  <c r="O11" i="18"/>
  <c r="N11" i="18"/>
  <c r="K11" i="18"/>
  <c r="J11" i="18"/>
  <c r="I11" i="18"/>
  <c r="H11" i="18"/>
  <c r="G11" i="18"/>
  <c r="F11" i="18"/>
  <c r="C8" i="18"/>
  <c r="S2" i="18"/>
  <c r="R2" i="18"/>
  <c r="Q2" i="18"/>
  <c r="P2" i="18"/>
  <c r="O2" i="18"/>
  <c r="N2" i="18"/>
  <c r="K2" i="18"/>
  <c r="J2" i="18"/>
  <c r="I2" i="18"/>
  <c r="H2" i="18"/>
  <c r="G2" i="18"/>
  <c r="F2" i="18"/>
  <c r="S432" i="16"/>
  <c r="V562" i="16"/>
  <c r="R563" i="16"/>
  <c r="Q563" i="16"/>
  <c r="S562" i="16"/>
  <c r="R562" i="16"/>
  <c r="Q562" i="16"/>
  <c r="P562" i="16"/>
  <c r="O562" i="16"/>
  <c r="N562" i="16"/>
  <c r="R561" i="16"/>
  <c r="Q561" i="16"/>
  <c r="P561" i="16"/>
  <c r="O561" i="16"/>
  <c r="N561" i="16"/>
  <c r="N564" i="16"/>
  <c r="G561" i="16"/>
  <c r="H561" i="16"/>
  <c r="I561" i="16"/>
  <c r="K561" i="16"/>
  <c r="G562" i="16"/>
  <c r="H562" i="16"/>
  <c r="I562" i="16"/>
  <c r="J562" i="16"/>
  <c r="K562" i="16"/>
  <c r="F562" i="16"/>
  <c r="F561" i="16"/>
  <c r="R521" i="16"/>
  <c r="Q521" i="16"/>
  <c r="P521" i="16"/>
  <c r="O521" i="16"/>
  <c r="N521" i="16"/>
  <c r="K521" i="16"/>
  <c r="S569" i="16"/>
  <c r="V540" i="16"/>
  <c r="R538" i="16"/>
  <c r="Q538" i="16"/>
  <c r="P538" i="16"/>
  <c r="O538" i="16"/>
  <c r="N538" i="16"/>
  <c r="K538" i="16"/>
  <c r="V558" i="16"/>
  <c r="S558" i="16"/>
  <c r="R558" i="16"/>
  <c r="Q558" i="16"/>
  <c r="P558" i="16"/>
  <c r="O558" i="16"/>
  <c r="N558" i="16"/>
  <c r="G558" i="16"/>
  <c r="H558" i="16"/>
  <c r="I558" i="16"/>
  <c r="J558" i="16"/>
  <c r="K558" i="16"/>
  <c r="F558" i="16"/>
  <c r="V557" i="16"/>
  <c r="S555" i="16"/>
  <c r="S538" i="16" s="1"/>
  <c r="R555" i="16"/>
  <c r="R556" i="16" s="1"/>
  <c r="Q555" i="16"/>
  <c r="Q556" i="16" s="1"/>
  <c r="P555" i="16"/>
  <c r="P556" i="16" s="1"/>
  <c r="O555" i="16"/>
  <c r="N555" i="16"/>
  <c r="G555" i="16"/>
  <c r="G538" i="16" s="1"/>
  <c r="G521" i="16" s="1"/>
  <c r="H555" i="16"/>
  <c r="H538" i="16" s="1"/>
  <c r="H521" i="16" s="1"/>
  <c r="J555" i="16"/>
  <c r="J538" i="16" s="1"/>
  <c r="J521" i="16" s="1"/>
  <c r="K555" i="16"/>
  <c r="F555" i="16"/>
  <c r="F538" i="16" s="1"/>
  <c r="Q576" i="16"/>
  <c r="R571" i="16"/>
  <c r="Q571" i="16"/>
  <c r="P571" i="16"/>
  <c r="K591" i="16"/>
  <c r="J561" i="16"/>
  <c r="R591" i="16"/>
  <c r="Q591" i="16"/>
  <c r="P591" i="16"/>
  <c r="O591" i="16"/>
  <c r="N591" i="16"/>
  <c r="R586" i="16"/>
  <c r="Q586" i="16"/>
  <c r="P586" i="16"/>
  <c r="O586" i="16"/>
  <c r="N586" i="16"/>
  <c r="K586" i="16"/>
  <c r="S604" i="16"/>
  <c r="S561" i="16" s="1"/>
  <c r="R601" i="16"/>
  <c r="Q601" i="16"/>
  <c r="P601" i="16"/>
  <c r="R606" i="16"/>
  <c r="Q606" i="16"/>
  <c r="R621" i="16"/>
  <c r="Q621" i="16"/>
  <c r="P621" i="16"/>
  <c r="O621" i="16"/>
  <c r="N621" i="16"/>
  <c r="K621" i="16"/>
  <c r="J621" i="16"/>
  <c r="I621" i="16"/>
  <c r="R616" i="16"/>
  <c r="Q616" i="16"/>
  <c r="P616" i="16"/>
  <c r="O616" i="16"/>
  <c r="N616" i="16"/>
  <c r="H616" i="16"/>
  <c r="I616" i="16"/>
  <c r="J616" i="16"/>
  <c r="K616" i="16"/>
  <c r="S635" i="16"/>
  <c r="R635" i="16"/>
  <c r="Q635" i="16"/>
  <c r="Q541" i="16" s="1"/>
  <c r="Q524" i="16" s="1"/>
  <c r="P635" i="16"/>
  <c r="P541" i="16" s="1"/>
  <c r="O635" i="16"/>
  <c r="N635" i="16"/>
  <c r="N541" i="16" s="1"/>
  <c r="S634" i="16"/>
  <c r="S540" i="16" s="1"/>
  <c r="S523" i="16" s="1"/>
  <c r="R634" i="16"/>
  <c r="R540" i="16" s="1"/>
  <c r="Q634" i="16"/>
  <c r="Q540" i="16" s="1"/>
  <c r="P634" i="16"/>
  <c r="P540" i="16" s="1"/>
  <c r="O634" i="16"/>
  <c r="O540" i="16" s="1"/>
  <c r="O523" i="16" s="1"/>
  <c r="N634" i="16"/>
  <c r="N540" i="16" s="1"/>
  <c r="G634" i="16"/>
  <c r="G540" i="16" s="1"/>
  <c r="H634" i="16"/>
  <c r="H540" i="16" s="1"/>
  <c r="I634" i="16"/>
  <c r="I540" i="16" s="1"/>
  <c r="J634" i="16"/>
  <c r="J540" i="16" s="1"/>
  <c r="J523" i="16" s="1"/>
  <c r="K634" i="16"/>
  <c r="K540" i="16" s="1"/>
  <c r="G635" i="16"/>
  <c r="H635" i="16"/>
  <c r="H541" i="16" s="1"/>
  <c r="H524" i="16" s="1"/>
  <c r="I635" i="16"/>
  <c r="J635" i="16"/>
  <c r="J541" i="16" s="1"/>
  <c r="K635" i="16"/>
  <c r="F635" i="16"/>
  <c r="F541" i="16" s="1"/>
  <c r="S629" i="16"/>
  <c r="R629" i="16"/>
  <c r="Q629" i="16"/>
  <c r="P629" i="16"/>
  <c r="O629" i="16"/>
  <c r="N629" i="16"/>
  <c r="S628" i="16"/>
  <c r="R628" i="16"/>
  <c r="Q628" i="16"/>
  <c r="P628" i="16"/>
  <c r="O628" i="16"/>
  <c r="N628" i="16"/>
  <c r="S627" i="16"/>
  <c r="R627" i="16"/>
  <c r="Q627" i="16"/>
  <c r="P627" i="16"/>
  <c r="O627" i="16"/>
  <c r="N627" i="16"/>
  <c r="G627" i="16"/>
  <c r="H627" i="16"/>
  <c r="I627" i="16"/>
  <c r="J627" i="16"/>
  <c r="K627" i="16"/>
  <c r="G628" i="16"/>
  <c r="H628" i="16"/>
  <c r="I628" i="16"/>
  <c r="J628" i="16"/>
  <c r="K628" i="16"/>
  <c r="G629" i="16"/>
  <c r="H629" i="16"/>
  <c r="I629" i="16"/>
  <c r="J629" i="16"/>
  <c r="K629" i="16"/>
  <c r="F628" i="16"/>
  <c r="F629" i="16"/>
  <c r="F627" i="16"/>
  <c r="S743" i="16"/>
  <c r="R743" i="16"/>
  <c r="R745" i="16" s="1"/>
  <c r="Q743" i="16"/>
  <c r="P743" i="16"/>
  <c r="P745" i="16" s="1"/>
  <c r="O743" i="16"/>
  <c r="N743" i="16"/>
  <c r="N745" i="16" s="1"/>
  <c r="S738" i="16"/>
  <c r="R738" i="16"/>
  <c r="Q738" i="16"/>
  <c r="P738" i="16"/>
  <c r="O738" i="16"/>
  <c r="N738" i="16"/>
  <c r="K743" i="16"/>
  <c r="J743" i="16"/>
  <c r="J745" i="16" s="1"/>
  <c r="I743" i="16"/>
  <c r="H743" i="16"/>
  <c r="H745" i="16" s="1"/>
  <c r="G743" i="16"/>
  <c r="F743" i="16"/>
  <c r="F745" i="16" s="1"/>
  <c r="K738" i="16"/>
  <c r="J738" i="16"/>
  <c r="I738" i="16"/>
  <c r="H738" i="16"/>
  <c r="G738" i="16"/>
  <c r="F738" i="16"/>
  <c r="K728" i="16"/>
  <c r="J728" i="16"/>
  <c r="I728" i="16"/>
  <c r="H728" i="16"/>
  <c r="G728" i="16"/>
  <c r="F728" i="16"/>
  <c r="S728" i="16"/>
  <c r="R728" i="16"/>
  <c r="Q728" i="16"/>
  <c r="P728" i="16"/>
  <c r="O728" i="16"/>
  <c r="N728" i="16"/>
  <c r="S723" i="16"/>
  <c r="R723" i="16"/>
  <c r="Q723" i="16"/>
  <c r="P723" i="16"/>
  <c r="O723" i="16"/>
  <c r="N723" i="16"/>
  <c r="G723" i="16"/>
  <c r="H723" i="16"/>
  <c r="I723" i="16"/>
  <c r="J723" i="16"/>
  <c r="K723" i="16"/>
  <c r="F723" i="16"/>
  <c r="V710" i="16"/>
  <c r="V709" i="16"/>
  <c r="S714" i="16"/>
  <c r="R714" i="16"/>
  <c r="Q714" i="16"/>
  <c r="P714" i="16"/>
  <c r="O714" i="16"/>
  <c r="N714" i="16"/>
  <c r="S711" i="16"/>
  <c r="R711" i="16"/>
  <c r="Q711" i="16"/>
  <c r="P711" i="16"/>
  <c r="O711" i="16"/>
  <c r="N711" i="16"/>
  <c r="S710" i="16"/>
  <c r="R710" i="16"/>
  <c r="Q710" i="16"/>
  <c r="P710" i="16"/>
  <c r="O710" i="16"/>
  <c r="N710" i="16"/>
  <c r="S709" i="16"/>
  <c r="R709" i="16"/>
  <c r="Q709" i="16"/>
  <c r="P709" i="16"/>
  <c r="O709" i="16"/>
  <c r="N709" i="16"/>
  <c r="F714" i="16"/>
  <c r="G714" i="16"/>
  <c r="H714" i="16"/>
  <c r="I714" i="16"/>
  <c r="J714" i="16"/>
  <c r="K714" i="16"/>
  <c r="K711" i="16"/>
  <c r="J711" i="16"/>
  <c r="I711" i="16"/>
  <c r="H711" i="16"/>
  <c r="G711" i="16"/>
  <c r="F711" i="16"/>
  <c r="F709" i="16"/>
  <c r="G709" i="16"/>
  <c r="H709" i="16"/>
  <c r="I709" i="16"/>
  <c r="J709" i="16"/>
  <c r="K709" i="16"/>
  <c r="F710" i="16"/>
  <c r="F716" i="16" s="1"/>
  <c r="G710" i="16"/>
  <c r="H710" i="16"/>
  <c r="I710" i="16"/>
  <c r="J710" i="16"/>
  <c r="K710" i="16"/>
  <c r="S706" i="16"/>
  <c r="R706" i="16"/>
  <c r="Q706" i="16"/>
  <c r="P706" i="16"/>
  <c r="O706" i="16"/>
  <c r="N706" i="16"/>
  <c r="S705" i="16"/>
  <c r="R705" i="16"/>
  <c r="Q705" i="16"/>
  <c r="P705" i="16"/>
  <c r="O705" i="16"/>
  <c r="N705" i="16"/>
  <c r="S704" i="16"/>
  <c r="R704" i="16"/>
  <c r="Q704" i="16"/>
  <c r="P704" i="16"/>
  <c r="O704" i="16"/>
  <c r="N704" i="16"/>
  <c r="G704" i="16"/>
  <c r="H704" i="16"/>
  <c r="I704" i="16"/>
  <c r="J704" i="16"/>
  <c r="K704" i="16"/>
  <c r="G705" i="16"/>
  <c r="H705" i="16"/>
  <c r="I705" i="16"/>
  <c r="J705" i="16"/>
  <c r="K705" i="16"/>
  <c r="G706" i="16"/>
  <c r="H706" i="16"/>
  <c r="I706" i="16"/>
  <c r="J706" i="16"/>
  <c r="K706" i="16"/>
  <c r="F705" i="16"/>
  <c r="F706" i="16"/>
  <c r="F704" i="16"/>
  <c r="S746" i="16"/>
  <c r="R746" i="16"/>
  <c r="Q746" i="16"/>
  <c r="P746" i="16"/>
  <c r="O746" i="16"/>
  <c r="N746" i="16"/>
  <c r="T746" i="16" s="1"/>
  <c r="K746" i="16"/>
  <c r="J746" i="16"/>
  <c r="I746" i="16"/>
  <c r="H746" i="16"/>
  <c r="G746" i="16"/>
  <c r="F746" i="16"/>
  <c r="V745" i="16"/>
  <c r="V744" i="16"/>
  <c r="T744" i="16"/>
  <c r="L744" i="16"/>
  <c r="M744" i="16" s="1"/>
  <c r="R747" i="16"/>
  <c r="P747" i="16"/>
  <c r="N747" i="16"/>
  <c r="J747" i="16"/>
  <c r="H747" i="16"/>
  <c r="F747" i="16"/>
  <c r="F748" i="16" s="1"/>
  <c r="E742" i="16"/>
  <c r="V741" i="16"/>
  <c r="T741" i="16"/>
  <c r="L741" i="16"/>
  <c r="M741" i="16" s="1"/>
  <c r="T740" i="16"/>
  <c r="L740" i="16"/>
  <c r="M740" i="16" s="1"/>
  <c r="T739" i="16"/>
  <c r="L739" i="16"/>
  <c r="M739" i="16" s="1"/>
  <c r="V738" i="16"/>
  <c r="V743" i="16" s="1"/>
  <c r="T738" i="16"/>
  <c r="V737" i="16"/>
  <c r="T736" i="16"/>
  <c r="L736" i="16"/>
  <c r="M736" i="16" s="1"/>
  <c r="T735" i="16"/>
  <c r="L735" i="16"/>
  <c r="M735" i="16" s="1"/>
  <c r="T734" i="16"/>
  <c r="L734" i="16"/>
  <c r="M734" i="16" s="1"/>
  <c r="S731" i="16"/>
  <c r="R731" i="16"/>
  <c r="R732" i="16" s="1"/>
  <c r="Q731" i="16"/>
  <c r="P731" i="16"/>
  <c r="P732" i="16" s="1"/>
  <c r="O731" i="16"/>
  <c r="N731" i="16"/>
  <c r="K731" i="16"/>
  <c r="J731" i="16"/>
  <c r="I731" i="16"/>
  <c r="H731" i="16"/>
  <c r="G731" i="16"/>
  <c r="F731" i="16"/>
  <c r="L731" i="16" s="1"/>
  <c r="M731" i="16" s="1"/>
  <c r="V730" i="16"/>
  <c r="V715" i="16" s="1"/>
  <c r="V729" i="16"/>
  <c r="T729" i="16"/>
  <c r="L729" i="16"/>
  <c r="M729" i="16" s="1"/>
  <c r="J732" i="16"/>
  <c r="I732" i="16"/>
  <c r="H732" i="16"/>
  <c r="G732" i="16"/>
  <c r="F732" i="16"/>
  <c r="F733" i="16" s="1"/>
  <c r="E727" i="16"/>
  <c r="V726" i="16"/>
  <c r="T726" i="16"/>
  <c r="L726" i="16"/>
  <c r="M726" i="16" s="1"/>
  <c r="T725" i="16"/>
  <c r="L725" i="16"/>
  <c r="M725" i="16" s="1"/>
  <c r="T724" i="16"/>
  <c r="L724" i="16"/>
  <c r="M724" i="16" s="1"/>
  <c r="V723" i="16"/>
  <c r="V728" i="16" s="1"/>
  <c r="V713" i="16" s="1"/>
  <c r="S708" i="16"/>
  <c r="S707" i="16" s="1"/>
  <c r="R708" i="16"/>
  <c r="R707" i="16" s="1"/>
  <c r="Q708" i="16"/>
  <c r="Q707" i="16" s="1"/>
  <c r="P708" i="16"/>
  <c r="P707" i="16" s="1"/>
  <c r="O708" i="16"/>
  <c r="O707" i="16" s="1"/>
  <c r="T723" i="16"/>
  <c r="K708" i="16"/>
  <c r="K707" i="16" s="1"/>
  <c r="J708" i="16"/>
  <c r="J707" i="16" s="1"/>
  <c r="I708" i="16"/>
  <c r="I707" i="16" s="1"/>
  <c r="H708" i="16"/>
  <c r="H707" i="16" s="1"/>
  <c r="G708" i="16"/>
  <c r="G707" i="16" s="1"/>
  <c r="L723" i="16"/>
  <c r="V722" i="16"/>
  <c r="T721" i="16"/>
  <c r="L721" i="16"/>
  <c r="M721" i="16" s="1"/>
  <c r="T720" i="16"/>
  <c r="L720" i="16"/>
  <c r="M720" i="16" s="1"/>
  <c r="T719" i="16"/>
  <c r="L719" i="16"/>
  <c r="M719" i="16" s="1"/>
  <c r="S701" i="16"/>
  <c r="R701" i="16"/>
  <c r="Q701" i="16"/>
  <c r="P701" i="16"/>
  <c r="O701" i="16"/>
  <c r="N701" i="16"/>
  <c r="T701" i="16" s="1"/>
  <c r="K701" i="16"/>
  <c r="J701" i="16"/>
  <c r="I701" i="16"/>
  <c r="H701" i="16"/>
  <c r="G701" i="16"/>
  <c r="F701" i="16"/>
  <c r="L701" i="16" s="1"/>
  <c r="M701" i="16" s="1"/>
  <c r="V700" i="16"/>
  <c r="V699" i="16"/>
  <c r="T699" i="16"/>
  <c r="L699" i="16"/>
  <c r="M699" i="16" s="1"/>
  <c r="S698" i="16"/>
  <c r="S702" i="16" s="1"/>
  <c r="R698" i="16"/>
  <c r="R700" i="16" s="1"/>
  <c r="Q698" i="16"/>
  <c r="Q702" i="16" s="1"/>
  <c r="P698" i="16"/>
  <c r="O698" i="16"/>
  <c r="O702" i="16" s="1"/>
  <c r="N698" i="16"/>
  <c r="K698" i="16"/>
  <c r="K702" i="16" s="1"/>
  <c r="J698" i="16"/>
  <c r="I698" i="16"/>
  <c r="I702" i="16" s="1"/>
  <c r="H698" i="16"/>
  <c r="H700" i="16" s="1"/>
  <c r="G698" i="16"/>
  <c r="G702" i="16" s="1"/>
  <c r="F698" i="16"/>
  <c r="E697" i="16"/>
  <c r="V696" i="16"/>
  <c r="T696" i="16"/>
  <c r="U696" i="16" s="1"/>
  <c r="W696" i="16" s="1"/>
  <c r="L696" i="16"/>
  <c r="M696" i="16" s="1"/>
  <c r="T695" i="16"/>
  <c r="L695" i="16"/>
  <c r="M695" i="16" s="1"/>
  <c r="T694" i="16"/>
  <c r="U694" i="16" s="1"/>
  <c r="W694" i="16" s="1"/>
  <c r="L694" i="16"/>
  <c r="M694" i="16" s="1"/>
  <c r="V693" i="16"/>
  <c r="V698" i="16" s="1"/>
  <c r="S693" i="16"/>
  <c r="R693" i="16"/>
  <c r="Q693" i="16"/>
  <c r="P693" i="16"/>
  <c r="O693" i="16"/>
  <c r="N693" i="16"/>
  <c r="K693" i="16"/>
  <c r="J693" i="16"/>
  <c r="I693" i="16"/>
  <c r="H693" i="16"/>
  <c r="G693" i="16"/>
  <c r="F693" i="16"/>
  <c r="V692" i="16"/>
  <c r="T691" i="16"/>
  <c r="L691" i="16"/>
  <c r="M691" i="16" s="1"/>
  <c r="T690" i="16"/>
  <c r="U690" i="16" s="1"/>
  <c r="W690" i="16" s="1"/>
  <c r="L690" i="16"/>
  <c r="M690" i="16" s="1"/>
  <c r="T689" i="16"/>
  <c r="L689" i="16"/>
  <c r="M689" i="16" s="1"/>
  <c r="S671" i="16"/>
  <c r="R671" i="16"/>
  <c r="Q671" i="16"/>
  <c r="P671" i="16"/>
  <c r="O671" i="16"/>
  <c r="N671" i="16"/>
  <c r="K671" i="16"/>
  <c r="J671" i="16"/>
  <c r="I671" i="16"/>
  <c r="H671" i="16"/>
  <c r="G671" i="16"/>
  <c r="F671" i="16"/>
  <c r="V670" i="16"/>
  <c r="V669" i="16"/>
  <c r="T669" i="16"/>
  <c r="L669" i="16"/>
  <c r="M669" i="16" s="1"/>
  <c r="S668" i="16"/>
  <c r="S672" i="16" s="1"/>
  <c r="R668" i="16"/>
  <c r="R670" i="16" s="1"/>
  <c r="Q668" i="16"/>
  <c r="Q672" i="16" s="1"/>
  <c r="P668" i="16"/>
  <c r="P670" i="16" s="1"/>
  <c r="O668" i="16"/>
  <c r="O672" i="16" s="1"/>
  <c r="N668" i="16"/>
  <c r="N670" i="16" s="1"/>
  <c r="K668" i="16"/>
  <c r="K672" i="16" s="1"/>
  <c r="J668" i="16"/>
  <c r="J670" i="16" s="1"/>
  <c r="I668" i="16"/>
  <c r="I672" i="16" s="1"/>
  <c r="H668" i="16"/>
  <c r="H670" i="16" s="1"/>
  <c r="G668" i="16"/>
  <c r="G672" i="16" s="1"/>
  <c r="F668" i="16"/>
  <c r="F670" i="16" s="1"/>
  <c r="E667" i="16"/>
  <c r="V666" i="16"/>
  <c r="T666" i="16"/>
  <c r="L666" i="16"/>
  <c r="M666" i="16" s="1"/>
  <c r="T665" i="16"/>
  <c r="L665" i="16"/>
  <c r="M665" i="16" s="1"/>
  <c r="T664" i="16"/>
  <c r="L664" i="16"/>
  <c r="M664" i="16" s="1"/>
  <c r="V663" i="16"/>
  <c r="V668" i="16" s="1"/>
  <c r="S663" i="16"/>
  <c r="S632" i="16" s="1"/>
  <c r="R663" i="16"/>
  <c r="R632" i="16" s="1"/>
  <c r="Q663" i="16"/>
  <c r="Q632" i="16" s="1"/>
  <c r="P663" i="16"/>
  <c r="P632" i="16" s="1"/>
  <c r="O663" i="16"/>
  <c r="O632" i="16" s="1"/>
  <c r="N663" i="16"/>
  <c r="K663" i="16"/>
  <c r="K632" i="16" s="1"/>
  <c r="J663" i="16"/>
  <c r="J632" i="16" s="1"/>
  <c r="I663" i="16"/>
  <c r="I632" i="16" s="1"/>
  <c r="H663" i="16"/>
  <c r="H632" i="16" s="1"/>
  <c r="G663" i="16"/>
  <c r="G632" i="16" s="1"/>
  <c r="F663" i="16"/>
  <c r="F632" i="16" s="1"/>
  <c r="V662" i="16"/>
  <c r="T661" i="16"/>
  <c r="L661" i="16"/>
  <c r="M661" i="16" s="1"/>
  <c r="T660" i="16"/>
  <c r="L660" i="16"/>
  <c r="M660" i="16" s="1"/>
  <c r="T659" i="16"/>
  <c r="L659" i="16"/>
  <c r="M659" i="16" s="1"/>
  <c r="R624" i="16"/>
  <c r="O624" i="16"/>
  <c r="O625" i="16" s="1"/>
  <c r="N624" i="16"/>
  <c r="N625" i="16" s="1"/>
  <c r="Q623" i="16"/>
  <c r="P623" i="16"/>
  <c r="O623" i="16"/>
  <c r="N623" i="16"/>
  <c r="J623" i="16"/>
  <c r="I623" i="16"/>
  <c r="H623" i="16"/>
  <c r="G623" i="16"/>
  <c r="F623" i="16"/>
  <c r="T622" i="16"/>
  <c r="L622" i="16"/>
  <c r="M622" i="16" s="1"/>
  <c r="E620" i="16"/>
  <c r="V619" i="16"/>
  <c r="L619" i="16"/>
  <c r="M619" i="16" s="1"/>
  <c r="V623" i="16"/>
  <c r="S624" i="16"/>
  <c r="Q624" i="16"/>
  <c r="Q625" i="16" s="1"/>
  <c r="P624" i="16"/>
  <c r="P625" i="16" s="1"/>
  <c r="K624" i="16"/>
  <c r="J624" i="16"/>
  <c r="J625" i="16" s="1"/>
  <c r="I624" i="16"/>
  <c r="I625" i="16" s="1"/>
  <c r="H624" i="16"/>
  <c r="H625" i="16" s="1"/>
  <c r="G624" i="16"/>
  <c r="G625" i="16" s="1"/>
  <c r="L618" i="16"/>
  <c r="M618" i="16" s="1"/>
  <c r="V622" i="16"/>
  <c r="T617" i="16"/>
  <c r="L617" i="16"/>
  <c r="V616" i="16"/>
  <c r="V621" i="16" s="1"/>
  <c r="T616" i="16"/>
  <c r="L616" i="16"/>
  <c r="M616" i="16" s="1"/>
  <c r="E615" i="16"/>
  <c r="T614" i="16"/>
  <c r="L614" i="16"/>
  <c r="M614" i="16" s="1"/>
  <c r="T613" i="16"/>
  <c r="L613" i="16"/>
  <c r="M613" i="16" s="1"/>
  <c r="T612" i="16"/>
  <c r="L612" i="16"/>
  <c r="M612" i="16" s="1"/>
  <c r="R594" i="16"/>
  <c r="I594" i="16"/>
  <c r="I595" i="16" s="1"/>
  <c r="Q593" i="16"/>
  <c r="P593" i="16"/>
  <c r="O593" i="16"/>
  <c r="N593" i="16"/>
  <c r="K593" i="16"/>
  <c r="J593" i="16"/>
  <c r="I593" i="16"/>
  <c r="H593" i="16"/>
  <c r="G593" i="16"/>
  <c r="T592" i="16"/>
  <c r="L592" i="16"/>
  <c r="M592" i="16" s="1"/>
  <c r="E590" i="16"/>
  <c r="V589" i="16"/>
  <c r="L589" i="16"/>
  <c r="V593" i="16"/>
  <c r="S594" i="16"/>
  <c r="Q594" i="16"/>
  <c r="Q595" i="16" s="1"/>
  <c r="P594" i="16"/>
  <c r="P595" i="16" s="1"/>
  <c r="O594" i="16"/>
  <c r="O595" i="16" s="1"/>
  <c r="N594" i="16"/>
  <c r="K594" i="16"/>
  <c r="K595" i="16" s="1"/>
  <c r="J594" i="16"/>
  <c r="J595" i="16" s="1"/>
  <c r="H594" i="16"/>
  <c r="H595" i="16" s="1"/>
  <c r="G594" i="16"/>
  <c r="G595" i="16" s="1"/>
  <c r="L588" i="16"/>
  <c r="M588" i="16" s="1"/>
  <c r="T587" i="16"/>
  <c r="L587" i="16"/>
  <c r="M587" i="16" s="1"/>
  <c r="V586" i="16"/>
  <c r="V591" i="16" s="1"/>
  <c r="E585" i="16"/>
  <c r="T584" i="16"/>
  <c r="L584" i="16"/>
  <c r="T583" i="16"/>
  <c r="L583" i="16"/>
  <c r="U583" i="16" s="1"/>
  <c r="T582" i="16"/>
  <c r="L582" i="16"/>
  <c r="U582" i="16" s="1"/>
  <c r="L507" i="16"/>
  <c r="T556" i="19" l="1"/>
  <c r="O595" i="18"/>
  <c r="O561" i="18"/>
  <c r="N561" i="18"/>
  <c r="P524" i="19"/>
  <c r="J556" i="19"/>
  <c r="K541" i="16"/>
  <c r="K524" i="16" s="1"/>
  <c r="O541" i="16"/>
  <c r="H556" i="19"/>
  <c r="K541" i="19"/>
  <c r="I541" i="19"/>
  <c r="R541" i="16"/>
  <c r="R524" i="16" s="1"/>
  <c r="J541" i="19"/>
  <c r="L558" i="19"/>
  <c r="M558" i="19" s="1"/>
  <c r="U582" i="22"/>
  <c r="U583" i="22"/>
  <c r="H595" i="22"/>
  <c r="W592" i="22"/>
  <c r="Q595" i="22"/>
  <c r="U612" i="22"/>
  <c r="U613" i="22"/>
  <c r="K555" i="22"/>
  <c r="K538" i="22" s="1"/>
  <c r="I555" i="22"/>
  <c r="I538" i="22" s="1"/>
  <c r="G555" i="22"/>
  <c r="G538" i="22" s="1"/>
  <c r="Q555" i="22"/>
  <c r="Q538" i="22" s="1"/>
  <c r="U660" i="22"/>
  <c r="W660" i="22" s="1"/>
  <c r="U664" i="22"/>
  <c r="W664" i="22" s="1"/>
  <c r="U666" i="22"/>
  <c r="W666" i="22" s="1"/>
  <c r="U691" i="22"/>
  <c r="L706" i="22"/>
  <c r="M706" i="22" s="1"/>
  <c r="T706" i="22"/>
  <c r="G707" i="22"/>
  <c r="K707" i="22"/>
  <c r="P707" i="22"/>
  <c r="V707" i="22"/>
  <c r="H712" i="22"/>
  <c r="N712" i="22"/>
  <c r="P712" i="22"/>
  <c r="R712" i="22"/>
  <c r="U729" i="22"/>
  <c r="W587" i="22"/>
  <c r="X592" i="22"/>
  <c r="H555" i="22"/>
  <c r="H538" i="22" s="1"/>
  <c r="H521" i="22" s="1"/>
  <c r="N555" i="22"/>
  <c r="N538" i="22" s="1"/>
  <c r="P555" i="22"/>
  <c r="P538" i="22" s="1"/>
  <c r="R555" i="22"/>
  <c r="R538" i="22" s="1"/>
  <c r="I707" i="22"/>
  <c r="F712" i="22"/>
  <c r="H707" i="22"/>
  <c r="J707" i="22"/>
  <c r="L746" i="22"/>
  <c r="M746" i="22" s="1"/>
  <c r="T746" i="22"/>
  <c r="G106" i="23"/>
  <c r="F151" i="23"/>
  <c r="O707" i="22"/>
  <c r="Q707" i="22"/>
  <c r="S707" i="22"/>
  <c r="F106" i="23"/>
  <c r="G151" i="23"/>
  <c r="L620" i="19"/>
  <c r="L623" i="19"/>
  <c r="M623" i="19" s="1"/>
  <c r="H561" i="19"/>
  <c r="U614" i="18"/>
  <c r="G556" i="18"/>
  <c r="L658" i="23"/>
  <c r="M658" i="23" s="1"/>
  <c r="U617" i="22"/>
  <c r="W617" i="22" s="1"/>
  <c r="U618" i="22"/>
  <c r="U622" i="22"/>
  <c r="K521" i="22"/>
  <c r="I521" i="22"/>
  <c r="G521" i="22"/>
  <c r="T616" i="22"/>
  <c r="O555" i="22"/>
  <c r="O538" i="22" s="1"/>
  <c r="Q521" i="22"/>
  <c r="U659" i="22"/>
  <c r="W659" i="22" s="1"/>
  <c r="U661" i="22"/>
  <c r="L663" i="22"/>
  <c r="F632" i="22"/>
  <c r="H632" i="22"/>
  <c r="J632" i="22"/>
  <c r="T663" i="22"/>
  <c r="N632" i="22"/>
  <c r="P632" i="22"/>
  <c r="R632" i="22"/>
  <c r="V668" i="22"/>
  <c r="V632" i="22"/>
  <c r="U665" i="22"/>
  <c r="U669" i="22"/>
  <c r="F670" i="22"/>
  <c r="J670" i="22"/>
  <c r="P670" i="22"/>
  <c r="U689" i="22"/>
  <c r="W689" i="22" s="1"/>
  <c r="M690" i="22"/>
  <c r="V692" i="22"/>
  <c r="W699" i="22"/>
  <c r="L701" i="22"/>
  <c r="M701" i="22" s="1"/>
  <c r="T701" i="22"/>
  <c r="L704" i="22"/>
  <c r="M704" i="22" s="1"/>
  <c r="T704" i="22"/>
  <c r="W622" i="22"/>
  <c r="N521" i="22"/>
  <c r="P521" i="22"/>
  <c r="R521" i="22"/>
  <c r="W669" i="22"/>
  <c r="H670" i="22"/>
  <c r="N670" i="22"/>
  <c r="R670" i="22"/>
  <c r="V728" i="22"/>
  <c r="V540" i="22"/>
  <c r="L705" i="22"/>
  <c r="M705" i="22" s="1"/>
  <c r="T705" i="22"/>
  <c r="L709" i="22"/>
  <c r="M709" i="22" s="1"/>
  <c r="T709" i="22"/>
  <c r="L711" i="22"/>
  <c r="M711" i="22" s="1"/>
  <c r="T711" i="22"/>
  <c r="J717" i="22"/>
  <c r="L714" i="22"/>
  <c r="M714" i="22" s="1"/>
  <c r="T714" i="22"/>
  <c r="V737" i="22"/>
  <c r="U744" i="22"/>
  <c r="J712" i="22"/>
  <c r="L663" i="18"/>
  <c r="G632" i="18"/>
  <c r="T663" i="18"/>
  <c r="O632" i="18"/>
  <c r="F632" i="18"/>
  <c r="L632" i="18" s="1"/>
  <c r="M632" i="18" s="1"/>
  <c r="N632" i="18"/>
  <c r="V523" i="18"/>
  <c r="U661" i="18"/>
  <c r="V662" i="18"/>
  <c r="W669" i="18"/>
  <c r="L671" i="18"/>
  <c r="M671" i="18" s="1"/>
  <c r="T671" i="18"/>
  <c r="U689" i="18"/>
  <c r="W689" i="18" s="1"/>
  <c r="U690" i="18"/>
  <c r="W690" i="18" s="1"/>
  <c r="M691" i="18"/>
  <c r="V692" i="18"/>
  <c r="W699" i="18"/>
  <c r="L701" i="18"/>
  <c r="M701" i="18" s="1"/>
  <c r="T701" i="18"/>
  <c r="F732" i="18"/>
  <c r="F733" i="18" s="1"/>
  <c r="F713" i="18"/>
  <c r="F712" i="18" s="1"/>
  <c r="H732" i="18"/>
  <c r="H713" i="18"/>
  <c r="H712" i="18" s="1"/>
  <c r="J732" i="18"/>
  <c r="J713" i="18"/>
  <c r="J712" i="18" s="1"/>
  <c r="N732" i="18"/>
  <c r="N713" i="18"/>
  <c r="N712" i="18" s="1"/>
  <c r="P732" i="18"/>
  <c r="P713" i="18"/>
  <c r="P712" i="18" s="1"/>
  <c r="R732" i="18"/>
  <c r="R713" i="18"/>
  <c r="R712" i="18" s="1"/>
  <c r="F708" i="18"/>
  <c r="F707" i="18" s="1"/>
  <c r="I712" i="18"/>
  <c r="O712" i="18"/>
  <c r="S712" i="18"/>
  <c r="T723" i="18"/>
  <c r="U724" i="18"/>
  <c r="W724" i="18" s="1"/>
  <c r="U726" i="18"/>
  <c r="G733" i="18"/>
  <c r="U729" i="18"/>
  <c r="U735" i="18"/>
  <c r="W735" i="18" s="1"/>
  <c r="L738" i="18"/>
  <c r="T738" i="18"/>
  <c r="U739" i="18"/>
  <c r="W739" i="18" s="1"/>
  <c r="U741" i="18"/>
  <c r="G748" i="18"/>
  <c r="U744" i="18"/>
  <c r="W744" i="18" s="1"/>
  <c r="V541" i="18"/>
  <c r="U660" i="16"/>
  <c r="W660" i="16" s="1"/>
  <c r="U664" i="16"/>
  <c r="W664" i="16" s="1"/>
  <c r="U666" i="16"/>
  <c r="W666" i="16" s="1"/>
  <c r="U740" i="16"/>
  <c r="W740" i="16" s="1"/>
  <c r="O732" i="16"/>
  <c r="Q732" i="16"/>
  <c r="S732" i="16"/>
  <c r="K732" i="16"/>
  <c r="L738" i="16"/>
  <c r="H523" i="16"/>
  <c r="Q523" i="16"/>
  <c r="O524" i="16"/>
  <c r="L671" i="16"/>
  <c r="M671" i="16" s="1"/>
  <c r="T671" i="16"/>
  <c r="F524" i="16"/>
  <c r="F18" i="16" s="1"/>
  <c r="J524" i="16"/>
  <c r="K523" i="16"/>
  <c r="I523" i="16"/>
  <c r="G523" i="16"/>
  <c r="P523" i="16"/>
  <c r="R523" i="16"/>
  <c r="N524" i="16"/>
  <c r="P524" i="16"/>
  <c r="V523" i="16"/>
  <c r="V711" i="16"/>
  <c r="V714" i="16"/>
  <c r="T731" i="16"/>
  <c r="U731" i="16" s="1"/>
  <c r="N732" i="16"/>
  <c r="F702" i="16"/>
  <c r="F703" i="16" s="1"/>
  <c r="F700" i="16"/>
  <c r="H702" i="16"/>
  <c r="J702" i="16"/>
  <c r="J700" i="16"/>
  <c r="N702" i="16"/>
  <c r="P702" i="16"/>
  <c r="P700" i="16"/>
  <c r="R702" i="16"/>
  <c r="N700" i="16"/>
  <c r="U719" i="16"/>
  <c r="W719" i="16" s="1"/>
  <c r="U721" i="16"/>
  <c r="W721" i="16" s="1"/>
  <c r="U725" i="16"/>
  <c r="W725" i="16" s="1"/>
  <c r="V712" i="16"/>
  <c r="L632" i="16"/>
  <c r="M632" i="16" s="1"/>
  <c r="N523" i="16"/>
  <c r="T523" i="16" s="1"/>
  <c r="T540" i="16"/>
  <c r="T634" i="16"/>
  <c r="U659" i="16"/>
  <c r="W659" i="16" s="1"/>
  <c r="U661" i="16"/>
  <c r="X666" i="16" s="1"/>
  <c r="L663" i="16"/>
  <c r="T663" i="16"/>
  <c r="T662" i="16" s="1"/>
  <c r="U665" i="16"/>
  <c r="U669" i="16"/>
  <c r="W669" i="16" s="1"/>
  <c r="U689" i="16"/>
  <c r="W689" i="16" s="1"/>
  <c r="U691" i="16"/>
  <c r="W691" i="16" s="1"/>
  <c r="L693" i="16"/>
  <c r="T693" i="16"/>
  <c r="U693" i="16" s="1"/>
  <c r="U695" i="16"/>
  <c r="U699" i="16"/>
  <c r="W699" i="16" s="1"/>
  <c r="U720" i="16"/>
  <c r="W720" i="16" s="1"/>
  <c r="U724" i="16"/>
  <c r="W724" i="16" s="1"/>
  <c r="U726" i="16"/>
  <c r="W726" i="16" s="1"/>
  <c r="U734" i="16"/>
  <c r="W734" i="16" s="1"/>
  <c r="U736" i="16"/>
  <c r="W736" i="16" s="1"/>
  <c r="V708" i="16"/>
  <c r="G745" i="16"/>
  <c r="G747" i="16"/>
  <c r="G748" i="16" s="1"/>
  <c r="I745" i="16"/>
  <c r="I747" i="16"/>
  <c r="K745" i="16"/>
  <c r="K747" i="16"/>
  <c r="O745" i="16"/>
  <c r="O747" i="16"/>
  <c r="Q745" i="16"/>
  <c r="Q747" i="16"/>
  <c r="S745" i="16"/>
  <c r="S747" i="16"/>
  <c r="N632" i="16"/>
  <c r="T632" i="16" s="1"/>
  <c r="U729" i="16"/>
  <c r="W729" i="16" s="1"/>
  <c r="U735" i="16"/>
  <c r="W735" i="16" s="1"/>
  <c r="U739" i="16"/>
  <c r="W739" i="16" s="1"/>
  <c r="U741" i="16"/>
  <c r="U744" i="16"/>
  <c r="W744" i="16" s="1"/>
  <c r="I541" i="16"/>
  <c r="G541" i="16"/>
  <c r="G524" i="16" s="1"/>
  <c r="S541" i="16"/>
  <c r="S524" i="16" s="1"/>
  <c r="U659" i="19"/>
  <c r="W659" i="19" s="1"/>
  <c r="U661" i="19"/>
  <c r="W661" i="19" s="1"/>
  <c r="W699" i="19"/>
  <c r="V728" i="19"/>
  <c r="V713" i="19" s="1"/>
  <c r="V712" i="19" s="1"/>
  <c r="V708" i="19"/>
  <c r="V707" i="19" s="1"/>
  <c r="P523" i="19"/>
  <c r="R524" i="19"/>
  <c r="N538" i="19"/>
  <c r="N521" i="19" s="1"/>
  <c r="T632" i="19"/>
  <c r="S538" i="19"/>
  <c r="U660" i="19"/>
  <c r="W660" i="19" s="1"/>
  <c r="W669" i="19"/>
  <c r="L671" i="19"/>
  <c r="M671" i="19" s="1"/>
  <c r="T671" i="19"/>
  <c r="U691" i="19"/>
  <c r="U695" i="19"/>
  <c r="U699" i="19"/>
  <c r="U720" i="19"/>
  <c r="W720" i="19" s="1"/>
  <c r="L723" i="19"/>
  <c r="L731" i="19"/>
  <c r="M731" i="19" s="1"/>
  <c r="U735" i="19"/>
  <c r="W735" i="19" s="1"/>
  <c r="H523" i="19"/>
  <c r="F524" i="19"/>
  <c r="F18" i="19" s="1"/>
  <c r="H524" i="19"/>
  <c r="J524" i="19"/>
  <c r="N707" i="19"/>
  <c r="R707" i="19"/>
  <c r="H712" i="19"/>
  <c r="N712" i="19"/>
  <c r="R712" i="19"/>
  <c r="L663" i="19"/>
  <c r="F632" i="19"/>
  <c r="L632" i="19" s="1"/>
  <c r="M632" i="19" s="1"/>
  <c r="U635" i="19"/>
  <c r="W635" i="19" s="1"/>
  <c r="V540" i="19"/>
  <c r="N541" i="19"/>
  <c r="N524" i="19" s="1"/>
  <c r="T540" i="19"/>
  <c r="O730" i="19"/>
  <c r="O732" i="19"/>
  <c r="O713" i="19"/>
  <c r="O712" i="19" s="1"/>
  <c r="G523" i="19"/>
  <c r="I523" i="19"/>
  <c r="K523" i="19"/>
  <c r="I524" i="19"/>
  <c r="K524" i="19"/>
  <c r="O523" i="19"/>
  <c r="T523" i="19" s="1"/>
  <c r="Q523" i="19"/>
  <c r="S523" i="19"/>
  <c r="O524" i="19"/>
  <c r="Q524" i="19"/>
  <c r="L738" i="19"/>
  <c r="L743" i="19"/>
  <c r="L742" i="19" s="1"/>
  <c r="N558" i="23"/>
  <c r="P558" i="23"/>
  <c r="R558" i="23"/>
  <c r="N562" i="23"/>
  <c r="P562" i="23"/>
  <c r="E605" i="23"/>
  <c r="F562" i="23"/>
  <c r="F468" i="23" s="1"/>
  <c r="H562" i="23"/>
  <c r="H468" i="23" s="1"/>
  <c r="J562" i="23"/>
  <c r="J468" i="23" s="1"/>
  <c r="R562" i="23"/>
  <c r="G468" i="23"/>
  <c r="I468" i="23"/>
  <c r="K468" i="23"/>
  <c r="E67" i="23"/>
  <c r="E66" i="23" s="1"/>
  <c r="F502" i="23"/>
  <c r="H481" i="23"/>
  <c r="J481" i="23"/>
  <c r="N481" i="23"/>
  <c r="P481" i="23"/>
  <c r="R481" i="23"/>
  <c r="E575" i="23"/>
  <c r="E620" i="23"/>
  <c r="I481" i="23"/>
  <c r="K481" i="23"/>
  <c r="O481" i="23"/>
  <c r="Q481" i="23"/>
  <c r="V558" i="23"/>
  <c r="E650" i="23"/>
  <c r="E665" i="23"/>
  <c r="E590" i="23"/>
  <c r="E528" i="23"/>
  <c r="E636" i="23"/>
  <c r="E635" i="23" s="1"/>
  <c r="T193" i="23"/>
  <c r="F481" i="23"/>
  <c r="L593" i="22"/>
  <c r="M593" i="22" s="1"/>
  <c r="F538" i="22"/>
  <c r="L593" i="19"/>
  <c r="M593" i="19" s="1"/>
  <c r="G541" i="19"/>
  <c r="F538" i="19"/>
  <c r="G481" i="23"/>
  <c r="F521" i="16"/>
  <c r="S139" i="18"/>
  <c r="S139" i="23" s="1"/>
  <c r="E357" i="23"/>
  <c r="V555" i="22"/>
  <c r="V538" i="22" s="1"/>
  <c r="V521" i="22" s="1"/>
  <c r="V585" i="22"/>
  <c r="T538" i="22"/>
  <c r="S521" i="22"/>
  <c r="T555" i="22"/>
  <c r="V555" i="19"/>
  <c r="V538" i="19" s="1"/>
  <c r="V521" i="19" s="1"/>
  <c r="S521" i="19"/>
  <c r="T521" i="19" s="1"/>
  <c r="T538" i="19"/>
  <c r="T555" i="19"/>
  <c r="U555" i="19" s="1"/>
  <c r="S524" i="19"/>
  <c r="T558" i="19"/>
  <c r="U558" i="19" s="1"/>
  <c r="V615" i="18"/>
  <c r="V555" i="18"/>
  <c r="V538" i="18" s="1"/>
  <c r="V521" i="18" s="1"/>
  <c r="S538" i="18"/>
  <c r="S556" i="18"/>
  <c r="T556" i="18" s="1"/>
  <c r="V555" i="16"/>
  <c r="V538" i="16" s="1"/>
  <c r="V521" i="16" s="1"/>
  <c r="S521" i="16"/>
  <c r="T521" i="16" s="1"/>
  <c r="T538" i="16"/>
  <c r="T555" i="16"/>
  <c r="V481" i="23"/>
  <c r="S481" i="23"/>
  <c r="L659" i="23"/>
  <c r="M659" i="23" s="1"/>
  <c r="L664" i="23"/>
  <c r="M664" i="23" s="1"/>
  <c r="T194" i="23"/>
  <c r="T198" i="23"/>
  <c r="E498" i="23"/>
  <c r="E96" i="23"/>
  <c r="E126" i="23"/>
  <c r="F156" i="23"/>
  <c r="H156" i="23"/>
  <c r="E186" i="23"/>
  <c r="E246" i="23"/>
  <c r="E513" i="23"/>
  <c r="T195" i="23"/>
  <c r="E372" i="23"/>
  <c r="E81" i="23"/>
  <c r="E310" i="23"/>
  <c r="E432" i="23"/>
  <c r="E111" i="23"/>
  <c r="E141" i="23"/>
  <c r="E156" i="23"/>
  <c r="G156" i="23"/>
  <c r="E201" i="23"/>
  <c r="E231" i="23"/>
  <c r="E295" i="23"/>
  <c r="E325" i="23"/>
  <c r="E387" i="23"/>
  <c r="V558" i="22"/>
  <c r="V541" i="22" s="1"/>
  <c r="V547" i="22" s="1"/>
  <c r="M738" i="19"/>
  <c r="M737" i="19" s="1"/>
  <c r="L737" i="19"/>
  <c r="M743" i="19"/>
  <c r="M742" i="19" s="1"/>
  <c r="G748" i="19"/>
  <c r="G733" i="19"/>
  <c r="F708" i="19"/>
  <c r="F707" i="19" s="1"/>
  <c r="M723" i="22"/>
  <c r="M722" i="22" s="1"/>
  <c r="L722" i="22"/>
  <c r="M728" i="22"/>
  <c r="M727" i="22" s="1"/>
  <c r="L727" i="22"/>
  <c r="H717" i="22"/>
  <c r="L731" i="22"/>
  <c r="M731" i="22" s="1"/>
  <c r="T731" i="22"/>
  <c r="F717" i="22"/>
  <c r="F718" i="22" s="1"/>
  <c r="T708" i="22"/>
  <c r="T707" i="22" s="1"/>
  <c r="G713" i="22"/>
  <c r="I713" i="22"/>
  <c r="K713" i="22"/>
  <c r="L708" i="22"/>
  <c r="L707" i="22" s="1"/>
  <c r="U705" i="22"/>
  <c r="W705" i="22" s="1"/>
  <c r="M708" i="22"/>
  <c r="M707" i="22" s="1"/>
  <c r="U704" i="22"/>
  <c r="W704" i="22" s="1"/>
  <c r="U706" i="22"/>
  <c r="W706" i="22" s="1"/>
  <c r="U709" i="22"/>
  <c r="W709" i="22" s="1"/>
  <c r="L716" i="22"/>
  <c r="M716" i="22" s="1"/>
  <c r="L710" i="22"/>
  <c r="M710" i="22" s="1"/>
  <c r="N716" i="22"/>
  <c r="P716" i="22"/>
  <c r="P717" i="22" s="1"/>
  <c r="R716" i="22"/>
  <c r="T710" i="22"/>
  <c r="U710" i="22" s="1"/>
  <c r="W710" i="22" s="1"/>
  <c r="U714" i="22"/>
  <c r="W714" i="22"/>
  <c r="U731" i="22"/>
  <c r="O716" i="22"/>
  <c r="O717" i="22" s="1"/>
  <c r="Q716" i="22"/>
  <c r="Q717" i="22" s="1"/>
  <c r="S716" i="22"/>
  <c r="S717" i="22" s="1"/>
  <c r="U711" i="22"/>
  <c r="W711" i="22" s="1"/>
  <c r="N717" i="22"/>
  <c r="R717" i="22"/>
  <c r="T713" i="22"/>
  <c r="T723" i="22"/>
  <c r="U725" i="22"/>
  <c r="W725" i="22" s="1"/>
  <c r="F730" i="22"/>
  <c r="J730" i="22"/>
  <c r="N730" i="22"/>
  <c r="R730" i="22"/>
  <c r="P732" i="22"/>
  <c r="U736" i="22"/>
  <c r="W736" i="22" s="1"/>
  <c r="L738" i="22"/>
  <c r="G748" i="22"/>
  <c r="T743" i="22"/>
  <c r="W744" i="22"/>
  <c r="H745" i="22"/>
  <c r="P745" i="22"/>
  <c r="P715" i="22" s="1"/>
  <c r="U746" i="22"/>
  <c r="G733" i="22"/>
  <c r="H733" i="22" s="1"/>
  <c r="I733" i="22" s="1"/>
  <c r="J733" i="22" s="1"/>
  <c r="K733" i="22" s="1"/>
  <c r="N733" i="22" s="1"/>
  <c r="O733" i="22" s="1"/>
  <c r="T728" i="22"/>
  <c r="W729" i="22"/>
  <c r="H730" i="22"/>
  <c r="H715" i="22" s="1"/>
  <c r="V731" i="22"/>
  <c r="W731" i="22" s="1"/>
  <c r="U734" i="22"/>
  <c r="W734" i="22" s="1"/>
  <c r="T738" i="22"/>
  <c r="U740" i="22"/>
  <c r="W740" i="22" s="1"/>
  <c r="H748" i="22"/>
  <c r="I748" i="22" s="1"/>
  <c r="J748" i="22" s="1"/>
  <c r="K748" i="22" s="1"/>
  <c r="N748" i="22" s="1"/>
  <c r="O748" i="22" s="1"/>
  <c r="P748" i="22" s="1"/>
  <c r="Q748" i="22" s="1"/>
  <c r="R748" i="22" s="1"/>
  <c r="S748" i="22" s="1"/>
  <c r="L743" i="22"/>
  <c r="V746" i="22"/>
  <c r="W746" i="22" s="1"/>
  <c r="F745" i="22"/>
  <c r="J745" i="22"/>
  <c r="N745" i="22"/>
  <c r="R745" i="22"/>
  <c r="G730" i="22"/>
  <c r="I730" i="22"/>
  <c r="K730" i="22"/>
  <c r="O730" i="22"/>
  <c r="Q730" i="22"/>
  <c r="S730" i="22"/>
  <c r="G745" i="22"/>
  <c r="I745" i="22"/>
  <c r="K745" i="22"/>
  <c r="O745" i="22"/>
  <c r="Q745" i="22"/>
  <c r="S745" i="22"/>
  <c r="U701" i="22"/>
  <c r="W691" i="22"/>
  <c r="X696" i="22"/>
  <c r="M693" i="22"/>
  <c r="M692" i="22" s="1"/>
  <c r="L692" i="22"/>
  <c r="U693" i="22"/>
  <c r="T692" i="22"/>
  <c r="V701" i="22"/>
  <c r="W701" i="22" s="1"/>
  <c r="V697" i="22"/>
  <c r="W695" i="22"/>
  <c r="L698" i="22"/>
  <c r="T698" i="22"/>
  <c r="G700" i="22"/>
  <c r="I700" i="22"/>
  <c r="K700" i="22"/>
  <c r="O700" i="22"/>
  <c r="Q700" i="22"/>
  <c r="S700" i="22"/>
  <c r="F702" i="22"/>
  <c r="F703" i="22" s="1"/>
  <c r="G703" i="22" s="1"/>
  <c r="H702" i="22"/>
  <c r="J702" i="22"/>
  <c r="N702" i="22"/>
  <c r="P702" i="22"/>
  <c r="R702" i="22"/>
  <c r="U671" i="22"/>
  <c r="W661" i="22"/>
  <c r="X666" i="22"/>
  <c r="M663" i="22"/>
  <c r="M662" i="22" s="1"/>
  <c r="L662" i="22"/>
  <c r="U663" i="22"/>
  <c r="T662" i="22"/>
  <c r="V671" i="22"/>
  <c r="W671" i="22" s="1"/>
  <c r="V667" i="22"/>
  <c r="W665" i="22"/>
  <c r="G673" i="22"/>
  <c r="H673" i="22" s="1"/>
  <c r="I673" i="22" s="1"/>
  <c r="J673" i="22" s="1"/>
  <c r="K673" i="22" s="1"/>
  <c r="N673" i="22" s="1"/>
  <c r="O673" i="22" s="1"/>
  <c r="P673" i="22" s="1"/>
  <c r="Q673" i="22" s="1"/>
  <c r="R673" i="22" s="1"/>
  <c r="S673" i="22" s="1"/>
  <c r="L668" i="22"/>
  <c r="T668" i="22"/>
  <c r="G670" i="22"/>
  <c r="I670" i="22"/>
  <c r="K670" i="22"/>
  <c r="O670" i="22"/>
  <c r="Q670" i="22"/>
  <c r="S670" i="22"/>
  <c r="M614" i="22"/>
  <c r="U619" i="22"/>
  <c r="W619" i="22" s="1"/>
  <c r="L616" i="22"/>
  <c r="L615" i="22" s="1"/>
  <c r="U624" i="22"/>
  <c r="M616" i="22"/>
  <c r="M615" i="22" s="1"/>
  <c r="T615" i="22"/>
  <c r="W618" i="22"/>
  <c r="X619" i="22"/>
  <c r="L621" i="22"/>
  <c r="T621" i="22"/>
  <c r="V621" i="22"/>
  <c r="G623" i="22"/>
  <c r="I623" i="22"/>
  <c r="K623" i="22"/>
  <c r="O623" i="22"/>
  <c r="Q623" i="22"/>
  <c r="S623" i="22"/>
  <c r="F625" i="22"/>
  <c r="F626" i="22" s="1"/>
  <c r="G626" i="22" s="1"/>
  <c r="H625" i="22"/>
  <c r="J625" i="22"/>
  <c r="N625" i="22"/>
  <c r="P625" i="22"/>
  <c r="R625" i="22"/>
  <c r="M619" i="22"/>
  <c r="U589" i="22"/>
  <c r="W589" i="22" s="1"/>
  <c r="L591" i="22"/>
  <c r="M591" i="22" s="1"/>
  <c r="M590" i="22" s="1"/>
  <c r="F595" i="22"/>
  <c r="F596" i="22" s="1"/>
  <c r="G596" i="22" s="1"/>
  <c r="H596" i="22" s="1"/>
  <c r="I596" i="22" s="1"/>
  <c r="J595" i="22"/>
  <c r="L586" i="22"/>
  <c r="M586" i="22" s="1"/>
  <c r="U584" i="22"/>
  <c r="M587" i="22"/>
  <c r="V590" i="22"/>
  <c r="V594" i="22"/>
  <c r="L590" i="22"/>
  <c r="L594" i="22"/>
  <c r="M594" i="22" s="1"/>
  <c r="N594" i="22"/>
  <c r="M584" i="22"/>
  <c r="L588" i="22"/>
  <c r="M588" i="22" s="1"/>
  <c r="W80" i="22"/>
  <c r="M82" i="22"/>
  <c r="M81" i="22" s="1"/>
  <c r="T2" i="22"/>
  <c r="U584" i="19"/>
  <c r="T586" i="19"/>
  <c r="U587" i="19"/>
  <c r="W587" i="19" s="1"/>
  <c r="U589" i="19"/>
  <c r="X589" i="19" s="1"/>
  <c r="U582" i="19"/>
  <c r="U583" i="19"/>
  <c r="U614" i="19"/>
  <c r="L615" i="19"/>
  <c r="U617" i="19"/>
  <c r="W617" i="19" s="1"/>
  <c r="W741" i="19"/>
  <c r="H748" i="19"/>
  <c r="U746" i="19"/>
  <c r="T737" i="19"/>
  <c r="U738" i="19"/>
  <c r="U737" i="19" s="1"/>
  <c r="V746" i="19"/>
  <c r="V742" i="19"/>
  <c r="I748" i="19"/>
  <c r="J748" i="19" s="1"/>
  <c r="K748" i="19" s="1"/>
  <c r="N748" i="19" s="1"/>
  <c r="O748" i="19" s="1"/>
  <c r="P748" i="19" s="1"/>
  <c r="Q748" i="19" s="1"/>
  <c r="R748" i="19" s="1"/>
  <c r="S748" i="19" s="1"/>
  <c r="T743" i="19"/>
  <c r="F745" i="19"/>
  <c r="H745" i="19"/>
  <c r="J745" i="19"/>
  <c r="N745" i="19"/>
  <c r="N715" i="19" s="1"/>
  <c r="P745" i="19"/>
  <c r="R745" i="19"/>
  <c r="G745" i="19"/>
  <c r="I745" i="19"/>
  <c r="K745" i="19"/>
  <c r="O745" i="19"/>
  <c r="Q745" i="19"/>
  <c r="S745" i="19"/>
  <c r="W726" i="19"/>
  <c r="H733" i="19"/>
  <c r="U731" i="19"/>
  <c r="L722" i="19"/>
  <c r="M723" i="19"/>
  <c r="M722" i="19" s="1"/>
  <c r="T722" i="19"/>
  <c r="U723" i="19"/>
  <c r="U722" i="19" s="1"/>
  <c r="V731" i="19"/>
  <c r="V727" i="19"/>
  <c r="I733" i="19"/>
  <c r="J733" i="19" s="1"/>
  <c r="K733" i="19" s="1"/>
  <c r="N733" i="19" s="1"/>
  <c r="O733" i="19" s="1"/>
  <c r="P733" i="19" s="1"/>
  <c r="Q733" i="19" s="1"/>
  <c r="R733" i="19" s="1"/>
  <c r="S733" i="19" s="1"/>
  <c r="L728" i="19"/>
  <c r="T728" i="19"/>
  <c r="F730" i="19"/>
  <c r="F715" i="19" s="1"/>
  <c r="H730" i="19"/>
  <c r="H715" i="19" s="1"/>
  <c r="J730" i="19"/>
  <c r="J715" i="19" s="1"/>
  <c r="P730" i="19"/>
  <c r="R730" i="19"/>
  <c r="G730" i="19"/>
  <c r="I730" i="19"/>
  <c r="K730" i="19"/>
  <c r="Q730" i="19"/>
  <c r="Q715" i="19" s="1"/>
  <c r="S730" i="19"/>
  <c r="S715" i="19" s="1"/>
  <c r="M693" i="19"/>
  <c r="L692" i="19"/>
  <c r="U693" i="19"/>
  <c r="T692" i="19"/>
  <c r="W693" i="19"/>
  <c r="U701" i="19"/>
  <c r="W691" i="19"/>
  <c r="X696" i="19"/>
  <c r="W695" i="19"/>
  <c r="M691" i="19"/>
  <c r="L698" i="19"/>
  <c r="T698" i="19"/>
  <c r="V698" i="19"/>
  <c r="G700" i="19"/>
  <c r="I700" i="19"/>
  <c r="K700" i="19"/>
  <c r="O700" i="19"/>
  <c r="Q700" i="19"/>
  <c r="S700" i="19"/>
  <c r="F702" i="19"/>
  <c r="F703" i="19" s="1"/>
  <c r="G703" i="19" s="1"/>
  <c r="H702" i="19"/>
  <c r="J702" i="19"/>
  <c r="N702" i="19"/>
  <c r="P702" i="19"/>
  <c r="R702" i="19"/>
  <c r="M696" i="19"/>
  <c r="U671" i="19"/>
  <c r="M663" i="19"/>
  <c r="M662" i="19" s="1"/>
  <c r="L662" i="19"/>
  <c r="U663" i="19"/>
  <c r="T662" i="19"/>
  <c r="W663" i="19"/>
  <c r="W662" i="19" s="1"/>
  <c r="W665" i="19"/>
  <c r="X666" i="19"/>
  <c r="L668" i="19"/>
  <c r="T668" i="19"/>
  <c r="V668" i="19"/>
  <c r="G670" i="19"/>
  <c r="I670" i="19"/>
  <c r="K670" i="19"/>
  <c r="O670" i="19"/>
  <c r="Q670" i="19"/>
  <c r="S670" i="19"/>
  <c r="F672" i="19"/>
  <c r="F673" i="19" s="1"/>
  <c r="G673" i="19" s="1"/>
  <c r="H672" i="19"/>
  <c r="J672" i="19"/>
  <c r="N672" i="19"/>
  <c r="P672" i="19"/>
  <c r="R672" i="19"/>
  <c r="U616" i="19"/>
  <c r="W616" i="19" s="1"/>
  <c r="T615" i="19"/>
  <c r="V624" i="19"/>
  <c r="V620" i="19"/>
  <c r="S625" i="19"/>
  <c r="S623" i="19"/>
  <c r="W614" i="19"/>
  <c r="F625" i="19"/>
  <c r="F626" i="19" s="1"/>
  <c r="G626" i="19" s="1"/>
  <c r="H626" i="19" s="1"/>
  <c r="I626" i="19" s="1"/>
  <c r="J626" i="19" s="1"/>
  <c r="K626" i="19" s="1"/>
  <c r="L624" i="19"/>
  <c r="M624" i="19" s="1"/>
  <c r="N625" i="19"/>
  <c r="T624" i="19"/>
  <c r="T623" i="19"/>
  <c r="U623" i="19" s="1"/>
  <c r="M614" i="19"/>
  <c r="M615" i="19" s="1"/>
  <c r="L618" i="19"/>
  <c r="M618" i="19" s="1"/>
  <c r="T618" i="19"/>
  <c r="M619" i="19"/>
  <c r="M620" i="19" s="1"/>
  <c r="T619" i="19"/>
  <c r="U619" i="19" s="1"/>
  <c r="T621" i="19"/>
  <c r="R625" i="19"/>
  <c r="W584" i="19"/>
  <c r="U586" i="19"/>
  <c r="W586" i="19" s="1"/>
  <c r="T585" i="19"/>
  <c r="U588" i="19"/>
  <c r="W592" i="19"/>
  <c r="S595" i="19"/>
  <c r="T593" i="19"/>
  <c r="U593" i="19" s="1"/>
  <c r="L585" i="19"/>
  <c r="T591" i="19"/>
  <c r="U591" i="19" s="1"/>
  <c r="X591" i="19" s="1"/>
  <c r="V591" i="19"/>
  <c r="F594" i="19"/>
  <c r="P594" i="19"/>
  <c r="P595" i="19" s="1"/>
  <c r="T594" i="19"/>
  <c r="R595" i="19"/>
  <c r="M584" i="19"/>
  <c r="M585" i="19" s="1"/>
  <c r="M589" i="19"/>
  <c r="M590" i="19" s="1"/>
  <c r="T2" i="19"/>
  <c r="J556" i="18"/>
  <c r="H556" i="18"/>
  <c r="W741" i="18"/>
  <c r="H748" i="18"/>
  <c r="U746" i="18"/>
  <c r="L737" i="18"/>
  <c r="M738" i="18"/>
  <c r="M737" i="18" s="1"/>
  <c r="T737" i="18"/>
  <c r="U738" i="18"/>
  <c r="U737" i="18" s="1"/>
  <c r="V746" i="18"/>
  <c r="W746" i="18" s="1"/>
  <c r="V742" i="18"/>
  <c r="I748" i="18"/>
  <c r="J748" i="18" s="1"/>
  <c r="K748" i="18" s="1"/>
  <c r="N748" i="18" s="1"/>
  <c r="O748" i="18" s="1"/>
  <c r="P748" i="18" s="1"/>
  <c r="Q748" i="18" s="1"/>
  <c r="R748" i="18" s="1"/>
  <c r="S748" i="18" s="1"/>
  <c r="L743" i="18"/>
  <c r="T743" i="18"/>
  <c r="F745" i="18"/>
  <c r="H745" i="18"/>
  <c r="J745" i="18"/>
  <c r="N745" i="18"/>
  <c r="P745" i="18"/>
  <c r="R745" i="18"/>
  <c r="G745" i="18"/>
  <c r="I745" i="18"/>
  <c r="K745" i="18"/>
  <c r="O745" i="18"/>
  <c r="Q745" i="18"/>
  <c r="S745" i="18"/>
  <c r="W726" i="18"/>
  <c r="H733" i="18"/>
  <c r="W729" i="18"/>
  <c r="U731" i="18"/>
  <c r="L722" i="18"/>
  <c r="M723" i="18"/>
  <c r="M722" i="18" s="1"/>
  <c r="T722" i="18"/>
  <c r="U723" i="18"/>
  <c r="U722" i="18" s="1"/>
  <c r="V731" i="18"/>
  <c r="W731" i="18" s="1"/>
  <c r="V727" i="18"/>
  <c r="I733" i="18"/>
  <c r="J733" i="18" s="1"/>
  <c r="K733" i="18" s="1"/>
  <c r="N733" i="18" s="1"/>
  <c r="O733" i="18" s="1"/>
  <c r="P733" i="18" s="1"/>
  <c r="Q733" i="18" s="1"/>
  <c r="R733" i="18" s="1"/>
  <c r="S733" i="18" s="1"/>
  <c r="W723" i="18"/>
  <c r="W722" i="18" s="1"/>
  <c r="L728" i="18"/>
  <c r="T728" i="18"/>
  <c r="F730" i="18"/>
  <c r="F715" i="18" s="1"/>
  <c r="H730" i="18"/>
  <c r="H715" i="18" s="1"/>
  <c r="J730" i="18"/>
  <c r="J715" i="18" s="1"/>
  <c r="N730" i="18"/>
  <c r="N715" i="18" s="1"/>
  <c r="P730" i="18"/>
  <c r="P715" i="18" s="1"/>
  <c r="R730" i="18"/>
  <c r="R715" i="18" s="1"/>
  <c r="G730" i="18"/>
  <c r="G715" i="18" s="1"/>
  <c r="I730" i="18"/>
  <c r="I715" i="18" s="1"/>
  <c r="K730" i="18"/>
  <c r="K715" i="18" s="1"/>
  <c r="O730" i="18"/>
  <c r="O715" i="18" s="1"/>
  <c r="Q730" i="18"/>
  <c r="Q715" i="18" s="1"/>
  <c r="S730" i="18"/>
  <c r="S715" i="18" s="1"/>
  <c r="U701" i="18"/>
  <c r="W691" i="18"/>
  <c r="X696" i="18"/>
  <c r="M693" i="18"/>
  <c r="M692" i="18" s="1"/>
  <c r="L692" i="18"/>
  <c r="U693" i="18"/>
  <c r="T692" i="18"/>
  <c r="V701" i="18"/>
  <c r="W701" i="18" s="1"/>
  <c r="V697" i="18"/>
  <c r="W695" i="18"/>
  <c r="L698" i="18"/>
  <c r="T698" i="18"/>
  <c r="G700" i="18"/>
  <c r="I700" i="18"/>
  <c r="K700" i="18"/>
  <c r="O700" i="18"/>
  <c r="Q700" i="18"/>
  <c r="S700" i="18"/>
  <c r="F702" i="18"/>
  <c r="F703" i="18" s="1"/>
  <c r="G703" i="18" s="1"/>
  <c r="H702" i="18"/>
  <c r="J702" i="18"/>
  <c r="N702" i="18"/>
  <c r="P702" i="18"/>
  <c r="R702" i="18"/>
  <c r="W661" i="18"/>
  <c r="X666" i="18"/>
  <c r="U671" i="18"/>
  <c r="M663" i="18"/>
  <c r="L662" i="18"/>
  <c r="U663" i="18"/>
  <c r="T662" i="18"/>
  <c r="W663" i="18"/>
  <c r="W665" i="18"/>
  <c r="M661" i="18"/>
  <c r="L668" i="18"/>
  <c r="T668" i="18"/>
  <c r="V668" i="18"/>
  <c r="G670" i="18"/>
  <c r="I670" i="18"/>
  <c r="K670" i="18"/>
  <c r="O670" i="18"/>
  <c r="Q670" i="18"/>
  <c r="S670" i="18"/>
  <c r="F672" i="18"/>
  <c r="F673" i="18" s="1"/>
  <c r="G673" i="18" s="1"/>
  <c r="H672" i="18"/>
  <c r="J672" i="18"/>
  <c r="N672" i="18"/>
  <c r="P672" i="18"/>
  <c r="R672" i="18"/>
  <c r="X622" i="18"/>
  <c r="U622" i="18"/>
  <c r="W622" i="18" s="1"/>
  <c r="T616" i="18"/>
  <c r="W614" i="18"/>
  <c r="T615" i="18"/>
  <c r="V620" i="18"/>
  <c r="V624" i="18"/>
  <c r="N625" i="18"/>
  <c r="L623" i="18"/>
  <c r="M623" i="18" s="1"/>
  <c r="F625" i="18"/>
  <c r="F626" i="18" s="1"/>
  <c r="G626" i="18" s="1"/>
  <c r="H626" i="18" s="1"/>
  <c r="I626" i="18" s="1"/>
  <c r="J626" i="18" s="1"/>
  <c r="K626" i="18" s="1"/>
  <c r="L624" i="18"/>
  <c r="M624" i="18" s="1"/>
  <c r="S625" i="18"/>
  <c r="S623" i="18"/>
  <c r="T621" i="18"/>
  <c r="T623" i="18"/>
  <c r="U623" i="18" s="1"/>
  <c r="W623" i="18" s="1"/>
  <c r="W617" i="18"/>
  <c r="L618" i="18"/>
  <c r="M618" i="18" s="1"/>
  <c r="L619" i="18"/>
  <c r="P624" i="18"/>
  <c r="P625" i="18" s="1"/>
  <c r="T619" i="18"/>
  <c r="U619" i="18" s="1"/>
  <c r="X619" i="18" s="1"/>
  <c r="Q595" i="18"/>
  <c r="G595" i="18"/>
  <c r="I595" i="18"/>
  <c r="K595" i="18"/>
  <c r="R595" i="18"/>
  <c r="M582" i="18"/>
  <c r="M583" i="18"/>
  <c r="U584" i="18"/>
  <c r="W584" i="18" s="1"/>
  <c r="U589" i="18"/>
  <c r="W589" i="18" s="1"/>
  <c r="M585" i="18"/>
  <c r="U587" i="18"/>
  <c r="F595" i="18"/>
  <c r="F596" i="18" s="1"/>
  <c r="G596" i="18" s="1"/>
  <c r="H596" i="18" s="1"/>
  <c r="L594" i="18"/>
  <c r="M594" i="18" s="1"/>
  <c r="N595" i="18"/>
  <c r="T594" i="18"/>
  <c r="U594" i="18" s="1"/>
  <c r="M590" i="18"/>
  <c r="L593" i="18"/>
  <c r="M593" i="18" s="1"/>
  <c r="S595" i="18"/>
  <c r="T591" i="18"/>
  <c r="S593" i="18"/>
  <c r="V594" i="18"/>
  <c r="W594" i="18" s="1"/>
  <c r="V590" i="18"/>
  <c r="W587" i="18"/>
  <c r="T593" i="18"/>
  <c r="L585" i="18"/>
  <c r="T586" i="18"/>
  <c r="L588" i="18"/>
  <c r="M588" i="18" s="1"/>
  <c r="T588" i="18"/>
  <c r="L592" i="18"/>
  <c r="M592" i="18" s="1"/>
  <c r="V592" i="18"/>
  <c r="L590" i="18"/>
  <c r="T2" i="18"/>
  <c r="L541" i="16"/>
  <c r="M541" i="16" s="1"/>
  <c r="I524" i="16"/>
  <c r="U592" i="16"/>
  <c r="M583" i="16"/>
  <c r="M584" i="16"/>
  <c r="U584" i="16"/>
  <c r="W584" i="16" s="1"/>
  <c r="U587" i="16"/>
  <c r="V585" i="16"/>
  <c r="U622" i="16"/>
  <c r="W622" i="16" s="1"/>
  <c r="V615" i="16"/>
  <c r="U612" i="16"/>
  <c r="U613" i="16"/>
  <c r="U614" i="16"/>
  <c r="W614" i="16" s="1"/>
  <c r="L746" i="16"/>
  <c r="M746" i="16" s="1"/>
  <c r="F713" i="16"/>
  <c r="H713" i="16"/>
  <c r="J713" i="16"/>
  <c r="N713" i="16"/>
  <c r="N712" i="16" s="1"/>
  <c r="P713" i="16"/>
  <c r="P712" i="16" s="1"/>
  <c r="R713" i="16"/>
  <c r="R712" i="16" s="1"/>
  <c r="G713" i="16"/>
  <c r="I713" i="16"/>
  <c r="K713" i="16"/>
  <c r="O713" i="16"/>
  <c r="O712" i="16" s="1"/>
  <c r="Q713" i="16"/>
  <c r="Q712" i="16" s="1"/>
  <c r="S713" i="16"/>
  <c r="S712" i="16" s="1"/>
  <c r="N708" i="16"/>
  <c r="N707" i="16" s="1"/>
  <c r="F708" i="16"/>
  <c r="T737" i="16"/>
  <c r="U738" i="16"/>
  <c r="U737" i="16" s="1"/>
  <c r="W741" i="16"/>
  <c r="H748" i="16"/>
  <c r="I748" i="16" s="1"/>
  <c r="J748" i="16" s="1"/>
  <c r="K748" i="16" s="1"/>
  <c r="N748" i="16" s="1"/>
  <c r="O748" i="16" s="1"/>
  <c r="P748" i="16" s="1"/>
  <c r="Q748" i="16" s="1"/>
  <c r="R748" i="16" s="1"/>
  <c r="S748" i="16" s="1"/>
  <c r="L737" i="16"/>
  <c r="M738" i="16"/>
  <c r="M737" i="16" s="1"/>
  <c r="V746" i="16"/>
  <c r="V742" i="16"/>
  <c r="W738" i="16"/>
  <c r="W737" i="16" s="1"/>
  <c r="L743" i="16"/>
  <c r="T743" i="16"/>
  <c r="L722" i="16"/>
  <c r="M723" i="16"/>
  <c r="M722" i="16" s="1"/>
  <c r="T722" i="16"/>
  <c r="U723" i="16"/>
  <c r="U722" i="16" s="1"/>
  <c r="V731" i="16"/>
  <c r="V727" i="16"/>
  <c r="G733" i="16"/>
  <c r="H733" i="16" s="1"/>
  <c r="I733" i="16" s="1"/>
  <c r="J733" i="16" s="1"/>
  <c r="K733" i="16" s="1"/>
  <c r="N733" i="16" s="1"/>
  <c r="O733" i="16" s="1"/>
  <c r="P733" i="16" s="1"/>
  <c r="Q733" i="16" s="1"/>
  <c r="R733" i="16" s="1"/>
  <c r="S733" i="16" s="1"/>
  <c r="W723" i="16"/>
  <c r="W722" i="16" s="1"/>
  <c r="L728" i="16"/>
  <c r="T728" i="16"/>
  <c r="F730" i="16"/>
  <c r="F715" i="16" s="1"/>
  <c r="H730" i="16"/>
  <c r="H715" i="16" s="1"/>
  <c r="J730" i="16"/>
  <c r="J715" i="16" s="1"/>
  <c r="N730" i="16"/>
  <c r="N715" i="16" s="1"/>
  <c r="P730" i="16"/>
  <c r="P715" i="16" s="1"/>
  <c r="R730" i="16"/>
  <c r="R715" i="16" s="1"/>
  <c r="G730" i="16"/>
  <c r="G715" i="16" s="1"/>
  <c r="I730" i="16"/>
  <c r="I715" i="16" s="1"/>
  <c r="K730" i="16"/>
  <c r="K715" i="16" s="1"/>
  <c r="O730" i="16"/>
  <c r="O715" i="16" s="1"/>
  <c r="Q730" i="16"/>
  <c r="Q715" i="16" s="1"/>
  <c r="S730" i="16"/>
  <c r="S715" i="16" s="1"/>
  <c r="U701" i="16"/>
  <c r="X696" i="16"/>
  <c r="M693" i="16"/>
  <c r="M692" i="16" s="1"/>
  <c r="L692" i="16"/>
  <c r="T692" i="16"/>
  <c r="V701" i="16"/>
  <c r="V697" i="16"/>
  <c r="W695" i="16"/>
  <c r="G703" i="16"/>
  <c r="H703" i="16" s="1"/>
  <c r="I703" i="16" s="1"/>
  <c r="J703" i="16" s="1"/>
  <c r="K703" i="16" s="1"/>
  <c r="N703" i="16" s="1"/>
  <c r="O703" i="16" s="1"/>
  <c r="P703" i="16" s="1"/>
  <c r="Q703" i="16" s="1"/>
  <c r="R703" i="16" s="1"/>
  <c r="S703" i="16" s="1"/>
  <c r="L698" i="16"/>
  <c r="T698" i="16"/>
  <c r="G700" i="16"/>
  <c r="I700" i="16"/>
  <c r="K700" i="16"/>
  <c r="O700" i="16"/>
  <c r="Q700" i="16"/>
  <c r="S700" i="16"/>
  <c r="U671" i="16"/>
  <c r="W661" i="16"/>
  <c r="M663" i="16"/>
  <c r="M662" i="16" s="1"/>
  <c r="L662" i="16"/>
  <c r="U663" i="16"/>
  <c r="V671" i="16"/>
  <c r="W671" i="16" s="1"/>
  <c r="V667" i="16"/>
  <c r="W665" i="16"/>
  <c r="L668" i="16"/>
  <c r="T668" i="16"/>
  <c r="G670" i="16"/>
  <c r="I670" i="16"/>
  <c r="K670" i="16"/>
  <c r="O670" i="16"/>
  <c r="Q670" i="16"/>
  <c r="S670" i="16"/>
  <c r="F672" i="16"/>
  <c r="F673" i="16" s="1"/>
  <c r="G673" i="16" s="1"/>
  <c r="H672" i="16"/>
  <c r="J672" i="16"/>
  <c r="N672" i="16"/>
  <c r="P672" i="16"/>
  <c r="R672" i="16"/>
  <c r="U616" i="16"/>
  <c r="W616" i="16" s="1"/>
  <c r="T615" i="16"/>
  <c r="V624" i="16"/>
  <c r="V620" i="16"/>
  <c r="S625" i="16"/>
  <c r="S623" i="16"/>
  <c r="M615" i="16"/>
  <c r="U617" i="16"/>
  <c r="M617" i="16"/>
  <c r="R623" i="16"/>
  <c r="T623" i="16" s="1"/>
  <c r="T621" i="16"/>
  <c r="R625" i="16"/>
  <c r="K625" i="16"/>
  <c r="L615" i="16"/>
  <c r="T618" i="16"/>
  <c r="U618" i="16" s="1"/>
  <c r="W618" i="16" s="1"/>
  <c r="T619" i="16"/>
  <c r="U619" i="16" s="1"/>
  <c r="K623" i="16"/>
  <c r="L623" i="16" s="1"/>
  <c r="M623" i="16" s="1"/>
  <c r="F624" i="16"/>
  <c r="T624" i="16"/>
  <c r="L621" i="16"/>
  <c r="N595" i="16"/>
  <c r="T594" i="16"/>
  <c r="V590" i="16"/>
  <c r="V594" i="16"/>
  <c r="R593" i="16"/>
  <c r="R595" i="16"/>
  <c r="M582" i="16"/>
  <c r="T588" i="16"/>
  <c r="U588" i="16" s="1"/>
  <c r="W588" i="16" s="1"/>
  <c r="T589" i="16"/>
  <c r="U589" i="16" s="1"/>
  <c r="V592" i="16"/>
  <c r="W592" i="16" s="1"/>
  <c r="F594" i="16"/>
  <c r="M589" i="16"/>
  <c r="S505" i="16"/>
  <c r="S503" i="16"/>
  <c r="R510" i="16"/>
  <c r="Q510" i="16"/>
  <c r="P505" i="16"/>
  <c r="Q505" i="16"/>
  <c r="R505" i="16"/>
  <c r="R503" i="16"/>
  <c r="S495" i="16"/>
  <c r="R495" i="16"/>
  <c r="Q495" i="16"/>
  <c r="S490" i="16"/>
  <c r="R490" i="16"/>
  <c r="Q490" i="16"/>
  <c r="P490" i="16"/>
  <c r="R435" i="16"/>
  <c r="Q435" i="16"/>
  <c r="P430" i="16"/>
  <c r="Q430" i="16"/>
  <c r="R430" i="16"/>
  <c r="S430" i="16"/>
  <c r="G370" i="16"/>
  <c r="Q373" i="16"/>
  <c r="R373" i="16"/>
  <c r="S373" i="16"/>
  <c r="R368" i="16"/>
  <c r="Q368" i="16"/>
  <c r="P368" i="16"/>
  <c r="S137" i="16"/>
  <c r="R137" i="16"/>
  <c r="Q137" i="16"/>
  <c r="P137" i="16"/>
  <c r="O137" i="16"/>
  <c r="N137" i="16"/>
  <c r="R142" i="16"/>
  <c r="Q142" i="16"/>
  <c r="P142" i="16"/>
  <c r="O142" i="16"/>
  <c r="N142" i="16"/>
  <c r="J142" i="16"/>
  <c r="K142" i="16"/>
  <c r="S97" i="16"/>
  <c r="S92" i="16"/>
  <c r="S95" i="16"/>
  <c r="R97" i="16"/>
  <c r="Q97" i="16"/>
  <c r="P97" i="16"/>
  <c r="O97" i="16"/>
  <c r="N97" i="16"/>
  <c r="R92" i="16"/>
  <c r="Q92" i="16"/>
  <c r="P92" i="16"/>
  <c r="O92" i="16"/>
  <c r="N92" i="16"/>
  <c r="R82" i="16"/>
  <c r="Q82" i="16"/>
  <c r="S77" i="16"/>
  <c r="R77" i="16"/>
  <c r="Q77" i="16"/>
  <c r="P77" i="16"/>
  <c r="S11" i="16"/>
  <c r="R11" i="16"/>
  <c r="Q11" i="16"/>
  <c r="P11" i="16"/>
  <c r="O11" i="16"/>
  <c r="N11" i="16"/>
  <c r="K11" i="16"/>
  <c r="J11" i="16"/>
  <c r="I11" i="16"/>
  <c r="H11" i="16"/>
  <c r="G11" i="16"/>
  <c r="F11" i="16"/>
  <c r="E13" i="16"/>
  <c r="S2" i="16"/>
  <c r="R2" i="16"/>
  <c r="Q2" i="16"/>
  <c r="P2" i="16"/>
  <c r="O2" i="16"/>
  <c r="N2" i="16"/>
  <c r="K2" i="16"/>
  <c r="J2" i="16"/>
  <c r="I2" i="16"/>
  <c r="H2" i="16"/>
  <c r="G2" i="16"/>
  <c r="F2" i="16"/>
  <c r="F3" i="16" s="1"/>
  <c r="C8" i="16"/>
  <c r="S562" i="15"/>
  <c r="R562" i="15"/>
  <c r="Q562" i="15"/>
  <c r="P562" i="15"/>
  <c r="O562" i="15"/>
  <c r="N562" i="15"/>
  <c r="G562" i="15"/>
  <c r="H562" i="15"/>
  <c r="I562" i="15"/>
  <c r="J562" i="15"/>
  <c r="K562" i="15"/>
  <c r="F562" i="15"/>
  <c r="V558" i="15"/>
  <c r="S558" i="15"/>
  <c r="R558" i="15"/>
  <c r="Q558" i="15"/>
  <c r="P558" i="15"/>
  <c r="O558" i="15"/>
  <c r="N558" i="15"/>
  <c r="G558" i="15"/>
  <c r="H558" i="15"/>
  <c r="I558" i="15"/>
  <c r="J558" i="15"/>
  <c r="K558" i="15"/>
  <c r="F558" i="15"/>
  <c r="S653" i="15"/>
  <c r="R653" i="15"/>
  <c r="Q653" i="15"/>
  <c r="P653" i="15"/>
  <c r="O653" i="15"/>
  <c r="N653" i="15"/>
  <c r="K653" i="15"/>
  <c r="J653" i="15"/>
  <c r="I653" i="15"/>
  <c r="H653" i="15"/>
  <c r="G653" i="15"/>
  <c r="F653" i="15"/>
  <c r="S648" i="15"/>
  <c r="R648" i="15"/>
  <c r="Q648" i="15"/>
  <c r="P648" i="15"/>
  <c r="O648" i="15"/>
  <c r="N648" i="15"/>
  <c r="G648" i="15"/>
  <c r="H648" i="15"/>
  <c r="I648" i="15"/>
  <c r="J648" i="15"/>
  <c r="K648" i="15"/>
  <c r="F648" i="15"/>
  <c r="S621" i="15"/>
  <c r="R621" i="15"/>
  <c r="Q621" i="15"/>
  <c r="P621" i="15"/>
  <c r="O621" i="15"/>
  <c r="N621" i="15"/>
  <c r="K621" i="15"/>
  <c r="J621" i="15"/>
  <c r="I621" i="15"/>
  <c r="H621" i="15"/>
  <c r="G621" i="15"/>
  <c r="F621" i="15"/>
  <c r="G616" i="15"/>
  <c r="H616" i="15"/>
  <c r="I616" i="15"/>
  <c r="J616" i="15"/>
  <c r="K616" i="15"/>
  <c r="F616" i="15"/>
  <c r="R586" i="15"/>
  <c r="Q586" i="15"/>
  <c r="P586" i="15"/>
  <c r="O586" i="15"/>
  <c r="N586" i="15"/>
  <c r="G586" i="15"/>
  <c r="G555" i="15" s="1"/>
  <c r="G538" i="15" s="1"/>
  <c r="G521" i="15" s="1"/>
  <c r="H586" i="15"/>
  <c r="I586" i="15"/>
  <c r="I555" i="15" s="1"/>
  <c r="I538" i="15" s="1"/>
  <c r="I521" i="15" s="1"/>
  <c r="J586" i="15"/>
  <c r="K586" i="15"/>
  <c r="K555" i="15" s="1"/>
  <c r="K538" i="15" s="1"/>
  <c r="K521" i="15" s="1"/>
  <c r="R576" i="15"/>
  <c r="Q576" i="15"/>
  <c r="R571" i="15"/>
  <c r="Q571" i="15"/>
  <c r="P571" i="15"/>
  <c r="S569" i="15"/>
  <c r="P569" i="15"/>
  <c r="Q569" i="15"/>
  <c r="R569" i="15"/>
  <c r="H555" i="15"/>
  <c r="H538" i="15" s="1"/>
  <c r="H521" i="15" s="1"/>
  <c r="J555" i="15"/>
  <c r="J538" i="15" s="1"/>
  <c r="J521" i="15" s="1"/>
  <c r="V706" i="15"/>
  <c r="V705" i="15"/>
  <c r="V704" i="15"/>
  <c r="S711" i="15"/>
  <c r="R711" i="15"/>
  <c r="Q711" i="15"/>
  <c r="P711" i="15"/>
  <c r="O711" i="15"/>
  <c r="N711" i="15"/>
  <c r="G711" i="15"/>
  <c r="H711" i="15"/>
  <c r="I711" i="15"/>
  <c r="J711" i="15"/>
  <c r="K711" i="15"/>
  <c r="S714" i="15"/>
  <c r="R714" i="15"/>
  <c r="Q714" i="15"/>
  <c r="P714" i="15"/>
  <c r="O714" i="15"/>
  <c r="N714" i="15"/>
  <c r="G714" i="15"/>
  <c r="H714" i="15"/>
  <c r="I714" i="15"/>
  <c r="J714" i="15"/>
  <c r="K714" i="15"/>
  <c r="F714" i="15"/>
  <c r="F711" i="15"/>
  <c r="V710" i="15"/>
  <c r="V709" i="15"/>
  <c r="S710" i="15"/>
  <c r="R710" i="15"/>
  <c r="Q710" i="15"/>
  <c r="P710" i="15"/>
  <c r="O710" i="15"/>
  <c r="N710" i="15"/>
  <c r="S709" i="15"/>
  <c r="R709" i="15"/>
  <c r="Q709" i="15"/>
  <c r="P709" i="15"/>
  <c r="O709" i="15"/>
  <c r="N709" i="15"/>
  <c r="G709" i="15"/>
  <c r="H709" i="15"/>
  <c r="I709" i="15"/>
  <c r="J709" i="15"/>
  <c r="K709" i="15"/>
  <c r="G710" i="15"/>
  <c r="H710" i="15"/>
  <c r="I710" i="15"/>
  <c r="J710" i="15"/>
  <c r="K710" i="15"/>
  <c r="F709" i="15"/>
  <c r="F710" i="15"/>
  <c r="S706" i="15"/>
  <c r="R706" i="15"/>
  <c r="Q706" i="15"/>
  <c r="P706" i="15"/>
  <c r="O706" i="15"/>
  <c r="N706" i="15"/>
  <c r="S705" i="15"/>
  <c r="R705" i="15"/>
  <c r="Q705" i="15"/>
  <c r="P705" i="15"/>
  <c r="O705" i="15"/>
  <c r="N705" i="15"/>
  <c r="S704" i="15"/>
  <c r="R704" i="15"/>
  <c r="Q704" i="15"/>
  <c r="P704" i="15"/>
  <c r="O704" i="15"/>
  <c r="N704" i="15"/>
  <c r="G704" i="15"/>
  <c r="H704" i="15"/>
  <c r="I704" i="15"/>
  <c r="J704" i="15"/>
  <c r="K704" i="15"/>
  <c r="G705" i="15"/>
  <c r="H705" i="15"/>
  <c r="I705" i="15"/>
  <c r="J705" i="15"/>
  <c r="K705" i="15"/>
  <c r="G706" i="15"/>
  <c r="H706" i="15"/>
  <c r="I706" i="15"/>
  <c r="J706" i="15"/>
  <c r="K706" i="15"/>
  <c r="F705" i="15"/>
  <c r="F706" i="15"/>
  <c r="F704" i="15"/>
  <c r="S746" i="15"/>
  <c r="R746" i="15"/>
  <c r="Q746" i="15"/>
  <c r="P746" i="15"/>
  <c r="O746" i="15"/>
  <c r="N746" i="15"/>
  <c r="T746" i="15" s="1"/>
  <c r="K746" i="15"/>
  <c r="J746" i="15"/>
  <c r="I746" i="15"/>
  <c r="H746" i="15"/>
  <c r="G746" i="15"/>
  <c r="F746" i="15"/>
  <c r="L746" i="15" s="1"/>
  <c r="M746" i="15" s="1"/>
  <c r="V745" i="15"/>
  <c r="V744" i="15"/>
  <c r="T744" i="15"/>
  <c r="U744" i="15" s="1"/>
  <c r="W744" i="15" s="1"/>
  <c r="L744" i="15"/>
  <c r="M744" i="15" s="1"/>
  <c r="S743" i="15"/>
  <c r="S747" i="15" s="1"/>
  <c r="R743" i="15"/>
  <c r="R747" i="15" s="1"/>
  <c r="Q743" i="15"/>
  <c r="Q747" i="15" s="1"/>
  <c r="P743" i="15"/>
  <c r="P747" i="15" s="1"/>
  <c r="O743" i="15"/>
  <c r="O747" i="15" s="1"/>
  <c r="N743" i="15"/>
  <c r="N747" i="15" s="1"/>
  <c r="K743" i="15"/>
  <c r="K747" i="15" s="1"/>
  <c r="J743" i="15"/>
  <c r="J747" i="15" s="1"/>
  <c r="I743" i="15"/>
  <c r="I747" i="15" s="1"/>
  <c r="H743" i="15"/>
  <c r="H747" i="15" s="1"/>
  <c r="G743" i="15"/>
  <c r="G747" i="15" s="1"/>
  <c r="F743" i="15"/>
  <c r="F747" i="15" s="1"/>
  <c r="F748" i="15" s="1"/>
  <c r="E742" i="15"/>
  <c r="V741" i="15"/>
  <c r="T741" i="15"/>
  <c r="L741" i="15"/>
  <c r="M741" i="15" s="1"/>
  <c r="T740" i="15"/>
  <c r="U740" i="15" s="1"/>
  <c r="W740" i="15" s="1"/>
  <c r="L740" i="15"/>
  <c r="M740" i="15" s="1"/>
  <c r="T739" i="15"/>
  <c r="L739" i="15"/>
  <c r="M739" i="15" s="1"/>
  <c r="V738" i="15"/>
  <c r="V743" i="15" s="1"/>
  <c r="S738" i="15"/>
  <c r="R738" i="15"/>
  <c r="Q738" i="15"/>
  <c r="P738" i="15"/>
  <c r="O738" i="15"/>
  <c r="N738" i="15"/>
  <c r="K738" i="15"/>
  <c r="J738" i="15"/>
  <c r="I738" i="15"/>
  <c r="H738" i="15"/>
  <c r="G738" i="15"/>
  <c r="F738" i="15"/>
  <c r="V737" i="15"/>
  <c r="T736" i="15"/>
  <c r="U736" i="15" s="1"/>
  <c r="W736" i="15" s="1"/>
  <c r="L736" i="15"/>
  <c r="M736" i="15" s="1"/>
  <c r="T735" i="15"/>
  <c r="U735" i="15" s="1"/>
  <c r="W735" i="15" s="1"/>
  <c r="L735" i="15"/>
  <c r="M735" i="15" s="1"/>
  <c r="U734" i="15"/>
  <c r="W734" i="15" s="1"/>
  <c r="T734" i="15"/>
  <c r="M734" i="15"/>
  <c r="L734" i="15"/>
  <c r="S731" i="15"/>
  <c r="R731" i="15"/>
  <c r="Q731" i="15"/>
  <c r="P731" i="15"/>
  <c r="O731" i="15"/>
  <c r="N731" i="15"/>
  <c r="K731" i="15"/>
  <c r="J731" i="15"/>
  <c r="I731" i="15"/>
  <c r="H731" i="15"/>
  <c r="G731" i="15"/>
  <c r="F731" i="15"/>
  <c r="V730" i="15"/>
  <c r="V729" i="15"/>
  <c r="U729" i="15"/>
  <c r="W729" i="15" s="1"/>
  <c r="T729" i="15"/>
  <c r="M729" i="15"/>
  <c r="L729" i="15"/>
  <c r="S728" i="15"/>
  <c r="S732" i="15" s="1"/>
  <c r="R728" i="15"/>
  <c r="R732" i="15" s="1"/>
  <c r="Q728" i="15"/>
  <c r="Q732" i="15" s="1"/>
  <c r="P728" i="15"/>
  <c r="P732" i="15" s="1"/>
  <c r="O728" i="15"/>
  <c r="O732" i="15" s="1"/>
  <c r="N728" i="15"/>
  <c r="N732" i="15" s="1"/>
  <c r="K728" i="15"/>
  <c r="K732" i="15" s="1"/>
  <c r="J728" i="15"/>
  <c r="J732" i="15" s="1"/>
  <c r="I728" i="15"/>
  <c r="I732" i="15" s="1"/>
  <c r="H728" i="15"/>
  <c r="H732" i="15" s="1"/>
  <c r="G728" i="15"/>
  <c r="G732" i="15" s="1"/>
  <c r="F728" i="15"/>
  <c r="F732" i="15" s="1"/>
  <c r="F733" i="15" s="1"/>
  <c r="E727" i="15"/>
  <c r="V726" i="15"/>
  <c r="T726" i="15"/>
  <c r="U726" i="15" s="1"/>
  <c r="L726" i="15"/>
  <c r="M726" i="15" s="1"/>
  <c r="T725" i="15"/>
  <c r="U725" i="15" s="1"/>
  <c r="W725" i="15" s="1"/>
  <c r="L725" i="15"/>
  <c r="M725" i="15" s="1"/>
  <c r="T724" i="15"/>
  <c r="U724" i="15" s="1"/>
  <c r="W724" i="15" s="1"/>
  <c r="L724" i="15"/>
  <c r="M724" i="15" s="1"/>
  <c r="V723" i="15"/>
  <c r="V728" i="15" s="1"/>
  <c r="S723" i="15"/>
  <c r="S708" i="15" s="1"/>
  <c r="S707" i="15" s="1"/>
  <c r="R723" i="15"/>
  <c r="R708" i="15" s="1"/>
  <c r="R707" i="15" s="1"/>
  <c r="Q723" i="15"/>
  <c r="Q708" i="15" s="1"/>
  <c r="Q707" i="15" s="1"/>
  <c r="P723" i="15"/>
  <c r="P708" i="15" s="1"/>
  <c r="P707" i="15" s="1"/>
  <c r="O723" i="15"/>
  <c r="O708" i="15" s="1"/>
  <c r="O707" i="15" s="1"/>
  <c r="N723" i="15"/>
  <c r="K723" i="15"/>
  <c r="K708" i="15" s="1"/>
  <c r="K707" i="15" s="1"/>
  <c r="J723" i="15"/>
  <c r="J708" i="15" s="1"/>
  <c r="J707" i="15" s="1"/>
  <c r="I723" i="15"/>
  <c r="I708" i="15" s="1"/>
  <c r="I707" i="15" s="1"/>
  <c r="H723" i="15"/>
  <c r="H708" i="15" s="1"/>
  <c r="H707" i="15" s="1"/>
  <c r="G723" i="15"/>
  <c r="G708" i="15" s="1"/>
  <c r="G707" i="15" s="1"/>
  <c r="F723" i="15"/>
  <c r="V722" i="15"/>
  <c r="T721" i="15"/>
  <c r="U721" i="15" s="1"/>
  <c r="W721" i="15" s="1"/>
  <c r="L721" i="15"/>
  <c r="M721" i="15" s="1"/>
  <c r="T720" i="15"/>
  <c r="L720" i="15"/>
  <c r="M720" i="15" s="1"/>
  <c r="T719" i="15"/>
  <c r="U719" i="15" s="1"/>
  <c r="W719" i="15" s="1"/>
  <c r="L719" i="15"/>
  <c r="M719" i="15" s="1"/>
  <c r="S701" i="15"/>
  <c r="R701" i="15"/>
  <c r="Q701" i="15"/>
  <c r="P701" i="15"/>
  <c r="O701" i="15"/>
  <c r="N701" i="15"/>
  <c r="T701" i="15" s="1"/>
  <c r="K701" i="15"/>
  <c r="J701" i="15"/>
  <c r="I701" i="15"/>
  <c r="H701" i="15"/>
  <c r="G701" i="15"/>
  <c r="F701" i="15"/>
  <c r="L701" i="15" s="1"/>
  <c r="M701" i="15" s="1"/>
  <c r="V700" i="15"/>
  <c r="V699" i="15"/>
  <c r="T699" i="15"/>
  <c r="L699" i="15"/>
  <c r="M699" i="15" s="1"/>
  <c r="S698" i="15"/>
  <c r="S702" i="15" s="1"/>
  <c r="R698" i="15"/>
  <c r="R700" i="15" s="1"/>
  <c r="Q698" i="15"/>
  <c r="Q702" i="15" s="1"/>
  <c r="P698" i="15"/>
  <c r="P700" i="15" s="1"/>
  <c r="O698" i="15"/>
  <c r="O702" i="15" s="1"/>
  <c r="N698" i="15"/>
  <c r="N700" i="15" s="1"/>
  <c r="K698" i="15"/>
  <c r="K702" i="15" s="1"/>
  <c r="J698" i="15"/>
  <c r="J700" i="15" s="1"/>
  <c r="I698" i="15"/>
  <c r="I702" i="15" s="1"/>
  <c r="H698" i="15"/>
  <c r="H700" i="15" s="1"/>
  <c r="G698" i="15"/>
  <c r="G702" i="15" s="1"/>
  <c r="F698" i="15"/>
  <c r="F700" i="15" s="1"/>
  <c r="E697" i="15"/>
  <c r="V696" i="15"/>
  <c r="T696" i="15"/>
  <c r="L696" i="15"/>
  <c r="M696" i="15" s="1"/>
  <c r="T695" i="15"/>
  <c r="L695" i="15"/>
  <c r="M695" i="15" s="1"/>
  <c r="T694" i="15"/>
  <c r="L694" i="15"/>
  <c r="M694" i="15" s="1"/>
  <c r="V693" i="15"/>
  <c r="S693" i="15"/>
  <c r="R693" i="15"/>
  <c r="Q693" i="15"/>
  <c r="P693" i="15"/>
  <c r="O693" i="15"/>
  <c r="N693" i="15"/>
  <c r="T693" i="15" s="1"/>
  <c r="K693" i="15"/>
  <c r="J693" i="15"/>
  <c r="I693" i="15"/>
  <c r="H693" i="15"/>
  <c r="G693" i="15"/>
  <c r="F693" i="15"/>
  <c r="L693" i="15" s="1"/>
  <c r="V692" i="15"/>
  <c r="T691" i="15"/>
  <c r="M691" i="15"/>
  <c r="L691" i="15"/>
  <c r="U691" i="15" s="1"/>
  <c r="W691" i="15" s="1"/>
  <c r="T690" i="15"/>
  <c r="U690" i="15" s="1"/>
  <c r="W690" i="15" s="1"/>
  <c r="L690" i="15"/>
  <c r="M690" i="15" s="1"/>
  <c r="U689" i="15"/>
  <c r="W689" i="15" s="1"/>
  <c r="T689" i="15"/>
  <c r="M689" i="15"/>
  <c r="L689" i="15"/>
  <c r="S668" i="15"/>
  <c r="R668" i="15"/>
  <c r="R670" i="15" s="1"/>
  <c r="Q668" i="15"/>
  <c r="P668" i="15"/>
  <c r="O668" i="15"/>
  <c r="N668" i="15"/>
  <c r="S663" i="15"/>
  <c r="S632" i="15" s="1"/>
  <c r="R663" i="15"/>
  <c r="R632" i="15" s="1"/>
  <c r="Q663" i="15"/>
  <c r="Q632" i="15" s="1"/>
  <c r="P663" i="15"/>
  <c r="P632" i="15" s="1"/>
  <c r="O663" i="15"/>
  <c r="O632" i="15" s="1"/>
  <c r="N663" i="15"/>
  <c r="T663" i="15" s="1"/>
  <c r="K663" i="15"/>
  <c r="K632" i="15" s="1"/>
  <c r="J663" i="15"/>
  <c r="J632" i="15" s="1"/>
  <c r="I663" i="15"/>
  <c r="I632" i="15" s="1"/>
  <c r="H663" i="15"/>
  <c r="H632" i="15" s="1"/>
  <c r="G663" i="15"/>
  <c r="F663" i="15"/>
  <c r="F632" i="15" s="1"/>
  <c r="G668" i="15"/>
  <c r="H668" i="15"/>
  <c r="I668" i="15"/>
  <c r="J668" i="15"/>
  <c r="K668" i="15"/>
  <c r="R671" i="15"/>
  <c r="Q671" i="15"/>
  <c r="Q672" i="15" s="1"/>
  <c r="P671" i="15"/>
  <c r="O671" i="15"/>
  <c r="O672" i="15" s="1"/>
  <c r="N671" i="15"/>
  <c r="N672" i="15" s="1"/>
  <c r="K671" i="15"/>
  <c r="K672" i="15" s="1"/>
  <c r="J671" i="15"/>
  <c r="J672" i="15" s="1"/>
  <c r="I671" i="15"/>
  <c r="I672" i="15" s="1"/>
  <c r="H671" i="15"/>
  <c r="H672" i="15" s="1"/>
  <c r="V670" i="15"/>
  <c r="Q670" i="15"/>
  <c r="O670" i="15"/>
  <c r="N670" i="15"/>
  <c r="K670" i="15"/>
  <c r="J670" i="15"/>
  <c r="I670" i="15"/>
  <c r="H670" i="15"/>
  <c r="G670" i="15"/>
  <c r="V669" i="15"/>
  <c r="T669" i="15"/>
  <c r="U669" i="15" s="1"/>
  <c r="L669" i="15"/>
  <c r="M669" i="15" s="1"/>
  <c r="P670" i="15"/>
  <c r="E667" i="15"/>
  <c r="V666" i="15"/>
  <c r="L666" i="15"/>
  <c r="M666" i="15" s="1"/>
  <c r="S671" i="15"/>
  <c r="G671" i="15"/>
  <c r="G672" i="15" s="1"/>
  <c r="F671" i="15"/>
  <c r="T664" i="15"/>
  <c r="L664" i="15"/>
  <c r="U664" i="15" s="1"/>
  <c r="W664" i="15" s="1"/>
  <c r="V663" i="15"/>
  <c r="V668" i="15" s="1"/>
  <c r="E662" i="15"/>
  <c r="T661" i="15"/>
  <c r="U661" i="15" s="1"/>
  <c r="L661" i="15"/>
  <c r="T660" i="15"/>
  <c r="U660" i="15" s="1"/>
  <c r="L660" i="15"/>
  <c r="M660" i="15" s="1"/>
  <c r="T659" i="15"/>
  <c r="U659" i="15" s="1"/>
  <c r="L659" i="15"/>
  <c r="M659" i="15" s="1"/>
  <c r="S624" i="15"/>
  <c r="R624" i="15"/>
  <c r="Q624" i="15"/>
  <c r="P624" i="15"/>
  <c r="O624" i="15"/>
  <c r="N624" i="15"/>
  <c r="K624" i="15"/>
  <c r="J624" i="15"/>
  <c r="I624" i="15"/>
  <c r="H624" i="15"/>
  <c r="G624" i="15"/>
  <c r="F624" i="15"/>
  <c r="V623" i="15"/>
  <c r="R623" i="15"/>
  <c r="P623" i="15"/>
  <c r="N623" i="15"/>
  <c r="J623" i="15"/>
  <c r="H623" i="15"/>
  <c r="F623" i="15"/>
  <c r="V622" i="15"/>
  <c r="T622" i="15"/>
  <c r="L622" i="15"/>
  <c r="M622" i="15" s="1"/>
  <c r="S625" i="15"/>
  <c r="R625" i="15"/>
  <c r="Q625" i="15"/>
  <c r="P625" i="15"/>
  <c r="O625" i="15"/>
  <c r="N625" i="15"/>
  <c r="K625" i="15"/>
  <c r="J625" i="15"/>
  <c r="I625" i="15"/>
  <c r="H625" i="15"/>
  <c r="G625" i="15"/>
  <c r="F625" i="15"/>
  <c r="F626" i="15" s="1"/>
  <c r="E620" i="15"/>
  <c r="V619" i="15"/>
  <c r="T619" i="15"/>
  <c r="U619" i="15" s="1"/>
  <c r="W619" i="15" s="1"/>
  <c r="L619" i="15"/>
  <c r="M619" i="15" s="1"/>
  <c r="T618" i="15"/>
  <c r="L618" i="15"/>
  <c r="M618" i="15" s="1"/>
  <c r="T617" i="15"/>
  <c r="U617" i="15" s="1"/>
  <c r="W617" i="15" s="1"/>
  <c r="L617" i="15"/>
  <c r="M617" i="15" s="1"/>
  <c r="V616" i="15"/>
  <c r="V621" i="15" s="1"/>
  <c r="S616" i="15"/>
  <c r="R616" i="15"/>
  <c r="R555" i="15" s="1"/>
  <c r="R538" i="15" s="1"/>
  <c r="R521" i="15" s="1"/>
  <c r="Q616" i="15"/>
  <c r="P616" i="15"/>
  <c r="P555" i="15" s="1"/>
  <c r="P538" i="15" s="1"/>
  <c r="P521" i="15" s="1"/>
  <c r="O616" i="15"/>
  <c r="N616" i="15"/>
  <c r="T616" i="15" s="1"/>
  <c r="L616" i="15"/>
  <c r="V615" i="15"/>
  <c r="T614" i="15"/>
  <c r="L614" i="15"/>
  <c r="M614" i="15" s="1"/>
  <c r="T613" i="15"/>
  <c r="L613" i="15"/>
  <c r="M613" i="15" s="1"/>
  <c r="T612" i="15"/>
  <c r="L612" i="15"/>
  <c r="M612" i="15" s="1"/>
  <c r="S594" i="15"/>
  <c r="R594" i="15"/>
  <c r="Q594" i="15"/>
  <c r="P594" i="15"/>
  <c r="O594" i="15"/>
  <c r="N594" i="15"/>
  <c r="K594" i="15"/>
  <c r="J594" i="15"/>
  <c r="I594" i="15"/>
  <c r="H594" i="15"/>
  <c r="G594" i="15"/>
  <c r="F594" i="15"/>
  <c r="V593" i="15"/>
  <c r="V592" i="15"/>
  <c r="W592" i="15" s="1"/>
  <c r="T592" i="15"/>
  <c r="U592" i="15" s="1"/>
  <c r="L592" i="15"/>
  <c r="M592" i="15" s="1"/>
  <c r="S595" i="15"/>
  <c r="R591" i="15"/>
  <c r="R593" i="15" s="1"/>
  <c r="Q591" i="15"/>
  <c r="Q595" i="15" s="1"/>
  <c r="P591" i="15"/>
  <c r="P593" i="15" s="1"/>
  <c r="O591" i="15"/>
  <c r="O595" i="15" s="1"/>
  <c r="N591" i="15"/>
  <c r="N593" i="15" s="1"/>
  <c r="K591" i="15"/>
  <c r="K595" i="15" s="1"/>
  <c r="J591" i="15"/>
  <c r="J593" i="15" s="1"/>
  <c r="I591" i="15"/>
  <c r="I595" i="15" s="1"/>
  <c r="H593" i="15"/>
  <c r="G595" i="15"/>
  <c r="F593" i="15"/>
  <c r="E590" i="15"/>
  <c r="V589" i="15"/>
  <c r="T589" i="15"/>
  <c r="L589" i="15"/>
  <c r="M589" i="15" s="1"/>
  <c r="T588" i="15"/>
  <c r="L588" i="15"/>
  <c r="M588" i="15" s="1"/>
  <c r="T587" i="15"/>
  <c r="U587" i="15" s="1"/>
  <c r="W587" i="15" s="1"/>
  <c r="L587" i="15"/>
  <c r="M587" i="15" s="1"/>
  <c r="V586" i="15"/>
  <c r="V555" i="15" s="1"/>
  <c r="V538" i="15" s="1"/>
  <c r="V521" i="15" s="1"/>
  <c r="T586" i="15"/>
  <c r="L586" i="15"/>
  <c r="T584" i="15"/>
  <c r="L584" i="15"/>
  <c r="M584" i="15" s="1"/>
  <c r="T583" i="15"/>
  <c r="U583" i="15" s="1"/>
  <c r="L583" i="15"/>
  <c r="M583" i="15" s="1"/>
  <c r="T582" i="15"/>
  <c r="U582" i="15" s="1"/>
  <c r="L582" i="15"/>
  <c r="M582" i="15" s="1"/>
  <c r="S11" i="23"/>
  <c r="R11" i="23"/>
  <c r="Q11" i="23"/>
  <c r="P11" i="23"/>
  <c r="O11" i="23"/>
  <c r="N11" i="23"/>
  <c r="K11" i="23"/>
  <c r="J11" i="23"/>
  <c r="I11" i="23"/>
  <c r="H11" i="23"/>
  <c r="G11" i="23"/>
  <c r="F11" i="23"/>
  <c r="S2" i="23"/>
  <c r="R2" i="23"/>
  <c r="Q2" i="23"/>
  <c r="P2" i="23"/>
  <c r="O2" i="23"/>
  <c r="N2" i="23"/>
  <c r="K2" i="23"/>
  <c r="J2" i="23"/>
  <c r="I2" i="23"/>
  <c r="H2" i="23"/>
  <c r="G2" i="23"/>
  <c r="F2" i="23"/>
  <c r="E13" i="15"/>
  <c r="Q495" i="15"/>
  <c r="R495" i="15"/>
  <c r="S493" i="15"/>
  <c r="S495" i="15" s="1"/>
  <c r="S490" i="15"/>
  <c r="R490" i="15"/>
  <c r="Q490" i="15"/>
  <c r="P490" i="15"/>
  <c r="S368" i="15"/>
  <c r="R373" i="15"/>
  <c r="Q373" i="15"/>
  <c r="Q368" i="15"/>
  <c r="P368" i="15"/>
  <c r="S92" i="15"/>
  <c r="O92" i="15"/>
  <c r="P92" i="15"/>
  <c r="Q92" i="15"/>
  <c r="R97" i="15"/>
  <c r="Q97" i="15"/>
  <c r="P97" i="15"/>
  <c r="O97" i="15"/>
  <c r="N92" i="15"/>
  <c r="R90" i="15"/>
  <c r="S95" i="15" s="1"/>
  <c r="L541" i="19" l="1"/>
  <c r="M541" i="19" s="1"/>
  <c r="W584" i="22"/>
  <c r="X589" i="22"/>
  <c r="W619" i="19"/>
  <c r="X619" i="19"/>
  <c r="W623" i="19"/>
  <c r="X623" i="19"/>
  <c r="W589" i="19"/>
  <c r="W593" i="19"/>
  <c r="X593" i="19"/>
  <c r="L594" i="15"/>
  <c r="M594" i="15" s="1"/>
  <c r="U618" i="15"/>
  <c r="U622" i="15"/>
  <c r="M664" i="15"/>
  <c r="W669" i="15"/>
  <c r="L731" i="15"/>
  <c r="M731" i="15" s="1"/>
  <c r="T731" i="15"/>
  <c r="V708" i="15"/>
  <c r="N632" i="15"/>
  <c r="U612" i="15"/>
  <c r="U613" i="15"/>
  <c r="U614" i="15"/>
  <c r="W622" i="15"/>
  <c r="L624" i="15"/>
  <c r="M624" i="15" s="1"/>
  <c r="T624" i="15"/>
  <c r="L663" i="15"/>
  <c r="M663" i="15" s="1"/>
  <c r="U694" i="15"/>
  <c r="W694" i="15" s="1"/>
  <c r="U695" i="15"/>
  <c r="U696" i="15"/>
  <c r="W696" i="15" s="1"/>
  <c r="U699" i="15"/>
  <c r="W699" i="15" s="1"/>
  <c r="U720" i="15"/>
  <c r="W720" i="15" s="1"/>
  <c r="U739" i="15"/>
  <c r="W739" i="15" s="1"/>
  <c r="U741" i="15"/>
  <c r="G632" i="15"/>
  <c r="V632" i="15"/>
  <c r="L670" i="22"/>
  <c r="M670" i="22" s="1"/>
  <c r="T700" i="22"/>
  <c r="I717" i="22"/>
  <c r="I712" i="22"/>
  <c r="V727" i="22"/>
  <c r="V713" i="22"/>
  <c r="T670" i="22"/>
  <c r="U670" i="22" s="1"/>
  <c r="L700" i="22"/>
  <c r="M700" i="22" s="1"/>
  <c r="K717" i="22"/>
  <c r="K712" i="22"/>
  <c r="G717" i="22"/>
  <c r="G718" i="22" s="1"/>
  <c r="H718" i="22" s="1"/>
  <c r="G712" i="22"/>
  <c r="T632" i="22"/>
  <c r="U632" i="22" s="1"/>
  <c r="W632" i="22" s="1"/>
  <c r="L632" i="22"/>
  <c r="M632" i="22" s="1"/>
  <c r="O521" i="22"/>
  <c r="L700" i="18"/>
  <c r="M700" i="18" s="1"/>
  <c r="T632" i="18"/>
  <c r="U632" i="18" s="1"/>
  <c r="W632" i="18" s="1"/>
  <c r="H673" i="18"/>
  <c r="I673" i="18" s="1"/>
  <c r="T700" i="18"/>
  <c r="T700" i="16"/>
  <c r="W731" i="16"/>
  <c r="T670" i="16"/>
  <c r="L670" i="16"/>
  <c r="M670" i="16" s="1"/>
  <c r="L700" i="16"/>
  <c r="M700" i="16" s="1"/>
  <c r="W701" i="16"/>
  <c r="L524" i="16"/>
  <c r="M524" i="16" s="1"/>
  <c r="U632" i="16"/>
  <c r="W632" i="16" s="1"/>
  <c r="V17" i="19"/>
  <c r="V523" i="19"/>
  <c r="T541" i="19"/>
  <c r="U541" i="19" s="1"/>
  <c r="U632" i="19"/>
  <c r="W632" i="19" s="1"/>
  <c r="K715" i="19"/>
  <c r="G715" i="19"/>
  <c r="P715" i="19"/>
  <c r="W731" i="19"/>
  <c r="O715" i="19"/>
  <c r="M585" i="22"/>
  <c r="F521" i="22"/>
  <c r="G524" i="19"/>
  <c r="F521" i="19"/>
  <c r="L521" i="19" s="1"/>
  <c r="M521" i="19" s="1"/>
  <c r="L538" i="19"/>
  <c r="M538" i="19" s="1"/>
  <c r="T521" i="22"/>
  <c r="W555" i="19"/>
  <c r="T538" i="18"/>
  <c r="S521" i="18"/>
  <c r="T521" i="18" s="1"/>
  <c r="T594" i="15"/>
  <c r="U594" i="15" s="1"/>
  <c r="I715" i="19"/>
  <c r="R715" i="19"/>
  <c r="W746" i="19"/>
  <c r="U708" i="22"/>
  <c r="R715" i="22"/>
  <c r="L713" i="22"/>
  <c r="L712" i="22" s="1"/>
  <c r="J715" i="22"/>
  <c r="I718" i="22"/>
  <c r="J718" i="22" s="1"/>
  <c r="K718" i="22" s="1"/>
  <c r="N718" i="22" s="1"/>
  <c r="O718" i="22" s="1"/>
  <c r="P718" i="22" s="1"/>
  <c r="Q718" i="22" s="1"/>
  <c r="R718" i="22" s="1"/>
  <c r="S718" i="22" s="1"/>
  <c r="Q715" i="22"/>
  <c r="K715" i="22"/>
  <c r="G715" i="22"/>
  <c r="U728" i="22"/>
  <c r="T727" i="22"/>
  <c r="U743" i="22"/>
  <c r="T742" i="22"/>
  <c r="T730" i="22"/>
  <c r="N715" i="22"/>
  <c r="L730" i="22"/>
  <c r="M730" i="22" s="1"/>
  <c r="F715" i="22"/>
  <c r="M713" i="22"/>
  <c r="M712" i="22" s="1"/>
  <c r="T716" i="22"/>
  <c r="U716" i="22" s="1"/>
  <c r="S715" i="22"/>
  <c r="O715" i="22"/>
  <c r="I715" i="22"/>
  <c r="T745" i="22"/>
  <c r="L745" i="22"/>
  <c r="M745" i="22" s="1"/>
  <c r="M743" i="22"/>
  <c r="M742" i="22" s="1"/>
  <c r="L742" i="22"/>
  <c r="T737" i="22"/>
  <c r="U738" i="22"/>
  <c r="L737" i="22"/>
  <c r="M738" i="22"/>
  <c r="M737" i="22" s="1"/>
  <c r="P733" i="22"/>
  <c r="Q733" i="22" s="1"/>
  <c r="R733" i="22" s="1"/>
  <c r="S733" i="22" s="1"/>
  <c r="T722" i="22"/>
  <c r="U723" i="22"/>
  <c r="T712" i="22"/>
  <c r="W708" i="22"/>
  <c r="W707" i="22" s="1"/>
  <c r="U707" i="22"/>
  <c r="M698" i="22"/>
  <c r="M697" i="22" s="1"/>
  <c r="L697" i="22"/>
  <c r="W693" i="22"/>
  <c r="W692" i="22" s="1"/>
  <c r="U692" i="22"/>
  <c r="H703" i="22"/>
  <c r="I703" i="22" s="1"/>
  <c r="J703" i="22" s="1"/>
  <c r="K703" i="22" s="1"/>
  <c r="N703" i="22" s="1"/>
  <c r="O703" i="22" s="1"/>
  <c r="P703" i="22" s="1"/>
  <c r="Q703" i="22" s="1"/>
  <c r="R703" i="22" s="1"/>
  <c r="S703" i="22" s="1"/>
  <c r="U698" i="22"/>
  <c r="T697" i="22"/>
  <c r="X670" i="22"/>
  <c r="W670" i="22"/>
  <c r="U668" i="22"/>
  <c r="T667" i="22"/>
  <c r="W663" i="22"/>
  <c r="W662" i="22" s="1"/>
  <c r="U662" i="22"/>
  <c r="X668" i="22"/>
  <c r="M668" i="22"/>
  <c r="M667" i="22" s="1"/>
  <c r="L667" i="22"/>
  <c r="T623" i="22"/>
  <c r="U616" i="22"/>
  <c r="W616" i="22" s="1"/>
  <c r="W615" i="22" s="1"/>
  <c r="L623" i="22"/>
  <c r="M623" i="22" s="1"/>
  <c r="U621" i="22"/>
  <c r="U620" i="22" s="1"/>
  <c r="T620" i="22"/>
  <c r="U615" i="22"/>
  <c r="H626" i="22"/>
  <c r="I626" i="22" s="1"/>
  <c r="J626" i="22" s="1"/>
  <c r="K626" i="22" s="1"/>
  <c r="N626" i="22" s="1"/>
  <c r="O626" i="22" s="1"/>
  <c r="P626" i="22" s="1"/>
  <c r="Q626" i="22" s="1"/>
  <c r="R626" i="22" s="1"/>
  <c r="S626" i="22" s="1"/>
  <c r="W621" i="22"/>
  <c r="W620" i="22" s="1"/>
  <c r="V624" i="22"/>
  <c r="W624" i="22" s="1"/>
  <c r="V620" i="22"/>
  <c r="M621" i="22"/>
  <c r="M620" i="22" s="1"/>
  <c r="L620" i="22"/>
  <c r="J596" i="22"/>
  <c r="K596" i="22" s="1"/>
  <c r="L585" i="22"/>
  <c r="T586" i="22"/>
  <c r="U586" i="22" s="1"/>
  <c r="S595" i="22"/>
  <c r="S593" i="22"/>
  <c r="T593" i="22" s="1"/>
  <c r="U593" i="22" s="1"/>
  <c r="W593" i="22" s="1"/>
  <c r="T591" i="22"/>
  <c r="T585" i="22"/>
  <c r="N595" i="22"/>
  <c r="T594" i="22"/>
  <c r="U594" i="22" s="1"/>
  <c r="W594" i="22" s="1"/>
  <c r="U588" i="22"/>
  <c r="U590" i="19"/>
  <c r="U618" i="19"/>
  <c r="W618" i="19" s="1"/>
  <c r="W615" i="19"/>
  <c r="T670" i="19"/>
  <c r="U670" i="19" s="1"/>
  <c r="L670" i="19"/>
  <c r="M670" i="19" s="1"/>
  <c r="T700" i="19"/>
  <c r="L700" i="19"/>
  <c r="M700" i="19" s="1"/>
  <c r="T745" i="19"/>
  <c r="U743" i="19"/>
  <c r="T742" i="19"/>
  <c r="W738" i="19"/>
  <c r="W737" i="19" s="1"/>
  <c r="L745" i="19"/>
  <c r="M745" i="19" s="1"/>
  <c r="T730" i="19"/>
  <c r="U728" i="19"/>
  <c r="T727" i="19"/>
  <c r="W723" i="19"/>
  <c r="W722" i="19" s="1"/>
  <c r="L730" i="19"/>
  <c r="M730" i="19" s="1"/>
  <c r="M728" i="19"/>
  <c r="M727" i="19" s="1"/>
  <c r="L727" i="19"/>
  <c r="U698" i="19"/>
  <c r="U697" i="19" s="1"/>
  <c r="T697" i="19"/>
  <c r="H703" i="19"/>
  <c r="I703" i="19" s="1"/>
  <c r="J703" i="19" s="1"/>
  <c r="K703" i="19" s="1"/>
  <c r="N703" i="19" s="1"/>
  <c r="O703" i="19" s="1"/>
  <c r="P703" i="19" s="1"/>
  <c r="Q703" i="19" s="1"/>
  <c r="R703" i="19" s="1"/>
  <c r="S703" i="19" s="1"/>
  <c r="V701" i="19"/>
  <c r="W701" i="19" s="1"/>
  <c r="V697" i="19"/>
  <c r="M698" i="19"/>
  <c r="M697" i="19" s="1"/>
  <c r="L697" i="19"/>
  <c r="W692" i="19"/>
  <c r="U692" i="19"/>
  <c r="M692" i="19"/>
  <c r="U668" i="19"/>
  <c r="U667" i="19" s="1"/>
  <c r="T667" i="19"/>
  <c r="U662" i="19"/>
  <c r="H673" i="19"/>
  <c r="I673" i="19" s="1"/>
  <c r="J673" i="19" s="1"/>
  <c r="K673" i="19" s="1"/>
  <c r="N673" i="19" s="1"/>
  <c r="O673" i="19" s="1"/>
  <c r="P673" i="19" s="1"/>
  <c r="Q673" i="19" s="1"/>
  <c r="R673" i="19" s="1"/>
  <c r="S673" i="19" s="1"/>
  <c r="W668" i="19"/>
  <c r="W667" i="19" s="1"/>
  <c r="V671" i="19"/>
  <c r="W671" i="19" s="1"/>
  <c r="V667" i="19"/>
  <c r="M668" i="19"/>
  <c r="M667" i="19" s="1"/>
  <c r="L667" i="19"/>
  <c r="N626" i="19"/>
  <c r="O626" i="19" s="1"/>
  <c r="P626" i="19" s="1"/>
  <c r="Q626" i="19" s="1"/>
  <c r="R626" i="19" s="1"/>
  <c r="S626" i="19" s="1"/>
  <c r="U621" i="19"/>
  <c r="X621" i="19" s="1"/>
  <c r="T620" i="19"/>
  <c r="U624" i="19"/>
  <c r="W624" i="19" s="1"/>
  <c r="U615" i="19"/>
  <c r="F595" i="19"/>
  <c r="F596" i="19" s="1"/>
  <c r="G596" i="19" s="1"/>
  <c r="H596" i="19" s="1"/>
  <c r="I596" i="19" s="1"/>
  <c r="J596" i="19" s="1"/>
  <c r="K596" i="19" s="1"/>
  <c r="N596" i="19" s="1"/>
  <c r="O596" i="19" s="1"/>
  <c r="P596" i="19" s="1"/>
  <c r="Q596" i="19" s="1"/>
  <c r="R596" i="19" s="1"/>
  <c r="S596" i="19" s="1"/>
  <c r="L594" i="19"/>
  <c r="M594" i="19" s="1"/>
  <c r="W591" i="19"/>
  <c r="W590" i="19" s="1"/>
  <c r="V594" i="19"/>
  <c r="V590" i="19"/>
  <c r="W585" i="19"/>
  <c r="W588" i="19"/>
  <c r="U585" i="19"/>
  <c r="T745" i="18"/>
  <c r="U743" i="18"/>
  <c r="T742" i="18"/>
  <c r="W738" i="18"/>
  <c r="W737" i="18" s="1"/>
  <c r="L745" i="18"/>
  <c r="M745" i="18" s="1"/>
  <c r="M743" i="18"/>
  <c r="M742" i="18" s="1"/>
  <c r="L742" i="18"/>
  <c r="T730" i="18"/>
  <c r="U730" i="18" s="1"/>
  <c r="W730" i="18" s="1"/>
  <c r="U728" i="18"/>
  <c r="T727" i="18"/>
  <c r="L730" i="18"/>
  <c r="M730" i="18" s="1"/>
  <c r="M728" i="18"/>
  <c r="M727" i="18" s="1"/>
  <c r="L727" i="18"/>
  <c r="U700" i="18"/>
  <c r="M698" i="18"/>
  <c r="M697" i="18" s="1"/>
  <c r="L697" i="18"/>
  <c r="W693" i="18"/>
  <c r="W692" i="18" s="1"/>
  <c r="U692" i="18"/>
  <c r="H703" i="18"/>
  <c r="I703" i="18" s="1"/>
  <c r="J703" i="18" s="1"/>
  <c r="K703" i="18" s="1"/>
  <c r="N703" i="18" s="1"/>
  <c r="O703" i="18" s="1"/>
  <c r="P703" i="18" s="1"/>
  <c r="Q703" i="18" s="1"/>
  <c r="R703" i="18" s="1"/>
  <c r="S703" i="18" s="1"/>
  <c r="U698" i="18"/>
  <c r="T697" i="18"/>
  <c r="T670" i="18"/>
  <c r="L670" i="18"/>
  <c r="M670" i="18" s="1"/>
  <c r="J673" i="18"/>
  <c r="K673" i="18" s="1"/>
  <c r="N673" i="18" s="1"/>
  <c r="O673" i="18" s="1"/>
  <c r="P673" i="18" s="1"/>
  <c r="Q673" i="18" s="1"/>
  <c r="R673" i="18" s="1"/>
  <c r="S673" i="18" s="1"/>
  <c r="U668" i="18"/>
  <c r="U667" i="18" s="1"/>
  <c r="T667" i="18"/>
  <c r="W662" i="18"/>
  <c r="U662" i="18"/>
  <c r="X668" i="18"/>
  <c r="M662" i="18"/>
  <c r="W668" i="18"/>
  <c r="W667" i="18" s="1"/>
  <c r="V671" i="18"/>
  <c r="W671" i="18" s="1"/>
  <c r="V667" i="18"/>
  <c r="M668" i="18"/>
  <c r="M667" i="18" s="1"/>
  <c r="L667" i="18"/>
  <c r="L620" i="18"/>
  <c r="M619" i="18"/>
  <c r="M620" i="18" s="1"/>
  <c r="U621" i="18"/>
  <c r="T620" i="18"/>
  <c r="U618" i="18"/>
  <c r="N626" i="18"/>
  <c r="O626" i="18" s="1"/>
  <c r="P626" i="18" s="1"/>
  <c r="Q626" i="18" s="1"/>
  <c r="R626" i="18" s="1"/>
  <c r="S626" i="18" s="1"/>
  <c r="W619" i="18"/>
  <c r="T624" i="18"/>
  <c r="U624" i="18" s="1"/>
  <c r="W624" i="18" s="1"/>
  <c r="I596" i="18"/>
  <c r="J596" i="18" s="1"/>
  <c r="K596" i="18" s="1"/>
  <c r="N596" i="18" s="1"/>
  <c r="O596" i="18" s="1"/>
  <c r="P596" i="18" s="1"/>
  <c r="Q596" i="18" s="1"/>
  <c r="R596" i="18" s="1"/>
  <c r="S596" i="18" s="1"/>
  <c r="U593" i="18"/>
  <c r="W593" i="18" s="1"/>
  <c r="X589" i="18"/>
  <c r="U588" i="18"/>
  <c r="U586" i="18"/>
  <c r="T585" i="18"/>
  <c r="U592" i="18"/>
  <c r="W592" i="18" s="1"/>
  <c r="U591" i="18"/>
  <c r="T590" i="18"/>
  <c r="X589" i="16"/>
  <c r="X592" i="16"/>
  <c r="W587" i="16"/>
  <c r="U623" i="16"/>
  <c r="W623" i="16" s="1"/>
  <c r="X619" i="16"/>
  <c r="U746" i="16"/>
  <c r="W746" i="16" s="1"/>
  <c r="L745" i="16"/>
  <c r="M745" i="16" s="1"/>
  <c r="M743" i="16"/>
  <c r="M742" i="16" s="1"/>
  <c r="L742" i="16"/>
  <c r="T745" i="16"/>
  <c r="U743" i="16"/>
  <c r="T742" i="16"/>
  <c r="L730" i="16"/>
  <c r="M730" i="16" s="1"/>
  <c r="M728" i="16"/>
  <c r="M727" i="16" s="1"/>
  <c r="L727" i="16"/>
  <c r="T730" i="16"/>
  <c r="U728" i="16"/>
  <c r="T727" i="16"/>
  <c r="U698" i="16"/>
  <c r="T697" i="16"/>
  <c r="W693" i="16"/>
  <c r="W692" i="16" s="1"/>
  <c r="U692" i="16"/>
  <c r="X698" i="16"/>
  <c r="M698" i="16"/>
  <c r="M697" i="16" s="1"/>
  <c r="L697" i="16"/>
  <c r="M668" i="16"/>
  <c r="M667" i="16" s="1"/>
  <c r="L667" i="16"/>
  <c r="W663" i="16"/>
  <c r="W662" i="16" s="1"/>
  <c r="U662" i="16"/>
  <c r="H673" i="16"/>
  <c r="I673" i="16" s="1"/>
  <c r="J673" i="16" s="1"/>
  <c r="K673" i="16" s="1"/>
  <c r="N673" i="16" s="1"/>
  <c r="O673" i="16" s="1"/>
  <c r="P673" i="16" s="1"/>
  <c r="Q673" i="16" s="1"/>
  <c r="R673" i="16" s="1"/>
  <c r="S673" i="16" s="1"/>
  <c r="U668" i="16"/>
  <c r="T667" i="16"/>
  <c r="X622" i="16"/>
  <c r="W617" i="16"/>
  <c r="L620" i="16"/>
  <c r="M621" i="16"/>
  <c r="M620" i="16" s="1"/>
  <c r="W615" i="16"/>
  <c r="F625" i="16"/>
  <c r="F626" i="16" s="1"/>
  <c r="G626" i="16" s="1"/>
  <c r="H626" i="16" s="1"/>
  <c r="I626" i="16" s="1"/>
  <c r="J626" i="16" s="1"/>
  <c r="K626" i="16" s="1"/>
  <c r="N626" i="16" s="1"/>
  <c r="O626" i="16" s="1"/>
  <c r="P626" i="16" s="1"/>
  <c r="Q626" i="16" s="1"/>
  <c r="R626" i="16" s="1"/>
  <c r="S626" i="16" s="1"/>
  <c r="L624" i="16"/>
  <c r="M624" i="16" s="1"/>
  <c r="W619" i="16"/>
  <c r="U621" i="16"/>
  <c r="T620" i="16"/>
  <c r="X621" i="16"/>
  <c r="U615" i="16"/>
  <c r="S595" i="16"/>
  <c r="S593" i="16"/>
  <c r="T591" i="16"/>
  <c r="L594" i="16"/>
  <c r="M594" i="16" s="1"/>
  <c r="T586" i="16"/>
  <c r="W589" i="16"/>
  <c r="T2" i="16"/>
  <c r="N555" i="15"/>
  <c r="N538" i="15" s="1"/>
  <c r="N521" i="15" s="1"/>
  <c r="O555" i="15"/>
  <c r="O538" i="15" s="1"/>
  <c r="O521" i="15" s="1"/>
  <c r="Q555" i="15"/>
  <c r="Q538" i="15" s="1"/>
  <c r="Q521" i="15" s="1"/>
  <c r="S555" i="15"/>
  <c r="S538" i="15" s="1"/>
  <c r="U588" i="15"/>
  <c r="U589" i="15"/>
  <c r="X589" i="15" s="1"/>
  <c r="U584" i="15"/>
  <c r="W584" i="15" s="1"/>
  <c r="W589" i="15"/>
  <c r="F555" i="15"/>
  <c r="V585" i="15"/>
  <c r="T738" i="15"/>
  <c r="G748" i="15"/>
  <c r="L738" i="15"/>
  <c r="M738" i="15" s="1"/>
  <c r="M737" i="15" s="1"/>
  <c r="O713" i="15"/>
  <c r="O712" i="15" s="1"/>
  <c r="Q713" i="15"/>
  <c r="Q712" i="15" s="1"/>
  <c r="S713" i="15"/>
  <c r="S712" i="15" s="1"/>
  <c r="N713" i="15"/>
  <c r="N712" i="15" s="1"/>
  <c r="P713" i="15"/>
  <c r="P712" i="15" s="1"/>
  <c r="R713" i="15"/>
  <c r="R712" i="15" s="1"/>
  <c r="T723" i="15"/>
  <c r="N708" i="15"/>
  <c r="N707" i="15" s="1"/>
  <c r="G733" i="15"/>
  <c r="K713" i="15"/>
  <c r="K712" i="15" s="1"/>
  <c r="I713" i="15"/>
  <c r="I712" i="15" s="1"/>
  <c r="G713" i="15"/>
  <c r="G712" i="15" s="1"/>
  <c r="F713" i="15"/>
  <c r="F712" i="15" s="1"/>
  <c r="J713" i="15"/>
  <c r="J712" i="15" s="1"/>
  <c r="H713" i="15"/>
  <c r="H712" i="15" s="1"/>
  <c r="L723" i="15"/>
  <c r="L722" i="15" s="1"/>
  <c r="F708" i="15"/>
  <c r="F707" i="15" s="1"/>
  <c r="L737" i="15"/>
  <c r="W741" i="15"/>
  <c r="H748" i="15"/>
  <c r="I748" i="15" s="1"/>
  <c r="J748" i="15" s="1"/>
  <c r="K748" i="15" s="1"/>
  <c r="N748" i="15" s="1"/>
  <c r="O748" i="15" s="1"/>
  <c r="P748" i="15" s="1"/>
  <c r="Q748" i="15" s="1"/>
  <c r="R748" i="15" s="1"/>
  <c r="S748" i="15" s="1"/>
  <c r="U746" i="15"/>
  <c r="T737" i="15"/>
  <c r="V746" i="15"/>
  <c r="V742" i="15"/>
  <c r="L743" i="15"/>
  <c r="T743" i="15"/>
  <c r="F745" i="15"/>
  <c r="H745" i="15"/>
  <c r="J745" i="15"/>
  <c r="N745" i="15"/>
  <c r="P745" i="15"/>
  <c r="R745" i="15"/>
  <c r="G745" i="15"/>
  <c r="I745" i="15"/>
  <c r="K745" i="15"/>
  <c r="O745" i="15"/>
  <c r="Q745" i="15"/>
  <c r="S745" i="15"/>
  <c r="T722" i="15"/>
  <c r="V731" i="15"/>
  <c r="V727" i="15"/>
  <c r="W726" i="15"/>
  <c r="H733" i="15"/>
  <c r="I733" i="15" s="1"/>
  <c r="J733" i="15" s="1"/>
  <c r="K733" i="15" s="1"/>
  <c r="N733" i="15" s="1"/>
  <c r="O733" i="15" s="1"/>
  <c r="P733" i="15" s="1"/>
  <c r="Q733" i="15" s="1"/>
  <c r="R733" i="15" s="1"/>
  <c r="S733" i="15" s="1"/>
  <c r="U731" i="15"/>
  <c r="L728" i="15"/>
  <c r="T728" i="15"/>
  <c r="F730" i="15"/>
  <c r="F715" i="15" s="1"/>
  <c r="H730" i="15"/>
  <c r="H715" i="15" s="1"/>
  <c r="J730" i="15"/>
  <c r="J715" i="15" s="1"/>
  <c r="N730" i="15"/>
  <c r="N715" i="15" s="1"/>
  <c r="P730" i="15"/>
  <c r="P715" i="15" s="1"/>
  <c r="R730" i="15"/>
  <c r="R715" i="15" s="1"/>
  <c r="G730" i="15"/>
  <c r="G715" i="15" s="1"/>
  <c r="I730" i="15"/>
  <c r="I715" i="15" s="1"/>
  <c r="K730" i="15"/>
  <c r="K715" i="15" s="1"/>
  <c r="O730" i="15"/>
  <c r="O715" i="15" s="1"/>
  <c r="Q730" i="15"/>
  <c r="Q715" i="15" s="1"/>
  <c r="S730" i="15"/>
  <c r="S715" i="15" s="1"/>
  <c r="U701" i="15"/>
  <c r="M693" i="15"/>
  <c r="M692" i="15" s="1"/>
  <c r="L692" i="15"/>
  <c r="U693" i="15"/>
  <c r="T692" i="15"/>
  <c r="W693" i="15"/>
  <c r="W692" i="15" s="1"/>
  <c r="W695" i="15"/>
  <c r="X696" i="15"/>
  <c r="L698" i="15"/>
  <c r="T698" i="15"/>
  <c r="V698" i="15"/>
  <c r="G700" i="15"/>
  <c r="I700" i="15"/>
  <c r="K700" i="15"/>
  <c r="O700" i="15"/>
  <c r="Q700" i="15"/>
  <c r="T700" i="15" s="1"/>
  <c r="S700" i="15"/>
  <c r="F702" i="15"/>
  <c r="F703" i="15" s="1"/>
  <c r="G703" i="15" s="1"/>
  <c r="H702" i="15"/>
  <c r="J702" i="15"/>
  <c r="N702" i="15"/>
  <c r="P702" i="15"/>
  <c r="R702" i="15"/>
  <c r="V662" i="15"/>
  <c r="L662" i="15"/>
  <c r="T666" i="15"/>
  <c r="U666" i="15" s="1"/>
  <c r="W666" i="15" s="1"/>
  <c r="L671" i="15"/>
  <c r="M671" i="15" s="1"/>
  <c r="W661" i="15"/>
  <c r="T662" i="15"/>
  <c r="U663" i="15"/>
  <c r="V667" i="15"/>
  <c r="V671" i="15"/>
  <c r="S672" i="15"/>
  <c r="S670" i="15"/>
  <c r="T670" i="15" s="1"/>
  <c r="M661" i="15"/>
  <c r="M662" i="15" s="1"/>
  <c r="L665" i="15"/>
  <c r="M665" i="15" s="1"/>
  <c r="T668" i="15"/>
  <c r="T671" i="15"/>
  <c r="U671" i="15" s="1"/>
  <c r="P672" i="15"/>
  <c r="R672" i="15"/>
  <c r="T665" i="15"/>
  <c r="U624" i="15"/>
  <c r="W614" i="15"/>
  <c r="X619" i="15"/>
  <c r="M616" i="15"/>
  <c r="M615" i="15" s="1"/>
  <c r="L615" i="15"/>
  <c r="U616" i="15"/>
  <c r="T615" i="15"/>
  <c r="V624" i="15"/>
  <c r="V620" i="15"/>
  <c r="W618" i="15"/>
  <c r="G626" i="15"/>
  <c r="H626" i="15" s="1"/>
  <c r="I626" i="15" s="1"/>
  <c r="J626" i="15" s="1"/>
  <c r="K626" i="15" s="1"/>
  <c r="N626" i="15" s="1"/>
  <c r="O626" i="15" s="1"/>
  <c r="P626" i="15" s="1"/>
  <c r="Q626" i="15" s="1"/>
  <c r="R626" i="15" s="1"/>
  <c r="S626" i="15" s="1"/>
  <c r="L621" i="15"/>
  <c r="T621" i="15"/>
  <c r="G623" i="15"/>
  <c r="I623" i="15"/>
  <c r="K623" i="15"/>
  <c r="O623" i="15"/>
  <c r="Q623" i="15"/>
  <c r="S623" i="15"/>
  <c r="M586" i="15"/>
  <c r="M585" i="15" s="1"/>
  <c r="L585" i="15"/>
  <c r="U586" i="15"/>
  <c r="W586" i="15" s="1"/>
  <c r="T585" i="15"/>
  <c r="L591" i="15"/>
  <c r="T591" i="15"/>
  <c r="V591" i="15"/>
  <c r="G593" i="15"/>
  <c r="I593" i="15"/>
  <c r="K593" i="15"/>
  <c r="O593" i="15"/>
  <c r="Q593" i="15"/>
  <c r="S593" i="15"/>
  <c r="F595" i="15"/>
  <c r="F596" i="15" s="1"/>
  <c r="G596" i="15" s="1"/>
  <c r="H595" i="15"/>
  <c r="J595" i="15"/>
  <c r="N595" i="15"/>
  <c r="P595" i="15"/>
  <c r="R595" i="15"/>
  <c r="R92" i="15"/>
  <c r="T2" i="23"/>
  <c r="X593" i="22" l="1"/>
  <c r="W541" i="19"/>
  <c r="W588" i="15"/>
  <c r="W624" i="15"/>
  <c r="U665" i="15"/>
  <c r="T632" i="15"/>
  <c r="L632" i="15"/>
  <c r="M632" i="15" s="1"/>
  <c r="L700" i="15"/>
  <c r="M700" i="15" s="1"/>
  <c r="U738" i="15"/>
  <c r="U737" i="15" s="1"/>
  <c r="V712" i="22"/>
  <c r="V716" i="22"/>
  <c r="W716" i="22" s="1"/>
  <c r="U700" i="22"/>
  <c r="U745" i="16"/>
  <c r="W745" i="16" s="1"/>
  <c r="U670" i="16"/>
  <c r="U700" i="16"/>
  <c r="X698" i="19"/>
  <c r="U594" i="16"/>
  <c r="W594" i="16" s="1"/>
  <c r="U538" i="19"/>
  <c r="W538" i="19" s="1"/>
  <c r="U521" i="19"/>
  <c r="W521" i="19" s="1"/>
  <c r="T593" i="16"/>
  <c r="T538" i="15"/>
  <c r="S521" i="15"/>
  <c r="T555" i="15"/>
  <c r="U745" i="22"/>
  <c r="W745" i="22" s="1"/>
  <c r="U713" i="22"/>
  <c r="U712" i="22" s="1"/>
  <c r="W738" i="22"/>
  <c r="W737" i="22" s="1"/>
  <c r="U737" i="22"/>
  <c r="L715" i="22"/>
  <c r="M715" i="22" s="1"/>
  <c r="T715" i="22"/>
  <c r="W723" i="22"/>
  <c r="W722" i="22" s="1"/>
  <c r="U722" i="22"/>
  <c r="U730" i="22"/>
  <c r="W730" i="22" s="1"/>
  <c r="U742" i="22"/>
  <c r="W743" i="22"/>
  <c r="W742" i="22" s="1"/>
  <c r="U727" i="22"/>
  <c r="W728" i="22"/>
  <c r="W727" i="22" s="1"/>
  <c r="U697" i="22"/>
  <c r="W698" i="22"/>
  <c r="W697" i="22" s="1"/>
  <c r="X698" i="22"/>
  <c r="U667" i="22"/>
  <c r="W668" i="22"/>
  <c r="W667" i="22" s="1"/>
  <c r="U623" i="22"/>
  <c r="X621" i="22"/>
  <c r="N596" i="22"/>
  <c r="O596" i="22" s="1"/>
  <c r="P596" i="22" s="1"/>
  <c r="Q596" i="22" s="1"/>
  <c r="R596" i="22" s="1"/>
  <c r="S596" i="22" s="1"/>
  <c r="W588" i="22"/>
  <c r="W586" i="22"/>
  <c r="W585" i="22" s="1"/>
  <c r="U585" i="22"/>
  <c r="U591" i="22"/>
  <c r="X591" i="22" s="1"/>
  <c r="T590" i="22"/>
  <c r="X668" i="19"/>
  <c r="W698" i="19"/>
  <c r="W697" i="19" s="1"/>
  <c r="U700" i="19"/>
  <c r="U742" i="19"/>
  <c r="W743" i="19"/>
  <c r="W742" i="19" s="1"/>
  <c r="U745" i="19"/>
  <c r="W745" i="19" s="1"/>
  <c r="U727" i="19"/>
  <c r="W728" i="19"/>
  <c r="W727" i="19" s="1"/>
  <c r="U730" i="19"/>
  <c r="W730" i="19" s="1"/>
  <c r="X670" i="19"/>
  <c r="W670" i="19"/>
  <c r="U620" i="19"/>
  <c r="W621" i="19"/>
  <c r="W620" i="19" s="1"/>
  <c r="U594" i="19"/>
  <c r="W594" i="19" s="1"/>
  <c r="U742" i="18"/>
  <c r="W743" i="18"/>
  <c r="W742" i="18" s="1"/>
  <c r="U745" i="18"/>
  <c r="W745" i="18" s="1"/>
  <c r="U727" i="18"/>
  <c r="W728" i="18"/>
  <c r="W727" i="18" s="1"/>
  <c r="U697" i="18"/>
  <c r="W698" i="18"/>
  <c r="W697" i="18" s="1"/>
  <c r="X698" i="18"/>
  <c r="X700" i="18"/>
  <c r="W700" i="18"/>
  <c r="U670" i="18"/>
  <c r="X670" i="18" s="1"/>
  <c r="W670" i="18"/>
  <c r="X623" i="18"/>
  <c r="W618" i="18"/>
  <c r="U620" i="18"/>
  <c r="W621" i="18"/>
  <c r="W620" i="18" s="1"/>
  <c r="U590" i="18"/>
  <c r="W591" i="18"/>
  <c r="W590" i="18" s="1"/>
  <c r="X593" i="18"/>
  <c r="W588" i="18"/>
  <c r="X592" i="18"/>
  <c r="X591" i="18"/>
  <c r="U585" i="18"/>
  <c r="W586" i="18"/>
  <c r="W585" i="18" s="1"/>
  <c r="X623" i="16"/>
  <c r="U730" i="16"/>
  <c r="W730" i="16" s="1"/>
  <c r="U742" i="16"/>
  <c r="W743" i="16"/>
  <c r="W742" i="16" s="1"/>
  <c r="U727" i="16"/>
  <c r="W728" i="16"/>
  <c r="W727" i="16" s="1"/>
  <c r="U697" i="16"/>
  <c r="W698" i="16"/>
  <c r="W697" i="16" s="1"/>
  <c r="U667" i="16"/>
  <c r="W668" i="16"/>
  <c r="W667" i="16" s="1"/>
  <c r="X668" i="16"/>
  <c r="U620" i="16"/>
  <c r="W621" i="16"/>
  <c r="W620" i="16" s="1"/>
  <c r="U624" i="16"/>
  <c r="W624" i="16" s="1"/>
  <c r="T585" i="16"/>
  <c r="T590" i="16"/>
  <c r="T623" i="15"/>
  <c r="L623" i="15"/>
  <c r="M623" i="15" s="1"/>
  <c r="L593" i="15"/>
  <c r="M593" i="15" s="1"/>
  <c r="T593" i="15"/>
  <c r="W585" i="15"/>
  <c r="L555" i="15"/>
  <c r="F538" i="15"/>
  <c r="L745" i="15"/>
  <c r="M745" i="15" s="1"/>
  <c r="U723" i="15"/>
  <c r="M723" i="15"/>
  <c r="M722" i="15" s="1"/>
  <c r="M743" i="15"/>
  <c r="M742" i="15" s="1"/>
  <c r="L742" i="15"/>
  <c r="W746" i="15"/>
  <c r="T745" i="15"/>
  <c r="U745" i="15" s="1"/>
  <c r="W745" i="15" s="1"/>
  <c r="U743" i="15"/>
  <c r="T742" i="15"/>
  <c r="W738" i="15"/>
  <c r="W737" i="15" s="1"/>
  <c r="L730" i="15"/>
  <c r="M730" i="15" s="1"/>
  <c r="M728" i="15"/>
  <c r="M727" i="15" s="1"/>
  <c r="L727" i="15"/>
  <c r="T730" i="15"/>
  <c r="U728" i="15"/>
  <c r="T727" i="15"/>
  <c r="W731" i="15"/>
  <c r="U698" i="15"/>
  <c r="U697" i="15" s="1"/>
  <c r="T697" i="15"/>
  <c r="U692" i="15"/>
  <c r="X698" i="15"/>
  <c r="H703" i="15"/>
  <c r="I703" i="15" s="1"/>
  <c r="J703" i="15" s="1"/>
  <c r="K703" i="15" s="1"/>
  <c r="N703" i="15" s="1"/>
  <c r="O703" i="15" s="1"/>
  <c r="P703" i="15" s="1"/>
  <c r="Q703" i="15" s="1"/>
  <c r="R703" i="15" s="1"/>
  <c r="S703" i="15" s="1"/>
  <c r="W698" i="15"/>
  <c r="W697" i="15" s="1"/>
  <c r="V701" i="15"/>
  <c r="W701" i="15" s="1"/>
  <c r="V697" i="15"/>
  <c r="M698" i="15"/>
  <c r="M697" i="15" s="1"/>
  <c r="L697" i="15"/>
  <c r="W671" i="15"/>
  <c r="X666" i="15"/>
  <c r="W665" i="15"/>
  <c r="T667" i="15"/>
  <c r="W663" i="15"/>
  <c r="W662" i="15" s="1"/>
  <c r="U662" i="15"/>
  <c r="U621" i="15"/>
  <c r="T620" i="15"/>
  <c r="W616" i="15"/>
  <c r="W615" i="15" s="1"/>
  <c r="U615" i="15"/>
  <c r="X621" i="15"/>
  <c r="M621" i="15"/>
  <c r="M620" i="15" s="1"/>
  <c r="L620" i="15"/>
  <c r="H596" i="15"/>
  <c r="I596" i="15" s="1"/>
  <c r="J596" i="15" s="1"/>
  <c r="K596" i="15" s="1"/>
  <c r="N596" i="15" s="1"/>
  <c r="O596" i="15" s="1"/>
  <c r="P596" i="15" s="1"/>
  <c r="Q596" i="15" s="1"/>
  <c r="R596" i="15" s="1"/>
  <c r="S596" i="15" s="1"/>
  <c r="V594" i="15"/>
  <c r="W594" i="15" s="1"/>
  <c r="V590" i="15"/>
  <c r="M591" i="15"/>
  <c r="M590" i="15" s="1"/>
  <c r="L590" i="15"/>
  <c r="U585" i="15"/>
  <c r="U591" i="15"/>
  <c r="T590" i="15"/>
  <c r="U590" i="15" l="1"/>
  <c r="X591" i="15"/>
  <c r="U700" i="15"/>
  <c r="U632" i="15"/>
  <c r="W632" i="15" s="1"/>
  <c r="W700" i="22"/>
  <c r="X700" i="22"/>
  <c r="X670" i="16"/>
  <c r="W670" i="16"/>
  <c r="W700" i="16"/>
  <c r="X700" i="16"/>
  <c r="L538" i="15"/>
  <c r="M538" i="15" s="1"/>
  <c r="F521" i="15"/>
  <c r="T521" i="15"/>
  <c r="W713" i="22"/>
  <c r="W712" i="22" s="1"/>
  <c r="U715" i="22"/>
  <c r="W715" i="22" s="1"/>
  <c r="X623" i="22"/>
  <c r="W623" i="22"/>
  <c r="U590" i="22"/>
  <c r="W591" i="22"/>
  <c r="W590" i="22" s="1"/>
  <c r="W700" i="19"/>
  <c r="X700" i="19"/>
  <c r="U623" i="15"/>
  <c r="X623" i="15" s="1"/>
  <c r="U593" i="15"/>
  <c r="X593" i="15" s="1"/>
  <c r="W591" i="15"/>
  <c r="W590" i="15" s="1"/>
  <c r="M555" i="15"/>
  <c r="U555" i="15"/>
  <c r="W555" i="15" s="1"/>
  <c r="U722" i="15"/>
  <c r="W723" i="15"/>
  <c r="W722" i="15" s="1"/>
  <c r="U742" i="15"/>
  <c r="W743" i="15"/>
  <c r="W742" i="15" s="1"/>
  <c r="U727" i="15"/>
  <c r="W728" i="15"/>
  <c r="W727" i="15" s="1"/>
  <c r="U730" i="15"/>
  <c r="W730" i="15" s="1"/>
  <c r="U620" i="15"/>
  <c r="W621" i="15"/>
  <c r="W620" i="15" s="1"/>
  <c r="W700" i="15" l="1"/>
  <c r="X700" i="15"/>
  <c r="W623" i="15"/>
  <c r="U538" i="15"/>
  <c r="W538" i="15" s="1"/>
  <c r="L521" i="15"/>
  <c r="M521" i="15" s="1"/>
  <c r="W593" i="15"/>
  <c r="U521" i="15" l="1"/>
  <c r="W521" i="15" s="1"/>
  <c r="R82" i="15"/>
  <c r="Q82" i="15"/>
  <c r="S77" i="15"/>
  <c r="R77" i="15"/>
  <c r="Q77" i="15"/>
  <c r="P77" i="15"/>
  <c r="S11" i="15"/>
  <c r="R11" i="15"/>
  <c r="Q11" i="15"/>
  <c r="P11" i="15"/>
  <c r="O11" i="15"/>
  <c r="N11" i="15"/>
  <c r="K11" i="15"/>
  <c r="J11" i="15"/>
  <c r="I11" i="15"/>
  <c r="H11" i="15"/>
  <c r="G11" i="15"/>
  <c r="F11" i="15"/>
  <c r="C8" i="15" l="1"/>
  <c r="S2" i="15"/>
  <c r="R2" i="15"/>
  <c r="Q2" i="15"/>
  <c r="P2" i="15"/>
  <c r="O2" i="15"/>
  <c r="N2" i="15"/>
  <c r="K2" i="15"/>
  <c r="J2" i="15"/>
  <c r="I2" i="15"/>
  <c r="H2" i="15"/>
  <c r="G2" i="15"/>
  <c r="F2" i="15"/>
  <c r="F3" i="15" s="1"/>
  <c r="X577" i="13"/>
  <c r="X592" i="13"/>
  <c r="F558" i="13"/>
  <c r="F541" i="13" s="1"/>
  <c r="S562" i="13"/>
  <c r="R562" i="13"/>
  <c r="Q562" i="13"/>
  <c r="P562" i="13"/>
  <c r="O562" i="13"/>
  <c r="N562" i="13"/>
  <c r="G562" i="13"/>
  <c r="H562" i="13"/>
  <c r="I562" i="13"/>
  <c r="J562" i="13"/>
  <c r="K562" i="13"/>
  <c r="V558" i="13"/>
  <c r="S558" i="13"/>
  <c r="R558" i="13"/>
  <c r="Q558" i="13"/>
  <c r="P558" i="13"/>
  <c r="O558" i="13"/>
  <c r="N558" i="13"/>
  <c r="G558" i="13"/>
  <c r="H558" i="13"/>
  <c r="I558" i="13"/>
  <c r="J558" i="13"/>
  <c r="K558" i="13"/>
  <c r="S569" i="13"/>
  <c r="S653" i="13"/>
  <c r="S648" i="13"/>
  <c r="S646" i="13"/>
  <c r="S634" i="13"/>
  <c r="R634" i="13"/>
  <c r="Q634" i="13"/>
  <c r="P634" i="13"/>
  <c r="O634" i="13"/>
  <c r="N634" i="13"/>
  <c r="G634" i="13"/>
  <c r="H634" i="13"/>
  <c r="I634" i="13"/>
  <c r="J634" i="13"/>
  <c r="K634" i="13"/>
  <c r="S629" i="13"/>
  <c r="R629" i="13"/>
  <c r="Q629" i="13"/>
  <c r="P629" i="13"/>
  <c r="O629" i="13"/>
  <c r="N629" i="13"/>
  <c r="F629" i="13"/>
  <c r="G629" i="13"/>
  <c r="I629" i="13"/>
  <c r="J629" i="13"/>
  <c r="K629" i="13"/>
  <c r="H629" i="13"/>
  <c r="V557" i="13"/>
  <c r="T2" i="15" l="1"/>
  <c r="V632" i="13"/>
  <c r="V634" i="13"/>
  <c r="E13" i="13" l="1"/>
  <c r="H586" i="13"/>
  <c r="I586" i="13"/>
  <c r="J586" i="13"/>
  <c r="R586" i="13"/>
  <c r="Q586" i="13"/>
  <c r="P586" i="13"/>
  <c r="O586" i="13"/>
  <c r="N586" i="13"/>
  <c r="R576" i="13"/>
  <c r="Q576" i="13"/>
  <c r="P576" i="13"/>
  <c r="R571" i="13"/>
  <c r="Q571" i="13"/>
  <c r="P571" i="13"/>
  <c r="O571" i="13"/>
  <c r="N571" i="13"/>
  <c r="R648" i="13"/>
  <c r="Q648" i="13"/>
  <c r="P648" i="13"/>
  <c r="G655" i="13"/>
  <c r="R653" i="13"/>
  <c r="Q653" i="13"/>
  <c r="V663" i="13"/>
  <c r="S714" i="13"/>
  <c r="R714" i="13"/>
  <c r="Q714" i="13"/>
  <c r="P714" i="13"/>
  <c r="O714" i="13"/>
  <c r="N714" i="13"/>
  <c r="G714" i="13"/>
  <c r="H714" i="13"/>
  <c r="I714" i="13"/>
  <c r="J714" i="13"/>
  <c r="K714" i="13"/>
  <c r="F714" i="13"/>
  <c r="V710" i="13"/>
  <c r="V709" i="13"/>
  <c r="S711" i="13"/>
  <c r="R711" i="13"/>
  <c r="Q711" i="13"/>
  <c r="P711" i="13"/>
  <c r="O711" i="13"/>
  <c r="N711" i="13"/>
  <c r="G711" i="13"/>
  <c r="H711" i="13"/>
  <c r="I711" i="13"/>
  <c r="J711" i="13"/>
  <c r="K711" i="13"/>
  <c r="F711" i="13"/>
  <c r="S710" i="13"/>
  <c r="R710" i="13"/>
  <c r="Q710" i="13"/>
  <c r="P710" i="13"/>
  <c r="O710" i="13"/>
  <c r="N710" i="13"/>
  <c r="S709" i="13"/>
  <c r="R709" i="13"/>
  <c r="Q709" i="13"/>
  <c r="P709" i="13"/>
  <c r="O709" i="13"/>
  <c r="N709" i="13"/>
  <c r="G709" i="13"/>
  <c r="H709" i="13"/>
  <c r="I709" i="13"/>
  <c r="J709" i="13"/>
  <c r="K709" i="13"/>
  <c r="G710" i="13"/>
  <c r="H710" i="13"/>
  <c r="I710" i="13"/>
  <c r="J710" i="13"/>
  <c r="K710" i="13"/>
  <c r="F709" i="13"/>
  <c r="F710" i="13"/>
  <c r="F524" i="13" s="1"/>
  <c r="F18" i="13" s="1"/>
  <c r="V706" i="13"/>
  <c r="V705" i="13"/>
  <c r="V704" i="13"/>
  <c r="S706" i="13"/>
  <c r="R706" i="13"/>
  <c r="Q706" i="13"/>
  <c r="P706" i="13"/>
  <c r="O706" i="13"/>
  <c r="N706" i="13"/>
  <c r="S705" i="13"/>
  <c r="R705" i="13"/>
  <c r="Q705" i="13"/>
  <c r="P705" i="13"/>
  <c r="O705" i="13"/>
  <c r="N705" i="13"/>
  <c r="S704" i="13"/>
  <c r="R704" i="13"/>
  <c r="Q704" i="13"/>
  <c r="P704" i="13"/>
  <c r="O704" i="13"/>
  <c r="N704" i="13"/>
  <c r="G704" i="13"/>
  <c r="H704" i="13"/>
  <c r="I704" i="13"/>
  <c r="J704" i="13"/>
  <c r="K704" i="13"/>
  <c r="G705" i="13"/>
  <c r="H705" i="13"/>
  <c r="I705" i="13"/>
  <c r="J705" i="13"/>
  <c r="K705" i="13"/>
  <c r="G706" i="13"/>
  <c r="H706" i="13"/>
  <c r="I706" i="13"/>
  <c r="J706" i="13"/>
  <c r="K706" i="13"/>
  <c r="F705" i="13"/>
  <c r="F706" i="13"/>
  <c r="F704" i="13"/>
  <c r="S746" i="13"/>
  <c r="R746" i="13"/>
  <c r="Q746" i="13"/>
  <c r="P746" i="13"/>
  <c r="O746" i="13"/>
  <c r="N746" i="13"/>
  <c r="K746" i="13"/>
  <c r="J746" i="13"/>
  <c r="I746" i="13"/>
  <c r="H746" i="13"/>
  <c r="G746" i="13"/>
  <c r="F746" i="13"/>
  <c r="L746" i="13" s="1"/>
  <c r="M746" i="13" s="1"/>
  <c r="V745" i="13"/>
  <c r="V744" i="13"/>
  <c r="T744" i="13"/>
  <c r="L744" i="13"/>
  <c r="M744" i="13" s="1"/>
  <c r="S743" i="13"/>
  <c r="S747" i="13" s="1"/>
  <c r="R743" i="13"/>
  <c r="R747" i="13" s="1"/>
  <c r="Q743" i="13"/>
  <c r="Q747" i="13" s="1"/>
  <c r="P743" i="13"/>
  <c r="P747" i="13" s="1"/>
  <c r="O743" i="13"/>
  <c r="O747" i="13" s="1"/>
  <c r="N743" i="13"/>
  <c r="N747" i="13" s="1"/>
  <c r="K743" i="13"/>
  <c r="K747" i="13" s="1"/>
  <c r="J743" i="13"/>
  <c r="J747" i="13" s="1"/>
  <c r="I743" i="13"/>
  <c r="I747" i="13" s="1"/>
  <c r="H743" i="13"/>
  <c r="H747" i="13" s="1"/>
  <c r="G743" i="13"/>
  <c r="G747" i="13" s="1"/>
  <c r="F743" i="13"/>
  <c r="F747" i="13" s="1"/>
  <c r="F748" i="13" s="1"/>
  <c r="E742" i="13"/>
  <c r="V741" i="13"/>
  <c r="T741" i="13"/>
  <c r="U741" i="13" s="1"/>
  <c r="L741" i="13"/>
  <c r="M741" i="13" s="1"/>
  <c r="T740" i="13"/>
  <c r="L740" i="13"/>
  <c r="M740" i="13" s="1"/>
  <c r="T739" i="13"/>
  <c r="L739" i="13"/>
  <c r="M739" i="13" s="1"/>
  <c r="V738" i="13"/>
  <c r="V743" i="13" s="1"/>
  <c r="S738" i="13"/>
  <c r="R738" i="13"/>
  <c r="Q738" i="13"/>
  <c r="P738" i="13"/>
  <c r="O738" i="13"/>
  <c r="N738" i="13"/>
  <c r="T738" i="13" s="1"/>
  <c r="K738" i="13"/>
  <c r="J738" i="13"/>
  <c r="I738" i="13"/>
  <c r="H738" i="13"/>
  <c r="G738" i="13"/>
  <c r="F738" i="13"/>
  <c r="L738" i="13" s="1"/>
  <c r="V737" i="13"/>
  <c r="U736" i="13"/>
  <c r="T736" i="13"/>
  <c r="M736" i="13"/>
  <c r="L736" i="13"/>
  <c r="U735" i="13"/>
  <c r="T735" i="13"/>
  <c r="M735" i="13"/>
  <c r="L735" i="13"/>
  <c r="U734" i="13"/>
  <c r="T734" i="13"/>
  <c r="M734" i="13"/>
  <c r="L734" i="13"/>
  <c r="S731" i="13"/>
  <c r="R731" i="13"/>
  <c r="Q731" i="13"/>
  <c r="P731" i="13"/>
  <c r="O731" i="13"/>
  <c r="N731" i="13"/>
  <c r="K731" i="13"/>
  <c r="J731" i="13"/>
  <c r="I731" i="13"/>
  <c r="H731" i="13"/>
  <c r="G731" i="13"/>
  <c r="F731" i="13"/>
  <c r="V730" i="13"/>
  <c r="V715" i="13" s="1"/>
  <c r="V729" i="13"/>
  <c r="V714" i="13" s="1"/>
  <c r="T729" i="13"/>
  <c r="U729" i="13" s="1"/>
  <c r="W729" i="13" s="1"/>
  <c r="L729" i="13"/>
  <c r="M729" i="13" s="1"/>
  <c r="S728" i="13"/>
  <c r="S732" i="13" s="1"/>
  <c r="R728" i="13"/>
  <c r="R732" i="13" s="1"/>
  <c r="Q728" i="13"/>
  <c r="Q732" i="13" s="1"/>
  <c r="P728" i="13"/>
  <c r="P732" i="13" s="1"/>
  <c r="O728" i="13"/>
  <c r="O732" i="13" s="1"/>
  <c r="N728" i="13"/>
  <c r="N732" i="13" s="1"/>
  <c r="K728" i="13"/>
  <c r="K732" i="13" s="1"/>
  <c r="J728" i="13"/>
  <c r="J732" i="13" s="1"/>
  <c r="I728" i="13"/>
  <c r="I732" i="13" s="1"/>
  <c r="H728" i="13"/>
  <c r="H732" i="13" s="1"/>
  <c r="G728" i="13"/>
  <c r="G732" i="13" s="1"/>
  <c r="F728" i="13"/>
  <c r="F732" i="13" s="1"/>
  <c r="F733" i="13" s="1"/>
  <c r="E727" i="13"/>
  <c r="V726" i="13"/>
  <c r="T726" i="13"/>
  <c r="L726" i="13"/>
  <c r="M726" i="13" s="1"/>
  <c r="T725" i="13"/>
  <c r="L725" i="13"/>
  <c r="M725" i="13" s="1"/>
  <c r="T724" i="13"/>
  <c r="L724" i="13"/>
  <c r="M724" i="13" s="1"/>
  <c r="V723" i="13"/>
  <c r="V728" i="13" s="1"/>
  <c r="V713" i="13" s="1"/>
  <c r="S723" i="13"/>
  <c r="S708" i="13" s="1"/>
  <c r="R723" i="13"/>
  <c r="R708" i="13" s="1"/>
  <c r="Q723" i="13"/>
  <c r="Q708" i="13" s="1"/>
  <c r="P723" i="13"/>
  <c r="P708" i="13" s="1"/>
  <c r="O723" i="13"/>
  <c r="O708" i="13" s="1"/>
  <c r="N723" i="13"/>
  <c r="K723" i="13"/>
  <c r="K708" i="13" s="1"/>
  <c r="J723" i="13"/>
  <c r="J708" i="13" s="1"/>
  <c r="I723" i="13"/>
  <c r="I708" i="13" s="1"/>
  <c r="H723" i="13"/>
  <c r="H708" i="13" s="1"/>
  <c r="G723" i="13"/>
  <c r="G708" i="13" s="1"/>
  <c r="F723" i="13"/>
  <c r="V722" i="13"/>
  <c r="T721" i="13"/>
  <c r="U721" i="13" s="1"/>
  <c r="L721" i="13"/>
  <c r="M721" i="13" s="1"/>
  <c r="T720" i="13"/>
  <c r="U720" i="13" s="1"/>
  <c r="L720" i="13"/>
  <c r="M720" i="13" s="1"/>
  <c r="T719" i="13"/>
  <c r="M719" i="13"/>
  <c r="L719" i="13"/>
  <c r="U719" i="13" s="1"/>
  <c r="S701" i="13"/>
  <c r="R701" i="13"/>
  <c r="Q701" i="13"/>
  <c r="P701" i="13"/>
  <c r="O701" i="13"/>
  <c r="N701" i="13"/>
  <c r="K701" i="13"/>
  <c r="J701" i="13"/>
  <c r="I701" i="13"/>
  <c r="H701" i="13"/>
  <c r="G701" i="13"/>
  <c r="F701" i="13"/>
  <c r="F702" i="13" s="1"/>
  <c r="F703" i="13" s="1"/>
  <c r="V700" i="13"/>
  <c r="F700" i="13"/>
  <c r="V699" i="13"/>
  <c r="T699" i="13"/>
  <c r="L699" i="13"/>
  <c r="M699" i="13" s="1"/>
  <c r="S698" i="13"/>
  <c r="R698" i="13"/>
  <c r="R700" i="13" s="1"/>
  <c r="Q698" i="13"/>
  <c r="P698" i="13"/>
  <c r="P700" i="13" s="1"/>
  <c r="O698" i="13"/>
  <c r="N698" i="13"/>
  <c r="N700" i="13" s="1"/>
  <c r="K698" i="13"/>
  <c r="J698" i="13"/>
  <c r="J700" i="13" s="1"/>
  <c r="I698" i="13"/>
  <c r="H698" i="13"/>
  <c r="H700" i="13" s="1"/>
  <c r="G698" i="13"/>
  <c r="E697" i="13"/>
  <c r="V696" i="13"/>
  <c r="T696" i="13"/>
  <c r="L696" i="13"/>
  <c r="M696" i="13" s="1"/>
  <c r="T695" i="13"/>
  <c r="L695" i="13"/>
  <c r="M695" i="13" s="1"/>
  <c r="T694" i="13"/>
  <c r="L694" i="13"/>
  <c r="M694" i="13" s="1"/>
  <c r="V693" i="13"/>
  <c r="V698" i="13" s="1"/>
  <c r="S693" i="13"/>
  <c r="S632" i="13" s="1"/>
  <c r="R693" i="13"/>
  <c r="R632" i="13" s="1"/>
  <c r="Q693" i="13"/>
  <c r="Q632" i="13" s="1"/>
  <c r="P693" i="13"/>
  <c r="P632" i="13" s="1"/>
  <c r="O693" i="13"/>
  <c r="O632" i="13" s="1"/>
  <c r="N693" i="13"/>
  <c r="K693" i="13"/>
  <c r="K632" i="13" s="1"/>
  <c r="J693" i="13"/>
  <c r="J632" i="13" s="1"/>
  <c r="I693" i="13"/>
  <c r="I632" i="13" s="1"/>
  <c r="H693" i="13"/>
  <c r="H632" i="13" s="1"/>
  <c r="G693" i="13"/>
  <c r="G632" i="13" s="1"/>
  <c r="F693" i="13"/>
  <c r="U691" i="13"/>
  <c r="T691" i="13"/>
  <c r="M691" i="13"/>
  <c r="L691" i="13"/>
  <c r="U690" i="13"/>
  <c r="T690" i="13"/>
  <c r="M690" i="13"/>
  <c r="L690" i="13"/>
  <c r="U689" i="13"/>
  <c r="T689" i="13"/>
  <c r="M689" i="13"/>
  <c r="L689" i="13"/>
  <c r="S671" i="13"/>
  <c r="S672" i="13" s="1"/>
  <c r="R671" i="13"/>
  <c r="R672" i="13" s="1"/>
  <c r="Q671" i="13"/>
  <c r="P671" i="13"/>
  <c r="P672" i="13" s="1"/>
  <c r="O671" i="13"/>
  <c r="O672" i="13" s="1"/>
  <c r="J671" i="13"/>
  <c r="I671" i="13"/>
  <c r="H671" i="13"/>
  <c r="F671" i="13"/>
  <c r="S670" i="13"/>
  <c r="R670" i="13"/>
  <c r="P670" i="13"/>
  <c r="O670" i="13"/>
  <c r="N670" i="13"/>
  <c r="J670" i="13"/>
  <c r="I670" i="13"/>
  <c r="H670" i="13"/>
  <c r="G670" i="13"/>
  <c r="F670" i="13"/>
  <c r="V669" i="13"/>
  <c r="T669" i="13"/>
  <c r="U669" i="13" s="1"/>
  <c r="W669" i="13" s="1"/>
  <c r="L669" i="13"/>
  <c r="M669" i="13" s="1"/>
  <c r="Q672" i="13"/>
  <c r="L668" i="13"/>
  <c r="M668" i="13" s="1"/>
  <c r="R667" i="13"/>
  <c r="Q667" i="13"/>
  <c r="O667" i="13"/>
  <c r="N667" i="13"/>
  <c r="K667" i="13"/>
  <c r="J667" i="13"/>
  <c r="I667" i="13"/>
  <c r="H667" i="13"/>
  <c r="G667" i="13"/>
  <c r="F667" i="13"/>
  <c r="E667" i="13"/>
  <c r="V666" i="13"/>
  <c r="P667" i="13"/>
  <c r="L666" i="13"/>
  <c r="M666" i="13" s="1"/>
  <c r="V670" i="13"/>
  <c r="T665" i="13"/>
  <c r="N671" i="13"/>
  <c r="K671" i="13"/>
  <c r="G671" i="13"/>
  <c r="T664" i="13"/>
  <c r="L664" i="13"/>
  <c r="M664" i="13" s="1"/>
  <c r="V668" i="13"/>
  <c r="T663" i="13"/>
  <c r="L663" i="13"/>
  <c r="M663" i="13" s="1"/>
  <c r="V662" i="13"/>
  <c r="P662" i="13"/>
  <c r="O662" i="13"/>
  <c r="N662" i="13"/>
  <c r="K662" i="13"/>
  <c r="J662" i="13"/>
  <c r="I662" i="13"/>
  <c r="H662" i="13"/>
  <c r="G662" i="13"/>
  <c r="F662" i="13"/>
  <c r="E662" i="13"/>
  <c r="T661" i="13"/>
  <c r="Q662" i="13"/>
  <c r="L661" i="13"/>
  <c r="L662" i="13" s="1"/>
  <c r="T660" i="13"/>
  <c r="L660" i="13"/>
  <c r="T659" i="13"/>
  <c r="L659" i="13"/>
  <c r="S624" i="13"/>
  <c r="R624" i="13"/>
  <c r="Q624" i="13"/>
  <c r="P624" i="13"/>
  <c r="O624" i="13"/>
  <c r="N624" i="13"/>
  <c r="T624" i="13" s="1"/>
  <c r="K624" i="13"/>
  <c r="J624" i="13"/>
  <c r="I624" i="13"/>
  <c r="H624" i="13"/>
  <c r="G624" i="13"/>
  <c r="F624" i="13"/>
  <c r="L624" i="13" s="1"/>
  <c r="M624" i="13" s="1"/>
  <c r="V623" i="13"/>
  <c r="V622" i="13"/>
  <c r="T622" i="13"/>
  <c r="L622" i="13"/>
  <c r="M622" i="13" s="1"/>
  <c r="S621" i="13"/>
  <c r="S625" i="13" s="1"/>
  <c r="R621" i="13"/>
  <c r="R625" i="13" s="1"/>
  <c r="Q621" i="13"/>
  <c r="Q625" i="13" s="1"/>
  <c r="P621" i="13"/>
  <c r="P625" i="13" s="1"/>
  <c r="O621" i="13"/>
  <c r="O625" i="13" s="1"/>
  <c r="N621" i="13"/>
  <c r="N625" i="13" s="1"/>
  <c r="K621" i="13"/>
  <c r="K625" i="13" s="1"/>
  <c r="J621" i="13"/>
  <c r="J625" i="13" s="1"/>
  <c r="I621" i="13"/>
  <c r="I625" i="13" s="1"/>
  <c r="H621" i="13"/>
  <c r="H625" i="13" s="1"/>
  <c r="G621" i="13"/>
  <c r="G625" i="13" s="1"/>
  <c r="F621" i="13"/>
  <c r="F623" i="13" s="1"/>
  <c r="E620" i="13"/>
  <c r="V619" i="13"/>
  <c r="T619" i="13"/>
  <c r="L619" i="13"/>
  <c r="M619" i="13" s="1"/>
  <c r="T618" i="13"/>
  <c r="L618" i="13"/>
  <c r="M618" i="13" s="1"/>
  <c r="T617" i="13"/>
  <c r="L617" i="13"/>
  <c r="M617" i="13" s="1"/>
  <c r="V616" i="13"/>
  <c r="V621" i="13" s="1"/>
  <c r="S616" i="13"/>
  <c r="S555" i="13" s="1"/>
  <c r="R616" i="13"/>
  <c r="R555" i="13" s="1"/>
  <c r="Q616" i="13"/>
  <c r="Q555" i="13" s="1"/>
  <c r="P616" i="13"/>
  <c r="P555" i="13" s="1"/>
  <c r="O616" i="13"/>
  <c r="O555" i="13" s="1"/>
  <c r="N616" i="13"/>
  <c r="K616" i="13"/>
  <c r="K555" i="13" s="1"/>
  <c r="J616" i="13"/>
  <c r="J555" i="13" s="1"/>
  <c r="I616" i="13"/>
  <c r="I555" i="13" s="1"/>
  <c r="H616" i="13"/>
  <c r="H555" i="13" s="1"/>
  <c r="G616" i="13"/>
  <c r="G555" i="13" s="1"/>
  <c r="F616" i="13"/>
  <c r="L616" i="13" s="1"/>
  <c r="V615" i="13"/>
  <c r="T614" i="13"/>
  <c r="L614" i="13"/>
  <c r="M614" i="13" s="1"/>
  <c r="T613" i="13"/>
  <c r="L613" i="13"/>
  <c r="M613" i="13" s="1"/>
  <c r="T612" i="13"/>
  <c r="L612" i="13"/>
  <c r="M612" i="13" s="1"/>
  <c r="S594" i="13"/>
  <c r="R594" i="13"/>
  <c r="Q594" i="13"/>
  <c r="P594" i="13"/>
  <c r="O594" i="13"/>
  <c r="N594" i="13"/>
  <c r="K594" i="13"/>
  <c r="J594" i="13"/>
  <c r="I594" i="13"/>
  <c r="H594" i="13"/>
  <c r="G594" i="13"/>
  <c r="F594" i="13"/>
  <c r="L594" i="13" s="1"/>
  <c r="M594" i="13" s="1"/>
  <c r="V593" i="13"/>
  <c r="V592" i="13"/>
  <c r="T592" i="13"/>
  <c r="L592" i="13"/>
  <c r="M592" i="13" s="1"/>
  <c r="S595" i="13"/>
  <c r="R591" i="13"/>
  <c r="R593" i="13" s="1"/>
  <c r="Q591" i="13"/>
  <c r="Q595" i="13" s="1"/>
  <c r="P591" i="13"/>
  <c r="P593" i="13" s="1"/>
  <c r="O595" i="13"/>
  <c r="N593" i="13"/>
  <c r="K595" i="13"/>
  <c r="J591" i="13"/>
  <c r="J593" i="13" s="1"/>
  <c r="I591" i="13"/>
  <c r="I595" i="13" s="1"/>
  <c r="H593" i="13"/>
  <c r="G595" i="13"/>
  <c r="F593" i="13"/>
  <c r="E590" i="13"/>
  <c r="V589" i="13"/>
  <c r="T589" i="13"/>
  <c r="L589" i="13"/>
  <c r="M589" i="13" s="1"/>
  <c r="T588" i="13"/>
  <c r="L588" i="13"/>
  <c r="M588" i="13" s="1"/>
  <c r="T587" i="13"/>
  <c r="L587" i="13"/>
  <c r="M587" i="13" s="1"/>
  <c r="V586" i="13"/>
  <c r="T586" i="13"/>
  <c r="T584" i="13"/>
  <c r="L584" i="13"/>
  <c r="T583" i="13"/>
  <c r="L583" i="13"/>
  <c r="T582" i="13"/>
  <c r="L582" i="13"/>
  <c r="M582" i="13" s="1"/>
  <c r="R510" i="13"/>
  <c r="Q510" i="13"/>
  <c r="G512" i="13"/>
  <c r="H512" i="13"/>
  <c r="I512" i="13"/>
  <c r="J512" i="13"/>
  <c r="K512" i="13"/>
  <c r="F512" i="13"/>
  <c r="R505" i="13"/>
  <c r="Q505" i="13"/>
  <c r="P505" i="13"/>
  <c r="S503" i="13"/>
  <c r="S505" i="13" s="1"/>
  <c r="S488" i="13"/>
  <c r="S490" i="13" s="1"/>
  <c r="R488" i="13"/>
  <c r="R490" i="13" s="1"/>
  <c r="Q488" i="13"/>
  <c r="Q490" i="13" s="1"/>
  <c r="P488" i="13"/>
  <c r="P490" i="13" s="1"/>
  <c r="R495" i="13"/>
  <c r="Q495" i="13"/>
  <c r="S435" i="13"/>
  <c r="Q430" i="13"/>
  <c r="P430" i="13"/>
  <c r="S373" i="13"/>
  <c r="R373" i="13"/>
  <c r="Q373" i="13"/>
  <c r="S368" i="13"/>
  <c r="P368" i="13"/>
  <c r="S137" i="13"/>
  <c r="R142" i="13"/>
  <c r="Q142" i="13"/>
  <c r="P142" i="13"/>
  <c r="O142" i="13"/>
  <c r="N142" i="13"/>
  <c r="R137" i="13"/>
  <c r="Q137" i="13"/>
  <c r="P137" i="13"/>
  <c r="O137" i="13"/>
  <c r="N137" i="13"/>
  <c r="R97" i="13"/>
  <c r="Q97" i="13"/>
  <c r="P97" i="13"/>
  <c r="O97" i="13"/>
  <c r="R92" i="13"/>
  <c r="Q92" i="13"/>
  <c r="P92" i="13"/>
  <c r="O92" i="13"/>
  <c r="N92" i="13"/>
  <c r="R82" i="13"/>
  <c r="Q82" i="13"/>
  <c r="S80" i="13"/>
  <c r="S77" i="13"/>
  <c r="R77" i="13"/>
  <c r="Q77" i="13"/>
  <c r="P77" i="13"/>
  <c r="W721" i="13" l="1"/>
  <c r="G672" i="13"/>
  <c r="F672" i="13"/>
  <c r="F673" i="13" s="1"/>
  <c r="I672" i="13"/>
  <c r="L693" i="13"/>
  <c r="F632" i="13"/>
  <c r="L632" i="13" s="1"/>
  <c r="M632" i="13" s="1"/>
  <c r="T693" i="13"/>
  <c r="N632" i="13"/>
  <c r="T632" i="13" s="1"/>
  <c r="U632" i="13" s="1"/>
  <c r="W632" i="13" s="1"/>
  <c r="T746" i="13"/>
  <c r="H672" i="13"/>
  <c r="J672" i="13"/>
  <c r="V692" i="13"/>
  <c r="G702" i="13"/>
  <c r="G703" i="13" s="1"/>
  <c r="I702" i="13"/>
  <c r="K702" i="13"/>
  <c r="O702" i="13"/>
  <c r="Q702" i="13"/>
  <c r="S702" i="13"/>
  <c r="U699" i="13"/>
  <c r="T701" i="13"/>
  <c r="L723" i="13"/>
  <c r="T723" i="13"/>
  <c r="U724" i="13"/>
  <c r="U725" i="13"/>
  <c r="U726" i="13"/>
  <c r="X726" i="13" s="1"/>
  <c r="W736" i="13"/>
  <c r="X741" i="13"/>
  <c r="U740" i="13"/>
  <c r="K538" i="13"/>
  <c r="K521" i="13" s="1"/>
  <c r="I538" i="13"/>
  <c r="I521" i="13" s="1"/>
  <c r="G538" i="13"/>
  <c r="G521" i="13" s="1"/>
  <c r="O538" i="13"/>
  <c r="O521" i="13" s="1"/>
  <c r="Q538" i="13"/>
  <c r="Q521" i="13" s="1"/>
  <c r="S538" i="13"/>
  <c r="S521" i="13" s="1"/>
  <c r="T616" i="13"/>
  <c r="N555" i="13"/>
  <c r="U618" i="13"/>
  <c r="J538" i="13"/>
  <c r="J521" i="13" s="1"/>
  <c r="H538" i="13"/>
  <c r="H521" i="13" s="1"/>
  <c r="N538" i="13"/>
  <c r="N521" i="13" s="1"/>
  <c r="P538" i="13"/>
  <c r="P521" i="13" s="1"/>
  <c r="R538" i="13"/>
  <c r="R521" i="13" s="1"/>
  <c r="T594" i="13"/>
  <c r="T538" i="13"/>
  <c r="L586" i="13"/>
  <c r="L585" i="13" s="1"/>
  <c r="F555" i="13"/>
  <c r="F538" i="13"/>
  <c r="F521" i="13" s="1"/>
  <c r="V585" i="13"/>
  <c r="V555" i="13"/>
  <c r="V538" i="13"/>
  <c r="V521" i="13" s="1"/>
  <c r="W726" i="13"/>
  <c r="L731" i="13"/>
  <c r="M731" i="13" s="1"/>
  <c r="T731" i="13"/>
  <c r="V708" i="13"/>
  <c r="K713" i="13"/>
  <c r="I713" i="13"/>
  <c r="G713" i="13"/>
  <c r="O713" i="13"/>
  <c r="Q713" i="13"/>
  <c r="S713" i="13"/>
  <c r="U583" i="13"/>
  <c r="U584" i="13"/>
  <c r="U617" i="13"/>
  <c r="U619" i="13"/>
  <c r="W619" i="13" s="1"/>
  <c r="U694" i="13"/>
  <c r="U695" i="13"/>
  <c r="U696" i="13"/>
  <c r="W696" i="13" s="1"/>
  <c r="U739" i="13"/>
  <c r="G748" i="13"/>
  <c r="U744" i="13"/>
  <c r="W744" i="13" s="1"/>
  <c r="F708" i="13"/>
  <c r="N708" i="13"/>
  <c r="V711" i="13"/>
  <c r="F713" i="13"/>
  <c r="J713" i="13"/>
  <c r="H713" i="13"/>
  <c r="N713" i="13"/>
  <c r="P713" i="13"/>
  <c r="R713" i="13"/>
  <c r="T521" i="13"/>
  <c r="U588" i="13"/>
  <c r="U659" i="13"/>
  <c r="U660" i="13"/>
  <c r="U664" i="13"/>
  <c r="X669" i="13" s="1"/>
  <c r="M659" i="13"/>
  <c r="M660" i="13"/>
  <c r="M661" i="13"/>
  <c r="U661" i="13"/>
  <c r="M662" i="13"/>
  <c r="T737" i="13"/>
  <c r="U738" i="13"/>
  <c r="W741" i="13"/>
  <c r="H748" i="13"/>
  <c r="I748" i="13" s="1"/>
  <c r="J748" i="13" s="1"/>
  <c r="K748" i="13" s="1"/>
  <c r="N748" i="13" s="1"/>
  <c r="O748" i="13" s="1"/>
  <c r="P748" i="13" s="1"/>
  <c r="Q748" i="13" s="1"/>
  <c r="R748" i="13" s="1"/>
  <c r="S748" i="13" s="1"/>
  <c r="U746" i="13"/>
  <c r="L737" i="13"/>
  <c r="M738" i="13"/>
  <c r="M737" i="13" s="1"/>
  <c r="V746" i="13"/>
  <c r="V742" i="13"/>
  <c r="W738" i="13"/>
  <c r="W737" i="13" s="1"/>
  <c r="L743" i="13"/>
  <c r="T743" i="13"/>
  <c r="F745" i="13"/>
  <c r="H745" i="13"/>
  <c r="J745" i="13"/>
  <c r="N745" i="13"/>
  <c r="P745" i="13"/>
  <c r="R745" i="13"/>
  <c r="G745" i="13"/>
  <c r="I745" i="13"/>
  <c r="K745" i="13"/>
  <c r="O745" i="13"/>
  <c r="Q745" i="13"/>
  <c r="S745" i="13"/>
  <c r="U731" i="13"/>
  <c r="L722" i="13"/>
  <c r="M723" i="13"/>
  <c r="M722" i="13" s="1"/>
  <c r="T722" i="13"/>
  <c r="U723" i="13"/>
  <c r="V731" i="13"/>
  <c r="V727" i="13"/>
  <c r="G733" i="13"/>
  <c r="H733" i="13" s="1"/>
  <c r="I733" i="13" s="1"/>
  <c r="J733" i="13" s="1"/>
  <c r="K733" i="13" s="1"/>
  <c r="N733" i="13" s="1"/>
  <c r="O733" i="13" s="1"/>
  <c r="P733" i="13" s="1"/>
  <c r="Q733" i="13" s="1"/>
  <c r="R733" i="13" s="1"/>
  <c r="S733" i="13" s="1"/>
  <c r="W723" i="13"/>
  <c r="W722" i="13" s="1"/>
  <c r="L728" i="13"/>
  <c r="T728" i="13"/>
  <c r="F730" i="13"/>
  <c r="F715" i="13" s="1"/>
  <c r="H730" i="13"/>
  <c r="J730" i="13"/>
  <c r="J715" i="13" s="1"/>
  <c r="N730" i="13"/>
  <c r="P730" i="13"/>
  <c r="P715" i="13" s="1"/>
  <c r="R730" i="13"/>
  <c r="G730" i="13"/>
  <c r="G715" i="13" s="1"/>
  <c r="I730" i="13"/>
  <c r="K730" i="13"/>
  <c r="K715" i="13" s="1"/>
  <c r="O730" i="13"/>
  <c r="Q730" i="13"/>
  <c r="Q715" i="13" s="1"/>
  <c r="S730" i="13"/>
  <c r="L692" i="13"/>
  <c r="M693" i="13"/>
  <c r="M692" i="13" s="1"/>
  <c r="T692" i="13"/>
  <c r="U693" i="13"/>
  <c r="V697" i="13"/>
  <c r="V701" i="13"/>
  <c r="W695" i="13"/>
  <c r="W699" i="13"/>
  <c r="W691" i="13"/>
  <c r="W693" i="13"/>
  <c r="L698" i="13"/>
  <c r="T698" i="13"/>
  <c r="G700" i="13"/>
  <c r="I700" i="13"/>
  <c r="K700" i="13"/>
  <c r="O700" i="13"/>
  <c r="Q700" i="13"/>
  <c r="S700" i="13"/>
  <c r="L701" i="13"/>
  <c r="M701" i="13" s="1"/>
  <c r="H702" i="13"/>
  <c r="H703" i="13" s="1"/>
  <c r="I703" i="13" s="1"/>
  <c r="J702" i="13"/>
  <c r="N702" i="13"/>
  <c r="P702" i="13"/>
  <c r="R702" i="13"/>
  <c r="W661" i="13"/>
  <c r="U663" i="13"/>
  <c r="T662" i="13"/>
  <c r="V667" i="13"/>
  <c r="V671" i="13"/>
  <c r="M667" i="13"/>
  <c r="N672" i="13"/>
  <c r="T671" i="13"/>
  <c r="K672" i="13"/>
  <c r="T666" i="13"/>
  <c r="U666" i="13" s="1"/>
  <c r="L667" i="13"/>
  <c r="K670" i="13"/>
  <c r="L670" i="13" s="1"/>
  <c r="M670" i="13" s="1"/>
  <c r="Q670" i="13"/>
  <c r="T670" i="13" s="1"/>
  <c r="L671" i="13"/>
  <c r="M671" i="13" s="1"/>
  <c r="W663" i="13"/>
  <c r="L665" i="13"/>
  <c r="M665" i="13" s="1"/>
  <c r="T668" i="13"/>
  <c r="U587" i="13"/>
  <c r="W587" i="13" s="1"/>
  <c r="U589" i="13"/>
  <c r="W589" i="13" s="1"/>
  <c r="U592" i="13"/>
  <c r="U612" i="13"/>
  <c r="U613" i="13"/>
  <c r="U614" i="13"/>
  <c r="X619" i="13" s="1"/>
  <c r="U622" i="13"/>
  <c r="H623" i="13"/>
  <c r="N623" i="13"/>
  <c r="R623" i="13"/>
  <c r="U582" i="13"/>
  <c r="M584" i="13"/>
  <c r="W592" i="13"/>
  <c r="J623" i="13"/>
  <c r="P623" i="13"/>
  <c r="W614" i="13"/>
  <c r="M616" i="13"/>
  <c r="M615" i="13" s="1"/>
  <c r="L615" i="13"/>
  <c r="U616" i="13"/>
  <c r="T615" i="13"/>
  <c r="V624" i="13"/>
  <c r="V620" i="13"/>
  <c r="W618" i="13"/>
  <c r="U624" i="13"/>
  <c r="W622" i="13"/>
  <c r="L621" i="13"/>
  <c r="T621" i="13"/>
  <c r="G623" i="13"/>
  <c r="I623" i="13"/>
  <c r="K623" i="13"/>
  <c r="O623" i="13"/>
  <c r="Q623" i="13"/>
  <c r="S623" i="13"/>
  <c r="F625" i="13"/>
  <c r="F626" i="13" s="1"/>
  <c r="G626" i="13" s="1"/>
  <c r="H626" i="13" s="1"/>
  <c r="I626" i="13" s="1"/>
  <c r="J626" i="13" s="1"/>
  <c r="K626" i="13" s="1"/>
  <c r="N626" i="13" s="1"/>
  <c r="O626" i="13" s="1"/>
  <c r="P626" i="13" s="1"/>
  <c r="Q626" i="13" s="1"/>
  <c r="R626" i="13" s="1"/>
  <c r="S626" i="13" s="1"/>
  <c r="U594" i="13"/>
  <c r="M586" i="13"/>
  <c r="M585" i="13" s="1"/>
  <c r="T585" i="13"/>
  <c r="W588" i="13"/>
  <c r="M583" i="13"/>
  <c r="L591" i="13"/>
  <c r="T591" i="13"/>
  <c r="V591" i="13"/>
  <c r="G593" i="13"/>
  <c r="I593" i="13"/>
  <c r="K593" i="13"/>
  <c r="O593" i="13"/>
  <c r="Q593" i="13"/>
  <c r="S593" i="13"/>
  <c r="F595" i="13"/>
  <c r="F596" i="13" s="1"/>
  <c r="G596" i="13" s="1"/>
  <c r="H595" i="13"/>
  <c r="J595" i="13"/>
  <c r="N595" i="13"/>
  <c r="P595" i="13"/>
  <c r="R595" i="13"/>
  <c r="S493" i="13"/>
  <c r="S495" i="13" s="1"/>
  <c r="S11" i="13"/>
  <c r="R11" i="13"/>
  <c r="Q11" i="13"/>
  <c r="P11" i="13"/>
  <c r="O11" i="13"/>
  <c r="N11" i="13"/>
  <c r="K11" i="13"/>
  <c r="J11" i="13"/>
  <c r="I11" i="13"/>
  <c r="H11" i="13"/>
  <c r="G11" i="13"/>
  <c r="F11" i="13"/>
  <c r="S2" i="13"/>
  <c r="R2" i="13"/>
  <c r="Q2" i="13"/>
  <c r="P2" i="13"/>
  <c r="O2" i="13"/>
  <c r="N2" i="13"/>
  <c r="K2" i="13"/>
  <c r="J2" i="13"/>
  <c r="I2" i="13"/>
  <c r="H2" i="13"/>
  <c r="G2" i="13"/>
  <c r="F2" i="13"/>
  <c r="F3" i="13" s="1"/>
  <c r="C7" i="13"/>
  <c r="V558" i="11"/>
  <c r="S558" i="11"/>
  <c r="R558" i="11"/>
  <c r="Q558" i="11"/>
  <c r="P558" i="11"/>
  <c r="O558" i="11"/>
  <c r="N558" i="11"/>
  <c r="G558" i="11"/>
  <c r="H558" i="11"/>
  <c r="I558" i="11"/>
  <c r="J558" i="11"/>
  <c r="K558" i="11"/>
  <c r="F558" i="11"/>
  <c r="N586" i="11"/>
  <c r="O586" i="11"/>
  <c r="P586" i="11"/>
  <c r="Q586" i="11"/>
  <c r="R586" i="11"/>
  <c r="S713" i="11"/>
  <c r="R713" i="11"/>
  <c r="P713" i="11"/>
  <c r="F711" i="11"/>
  <c r="S710" i="11"/>
  <c r="R710" i="11"/>
  <c r="Q710" i="11"/>
  <c r="P710" i="11"/>
  <c r="O710" i="11"/>
  <c r="N710" i="11"/>
  <c r="G710" i="11"/>
  <c r="H710" i="11"/>
  <c r="I710" i="11"/>
  <c r="J710" i="11"/>
  <c r="K710" i="11"/>
  <c r="F710" i="11"/>
  <c r="V710" i="11"/>
  <c r="S708" i="11"/>
  <c r="O706" i="11"/>
  <c r="P706" i="11"/>
  <c r="Q706" i="11"/>
  <c r="R706" i="11"/>
  <c r="S706" i="11"/>
  <c r="N706" i="11"/>
  <c r="R708" i="11"/>
  <c r="Q708" i="11"/>
  <c r="P708" i="11"/>
  <c r="G708" i="11"/>
  <c r="H708" i="11"/>
  <c r="F708" i="11"/>
  <c r="F706" i="11"/>
  <c r="S92" i="11"/>
  <c r="R92" i="11"/>
  <c r="Q92" i="11"/>
  <c r="P92" i="11"/>
  <c r="O92" i="11"/>
  <c r="N92" i="11"/>
  <c r="R97" i="11"/>
  <c r="Q97" i="11"/>
  <c r="P97" i="11"/>
  <c r="O97" i="11"/>
  <c r="S743" i="11"/>
  <c r="R743" i="11"/>
  <c r="Q743" i="11"/>
  <c r="P743" i="11"/>
  <c r="O713" i="11"/>
  <c r="L739" i="11"/>
  <c r="U739" i="11" s="1"/>
  <c r="W739" i="11" s="1"/>
  <c r="O708" i="11"/>
  <c r="P738" i="11"/>
  <c r="Q738" i="11"/>
  <c r="R738" i="11"/>
  <c r="S738" i="11"/>
  <c r="I708" i="11"/>
  <c r="P735" i="11"/>
  <c r="T735" i="11" s="1"/>
  <c r="K723" i="11"/>
  <c r="J723" i="11"/>
  <c r="I723" i="11"/>
  <c r="H723" i="11"/>
  <c r="G723" i="11"/>
  <c r="F723" i="11"/>
  <c r="K728" i="11"/>
  <c r="J728" i="11"/>
  <c r="J730" i="11" s="1"/>
  <c r="I728" i="11"/>
  <c r="H728" i="11"/>
  <c r="H730" i="11" s="1"/>
  <c r="G728" i="11"/>
  <c r="F728" i="11"/>
  <c r="F730" i="11" s="1"/>
  <c r="L730" i="11" s="1"/>
  <c r="M730" i="11" s="1"/>
  <c r="O728" i="11"/>
  <c r="Q713" i="11"/>
  <c r="R728" i="11"/>
  <c r="S728" i="11"/>
  <c r="V706" i="11"/>
  <c r="S707" i="11"/>
  <c r="R707" i="11"/>
  <c r="Q707" i="11"/>
  <c r="P707" i="11"/>
  <c r="S711" i="11"/>
  <c r="R711" i="11"/>
  <c r="Q711" i="11"/>
  <c r="P711" i="11"/>
  <c r="O711" i="11"/>
  <c r="N711" i="11"/>
  <c r="G711" i="11"/>
  <c r="H711" i="11"/>
  <c r="I711" i="11"/>
  <c r="J711" i="11"/>
  <c r="K711" i="11"/>
  <c r="S705" i="11"/>
  <c r="R705" i="11"/>
  <c r="Q705" i="11"/>
  <c r="O705" i="11"/>
  <c r="N705" i="11"/>
  <c r="S704" i="11"/>
  <c r="R704" i="11"/>
  <c r="Q704" i="11"/>
  <c r="P704" i="11"/>
  <c r="O704" i="11"/>
  <c r="N704" i="11"/>
  <c r="G704" i="11"/>
  <c r="H704" i="11"/>
  <c r="I704" i="11"/>
  <c r="J704" i="11"/>
  <c r="K704" i="11"/>
  <c r="G705" i="11"/>
  <c r="H705" i="11"/>
  <c r="I705" i="11"/>
  <c r="J705" i="11"/>
  <c r="K705" i="11"/>
  <c r="G706" i="11"/>
  <c r="H706" i="11"/>
  <c r="I706" i="11"/>
  <c r="J706" i="11"/>
  <c r="K706" i="11"/>
  <c r="F705" i="11"/>
  <c r="F704" i="11"/>
  <c r="K621" i="11"/>
  <c r="J621" i="11"/>
  <c r="I621" i="11"/>
  <c r="H621" i="11"/>
  <c r="G621" i="11"/>
  <c r="F621" i="11"/>
  <c r="S621" i="11"/>
  <c r="R621" i="11"/>
  <c r="Q621" i="11"/>
  <c r="P621" i="11"/>
  <c r="O621" i="11"/>
  <c r="N621" i="11"/>
  <c r="S616" i="11"/>
  <c r="R616" i="11"/>
  <c r="Q616" i="11"/>
  <c r="P616" i="11"/>
  <c r="O616" i="11"/>
  <c r="N616" i="11"/>
  <c r="G616" i="11"/>
  <c r="H616" i="11"/>
  <c r="I616" i="11"/>
  <c r="J616" i="11"/>
  <c r="K616" i="11"/>
  <c r="F616" i="11"/>
  <c r="F555" i="11" s="1"/>
  <c r="R576" i="11"/>
  <c r="Q576" i="11"/>
  <c r="R571" i="11"/>
  <c r="Q571" i="11"/>
  <c r="P571" i="11"/>
  <c r="R555" i="11"/>
  <c r="N555" i="11"/>
  <c r="G555" i="11"/>
  <c r="H555" i="11"/>
  <c r="I555" i="11"/>
  <c r="J555" i="11"/>
  <c r="K555" i="11"/>
  <c r="S746" i="11"/>
  <c r="R746" i="11"/>
  <c r="Q746" i="11"/>
  <c r="K746" i="11"/>
  <c r="K747" i="11" s="1"/>
  <c r="J746" i="11"/>
  <c r="J747" i="11" s="1"/>
  <c r="I746" i="11"/>
  <c r="H746" i="11"/>
  <c r="G746" i="11"/>
  <c r="F746" i="11"/>
  <c r="V745" i="11"/>
  <c r="P745" i="11"/>
  <c r="O745" i="11"/>
  <c r="N745" i="11"/>
  <c r="K745" i="11"/>
  <c r="J745" i="11"/>
  <c r="V744" i="11"/>
  <c r="T744" i="11"/>
  <c r="U744" i="11" s="1"/>
  <c r="L744" i="11"/>
  <c r="M744" i="11" s="1"/>
  <c r="S747" i="11"/>
  <c r="R745" i="11"/>
  <c r="Q747" i="11"/>
  <c r="E742" i="11"/>
  <c r="V741" i="11"/>
  <c r="T741" i="11"/>
  <c r="L741" i="11"/>
  <c r="M741" i="11" s="1"/>
  <c r="P746" i="11"/>
  <c r="P747" i="11" s="1"/>
  <c r="O746" i="11"/>
  <c r="O747" i="11" s="1"/>
  <c r="T740" i="11"/>
  <c r="L740" i="11"/>
  <c r="M740" i="11" s="1"/>
  <c r="T739" i="11"/>
  <c r="V738" i="11"/>
  <c r="V743" i="11" s="1"/>
  <c r="E737" i="11"/>
  <c r="T736" i="11"/>
  <c r="L736" i="11"/>
  <c r="L735" i="11"/>
  <c r="M735" i="11" s="1"/>
  <c r="T734" i="11"/>
  <c r="L734" i="11"/>
  <c r="M734" i="11" s="1"/>
  <c r="S731" i="11"/>
  <c r="R731" i="11"/>
  <c r="Q731" i="11"/>
  <c r="K731" i="11"/>
  <c r="K732" i="11" s="1"/>
  <c r="J731" i="11"/>
  <c r="I731" i="11"/>
  <c r="I732" i="11" s="1"/>
  <c r="H731" i="11"/>
  <c r="G731" i="11"/>
  <c r="G732" i="11" s="1"/>
  <c r="F731" i="11"/>
  <c r="V730" i="11"/>
  <c r="P730" i="11"/>
  <c r="O730" i="11"/>
  <c r="N730" i="11"/>
  <c r="K730" i="11"/>
  <c r="I730" i="11"/>
  <c r="G730" i="11"/>
  <c r="V729" i="11"/>
  <c r="T729" i="11"/>
  <c r="U729" i="11" s="1"/>
  <c r="L729" i="11"/>
  <c r="M729" i="11" s="1"/>
  <c r="S732" i="11"/>
  <c r="R730" i="11"/>
  <c r="Q732" i="11"/>
  <c r="L728" i="11"/>
  <c r="M728" i="11" s="1"/>
  <c r="E727" i="11"/>
  <c r="V726" i="11"/>
  <c r="T726" i="11"/>
  <c r="U726" i="11" s="1"/>
  <c r="L726" i="11"/>
  <c r="M726" i="11" s="1"/>
  <c r="P731" i="11"/>
  <c r="P732" i="11" s="1"/>
  <c r="O731" i="11"/>
  <c r="O732" i="11" s="1"/>
  <c r="T725" i="11"/>
  <c r="L725" i="11"/>
  <c r="M725" i="11" s="1"/>
  <c r="T724" i="11"/>
  <c r="M724" i="11"/>
  <c r="L724" i="11"/>
  <c r="U724" i="11" s="1"/>
  <c r="W724" i="11" s="1"/>
  <c r="V723" i="11"/>
  <c r="V728" i="11" s="1"/>
  <c r="L723" i="11"/>
  <c r="M723" i="11" s="1"/>
  <c r="V722" i="11"/>
  <c r="E722" i="11"/>
  <c r="T721" i="11"/>
  <c r="U721" i="11" s="1"/>
  <c r="L721" i="11"/>
  <c r="L722" i="11" s="1"/>
  <c r="T720" i="11"/>
  <c r="U720" i="11" s="1"/>
  <c r="L720" i="11"/>
  <c r="M720" i="11" s="1"/>
  <c r="T719" i="11"/>
  <c r="L719" i="11"/>
  <c r="M719" i="11" s="1"/>
  <c r="S701" i="11"/>
  <c r="R701" i="11"/>
  <c r="Q701" i="11"/>
  <c r="P701" i="11"/>
  <c r="O701" i="11"/>
  <c r="N701" i="11"/>
  <c r="T701" i="11" s="1"/>
  <c r="K701" i="11"/>
  <c r="J701" i="11"/>
  <c r="I701" i="11"/>
  <c r="H701" i="11"/>
  <c r="G701" i="11"/>
  <c r="F701" i="11"/>
  <c r="L701" i="11" s="1"/>
  <c r="M701" i="11" s="1"/>
  <c r="V700" i="11"/>
  <c r="V699" i="11"/>
  <c r="T699" i="11"/>
  <c r="L699" i="11"/>
  <c r="M699" i="11" s="1"/>
  <c r="S698" i="11"/>
  <c r="S702" i="11" s="1"/>
  <c r="R698" i="11"/>
  <c r="R700" i="11" s="1"/>
  <c r="Q698" i="11"/>
  <c r="Q702" i="11" s="1"/>
  <c r="P698" i="11"/>
  <c r="P700" i="11" s="1"/>
  <c r="O698" i="11"/>
  <c r="O702" i="11" s="1"/>
  <c r="N698" i="11"/>
  <c r="N700" i="11" s="1"/>
  <c r="K698" i="11"/>
  <c r="K702" i="11" s="1"/>
  <c r="J698" i="11"/>
  <c r="J700" i="11" s="1"/>
  <c r="I698" i="11"/>
  <c r="I702" i="11" s="1"/>
  <c r="H698" i="11"/>
  <c r="H700" i="11" s="1"/>
  <c r="G698" i="11"/>
  <c r="G702" i="11" s="1"/>
  <c r="F698" i="11"/>
  <c r="F700" i="11" s="1"/>
  <c r="E697" i="11"/>
  <c r="V696" i="11"/>
  <c r="T696" i="11"/>
  <c r="U696" i="11" s="1"/>
  <c r="W696" i="11" s="1"/>
  <c r="L696" i="11"/>
  <c r="M696" i="11" s="1"/>
  <c r="T695" i="11"/>
  <c r="U695" i="11" s="1"/>
  <c r="L695" i="11"/>
  <c r="M695" i="11" s="1"/>
  <c r="T694" i="11"/>
  <c r="U694" i="11" s="1"/>
  <c r="L694" i="11"/>
  <c r="M694" i="11" s="1"/>
  <c r="V693" i="11"/>
  <c r="S693" i="11"/>
  <c r="R693" i="11"/>
  <c r="Q693" i="11"/>
  <c r="P693" i="11"/>
  <c r="O693" i="11"/>
  <c r="N693" i="11"/>
  <c r="T693" i="11" s="1"/>
  <c r="K693" i="11"/>
  <c r="J693" i="11"/>
  <c r="I693" i="11"/>
  <c r="H693" i="11"/>
  <c r="G693" i="11"/>
  <c r="F693" i="11"/>
  <c r="L693" i="11" s="1"/>
  <c r="V692" i="11"/>
  <c r="T691" i="11"/>
  <c r="M691" i="11"/>
  <c r="L691" i="11"/>
  <c r="U691" i="11" s="1"/>
  <c r="T690" i="11"/>
  <c r="U690" i="11" s="1"/>
  <c r="W690" i="11" s="1"/>
  <c r="L690" i="11"/>
  <c r="M690" i="11" s="1"/>
  <c r="U689" i="11"/>
  <c r="W689" i="11" s="1"/>
  <c r="T689" i="11"/>
  <c r="M689" i="11"/>
  <c r="L689" i="11"/>
  <c r="S671" i="11"/>
  <c r="R671" i="11"/>
  <c r="Q671" i="11"/>
  <c r="P671" i="11"/>
  <c r="O671" i="11"/>
  <c r="N671" i="11"/>
  <c r="K671" i="11"/>
  <c r="J671" i="11"/>
  <c r="I671" i="11"/>
  <c r="H671" i="11"/>
  <c r="G671" i="11"/>
  <c r="F671" i="11"/>
  <c r="V670" i="11"/>
  <c r="V669" i="11"/>
  <c r="T669" i="11"/>
  <c r="L669" i="11"/>
  <c r="M669" i="11" s="1"/>
  <c r="S668" i="11"/>
  <c r="S672" i="11" s="1"/>
  <c r="R668" i="11"/>
  <c r="R670" i="11" s="1"/>
  <c r="Q668" i="11"/>
  <c r="Q672" i="11" s="1"/>
  <c r="P668" i="11"/>
  <c r="P670" i="11" s="1"/>
  <c r="O668" i="11"/>
  <c r="O672" i="11" s="1"/>
  <c r="N668" i="11"/>
  <c r="N670" i="11" s="1"/>
  <c r="K668" i="11"/>
  <c r="K672" i="11" s="1"/>
  <c r="J668" i="11"/>
  <c r="J670" i="11" s="1"/>
  <c r="I668" i="11"/>
  <c r="I672" i="11" s="1"/>
  <c r="H668" i="11"/>
  <c r="H670" i="11" s="1"/>
  <c r="G668" i="11"/>
  <c r="G672" i="11" s="1"/>
  <c r="F668" i="11"/>
  <c r="F670" i="11" s="1"/>
  <c r="E667" i="11"/>
  <c r="V666" i="11"/>
  <c r="T666" i="11"/>
  <c r="U666" i="11" s="1"/>
  <c r="W666" i="11" s="1"/>
  <c r="L666" i="11"/>
  <c r="M666" i="11" s="1"/>
  <c r="T665" i="11"/>
  <c r="U665" i="11" s="1"/>
  <c r="L665" i="11"/>
  <c r="M665" i="11" s="1"/>
  <c r="T664" i="11"/>
  <c r="M664" i="11"/>
  <c r="L664" i="11"/>
  <c r="U664" i="11" s="1"/>
  <c r="V663" i="11"/>
  <c r="V668" i="11" s="1"/>
  <c r="S663" i="11"/>
  <c r="S632" i="11" s="1"/>
  <c r="R663" i="11"/>
  <c r="R632" i="11" s="1"/>
  <c r="Q663" i="11"/>
  <c r="Q632" i="11" s="1"/>
  <c r="P663" i="11"/>
  <c r="P632" i="11" s="1"/>
  <c r="O663" i="11"/>
  <c r="O632" i="11" s="1"/>
  <c r="N663" i="11"/>
  <c r="T663" i="11" s="1"/>
  <c r="K663" i="11"/>
  <c r="K632" i="11" s="1"/>
  <c r="J663" i="11"/>
  <c r="J632" i="11" s="1"/>
  <c r="I663" i="11"/>
  <c r="I632" i="11" s="1"/>
  <c r="H663" i="11"/>
  <c r="H632" i="11" s="1"/>
  <c r="G663" i="11"/>
  <c r="G632" i="11" s="1"/>
  <c r="F663" i="11"/>
  <c r="L663" i="11" s="1"/>
  <c r="V662" i="11"/>
  <c r="U661" i="11"/>
  <c r="T661" i="11"/>
  <c r="M661" i="11"/>
  <c r="L661" i="11"/>
  <c r="T660" i="11"/>
  <c r="U660" i="11" s="1"/>
  <c r="W660" i="11" s="1"/>
  <c r="L660" i="11"/>
  <c r="M660" i="11" s="1"/>
  <c r="U659" i="11"/>
  <c r="W659" i="11" s="1"/>
  <c r="T659" i="11"/>
  <c r="M659" i="11"/>
  <c r="L659" i="11"/>
  <c r="S624" i="11"/>
  <c r="R624" i="11"/>
  <c r="Q624" i="11"/>
  <c r="P624" i="11"/>
  <c r="O624" i="11"/>
  <c r="N624" i="11"/>
  <c r="K624" i="11"/>
  <c r="J624" i="11"/>
  <c r="I624" i="11"/>
  <c r="H624" i="11"/>
  <c r="G624" i="11"/>
  <c r="F624" i="11"/>
  <c r="V623" i="11"/>
  <c r="V622" i="11"/>
  <c r="T622" i="11"/>
  <c r="U622" i="11" s="1"/>
  <c r="L622" i="11"/>
  <c r="M622" i="11" s="1"/>
  <c r="S625" i="11"/>
  <c r="R623" i="11"/>
  <c r="Q625" i="11"/>
  <c r="P623" i="11"/>
  <c r="O625" i="11"/>
  <c r="N623" i="11"/>
  <c r="K625" i="11"/>
  <c r="J623" i="11"/>
  <c r="I625" i="11"/>
  <c r="H623" i="11"/>
  <c r="G625" i="11"/>
  <c r="F623" i="11"/>
  <c r="E620" i="11"/>
  <c r="V619" i="11"/>
  <c r="T619" i="11"/>
  <c r="U619" i="11" s="1"/>
  <c r="W619" i="11" s="1"/>
  <c r="L619" i="11"/>
  <c r="M619" i="11" s="1"/>
  <c r="T618" i="11"/>
  <c r="U618" i="11" s="1"/>
  <c r="L618" i="11"/>
  <c r="M618" i="11" s="1"/>
  <c r="T617" i="11"/>
  <c r="L617" i="11"/>
  <c r="U617" i="11" s="1"/>
  <c r="V616" i="11"/>
  <c r="V621" i="11" s="1"/>
  <c r="T616" i="11"/>
  <c r="L616" i="11"/>
  <c r="V615" i="11"/>
  <c r="T614" i="11"/>
  <c r="U614" i="11" s="1"/>
  <c r="L614" i="11"/>
  <c r="M614" i="11" s="1"/>
  <c r="T613" i="11"/>
  <c r="U613" i="11" s="1"/>
  <c r="L613" i="11"/>
  <c r="M613" i="11" s="1"/>
  <c r="T612" i="11"/>
  <c r="U612" i="11" s="1"/>
  <c r="L612" i="11"/>
  <c r="M612" i="11" s="1"/>
  <c r="R591" i="11"/>
  <c r="Q591" i="11"/>
  <c r="P591" i="11"/>
  <c r="O591" i="11"/>
  <c r="N591" i="11"/>
  <c r="H591" i="11"/>
  <c r="I591" i="11"/>
  <c r="J591" i="11"/>
  <c r="K591" i="11"/>
  <c r="G586" i="11"/>
  <c r="L586" i="11" s="1"/>
  <c r="M586" i="11" s="1"/>
  <c r="H586" i="11"/>
  <c r="I586" i="11"/>
  <c r="J586" i="11"/>
  <c r="K586" i="11"/>
  <c r="S594" i="11"/>
  <c r="R594" i="11"/>
  <c r="R595" i="11" s="1"/>
  <c r="Q594" i="11"/>
  <c r="Q595" i="11" s="1"/>
  <c r="P594" i="11"/>
  <c r="P595" i="11" s="1"/>
  <c r="O594" i="11"/>
  <c r="O595" i="11" s="1"/>
  <c r="K594" i="11"/>
  <c r="K595" i="11" s="1"/>
  <c r="J594" i="11"/>
  <c r="J595" i="11" s="1"/>
  <c r="I594" i="11"/>
  <c r="I595" i="11" s="1"/>
  <c r="H594" i="11"/>
  <c r="H595" i="11" s="1"/>
  <c r="G594" i="11"/>
  <c r="V593" i="11"/>
  <c r="R593" i="11"/>
  <c r="Q593" i="11"/>
  <c r="P593" i="11"/>
  <c r="O593" i="11"/>
  <c r="N593" i="11"/>
  <c r="K593" i="11"/>
  <c r="J593" i="11"/>
  <c r="I593" i="11"/>
  <c r="H593" i="11"/>
  <c r="G593" i="11"/>
  <c r="V592" i="11"/>
  <c r="T592" i="11"/>
  <c r="U592" i="11" s="1"/>
  <c r="L592" i="11"/>
  <c r="M592" i="11" s="1"/>
  <c r="S595" i="11"/>
  <c r="E590" i="11"/>
  <c r="V589" i="11"/>
  <c r="T589" i="11"/>
  <c r="L589" i="11"/>
  <c r="T588" i="11"/>
  <c r="L588" i="11"/>
  <c r="M588" i="11" s="1"/>
  <c r="F594" i="11"/>
  <c r="T587" i="11"/>
  <c r="L587" i="11"/>
  <c r="M587" i="11" s="1"/>
  <c r="V586" i="11"/>
  <c r="V585" i="11" s="1"/>
  <c r="E585" i="11"/>
  <c r="T584" i="11"/>
  <c r="L584" i="11"/>
  <c r="M584" i="11" s="1"/>
  <c r="T583" i="11"/>
  <c r="L583" i="11"/>
  <c r="M583" i="11" s="1"/>
  <c r="T582" i="11"/>
  <c r="L582" i="11"/>
  <c r="M582" i="11" s="1"/>
  <c r="S490" i="11"/>
  <c r="R490" i="11"/>
  <c r="Q490" i="11"/>
  <c r="P490" i="11"/>
  <c r="R495" i="11"/>
  <c r="Q495" i="11"/>
  <c r="Q373" i="11"/>
  <c r="R373" i="11"/>
  <c r="S373" i="11"/>
  <c r="S368" i="11"/>
  <c r="R368" i="11"/>
  <c r="Q368" i="11"/>
  <c r="P368" i="11"/>
  <c r="S80" i="11"/>
  <c r="R82" i="11"/>
  <c r="Q82" i="11"/>
  <c r="S77" i="11"/>
  <c r="R77" i="11"/>
  <c r="Q77" i="11"/>
  <c r="P77" i="11"/>
  <c r="U725" i="11" l="1"/>
  <c r="O707" i="11"/>
  <c r="U586" i="13"/>
  <c r="W586" i="13" s="1"/>
  <c r="X726" i="11"/>
  <c r="V708" i="11"/>
  <c r="T2" i="13"/>
  <c r="S715" i="13"/>
  <c r="O715" i="13"/>
  <c r="I715" i="13"/>
  <c r="R715" i="13"/>
  <c r="N715" i="13"/>
  <c r="H715" i="13"/>
  <c r="U722" i="13"/>
  <c r="X666" i="13"/>
  <c r="W694" i="13"/>
  <c r="X699" i="13"/>
  <c r="W740" i="13"/>
  <c r="W725" i="13"/>
  <c r="U737" i="13"/>
  <c r="W739" i="13"/>
  <c r="X744" i="13"/>
  <c r="W724" i="13"/>
  <c r="X729" i="13"/>
  <c r="X696" i="13"/>
  <c r="G673" i="13"/>
  <c r="H673" i="13" s="1"/>
  <c r="I673" i="13" s="1"/>
  <c r="J673" i="13" s="1"/>
  <c r="W617" i="13"/>
  <c r="X622" i="13"/>
  <c r="T555" i="13"/>
  <c r="X589" i="13"/>
  <c r="W617" i="11"/>
  <c r="X622" i="11"/>
  <c r="W664" i="11"/>
  <c r="W614" i="11"/>
  <c r="X619" i="11"/>
  <c r="W691" i="11"/>
  <c r="X696" i="11"/>
  <c r="W622" i="11"/>
  <c r="L624" i="11"/>
  <c r="M624" i="11" s="1"/>
  <c r="T624" i="11"/>
  <c r="L671" i="11"/>
  <c r="M671" i="11" s="1"/>
  <c r="T671" i="11"/>
  <c r="J538" i="11"/>
  <c r="H538" i="11"/>
  <c r="R538" i="11"/>
  <c r="N632" i="11"/>
  <c r="T632" i="11" s="1"/>
  <c r="V632" i="11"/>
  <c r="M617" i="11"/>
  <c r="W661" i="11"/>
  <c r="X666" i="11"/>
  <c r="U669" i="11"/>
  <c r="W669" i="11" s="1"/>
  <c r="W694" i="11"/>
  <c r="U699" i="11"/>
  <c r="W699" i="11" s="1"/>
  <c r="K538" i="11"/>
  <c r="I538" i="11"/>
  <c r="F632" i="11"/>
  <c r="L632" i="11" s="1"/>
  <c r="M632" i="11" s="1"/>
  <c r="G595" i="11"/>
  <c r="V711" i="11"/>
  <c r="N713" i="11"/>
  <c r="K713" i="11"/>
  <c r="J713" i="11"/>
  <c r="N708" i="11"/>
  <c r="N707" i="11" s="1"/>
  <c r="K708" i="11"/>
  <c r="J708" i="11"/>
  <c r="W584" i="13"/>
  <c r="L555" i="13"/>
  <c r="V555" i="11"/>
  <c r="V538" i="11" s="1"/>
  <c r="V521" i="11" s="1"/>
  <c r="R521" i="11"/>
  <c r="N538" i="11"/>
  <c r="P555" i="11"/>
  <c r="P538" i="11" s="1"/>
  <c r="O555" i="11"/>
  <c r="O538" i="11" s="1"/>
  <c r="Q555" i="11"/>
  <c r="Q538" i="11" s="1"/>
  <c r="S555" i="11"/>
  <c r="S538" i="11" s="1"/>
  <c r="J521" i="11"/>
  <c r="H521" i="11"/>
  <c r="K521" i="11"/>
  <c r="I521" i="11"/>
  <c r="G538" i="11"/>
  <c r="T623" i="13"/>
  <c r="L700" i="13"/>
  <c r="M700" i="13" s="1"/>
  <c r="W731" i="13"/>
  <c r="W746" i="13"/>
  <c r="L538" i="13"/>
  <c r="W624" i="13"/>
  <c r="T700" i="13"/>
  <c r="U700" i="13" s="1"/>
  <c r="X700" i="13" s="1"/>
  <c r="L521" i="13"/>
  <c r="T593" i="13"/>
  <c r="W664" i="13"/>
  <c r="T745" i="13"/>
  <c r="U745" i="13" s="1"/>
  <c r="W745" i="13" s="1"/>
  <c r="U743" i="13"/>
  <c r="X743" i="13" s="1"/>
  <c r="T742" i="13"/>
  <c r="L745" i="13"/>
  <c r="M745" i="13" s="1"/>
  <c r="M743" i="13"/>
  <c r="M742" i="13" s="1"/>
  <c r="L742" i="13"/>
  <c r="T730" i="13"/>
  <c r="U728" i="13"/>
  <c r="X728" i="13" s="1"/>
  <c r="T727" i="13"/>
  <c r="L730" i="13"/>
  <c r="M730" i="13" s="1"/>
  <c r="M728" i="13"/>
  <c r="M727" i="13" s="1"/>
  <c r="L727" i="13"/>
  <c r="W700" i="13"/>
  <c r="J703" i="13"/>
  <c r="K703" i="13" s="1"/>
  <c r="N703" i="13" s="1"/>
  <c r="O703" i="13" s="1"/>
  <c r="P703" i="13" s="1"/>
  <c r="Q703" i="13" s="1"/>
  <c r="R703" i="13" s="1"/>
  <c r="S703" i="13" s="1"/>
  <c r="M698" i="13"/>
  <c r="M697" i="13" s="1"/>
  <c r="L697" i="13"/>
  <c r="U698" i="13"/>
  <c r="X698" i="13" s="1"/>
  <c r="T697" i="13"/>
  <c r="W692" i="13"/>
  <c r="U692" i="13"/>
  <c r="U701" i="13"/>
  <c r="W701" i="13" s="1"/>
  <c r="T667" i="13"/>
  <c r="U668" i="13"/>
  <c r="X668" i="13" s="1"/>
  <c r="K673" i="13"/>
  <c r="N673" i="13" s="1"/>
  <c r="O673" i="13" s="1"/>
  <c r="P673" i="13" s="1"/>
  <c r="Q673" i="13" s="1"/>
  <c r="R673" i="13" s="1"/>
  <c r="S673" i="13" s="1"/>
  <c r="U670" i="13"/>
  <c r="W670" i="13" s="1"/>
  <c r="U665" i="13"/>
  <c r="X670" i="13" s="1"/>
  <c r="W662" i="13"/>
  <c r="W666" i="13"/>
  <c r="U671" i="13"/>
  <c r="W671" i="13" s="1"/>
  <c r="U662" i="13"/>
  <c r="L593" i="13"/>
  <c r="M593" i="13" s="1"/>
  <c r="L623" i="13"/>
  <c r="M623" i="13" s="1"/>
  <c r="M621" i="13"/>
  <c r="M620" i="13" s="1"/>
  <c r="L620" i="13"/>
  <c r="U621" i="13"/>
  <c r="X621" i="13" s="1"/>
  <c r="T620" i="13"/>
  <c r="W616" i="13"/>
  <c r="W615" i="13" s="1"/>
  <c r="U615" i="13"/>
  <c r="U591" i="13"/>
  <c r="U590" i="13" s="1"/>
  <c r="T590" i="13"/>
  <c r="H596" i="13"/>
  <c r="I596" i="13" s="1"/>
  <c r="J596" i="13" s="1"/>
  <c r="K596" i="13" s="1"/>
  <c r="N596" i="13" s="1"/>
  <c r="O596" i="13" s="1"/>
  <c r="P596" i="13" s="1"/>
  <c r="Q596" i="13" s="1"/>
  <c r="R596" i="13" s="1"/>
  <c r="S596" i="13" s="1"/>
  <c r="V594" i="13"/>
  <c r="W594" i="13" s="1"/>
  <c r="V590" i="13"/>
  <c r="M591" i="13"/>
  <c r="M590" i="13" s="1"/>
  <c r="L590" i="13"/>
  <c r="U588" i="11"/>
  <c r="U741" i="11"/>
  <c r="W741" i="11" s="1"/>
  <c r="U740" i="11"/>
  <c r="W740" i="11" s="1"/>
  <c r="M739" i="11"/>
  <c r="V737" i="11"/>
  <c r="T738" i="11"/>
  <c r="P705" i="11"/>
  <c r="F732" i="11"/>
  <c r="F733" i="11" s="1"/>
  <c r="H732" i="11"/>
  <c r="H733" i="11" s="1"/>
  <c r="I733" i="11" s="1"/>
  <c r="J732" i="11"/>
  <c r="G733" i="11"/>
  <c r="W726" i="11"/>
  <c r="L555" i="11"/>
  <c r="M555" i="11" s="1"/>
  <c r="U719" i="11"/>
  <c r="U734" i="11"/>
  <c r="U735" i="11"/>
  <c r="V742" i="11"/>
  <c r="V746" i="11"/>
  <c r="W744" i="11"/>
  <c r="M736" i="11"/>
  <c r="U736" i="11"/>
  <c r="T743" i="11"/>
  <c r="Q745" i="11"/>
  <c r="S745" i="11"/>
  <c r="L746" i="11"/>
  <c r="M746" i="11" s="1"/>
  <c r="N746" i="11"/>
  <c r="R747" i="11"/>
  <c r="W725" i="11"/>
  <c r="M727" i="11"/>
  <c r="W729" i="11"/>
  <c r="W721" i="11"/>
  <c r="V727" i="11"/>
  <c r="V731" i="11"/>
  <c r="M721" i="11"/>
  <c r="M722" i="11" s="1"/>
  <c r="L727" i="11"/>
  <c r="T728" i="11"/>
  <c r="Q730" i="11"/>
  <c r="S730" i="11"/>
  <c r="L731" i="11"/>
  <c r="M731" i="11" s="1"/>
  <c r="N731" i="11"/>
  <c r="R732" i="11"/>
  <c r="U701" i="11"/>
  <c r="M693" i="11"/>
  <c r="M692" i="11" s="1"/>
  <c r="L692" i="11"/>
  <c r="U693" i="11"/>
  <c r="T692" i="11"/>
  <c r="W693" i="11"/>
  <c r="W692" i="11" s="1"/>
  <c r="W695" i="11"/>
  <c r="L698" i="11"/>
  <c r="T698" i="11"/>
  <c r="V698" i="11"/>
  <c r="G700" i="11"/>
  <c r="I700" i="11"/>
  <c r="K700" i="11"/>
  <c r="O700" i="11"/>
  <c r="Q700" i="11"/>
  <c r="T700" i="11" s="1"/>
  <c r="S700" i="11"/>
  <c r="F702" i="11"/>
  <c r="F703" i="11" s="1"/>
  <c r="G703" i="11" s="1"/>
  <c r="H702" i="11"/>
  <c r="J702" i="11"/>
  <c r="N702" i="11"/>
  <c r="P702" i="11"/>
  <c r="R702" i="11"/>
  <c r="U671" i="11"/>
  <c r="M663" i="11"/>
  <c r="M662" i="11" s="1"/>
  <c r="L662" i="11"/>
  <c r="U663" i="11"/>
  <c r="T662" i="11"/>
  <c r="V671" i="11"/>
  <c r="V667" i="11"/>
  <c r="W665" i="11"/>
  <c r="L668" i="11"/>
  <c r="T668" i="11"/>
  <c r="G670" i="11"/>
  <c r="I670" i="11"/>
  <c r="K670" i="11"/>
  <c r="O670" i="11"/>
  <c r="Q670" i="11"/>
  <c r="S670" i="11"/>
  <c r="F672" i="11"/>
  <c r="F673" i="11" s="1"/>
  <c r="G673" i="11" s="1"/>
  <c r="H672" i="11"/>
  <c r="J672" i="11"/>
  <c r="N672" i="11"/>
  <c r="P672" i="11"/>
  <c r="R672" i="11"/>
  <c r="U624" i="11"/>
  <c r="M616" i="11"/>
  <c r="M615" i="11" s="1"/>
  <c r="L615" i="11"/>
  <c r="U616" i="11"/>
  <c r="T615" i="11"/>
  <c r="V624" i="11"/>
  <c r="V620" i="11"/>
  <c r="W618" i="11"/>
  <c r="L621" i="11"/>
  <c r="T621" i="11"/>
  <c r="G623" i="11"/>
  <c r="I623" i="11"/>
  <c r="K623" i="11"/>
  <c r="O623" i="11"/>
  <c r="Q623" i="11"/>
  <c r="S623" i="11"/>
  <c r="F625" i="11"/>
  <c r="F626" i="11" s="1"/>
  <c r="G626" i="11" s="1"/>
  <c r="H625" i="11"/>
  <c r="J625" i="11"/>
  <c r="N625" i="11"/>
  <c r="P625" i="11"/>
  <c r="R625" i="11"/>
  <c r="L591" i="11"/>
  <c r="M591" i="11" s="1"/>
  <c r="F593" i="11"/>
  <c r="U589" i="11"/>
  <c r="W589" i="11" s="1"/>
  <c r="U587" i="11"/>
  <c r="W587" i="11" s="1"/>
  <c r="T586" i="11"/>
  <c r="U586" i="11" s="1"/>
  <c r="U582" i="11"/>
  <c r="U583" i="11"/>
  <c r="U584" i="11"/>
  <c r="W584" i="11"/>
  <c r="M585" i="11"/>
  <c r="F595" i="11"/>
  <c r="F596" i="11" s="1"/>
  <c r="G596" i="11" s="1"/>
  <c r="H596" i="11" s="1"/>
  <c r="I596" i="11" s="1"/>
  <c r="J596" i="11" s="1"/>
  <c r="K596" i="11" s="1"/>
  <c r="L594" i="11"/>
  <c r="M594" i="11" s="1"/>
  <c r="W592" i="11"/>
  <c r="L585" i="11"/>
  <c r="T591" i="11"/>
  <c r="V591" i="11"/>
  <c r="S593" i="11"/>
  <c r="N594" i="11"/>
  <c r="M589" i="11"/>
  <c r="M590" i="11" s="1"/>
  <c r="S11" i="11"/>
  <c r="R11" i="11"/>
  <c r="Q11" i="11"/>
  <c r="P11" i="11"/>
  <c r="O11" i="11"/>
  <c r="N11" i="11"/>
  <c r="K11" i="11"/>
  <c r="J11" i="11"/>
  <c r="I11" i="11"/>
  <c r="H11" i="11"/>
  <c r="G11" i="11"/>
  <c r="F11" i="11"/>
  <c r="F8" i="11"/>
  <c r="S2" i="11"/>
  <c r="R2" i="11"/>
  <c r="Q2" i="11"/>
  <c r="P2" i="11"/>
  <c r="O2" i="11"/>
  <c r="N2" i="11"/>
  <c r="K2" i="11"/>
  <c r="J2" i="11"/>
  <c r="I2" i="11"/>
  <c r="H2" i="11"/>
  <c r="G2" i="11"/>
  <c r="F2" i="11"/>
  <c r="F3" i="11" s="1"/>
  <c r="F44" i="9"/>
  <c r="F27" i="9" s="1"/>
  <c r="F58" i="9"/>
  <c r="U585" i="13" l="1"/>
  <c r="J733" i="11"/>
  <c r="K733" i="11" s="1"/>
  <c r="W585" i="13"/>
  <c r="X741" i="11"/>
  <c r="X745" i="13"/>
  <c r="L670" i="11"/>
  <c r="M670" i="11" s="1"/>
  <c r="L700" i="11"/>
  <c r="M700" i="11" s="1"/>
  <c r="X699" i="11"/>
  <c r="U632" i="11"/>
  <c r="W632" i="11" s="1"/>
  <c r="X669" i="11"/>
  <c r="W624" i="11"/>
  <c r="T670" i="11"/>
  <c r="W671" i="11"/>
  <c r="F538" i="11"/>
  <c r="X589" i="11"/>
  <c r="L593" i="11"/>
  <c r="M593" i="11" s="1"/>
  <c r="M555" i="13"/>
  <c r="U555" i="13"/>
  <c r="W555" i="13" s="1"/>
  <c r="T593" i="11"/>
  <c r="W588" i="11"/>
  <c r="W586" i="11"/>
  <c r="W585" i="11" s="1"/>
  <c r="X591" i="13"/>
  <c r="P521" i="11"/>
  <c r="T555" i="11"/>
  <c r="S521" i="11"/>
  <c r="Q521" i="11"/>
  <c r="O521" i="11"/>
  <c r="T538" i="11"/>
  <c r="N521" i="11"/>
  <c r="G521" i="11"/>
  <c r="M538" i="13"/>
  <c r="U538" i="13"/>
  <c r="W538" i="13" s="1"/>
  <c r="M521" i="13"/>
  <c r="U521" i="13"/>
  <c r="W521" i="13" s="1"/>
  <c r="W591" i="13"/>
  <c r="W590" i="13" s="1"/>
  <c r="U742" i="13"/>
  <c r="W743" i="13"/>
  <c r="W742" i="13" s="1"/>
  <c r="U727" i="13"/>
  <c r="W728" i="13"/>
  <c r="W727" i="13" s="1"/>
  <c r="U730" i="13"/>
  <c r="U697" i="13"/>
  <c r="W698" i="13"/>
  <c r="W697" i="13" s="1"/>
  <c r="W665" i="13"/>
  <c r="U667" i="13"/>
  <c r="W668" i="13"/>
  <c r="W667" i="13" s="1"/>
  <c r="U623" i="13"/>
  <c r="X623" i="13" s="1"/>
  <c r="U593" i="13"/>
  <c r="X593" i="13" s="1"/>
  <c r="U620" i="13"/>
  <c r="W621" i="13"/>
  <c r="W620" i="13" s="1"/>
  <c r="T745" i="11"/>
  <c r="T737" i="11"/>
  <c r="T730" i="11"/>
  <c r="U730" i="11" s="1"/>
  <c r="X730" i="11" s="1"/>
  <c r="L623" i="11"/>
  <c r="M623" i="11" s="1"/>
  <c r="T623" i="11"/>
  <c r="U555" i="11"/>
  <c r="W555" i="11" s="1"/>
  <c r="N747" i="11"/>
  <c r="T746" i="11"/>
  <c r="U746" i="11" s="1"/>
  <c r="W746" i="11" s="1"/>
  <c r="T742" i="11"/>
  <c r="W736" i="11"/>
  <c r="N732" i="11"/>
  <c r="N733" i="11" s="1"/>
  <c r="O733" i="11" s="1"/>
  <c r="P733" i="11" s="1"/>
  <c r="Q733" i="11" s="1"/>
  <c r="R733" i="11" s="1"/>
  <c r="S733" i="11" s="1"/>
  <c r="T731" i="11"/>
  <c r="U731" i="11" s="1"/>
  <c r="W731" i="11" s="1"/>
  <c r="U728" i="11"/>
  <c r="T727" i="11"/>
  <c r="J703" i="11"/>
  <c r="K703" i="11" s="1"/>
  <c r="U698" i="11"/>
  <c r="U697" i="11" s="1"/>
  <c r="T697" i="11"/>
  <c r="U692" i="11"/>
  <c r="N703" i="11"/>
  <c r="O703" i="11" s="1"/>
  <c r="P703" i="11" s="1"/>
  <c r="Q703" i="11" s="1"/>
  <c r="R703" i="11" s="1"/>
  <c r="S703" i="11" s="1"/>
  <c r="H703" i="11"/>
  <c r="I703" i="11" s="1"/>
  <c r="W698" i="11"/>
  <c r="W697" i="11" s="1"/>
  <c r="V701" i="11"/>
  <c r="W701" i="11" s="1"/>
  <c r="V697" i="11"/>
  <c r="M698" i="11"/>
  <c r="M697" i="11" s="1"/>
  <c r="L697" i="11"/>
  <c r="U670" i="11"/>
  <c r="X670" i="11" s="1"/>
  <c r="H673" i="11"/>
  <c r="I673" i="11" s="1"/>
  <c r="J673" i="11" s="1"/>
  <c r="K673" i="11" s="1"/>
  <c r="N673" i="11" s="1"/>
  <c r="O673" i="11" s="1"/>
  <c r="P673" i="11" s="1"/>
  <c r="Q673" i="11" s="1"/>
  <c r="R673" i="11" s="1"/>
  <c r="S673" i="11" s="1"/>
  <c r="U668" i="11"/>
  <c r="X668" i="11" s="1"/>
  <c r="T667" i="11"/>
  <c r="W663" i="11"/>
  <c r="W662" i="11" s="1"/>
  <c r="U662" i="11"/>
  <c r="M668" i="11"/>
  <c r="M667" i="11" s="1"/>
  <c r="L667" i="11"/>
  <c r="H626" i="11"/>
  <c r="I626" i="11" s="1"/>
  <c r="U621" i="11"/>
  <c r="X621" i="11" s="1"/>
  <c r="T620" i="11"/>
  <c r="W616" i="11"/>
  <c r="W615" i="11" s="1"/>
  <c r="U615" i="11"/>
  <c r="J626" i="11"/>
  <c r="K626" i="11" s="1"/>
  <c r="N626" i="11" s="1"/>
  <c r="O626" i="11" s="1"/>
  <c r="P626" i="11" s="1"/>
  <c r="Q626" i="11" s="1"/>
  <c r="R626" i="11" s="1"/>
  <c r="S626" i="11" s="1"/>
  <c r="M621" i="11"/>
  <c r="M620" i="11" s="1"/>
  <c r="L620" i="11"/>
  <c r="L590" i="11"/>
  <c r="U593" i="11"/>
  <c r="X593" i="11" s="1"/>
  <c r="T585" i="11"/>
  <c r="W593" i="11"/>
  <c r="N595" i="11"/>
  <c r="N596" i="11" s="1"/>
  <c r="O596" i="11" s="1"/>
  <c r="P596" i="11" s="1"/>
  <c r="Q596" i="11" s="1"/>
  <c r="R596" i="11" s="1"/>
  <c r="S596" i="11" s="1"/>
  <c r="T594" i="11"/>
  <c r="U594" i="11" s="1"/>
  <c r="V590" i="11"/>
  <c r="V594" i="11"/>
  <c r="U591" i="11"/>
  <c r="U590" i="11" s="1"/>
  <c r="T590" i="11"/>
  <c r="U585" i="11"/>
  <c r="T2" i="11"/>
  <c r="S555" i="9"/>
  <c r="S554" i="9"/>
  <c r="S556" i="9" s="1"/>
  <c r="S541" i="9" s="1"/>
  <c r="G554" i="9"/>
  <c r="H554" i="9"/>
  <c r="I554" i="9"/>
  <c r="J554" i="9"/>
  <c r="G555" i="9"/>
  <c r="S562" i="9"/>
  <c r="R562" i="9"/>
  <c r="Q562" i="9"/>
  <c r="P562" i="9"/>
  <c r="O562" i="9"/>
  <c r="N562" i="9"/>
  <c r="S561" i="9"/>
  <c r="F562" i="9"/>
  <c r="G562" i="9"/>
  <c r="H562" i="9"/>
  <c r="I562" i="9"/>
  <c r="J562" i="9"/>
  <c r="K562" i="9"/>
  <c r="H561" i="9"/>
  <c r="F559" i="9"/>
  <c r="V557" i="9"/>
  <c r="V540" i="9" s="1"/>
  <c r="S557" i="9"/>
  <c r="S540" i="9" s="1"/>
  <c r="R557" i="9"/>
  <c r="R540" i="9" s="1"/>
  <c r="Q557" i="9"/>
  <c r="Q540" i="9" s="1"/>
  <c r="P557" i="9"/>
  <c r="P540" i="9" s="1"/>
  <c r="O557" i="9"/>
  <c r="O540" i="9" s="1"/>
  <c r="N557" i="9"/>
  <c r="T557" i="9" s="1"/>
  <c r="G557" i="9"/>
  <c r="G540" i="9" s="1"/>
  <c r="H557" i="9"/>
  <c r="H540" i="9" s="1"/>
  <c r="I557" i="9"/>
  <c r="I540" i="9" s="1"/>
  <c r="J557" i="9"/>
  <c r="J540" i="9" s="1"/>
  <c r="K557" i="9"/>
  <c r="K540" i="9" s="1"/>
  <c r="G541" i="9"/>
  <c r="I541" i="9"/>
  <c r="K541" i="9"/>
  <c r="S653" i="9"/>
  <c r="S648" i="9"/>
  <c r="F648" i="9"/>
  <c r="G648" i="9"/>
  <c r="H648" i="9"/>
  <c r="I648" i="9"/>
  <c r="J648" i="9"/>
  <c r="S728" i="9"/>
  <c r="R728" i="9"/>
  <c r="Q728" i="9"/>
  <c r="P728" i="9"/>
  <c r="O728" i="9"/>
  <c r="N728" i="9"/>
  <c r="S723" i="9"/>
  <c r="R723" i="9"/>
  <c r="Q723" i="9"/>
  <c r="P723" i="9"/>
  <c r="O723" i="9"/>
  <c r="N723" i="9"/>
  <c r="K728" i="9"/>
  <c r="J728" i="9"/>
  <c r="I728" i="9"/>
  <c r="H728" i="9"/>
  <c r="G728" i="9"/>
  <c r="F728" i="9"/>
  <c r="K723" i="9"/>
  <c r="J723" i="9"/>
  <c r="I723" i="9"/>
  <c r="H723" i="9"/>
  <c r="G723" i="9"/>
  <c r="F723" i="9"/>
  <c r="S743" i="9"/>
  <c r="R743" i="9"/>
  <c r="Q743" i="9"/>
  <c r="P743" i="9"/>
  <c r="O743" i="9"/>
  <c r="N743" i="9"/>
  <c r="G743" i="9"/>
  <c r="H743" i="9"/>
  <c r="I743" i="9"/>
  <c r="J743" i="9"/>
  <c r="K743" i="9"/>
  <c r="F743" i="9"/>
  <c r="O738" i="9"/>
  <c r="P738" i="9"/>
  <c r="Q738" i="9"/>
  <c r="R738" i="9"/>
  <c r="S738" i="9"/>
  <c r="N738" i="9"/>
  <c r="T738" i="9" s="1"/>
  <c r="G738" i="9"/>
  <c r="H738" i="9"/>
  <c r="I738" i="9"/>
  <c r="J738" i="9"/>
  <c r="K738" i="9"/>
  <c r="F738" i="9"/>
  <c r="F708" i="9" s="1"/>
  <c r="R621" i="9"/>
  <c r="R544" i="23" s="1"/>
  <c r="R543" i="23" s="1"/>
  <c r="Q621" i="9"/>
  <c r="Q544" i="23" s="1"/>
  <c r="Q543" i="23" s="1"/>
  <c r="P621" i="9"/>
  <c r="P544" i="23" s="1"/>
  <c r="P543" i="23" s="1"/>
  <c r="O621" i="9"/>
  <c r="N621" i="9"/>
  <c r="N544" i="23" s="1"/>
  <c r="N543" i="23" s="1"/>
  <c r="K621" i="9"/>
  <c r="J621" i="9"/>
  <c r="R616" i="9"/>
  <c r="R539" i="23" s="1"/>
  <c r="R538" i="23" s="1"/>
  <c r="Q616" i="9"/>
  <c r="Q539" i="23" s="1"/>
  <c r="Q538" i="23" s="1"/>
  <c r="P616" i="9"/>
  <c r="P539" i="23" s="1"/>
  <c r="P538" i="23" s="1"/>
  <c r="O616" i="9"/>
  <c r="O539" i="23" s="1"/>
  <c r="O538" i="23" s="1"/>
  <c r="N616" i="9"/>
  <c r="N539" i="23" s="1"/>
  <c r="N538" i="23" s="1"/>
  <c r="I616" i="9"/>
  <c r="J616" i="9"/>
  <c r="K616" i="9"/>
  <c r="R601" i="9"/>
  <c r="Q601" i="9"/>
  <c r="P601" i="9"/>
  <c r="R591" i="9"/>
  <c r="Q591" i="9"/>
  <c r="P591" i="9"/>
  <c r="O591" i="9"/>
  <c r="N591" i="9"/>
  <c r="I591" i="9"/>
  <c r="I561" i="9" s="1"/>
  <c r="J591" i="9"/>
  <c r="J561" i="9" s="1"/>
  <c r="K591" i="9"/>
  <c r="V569" i="9"/>
  <c r="V492" i="23" s="1"/>
  <c r="V475" i="23" s="1"/>
  <c r="H586" i="9"/>
  <c r="H555" i="9" s="1"/>
  <c r="H541" i="9" s="1"/>
  <c r="I586" i="9"/>
  <c r="I555" i="9" s="1"/>
  <c r="J586" i="9"/>
  <c r="J555" i="9" s="1"/>
  <c r="J541" i="9" s="1"/>
  <c r="K586" i="9"/>
  <c r="K555" i="9" s="1"/>
  <c r="S746" i="9"/>
  <c r="R746" i="9"/>
  <c r="Q746" i="9"/>
  <c r="P746" i="9"/>
  <c r="O746" i="9"/>
  <c r="N746" i="9"/>
  <c r="T746" i="9" s="1"/>
  <c r="K746" i="9"/>
  <c r="J746" i="9"/>
  <c r="I746" i="9"/>
  <c r="H746" i="9"/>
  <c r="G746" i="9"/>
  <c r="F746" i="9"/>
  <c r="L746" i="9" s="1"/>
  <c r="M746" i="9" s="1"/>
  <c r="V745" i="9"/>
  <c r="V744" i="9"/>
  <c r="T744" i="9"/>
  <c r="L744" i="9"/>
  <c r="M744" i="9" s="1"/>
  <c r="S747" i="9"/>
  <c r="R747" i="9"/>
  <c r="Q747" i="9"/>
  <c r="P747" i="9"/>
  <c r="O747" i="9"/>
  <c r="N747" i="9"/>
  <c r="K747" i="9"/>
  <c r="J747" i="9"/>
  <c r="I747" i="9"/>
  <c r="H747" i="9"/>
  <c r="G747" i="9"/>
  <c r="F747" i="9"/>
  <c r="F748" i="9" s="1"/>
  <c r="E742" i="9"/>
  <c r="V741" i="9"/>
  <c r="T741" i="9"/>
  <c r="L741" i="9"/>
  <c r="M741" i="9" s="1"/>
  <c r="T740" i="9"/>
  <c r="L740" i="9"/>
  <c r="M740" i="9" s="1"/>
  <c r="T739" i="9"/>
  <c r="L739" i="9"/>
  <c r="M739" i="9" s="1"/>
  <c r="V738" i="9"/>
  <c r="V743" i="9" s="1"/>
  <c r="T736" i="9"/>
  <c r="U736" i="9" s="1"/>
  <c r="L736" i="9"/>
  <c r="M736" i="9" s="1"/>
  <c r="T735" i="9"/>
  <c r="L735" i="9"/>
  <c r="M735" i="9" s="1"/>
  <c r="T734" i="9"/>
  <c r="U734" i="9" s="1"/>
  <c r="W734" i="9" s="1"/>
  <c r="L734" i="9"/>
  <c r="M734" i="9" s="1"/>
  <c r="S731" i="9"/>
  <c r="R731" i="9"/>
  <c r="Q731" i="9"/>
  <c r="P731" i="9"/>
  <c r="O731" i="9"/>
  <c r="N731" i="9"/>
  <c r="K731" i="9"/>
  <c r="J731" i="9"/>
  <c r="I731" i="9"/>
  <c r="H731" i="9"/>
  <c r="G731" i="9"/>
  <c r="F731" i="9"/>
  <c r="V730" i="9"/>
  <c r="V729" i="9"/>
  <c r="T729" i="9"/>
  <c r="U729" i="9" s="1"/>
  <c r="W729" i="9" s="1"/>
  <c r="L729" i="9"/>
  <c r="M729" i="9" s="1"/>
  <c r="S732" i="9"/>
  <c r="R732" i="9"/>
  <c r="Q732" i="9"/>
  <c r="P732" i="9"/>
  <c r="O732" i="9"/>
  <c r="N732" i="9"/>
  <c r="K730" i="9"/>
  <c r="J732" i="9"/>
  <c r="I732" i="9"/>
  <c r="H732" i="9"/>
  <c r="G730" i="9"/>
  <c r="F732" i="9"/>
  <c r="F733" i="9" s="1"/>
  <c r="E727" i="9"/>
  <c r="V726" i="9"/>
  <c r="T726" i="9"/>
  <c r="L726" i="9"/>
  <c r="M726" i="9" s="1"/>
  <c r="T725" i="9"/>
  <c r="L725" i="9"/>
  <c r="T724" i="9"/>
  <c r="L724" i="9"/>
  <c r="M724" i="9" s="1"/>
  <c r="V723" i="9"/>
  <c r="V722" i="9" s="1"/>
  <c r="T723" i="9"/>
  <c r="L723" i="9"/>
  <c r="T721" i="9"/>
  <c r="L721" i="9"/>
  <c r="M721" i="9" s="1"/>
  <c r="T720" i="9"/>
  <c r="L720" i="9"/>
  <c r="M720" i="9" s="1"/>
  <c r="T719" i="9"/>
  <c r="L719" i="9"/>
  <c r="M719" i="9" s="1"/>
  <c r="V714" i="9"/>
  <c r="S714" i="9"/>
  <c r="R714" i="9"/>
  <c r="Q714" i="9"/>
  <c r="P714" i="9"/>
  <c r="O714" i="9"/>
  <c r="N714" i="9"/>
  <c r="K714" i="9"/>
  <c r="J714" i="9"/>
  <c r="I714" i="9"/>
  <c r="H714" i="9"/>
  <c r="G714" i="9"/>
  <c r="F714" i="9"/>
  <c r="R713" i="9"/>
  <c r="P713" i="9"/>
  <c r="N713" i="9"/>
  <c r="K713" i="9"/>
  <c r="J713" i="9"/>
  <c r="I713" i="9"/>
  <c r="H713" i="9"/>
  <c r="G713" i="9"/>
  <c r="F713" i="9"/>
  <c r="E712" i="9"/>
  <c r="V711" i="9"/>
  <c r="S711" i="9"/>
  <c r="R711" i="9"/>
  <c r="Q711" i="9"/>
  <c r="P711" i="9"/>
  <c r="O711" i="9"/>
  <c r="N711" i="9"/>
  <c r="K711" i="9"/>
  <c r="J711" i="9"/>
  <c r="I711" i="9"/>
  <c r="H711" i="9"/>
  <c r="G711" i="9"/>
  <c r="F711" i="9"/>
  <c r="V710" i="9"/>
  <c r="S710" i="9"/>
  <c r="R710" i="9"/>
  <c r="Q710" i="9"/>
  <c r="P710" i="9"/>
  <c r="O710" i="9"/>
  <c r="N710" i="9"/>
  <c r="K710" i="9"/>
  <c r="K716" i="9" s="1"/>
  <c r="J710" i="9"/>
  <c r="J716" i="9" s="1"/>
  <c r="I710" i="9"/>
  <c r="I716" i="9" s="1"/>
  <c r="H710" i="9"/>
  <c r="H716" i="9" s="1"/>
  <c r="G710" i="9"/>
  <c r="G716" i="9" s="1"/>
  <c r="F710" i="9"/>
  <c r="V709" i="9"/>
  <c r="S709" i="9"/>
  <c r="R709" i="9"/>
  <c r="Q709" i="9"/>
  <c r="P709" i="9"/>
  <c r="O709" i="9"/>
  <c r="N709" i="9"/>
  <c r="K709" i="9"/>
  <c r="J709" i="9"/>
  <c r="I709" i="9"/>
  <c r="H709" i="9"/>
  <c r="G709" i="9"/>
  <c r="F709" i="9"/>
  <c r="S708" i="9"/>
  <c r="R708" i="9"/>
  <c r="Q708" i="9"/>
  <c r="P708" i="9"/>
  <c r="O708" i="9"/>
  <c r="N708" i="9"/>
  <c r="K708" i="9"/>
  <c r="J708" i="9"/>
  <c r="I708" i="9"/>
  <c r="H708" i="9"/>
  <c r="G708" i="9"/>
  <c r="V706" i="9"/>
  <c r="S706" i="9"/>
  <c r="R706" i="9"/>
  <c r="Q706" i="9"/>
  <c r="P706" i="9"/>
  <c r="O706" i="9"/>
  <c r="N706" i="9"/>
  <c r="K706" i="9"/>
  <c r="J706" i="9"/>
  <c r="I706" i="9"/>
  <c r="H706" i="9"/>
  <c r="G706" i="9"/>
  <c r="F706" i="9"/>
  <c r="V705" i="9"/>
  <c r="S705" i="9"/>
  <c r="R705" i="9"/>
  <c r="Q705" i="9"/>
  <c r="P705" i="9"/>
  <c r="O705" i="9"/>
  <c r="N705" i="9"/>
  <c r="K705" i="9"/>
  <c r="J705" i="9"/>
  <c r="I705" i="9"/>
  <c r="H705" i="9"/>
  <c r="G705" i="9"/>
  <c r="F705" i="9"/>
  <c r="L705" i="9" s="1"/>
  <c r="M705" i="9" s="1"/>
  <c r="V704" i="9"/>
  <c r="S704" i="9"/>
  <c r="R704" i="9"/>
  <c r="Q704" i="9"/>
  <c r="P704" i="9"/>
  <c r="O704" i="9"/>
  <c r="N704" i="9"/>
  <c r="K704" i="9"/>
  <c r="J704" i="9"/>
  <c r="I704" i="9"/>
  <c r="H704" i="9"/>
  <c r="G704" i="9"/>
  <c r="F704" i="9"/>
  <c r="S701" i="9"/>
  <c r="R701" i="9"/>
  <c r="Q701" i="9"/>
  <c r="P701" i="9"/>
  <c r="O701" i="9"/>
  <c r="N701" i="9"/>
  <c r="K701" i="9"/>
  <c r="J701" i="9"/>
  <c r="I701" i="9"/>
  <c r="H701" i="9"/>
  <c r="G701" i="9"/>
  <c r="F701" i="9"/>
  <c r="V700" i="9"/>
  <c r="V699" i="9"/>
  <c r="T699" i="9"/>
  <c r="L699" i="9"/>
  <c r="M699" i="9" s="1"/>
  <c r="S698" i="9"/>
  <c r="S700" i="9" s="1"/>
  <c r="R698" i="9"/>
  <c r="R702" i="9" s="1"/>
  <c r="Q698" i="9"/>
  <c r="Q700" i="9" s="1"/>
  <c r="P698" i="9"/>
  <c r="P702" i="9" s="1"/>
  <c r="O698" i="9"/>
  <c r="O700" i="9" s="1"/>
  <c r="N698" i="9"/>
  <c r="N702" i="9" s="1"/>
  <c r="K698" i="9"/>
  <c r="K700" i="9" s="1"/>
  <c r="J698" i="9"/>
  <c r="J702" i="9" s="1"/>
  <c r="I698" i="9"/>
  <c r="I700" i="9" s="1"/>
  <c r="H698" i="9"/>
  <c r="H702" i="9" s="1"/>
  <c r="G698" i="9"/>
  <c r="G700" i="9" s="1"/>
  <c r="F698" i="9"/>
  <c r="F702" i="9" s="1"/>
  <c r="F703" i="9" s="1"/>
  <c r="E697" i="9"/>
  <c r="V696" i="9"/>
  <c r="T696" i="9"/>
  <c r="L696" i="9"/>
  <c r="M696" i="9" s="1"/>
  <c r="T695" i="9"/>
  <c r="L695" i="9"/>
  <c r="M695" i="9" s="1"/>
  <c r="T694" i="9"/>
  <c r="L694" i="9"/>
  <c r="M694" i="9" s="1"/>
  <c r="V693" i="9"/>
  <c r="V698" i="9" s="1"/>
  <c r="S693" i="9"/>
  <c r="R693" i="9"/>
  <c r="Q693" i="9"/>
  <c r="P693" i="9"/>
  <c r="O693" i="9"/>
  <c r="N693" i="9"/>
  <c r="K693" i="9"/>
  <c r="J693" i="9"/>
  <c r="I693" i="9"/>
  <c r="H693" i="9"/>
  <c r="G693" i="9"/>
  <c r="F693" i="9"/>
  <c r="V692" i="9"/>
  <c r="T691" i="9"/>
  <c r="L691" i="9"/>
  <c r="M691" i="9" s="1"/>
  <c r="T690" i="9"/>
  <c r="L690" i="9"/>
  <c r="M690" i="9" s="1"/>
  <c r="T689" i="9"/>
  <c r="L689" i="9"/>
  <c r="M689" i="9" s="1"/>
  <c r="S686" i="9"/>
  <c r="R686" i="9"/>
  <c r="Q686" i="9"/>
  <c r="P686" i="9"/>
  <c r="O686" i="9"/>
  <c r="N686" i="9"/>
  <c r="T686" i="9" s="1"/>
  <c r="K686" i="9"/>
  <c r="J686" i="9"/>
  <c r="I686" i="9"/>
  <c r="H686" i="9"/>
  <c r="G686" i="9"/>
  <c r="F686" i="9"/>
  <c r="L686" i="9" s="1"/>
  <c r="M686" i="9" s="1"/>
  <c r="V685" i="9"/>
  <c r="V684" i="9"/>
  <c r="T684" i="9"/>
  <c r="L684" i="9"/>
  <c r="M684" i="9" s="1"/>
  <c r="S683" i="9"/>
  <c r="S687" i="9" s="1"/>
  <c r="R683" i="9"/>
  <c r="R687" i="9" s="1"/>
  <c r="Q683" i="9"/>
  <c r="Q687" i="9" s="1"/>
  <c r="P683" i="9"/>
  <c r="P687" i="9" s="1"/>
  <c r="O683" i="9"/>
  <c r="O687" i="9" s="1"/>
  <c r="N683" i="9"/>
  <c r="N687" i="9" s="1"/>
  <c r="K683" i="9"/>
  <c r="K687" i="9" s="1"/>
  <c r="J683" i="9"/>
  <c r="J687" i="9" s="1"/>
  <c r="I683" i="9"/>
  <c r="I687" i="9" s="1"/>
  <c r="H683" i="9"/>
  <c r="H687" i="9" s="1"/>
  <c r="G683" i="9"/>
  <c r="G687" i="9" s="1"/>
  <c r="F683" i="9"/>
  <c r="F687" i="9" s="1"/>
  <c r="F688" i="9" s="1"/>
  <c r="E682" i="9"/>
  <c r="V681" i="9"/>
  <c r="T681" i="9"/>
  <c r="L681" i="9"/>
  <c r="M681" i="9" s="1"/>
  <c r="T680" i="9"/>
  <c r="L680" i="9"/>
  <c r="M680" i="9" s="1"/>
  <c r="T679" i="9"/>
  <c r="L679" i="9"/>
  <c r="M679" i="9" s="1"/>
  <c r="V678" i="9"/>
  <c r="V683" i="9" s="1"/>
  <c r="S678" i="9"/>
  <c r="R678" i="9"/>
  <c r="Q678" i="9"/>
  <c r="P678" i="9"/>
  <c r="O678" i="9"/>
  <c r="N678" i="9"/>
  <c r="K678" i="9"/>
  <c r="J678" i="9"/>
  <c r="I678" i="9"/>
  <c r="H678" i="9"/>
  <c r="G678" i="9"/>
  <c r="F678" i="9"/>
  <c r="V677" i="9"/>
  <c r="T676" i="9"/>
  <c r="L676" i="9"/>
  <c r="M676" i="9" s="1"/>
  <c r="T675" i="9"/>
  <c r="L675" i="9"/>
  <c r="M675" i="9" s="1"/>
  <c r="T674" i="9"/>
  <c r="L674" i="9"/>
  <c r="M674" i="9" s="1"/>
  <c r="S671" i="9"/>
  <c r="S672" i="9" s="1"/>
  <c r="R671" i="9"/>
  <c r="R672" i="9" s="1"/>
  <c r="Q671" i="9"/>
  <c r="Q672" i="9" s="1"/>
  <c r="P671" i="9"/>
  <c r="P672" i="9" s="1"/>
  <c r="O671" i="9"/>
  <c r="O672" i="9" s="1"/>
  <c r="N671" i="9"/>
  <c r="N672" i="9" s="1"/>
  <c r="V670" i="9"/>
  <c r="S670" i="9"/>
  <c r="R670" i="9"/>
  <c r="Q670" i="9"/>
  <c r="P670" i="9"/>
  <c r="O670" i="9"/>
  <c r="N670" i="9"/>
  <c r="T670" i="9" s="1"/>
  <c r="K670" i="9"/>
  <c r="J670" i="9"/>
  <c r="I670" i="9"/>
  <c r="H670" i="9"/>
  <c r="G670" i="9"/>
  <c r="F670" i="9"/>
  <c r="L670" i="9" s="1"/>
  <c r="M670" i="9" s="1"/>
  <c r="V669" i="9"/>
  <c r="U669" i="9"/>
  <c r="W669" i="9" s="1"/>
  <c r="T669" i="9"/>
  <c r="M669" i="9"/>
  <c r="L669" i="9"/>
  <c r="T668" i="9"/>
  <c r="L668" i="9"/>
  <c r="M668" i="9" s="1"/>
  <c r="R667" i="9"/>
  <c r="Q667" i="9"/>
  <c r="P667" i="9"/>
  <c r="O667" i="9"/>
  <c r="N667" i="9"/>
  <c r="K667" i="9"/>
  <c r="J667" i="9"/>
  <c r="I667" i="9"/>
  <c r="H667" i="9"/>
  <c r="G667" i="9"/>
  <c r="F667" i="9"/>
  <c r="E667" i="9"/>
  <c r="V666" i="9"/>
  <c r="T666" i="9"/>
  <c r="T667" i="9" s="1"/>
  <c r="L666" i="9"/>
  <c r="M666" i="9" s="1"/>
  <c r="T665" i="9"/>
  <c r="K665" i="9"/>
  <c r="K671" i="9" s="1"/>
  <c r="K672" i="9" s="1"/>
  <c r="J665" i="9"/>
  <c r="J671" i="9" s="1"/>
  <c r="J672" i="9" s="1"/>
  <c r="I665" i="9"/>
  <c r="I671" i="9" s="1"/>
  <c r="I672" i="9" s="1"/>
  <c r="H665" i="9"/>
  <c r="H671" i="9" s="1"/>
  <c r="H672" i="9" s="1"/>
  <c r="G665" i="9"/>
  <c r="G671" i="9" s="1"/>
  <c r="G672" i="9" s="1"/>
  <c r="F665" i="9"/>
  <c r="L665" i="9" s="1"/>
  <c r="M665" i="9" s="1"/>
  <c r="T664" i="9"/>
  <c r="L664" i="9"/>
  <c r="M664" i="9" s="1"/>
  <c r="V663" i="9"/>
  <c r="V668" i="9" s="1"/>
  <c r="T663" i="9"/>
  <c r="U663" i="9" s="1"/>
  <c r="L663" i="9"/>
  <c r="M663" i="9" s="1"/>
  <c r="V662" i="9"/>
  <c r="Q662" i="9"/>
  <c r="P662" i="9"/>
  <c r="O662" i="9"/>
  <c r="N662" i="9"/>
  <c r="K662" i="9"/>
  <c r="J662" i="9"/>
  <c r="I662" i="9"/>
  <c r="H662" i="9"/>
  <c r="G662" i="9"/>
  <c r="F662" i="9"/>
  <c r="E662" i="9"/>
  <c r="T661" i="9"/>
  <c r="T662" i="9" s="1"/>
  <c r="L661" i="9"/>
  <c r="L662" i="9" s="1"/>
  <c r="T660" i="9"/>
  <c r="U660" i="9" s="1"/>
  <c r="L660" i="9"/>
  <c r="M660" i="9" s="1"/>
  <c r="T659" i="9"/>
  <c r="U659" i="9" s="1"/>
  <c r="L659" i="9"/>
  <c r="M659" i="9" s="1"/>
  <c r="S656" i="9"/>
  <c r="R656" i="9"/>
  <c r="Q656" i="9"/>
  <c r="P656" i="9"/>
  <c r="O656" i="9"/>
  <c r="N656" i="9"/>
  <c r="K656" i="9"/>
  <c r="J656" i="9"/>
  <c r="I656" i="9"/>
  <c r="H656" i="9"/>
  <c r="G656" i="9"/>
  <c r="F656" i="9"/>
  <c r="V655" i="9"/>
  <c r="V654" i="9"/>
  <c r="T654" i="9"/>
  <c r="U654" i="9" s="1"/>
  <c r="W654" i="9" s="1"/>
  <c r="L654" i="9"/>
  <c r="M654" i="9" s="1"/>
  <c r="S655" i="9"/>
  <c r="R653" i="9"/>
  <c r="R657" i="9" s="1"/>
  <c r="Q653" i="9"/>
  <c r="Q655" i="9" s="1"/>
  <c r="P653" i="9"/>
  <c r="P657" i="9" s="1"/>
  <c r="O653" i="9"/>
  <c r="O655" i="9" s="1"/>
  <c r="N653" i="9"/>
  <c r="N657" i="9" s="1"/>
  <c r="K653" i="9"/>
  <c r="K655" i="9" s="1"/>
  <c r="J653" i="9"/>
  <c r="J657" i="9" s="1"/>
  <c r="I653" i="9"/>
  <c r="I655" i="9" s="1"/>
  <c r="H653" i="9"/>
  <c r="H657" i="9" s="1"/>
  <c r="G653" i="9"/>
  <c r="G655" i="9" s="1"/>
  <c r="F653" i="9"/>
  <c r="F657" i="9" s="1"/>
  <c r="F658" i="9" s="1"/>
  <c r="F643" i="9" s="1"/>
  <c r="E652" i="9"/>
  <c r="T651" i="9"/>
  <c r="L651" i="9"/>
  <c r="M651" i="9" s="1"/>
  <c r="T650" i="9"/>
  <c r="L650" i="9"/>
  <c r="T649" i="9"/>
  <c r="L649" i="9"/>
  <c r="M649" i="9" s="1"/>
  <c r="V648" i="9"/>
  <c r="R648" i="9"/>
  <c r="Q648" i="9"/>
  <c r="P648" i="9"/>
  <c r="O648" i="9"/>
  <c r="N648" i="9"/>
  <c r="K648" i="9"/>
  <c r="L648" i="9" s="1"/>
  <c r="V647" i="9"/>
  <c r="E647" i="9"/>
  <c r="T646" i="9"/>
  <c r="L646" i="9"/>
  <c r="M646" i="9" s="1"/>
  <c r="T645" i="9"/>
  <c r="L645" i="9"/>
  <c r="T644" i="9"/>
  <c r="L644" i="9"/>
  <c r="R642" i="9"/>
  <c r="P642" i="9"/>
  <c r="N642" i="9"/>
  <c r="J642" i="9"/>
  <c r="H642" i="9"/>
  <c r="F642" i="9"/>
  <c r="S641" i="9"/>
  <c r="R641" i="9"/>
  <c r="Q641" i="9"/>
  <c r="P641" i="9"/>
  <c r="O641" i="9"/>
  <c r="N641" i="9"/>
  <c r="T641" i="9" s="1"/>
  <c r="K641" i="9"/>
  <c r="J641" i="9"/>
  <c r="I641" i="9"/>
  <c r="H641" i="9"/>
  <c r="G641" i="9"/>
  <c r="F641" i="9"/>
  <c r="V640" i="9"/>
  <c r="V639" i="9"/>
  <c r="S639" i="9"/>
  <c r="S545" i="9" s="1"/>
  <c r="S528" i="9" s="1"/>
  <c r="R639" i="9"/>
  <c r="R545" i="9" s="1"/>
  <c r="R528" i="9" s="1"/>
  <c r="Q639" i="9"/>
  <c r="Q545" i="9" s="1"/>
  <c r="Q528" i="9" s="1"/>
  <c r="P639" i="9"/>
  <c r="P545" i="9" s="1"/>
  <c r="P528" i="9" s="1"/>
  <c r="O639" i="9"/>
  <c r="O545" i="9" s="1"/>
  <c r="O528" i="9" s="1"/>
  <c r="N639" i="9"/>
  <c r="K639" i="9"/>
  <c r="K545" i="9" s="1"/>
  <c r="K528" i="9" s="1"/>
  <c r="J639" i="9"/>
  <c r="J545" i="9" s="1"/>
  <c r="J528" i="9" s="1"/>
  <c r="I639" i="9"/>
  <c r="I545" i="9" s="1"/>
  <c r="I528" i="9" s="1"/>
  <c r="H639" i="9"/>
  <c r="H545" i="9" s="1"/>
  <c r="H528" i="9" s="1"/>
  <c r="G639" i="9"/>
  <c r="G545" i="9" s="1"/>
  <c r="G528" i="9" s="1"/>
  <c r="F639" i="9"/>
  <c r="S638" i="9"/>
  <c r="R638" i="9"/>
  <c r="Q638" i="9"/>
  <c r="P638" i="9"/>
  <c r="O638" i="9"/>
  <c r="N638" i="9"/>
  <c r="K638" i="9"/>
  <c r="J638" i="9"/>
  <c r="I638" i="9"/>
  <c r="H638" i="9"/>
  <c r="H544" i="9" s="1"/>
  <c r="H527" i="9" s="1"/>
  <c r="G638" i="9"/>
  <c r="F638" i="9"/>
  <c r="E637" i="9"/>
  <c r="V636" i="9"/>
  <c r="S636" i="9"/>
  <c r="S637" i="9" s="1"/>
  <c r="R636" i="9"/>
  <c r="R637" i="9" s="1"/>
  <c r="Q636" i="9"/>
  <c r="Q637" i="9" s="1"/>
  <c r="P636" i="9"/>
  <c r="P637" i="9" s="1"/>
  <c r="O636" i="9"/>
  <c r="O637" i="9" s="1"/>
  <c r="N636" i="9"/>
  <c r="N637" i="9" s="1"/>
  <c r="K636" i="9"/>
  <c r="K637" i="9" s="1"/>
  <c r="J636" i="9"/>
  <c r="J637" i="9" s="1"/>
  <c r="I636" i="9"/>
  <c r="I637" i="9" s="1"/>
  <c r="H636" i="9"/>
  <c r="H637" i="9" s="1"/>
  <c r="G636" i="9"/>
  <c r="G637" i="9" s="1"/>
  <c r="F636" i="9"/>
  <c r="F637" i="9" s="1"/>
  <c r="V635" i="9"/>
  <c r="S635" i="9"/>
  <c r="R635" i="9"/>
  <c r="Q635" i="9"/>
  <c r="P635" i="9"/>
  <c r="O635" i="9"/>
  <c r="N635" i="9"/>
  <c r="K635" i="9"/>
  <c r="J635" i="9"/>
  <c r="I635" i="9"/>
  <c r="H635" i="9"/>
  <c r="G635" i="9"/>
  <c r="F635" i="9"/>
  <c r="V634" i="9"/>
  <c r="V523" i="9" s="1"/>
  <c r="S634" i="9"/>
  <c r="S523" i="9" s="1"/>
  <c r="R634" i="9"/>
  <c r="R523" i="9" s="1"/>
  <c r="Q634" i="9"/>
  <c r="Q523" i="9" s="1"/>
  <c r="P634" i="9"/>
  <c r="P523" i="9" s="1"/>
  <c r="O634" i="9"/>
  <c r="O523" i="9" s="1"/>
  <c r="N634" i="9"/>
  <c r="K634" i="9"/>
  <c r="K523" i="9" s="1"/>
  <c r="J634" i="9"/>
  <c r="J523" i="9" s="1"/>
  <c r="I634" i="9"/>
  <c r="I523" i="9" s="1"/>
  <c r="H634" i="9"/>
  <c r="H523" i="9" s="1"/>
  <c r="G634" i="9"/>
  <c r="G523" i="9" s="1"/>
  <c r="F634" i="9"/>
  <c r="V633" i="9"/>
  <c r="S633" i="9"/>
  <c r="R633" i="9"/>
  <c r="Q633" i="9"/>
  <c r="P633" i="9"/>
  <c r="O633" i="9"/>
  <c r="N633" i="9"/>
  <c r="K633" i="9"/>
  <c r="J633" i="9"/>
  <c r="I633" i="9"/>
  <c r="H633" i="9"/>
  <c r="G633" i="9"/>
  <c r="F633" i="9"/>
  <c r="V632" i="9"/>
  <c r="S632" i="9"/>
  <c r="R632" i="9"/>
  <c r="Q632" i="9"/>
  <c r="P632" i="9"/>
  <c r="O632" i="9"/>
  <c r="N632" i="9"/>
  <c r="K632" i="9"/>
  <c r="J632" i="9"/>
  <c r="I632" i="9"/>
  <c r="H632" i="9"/>
  <c r="G632" i="9"/>
  <c r="G538" i="9" s="1"/>
  <c r="G521" i="9" s="1"/>
  <c r="F632" i="9"/>
  <c r="L632" i="9" s="1"/>
  <c r="M632" i="9" s="1"/>
  <c r="V631" i="9"/>
  <c r="S631" i="9"/>
  <c r="R631" i="9"/>
  <c r="Q631" i="9"/>
  <c r="P631" i="9"/>
  <c r="O631" i="9"/>
  <c r="N631" i="9"/>
  <c r="K631" i="9"/>
  <c r="J631" i="9"/>
  <c r="J537" i="9" s="1"/>
  <c r="J520" i="9" s="1"/>
  <c r="I631" i="9"/>
  <c r="I537" i="9" s="1"/>
  <c r="I520" i="9" s="1"/>
  <c r="H631" i="9"/>
  <c r="H537" i="9" s="1"/>
  <c r="H520" i="9" s="1"/>
  <c r="G631" i="9"/>
  <c r="G537" i="9" s="1"/>
  <c r="F631" i="9"/>
  <c r="F537" i="9" s="1"/>
  <c r="F520" i="9" s="1"/>
  <c r="V629" i="9"/>
  <c r="S629" i="9"/>
  <c r="R629" i="9"/>
  <c r="R630" i="9" s="1"/>
  <c r="Q629" i="9"/>
  <c r="P629" i="9"/>
  <c r="P630" i="9" s="1"/>
  <c r="O629" i="9"/>
  <c r="N629" i="9"/>
  <c r="N630" i="9" s="1"/>
  <c r="K629" i="9"/>
  <c r="K630" i="9" s="1"/>
  <c r="J629" i="9"/>
  <c r="J630" i="9" s="1"/>
  <c r="I629" i="9"/>
  <c r="H629" i="9"/>
  <c r="H630" i="9" s="1"/>
  <c r="G629" i="9"/>
  <c r="F629" i="9"/>
  <c r="F630" i="9" s="1"/>
  <c r="S628" i="9"/>
  <c r="R628" i="9"/>
  <c r="Q628" i="9"/>
  <c r="P628" i="9"/>
  <c r="O628" i="9"/>
  <c r="N628" i="9"/>
  <c r="T628" i="9" s="1"/>
  <c r="K628" i="9"/>
  <c r="J628" i="9"/>
  <c r="I628" i="9"/>
  <c r="H628" i="9"/>
  <c r="G628" i="9"/>
  <c r="F628" i="9"/>
  <c r="S627" i="9"/>
  <c r="R627" i="9"/>
  <c r="Q627" i="9"/>
  <c r="P627" i="9"/>
  <c r="O627" i="9"/>
  <c r="N627" i="9"/>
  <c r="T627" i="9" s="1"/>
  <c r="K627" i="9"/>
  <c r="J627" i="9"/>
  <c r="I627" i="9"/>
  <c r="H627" i="9"/>
  <c r="G627" i="9"/>
  <c r="F627" i="9"/>
  <c r="S624" i="9"/>
  <c r="R624" i="9"/>
  <c r="Q624" i="9"/>
  <c r="P624" i="9"/>
  <c r="O624" i="9"/>
  <c r="N624" i="9"/>
  <c r="K624" i="9"/>
  <c r="J624" i="9"/>
  <c r="I624" i="9"/>
  <c r="H624" i="9"/>
  <c r="G624" i="9"/>
  <c r="F624" i="9"/>
  <c r="V623" i="9"/>
  <c r="V622" i="9"/>
  <c r="T622" i="9"/>
  <c r="U622" i="9" s="1"/>
  <c r="W622" i="9" s="1"/>
  <c r="L622" i="9"/>
  <c r="M622" i="9" s="1"/>
  <c r="S625" i="9"/>
  <c r="R625" i="9"/>
  <c r="Q625" i="9"/>
  <c r="P625" i="9"/>
  <c r="O625" i="9"/>
  <c r="N625" i="9"/>
  <c r="K625" i="9"/>
  <c r="J625" i="9"/>
  <c r="I625" i="9"/>
  <c r="H625" i="9"/>
  <c r="G625" i="9"/>
  <c r="F625" i="9"/>
  <c r="F626" i="9" s="1"/>
  <c r="E620" i="9"/>
  <c r="V619" i="9"/>
  <c r="T619" i="9"/>
  <c r="L619" i="9"/>
  <c r="M619" i="9" s="1"/>
  <c r="T618" i="9"/>
  <c r="M618" i="9"/>
  <c r="L618" i="9"/>
  <c r="T617" i="9"/>
  <c r="U617" i="9" s="1"/>
  <c r="L617" i="9"/>
  <c r="M617" i="9" s="1"/>
  <c r="V616" i="9"/>
  <c r="V621" i="9" s="1"/>
  <c r="T616" i="9"/>
  <c r="T614" i="9"/>
  <c r="L614" i="9"/>
  <c r="M614" i="9" s="1"/>
  <c r="U613" i="9"/>
  <c r="T613" i="9"/>
  <c r="M613" i="9"/>
  <c r="L613" i="9"/>
  <c r="U612" i="9"/>
  <c r="T612" i="9"/>
  <c r="M612" i="9"/>
  <c r="L612" i="9"/>
  <c r="S609" i="9"/>
  <c r="R609" i="9"/>
  <c r="Q609" i="9"/>
  <c r="P609" i="9"/>
  <c r="O609" i="9"/>
  <c r="N609" i="9"/>
  <c r="K609" i="9"/>
  <c r="J609" i="9"/>
  <c r="I609" i="9"/>
  <c r="H609" i="9"/>
  <c r="G609" i="9"/>
  <c r="F609" i="9"/>
  <c r="V608" i="9"/>
  <c r="V607" i="9"/>
  <c r="T607" i="9"/>
  <c r="U607" i="9" s="1"/>
  <c r="L607" i="9"/>
  <c r="M607" i="9" s="1"/>
  <c r="S610" i="9"/>
  <c r="R606" i="9"/>
  <c r="R610" i="9" s="1"/>
  <c r="Q606" i="9"/>
  <c r="Q610" i="9" s="1"/>
  <c r="P610" i="9"/>
  <c r="O610" i="9"/>
  <c r="N610" i="9"/>
  <c r="K610" i="9"/>
  <c r="J610" i="9"/>
  <c r="I610" i="9"/>
  <c r="H610" i="9"/>
  <c r="G610" i="9"/>
  <c r="F610" i="9"/>
  <c r="F611" i="9" s="1"/>
  <c r="E605" i="9"/>
  <c r="V604" i="9"/>
  <c r="T604" i="9"/>
  <c r="L604" i="9"/>
  <c r="T603" i="9"/>
  <c r="L603" i="9"/>
  <c r="M603" i="9" s="1"/>
  <c r="T602" i="9"/>
  <c r="U602" i="9" s="1"/>
  <c r="L602" i="9"/>
  <c r="M602" i="9" s="1"/>
  <c r="V601" i="9"/>
  <c r="T601" i="9"/>
  <c r="T599" i="9"/>
  <c r="L599" i="9"/>
  <c r="M599" i="9" s="1"/>
  <c r="T598" i="9"/>
  <c r="L598" i="9"/>
  <c r="M598" i="9" s="1"/>
  <c r="T597" i="9"/>
  <c r="L597" i="9"/>
  <c r="M597" i="9" s="1"/>
  <c r="S594" i="9"/>
  <c r="R594" i="9"/>
  <c r="Q594" i="9"/>
  <c r="P594" i="9"/>
  <c r="O594" i="9"/>
  <c r="N594" i="9"/>
  <c r="K594" i="9"/>
  <c r="J594" i="9"/>
  <c r="I594" i="9"/>
  <c r="H594" i="9"/>
  <c r="G594" i="9"/>
  <c r="G595" i="9" s="1"/>
  <c r="F594" i="9"/>
  <c r="V593" i="9"/>
  <c r="V592" i="9"/>
  <c r="U592" i="9"/>
  <c r="W592" i="9" s="1"/>
  <c r="T592" i="9"/>
  <c r="M592" i="9"/>
  <c r="L592" i="9"/>
  <c r="S595" i="9"/>
  <c r="Q595" i="9"/>
  <c r="P593" i="9"/>
  <c r="O595" i="9"/>
  <c r="N593" i="9"/>
  <c r="K595" i="9"/>
  <c r="J593" i="9"/>
  <c r="I595" i="9"/>
  <c r="H593" i="9"/>
  <c r="F593" i="9"/>
  <c r="E590" i="9"/>
  <c r="V589" i="9"/>
  <c r="T589" i="9"/>
  <c r="L589" i="9"/>
  <c r="M589" i="9" s="1"/>
  <c r="T588" i="9"/>
  <c r="L588" i="9"/>
  <c r="T587" i="9"/>
  <c r="L587" i="9"/>
  <c r="M587" i="9" s="1"/>
  <c r="V586" i="9"/>
  <c r="V585" i="9" s="1"/>
  <c r="T586" i="9"/>
  <c r="T584" i="9"/>
  <c r="L584" i="9"/>
  <c r="U583" i="9"/>
  <c r="T583" i="9"/>
  <c r="M583" i="9"/>
  <c r="L583" i="9"/>
  <c r="U582" i="9"/>
  <c r="T582" i="9"/>
  <c r="M582" i="9"/>
  <c r="L582" i="9"/>
  <c r="S579" i="9"/>
  <c r="R579" i="9"/>
  <c r="R564" i="9" s="1"/>
  <c r="Q579" i="9"/>
  <c r="Q564" i="9" s="1"/>
  <c r="P579" i="9"/>
  <c r="P564" i="9" s="1"/>
  <c r="O579" i="9"/>
  <c r="N579" i="9"/>
  <c r="N564" i="9" s="1"/>
  <c r="K579" i="9"/>
  <c r="J579" i="9"/>
  <c r="J564" i="9" s="1"/>
  <c r="I579" i="9"/>
  <c r="I564" i="9" s="1"/>
  <c r="H579" i="9"/>
  <c r="G579" i="9"/>
  <c r="F579" i="9"/>
  <c r="F564" i="9" s="1"/>
  <c r="V578" i="9"/>
  <c r="V577" i="9"/>
  <c r="V562" i="9" s="1"/>
  <c r="T577" i="9"/>
  <c r="U577" i="9" s="1"/>
  <c r="W577" i="9" s="1"/>
  <c r="L577" i="9"/>
  <c r="M577" i="9" s="1"/>
  <c r="S580" i="9"/>
  <c r="R576" i="9"/>
  <c r="R578" i="9" s="1"/>
  <c r="Q576" i="9"/>
  <c r="Q580" i="9" s="1"/>
  <c r="P578" i="9"/>
  <c r="O580" i="9"/>
  <c r="N578" i="9"/>
  <c r="K580" i="9"/>
  <c r="J578" i="9"/>
  <c r="I580" i="9"/>
  <c r="H578" i="9"/>
  <c r="G580" i="9"/>
  <c r="F578" i="9"/>
  <c r="E575" i="9"/>
  <c r="V574" i="9"/>
  <c r="T574" i="9"/>
  <c r="L574" i="9"/>
  <c r="M574" i="9" s="1"/>
  <c r="T573" i="9"/>
  <c r="L573" i="9"/>
  <c r="T572" i="9"/>
  <c r="L572" i="9"/>
  <c r="M572" i="9" s="1"/>
  <c r="V571" i="9"/>
  <c r="V570" i="9" s="1"/>
  <c r="R571" i="9"/>
  <c r="R554" i="9" s="1"/>
  <c r="Q571" i="9"/>
  <c r="Q554" i="9" s="1"/>
  <c r="P571" i="9"/>
  <c r="P554" i="9" s="1"/>
  <c r="O554" i="9"/>
  <c r="K554" i="9"/>
  <c r="K556" i="9" s="1"/>
  <c r="T569" i="9"/>
  <c r="L569" i="9"/>
  <c r="T568" i="9"/>
  <c r="U568" i="9" s="1"/>
  <c r="L568" i="9"/>
  <c r="M568" i="9" s="1"/>
  <c r="T567" i="9"/>
  <c r="L567" i="9"/>
  <c r="U567" i="9" s="1"/>
  <c r="R505" i="9"/>
  <c r="Q505" i="9"/>
  <c r="P505" i="9"/>
  <c r="R510" i="9"/>
  <c r="Q510" i="9"/>
  <c r="Q495" i="9"/>
  <c r="R495" i="9"/>
  <c r="P488" i="9"/>
  <c r="P490" i="9" s="1"/>
  <c r="R490" i="9"/>
  <c r="Q490" i="9"/>
  <c r="S435" i="9"/>
  <c r="R435" i="9"/>
  <c r="Q435" i="9"/>
  <c r="S430" i="9"/>
  <c r="R430" i="9"/>
  <c r="Q428" i="9"/>
  <c r="P428" i="9"/>
  <c r="O351" i="23"/>
  <c r="S373" i="9"/>
  <c r="S368" i="9"/>
  <c r="R373" i="9"/>
  <c r="Q373" i="9"/>
  <c r="R368" i="9"/>
  <c r="P368" i="9"/>
  <c r="Q366" i="9"/>
  <c r="Q289" i="23" s="1"/>
  <c r="O289" i="23"/>
  <c r="S157" i="9"/>
  <c r="S157" i="23" s="1"/>
  <c r="S156" i="23" s="1"/>
  <c r="R157" i="9"/>
  <c r="R157" i="23" s="1"/>
  <c r="R156" i="23" s="1"/>
  <c r="Q157" i="9"/>
  <c r="Q157" i="23" s="1"/>
  <c r="Q156" i="23" s="1"/>
  <c r="P157" i="9"/>
  <c r="P157" i="23" s="1"/>
  <c r="P156" i="23" s="1"/>
  <c r="O157" i="9"/>
  <c r="O157" i="23" s="1"/>
  <c r="O156" i="23" s="1"/>
  <c r="N157" i="9"/>
  <c r="N157" i="23" s="1"/>
  <c r="N156" i="23" s="1"/>
  <c r="I157" i="9"/>
  <c r="I157" i="23" s="1"/>
  <c r="I156" i="23" s="1"/>
  <c r="J157" i="9"/>
  <c r="J157" i="23" s="1"/>
  <c r="J156" i="23" s="1"/>
  <c r="K157" i="9"/>
  <c r="K157" i="23" s="1"/>
  <c r="K156" i="23" s="1"/>
  <c r="S152" i="9"/>
  <c r="S152" i="23" s="1"/>
  <c r="S151" i="23" s="1"/>
  <c r="R152" i="9"/>
  <c r="R152" i="23" s="1"/>
  <c r="R151" i="23" s="1"/>
  <c r="Q152" i="9"/>
  <c r="Q152" i="23" s="1"/>
  <c r="Q151" i="23" s="1"/>
  <c r="P152" i="9"/>
  <c r="P152" i="23" s="1"/>
  <c r="P151" i="23" s="1"/>
  <c r="O152" i="9"/>
  <c r="O152" i="23" s="1"/>
  <c r="O151" i="23" s="1"/>
  <c r="N152" i="9"/>
  <c r="N152" i="23" s="1"/>
  <c r="N151" i="23" s="1"/>
  <c r="H152" i="9"/>
  <c r="H152" i="23" s="1"/>
  <c r="H151" i="23" s="1"/>
  <c r="I152" i="9"/>
  <c r="I152" i="23" s="1"/>
  <c r="I151" i="23" s="1"/>
  <c r="J152" i="9"/>
  <c r="J152" i="23" s="1"/>
  <c r="J151" i="23" s="1"/>
  <c r="K152" i="9"/>
  <c r="K152" i="23" s="1"/>
  <c r="K151" i="23" s="1"/>
  <c r="R142" i="9"/>
  <c r="Q142" i="9"/>
  <c r="P142" i="9"/>
  <c r="O142" i="9"/>
  <c r="N142" i="9"/>
  <c r="S137" i="9"/>
  <c r="R137" i="9"/>
  <c r="Q137" i="9"/>
  <c r="P137" i="9"/>
  <c r="O137" i="9"/>
  <c r="N137" i="9"/>
  <c r="S112" i="9"/>
  <c r="S112" i="23" s="1"/>
  <c r="S111" i="23" s="1"/>
  <c r="O112" i="9"/>
  <c r="O112" i="23" s="1"/>
  <c r="O111" i="23" s="1"/>
  <c r="P112" i="23"/>
  <c r="P111" i="23" s="1"/>
  <c r="Q112" i="9"/>
  <c r="Q112" i="23" s="1"/>
  <c r="Q111" i="23" s="1"/>
  <c r="R112" i="9"/>
  <c r="R112" i="23" s="1"/>
  <c r="R111" i="23" s="1"/>
  <c r="N112" i="23"/>
  <c r="N111" i="23" s="1"/>
  <c r="G112" i="9"/>
  <c r="H112" i="9"/>
  <c r="H112" i="23" s="1"/>
  <c r="H111" i="23" s="1"/>
  <c r="I112" i="9"/>
  <c r="I112" i="23" s="1"/>
  <c r="I111" i="23" s="1"/>
  <c r="J112" i="9"/>
  <c r="J112" i="23" s="1"/>
  <c r="J111" i="23" s="1"/>
  <c r="K112" i="23"/>
  <c r="K111" i="23" s="1"/>
  <c r="N107" i="23"/>
  <c r="N106" i="23" s="1"/>
  <c r="S107" i="9"/>
  <c r="S107" i="23" s="1"/>
  <c r="S106" i="23" s="1"/>
  <c r="R107" i="9"/>
  <c r="R107" i="23" s="1"/>
  <c r="R106" i="23" s="1"/>
  <c r="Q107" i="9"/>
  <c r="Q107" i="23" s="1"/>
  <c r="Q106" i="23" s="1"/>
  <c r="P107" i="23"/>
  <c r="P106" i="23" s="1"/>
  <c r="O107" i="23"/>
  <c r="O106" i="23" s="1"/>
  <c r="H107" i="9"/>
  <c r="H107" i="23" s="1"/>
  <c r="H106" i="23" s="1"/>
  <c r="I107" i="9"/>
  <c r="I107" i="23" s="1"/>
  <c r="I106" i="23" s="1"/>
  <c r="J107" i="9"/>
  <c r="J107" i="23" s="1"/>
  <c r="J106" i="23" s="1"/>
  <c r="K107" i="23"/>
  <c r="K106" i="23" s="1"/>
  <c r="S90" i="9"/>
  <c r="S92" i="9" s="1"/>
  <c r="S60" i="9" s="1"/>
  <c r="R97" i="9"/>
  <c r="Q97" i="9"/>
  <c r="P97" i="9"/>
  <c r="O97" i="9"/>
  <c r="N60" i="9"/>
  <c r="R92" i="9"/>
  <c r="R60" i="9" s="1"/>
  <c r="Q92" i="9"/>
  <c r="Q60" i="9" s="1"/>
  <c r="P92" i="9"/>
  <c r="P60" i="9" s="1"/>
  <c r="O92" i="9"/>
  <c r="O60" i="9" s="1"/>
  <c r="G60" i="9"/>
  <c r="H60" i="9"/>
  <c r="I60" i="9"/>
  <c r="J60" i="9"/>
  <c r="K60" i="9"/>
  <c r="S80" i="9"/>
  <c r="R82" i="9"/>
  <c r="R67" i="9" s="1"/>
  <c r="Q82" i="9"/>
  <c r="Q67" i="9" s="1"/>
  <c r="N67" i="9"/>
  <c r="J67" i="9"/>
  <c r="I67" i="9"/>
  <c r="F82" i="23"/>
  <c r="S77" i="9"/>
  <c r="R77" i="9"/>
  <c r="Q77" i="9"/>
  <c r="P77" i="9"/>
  <c r="S11" i="9"/>
  <c r="R11" i="9"/>
  <c r="Q11" i="9"/>
  <c r="P11" i="9"/>
  <c r="O11" i="9"/>
  <c r="N11" i="9"/>
  <c r="J11" i="9"/>
  <c r="I11" i="9"/>
  <c r="H11" i="9"/>
  <c r="G11" i="9"/>
  <c r="F11" i="9"/>
  <c r="G8" i="9"/>
  <c r="S2" i="9"/>
  <c r="R2" i="9"/>
  <c r="Q2" i="9"/>
  <c r="P2" i="9"/>
  <c r="O2" i="9"/>
  <c r="N2" i="9"/>
  <c r="K2" i="9"/>
  <c r="J2" i="9"/>
  <c r="I2" i="9"/>
  <c r="H2" i="9"/>
  <c r="G2" i="9"/>
  <c r="F2" i="9"/>
  <c r="T2" i="9" s="1"/>
  <c r="U569" i="9" l="1"/>
  <c r="P67" i="9"/>
  <c r="O67" i="9"/>
  <c r="Q351" i="23"/>
  <c r="Q430" i="9"/>
  <c r="Q368" i="9"/>
  <c r="N351" i="23"/>
  <c r="P351" i="23"/>
  <c r="P430" i="9"/>
  <c r="W602" i="9"/>
  <c r="X607" i="9"/>
  <c r="M567" i="9"/>
  <c r="L571" i="9"/>
  <c r="T571" i="9"/>
  <c r="U584" i="9"/>
  <c r="W607" i="9"/>
  <c r="P537" i="9"/>
  <c r="R537" i="9"/>
  <c r="I538" i="9"/>
  <c r="I521" i="9" s="1"/>
  <c r="K538" i="9"/>
  <c r="K521" i="9" s="1"/>
  <c r="U664" i="9"/>
  <c r="X669" i="9" s="1"/>
  <c r="S685" i="9"/>
  <c r="S640" i="9" s="1"/>
  <c r="T701" i="9"/>
  <c r="J524" i="9"/>
  <c r="H524" i="9"/>
  <c r="N540" i="9"/>
  <c r="T540" i="9" s="1"/>
  <c r="O561" i="9"/>
  <c r="O544" i="9" s="1"/>
  <c r="Q561" i="9"/>
  <c r="Q544" i="9" s="1"/>
  <c r="J556" i="9"/>
  <c r="N554" i="9"/>
  <c r="N555" i="9"/>
  <c r="P555" i="9"/>
  <c r="P556" i="9" s="1"/>
  <c r="P541" i="9" s="1"/>
  <c r="P524" i="9" s="1"/>
  <c r="R555" i="9"/>
  <c r="R556" i="9" s="1"/>
  <c r="R541" i="9" s="1"/>
  <c r="R524" i="9" s="1"/>
  <c r="U572" i="9"/>
  <c r="U597" i="9"/>
  <c r="U598" i="9"/>
  <c r="K564" i="9"/>
  <c r="O564" i="9"/>
  <c r="W617" i="9"/>
  <c r="X622" i="9"/>
  <c r="I522" i="9"/>
  <c r="K537" i="9"/>
  <c r="O537" i="9"/>
  <c r="Q537" i="9"/>
  <c r="H538" i="9"/>
  <c r="J538" i="9"/>
  <c r="P538" i="9"/>
  <c r="P521" i="9" s="1"/>
  <c r="R538" i="9"/>
  <c r="R521" i="9" s="1"/>
  <c r="J544" i="9"/>
  <c r="J527" i="9" s="1"/>
  <c r="V545" i="9"/>
  <c r="V528" i="9" s="1"/>
  <c r="J547" i="9"/>
  <c r="P547" i="9"/>
  <c r="R547" i="9"/>
  <c r="M661" i="9"/>
  <c r="M662" i="9" s="1"/>
  <c r="U661" i="9"/>
  <c r="U666" i="9"/>
  <c r="W666" i="9" s="1"/>
  <c r="U674" i="9"/>
  <c r="W674" i="9" s="1"/>
  <c r="U676" i="9"/>
  <c r="U680" i="9"/>
  <c r="U684" i="9"/>
  <c r="W684" i="9" s="1"/>
  <c r="O685" i="9"/>
  <c r="O640" i="9" s="1"/>
  <c r="U690" i="9"/>
  <c r="W690" i="9" s="1"/>
  <c r="U694" i="9"/>
  <c r="U696" i="9"/>
  <c r="W696" i="9" s="1"/>
  <c r="L714" i="9"/>
  <c r="M714" i="9" s="1"/>
  <c r="U720" i="9"/>
  <c r="W720" i="9" s="1"/>
  <c r="U740" i="9"/>
  <c r="U744" i="9"/>
  <c r="W744" i="9" s="1"/>
  <c r="N561" i="9"/>
  <c r="P561" i="9"/>
  <c r="P544" i="9" s="1"/>
  <c r="P527" i="9" s="1"/>
  <c r="R561" i="9"/>
  <c r="R544" i="9" s="1"/>
  <c r="R527" i="9" s="1"/>
  <c r="I556" i="9"/>
  <c r="O555" i="9"/>
  <c r="O556" i="9" s="1"/>
  <c r="O541" i="9" s="1"/>
  <c r="O524" i="9" s="1"/>
  <c r="Q555" i="9"/>
  <c r="Q556" i="9" s="1"/>
  <c r="Q541" i="9" s="1"/>
  <c r="Q524" i="9" s="1"/>
  <c r="K561" i="9"/>
  <c r="I524" i="9"/>
  <c r="H556" i="9"/>
  <c r="G556" i="9"/>
  <c r="H67" i="9"/>
  <c r="G67" i="9"/>
  <c r="G524" i="9"/>
  <c r="K524" i="9"/>
  <c r="H564" i="9"/>
  <c r="H547" i="9" s="1"/>
  <c r="L609" i="9"/>
  <c r="M609" i="9" s="1"/>
  <c r="G564" i="9"/>
  <c r="L594" i="9"/>
  <c r="M594" i="9" s="1"/>
  <c r="L579" i="9"/>
  <c r="M579" i="9" s="1"/>
  <c r="S61" i="9"/>
  <c r="S44" i="9"/>
  <c r="O61" i="9"/>
  <c r="O44" i="9"/>
  <c r="Q61" i="9"/>
  <c r="Q44" i="9"/>
  <c r="N61" i="9"/>
  <c r="N44" i="9"/>
  <c r="P61" i="9"/>
  <c r="P44" i="9"/>
  <c r="R61" i="9"/>
  <c r="R44" i="9"/>
  <c r="S79" i="23"/>
  <c r="I61" i="9"/>
  <c r="I44" i="9"/>
  <c r="J61" i="9"/>
  <c r="J44" i="9"/>
  <c r="G61" i="9"/>
  <c r="G44" i="9"/>
  <c r="G520" i="9"/>
  <c r="G522" i="9" s="1"/>
  <c r="G539" i="9"/>
  <c r="K520" i="9"/>
  <c r="K522" i="9" s="1"/>
  <c r="K539" i="9"/>
  <c r="O520" i="9"/>
  <c r="Q520" i="9"/>
  <c r="H539" i="9"/>
  <c r="H521" i="9"/>
  <c r="J539" i="9"/>
  <c r="J521" i="9"/>
  <c r="T632" i="9"/>
  <c r="N538" i="9"/>
  <c r="L634" i="9"/>
  <c r="M634" i="9" s="1"/>
  <c r="T634" i="9"/>
  <c r="N523" i="9"/>
  <c r="T523" i="9" s="1"/>
  <c r="T638" i="9"/>
  <c r="N544" i="9"/>
  <c r="N527" i="9" s="1"/>
  <c r="L639" i="9"/>
  <c r="M639" i="9" s="1"/>
  <c r="T639" i="9"/>
  <c r="N545" i="9"/>
  <c r="N528" i="9" s="1"/>
  <c r="W694" i="9"/>
  <c r="W740" i="9"/>
  <c r="H522" i="9"/>
  <c r="J522" i="9"/>
  <c r="P539" i="9"/>
  <c r="P520" i="9"/>
  <c r="P522" i="9" s="1"/>
  <c r="R539" i="9"/>
  <c r="R520" i="9"/>
  <c r="R522" i="9" s="1"/>
  <c r="L633" i="9"/>
  <c r="M633" i="9" s="1"/>
  <c r="T633" i="9"/>
  <c r="L635" i="9"/>
  <c r="M635" i="9" s="1"/>
  <c r="V671" i="9"/>
  <c r="V667" i="9"/>
  <c r="W736" i="9"/>
  <c r="U649" i="9"/>
  <c r="X654" i="9" s="1"/>
  <c r="L656" i="9"/>
  <c r="M656" i="9" s="1"/>
  <c r="U668" i="9"/>
  <c r="U667" i="9" s="1"/>
  <c r="U675" i="9"/>
  <c r="W675" i="9" s="1"/>
  <c r="L678" i="9"/>
  <c r="T678" i="9"/>
  <c r="U679" i="9"/>
  <c r="U681" i="9"/>
  <c r="X681" i="9" s="1"/>
  <c r="G685" i="9"/>
  <c r="G640" i="9" s="1"/>
  <c r="K685" i="9"/>
  <c r="K640" i="9" s="1"/>
  <c r="Q685" i="9"/>
  <c r="Q640" i="9" s="1"/>
  <c r="U689" i="9"/>
  <c r="W689" i="9" s="1"/>
  <c r="U691" i="9"/>
  <c r="X696" i="9" s="1"/>
  <c r="L693" i="9"/>
  <c r="M693" i="9" s="1"/>
  <c r="F700" i="9"/>
  <c r="J700" i="9"/>
  <c r="P700" i="9"/>
  <c r="L704" i="9"/>
  <c r="M704" i="9" s="1"/>
  <c r="H707" i="9"/>
  <c r="J707" i="9"/>
  <c r="N707" i="9"/>
  <c r="P707" i="9"/>
  <c r="R707" i="9"/>
  <c r="L709" i="9"/>
  <c r="M709" i="9" s="1"/>
  <c r="T709" i="9"/>
  <c r="J712" i="9"/>
  <c r="T711" i="9"/>
  <c r="R712" i="9"/>
  <c r="N547" i="9"/>
  <c r="F545" i="9"/>
  <c r="F528" i="9" s="1"/>
  <c r="S544" i="9"/>
  <c r="U662" i="9"/>
  <c r="X666" i="9"/>
  <c r="X668" i="9"/>
  <c r="M667" i="9"/>
  <c r="W681" i="9"/>
  <c r="I685" i="9"/>
  <c r="I640" i="9" s="1"/>
  <c r="H700" i="9"/>
  <c r="N700" i="9"/>
  <c r="R700" i="9"/>
  <c r="Q702" i="9"/>
  <c r="O707" i="9"/>
  <c r="Q707" i="9"/>
  <c r="S707" i="9"/>
  <c r="P716" i="9"/>
  <c r="R716" i="9"/>
  <c r="I712" i="9"/>
  <c r="K712" i="9"/>
  <c r="T714" i="9"/>
  <c r="U719" i="9"/>
  <c r="W719" i="9" s="1"/>
  <c r="U721" i="9"/>
  <c r="U739" i="9"/>
  <c r="U741" i="9"/>
  <c r="X741" i="9" s="1"/>
  <c r="V715" i="9"/>
  <c r="K544" i="9"/>
  <c r="K527" i="9" s="1"/>
  <c r="I544" i="9"/>
  <c r="I527" i="9" s="1"/>
  <c r="S524" i="9"/>
  <c r="S538" i="9"/>
  <c r="K547" i="9"/>
  <c r="I547" i="9"/>
  <c r="G547" i="9"/>
  <c r="O547" i="9"/>
  <c r="Q547" i="9"/>
  <c r="G561" i="9"/>
  <c r="G544" i="9" s="1"/>
  <c r="G527" i="9" s="1"/>
  <c r="F544" i="9"/>
  <c r="F527" i="9" s="1"/>
  <c r="W569" i="9"/>
  <c r="W730" i="13"/>
  <c r="X730" i="13"/>
  <c r="X698" i="11"/>
  <c r="U700" i="11"/>
  <c r="L538" i="11"/>
  <c r="M538" i="11" s="1"/>
  <c r="F521" i="11"/>
  <c r="L521" i="11" s="1"/>
  <c r="U618" i="9"/>
  <c r="W618" i="9" s="1"/>
  <c r="F547" i="9"/>
  <c r="X591" i="11"/>
  <c r="T594" i="9"/>
  <c r="W584" i="9"/>
  <c r="M584" i="9"/>
  <c r="U614" i="9"/>
  <c r="L616" i="9"/>
  <c r="M616" i="9" s="1"/>
  <c r="M615" i="9" s="1"/>
  <c r="V606" i="9"/>
  <c r="T609" i="9"/>
  <c r="S537" i="9"/>
  <c r="S520" i="9" s="1"/>
  <c r="T555" i="9"/>
  <c r="V563" i="9"/>
  <c r="V546" i="9" s="1"/>
  <c r="V529" i="9" s="1"/>
  <c r="V554" i="9"/>
  <c r="V537" i="9" s="1"/>
  <c r="S564" i="9"/>
  <c r="S547" i="9" s="1"/>
  <c r="V555" i="9"/>
  <c r="V538" i="9" s="1"/>
  <c r="V521" i="9" s="1"/>
  <c r="S521" i="9"/>
  <c r="N521" i="9"/>
  <c r="T521" i="11"/>
  <c r="M521" i="11"/>
  <c r="U521" i="11"/>
  <c r="W521" i="11" s="1"/>
  <c r="W593" i="13"/>
  <c r="W623" i="13"/>
  <c r="W730" i="11"/>
  <c r="U623" i="11"/>
  <c r="X623" i="11" s="1"/>
  <c r="U727" i="11"/>
  <c r="W728" i="11"/>
  <c r="W727" i="11" s="1"/>
  <c r="U667" i="11"/>
  <c r="W668" i="11"/>
  <c r="W667" i="11" s="1"/>
  <c r="W670" i="11"/>
  <c r="U620" i="11"/>
  <c r="W621" i="11"/>
  <c r="W620" i="11" s="1"/>
  <c r="W594" i="11"/>
  <c r="W591" i="11"/>
  <c r="W590" i="11" s="1"/>
  <c r="I539" i="9"/>
  <c r="V630" i="9"/>
  <c r="T635" i="9"/>
  <c r="N655" i="9"/>
  <c r="O657" i="9"/>
  <c r="O642" i="9" s="1"/>
  <c r="Q657" i="9"/>
  <c r="Q642" i="9" s="1"/>
  <c r="S657" i="9"/>
  <c r="S642" i="9" s="1"/>
  <c r="U650" i="9"/>
  <c r="R655" i="9"/>
  <c r="O630" i="9"/>
  <c r="Q630" i="9"/>
  <c r="S630" i="9"/>
  <c r="T631" i="9"/>
  <c r="U644" i="9"/>
  <c r="U645" i="9"/>
  <c r="T648" i="9"/>
  <c r="U648" i="9" s="1"/>
  <c r="L638" i="9"/>
  <c r="M638" i="9" s="1"/>
  <c r="L641" i="9"/>
  <c r="M641" i="9" s="1"/>
  <c r="M650" i="9"/>
  <c r="G657" i="9"/>
  <c r="G642" i="9" s="1"/>
  <c r="I657" i="9"/>
  <c r="I642" i="9" s="1"/>
  <c r="K657" i="9"/>
  <c r="K642" i="9" s="1"/>
  <c r="G630" i="9"/>
  <c r="I630" i="9"/>
  <c r="L631" i="9"/>
  <c r="U631" i="9" s="1"/>
  <c r="W631" i="9" s="1"/>
  <c r="L627" i="9"/>
  <c r="M627" i="9" s="1"/>
  <c r="L628" i="9"/>
  <c r="M628" i="9" s="1"/>
  <c r="M644" i="9"/>
  <c r="M645" i="9"/>
  <c r="U646" i="9"/>
  <c r="V737" i="9"/>
  <c r="V708" i="9"/>
  <c r="V707" i="9" s="1"/>
  <c r="O716" i="9"/>
  <c r="Q716" i="9"/>
  <c r="S716" i="9"/>
  <c r="N712" i="9"/>
  <c r="R717" i="9"/>
  <c r="U725" i="9"/>
  <c r="T731" i="9"/>
  <c r="T708" i="9"/>
  <c r="T710" i="9"/>
  <c r="P717" i="9"/>
  <c r="N716" i="9"/>
  <c r="N717" i="9" s="1"/>
  <c r="L711" i="9"/>
  <c r="M711" i="9" s="1"/>
  <c r="L710" i="9"/>
  <c r="M710" i="9" s="1"/>
  <c r="G717" i="9"/>
  <c r="I717" i="9"/>
  <c r="K717" i="9"/>
  <c r="F716" i="9"/>
  <c r="L716" i="9" s="1"/>
  <c r="M716" i="9" s="1"/>
  <c r="M725" i="9"/>
  <c r="U726" i="9"/>
  <c r="I730" i="9"/>
  <c r="F712" i="9"/>
  <c r="H717" i="9"/>
  <c r="J717" i="9"/>
  <c r="G732" i="9"/>
  <c r="G733" i="9" s="1"/>
  <c r="H733" i="9" s="1"/>
  <c r="I733" i="9" s="1"/>
  <c r="J733" i="9" s="1"/>
  <c r="K732" i="9"/>
  <c r="P712" i="9"/>
  <c r="G712" i="9"/>
  <c r="H712" i="9"/>
  <c r="G748" i="9"/>
  <c r="L738" i="9"/>
  <c r="M738" i="9" s="1"/>
  <c r="M737" i="9" s="1"/>
  <c r="G707" i="9"/>
  <c r="I707" i="9"/>
  <c r="K707" i="9"/>
  <c r="L708" i="9"/>
  <c r="M708" i="9" s="1"/>
  <c r="F707" i="9"/>
  <c r="T624" i="9"/>
  <c r="L624" i="9"/>
  <c r="M624" i="9" s="1"/>
  <c r="V615" i="9"/>
  <c r="O623" i="9"/>
  <c r="S623" i="9"/>
  <c r="Q623" i="9"/>
  <c r="Q546" i="23" s="1"/>
  <c r="I623" i="9"/>
  <c r="U619" i="9"/>
  <c r="G623" i="9"/>
  <c r="K623" i="9"/>
  <c r="U603" i="9"/>
  <c r="U604" i="9"/>
  <c r="M604" i="9"/>
  <c r="L601" i="9"/>
  <c r="L600" i="9" s="1"/>
  <c r="U599" i="9"/>
  <c r="N608" i="9"/>
  <c r="N563" i="9" s="1"/>
  <c r="R608" i="9"/>
  <c r="P608" i="9"/>
  <c r="P563" i="9" s="1"/>
  <c r="H608" i="9"/>
  <c r="F608" i="9"/>
  <c r="J608" i="9"/>
  <c r="W604" i="9"/>
  <c r="V600" i="9"/>
  <c r="U588" i="9"/>
  <c r="W588" i="9" s="1"/>
  <c r="O593" i="9"/>
  <c r="S593" i="9"/>
  <c r="Q593" i="9"/>
  <c r="I593" i="9"/>
  <c r="G593" i="9"/>
  <c r="L593" i="9" s="1"/>
  <c r="M593" i="9" s="1"/>
  <c r="K593" i="9"/>
  <c r="M588" i="9"/>
  <c r="U573" i="9"/>
  <c r="T579" i="9"/>
  <c r="M573" i="9"/>
  <c r="U574" i="9"/>
  <c r="W574" i="9" s="1"/>
  <c r="M569" i="9"/>
  <c r="U579" i="9"/>
  <c r="M571" i="9"/>
  <c r="L570" i="9"/>
  <c r="U571" i="9"/>
  <c r="T570" i="9"/>
  <c r="W571" i="9"/>
  <c r="W570" i="9" s="1"/>
  <c r="T585" i="9"/>
  <c r="L576" i="9"/>
  <c r="T576" i="9"/>
  <c r="V576" i="9"/>
  <c r="G578" i="9"/>
  <c r="I578" i="9"/>
  <c r="K578" i="9"/>
  <c r="O578" i="9"/>
  <c r="Q578" i="9"/>
  <c r="S578" i="9"/>
  <c r="F580" i="9"/>
  <c r="F581" i="9" s="1"/>
  <c r="G581" i="9" s="1"/>
  <c r="H580" i="9"/>
  <c r="J580" i="9"/>
  <c r="N580" i="9"/>
  <c r="P580" i="9"/>
  <c r="R580" i="9"/>
  <c r="U587" i="9"/>
  <c r="L591" i="9"/>
  <c r="V591" i="9"/>
  <c r="H595" i="9"/>
  <c r="N595" i="9"/>
  <c r="U627" i="9"/>
  <c r="U628" i="9"/>
  <c r="U632" i="9"/>
  <c r="W632" i="9" s="1"/>
  <c r="U634" i="9"/>
  <c r="U638" i="9"/>
  <c r="U639" i="9"/>
  <c r="W639" i="9" s="1"/>
  <c r="U641" i="9"/>
  <c r="L647" i="9"/>
  <c r="M648" i="9"/>
  <c r="M647" i="9" s="1"/>
  <c r="T647" i="9"/>
  <c r="U589" i="9"/>
  <c r="W589" i="9" s="1"/>
  <c r="R595" i="9"/>
  <c r="R593" i="9"/>
  <c r="R563" i="9" s="1"/>
  <c r="T591" i="9"/>
  <c r="F595" i="9"/>
  <c r="F596" i="9" s="1"/>
  <c r="G596" i="9" s="1"/>
  <c r="J595" i="9"/>
  <c r="P595" i="9"/>
  <c r="T600" i="9"/>
  <c r="V605" i="9"/>
  <c r="W603" i="9"/>
  <c r="G611" i="9"/>
  <c r="H611" i="9" s="1"/>
  <c r="I611" i="9" s="1"/>
  <c r="J611" i="9" s="1"/>
  <c r="K611" i="9" s="1"/>
  <c r="N611" i="9" s="1"/>
  <c r="O611" i="9" s="1"/>
  <c r="P611" i="9" s="1"/>
  <c r="Q611" i="9" s="1"/>
  <c r="R611" i="9" s="1"/>
  <c r="S611" i="9" s="1"/>
  <c r="T615" i="9"/>
  <c r="V624" i="9"/>
  <c r="V620" i="9"/>
  <c r="G626" i="9"/>
  <c r="H626" i="9" s="1"/>
  <c r="I626" i="9" s="1"/>
  <c r="J626" i="9" s="1"/>
  <c r="K626" i="9" s="1"/>
  <c r="N626" i="9" s="1"/>
  <c r="O626" i="9" s="1"/>
  <c r="P626" i="9" s="1"/>
  <c r="Q626" i="9" s="1"/>
  <c r="R626" i="9" s="1"/>
  <c r="S626" i="9" s="1"/>
  <c r="M631" i="9"/>
  <c r="U633" i="9"/>
  <c r="X638" i="9" s="1"/>
  <c r="U635" i="9"/>
  <c r="W635" i="9" s="1"/>
  <c r="W646" i="9"/>
  <c r="L606" i="9"/>
  <c r="T606" i="9"/>
  <c r="G608" i="9"/>
  <c r="I608" i="9"/>
  <c r="K608" i="9"/>
  <c r="O608" i="9"/>
  <c r="Q608" i="9"/>
  <c r="S608" i="9"/>
  <c r="W614" i="9"/>
  <c r="F623" i="9"/>
  <c r="F563" i="9" s="1"/>
  <c r="H623" i="9"/>
  <c r="J623" i="9"/>
  <c r="N623" i="9"/>
  <c r="P623" i="9"/>
  <c r="P546" i="23" s="1"/>
  <c r="R623" i="9"/>
  <c r="R546" i="23" s="1"/>
  <c r="W649" i="9"/>
  <c r="U651" i="9"/>
  <c r="W651" i="9" s="1"/>
  <c r="T653" i="9"/>
  <c r="H655" i="9"/>
  <c r="P655" i="9"/>
  <c r="G658" i="9"/>
  <c r="H658" i="9" s="1"/>
  <c r="I658" i="9" s="1"/>
  <c r="T656" i="9"/>
  <c r="U656" i="9" s="1"/>
  <c r="L677" i="9"/>
  <c r="M678" i="9"/>
  <c r="M677" i="9" s="1"/>
  <c r="T677" i="9"/>
  <c r="U678" i="9"/>
  <c r="V686" i="9"/>
  <c r="V682" i="9"/>
  <c r="G688" i="9"/>
  <c r="W691" i="9"/>
  <c r="M692" i="9"/>
  <c r="L621" i="9"/>
  <c r="T621" i="9"/>
  <c r="L629" i="9"/>
  <c r="M629" i="9" s="1"/>
  <c r="T629" i="9"/>
  <c r="L636" i="9"/>
  <c r="M636" i="9" s="1"/>
  <c r="T636" i="9"/>
  <c r="L653" i="9"/>
  <c r="V653" i="9"/>
  <c r="F655" i="9"/>
  <c r="J655" i="9"/>
  <c r="U665" i="9"/>
  <c r="X670" i="9" s="1"/>
  <c r="U670" i="9"/>
  <c r="W670" i="9" s="1"/>
  <c r="H688" i="9"/>
  <c r="I688" i="9" s="1"/>
  <c r="J688" i="9" s="1"/>
  <c r="K688" i="9" s="1"/>
  <c r="N688" i="9" s="1"/>
  <c r="O688" i="9" s="1"/>
  <c r="P688" i="9" s="1"/>
  <c r="Q688" i="9" s="1"/>
  <c r="R688" i="9" s="1"/>
  <c r="S688" i="9" s="1"/>
  <c r="U686" i="9"/>
  <c r="W661" i="9"/>
  <c r="W664" i="9"/>
  <c r="L667" i="9"/>
  <c r="W668" i="9"/>
  <c r="W667" i="9" s="1"/>
  <c r="F671" i="9"/>
  <c r="T671" i="9"/>
  <c r="W676" i="9"/>
  <c r="W678" i="9"/>
  <c r="W680" i="9"/>
  <c r="F685" i="9"/>
  <c r="H685" i="9"/>
  <c r="J685" i="9"/>
  <c r="N685" i="9"/>
  <c r="P685" i="9"/>
  <c r="R685" i="9"/>
  <c r="R640" i="9" s="1"/>
  <c r="L692" i="9"/>
  <c r="T693" i="9"/>
  <c r="U695" i="9"/>
  <c r="U699" i="9"/>
  <c r="X699" i="9" s="1"/>
  <c r="L701" i="9"/>
  <c r="M701" i="9" s="1"/>
  <c r="I702" i="9"/>
  <c r="O702" i="9"/>
  <c r="S702" i="9"/>
  <c r="T704" i="9"/>
  <c r="U704" i="9" s="1"/>
  <c r="W704" i="9" s="1"/>
  <c r="T705" i="9"/>
  <c r="U705" i="9" s="1"/>
  <c r="W705" i="9" s="1"/>
  <c r="U709" i="9"/>
  <c r="U711" i="9"/>
  <c r="W711" i="9" s="1"/>
  <c r="T716" i="9"/>
  <c r="M723" i="9"/>
  <c r="M722" i="9" s="1"/>
  <c r="L722" i="9"/>
  <c r="U723" i="9"/>
  <c r="T722" i="9"/>
  <c r="W663" i="9"/>
  <c r="L683" i="9"/>
  <c r="T683" i="9"/>
  <c r="V701" i="9"/>
  <c r="V697" i="9"/>
  <c r="G702" i="9"/>
  <c r="G703" i="9" s="1"/>
  <c r="H703" i="9" s="1"/>
  <c r="K702" i="9"/>
  <c r="U708" i="9"/>
  <c r="U710" i="9"/>
  <c r="U714" i="9"/>
  <c r="W714" i="9" s="1"/>
  <c r="L698" i="9"/>
  <c r="T698" i="9"/>
  <c r="L706" i="9"/>
  <c r="M706" i="9" s="1"/>
  <c r="T706" i="9"/>
  <c r="O713" i="9"/>
  <c r="Q713" i="9"/>
  <c r="S713" i="9"/>
  <c r="V728" i="9"/>
  <c r="U724" i="9"/>
  <c r="W726" i="9"/>
  <c r="O730" i="9"/>
  <c r="S730" i="9"/>
  <c r="L731" i="9"/>
  <c r="M731" i="9" s="1"/>
  <c r="U735" i="9"/>
  <c r="W735" i="9" s="1"/>
  <c r="W741" i="9"/>
  <c r="H748" i="9"/>
  <c r="U746" i="9"/>
  <c r="L713" i="9"/>
  <c r="Q730" i="9"/>
  <c r="L737" i="9"/>
  <c r="T737" i="9"/>
  <c r="V746" i="9"/>
  <c r="V742" i="9"/>
  <c r="I748" i="9"/>
  <c r="J748" i="9" s="1"/>
  <c r="K748" i="9" s="1"/>
  <c r="N748" i="9" s="1"/>
  <c r="O748" i="9" s="1"/>
  <c r="P748" i="9" s="1"/>
  <c r="Q748" i="9" s="1"/>
  <c r="R748" i="9" s="1"/>
  <c r="S748" i="9" s="1"/>
  <c r="L728" i="9"/>
  <c r="T728" i="9"/>
  <c r="F730" i="9"/>
  <c r="H730" i="9"/>
  <c r="J730" i="9"/>
  <c r="N730" i="9"/>
  <c r="P730" i="9"/>
  <c r="R730" i="9"/>
  <c r="L743" i="9"/>
  <c r="T743" i="9"/>
  <c r="F745" i="9"/>
  <c r="H745" i="9"/>
  <c r="J745" i="9"/>
  <c r="N745" i="9"/>
  <c r="P745" i="9"/>
  <c r="R745" i="9"/>
  <c r="G745" i="9"/>
  <c r="G715" i="9" s="1"/>
  <c r="I745" i="9"/>
  <c r="I715" i="9" s="1"/>
  <c r="K745" i="9"/>
  <c r="K715" i="9" s="1"/>
  <c r="O745" i="9"/>
  <c r="Q745" i="9"/>
  <c r="S745" i="9"/>
  <c r="S373" i="8"/>
  <c r="R373" i="8"/>
  <c r="Q373" i="8"/>
  <c r="N296" i="23"/>
  <c r="S368" i="8"/>
  <c r="Q368" i="8"/>
  <c r="O291" i="23"/>
  <c r="F291" i="23"/>
  <c r="R366" i="8"/>
  <c r="Q366" i="8"/>
  <c r="P366" i="8"/>
  <c r="N289" i="23"/>
  <c r="S562" i="8"/>
  <c r="R562" i="8"/>
  <c r="Q562" i="8"/>
  <c r="P562" i="8"/>
  <c r="O562" i="8"/>
  <c r="N562" i="8"/>
  <c r="F562" i="8"/>
  <c r="F593" i="8"/>
  <c r="G562" i="8"/>
  <c r="H562" i="8"/>
  <c r="I562" i="8"/>
  <c r="J562" i="8"/>
  <c r="K562" i="8"/>
  <c r="V558" i="8"/>
  <c r="V557" i="8"/>
  <c r="S558" i="8"/>
  <c r="R558" i="8"/>
  <c r="Q558" i="8"/>
  <c r="P558" i="8"/>
  <c r="O558" i="8"/>
  <c r="N558" i="8"/>
  <c r="S557" i="8"/>
  <c r="R557" i="8"/>
  <c r="Q557" i="8"/>
  <c r="P557" i="8"/>
  <c r="O557" i="8"/>
  <c r="N557" i="8"/>
  <c r="S591" i="8"/>
  <c r="S514" i="23" s="1"/>
  <c r="R591" i="8"/>
  <c r="R514" i="23" s="1"/>
  <c r="Q591" i="8"/>
  <c r="Q514" i="23" s="1"/>
  <c r="P591" i="8"/>
  <c r="P514" i="23" s="1"/>
  <c r="O591" i="8"/>
  <c r="O514" i="23" s="1"/>
  <c r="N591" i="8"/>
  <c r="K591" i="8"/>
  <c r="K514" i="23" s="1"/>
  <c r="J591" i="8"/>
  <c r="J514" i="23" s="1"/>
  <c r="I591" i="8"/>
  <c r="I514" i="23" s="1"/>
  <c r="H591" i="8"/>
  <c r="H514" i="23" s="1"/>
  <c r="G591" i="8"/>
  <c r="V589" i="8"/>
  <c r="T589" i="8"/>
  <c r="L589" i="8"/>
  <c r="M589" i="8" s="1"/>
  <c r="T588" i="8"/>
  <c r="L588" i="8"/>
  <c r="M588" i="8" s="1"/>
  <c r="T587" i="8"/>
  <c r="L587" i="8"/>
  <c r="M587" i="8" s="1"/>
  <c r="V586" i="8"/>
  <c r="V591" i="8" s="1"/>
  <c r="S586" i="8"/>
  <c r="S509" i="23" s="1"/>
  <c r="R586" i="8"/>
  <c r="R509" i="23" s="1"/>
  <c r="Q586" i="8"/>
  <c r="Q509" i="23" s="1"/>
  <c r="P586" i="8"/>
  <c r="P509" i="23" s="1"/>
  <c r="O586" i="8"/>
  <c r="O509" i="23" s="1"/>
  <c r="N586" i="8"/>
  <c r="K586" i="8"/>
  <c r="K509" i="23" s="1"/>
  <c r="J586" i="8"/>
  <c r="J509" i="23" s="1"/>
  <c r="I586" i="8"/>
  <c r="H586" i="8"/>
  <c r="H509" i="23" s="1"/>
  <c r="G586" i="8"/>
  <c r="G509" i="23" s="1"/>
  <c r="V585" i="8"/>
  <c r="T584" i="8"/>
  <c r="L584" i="8"/>
  <c r="M584" i="8" s="1"/>
  <c r="S621" i="8"/>
  <c r="R621" i="8"/>
  <c r="Q621" i="8"/>
  <c r="P621" i="8"/>
  <c r="O621" i="8"/>
  <c r="N621" i="8"/>
  <c r="G621" i="8"/>
  <c r="H621" i="8"/>
  <c r="I621" i="8"/>
  <c r="J621" i="8"/>
  <c r="K621" i="8"/>
  <c r="S616" i="8"/>
  <c r="R616" i="8"/>
  <c r="Q616" i="8"/>
  <c r="P616" i="8"/>
  <c r="O616" i="8"/>
  <c r="N616" i="8"/>
  <c r="G616" i="8"/>
  <c r="H616" i="8"/>
  <c r="H555" i="8" s="1"/>
  <c r="I616" i="8"/>
  <c r="J616" i="8"/>
  <c r="J555" i="8" s="1"/>
  <c r="K616" i="8"/>
  <c r="V635" i="8"/>
  <c r="V634" i="8"/>
  <c r="V633" i="8"/>
  <c r="S634" i="8"/>
  <c r="R634" i="8"/>
  <c r="Q634" i="8"/>
  <c r="P634" i="8"/>
  <c r="O634" i="8"/>
  <c r="N634" i="8"/>
  <c r="T634" i="8" s="1"/>
  <c r="S633" i="8"/>
  <c r="R633" i="8"/>
  <c r="Q633" i="8"/>
  <c r="P633" i="8"/>
  <c r="O633" i="8"/>
  <c r="N633" i="8"/>
  <c r="T633" i="8" s="1"/>
  <c r="G633" i="8"/>
  <c r="H633" i="8"/>
  <c r="I633" i="8"/>
  <c r="J633" i="8"/>
  <c r="K633" i="8"/>
  <c r="G634" i="8"/>
  <c r="H634" i="8"/>
  <c r="I634" i="8"/>
  <c r="J634" i="8"/>
  <c r="K634" i="8"/>
  <c r="G665" i="8"/>
  <c r="G588" i="23" s="1"/>
  <c r="G558" i="23" s="1"/>
  <c r="H665" i="8"/>
  <c r="H588" i="23" s="1"/>
  <c r="H558" i="23" s="1"/>
  <c r="I665" i="8"/>
  <c r="I588" i="23" s="1"/>
  <c r="I558" i="23" s="1"/>
  <c r="J665" i="8"/>
  <c r="J588" i="23" s="1"/>
  <c r="J558" i="23" s="1"/>
  <c r="K665" i="8"/>
  <c r="K588" i="23" s="1"/>
  <c r="K558" i="23" s="1"/>
  <c r="F633" i="8"/>
  <c r="L633" i="8" s="1"/>
  <c r="M633" i="8" s="1"/>
  <c r="S710" i="8"/>
  <c r="R710" i="8"/>
  <c r="Q710" i="8"/>
  <c r="P710" i="8"/>
  <c r="O710" i="8"/>
  <c r="N710" i="8"/>
  <c r="S709" i="8"/>
  <c r="R709" i="8"/>
  <c r="Q709" i="8"/>
  <c r="P709" i="8"/>
  <c r="O709" i="8"/>
  <c r="N709" i="8"/>
  <c r="G709" i="8"/>
  <c r="H709" i="8"/>
  <c r="I709" i="8"/>
  <c r="J709" i="8"/>
  <c r="K709" i="8"/>
  <c r="G710" i="8"/>
  <c r="H710" i="8"/>
  <c r="I710" i="8"/>
  <c r="J710" i="8"/>
  <c r="K710" i="8"/>
  <c r="K716" i="8" s="1"/>
  <c r="F709" i="8"/>
  <c r="F710" i="8"/>
  <c r="S714" i="8"/>
  <c r="R714" i="8"/>
  <c r="Q714" i="8"/>
  <c r="P714" i="8"/>
  <c r="O714" i="8"/>
  <c r="N714" i="8"/>
  <c r="F714" i="8"/>
  <c r="G714" i="8"/>
  <c r="H714" i="8"/>
  <c r="I714" i="8"/>
  <c r="J714" i="8"/>
  <c r="K714" i="8"/>
  <c r="S746" i="8"/>
  <c r="R746" i="8"/>
  <c r="Q746" i="8"/>
  <c r="P746" i="8"/>
  <c r="O746" i="8"/>
  <c r="N746" i="8"/>
  <c r="K746" i="8"/>
  <c r="J746" i="8"/>
  <c r="I746" i="8"/>
  <c r="H746" i="8"/>
  <c r="G746" i="8"/>
  <c r="F746" i="8"/>
  <c r="V745" i="8"/>
  <c r="V744" i="8"/>
  <c r="T744" i="8"/>
  <c r="U744" i="8" s="1"/>
  <c r="W744" i="8" s="1"/>
  <c r="M744" i="8"/>
  <c r="L744" i="8"/>
  <c r="S743" i="8"/>
  <c r="R743" i="8"/>
  <c r="Q743" i="8"/>
  <c r="P743" i="8"/>
  <c r="O743" i="8"/>
  <c r="N743" i="8"/>
  <c r="K743" i="8"/>
  <c r="J743" i="8"/>
  <c r="I743" i="8"/>
  <c r="H743" i="8"/>
  <c r="G743" i="8"/>
  <c r="F743" i="8"/>
  <c r="E742" i="8"/>
  <c r="V741" i="8"/>
  <c r="T741" i="8"/>
  <c r="U741" i="8" s="1"/>
  <c r="L741" i="8"/>
  <c r="M741" i="8" s="1"/>
  <c r="U740" i="8"/>
  <c r="W740" i="8" s="1"/>
  <c r="T740" i="8"/>
  <c r="M740" i="8"/>
  <c r="L740" i="8"/>
  <c r="T739" i="8"/>
  <c r="U739" i="8" s="1"/>
  <c r="W739" i="8" s="1"/>
  <c r="L739" i="8"/>
  <c r="M739" i="8" s="1"/>
  <c r="V738" i="8"/>
  <c r="S738" i="8"/>
  <c r="R738" i="8"/>
  <c r="Q738" i="8"/>
  <c r="P738" i="8"/>
  <c r="O738" i="8"/>
  <c r="N738" i="8"/>
  <c r="K738" i="8"/>
  <c r="J738" i="8"/>
  <c r="I738" i="8"/>
  <c r="H738" i="8"/>
  <c r="G738" i="8"/>
  <c r="F738" i="8"/>
  <c r="U736" i="8"/>
  <c r="W736" i="8" s="1"/>
  <c r="T736" i="8"/>
  <c r="M736" i="8"/>
  <c r="L736" i="8"/>
  <c r="T735" i="8"/>
  <c r="U735" i="8" s="1"/>
  <c r="W735" i="8" s="1"/>
  <c r="L735" i="8"/>
  <c r="M735" i="8" s="1"/>
  <c r="U734" i="8"/>
  <c r="W734" i="8" s="1"/>
  <c r="T734" i="8"/>
  <c r="M734" i="8"/>
  <c r="L734" i="8"/>
  <c r="S731" i="8"/>
  <c r="R731" i="8"/>
  <c r="Q731" i="8"/>
  <c r="P731" i="8"/>
  <c r="O731" i="8"/>
  <c r="N731" i="8"/>
  <c r="K731" i="8"/>
  <c r="J731" i="8"/>
  <c r="I731" i="8"/>
  <c r="H731" i="8"/>
  <c r="G731" i="8"/>
  <c r="F731" i="8"/>
  <c r="V730" i="8"/>
  <c r="V729" i="8"/>
  <c r="U729" i="8"/>
  <c r="W729" i="8" s="1"/>
  <c r="T729" i="8"/>
  <c r="M729" i="8"/>
  <c r="L729" i="8"/>
  <c r="S728" i="8"/>
  <c r="R728" i="8"/>
  <c r="R713" i="8" s="1"/>
  <c r="Q728" i="8"/>
  <c r="P728" i="8"/>
  <c r="P713" i="8" s="1"/>
  <c r="O728" i="8"/>
  <c r="N728" i="8"/>
  <c r="N713" i="8" s="1"/>
  <c r="K728" i="8"/>
  <c r="J728" i="8"/>
  <c r="J713" i="8" s="1"/>
  <c r="I728" i="8"/>
  <c r="H728" i="8"/>
  <c r="H713" i="8" s="1"/>
  <c r="G728" i="8"/>
  <c r="F728" i="8"/>
  <c r="E727" i="8"/>
  <c r="V726" i="8"/>
  <c r="T726" i="8"/>
  <c r="L726" i="8"/>
  <c r="M726" i="8" s="1"/>
  <c r="U725" i="8"/>
  <c r="W725" i="8" s="1"/>
  <c r="T725" i="8"/>
  <c r="M725" i="8"/>
  <c r="L725" i="8"/>
  <c r="T724" i="8"/>
  <c r="U724" i="8" s="1"/>
  <c r="W724" i="8" s="1"/>
  <c r="L724" i="8"/>
  <c r="M724" i="8" s="1"/>
  <c r="V723" i="8"/>
  <c r="S723" i="8"/>
  <c r="R723" i="8"/>
  <c r="Q723" i="8"/>
  <c r="P723" i="8"/>
  <c r="O723" i="8"/>
  <c r="N723" i="8"/>
  <c r="K723" i="8"/>
  <c r="J723" i="8"/>
  <c r="I723" i="8"/>
  <c r="H723" i="8"/>
  <c r="G723" i="8"/>
  <c r="F723" i="8"/>
  <c r="U721" i="8"/>
  <c r="W721" i="8" s="1"/>
  <c r="T721" i="8"/>
  <c r="M721" i="8"/>
  <c r="L721" i="8"/>
  <c r="T720" i="8"/>
  <c r="L720" i="8"/>
  <c r="M720" i="8" s="1"/>
  <c r="U719" i="8"/>
  <c r="W719" i="8" s="1"/>
  <c r="T719" i="8"/>
  <c r="M719" i="8"/>
  <c r="L719" i="8"/>
  <c r="V715" i="8"/>
  <c r="V714" i="8"/>
  <c r="T714" i="8"/>
  <c r="F713" i="8"/>
  <c r="E712" i="8"/>
  <c r="S711" i="8"/>
  <c r="R711" i="8"/>
  <c r="Q711" i="8"/>
  <c r="P711" i="8"/>
  <c r="O711" i="8"/>
  <c r="N711" i="8"/>
  <c r="K711" i="8"/>
  <c r="J711" i="8"/>
  <c r="I711" i="8"/>
  <c r="H711" i="8"/>
  <c r="G711" i="8"/>
  <c r="F711" i="8"/>
  <c r="F712" i="8" s="1"/>
  <c r="V710" i="8"/>
  <c r="S716" i="8"/>
  <c r="R716" i="8"/>
  <c r="Q716" i="8"/>
  <c r="P716" i="8"/>
  <c r="O716" i="8"/>
  <c r="N716" i="8"/>
  <c r="J716" i="8"/>
  <c r="I716" i="8"/>
  <c r="H716" i="8"/>
  <c r="G716" i="8"/>
  <c r="F716" i="8"/>
  <c r="V709" i="8"/>
  <c r="L709" i="8"/>
  <c r="M709" i="8" s="1"/>
  <c r="V706" i="8"/>
  <c r="S706" i="8"/>
  <c r="R706" i="8"/>
  <c r="Q706" i="8"/>
  <c r="P706" i="8"/>
  <c r="O706" i="8"/>
  <c r="N706" i="8"/>
  <c r="K706" i="8"/>
  <c r="J706" i="8"/>
  <c r="I706" i="8"/>
  <c r="H706" i="8"/>
  <c r="G706" i="8"/>
  <c r="F706" i="8"/>
  <c r="V705" i="8"/>
  <c r="S705" i="8"/>
  <c r="R705" i="8"/>
  <c r="Q705" i="8"/>
  <c r="P705" i="8"/>
  <c r="O705" i="8"/>
  <c r="N705" i="8"/>
  <c r="K705" i="8"/>
  <c r="J705" i="8"/>
  <c r="I705" i="8"/>
  <c r="H705" i="8"/>
  <c r="G705" i="8"/>
  <c r="F705" i="8"/>
  <c r="L705" i="8" s="1"/>
  <c r="M705" i="8" s="1"/>
  <c r="V704" i="8"/>
  <c r="S704" i="8"/>
  <c r="R704" i="8"/>
  <c r="Q704" i="8"/>
  <c r="P704" i="8"/>
  <c r="O704" i="8"/>
  <c r="N704" i="8"/>
  <c r="K704" i="8"/>
  <c r="J704" i="8"/>
  <c r="I704" i="8"/>
  <c r="H704" i="8"/>
  <c r="G704" i="8"/>
  <c r="F704" i="8"/>
  <c r="S653" i="8"/>
  <c r="R653" i="8"/>
  <c r="Q653" i="8"/>
  <c r="R648" i="8"/>
  <c r="Q648" i="8"/>
  <c r="P648" i="8"/>
  <c r="S646" i="8"/>
  <c r="S569" i="23" s="1"/>
  <c r="R546" i="9" l="1"/>
  <c r="O527" i="9"/>
  <c r="W699" i="9"/>
  <c r="O563" i="9"/>
  <c r="O546" i="9" s="1"/>
  <c r="O538" i="9"/>
  <c r="Q527" i="9"/>
  <c r="X639" i="9"/>
  <c r="W587" i="9"/>
  <c r="X592" i="9"/>
  <c r="Q563" i="9"/>
  <c r="Q546" i="9" s="1"/>
  <c r="J563" i="9"/>
  <c r="L700" i="9"/>
  <c r="M700" i="9" s="1"/>
  <c r="W572" i="9"/>
  <c r="X577" i="9"/>
  <c r="N556" i="9"/>
  <c r="T556" i="9" s="1"/>
  <c r="Q538" i="9"/>
  <c r="N537" i="9"/>
  <c r="K563" i="9"/>
  <c r="K546" i="9" s="1"/>
  <c r="K529" i="9" s="1"/>
  <c r="I563" i="9"/>
  <c r="H563" i="9"/>
  <c r="I546" i="9"/>
  <c r="U609" i="9"/>
  <c r="U594" i="9"/>
  <c r="W619" i="9"/>
  <c r="X619" i="9"/>
  <c r="W746" i="9"/>
  <c r="W662" i="9"/>
  <c r="U722" i="9"/>
  <c r="W677" i="9"/>
  <c r="W633" i="9"/>
  <c r="W634" i="9"/>
  <c r="K733" i="9"/>
  <c r="N733" i="9" s="1"/>
  <c r="O733" i="9" s="1"/>
  <c r="P733" i="9" s="1"/>
  <c r="Q733" i="9" s="1"/>
  <c r="R733" i="9" s="1"/>
  <c r="S733" i="9" s="1"/>
  <c r="W725" i="9"/>
  <c r="X651" i="9"/>
  <c r="W648" i="9"/>
  <c r="W650" i="9"/>
  <c r="W721" i="9"/>
  <c r="X726" i="9"/>
  <c r="W679" i="9"/>
  <c r="X684" i="9"/>
  <c r="W724" i="9"/>
  <c r="X729" i="9"/>
  <c r="W710" i="9"/>
  <c r="W709" i="9"/>
  <c r="X714" i="9"/>
  <c r="V520" i="9"/>
  <c r="W739" i="9"/>
  <c r="X744" i="9"/>
  <c r="I529" i="9"/>
  <c r="S527" i="9"/>
  <c r="G15" i="28" s="1"/>
  <c r="T700" i="9"/>
  <c r="U700" i="9" s="1"/>
  <c r="W700" i="9" s="1"/>
  <c r="G563" i="9"/>
  <c r="G546" i="9" s="1"/>
  <c r="G529" i="9" s="1"/>
  <c r="U601" i="9"/>
  <c r="W599" i="9"/>
  <c r="X604" i="9"/>
  <c r="X589" i="9"/>
  <c r="X574" i="9"/>
  <c r="U538" i="11"/>
  <c r="W538" i="11" s="1"/>
  <c r="X700" i="11"/>
  <c r="W700" i="11"/>
  <c r="H712" i="8"/>
  <c r="J712" i="8"/>
  <c r="N712" i="8"/>
  <c r="P712" i="8"/>
  <c r="R712" i="8"/>
  <c r="O540" i="8"/>
  <c r="Q540" i="8"/>
  <c r="S540" i="8"/>
  <c r="N540" i="8"/>
  <c r="P540" i="8"/>
  <c r="R540" i="8"/>
  <c r="V540" i="8"/>
  <c r="V523" i="8" s="1"/>
  <c r="U633" i="8"/>
  <c r="W633" i="8" s="1"/>
  <c r="S552" i="23"/>
  <c r="S648" i="8"/>
  <c r="T723" i="8"/>
  <c r="T722" i="8" s="1"/>
  <c r="G732" i="8"/>
  <c r="K732" i="8"/>
  <c r="L738" i="8"/>
  <c r="T738" i="8"/>
  <c r="V743" i="8"/>
  <c r="G747" i="8"/>
  <c r="I747" i="8"/>
  <c r="K747" i="8"/>
  <c r="O747" i="8"/>
  <c r="Q747" i="8"/>
  <c r="S747" i="8"/>
  <c r="F708" i="8"/>
  <c r="J708" i="8"/>
  <c r="J707" i="8" s="1"/>
  <c r="H708" i="8"/>
  <c r="H707" i="8" s="1"/>
  <c r="N708" i="8"/>
  <c r="P708" i="8"/>
  <c r="P707" i="8" s="1"/>
  <c r="R708" i="8"/>
  <c r="R707" i="8" s="1"/>
  <c r="O555" i="8"/>
  <c r="Q555" i="8"/>
  <c r="S555" i="8"/>
  <c r="L704" i="8"/>
  <c r="M704" i="8" s="1"/>
  <c r="T704" i="8"/>
  <c r="L706" i="8"/>
  <c r="M706" i="8" s="1"/>
  <c r="L711" i="8"/>
  <c r="M711" i="8" s="1"/>
  <c r="F732" i="8"/>
  <c r="F733" i="8" s="1"/>
  <c r="H732" i="8"/>
  <c r="J732" i="8"/>
  <c r="N732" i="8"/>
  <c r="P732" i="8"/>
  <c r="R732" i="8"/>
  <c r="L731" i="8"/>
  <c r="M731" i="8" s="1"/>
  <c r="T731" i="8"/>
  <c r="V737" i="8"/>
  <c r="W741" i="8"/>
  <c r="F747" i="8"/>
  <c r="F748" i="8" s="1"/>
  <c r="H747" i="8"/>
  <c r="J747" i="8"/>
  <c r="N747" i="8"/>
  <c r="P747" i="8"/>
  <c r="R747" i="8"/>
  <c r="L746" i="8"/>
  <c r="M746" i="8" s="1"/>
  <c r="T746" i="8"/>
  <c r="K713" i="8"/>
  <c r="K712" i="8" s="1"/>
  <c r="I713" i="8"/>
  <c r="I712" i="8" s="1"/>
  <c r="G713" i="8"/>
  <c r="G712" i="8" s="1"/>
  <c r="O713" i="8"/>
  <c r="O712" i="8" s="1"/>
  <c r="Q713" i="8"/>
  <c r="Q712" i="8" s="1"/>
  <c r="S713" i="8"/>
  <c r="S712" i="8" s="1"/>
  <c r="K708" i="8"/>
  <c r="K707" i="8" s="1"/>
  <c r="I708" i="8"/>
  <c r="I707" i="8" s="1"/>
  <c r="G708" i="8"/>
  <c r="G707" i="8" s="1"/>
  <c r="O708" i="8"/>
  <c r="O707" i="8" s="1"/>
  <c r="Q708" i="8"/>
  <c r="Q707" i="8" s="1"/>
  <c r="S708" i="8"/>
  <c r="S707" i="8" s="1"/>
  <c r="U584" i="8"/>
  <c r="L586" i="8"/>
  <c r="T586" i="8"/>
  <c r="T585" i="8" s="1"/>
  <c r="N509" i="23"/>
  <c r="V590" i="8"/>
  <c r="U587" i="8"/>
  <c r="U588" i="8"/>
  <c r="U589" i="8"/>
  <c r="L591" i="8"/>
  <c r="L590" i="8" s="1"/>
  <c r="F514" i="23"/>
  <c r="T591" i="8"/>
  <c r="T590" i="8" s="1"/>
  <c r="N514" i="23"/>
  <c r="K555" i="8"/>
  <c r="I555" i="8"/>
  <c r="G555" i="8"/>
  <c r="N555" i="8"/>
  <c r="P555" i="8"/>
  <c r="R555" i="8"/>
  <c r="N291" i="23"/>
  <c r="P368" i="8"/>
  <c r="P291" i="23" s="1"/>
  <c r="R368" i="8"/>
  <c r="L615" i="9"/>
  <c r="U616" i="9"/>
  <c r="W616" i="9"/>
  <c r="V609" i="9"/>
  <c r="W573" i="9"/>
  <c r="S539" i="9"/>
  <c r="V556" i="9"/>
  <c r="V558" i="9" s="1"/>
  <c r="V541" i="9" s="1"/>
  <c r="V524" i="9" s="1"/>
  <c r="S522" i="9"/>
  <c r="V539" i="9"/>
  <c r="V522" i="9"/>
  <c r="V561" i="9"/>
  <c r="S563" i="9"/>
  <c r="S546" i="9" s="1"/>
  <c r="W623" i="11"/>
  <c r="N541" i="9"/>
  <c r="N524" i="9" s="1"/>
  <c r="T558" i="9"/>
  <c r="W647" i="9"/>
  <c r="T713" i="9"/>
  <c r="T712" i="9" s="1"/>
  <c r="W723" i="9"/>
  <c r="W722" i="9" s="1"/>
  <c r="U706" i="9"/>
  <c r="U716" i="9"/>
  <c r="M707" i="9"/>
  <c r="F717" i="9"/>
  <c r="F718" i="9" s="1"/>
  <c r="G718" i="9" s="1"/>
  <c r="H718" i="9" s="1"/>
  <c r="I718" i="9" s="1"/>
  <c r="J718" i="9" s="1"/>
  <c r="K718" i="9" s="1"/>
  <c r="N718" i="9" s="1"/>
  <c r="R715" i="9"/>
  <c r="R529" i="9" s="1"/>
  <c r="H715" i="9"/>
  <c r="U738" i="9"/>
  <c r="U624" i="9"/>
  <c r="W624" i="9" s="1"/>
  <c r="W615" i="9"/>
  <c r="M601" i="9"/>
  <c r="M600" i="9" s="1"/>
  <c r="T608" i="9"/>
  <c r="L608" i="9"/>
  <c r="M608" i="9" s="1"/>
  <c r="T593" i="9"/>
  <c r="U593" i="9" s="1"/>
  <c r="X593" i="9" s="1"/>
  <c r="L578" i="9"/>
  <c r="M578" i="9" s="1"/>
  <c r="T578" i="9"/>
  <c r="M570" i="9"/>
  <c r="I643" i="9"/>
  <c r="J658" i="9"/>
  <c r="T745" i="9"/>
  <c r="U743" i="9"/>
  <c r="T742" i="9"/>
  <c r="W738" i="9"/>
  <c r="W737" i="9" s="1"/>
  <c r="P715" i="9"/>
  <c r="J715" i="9"/>
  <c r="L730" i="9"/>
  <c r="M730" i="9" s="1"/>
  <c r="F715" i="9"/>
  <c r="L727" i="9"/>
  <c r="M728" i="9"/>
  <c r="M727" i="9" s="1"/>
  <c r="U713" i="9"/>
  <c r="U712" i="9" s="1"/>
  <c r="O715" i="9"/>
  <c r="S717" i="9"/>
  <c r="S712" i="9"/>
  <c r="O717" i="9"/>
  <c r="O712" i="9"/>
  <c r="L697" i="9"/>
  <c r="M698" i="9"/>
  <c r="M697" i="9" s="1"/>
  <c r="T707" i="9"/>
  <c r="L707" i="9"/>
  <c r="T682" i="9"/>
  <c r="U683" i="9"/>
  <c r="X683" i="9" s="1"/>
  <c r="T692" i="9"/>
  <c r="U693" i="9"/>
  <c r="T685" i="9"/>
  <c r="N640" i="9"/>
  <c r="N546" i="9" s="1"/>
  <c r="F672" i="9"/>
  <c r="F673" i="9" s="1"/>
  <c r="G673" i="9" s="1"/>
  <c r="H673" i="9" s="1"/>
  <c r="I673" i="9" s="1"/>
  <c r="J673" i="9" s="1"/>
  <c r="K673" i="9" s="1"/>
  <c r="N673" i="9" s="1"/>
  <c r="O673" i="9" s="1"/>
  <c r="P673" i="9" s="1"/>
  <c r="Q673" i="9" s="1"/>
  <c r="R673" i="9" s="1"/>
  <c r="S673" i="9" s="1"/>
  <c r="L671" i="9"/>
  <c r="M671" i="9" s="1"/>
  <c r="J640" i="9"/>
  <c r="V656" i="9"/>
  <c r="V638" i="9"/>
  <c r="V652" i="9"/>
  <c r="U636" i="9"/>
  <c r="W636" i="9" s="1"/>
  <c r="U629" i="9"/>
  <c r="T620" i="9"/>
  <c r="U621" i="9"/>
  <c r="X621" i="9" s="1"/>
  <c r="W686" i="9"/>
  <c r="H640" i="9"/>
  <c r="H546" i="9" s="1"/>
  <c r="H529" i="9" s="1"/>
  <c r="T623" i="9"/>
  <c r="M606" i="9"/>
  <c r="M605" i="9" s="1"/>
  <c r="L605" i="9"/>
  <c r="M630" i="9"/>
  <c r="U615" i="9"/>
  <c r="W601" i="9"/>
  <c r="W600" i="9" s="1"/>
  <c r="U600" i="9"/>
  <c r="U591" i="9"/>
  <c r="U590" i="9" s="1"/>
  <c r="T590" i="9"/>
  <c r="M637" i="9"/>
  <c r="V590" i="9"/>
  <c r="V594" i="9"/>
  <c r="M591" i="9"/>
  <c r="M590" i="9" s="1"/>
  <c r="L590" i="9"/>
  <c r="H581" i="9"/>
  <c r="I581" i="9" s="1"/>
  <c r="V579" i="9"/>
  <c r="W579" i="9" s="1"/>
  <c r="V575" i="9"/>
  <c r="M576" i="9"/>
  <c r="M575" i="9" s="1"/>
  <c r="L575" i="9"/>
  <c r="L745" i="9"/>
  <c r="M745" i="9" s="1"/>
  <c r="M743" i="9"/>
  <c r="M742" i="9" s="1"/>
  <c r="L742" i="9"/>
  <c r="T730" i="9"/>
  <c r="N715" i="9"/>
  <c r="T727" i="9"/>
  <c r="U728" i="9"/>
  <c r="U727" i="9" s="1"/>
  <c r="Q715" i="9"/>
  <c r="L712" i="9"/>
  <c r="M713" i="9"/>
  <c r="M712" i="9" s="1"/>
  <c r="S715" i="9"/>
  <c r="V731" i="9"/>
  <c r="V727" i="9"/>
  <c r="V713" i="9"/>
  <c r="Q717" i="9"/>
  <c r="Q712" i="9"/>
  <c r="T697" i="9"/>
  <c r="U698" i="9"/>
  <c r="W708" i="9"/>
  <c r="U707" i="9"/>
  <c r="L682" i="9"/>
  <c r="M683" i="9"/>
  <c r="M682" i="9" s="1"/>
  <c r="U731" i="9"/>
  <c r="I703" i="9"/>
  <c r="J703" i="9" s="1"/>
  <c r="K703" i="9" s="1"/>
  <c r="N703" i="9" s="1"/>
  <c r="O703" i="9" s="1"/>
  <c r="P703" i="9" s="1"/>
  <c r="Q703" i="9" s="1"/>
  <c r="R703" i="9" s="1"/>
  <c r="S703" i="9" s="1"/>
  <c r="W695" i="9"/>
  <c r="L685" i="9"/>
  <c r="M685" i="9" s="1"/>
  <c r="U671" i="9"/>
  <c r="W671" i="9" s="1"/>
  <c r="U701" i="9"/>
  <c r="W701" i="9" s="1"/>
  <c r="W665" i="9"/>
  <c r="F640" i="9"/>
  <c r="L640" i="9" s="1"/>
  <c r="M640" i="9" s="1"/>
  <c r="L655" i="9"/>
  <c r="M655" i="9" s="1"/>
  <c r="M653" i="9"/>
  <c r="M652" i="9" s="1"/>
  <c r="L652" i="9"/>
  <c r="H643" i="9"/>
  <c r="L620" i="9"/>
  <c r="M621" i="9"/>
  <c r="M620" i="9" s="1"/>
  <c r="U677" i="9"/>
  <c r="G643" i="9"/>
  <c r="P640" i="9"/>
  <c r="P546" i="9" s="1"/>
  <c r="P529" i="9" s="1"/>
  <c r="U653" i="9"/>
  <c r="U652" i="9" s="1"/>
  <c r="T652" i="9"/>
  <c r="L623" i="9"/>
  <c r="M623" i="9" s="1"/>
  <c r="U606" i="9"/>
  <c r="X606" i="9" s="1"/>
  <c r="T605" i="9"/>
  <c r="T655" i="9"/>
  <c r="U655" i="9" s="1"/>
  <c r="X655" i="9" s="1"/>
  <c r="T630" i="9"/>
  <c r="L630" i="9"/>
  <c r="U647" i="9"/>
  <c r="T637" i="9"/>
  <c r="L637" i="9"/>
  <c r="H596" i="9"/>
  <c r="I596" i="9" s="1"/>
  <c r="J596" i="9" s="1"/>
  <c r="K596" i="9" s="1"/>
  <c r="N596" i="9" s="1"/>
  <c r="O596" i="9" s="1"/>
  <c r="P596" i="9" s="1"/>
  <c r="Q596" i="9" s="1"/>
  <c r="R596" i="9" s="1"/>
  <c r="S596" i="9" s="1"/>
  <c r="J581" i="9"/>
  <c r="K581" i="9" s="1"/>
  <c r="N581" i="9" s="1"/>
  <c r="O581" i="9" s="1"/>
  <c r="P581" i="9" s="1"/>
  <c r="Q581" i="9" s="1"/>
  <c r="R581" i="9" s="1"/>
  <c r="S581" i="9" s="1"/>
  <c r="U576" i="9"/>
  <c r="U575" i="9" s="1"/>
  <c r="T575" i="9"/>
  <c r="U570" i="9"/>
  <c r="V541" i="8"/>
  <c r="V524" i="8" s="1"/>
  <c r="M586" i="8"/>
  <c r="M585" i="8" s="1"/>
  <c r="L585" i="8"/>
  <c r="U586" i="8"/>
  <c r="U585" i="8" s="1"/>
  <c r="M591" i="8"/>
  <c r="M590" i="8" s="1"/>
  <c r="U591" i="8"/>
  <c r="U590" i="8" s="1"/>
  <c r="U704" i="8"/>
  <c r="W704" i="8" s="1"/>
  <c r="G717" i="8"/>
  <c r="I717" i="8"/>
  <c r="K717" i="8"/>
  <c r="O717" i="8"/>
  <c r="Q717" i="8"/>
  <c r="S717" i="8"/>
  <c r="L716" i="8"/>
  <c r="M716" i="8" s="1"/>
  <c r="F717" i="8"/>
  <c r="F718" i="8" s="1"/>
  <c r="H717" i="8"/>
  <c r="J717" i="8"/>
  <c r="V728" i="8"/>
  <c r="V722" i="8"/>
  <c r="V708" i="8"/>
  <c r="I732" i="8"/>
  <c r="I730" i="8"/>
  <c r="K730" i="8"/>
  <c r="U731" i="8"/>
  <c r="U746" i="8"/>
  <c r="T705" i="8"/>
  <c r="U705" i="8" s="1"/>
  <c r="W705" i="8" s="1"/>
  <c r="T706" i="8"/>
  <c r="U706" i="8" s="1"/>
  <c r="W706" i="8" s="1"/>
  <c r="T709" i="8"/>
  <c r="U709" i="8" s="1"/>
  <c r="W709" i="8" s="1"/>
  <c r="T716" i="8"/>
  <c r="U716" i="8" s="1"/>
  <c r="T711" i="8"/>
  <c r="U711" i="8" s="1"/>
  <c r="N717" i="8"/>
  <c r="P717" i="8"/>
  <c r="R717" i="8"/>
  <c r="L714" i="8"/>
  <c r="M714" i="8" s="1"/>
  <c r="U720" i="8"/>
  <c r="W720" i="8" s="1"/>
  <c r="L708" i="8"/>
  <c r="F707" i="8"/>
  <c r="L723" i="8"/>
  <c r="V711" i="8"/>
  <c r="W711" i="8" s="1"/>
  <c r="G730" i="8"/>
  <c r="L710" i="8"/>
  <c r="M710" i="8" s="1"/>
  <c r="T710" i="8"/>
  <c r="L713" i="8"/>
  <c r="T713" i="8"/>
  <c r="U726" i="8"/>
  <c r="W726" i="8" s="1"/>
  <c r="O732" i="8"/>
  <c r="O730" i="8"/>
  <c r="Q732" i="8"/>
  <c r="Q730" i="8"/>
  <c r="S732" i="8"/>
  <c r="S730" i="8"/>
  <c r="L737" i="8"/>
  <c r="M738" i="8"/>
  <c r="M737" i="8" s="1"/>
  <c r="T737" i="8"/>
  <c r="U738" i="8"/>
  <c r="U737" i="8" s="1"/>
  <c r="V746" i="8"/>
  <c r="V742" i="8"/>
  <c r="G748" i="8"/>
  <c r="H748" i="8" s="1"/>
  <c r="I748" i="8" s="1"/>
  <c r="J748" i="8" s="1"/>
  <c r="K748" i="8" s="1"/>
  <c r="N748" i="8" s="1"/>
  <c r="O748" i="8" s="1"/>
  <c r="P748" i="8" s="1"/>
  <c r="Q748" i="8" s="1"/>
  <c r="R748" i="8" s="1"/>
  <c r="S748" i="8" s="1"/>
  <c r="L728" i="8"/>
  <c r="T728" i="8"/>
  <c r="F730" i="8"/>
  <c r="H730" i="8"/>
  <c r="J730" i="8"/>
  <c r="N730" i="8"/>
  <c r="P730" i="8"/>
  <c r="R730" i="8"/>
  <c r="W738" i="8"/>
  <c r="W737" i="8" s="1"/>
  <c r="L743" i="8"/>
  <c r="T743" i="8"/>
  <c r="F745" i="8"/>
  <c r="H745" i="8"/>
  <c r="J745" i="8"/>
  <c r="N745" i="8"/>
  <c r="P745" i="8"/>
  <c r="R745" i="8"/>
  <c r="G745" i="8"/>
  <c r="I745" i="8"/>
  <c r="K745" i="8"/>
  <c r="O745" i="8"/>
  <c r="Q745" i="8"/>
  <c r="S745" i="8"/>
  <c r="S701" i="8"/>
  <c r="R701" i="8"/>
  <c r="Q701" i="8"/>
  <c r="P701" i="8"/>
  <c r="O701" i="8"/>
  <c r="N701" i="8"/>
  <c r="K701" i="8"/>
  <c r="J701" i="8"/>
  <c r="I701" i="8"/>
  <c r="H701" i="8"/>
  <c r="G701" i="8"/>
  <c r="F701" i="8"/>
  <c r="V700" i="8"/>
  <c r="V699" i="8"/>
  <c r="T699" i="8"/>
  <c r="L699" i="8"/>
  <c r="M699" i="8" s="1"/>
  <c r="S698" i="8"/>
  <c r="R698" i="8"/>
  <c r="Q698" i="8"/>
  <c r="P698" i="8"/>
  <c r="O698" i="8"/>
  <c r="N698" i="8"/>
  <c r="K698" i="8"/>
  <c r="J698" i="8"/>
  <c r="I698" i="8"/>
  <c r="H698" i="8"/>
  <c r="G698" i="8"/>
  <c r="F698" i="8"/>
  <c r="E697" i="8"/>
  <c r="V696" i="8"/>
  <c r="T696" i="8"/>
  <c r="L696" i="8"/>
  <c r="T695" i="8"/>
  <c r="L695" i="8"/>
  <c r="M695" i="8" s="1"/>
  <c r="T694" i="8"/>
  <c r="L694" i="8"/>
  <c r="U694" i="8" s="1"/>
  <c r="W694" i="8" s="1"/>
  <c r="V693" i="8"/>
  <c r="S693" i="8"/>
  <c r="R693" i="8"/>
  <c r="Q693" i="8"/>
  <c r="P693" i="8"/>
  <c r="O693" i="8"/>
  <c r="N693" i="8"/>
  <c r="K693" i="8"/>
  <c r="J693" i="8"/>
  <c r="I693" i="8"/>
  <c r="H693" i="8"/>
  <c r="G693" i="8"/>
  <c r="F693" i="8"/>
  <c r="V692" i="8"/>
  <c r="T691" i="8"/>
  <c r="L691" i="8"/>
  <c r="M691" i="8" s="1"/>
  <c r="T690" i="8"/>
  <c r="L690" i="8"/>
  <c r="M690" i="8" s="1"/>
  <c r="T689" i="8"/>
  <c r="M689" i="8"/>
  <c r="L689" i="8"/>
  <c r="U689" i="8" s="1"/>
  <c r="W689" i="8" s="1"/>
  <c r="S671" i="8"/>
  <c r="R671" i="8"/>
  <c r="R672" i="8" s="1"/>
  <c r="Q671" i="8"/>
  <c r="Q672" i="8" s="1"/>
  <c r="P671" i="8"/>
  <c r="P672" i="8" s="1"/>
  <c r="O671" i="8"/>
  <c r="O672" i="8" s="1"/>
  <c r="N671" i="8"/>
  <c r="N672" i="8" s="1"/>
  <c r="K671" i="8"/>
  <c r="K672" i="8" s="1"/>
  <c r="J671" i="8"/>
  <c r="J672" i="8" s="1"/>
  <c r="I671" i="8"/>
  <c r="I672" i="8" s="1"/>
  <c r="H671" i="8"/>
  <c r="H672" i="8" s="1"/>
  <c r="V670" i="8"/>
  <c r="R670" i="8"/>
  <c r="Q670" i="8"/>
  <c r="P670" i="8"/>
  <c r="O670" i="8"/>
  <c r="N670" i="8"/>
  <c r="K670" i="8"/>
  <c r="J670" i="8"/>
  <c r="I670" i="8"/>
  <c r="H670" i="8"/>
  <c r="G670" i="8"/>
  <c r="F670" i="8"/>
  <c r="V669" i="8"/>
  <c r="T669" i="8"/>
  <c r="L669" i="8"/>
  <c r="M669" i="8" s="1"/>
  <c r="L668" i="8"/>
  <c r="M668" i="8" s="1"/>
  <c r="R667" i="8"/>
  <c r="Q667" i="8"/>
  <c r="P667" i="8"/>
  <c r="O667" i="8"/>
  <c r="N667" i="8"/>
  <c r="K667" i="8"/>
  <c r="J667" i="8"/>
  <c r="I667" i="8"/>
  <c r="H667" i="8"/>
  <c r="G667" i="8"/>
  <c r="F667" i="8"/>
  <c r="E667" i="8"/>
  <c r="V666" i="8"/>
  <c r="T666" i="8"/>
  <c r="L666" i="8"/>
  <c r="T665" i="8"/>
  <c r="G671" i="8"/>
  <c r="G672" i="8" s="1"/>
  <c r="F665" i="8"/>
  <c r="T664" i="8"/>
  <c r="L664" i="8"/>
  <c r="M664" i="8" s="1"/>
  <c r="V663" i="8"/>
  <c r="T663" i="8"/>
  <c r="Q662" i="8"/>
  <c r="P662" i="8"/>
  <c r="O662" i="8"/>
  <c r="N662" i="8"/>
  <c r="K662" i="8"/>
  <c r="J662" i="8"/>
  <c r="I662" i="8"/>
  <c r="H662" i="8"/>
  <c r="G662" i="8"/>
  <c r="E662" i="8"/>
  <c r="T661" i="8"/>
  <c r="L661" i="8"/>
  <c r="M661" i="8" s="1"/>
  <c r="T660" i="8"/>
  <c r="L660" i="8"/>
  <c r="M660" i="8" s="1"/>
  <c r="T659" i="8"/>
  <c r="L659" i="8"/>
  <c r="M659" i="8" s="1"/>
  <c r="S624" i="8"/>
  <c r="R624" i="8"/>
  <c r="Q624" i="8"/>
  <c r="P624" i="8"/>
  <c r="O624" i="8"/>
  <c r="N624" i="8"/>
  <c r="K624" i="8"/>
  <c r="J624" i="8"/>
  <c r="I624" i="8"/>
  <c r="H624" i="8"/>
  <c r="G624" i="8"/>
  <c r="F624" i="8"/>
  <c r="V623" i="8"/>
  <c r="V622" i="8"/>
  <c r="T622" i="8"/>
  <c r="U622" i="8" s="1"/>
  <c r="L622" i="8"/>
  <c r="M622" i="8" s="1"/>
  <c r="S625" i="8"/>
  <c r="R623" i="8"/>
  <c r="Q625" i="8"/>
  <c r="P623" i="8"/>
  <c r="O625" i="8"/>
  <c r="N623" i="8"/>
  <c r="K625" i="8"/>
  <c r="J623" i="8"/>
  <c r="I625" i="8"/>
  <c r="H623" i="8"/>
  <c r="G625" i="8"/>
  <c r="F623" i="8"/>
  <c r="E620" i="8"/>
  <c r="V619" i="8"/>
  <c r="V542" i="23" s="1"/>
  <c r="T619" i="8"/>
  <c r="U619" i="8" s="1"/>
  <c r="W619" i="8" s="1"/>
  <c r="L619" i="8"/>
  <c r="M619" i="8" s="1"/>
  <c r="T618" i="8"/>
  <c r="U618" i="8" s="1"/>
  <c r="L618" i="8"/>
  <c r="M618" i="8" s="1"/>
  <c r="T617" i="8"/>
  <c r="L617" i="8"/>
  <c r="V616" i="8"/>
  <c r="V555" i="8" s="1"/>
  <c r="T616" i="8"/>
  <c r="T614" i="8"/>
  <c r="U614" i="8" s="1"/>
  <c r="L614" i="8"/>
  <c r="M614" i="8" s="1"/>
  <c r="T613" i="8"/>
  <c r="U613" i="8" s="1"/>
  <c r="L613" i="8"/>
  <c r="M613" i="8" s="1"/>
  <c r="T612" i="8"/>
  <c r="U612" i="8" s="1"/>
  <c r="L612" i="8"/>
  <c r="M612" i="8" s="1"/>
  <c r="S594" i="8"/>
  <c r="R594" i="8"/>
  <c r="Q594" i="8"/>
  <c r="P594" i="8"/>
  <c r="O594" i="8"/>
  <c r="N594" i="8"/>
  <c r="K594" i="8"/>
  <c r="J594" i="8"/>
  <c r="I594" i="8"/>
  <c r="H594" i="8"/>
  <c r="G594" i="8"/>
  <c r="F594" i="8"/>
  <c r="V593" i="8"/>
  <c r="V592" i="8"/>
  <c r="T592" i="8"/>
  <c r="U592" i="8" s="1"/>
  <c r="L592" i="8"/>
  <c r="M592" i="8" s="1"/>
  <c r="S595" i="8"/>
  <c r="R593" i="8"/>
  <c r="R516" i="23" s="1"/>
  <c r="Q595" i="8"/>
  <c r="P593" i="8"/>
  <c r="P516" i="23" s="1"/>
  <c r="O595" i="8"/>
  <c r="N593" i="8"/>
  <c r="N516" i="23" s="1"/>
  <c r="K595" i="8"/>
  <c r="J593" i="8"/>
  <c r="J516" i="23" s="1"/>
  <c r="I595" i="8"/>
  <c r="H593" i="8"/>
  <c r="G595" i="8"/>
  <c r="E590" i="8"/>
  <c r="W589" i="8"/>
  <c r="W587" i="8"/>
  <c r="T583" i="8"/>
  <c r="L583" i="8"/>
  <c r="M583" i="8" s="1"/>
  <c r="T582" i="8"/>
  <c r="L582" i="8"/>
  <c r="M582" i="8" s="1"/>
  <c r="Q503" i="8"/>
  <c r="F426" i="23"/>
  <c r="S508" i="8"/>
  <c r="R503" i="8"/>
  <c r="Q505" i="8"/>
  <c r="Q428" i="23" s="1"/>
  <c r="R510" i="8"/>
  <c r="R433" i="23" s="1"/>
  <c r="Q510" i="8"/>
  <c r="Q433" i="23" s="1"/>
  <c r="P433" i="23"/>
  <c r="O433" i="23"/>
  <c r="K433" i="23"/>
  <c r="I433" i="23"/>
  <c r="H433" i="23"/>
  <c r="F433" i="23"/>
  <c r="S505" i="8"/>
  <c r="P505" i="8"/>
  <c r="P428" i="23" s="1"/>
  <c r="N428" i="23"/>
  <c r="H428" i="23"/>
  <c r="I428" i="23"/>
  <c r="J428" i="23"/>
  <c r="K428" i="23"/>
  <c r="F428" i="23"/>
  <c r="S490" i="8"/>
  <c r="P488" i="8"/>
  <c r="P411" i="23" s="1"/>
  <c r="O411" i="23"/>
  <c r="N411" i="23"/>
  <c r="R495" i="8"/>
  <c r="Q495" i="8"/>
  <c r="I418" i="23"/>
  <c r="R490" i="8"/>
  <c r="Q490" i="8"/>
  <c r="P490" i="8"/>
  <c r="G413" i="23"/>
  <c r="H413" i="23"/>
  <c r="F413" i="23"/>
  <c r="S11" i="8"/>
  <c r="R11" i="8"/>
  <c r="Q11" i="8"/>
  <c r="P11" i="8"/>
  <c r="O11" i="8"/>
  <c r="N11" i="8"/>
  <c r="S137" i="8"/>
  <c r="S137" i="23" s="1"/>
  <c r="S136" i="23" s="1"/>
  <c r="R137" i="8"/>
  <c r="P137" i="23"/>
  <c r="P136" i="23" s="1"/>
  <c r="O137" i="23"/>
  <c r="O136" i="23" s="1"/>
  <c r="N137" i="23"/>
  <c r="N136" i="23" s="1"/>
  <c r="R142" i="23"/>
  <c r="R141" i="23" s="1"/>
  <c r="Q142" i="23"/>
  <c r="Q141" i="23" s="1"/>
  <c r="P142" i="23"/>
  <c r="P141" i="23" s="1"/>
  <c r="O142" i="23"/>
  <c r="O141" i="23" s="1"/>
  <c r="N142" i="23"/>
  <c r="N141" i="23" s="1"/>
  <c r="J142" i="23"/>
  <c r="J141" i="23" s="1"/>
  <c r="G137" i="23"/>
  <c r="G136" i="23" s="1"/>
  <c r="H137" i="23"/>
  <c r="H136" i="23" s="1"/>
  <c r="N92" i="23"/>
  <c r="N91" i="23" s="1"/>
  <c r="S90" i="8"/>
  <c r="S90" i="23" s="1"/>
  <c r="S80" i="8"/>
  <c r="S82" i="8"/>
  <c r="R82" i="8"/>
  <c r="Q82" i="8"/>
  <c r="S77" i="8"/>
  <c r="R77" i="8"/>
  <c r="Q77" i="8"/>
  <c r="P77" i="8"/>
  <c r="S2" i="8"/>
  <c r="R2" i="8"/>
  <c r="Q2" i="8"/>
  <c r="P2" i="8"/>
  <c r="O2" i="8"/>
  <c r="N2" i="8"/>
  <c r="K2" i="8"/>
  <c r="J2" i="8"/>
  <c r="I2" i="8"/>
  <c r="H2" i="8"/>
  <c r="G2" i="8"/>
  <c r="F2" i="8"/>
  <c r="C8" i="8"/>
  <c r="E544" i="7"/>
  <c r="E542" i="7"/>
  <c r="E527" i="7"/>
  <c r="E525" i="7"/>
  <c r="E339" i="7"/>
  <c r="E480" i="7"/>
  <c r="E478" i="7"/>
  <c r="X562" i="7"/>
  <c r="S562" i="7"/>
  <c r="R562" i="7"/>
  <c r="Q562" i="7"/>
  <c r="P562" i="7"/>
  <c r="O562" i="7"/>
  <c r="N562" i="7"/>
  <c r="G562" i="7"/>
  <c r="H562" i="7"/>
  <c r="I562" i="7"/>
  <c r="J562" i="7"/>
  <c r="K562" i="7"/>
  <c r="F562" i="7"/>
  <c r="V558" i="7"/>
  <c r="V564" i="7" s="1"/>
  <c r="V562" i="7"/>
  <c r="V477" i="7"/>
  <c r="V706" i="7"/>
  <c r="V705" i="7"/>
  <c r="V704" i="7"/>
  <c r="S711" i="7"/>
  <c r="R711" i="7"/>
  <c r="Q711" i="7"/>
  <c r="P711" i="7"/>
  <c r="O711" i="7"/>
  <c r="N711" i="7"/>
  <c r="G711" i="7"/>
  <c r="H711" i="7"/>
  <c r="I711" i="7"/>
  <c r="J711" i="7"/>
  <c r="K711" i="7"/>
  <c r="S714" i="7"/>
  <c r="R714" i="7"/>
  <c r="Q714" i="7"/>
  <c r="P714" i="7"/>
  <c r="O714" i="7"/>
  <c r="N714" i="7"/>
  <c r="G714" i="7"/>
  <c r="H714" i="7"/>
  <c r="I714" i="7"/>
  <c r="J714" i="7"/>
  <c r="K714" i="7"/>
  <c r="F714" i="7"/>
  <c r="F711" i="7"/>
  <c r="V710" i="7"/>
  <c r="V709" i="7"/>
  <c r="S710" i="7"/>
  <c r="R710" i="7"/>
  <c r="Q710" i="7"/>
  <c r="P710" i="7"/>
  <c r="O710" i="7"/>
  <c r="N710" i="7"/>
  <c r="S709" i="7"/>
  <c r="R709" i="7"/>
  <c r="Q709" i="7"/>
  <c r="P709" i="7"/>
  <c r="O709" i="7"/>
  <c r="N709" i="7"/>
  <c r="S707" i="7"/>
  <c r="R707" i="7"/>
  <c r="Q707" i="7"/>
  <c r="P707" i="7"/>
  <c r="O707" i="7"/>
  <c r="N707" i="7"/>
  <c r="G709" i="7"/>
  <c r="H709" i="7"/>
  <c r="I709" i="7"/>
  <c r="J709" i="7"/>
  <c r="K709" i="7"/>
  <c r="G710" i="7"/>
  <c r="H710" i="7"/>
  <c r="I710" i="7"/>
  <c r="J710" i="7"/>
  <c r="K710" i="7"/>
  <c r="F709" i="7"/>
  <c r="F710" i="7"/>
  <c r="S706" i="7"/>
  <c r="R706" i="7"/>
  <c r="Q706" i="7"/>
  <c r="P706" i="7"/>
  <c r="O706" i="7"/>
  <c r="N706" i="7"/>
  <c r="S705" i="7"/>
  <c r="R705" i="7"/>
  <c r="Q705" i="7"/>
  <c r="P705" i="7"/>
  <c r="O705" i="7"/>
  <c r="N705" i="7"/>
  <c r="S704" i="7"/>
  <c r="R704" i="7"/>
  <c r="Q704" i="7"/>
  <c r="P704" i="7"/>
  <c r="O704" i="7"/>
  <c r="N704" i="7"/>
  <c r="G704" i="7"/>
  <c r="H704" i="7"/>
  <c r="I704" i="7"/>
  <c r="J704" i="7"/>
  <c r="K704" i="7"/>
  <c r="G705" i="7"/>
  <c r="H705" i="7"/>
  <c r="I705" i="7"/>
  <c r="J705" i="7"/>
  <c r="K705" i="7"/>
  <c r="G706" i="7"/>
  <c r="H706" i="7"/>
  <c r="I706" i="7"/>
  <c r="J706" i="7"/>
  <c r="K706" i="7"/>
  <c r="F705" i="7"/>
  <c r="F706" i="7"/>
  <c r="F704" i="7"/>
  <c r="R606" i="7"/>
  <c r="Q606" i="7"/>
  <c r="R601" i="7"/>
  <c r="Q601" i="7"/>
  <c r="P601" i="7"/>
  <c r="R576" i="7"/>
  <c r="Q576" i="7"/>
  <c r="R571" i="7"/>
  <c r="Q571" i="7"/>
  <c r="P571" i="7"/>
  <c r="Q569" i="7"/>
  <c r="J586" i="7"/>
  <c r="K586" i="7"/>
  <c r="V632" i="7"/>
  <c r="V633" i="7"/>
  <c r="J546" i="9" l="1"/>
  <c r="J529" i="9" s="1"/>
  <c r="O529" i="9"/>
  <c r="Q521" i="9"/>
  <c r="Q522" i="9" s="1"/>
  <c r="Q539" i="9"/>
  <c r="O521" i="9"/>
  <c r="T538" i="9"/>
  <c r="O539" i="9"/>
  <c r="Q529" i="9"/>
  <c r="W609" i="9"/>
  <c r="N539" i="9"/>
  <c r="N520" i="9"/>
  <c r="N522" i="9" s="1"/>
  <c r="H15" i="28"/>
  <c r="G291" i="23"/>
  <c r="U637" i="9"/>
  <c r="U630" i="9"/>
  <c r="X636" i="9"/>
  <c r="N529" i="9"/>
  <c r="X698" i="9"/>
  <c r="V544" i="9"/>
  <c r="V527" i="9" s="1"/>
  <c r="X700" i="9"/>
  <c r="X713" i="9"/>
  <c r="U737" i="9"/>
  <c r="X743" i="9"/>
  <c r="W706" i="9"/>
  <c r="X711" i="9"/>
  <c r="S529" i="9"/>
  <c r="X653" i="9"/>
  <c r="F546" i="9"/>
  <c r="F529" i="9" s="1"/>
  <c r="X728" i="9"/>
  <c r="X576" i="9"/>
  <c r="V592" i="23"/>
  <c r="H593" i="23"/>
  <c r="N593" i="23"/>
  <c r="R593" i="23"/>
  <c r="U695" i="8"/>
  <c r="U699" i="8"/>
  <c r="W746" i="8"/>
  <c r="T540" i="8"/>
  <c r="U659" i="8"/>
  <c r="U660" i="8"/>
  <c r="U661" i="8"/>
  <c r="W661" i="8" s="1"/>
  <c r="U664" i="8"/>
  <c r="L667" i="8"/>
  <c r="S510" i="8"/>
  <c r="W592" i="8"/>
  <c r="V515" i="23"/>
  <c r="V615" i="8"/>
  <c r="U617" i="8"/>
  <c r="W617" i="8" s="1"/>
  <c r="W622" i="8"/>
  <c r="L624" i="8"/>
  <c r="M624" i="8" s="1"/>
  <c r="T624" i="8"/>
  <c r="L665" i="8"/>
  <c r="M665" i="8" s="1"/>
  <c r="F588" i="23"/>
  <c r="F558" i="23" s="1"/>
  <c r="U669" i="8"/>
  <c r="X669" i="8" s="1"/>
  <c r="U690" i="8"/>
  <c r="W690" i="8" s="1"/>
  <c r="U691" i="8"/>
  <c r="L693" i="8"/>
  <c r="H632" i="8"/>
  <c r="H538" i="8" s="1"/>
  <c r="J632" i="8"/>
  <c r="J538" i="8" s="1"/>
  <c r="T693" i="8"/>
  <c r="N632" i="8"/>
  <c r="P632" i="8"/>
  <c r="R632" i="8"/>
  <c r="V632" i="8"/>
  <c r="M694" i="8"/>
  <c r="U696" i="8"/>
  <c r="W696" i="8" s="1"/>
  <c r="F700" i="8"/>
  <c r="F621" i="23"/>
  <c r="H700" i="8"/>
  <c r="H621" i="23"/>
  <c r="J700" i="8"/>
  <c r="J621" i="23"/>
  <c r="N700" i="8"/>
  <c r="N621" i="23"/>
  <c r="P700" i="8"/>
  <c r="P621" i="23"/>
  <c r="R700" i="8"/>
  <c r="R621" i="23"/>
  <c r="W699" i="8"/>
  <c r="V622" i="23"/>
  <c r="L701" i="8"/>
  <c r="M701" i="8" s="1"/>
  <c r="T701" i="8"/>
  <c r="P715" i="8"/>
  <c r="J715" i="8"/>
  <c r="F715" i="8"/>
  <c r="S715" i="8"/>
  <c r="Q715" i="8"/>
  <c r="O715" i="8"/>
  <c r="G715" i="8"/>
  <c r="I715" i="8"/>
  <c r="P538" i="8"/>
  <c r="P521" i="8" s="1"/>
  <c r="T555" i="8"/>
  <c r="G733" i="8"/>
  <c r="H733" i="8" s="1"/>
  <c r="S92" i="8"/>
  <c r="R505" i="8"/>
  <c r="R428" i="23" s="1"/>
  <c r="G428" i="23"/>
  <c r="G426" i="23"/>
  <c r="O428" i="23"/>
  <c r="V668" i="8"/>
  <c r="G632" i="8"/>
  <c r="G538" i="8" s="1"/>
  <c r="G521" i="8" s="1"/>
  <c r="I632" i="8"/>
  <c r="K632" i="8"/>
  <c r="K538" i="8" s="1"/>
  <c r="K521" i="8" s="1"/>
  <c r="O632" i="8"/>
  <c r="O538" i="8" s="1"/>
  <c r="O521" i="8" s="1"/>
  <c r="Q632" i="8"/>
  <c r="S632" i="8"/>
  <c r="S538" i="8" s="1"/>
  <c r="S521" i="8" s="1"/>
  <c r="G702" i="8"/>
  <c r="I702" i="8"/>
  <c r="K702" i="8"/>
  <c r="O702" i="8"/>
  <c r="Q702" i="8"/>
  <c r="S702" i="8"/>
  <c r="R715" i="8"/>
  <c r="N715" i="8"/>
  <c r="H715" i="8"/>
  <c r="K715" i="8"/>
  <c r="R538" i="8"/>
  <c r="R521" i="8" s="1"/>
  <c r="N538" i="8"/>
  <c r="I538" i="8"/>
  <c r="I521" i="8" s="1"/>
  <c r="Q538" i="8"/>
  <c r="Q521" i="8" s="1"/>
  <c r="N707" i="8"/>
  <c r="T708" i="8"/>
  <c r="U708" i="8" s="1"/>
  <c r="W594" i="9"/>
  <c r="V564" i="9"/>
  <c r="T524" i="9"/>
  <c r="T541" i="9"/>
  <c r="U730" i="9"/>
  <c r="O718" i="9"/>
  <c r="P718" i="9" s="1"/>
  <c r="Q718" i="9" s="1"/>
  <c r="R718" i="9" s="1"/>
  <c r="S718" i="9" s="1"/>
  <c r="W707" i="9"/>
  <c r="L715" i="9"/>
  <c r="M715" i="9" s="1"/>
  <c r="U608" i="9"/>
  <c r="W593" i="9"/>
  <c r="U578" i="9"/>
  <c r="X578" i="9" s="1"/>
  <c r="W728" i="9"/>
  <c r="W727" i="9" s="1"/>
  <c r="W731" i="9"/>
  <c r="W576" i="9"/>
  <c r="W575" i="9" s="1"/>
  <c r="W591" i="9"/>
  <c r="W590" i="9" s="1"/>
  <c r="U623" i="9"/>
  <c r="X623" i="9" s="1"/>
  <c r="V637" i="9"/>
  <c r="W638" i="9"/>
  <c r="W637" i="9" s="1"/>
  <c r="W656" i="9"/>
  <c r="V641" i="9"/>
  <c r="W641" i="9" s="1"/>
  <c r="T640" i="9"/>
  <c r="U640" i="9" s="1"/>
  <c r="X640" i="9" s="1"/>
  <c r="W693" i="9"/>
  <c r="W692" i="9" s="1"/>
  <c r="U692" i="9"/>
  <c r="U745" i="9"/>
  <c r="J643" i="9"/>
  <c r="K658" i="9"/>
  <c r="W655" i="9"/>
  <c r="U605" i="9"/>
  <c r="W606" i="9"/>
  <c r="W605" i="9" s="1"/>
  <c r="U697" i="9"/>
  <c r="W698" i="9"/>
  <c r="W697" i="9" s="1"/>
  <c r="V716" i="9"/>
  <c r="W716" i="9" s="1"/>
  <c r="V712" i="9"/>
  <c r="W713" i="9"/>
  <c r="W712" i="9" s="1"/>
  <c r="T715" i="9"/>
  <c r="U620" i="9"/>
  <c r="W621" i="9"/>
  <c r="W620" i="9" s="1"/>
  <c r="W629" i="9"/>
  <c r="W630" i="9" s="1"/>
  <c r="W653" i="9"/>
  <c r="W652" i="9" s="1"/>
  <c r="U685" i="9"/>
  <c r="X685" i="9" s="1"/>
  <c r="U682" i="9"/>
  <c r="W683" i="9"/>
  <c r="W682" i="9" s="1"/>
  <c r="U742" i="9"/>
  <c r="W743" i="9"/>
  <c r="W742" i="9" s="1"/>
  <c r="V538" i="8"/>
  <c r="U582" i="8"/>
  <c r="U583" i="8"/>
  <c r="L594" i="8"/>
  <c r="M594" i="8" s="1"/>
  <c r="T594" i="8"/>
  <c r="V662" i="8"/>
  <c r="U666" i="8"/>
  <c r="W666" i="8" s="1"/>
  <c r="L670" i="8"/>
  <c r="M670" i="8" s="1"/>
  <c r="U710" i="8"/>
  <c r="W710" i="8" s="1"/>
  <c r="T745" i="8"/>
  <c r="U743" i="8"/>
  <c r="T742" i="8"/>
  <c r="L730" i="8"/>
  <c r="M730" i="8" s="1"/>
  <c r="L727" i="8"/>
  <c r="M728" i="8"/>
  <c r="M727" i="8" s="1"/>
  <c r="L712" i="8"/>
  <c r="M713" i="8"/>
  <c r="M712" i="8" s="1"/>
  <c r="I733" i="8"/>
  <c r="J733" i="8" s="1"/>
  <c r="K733" i="8" s="1"/>
  <c r="N733" i="8" s="1"/>
  <c r="V731" i="8"/>
  <c r="W731" i="8" s="1"/>
  <c r="V727" i="8"/>
  <c r="V713" i="8"/>
  <c r="U714" i="8"/>
  <c r="W714" i="8" s="1"/>
  <c r="L745" i="8"/>
  <c r="M745" i="8" s="1"/>
  <c r="M743" i="8"/>
  <c r="M742" i="8" s="1"/>
  <c r="L742" i="8"/>
  <c r="T730" i="8"/>
  <c r="T715" i="8"/>
  <c r="T727" i="8"/>
  <c r="U728" i="8"/>
  <c r="U727" i="8" s="1"/>
  <c r="O733" i="8"/>
  <c r="P733" i="8" s="1"/>
  <c r="Q733" i="8" s="1"/>
  <c r="R733" i="8" s="1"/>
  <c r="S733" i="8" s="1"/>
  <c r="T712" i="8"/>
  <c r="U713" i="8"/>
  <c r="U712" i="8" s="1"/>
  <c r="M723" i="8"/>
  <c r="M722" i="8" s="1"/>
  <c r="L722" i="8"/>
  <c r="L707" i="8"/>
  <c r="M708" i="8"/>
  <c r="M707" i="8" s="1"/>
  <c r="V707" i="8"/>
  <c r="U723" i="8"/>
  <c r="T707" i="8"/>
  <c r="G718" i="8"/>
  <c r="H718" i="8" s="1"/>
  <c r="I718" i="8" s="1"/>
  <c r="J718" i="8" s="1"/>
  <c r="K718" i="8" s="1"/>
  <c r="N718" i="8" s="1"/>
  <c r="O718" i="8" s="1"/>
  <c r="P718" i="8" s="1"/>
  <c r="Q718" i="8" s="1"/>
  <c r="R718" i="8" s="1"/>
  <c r="S718" i="8" s="1"/>
  <c r="W691" i="8"/>
  <c r="X696" i="8"/>
  <c r="M693" i="8"/>
  <c r="M692" i="8" s="1"/>
  <c r="L692" i="8"/>
  <c r="U693" i="8"/>
  <c r="T692" i="8"/>
  <c r="W693" i="8"/>
  <c r="W692" i="8" s="1"/>
  <c r="U701" i="8"/>
  <c r="W695" i="8"/>
  <c r="L698" i="8"/>
  <c r="T698" i="8"/>
  <c r="V698" i="8"/>
  <c r="G700" i="8"/>
  <c r="I700" i="8"/>
  <c r="K700" i="8"/>
  <c r="O700" i="8"/>
  <c r="Q700" i="8"/>
  <c r="S700" i="8"/>
  <c r="F702" i="8"/>
  <c r="F703" i="8" s="1"/>
  <c r="G703" i="8" s="1"/>
  <c r="H702" i="8"/>
  <c r="J702" i="8"/>
  <c r="N702" i="8"/>
  <c r="P702" i="8"/>
  <c r="R702" i="8"/>
  <c r="M696" i="8"/>
  <c r="X666" i="8"/>
  <c r="T662" i="8"/>
  <c r="V667" i="8"/>
  <c r="W664" i="8"/>
  <c r="W669" i="8"/>
  <c r="F671" i="8"/>
  <c r="T671" i="8"/>
  <c r="M666" i="8"/>
  <c r="M667" i="8" s="1"/>
  <c r="U624" i="8"/>
  <c r="W614" i="8"/>
  <c r="X619" i="8"/>
  <c r="T615" i="8"/>
  <c r="W618" i="8"/>
  <c r="L621" i="8"/>
  <c r="T621" i="8"/>
  <c r="V621" i="8"/>
  <c r="G623" i="8"/>
  <c r="I623" i="8"/>
  <c r="K623" i="8"/>
  <c r="O623" i="8"/>
  <c r="Q623" i="8"/>
  <c r="S623" i="8"/>
  <c r="F625" i="8"/>
  <c r="F626" i="8" s="1"/>
  <c r="G626" i="8" s="1"/>
  <c r="H625" i="8"/>
  <c r="J625" i="8"/>
  <c r="N625" i="8"/>
  <c r="P625" i="8"/>
  <c r="R625" i="8"/>
  <c r="M617" i="8"/>
  <c r="W584" i="8"/>
  <c r="X589" i="8"/>
  <c r="W586" i="8"/>
  <c r="W585" i="8" s="1"/>
  <c r="W588" i="8"/>
  <c r="G593" i="8"/>
  <c r="I593" i="8"/>
  <c r="K593" i="8"/>
  <c r="K516" i="23" s="1"/>
  <c r="O593" i="8"/>
  <c r="O516" i="23" s="1"/>
  <c r="Q593" i="8"/>
  <c r="Q516" i="23" s="1"/>
  <c r="S593" i="8"/>
  <c r="F595" i="8"/>
  <c r="F596" i="8" s="1"/>
  <c r="G596" i="8" s="1"/>
  <c r="H595" i="8"/>
  <c r="J595" i="8"/>
  <c r="N595" i="8"/>
  <c r="P595" i="8"/>
  <c r="R595" i="8"/>
  <c r="T2" i="8"/>
  <c r="S668" i="7"/>
  <c r="S591" i="23" s="1"/>
  <c r="R668" i="7"/>
  <c r="R591" i="23" s="1"/>
  <c r="Q668" i="7"/>
  <c r="Q591" i="23" s="1"/>
  <c r="P668" i="7"/>
  <c r="P591" i="23" s="1"/>
  <c r="O668" i="7"/>
  <c r="O591" i="23" s="1"/>
  <c r="N668" i="7"/>
  <c r="N591" i="23" s="1"/>
  <c r="K668" i="7"/>
  <c r="K591" i="23" s="1"/>
  <c r="J668" i="7"/>
  <c r="J591" i="23" s="1"/>
  <c r="I668" i="7"/>
  <c r="I591" i="23" s="1"/>
  <c r="H668" i="7"/>
  <c r="H591" i="23" s="1"/>
  <c r="G668" i="7"/>
  <c r="G591" i="23" s="1"/>
  <c r="F668" i="7"/>
  <c r="S663" i="7"/>
  <c r="S586" i="23" s="1"/>
  <c r="R663" i="7"/>
  <c r="R586" i="23" s="1"/>
  <c r="Q663" i="7"/>
  <c r="Q586" i="23" s="1"/>
  <c r="P663" i="7"/>
  <c r="P586" i="23" s="1"/>
  <c r="O663" i="7"/>
  <c r="O586" i="23" s="1"/>
  <c r="N663" i="7"/>
  <c r="N586" i="23" s="1"/>
  <c r="G663" i="7"/>
  <c r="G586" i="23" s="1"/>
  <c r="H663" i="7"/>
  <c r="H586" i="23" s="1"/>
  <c r="I663" i="7"/>
  <c r="I586" i="23" s="1"/>
  <c r="J663" i="7"/>
  <c r="J586" i="23" s="1"/>
  <c r="K663" i="7"/>
  <c r="K586" i="23" s="1"/>
  <c r="F663" i="7"/>
  <c r="F586" i="23" s="1"/>
  <c r="S671" i="7"/>
  <c r="R671" i="7"/>
  <c r="Q671" i="7"/>
  <c r="P671" i="7"/>
  <c r="O671" i="7"/>
  <c r="N671" i="7"/>
  <c r="K671" i="7"/>
  <c r="J671" i="7"/>
  <c r="I671" i="7"/>
  <c r="H671" i="7"/>
  <c r="G671" i="7"/>
  <c r="F671" i="7"/>
  <c r="V670" i="7"/>
  <c r="V593" i="23" s="1"/>
  <c r="V669" i="7"/>
  <c r="T669" i="7"/>
  <c r="L669" i="7"/>
  <c r="M669" i="7" s="1"/>
  <c r="S672" i="7"/>
  <c r="R670" i="7"/>
  <c r="Q672" i="7"/>
  <c r="P670" i="7"/>
  <c r="P593" i="23" s="1"/>
  <c r="O672" i="7"/>
  <c r="N670" i="7"/>
  <c r="K672" i="7"/>
  <c r="J670" i="7"/>
  <c r="J593" i="23" s="1"/>
  <c r="I672" i="7"/>
  <c r="H670" i="7"/>
  <c r="G672" i="7"/>
  <c r="F670" i="7"/>
  <c r="E667" i="7"/>
  <c r="V666" i="7"/>
  <c r="V589" i="23" s="1"/>
  <c r="T666" i="7"/>
  <c r="L666" i="7"/>
  <c r="M666" i="7" s="1"/>
  <c r="T665" i="7"/>
  <c r="L665" i="7"/>
  <c r="M665" i="7" s="1"/>
  <c r="T664" i="7"/>
  <c r="L664" i="7"/>
  <c r="M664" i="7" s="1"/>
  <c r="V663" i="7"/>
  <c r="V662" i="7" s="1"/>
  <c r="T661" i="7"/>
  <c r="L661" i="7"/>
  <c r="M661" i="7" s="1"/>
  <c r="T660" i="7"/>
  <c r="L660" i="7"/>
  <c r="M660" i="7" s="1"/>
  <c r="T659" i="7"/>
  <c r="L659" i="7"/>
  <c r="M659" i="7" s="1"/>
  <c r="R621" i="7"/>
  <c r="Q621" i="7"/>
  <c r="P621" i="7"/>
  <c r="O544" i="23"/>
  <c r="O543" i="23" s="1"/>
  <c r="R616" i="7"/>
  <c r="Q616" i="7"/>
  <c r="P616" i="7"/>
  <c r="O616" i="7"/>
  <c r="N616" i="7"/>
  <c r="G539" i="23"/>
  <c r="H539" i="23"/>
  <c r="I616" i="7"/>
  <c r="I539" i="23" s="1"/>
  <c r="J616" i="7"/>
  <c r="J539" i="23" s="1"/>
  <c r="K616" i="7"/>
  <c r="R558" i="7"/>
  <c r="Q558" i="7"/>
  <c r="P558" i="7"/>
  <c r="O558" i="7"/>
  <c r="H558" i="7"/>
  <c r="I558" i="7"/>
  <c r="S701" i="7"/>
  <c r="R701" i="7"/>
  <c r="Q701" i="7"/>
  <c r="P701" i="7"/>
  <c r="O701" i="7"/>
  <c r="N701" i="7"/>
  <c r="K701" i="7"/>
  <c r="J701" i="7"/>
  <c r="I701" i="7"/>
  <c r="H701" i="7"/>
  <c r="G701" i="7"/>
  <c r="F701" i="7"/>
  <c r="V700" i="7"/>
  <c r="V623" i="23" s="1"/>
  <c r="V699" i="7"/>
  <c r="T699" i="7"/>
  <c r="L699" i="7"/>
  <c r="M699" i="7" s="1"/>
  <c r="S698" i="7"/>
  <c r="S702" i="7" s="1"/>
  <c r="R698" i="7"/>
  <c r="R700" i="7" s="1"/>
  <c r="Q698" i="7"/>
  <c r="Q702" i="7" s="1"/>
  <c r="P698" i="7"/>
  <c r="P700" i="7" s="1"/>
  <c r="O698" i="7"/>
  <c r="O702" i="7" s="1"/>
  <c r="N698" i="7"/>
  <c r="N700" i="7" s="1"/>
  <c r="K698" i="7"/>
  <c r="K702" i="7" s="1"/>
  <c r="J698" i="7"/>
  <c r="J700" i="7" s="1"/>
  <c r="I698" i="7"/>
  <c r="I702" i="7" s="1"/>
  <c r="H698" i="7"/>
  <c r="H700" i="7" s="1"/>
  <c r="G698" i="7"/>
  <c r="G702" i="7" s="1"/>
  <c r="F698" i="7"/>
  <c r="F700" i="7" s="1"/>
  <c r="E697" i="7"/>
  <c r="V696" i="7"/>
  <c r="V619" i="23" s="1"/>
  <c r="T696" i="7"/>
  <c r="L696" i="7"/>
  <c r="M696" i="7" s="1"/>
  <c r="T695" i="7"/>
  <c r="L695" i="7"/>
  <c r="M695" i="7" s="1"/>
  <c r="T694" i="7"/>
  <c r="L694" i="7"/>
  <c r="M694" i="7" s="1"/>
  <c r="V693" i="7"/>
  <c r="S693" i="7"/>
  <c r="S616" i="23" s="1"/>
  <c r="S555" i="23" s="1"/>
  <c r="R693" i="7"/>
  <c r="R616" i="23" s="1"/>
  <c r="R555" i="23" s="1"/>
  <c r="Q693" i="7"/>
  <c r="Q616" i="23" s="1"/>
  <c r="Q555" i="23" s="1"/>
  <c r="P693" i="7"/>
  <c r="P616" i="23" s="1"/>
  <c r="P555" i="23" s="1"/>
  <c r="O693" i="7"/>
  <c r="O616" i="23" s="1"/>
  <c r="O555" i="23" s="1"/>
  <c r="N693" i="7"/>
  <c r="N616" i="23" s="1"/>
  <c r="N555" i="23" s="1"/>
  <c r="K693" i="7"/>
  <c r="K616" i="23" s="1"/>
  <c r="K555" i="23" s="1"/>
  <c r="J693" i="7"/>
  <c r="J616" i="23" s="1"/>
  <c r="J555" i="23" s="1"/>
  <c r="I693" i="7"/>
  <c r="I616" i="23" s="1"/>
  <c r="I555" i="23" s="1"/>
  <c r="H693" i="7"/>
  <c r="H616" i="23" s="1"/>
  <c r="H555" i="23" s="1"/>
  <c r="G693" i="7"/>
  <c r="G616" i="23" s="1"/>
  <c r="G555" i="23" s="1"/>
  <c r="F693" i="7"/>
  <c r="F616" i="23" s="1"/>
  <c r="T691" i="7"/>
  <c r="L691" i="7"/>
  <c r="T690" i="7"/>
  <c r="L690" i="7"/>
  <c r="M690" i="7" s="1"/>
  <c r="T689" i="7"/>
  <c r="U689" i="7" s="1"/>
  <c r="W689" i="7" s="1"/>
  <c r="L689" i="7"/>
  <c r="M689" i="7" s="1"/>
  <c r="S746" i="7"/>
  <c r="R746" i="7"/>
  <c r="Q746" i="7"/>
  <c r="P746" i="7"/>
  <c r="O746" i="7"/>
  <c r="N746" i="7"/>
  <c r="K746" i="7"/>
  <c r="J746" i="7"/>
  <c r="I746" i="7"/>
  <c r="H746" i="7"/>
  <c r="G746" i="7"/>
  <c r="F746" i="7"/>
  <c r="V745" i="7"/>
  <c r="V668" i="23" s="1"/>
  <c r="V744" i="7"/>
  <c r="V667" i="23" s="1"/>
  <c r="T744" i="7"/>
  <c r="L744" i="7"/>
  <c r="M744" i="7" s="1"/>
  <c r="S743" i="7"/>
  <c r="R743" i="7"/>
  <c r="Q743" i="7"/>
  <c r="P743" i="7"/>
  <c r="O743" i="7"/>
  <c r="N743" i="7"/>
  <c r="K743" i="7"/>
  <c r="J743" i="7"/>
  <c r="I743" i="7"/>
  <c r="H743" i="7"/>
  <c r="G743" i="7"/>
  <c r="F743" i="7"/>
  <c r="E742" i="7"/>
  <c r="V741" i="7"/>
  <c r="V664" i="23" s="1"/>
  <c r="T741" i="7"/>
  <c r="L741" i="7"/>
  <c r="M741" i="7" s="1"/>
  <c r="T740" i="7"/>
  <c r="U740" i="7" s="1"/>
  <c r="W740" i="7" s="1"/>
  <c r="L740" i="7"/>
  <c r="M740" i="7" s="1"/>
  <c r="T739" i="7"/>
  <c r="L739" i="7"/>
  <c r="M739" i="7" s="1"/>
  <c r="V738" i="7"/>
  <c r="S738" i="7"/>
  <c r="S661" i="23" s="1"/>
  <c r="S660" i="23" s="1"/>
  <c r="R738" i="7"/>
  <c r="R661" i="23" s="1"/>
  <c r="R660" i="23" s="1"/>
  <c r="Q738" i="7"/>
  <c r="Q661" i="23" s="1"/>
  <c r="Q660" i="23" s="1"/>
  <c r="P738" i="7"/>
  <c r="P661" i="23" s="1"/>
  <c r="P660" i="23" s="1"/>
  <c r="O738" i="7"/>
  <c r="O661" i="23" s="1"/>
  <c r="O660" i="23" s="1"/>
  <c r="N738" i="7"/>
  <c r="K738" i="7"/>
  <c r="K661" i="23" s="1"/>
  <c r="K660" i="23" s="1"/>
  <c r="J738" i="7"/>
  <c r="J661" i="23" s="1"/>
  <c r="J660" i="23" s="1"/>
  <c r="I738" i="7"/>
  <c r="I661" i="23" s="1"/>
  <c r="I660" i="23" s="1"/>
  <c r="H738" i="7"/>
  <c r="H661" i="23" s="1"/>
  <c r="H660" i="23" s="1"/>
  <c r="G738" i="7"/>
  <c r="G661" i="23" s="1"/>
  <c r="G660" i="23" s="1"/>
  <c r="F738" i="7"/>
  <c r="T736" i="7"/>
  <c r="U736" i="7" s="1"/>
  <c r="W736" i="7" s="1"/>
  <c r="L736" i="7"/>
  <c r="M736" i="7" s="1"/>
  <c r="T735" i="7"/>
  <c r="L735" i="7"/>
  <c r="M735" i="7" s="1"/>
  <c r="T734" i="7"/>
  <c r="U734" i="7" s="1"/>
  <c r="W734" i="7" s="1"/>
  <c r="L734" i="7"/>
  <c r="M734" i="7" s="1"/>
  <c r="S731" i="7"/>
  <c r="R731" i="7"/>
  <c r="Q731" i="7"/>
  <c r="P731" i="7"/>
  <c r="O731" i="7"/>
  <c r="N731" i="7"/>
  <c r="K731" i="7"/>
  <c r="J731" i="7"/>
  <c r="I731" i="7"/>
  <c r="H731" i="7"/>
  <c r="G731" i="7"/>
  <c r="F731" i="7"/>
  <c r="V730" i="7"/>
  <c r="V729" i="7"/>
  <c r="T729" i="7"/>
  <c r="L729" i="7"/>
  <c r="M729" i="7" s="1"/>
  <c r="S728" i="7"/>
  <c r="R728" i="7"/>
  <c r="Q728" i="7"/>
  <c r="P728" i="7"/>
  <c r="O728" i="7"/>
  <c r="N728" i="7"/>
  <c r="K728" i="7"/>
  <c r="J728" i="7"/>
  <c r="I728" i="7"/>
  <c r="H728" i="7"/>
  <c r="G728" i="7"/>
  <c r="F728" i="7"/>
  <c r="E727" i="7"/>
  <c r="V726" i="7"/>
  <c r="T726" i="7"/>
  <c r="L726" i="7"/>
  <c r="M726" i="7" s="1"/>
  <c r="T725" i="7"/>
  <c r="U725" i="7" s="1"/>
  <c r="W725" i="7" s="1"/>
  <c r="L725" i="7"/>
  <c r="M725" i="7" s="1"/>
  <c r="T724" i="7"/>
  <c r="L724" i="7"/>
  <c r="M724" i="7" s="1"/>
  <c r="V723" i="7"/>
  <c r="S723" i="7"/>
  <c r="R723" i="7"/>
  <c r="Q723" i="7"/>
  <c r="P723" i="7"/>
  <c r="O723" i="7"/>
  <c r="N723" i="7"/>
  <c r="K723" i="7"/>
  <c r="J723" i="7"/>
  <c r="I723" i="7"/>
  <c r="H723" i="7"/>
  <c r="G723" i="7"/>
  <c r="F723" i="7"/>
  <c r="T721" i="7"/>
  <c r="L721" i="7"/>
  <c r="M721" i="7" s="1"/>
  <c r="T720" i="7"/>
  <c r="L720" i="7"/>
  <c r="M720" i="7" s="1"/>
  <c r="T719" i="7"/>
  <c r="L719" i="7"/>
  <c r="M719" i="7" s="1"/>
  <c r="R624" i="7"/>
  <c r="R564" i="7" s="1"/>
  <c r="Q624" i="7"/>
  <c r="Q564" i="7" s="1"/>
  <c r="P624" i="7"/>
  <c r="O624" i="7"/>
  <c r="O564" i="7" s="1"/>
  <c r="N624" i="7"/>
  <c r="K624" i="7"/>
  <c r="K564" i="7" s="1"/>
  <c r="J624" i="7"/>
  <c r="J564" i="7" s="1"/>
  <c r="I624" i="7"/>
  <c r="I564" i="7" s="1"/>
  <c r="H624" i="7"/>
  <c r="H564" i="7" s="1"/>
  <c r="V623" i="7"/>
  <c r="V546" i="23" s="1"/>
  <c r="Q623" i="7"/>
  <c r="P623" i="7"/>
  <c r="O623" i="7"/>
  <c r="O546" i="23" s="1"/>
  <c r="N623" i="7"/>
  <c r="N546" i="23" s="1"/>
  <c r="V622" i="7"/>
  <c r="V545" i="23" s="1"/>
  <c r="T622" i="7"/>
  <c r="L622" i="7"/>
  <c r="M622" i="7" s="1"/>
  <c r="R623" i="7"/>
  <c r="E620" i="7"/>
  <c r="L619" i="7"/>
  <c r="S624" i="7"/>
  <c r="G624" i="7"/>
  <c r="L618" i="7"/>
  <c r="M618" i="7" s="1"/>
  <c r="T617" i="7"/>
  <c r="L617" i="7"/>
  <c r="M617" i="7" s="1"/>
  <c r="V616" i="7"/>
  <c r="V539" i="23" s="1"/>
  <c r="T616" i="7"/>
  <c r="E615" i="7"/>
  <c r="T614" i="7"/>
  <c r="L614" i="7"/>
  <c r="M614" i="7" s="1"/>
  <c r="T613" i="7"/>
  <c r="L613" i="7"/>
  <c r="M613" i="7" s="1"/>
  <c r="T612" i="7"/>
  <c r="L612" i="7"/>
  <c r="M612" i="7" s="1"/>
  <c r="R591" i="7"/>
  <c r="Q591" i="7"/>
  <c r="Q593" i="7" s="1"/>
  <c r="P591" i="7"/>
  <c r="P593" i="7" s="1"/>
  <c r="O591" i="7"/>
  <c r="O593" i="7" s="1"/>
  <c r="N591" i="7"/>
  <c r="N593" i="7" s="1"/>
  <c r="K591" i="7"/>
  <c r="J591" i="7"/>
  <c r="J593" i="7" s="1"/>
  <c r="H593" i="7"/>
  <c r="H516" i="23" s="1"/>
  <c r="G514" i="23"/>
  <c r="F593" i="7"/>
  <c r="S555" i="7"/>
  <c r="R586" i="7"/>
  <c r="R555" i="7" s="1"/>
  <c r="Q586" i="7"/>
  <c r="P586" i="7"/>
  <c r="P555" i="7" s="1"/>
  <c r="O586" i="7"/>
  <c r="O555" i="7" s="1"/>
  <c r="N586" i="7"/>
  <c r="N555" i="7" s="1"/>
  <c r="G555" i="7"/>
  <c r="H555" i="7"/>
  <c r="I555" i="7"/>
  <c r="J555" i="7"/>
  <c r="K555" i="7"/>
  <c r="R594" i="7"/>
  <c r="Q594" i="7"/>
  <c r="P594" i="7"/>
  <c r="O594" i="7"/>
  <c r="I594" i="7"/>
  <c r="I595" i="7" s="1"/>
  <c r="H594" i="7"/>
  <c r="V593" i="7"/>
  <c r="V516" i="23" s="1"/>
  <c r="K593" i="7"/>
  <c r="I593" i="7"/>
  <c r="G593" i="7"/>
  <c r="V592" i="7"/>
  <c r="T592" i="7"/>
  <c r="U592" i="7" s="1"/>
  <c r="W592" i="7" s="1"/>
  <c r="L592" i="7"/>
  <c r="M592" i="7" s="1"/>
  <c r="R593" i="7"/>
  <c r="E590" i="7"/>
  <c r="V589" i="7"/>
  <c r="V512" i="23" s="1"/>
  <c r="L589" i="7"/>
  <c r="S594" i="7"/>
  <c r="N594" i="7"/>
  <c r="K594" i="7"/>
  <c r="K595" i="7" s="1"/>
  <c r="J594" i="7"/>
  <c r="J595" i="7" s="1"/>
  <c r="G594" i="7"/>
  <c r="G595" i="7" s="1"/>
  <c r="F594" i="7"/>
  <c r="T587" i="7"/>
  <c r="L587" i="7"/>
  <c r="M587" i="7" s="1"/>
  <c r="V586" i="7"/>
  <c r="E585" i="7"/>
  <c r="T584" i="7"/>
  <c r="L584" i="7"/>
  <c r="T583" i="7"/>
  <c r="L583" i="7"/>
  <c r="M583" i="7" s="1"/>
  <c r="T582" i="7"/>
  <c r="L582" i="7"/>
  <c r="M582" i="7" s="1"/>
  <c r="R510" i="7"/>
  <c r="Q510" i="7"/>
  <c r="N433" i="23"/>
  <c r="R505" i="7"/>
  <c r="Q505" i="7"/>
  <c r="S503" i="7"/>
  <c r="S505" i="7" s="1"/>
  <c r="P503" i="7"/>
  <c r="P505" i="7" s="1"/>
  <c r="S490" i="7"/>
  <c r="N413" i="23"/>
  <c r="N412" i="23" s="1"/>
  <c r="I413" i="23"/>
  <c r="P488" i="7"/>
  <c r="P490" i="7" s="1"/>
  <c r="P413" i="23" s="1"/>
  <c r="P412" i="23" s="1"/>
  <c r="R495" i="7"/>
  <c r="R418" i="23" s="1"/>
  <c r="Q495" i="7"/>
  <c r="Q418" i="23" s="1"/>
  <c r="P418" i="23"/>
  <c r="O418" i="23"/>
  <c r="N418" i="23"/>
  <c r="J418" i="23"/>
  <c r="K418" i="23"/>
  <c r="F418" i="23"/>
  <c r="R490" i="7"/>
  <c r="R413" i="23" s="1"/>
  <c r="R412" i="23" s="1"/>
  <c r="Q490" i="7"/>
  <c r="Q413" i="23" s="1"/>
  <c r="Q412" i="23" s="1"/>
  <c r="O413" i="23"/>
  <c r="O412" i="23" s="1"/>
  <c r="S430" i="7"/>
  <c r="R435" i="7"/>
  <c r="Q435" i="7"/>
  <c r="R430" i="7"/>
  <c r="Q430" i="7"/>
  <c r="P430" i="7"/>
  <c r="S373" i="7"/>
  <c r="S296" i="23" s="1"/>
  <c r="V368" i="7"/>
  <c r="R373" i="7"/>
  <c r="R296" i="23" s="1"/>
  <c r="Q373" i="7"/>
  <c r="Q296" i="23" s="1"/>
  <c r="O296" i="23"/>
  <c r="G296" i="23"/>
  <c r="H296" i="23"/>
  <c r="I296" i="23"/>
  <c r="J296" i="23"/>
  <c r="K296" i="23"/>
  <c r="F296" i="23"/>
  <c r="J291" i="23"/>
  <c r="K291" i="23"/>
  <c r="R142" i="7"/>
  <c r="Q142" i="7"/>
  <c r="P142" i="7"/>
  <c r="O142" i="7"/>
  <c r="N142" i="7"/>
  <c r="S137" i="7"/>
  <c r="R137" i="7"/>
  <c r="Q137" i="7"/>
  <c r="P137" i="7"/>
  <c r="O137" i="7"/>
  <c r="N137" i="7"/>
  <c r="S92" i="7"/>
  <c r="R97" i="7"/>
  <c r="R97" i="23" s="1"/>
  <c r="R96" i="23" s="1"/>
  <c r="Q97" i="7"/>
  <c r="Q97" i="23" s="1"/>
  <c r="Q96" i="23" s="1"/>
  <c r="P97" i="7"/>
  <c r="P97" i="23" s="1"/>
  <c r="P96" i="23" s="1"/>
  <c r="O97" i="7"/>
  <c r="O97" i="23" s="1"/>
  <c r="O96" i="23" s="1"/>
  <c r="N97" i="23"/>
  <c r="N96" i="23" s="1"/>
  <c r="G97" i="23"/>
  <c r="G96" i="23" s="1"/>
  <c r="H97" i="23"/>
  <c r="H96" i="23" s="1"/>
  <c r="I97" i="23"/>
  <c r="I96" i="23" s="1"/>
  <c r="K97" i="23"/>
  <c r="K96" i="23" s="1"/>
  <c r="V79" i="7"/>
  <c r="V84" i="7" s="1"/>
  <c r="S80" i="7"/>
  <c r="S82" i="7" s="1"/>
  <c r="S84" i="7" s="1"/>
  <c r="R82" i="7"/>
  <c r="R84" i="7" s="1"/>
  <c r="Q82" i="7"/>
  <c r="Q84" i="7" s="1"/>
  <c r="P84" i="7"/>
  <c r="O84" i="7"/>
  <c r="N84" i="7"/>
  <c r="H84" i="7"/>
  <c r="I84" i="7"/>
  <c r="K84" i="7"/>
  <c r="F84" i="7"/>
  <c r="S77" i="7"/>
  <c r="S77" i="23" s="1"/>
  <c r="R77" i="7"/>
  <c r="R77" i="23" s="1"/>
  <c r="Q77" i="7"/>
  <c r="Q77" i="23" s="1"/>
  <c r="P77" i="7"/>
  <c r="P77" i="23" s="1"/>
  <c r="O77" i="23"/>
  <c r="N77" i="23"/>
  <c r="G77" i="23"/>
  <c r="I77" i="23"/>
  <c r="J77" i="23"/>
  <c r="F61" i="7"/>
  <c r="S11" i="7"/>
  <c r="R11" i="7"/>
  <c r="Q11" i="7"/>
  <c r="P11" i="7"/>
  <c r="O11" i="7"/>
  <c r="N11" i="7"/>
  <c r="G11" i="7"/>
  <c r="H11" i="7"/>
  <c r="I11" i="7"/>
  <c r="J11" i="7"/>
  <c r="K11" i="7"/>
  <c r="F11" i="7"/>
  <c r="T539" i="9" l="1"/>
  <c r="V547" i="9"/>
  <c r="O522" i="9"/>
  <c r="T522" i="9" s="1"/>
  <c r="T521" i="9"/>
  <c r="I516" i="23"/>
  <c r="S92" i="23"/>
  <c r="S91" i="23" s="1"/>
  <c r="K82" i="23"/>
  <c r="I82" i="23"/>
  <c r="H82" i="23"/>
  <c r="P82" i="23"/>
  <c r="Q82" i="23"/>
  <c r="R82" i="23"/>
  <c r="O82" i="23"/>
  <c r="W745" i="9"/>
  <c r="X745" i="9"/>
  <c r="W730" i="9"/>
  <c r="X730" i="9"/>
  <c r="L723" i="7"/>
  <c r="L722" i="7" s="1"/>
  <c r="F708" i="7"/>
  <c r="F707" i="7" s="1"/>
  <c r="F646" i="23"/>
  <c r="F645" i="23" s="1"/>
  <c r="H646" i="23"/>
  <c r="H645" i="23" s="1"/>
  <c r="H708" i="7"/>
  <c r="H707" i="7" s="1"/>
  <c r="J646" i="23"/>
  <c r="J645" i="23" s="1"/>
  <c r="J708" i="7"/>
  <c r="J707" i="7" s="1"/>
  <c r="T723" i="7"/>
  <c r="N646" i="23"/>
  <c r="N645" i="23" s="1"/>
  <c r="N708" i="7"/>
  <c r="P646" i="23"/>
  <c r="P645" i="23" s="1"/>
  <c r="P708" i="7"/>
  <c r="R646" i="23"/>
  <c r="R645" i="23" s="1"/>
  <c r="R708" i="7"/>
  <c r="V728" i="7"/>
  <c r="V646" i="23"/>
  <c r="V645" i="23" s="1"/>
  <c r="V708" i="7"/>
  <c r="G732" i="7"/>
  <c r="G713" i="7"/>
  <c r="G651" i="23"/>
  <c r="G650" i="23" s="1"/>
  <c r="I732" i="7"/>
  <c r="I713" i="7"/>
  <c r="I651" i="23"/>
  <c r="I650" i="23" s="1"/>
  <c r="K732" i="7"/>
  <c r="K713" i="7"/>
  <c r="K651" i="23"/>
  <c r="K650" i="23" s="1"/>
  <c r="O732" i="7"/>
  <c r="O651" i="23"/>
  <c r="O650" i="23" s="1"/>
  <c r="O713" i="7"/>
  <c r="Q732" i="7"/>
  <c r="Q713" i="7"/>
  <c r="Q651" i="23"/>
  <c r="Q650" i="23" s="1"/>
  <c r="S732" i="7"/>
  <c r="S651" i="23"/>
  <c r="S650" i="23" s="1"/>
  <c r="S713" i="7"/>
  <c r="V715" i="7"/>
  <c r="V653" i="23"/>
  <c r="V698" i="7"/>
  <c r="V692" i="7"/>
  <c r="V616" i="23"/>
  <c r="V615" i="23" s="1"/>
  <c r="U719" i="7"/>
  <c r="W719" i="7" s="1"/>
  <c r="L738" i="7"/>
  <c r="F661" i="23"/>
  <c r="T738" i="7"/>
  <c r="N661" i="23"/>
  <c r="N660" i="23" s="1"/>
  <c r="V743" i="7"/>
  <c r="V666" i="23" s="1"/>
  <c r="V665" i="23" s="1"/>
  <c r="V661" i="23"/>
  <c r="V660" i="23" s="1"/>
  <c r="V737" i="7"/>
  <c r="G747" i="7"/>
  <c r="I747" i="7"/>
  <c r="K747" i="7"/>
  <c r="K666" i="23"/>
  <c r="K665" i="23" s="1"/>
  <c r="O747" i="7"/>
  <c r="O666" i="23"/>
  <c r="O665" i="23" s="1"/>
  <c r="Q747" i="7"/>
  <c r="Q666" i="23"/>
  <c r="Q665" i="23" s="1"/>
  <c r="S747" i="7"/>
  <c r="S666" i="23"/>
  <c r="S665" i="23" s="1"/>
  <c r="V621" i="23"/>
  <c r="V620" i="23" s="1"/>
  <c r="S621" i="23"/>
  <c r="Q621" i="23"/>
  <c r="O621" i="23"/>
  <c r="K621" i="23"/>
  <c r="I621" i="23"/>
  <c r="G621" i="23"/>
  <c r="V586" i="23"/>
  <c r="V585" i="23" s="1"/>
  <c r="U720" i="7"/>
  <c r="W720" i="7" s="1"/>
  <c r="U721" i="7"/>
  <c r="W721" i="7" s="1"/>
  <c r="G646" i="23"/>
  <c r="G645" i="23" s="1"/>
  <c r="G708" i="7"/>
  <c r="G707" i="7" s="1"/>
  <c r="I708" i="7"/>
  <c r="I707" i="7" s="1"/>
  <c r="I646" i="23"/>
  <c r="I645" i="23" s="1"/>
  <c r="K646" i="23"/>
  <c r="K645" i="23" s="1"/>
  <c r="K708" i="7"/>
  <c r="K707" i="7" s="1"/>
  <c r="O708" i="7"/>
  <c r="O646" i="23"/>
  <c r="O645" i="23" s="1"/>
  <c r="Q646" i="23"/>
  <c r="Q645" i="23" s="1"/>
  <c r="Q708" i="7"/>
  <c r="S708" i="7"/>
  <c r="S646" i="23"/>
  <c r="S645" i="23" s="1"/>
  <c r="V649" i="23"/>
  <c r="V711" i="7"/>
  <c r="F732" i="7"/>
  <c r="F733" i="7" s="1"/>
  <c r="F651" i="23"/>
  <c r="F650" i="23" s="1"/>
  <c r="F713" i="7"/>
  <c r="H732" i="7"/>
  <c r="H651" i="23"/>
  <c r="H650" i="23" s="1"/>
  <c r="H713" i="7"/>
  <c r="J732" i="7"/>
  <c r="J651" i="23"/>
  <c r="J650" i="23" s="1"/>
  <c r="J713" i="7"/>
  <c r="N732" i="7"/>
  <c r="N651" i="23"/>
  <c r="N650" i="23" s="1"/>
  <c r="N713" i="7"/>
  <c r="P732" i="7"/>
  <c r="P651" i="23"/>
  <c r="P650" i="23" s="1"/>
  <c r="P713" i="7"/>
  <c r="R732" i="7"/>
  <c r="R651" i="23"/>
  <c r="R650" i="23" s="1"/>
  <c r="R713" i="7"/>
  <c r="V714" i="7"/>
  <c r="V652" i="23"/>
  <c r="F747" i="7"/>
  <c r="F748" i="7" s="1"/>
  <c r="H747" i="7"/>
  <c r="J747" i="7"/>
  <c r="J666" i="23"/>
  <c r="J665" i="23" s="1"/>
  <c r="N747" i="7"/>
  <c r="N666" i="23"/>
  <c r="N665" i="23" s="1"/>
  <c r="P747" i="7"/>
  <c r="P666" i="23"/>
  <c r="P665" i="23" s="1"/>
  <c r="R747" i="7"/>
  <c r="R666" i="23"/>
  <c r="R665" i="23" s="1"/>
  <c r="L746" i="7"/>
  <c r="M746" i="7" s="1"/>
  <c r="U691" i="7"/>
  <c r="W691" i="7" s="1"/>
  <c r="L701" i="7"/>
  <c r="M701" i="7" s="1"/>
  <c r="T701" i="7"/>
  <c r="L671" i="7"/>
  <c r="M671" i="7" s="1"/>
  <c r="T671" i="7"/>
  <c r="Q623" i="23"/>
  <c r="G623" i="23"/>
  <c r="R623" i="23"/>
  <c r="P623" i="23"/>
  <c r="N623" i="23"/>
  <c r="J623" i="23"/>
  <c r="H623" i="23"/>
  <c r="F623" i="23"/>
  <c r="G516" i="23"/>
  <c r="G84" i="7"/>
  <c r="V671" i="8"/>
  <c r="U665" i="8"/>
  <c r="U707" i="8"/>
  <c r="W708" i="8"/>
  <c r="W707" i="8" s="1"/>
  <c r="T623" i="8"/>
  <c r="U730" i="8"/>
  <c r="W730" i="8" s="1"/>
  <c r="V521" i="8"/>
  <c r="V555" i="23"/>
  <c r="T632" i="8"/>
  <c r="T700" i="8"/>
  <c r="L700" i="8"/>
  <c r="M700" i="8" s="1"/>
  <c r="N521" i="8"/>
  <c r="T521" i="8" s="1"/>
  <c r="T538" i="8"/>
  <c r="U538" i="8" s="1"/>
  <c r="W538" i="8" s="1"/>
  <c r="T555" i="23"/>
  <c r="J521" i="8"/>
  <c r="H521" i="8"/>
  <c r="F615" i="23"/>
  <c r="F555" i="23"/>
  <c r="L555" i="23" s="1"/>
  <c r="M555" i="23" s="1"/>
  <c r="W608" i="9"/>
  <c r="X608" i="9"/>
  <c r="V591" i="7"/>
  <c r="V514" i="23" s="1"/>
  <c r="V509" i="23"/>
  <c r="V508" i="23" s="1"/>
  <c r="V513" i="23"/>
  <c r="Q563" i="7"/>
  <c r="N561" i="7"/>
  <c r="P561" i="7"/>
  <c r="R561" i="7"/>
  <c r="R563" i="7"/>
  <c r="O561" i="7"/>
  <c r="Q561" i="7"/>
  <c r="S561" i="7"/>
  <c r="V538" i="23"/>
  <c r="P625" i="7"/>
  <c r="O478" i="23"/>
  <c r="Q478" i="23"/>
  <c r="S478" i="23"/>
  <c r="S461" i="23" s="1"/>
  <c r="S444" i="23" s="1"/>
  <c r="N478" i="23"/>
  <c r="P478" i="23"/>
  <c r="R478" i="23"/>
  <c r="I538" i="23"/>
  <c r="G478" i="23"/>
  <c r="G538" i="23"/>
  <c r="J478" i="23"/>
  <c r="J538" i="23"/>
  <c r="H478" i="23"/>
  <c r="H538" i="23"/>
  <c r="L616" i="7"/>
  <c r="M616" i="7" s="1"/>
  <c r="M615" i="7" s="1"/>
  <c r="U715" i="9"/>
  <c r="W578" i="9"/>
  <c r="W685" i="9"/>
  <c r="W623" i="9"/>
  <c r="K643" i="9"/>
  <c r="N658" i="9"/>
  <c r="W640" i="9"/>
  <c r="T593" i="8"/>
  <c r="U594" i="8"/>
  <c r="L593" i="8"/>
  <c r="M593" i="8" s="1"/>
  <c r="L623" i="8"/>
  <c r="M623" i="8" s="1"/>
  <c r="W728" i="8"/>
  <c r="W727" i="8" s="1"/>
  <c r="U742" i="8"/>
  <c r="W743" i="8"/>
  <c r="W742" i="8" s="1"/>
  <c r="U722" i="8"/>
  <c r="W723" i="8"/>
  <c r="W722" i="8" s="1"/>
  <c r="V716" i="8"/>
  <c r="W716" i="8" s="1"/>
  <c r="V712" i="8"/>
  <c r="W713" i="8"/>
  <c r="W712" i="8" s="1"/>
  <c r="L715" i="8"/>
  <c r="M715" i="8" s="1"/>
  <c r="U745" i="8"/>
  <c r="W745" i="8" s="1"/>
  <c r="H703" i="8"/>
  <c r="I703" i="8" s="1"/>
  <c r="J703" i="8" s="1"/>
  <c r="K703" i="8" s="1"/>
  <c r="N703" i="8" s="1"/>
  <c r="O703" i="8" s="1"/>
  <c r="P703" i="8" s="1"/>
  <c r="Q703" i="8" s="1"/>
  <c r="R703" i="8" s="1"/>
  <c r="S703" i="8" s="1"/>
  <c r="V701" i="8"/>
  <c r="W701" i="8" s="1"/>
  <c r="V697" i="8"/>
  <c r="M698" i="8"/>
  <c r="M697" i="8" s="1"/>
  <c r="L697" i="8"/>
  <c r="U698" i="8"/>
  <c r="U697" i="8" s="1"/>
  <c r="T697" i="8"/>
  <c r="U692" i="8"/>
  <c r="S672" i="8"/>
  <c r="T668" i="8"/>
  <c r="S670" i="8"/>
  <c r="W665" i="8"/>
  <c r="F672" i="8"/>
  <c r="F673" i="8" s="1"/>
  <c r="G673" i="8" s="1"/>
  <c r="H673" i="8" s="1"/>
  <c r="I673" i="8" s="1"/>
  <c r="J673" i="8" s="1"/>
  <c r="K673" i="8" s="1"/>
  <c r="N673" i="8" s="1"/>
  <c r="O673" i="8" s="1"/>
  <c r="P673" i="8" s="1"/>
  <c r="Q673" i="8" s="1"/>
  <c r="R673" i="8" s="1"/>
  <c r="L671" i="8"/>
  <c r="M671" i="8" s="1"/>
  <c r="U621" i="8"/>
  <c r="U620" i="8" s="1"/>
  <c r="T620" i="8"/>
  <c r="H626" i="8"/>
  <c r="I626" i="8" s="1"/>
  <c r="J626" i="8" s="1"/>
  <c r="K626" i="8" s="1"/>
  <c r="N626" i="8" s="1"/>
  <c r="O626" i="8" s="1"/>
  <c r="P626" i="8" s="1"/>
  <c r="Q626" i="8" s="1"/>
  <c r="R626" i="8" s="1"/>
  <c r="S626" i="8" s="1"/>
  <c r="V624" i="8"/>
  <c r="W624" i="8" s="1"/>
  <c r="V620" i="8"/>
  <c r="M621" i="8"/>
  <c r="M620" i="8" s="1"/>
  <c r="L620" i="8"/>
  <c r="H596" i="8"/>
  <c r="I596" i="8" s="1"/>
  <c r="V594" i="8"/>
  <c r="J596" i="8"/>
  <c r="K596" i="8" s="1"/>
  <c r="N596" i="8" s="1"/>
  <c r="O596" i="8" s="1"/>
  <c r="P596" i="8" s="1"/>
  <c r="Q596" i="8" s="1"/>
  <c r="R596" i="8" s="1"/>
  <c r="S596" i="8" s="1"/>
  <c r="U690" i="7"/>
  <c r="W690" i="7" s="1"/>
  <c r="M691" i="7"/>
  <c r="F632" i="7"/>
  <c r="J632" i="7"/>
  <c r="J538" i="7" s="1"/>
  <c r="J521" i="7" s="1"/>
  <c r="H632" i="7"/>
  <c r="H538" i="7" s="1"/>
  <c r="H521" i="7" s="1"/>
  <c r="N632" i="7"/>
  <c r="P632" i="7"/>
  <c r="P538" i="7" s="1"/>
  <c r="P521" i="7" s="1"/>
  <c r="R632" i="7"/>
  <c r="N538" i="7"/>
  <c r="R538" i="7"/>
  <c r="R521" i="7" s="1"/>
  <c r="L693" i="7"/>
  <c r="L692" i="7" s="1"/>
  <c r="T693" i="7"/>
  <c r="U693" i="7" s="1"/>
  <c r="U694" i="7"/>
  <c r="W694" i="7" s="1"/>
  <c r="U696" i="7"/>
  <c r="W696" i="7" s="1"/>
  <c r="U659" i="7"/>
  <c r="W659" i="7" s="1"/>
  <c r="U661" i="7"/>
  <c r="W661" i="7" s="1"/>
  <c r="U665" i="7"/>
  <c r="W665" i="7" s="1"/>
  <c r="U669" i="7"/>
  <c r="W669" i="7" s="1"/>
  <c r="K632" i="7"/>
  <c r="I632" i="7"/>
  <c r="G632" i="7"/>
  <c r="O632" i="7"/>
  <c r="Q632" i="7"/>
  <c r="Q538" i="7" s="1"/>
  <c r="Q521" i="7" s="1"/>
  <c r="S632" i="7"/>
  <c r="V615" i="7"/>
  <c r="V555" i="7"/>
  <c r="O625" i="7"/>
  <c r="Q625" i="7"/>
  <c r="N625" i="7"/>
  <c r="H595" i="7"/>
  <c r="T746" i="7"/>
  <c r="F555" i="7"/>
  <c r="F538" i="7" s="1"/>
  <c r="U724" i="7"/>
  <c r="W724" i="7" s="1"/>
  <c r="U726" i="7"/>
  <c r="U729" i="7"/>
  <c r="U735" i="7"/>
  <c r="W735" i="7" s="1"/>
  <c r="U739" i="7"/>
  <c r="W739" i="7" s="1"/>
  <c r="U741" i="7"/>
  <c r="W741" i="7" s="1"/>
  <c r="U744" i="7"/>
  <c r="W744" i="7" s="1"/>
  <c r="U695" i="7"/>
  <c r="W695" i="7" s="1"/>
  <c r="U699" i="7"/>
  <c r="W699" i="7" s="1"/>
  <c r="U660" i="7"/>
  <c r="W660" i="7" s="1"/>
  <c r="U664" i="7"/>
  <c r="W664" i="7" s="1"/>
  <c r="U666" i="7"/>
  <c r="W666" i="7" s="1"/>
  <c r="T663" i="7"/>
  <c r="L663" i="7"/>
  <c r="L662" i="7" s="1"/>
  <c r="O670" i="7"/>
  <c r="O593" i="23" s="1"/>
  <c r="S670" i="7"/>
  <c r="Q670" i="7"/>
  <c r="Q593" i="23" s="1"/>
  <c r="I670" i="7"/>
  <c r="I593" i="23" s="1"/>
  <c r="G670" i="7"/>
  <c r="G593" i="23" s="1"/>
  <c r="K670" i="7"/>
  <c r="K593" i="23" s="1"/>
  <c r="U671" i="7"/>
  <c r="T662" i="7"/>
  <c r="X666" i="7"/>
  <c r="L668" i="7"/>
  <c r="T668" i="7"/>
  <c r="V668" i="7"/>
  <c r="V591" i="23" s="1"/>
  <c r="V590" i="23" s="1"/>
  <c r="F672" i="7"/>
  <c r="F673" i="7" s="1"/>
  <c r="G673" i="7" s="1"/>
  <c r="H672" i="7"/>
  <c r="J672" i="7"/>
  <c r="N672" i="7"/>
  <c r="P672" i="7"/>
  <c r="R672" i="7"/>
  <c r="Q555" i="7"/>
  <c r="M693" i="7"/>
  <c r="M692" i="7" s="1"/>
  <c r="T692" i="7"/>
  <c r="V701" i="7"/>
  <c r="V697" i="7"/>
  <c r="X696" i="7"/>
  <c r="L698" i="7"/>
  <c r="T698" i="7"/>
  <c r="G700" i="7"/>
  <c r="I700" i="7"/>
  <c r="I623" i="23" s="1"/>
  <c r="K700" i="7"/>
  <c r="K623" i="23" s="1"/>
  <c r="O700" i="7"/>
  <c r="O623" i="23" s="1"/>
  <c r="Q700" i="7"/>
  <c r="S700" i="7"/>
  <c r="S623" i="23" s="1"/>
  <c r="F702" i="7"/>
  <c r="F703" i="7" s="1"/>
  <c r="G703" i="7" s="1"/>
  <c r="H702" i="7"/>
  <c r="J702" i="7"/>
  <c r="N702" i="7"/>
  <c r="P702" i="7"/>
  <c r="R702" i="7"/>
  <c r="L737" i="7"/>
  <c r="M738" i="7"/>
  <c r="M737" i="7" s="1"/>
  <c r="T737" i="7"/>
  <c r="U738" i="7"/>
  <c r="U737" i="7" s="1"/>
  <c r="V746" i="7"/>
  <c r="V742" i="7"/>
  <c r="G748" i="7"/>
  <c r="H748" i="7" s="1"/>
  <c r="I748" i="7" s="1"/>
  <c r="J748" i="7" s="1"/>
  <c r="K748" i="7" s="1"/>
  <c r="N748" i="7" s="1"/>
  <c r="O748" i="7" s="1"/>
  <c r="P748" i="7" s="1"/>
  <c r="Q748" i="7" s="1"/>
  <c r="R748" i="7" s="1"/>
  <c r="S748" i="7" s="1"/>
  <c r="L743" i="7"/>
  <c r="T743" i="7"/>
  <c r="F745" i="7"/>
  <c r="H745" i="7"/>
  <c r="J745" i="7"/>
  <c r="J668" i="23" s="1"/>
  <c r="N745" i="7"/>
  <c r="N668" i="23" s="1"/>
  <c r="P745" i="7"/>
  <c r="P668" i="23" s="1"/>
  <c r="R745" i="7"/>
  <c r="R668" i="23" s="1"/>
  <c r="G745" i="7"/>
  <c r="I745" i="7"/>
  <c r="K745" i="7"/>
  <c r="K668" i="23" s="1"/>
  <c r="O745" i="7"/>
  <c r="O668" i="23" s="1"/>
  <c r="Q745" i="7"/>
  <c r="Q668" i="23" s="1"/>
  <c r="S745" i="7"/>
  <c r="S668" i="23" s="1"/>
  <c r="L593" i="7"/>
  <c r="M593" i="7" s="1"/>
  <c r="U582" i="7"/>
  <c r="U583" i="7"/>
  <c r="U584" i="7"/>
  <c r="U587" i="7"/>
  <c r="W587" i="7" s="1"/>
  <c r="L591" i="7"/>
  <c r="M591" i="7" s="1"/>
  <c r="P595" i="7"/>
  <c r="L586" i="7"/>
  <c r="M586" i="7" s="1"/>
  <c r="U612" i="7"/>
  <c r="U613" i="7"/>
  <c r="U614" i="7"/>
  <c r="W614" i="7" s="1"/>
  <c r="U617" i="7"/>
  <c r="W617" i="7" s="1"/>
  <c r="T619" i="7"/>
  <c r="U619" i="7" s="1"/>
  <c r="U622" i="7"/>
  <c r="V722" i="7"/>
  <c r="W726" i="7"/>
  <c r="W729" i="7"/>
  <c r="L731" i="7"/>
  <c r="M731" i="7" s="1"/>
  <c r="T731" i="7"/>
  <c r="U731" i="7"/>
  <c r="M723" i="7"/>
  <c r="M722" i="7" s="1"/>
  <c r="T722" i="7"/>
  <c r="U723" i="7"/>
  <c r="U722" i="7" s="1"/>
  <c r="V727" i="7"/>
  <c r="G733" i="7"/>
  <c r="L728" i="7"/>
  <c r="T728" i="7"/>
  <c r="F730" i="7"/>
  <c r="H730" i="7"/>
  <c r="J730" i="7"/>
  <c r="N730" i="7"/>
  <c r="P730" i="7"/>
  <c r="R730" i="7"/>
  <c r="G730" i="7"/>
  <c r="I730" i="7"/>
  <c r="K730" i="7"/>
  <c r="O730" i="7"/>
  <c r="Q730" i="7"/>
  <c r="S730" i="7"/>
  <c r="U616" i="7"/>
  <c r="T615" i="7"/>
  <c r="S625" i="7"/>
  <c r="S623" i="7"/>
  <c r="S546" i="23" s="1"/>
  <c r="W622" i="7"/>
  <c r="T618" i="7"/>
  <c r="U618" i="7" s="1"/>
  <c r="M619" i="7"/>
  <c r="T621" i="7"/>
  <c r="V621" i="7"/>
  <c r="F624" i="7"/>
  <c r="F564" i="7" s="1"/>
  <c r="T624" i="7"/>
  <c r="R625" i="7"/>
  <c r="O595" i="7"/>
  <c r="Q595" i="7"/>
  <c r="V585" i="7"/>
  <c r="F595" i="7"/>
  <c r="F596" i="7" s="1"/>
  <c r="G596" i="7" s="1"/>
  <c r="H596" i="7" s="1"/>
  <c r="I596" i="7" s="1"/>
  <c r="J596" i="7" s="1"/>
  <c r="K596" i="7" s="1"/>
  <c r="L594" i="7"/>
  <c r="M594" i="7" s="1"/>
  <c r="N595" i="7"/>
  <c r="T594" i="7"/>
  <c r="U594" i="7" s="1"/>
  <c r="V590" i="7"/>
  <c r="S595" i="7"/>
  <c r="S593" i="7"/>
  <c r="T586" i="7"/>
  <c r="L588" i="7"/>
  <c r="M588" i="7" s="1"/>
  <c r="T588" i="7"/>
  <c r="M589" i="7"/>
  <c r="T589" i="7"/>
  <c r="U589" i="7" s="1"/>
  <c r="W589" i="7" s="1"/>
  <c r="R595" i="7"/>
  <c r="M584" i="7"/>
  <c r="T591" i="7"/>
  <c r="V77" i="7"/>
  <c r="S2" i="7"/>
  <c r="R2" i="7"/>
  <c r="R3" i="7" s="1"/>
  <c r="Q2" i="7"/>
  <c r="P2" i="7"/>
  <c r="O2" i="7"/>
  <c r="N2" i="7"/>
  <c r="K2" i="7"/>
  <c r="J2" i="7"/>
  <c r="I2" i="7"/>
  <c r="H2" i="7"/>
  <c r="G2" i="7"/>
  <c r="F2" i="7"/>
  <c r="C8" i="7"/>
  <c r="V628" i="23"/>
  <c r="V440" i="23" s="1"/>
  <c r="V627" i="23"/>
  <c r="V439" i="23" s="1"/>
  <c r="T2" i="7" l="1"/>
  <c r="F3" i="7"/>
  <c r="W715" i="9"/>
  <c r="X715" i="9"/>
  <c r="Q715" i="7"/>
  <c r="Q653" i="23"/>
  <c r="K715" i="7"/>
  <c r="K653" i="23"/>
  <c r="G715" i="7"/>
  <c r="G653" i="23"/>
  <c r="P715" i="7"/>
  <c r="P653" i="23"/>
  <c r="J715" i="7"/>
  <c r="J653" i="23"/>
  <c r="F715" i="7"/>
  <c r="F653" i="23"/>
  <c r="L661" i="23"/>
  <c r="F660" i="23"/>
  <c r="V713" i="7"/>
  <c r="V651" i="23"/>
  <c r="V650" i="23" s="1"/>
  <c r="S715" i="7"/>
  <c r="S653" i="23"/>
  <c r="O715" i="7"/>
  <c r="O653" i="23"/>
  <c r="I715" i="7"/>
  <c r="I653" i="23"/>
  <c r="R715" i="7"/>
  <c r="R653" i="23"/>
  <c r="N715" i="7"/>
  <c r="N653" i="23"/>
  <c r="H715" i="7"/>
  <c r="H653" i="23"/>
  <c r="H733" i="7"/>
  <c r="I733" i="7" s="1"/>
  <c r="J733" i="7" s="1"/>
  <c r="K733" i="7" s="1"/>
  <c r="N733" i="7" s="1"/>
  <c r="O733" i="7" s="1"/>
  <c r="P733" i="7" s="1"/>
  <c r="Q733" i="7" s="1"/>
  <c r="R733" i="7" s="1"/>
  <c r="S733" i="7" s="1"/>
  <c r="V731" i="7"/>
  <c r="U746" i="7"/>
  <c r="W701" i="7"/>
  <c r="U701" i="7"/>
  <c r="T670" i="7"/>
  <c r="W619" i="7"/>
  <c r="X619" i="7"/>
  <c r="U591" i="7"/>
  <c r="U590" i="7" s="1"/>
  <c r="M590" i="7"/>
  <c r="X589" i="7"/>
  <c r="X698" i="8"/>
  <c r="W594" i="8"/>
  <c r="T670" i="8"/>
  <c r="U670" i="8" s="1"/>
  <c r="W670" i="8" s="1"/>
  <c r="S593" i="23"/>
  <c r="U555" i="23"/>
  <c r="U700" i="8"/>
  <c r="V594" i="7"/>
  <c r="M585" i="7"/>
  <c r="W584" i="7"/>
  <c r="T593" i="7"/>
  <c r="S516" i="23"/>
  <c r="V478" i="23"/>
  <c r="V461" i="23" s="1"/>
  <c r="T623" i="7"/>
  <c r="V544" i="23"/>
  <c r="V538" i="7"/>
  <c r="V521" i="7" s="1"/>
  <c r="R461" i="23"/>
  <c r="R444" i="23" s="1"/>
  <c r="P461" i="23"/>
  <c r="P444" i="23" s="1"/>
  <c r="N461" i="23"/>
  <c r="T478" i="23"/>
  <c r="Q461" i="23"/>
  <c r="Q444" i="23" s="1"/>
  <c r="O461" i="23"/>
  <c r="O444" i="23" s="1"/>
  <c r="H461" i="23"/>
  <c r="H444" i="23" s="1"/>
  <c r="J461" i="23"/>
  <c r="J444" i="23" s="1"/>
  <c r="G461" i="23"/>
  <c r="G444" i="23" s="1"/>
  <c r="L615" i="7"/>
  <c r="N643" i="9"/>
  <c r="O658" i="9"/>
  <c r="U593" i="8"/>
  <c r="U623" i="8"/>
  <c r="W621" i="8"/>
  <c r="W620" i="8" s="1"/>
  <c r="X670" i="8"/>
  <c r="U715" i="8"/>
  <c r="W715" i="8" s="1"/>
  <c r="W698" i="8"/>
  <c r="W697" i="8" s="1"/>
  <c r="S673" i="8"/>
  <c r="U668" i="8"/>
  <c r="T667" i="8"/>
  <c r="U671" i="8"/>
  <c r="W671" i="8" s="1"/>
  <c r="X591" i="8"/>
  <c r="W591" i="8"/>
  <c r="W590" i="8" s="1"/>
  <c r="G538" i="7"/>
  <c r="G521" i="7" s="1"/>
  <c r="K538" i="7"/>
  <c r="K521" i="7" s="1"/>
  <c r="T632" i="7"/>
  <c r="F521" i="7"/>
  <c r="S538" i="7"/>
  <c r="S521" i="7" s="1"/>
  <c r="O538" i="7"/>
  <c r="O521" i="7" s="1"/>
  <c r="I538" i="7"/>
  <c r="I521" i="7" s="1"/>
  <c r="N521" i="7"/>
  <c r="L632" i="7"/>
  <c r="M632" i="7" s="1"/>
  <c r="W594" i="7"/>
  <c r="U593" i="7"/>
  <c r="W593" i="7" s="1"/>
  <c r="L585" i="7"/>
  <c r="X592" i="7"/>
  <c r="L555" i="7"/>
  <c r="M555" i="7" s="1"/>
  <c r="W746" i="7"/>
  <c r="T700" i="7"/>
  <c r="L700" i="7"/>
  <c r="M700" i="7" s="1"/>
  <c r="L670" i="7"/>
  <c r="M670" i="7" s="1"/>
  <c r="U663" i="7"/>
  <c r="W663" i="7" s="1"/>
  <c r="W662" i="7" s="1"/>
  <c r="M663" i="7"/>
  <c r="M662" i="7" s="1"/>
  <c r="H673" i="7"/>
  <c r="I673" i="7" s="1"/>
  <c r="J673" i="7" s="1"/>
  <c r="K673" i="7" s="1"/>
  <c r="N673" i="7" s="1"/>
  <c r="O673" i="7" s="1"/>
  <c r="P673" i="7" s="1"/>
  <c r="Q673" i="7" s="1"/>
  <c r="R673" i="7" s="1"/>
  <c r="S673" i="7" s="1"/>
  <c r="V671" i="7"/>
  <c r="W671" i="7" s="1"/>
  <c r="V667" i="7"/>
  <c r="M668" i="7"/>
  <c r="M667" i="7" s="1"/>
  <c r="L667" i="7"/>
  <c r="U668" i="7"/>
  <c r="U667" i="7" s="1"/>
  <c r="T667" i="7"/>
  <c r="T555" i="7"/>
  <c r="U700" i="7"/>
  <c r="H703" i="7"/>
  <c r="I703" i="7" s="1"/>
  <c r="U698" i="7"/>
  <c r="T697" i="7"/>
  <c r="W693" i="7"/>
  <c r="W692" i="7" s="1"/>
  <c r="U692" i="7"/>
  <c r="X698" i="7"/>
  <c r="J703" i="7"/>
  <c r="K703" i="7" s="1"/>
  <c r="N703" i="7" s="1"/>
  <c r="O703" i="7" s="1"/>
  <c r="P703" i="7" s="1"/>
  <c r="Q703" i="7" s="1"/>
  <c r="R703" i="7" s="1"/>
  <c r="S703" i="7" s="1"/>
  <c r="M698" i="7"/>
  <c r="M697" i="7" s="1"/>
  <c r="L697" i="7"/>
  <c r="L745" i="7"/>
  <c r="M745" i="7" s="1"/>
  <c r="M743" i="7"/>
  <c r="M742" i="7" s="1"/>
  <c r="L742" i="7"/>
  <c r="T745" i="7"/>
  <c r="U743" i="7"/>
  <c r="T742" i="7"/>
  <c r="W738" i="7"/>
  <c r="W737" i="7" s="1"/>
  <c r="W731" i="7"/>
  <c r="L590" i="7"/>
  <c r="L730" i="7"/>
  <c r="M730" i="7" s="1"/>
  <c r="M728" i="7"/>
  <c r="M727" i="7" s="1"/>
  <c r="L727" i="7"/>
  <c r="T730" i="7"/>
  <c r="U728" i="7"/>
  <c r="T727" i="7"/>
  <c r="W723" i="7"/>
  <c r="W722" i="7" s="1"/>
  <c r="V624" i="7"/>
  <c r="V620" i="7"/>
  <c r="L624" i="7"/>
  <c r="M624" i="7" s="1"/>
  <c r="T620" i="7"/>
  <c r="W618" i="7"/>
  <c r="U615" i="7"/>
  <c r="W616" i="7"/>
  <c r="W615" i="7" s="1"/>
  <c r="U588" i="7"/>
  <c r="W591" i="7"/>
  <c r="W590" i="7" s="1"/>
  <c r="N596" i="7"/>
  <c r="O596" i="7" s="1"/>
  <c r="P596" i="7" s="1"/>
  <c r="Q596" i="7" s="1"/>
  <c r="R596" i="7" s="1"/>
  <c r="S596" i="7" s="1"/>
  <c r="U586" i="7"/>
  <c r="X591" i="7" s="1"/>
  <c r="T585" i="7"/>
  <c r="K669" i="23"/>
  <c r="J669" i="23"/>
  <c r="I669" i="23"/>
  <c r="H669" i="23"/>
  <c r="G669" i="23"/>
  <c r="F669" i="23"/>
  <c r="K624" i="23"/>
  <c r="J624" i="23"/>
  <c r="I624" i="23"/>
  <c r="H624" i="23"/>
  <c r="G624" i="23"/>
  <c r="F624" i="23"/>
  <c r="E450" i="23"/>
  <c r="M661" i="23" l="1"/>
  <c r="M660" i="23" s="1"/>
  <c r="L660" i="23"/>
  <c r="U745" i="7"/>
  <c r="W745" i="7" s="1"/>
  <c r="X700" i="8"/>
  <c r="W700" i="8"/>
  <c r="V444" i="23"/>
  <c r="V543" i="23"/>
  <c r="N444" i="23"/>
  <c r="T461" i="23"/>
  <c r="T538" i="7"/>
  <c r="O643" i="9"/>
  <c r="P658" i="9"/>
  <c r="L505" i="23"/>
  <c r="M505" i="23" s="1"/>
  <c r="T505" i="23"/>
  <c r="L506" i="23"/>
  <c r="M506" i="23" s="1"/>
  <c r="X593" i="8"/>
  <c r="W593" i="8"/>
  <c r="X623" i="8"/>
  <c r="W623" i="8"/>
  <c r="U667" i="8"/>
  <c r="W668" i="8"/>
  <c r="W667" i="8" s="1"/>
  <c r="L510" i="23"/>
  <c r="M510" i="23" s="1"/>
  <c r="H627" i="23"/>
  <c r="J627" i="23"/>
  <c r="P627" i="23"/>
  <c r="R627" i="23"/>
  <c r="H628" i="23"/>
  <c r="J628" i="23"/>
  <c r="N628" i="23"/>
  <c r="V629" i="23"/>
  <c r="I631" i="23"/>
  <c r="K631" i="23"/>
  <c r="Q631" i="23"/>
  <c r="S631" i="23"/>
  <c r="H632" i="23"/>
  <c r="J632" i="23"/>
  <c r="P632" i="23"/>
  <c r="R632" i="23"/>
  <c r="O633" i="23"/>
  <c r="Q633" i="23"/>
  <c r="S633" i="23"/>
  <c r="K636" i="23"/>
  <c r="O636" i="23"/>
  <c r="U632" i="7"/>
  <c r="W632" i="7" s="1"/>
  <c r="L538" i="7"/>
  <c r="M538" i="7" s="1"/>
  <c r="L545" i="23"/>
  <c r="M545" i="23" s="1"/>
  <c r="T545" i="23"/>
  <c r="L582" i="23"/>
  <c r="M582" i="23" s="1"/>
  <c r="T582" i="23"/>
  <c r="T583" i="23"/>
  <c r="U670" i="7"/>
  <c r="X670" i="7" s="1"/>
  <c r="T521" i="7"/>
  <c r="L521" i="7"/>
  <c r="M521" i="7" s="1"/>
  <c r="T510" i="23"/>
  <c r="U510" i="23" s="1"/>
  <c r="U555" i="7"/>
  <c r="W555" i="7" s="1"/>
  <c r="L583" i="23"/>
  <c r="M583" i="23" s="1"/>
  <c r="U730" i="7"/>
  <c r="W730" i="7" s="1"/>
  <c r="U662" i="7"/>
  <c r="W670" i="7"/>
  <c r="X668" i="7"/>
  <c r="W668" i="7"/>
  <c r="W667" i="7" s="1"/>
  <c r="U697" i="7"/>
  <c r="W698" i="7"/>
  <c r="W697" i="7" s="1"/>
  <c r="X700" i="7"/>
  <c r="W700" i="7"/>
  <c r="U742" i="7"/>
  <c r="W743" i="7"/>
  <c r="W742" i="7" s="1"/>
  <c r="U727" i="7"/>
  <c r="W728" i="7"/>
  <c r="W727" i="7" s="1"/>
  <c r="U624" i="7"/>
  <c r="W624" i="7" s="1"/>
  <c r="L587" i="23"/>
  <c r="M587" i="23" s="1"/>
  <c r="T587" i="23"/>
  <c r="U585" i="7"/>
  <c r="W586" i="7"/>
  <c r="W585" i="7" s="1"/>
  <c r="X593" i="7"/>
  <c r="W588" i="7"/>
  <c r="Q636" i="23"/>
  <c r="S636" i="23"/>
  <c r="G637" i="23"/>
  <c r="G451" i="23" s="1"/>
  <c r="K638" i="23"/>
  <c r="O638" i="23"/>
  <c r="Q638" i="23"/>
  <c r="S638" i="23"/>
  <c r="L624" i="23"/>
  <c r="M624" i="23" s="1"/>
  <c r="L622" i="23"/>
  <c r="M622" i="23" s="1"/>
  <c r="T622" i="23"/>
  <c r="I637" i="23"/>
  <c r="I451" i="23" s="1"/>
  <c r="K637" i="23"/>
  <c r="K451" i="23" s="1"/>
  <c r="O637" i="23"/>
  <c r="Q637" i="23"/>
  <c r="S637" i="23"/>
  <c r="L669" i="23"/>
  <c r="M669" i="23" s="1"/>
  <c r="T667" i="23"/>
  <c r="T668" i="23"/>
  <c r="L515" i="23"/>
  <c r="M515" i="23" s="1"/>
  <c r="T515" i="23"/>
  <c r="L535" i="23"/>
  <c r="M535" i="23" s="1"/>
  <c r="T535" i="23"/>
  <c r="L536" i="23"/>
  <c r="M536" i="23" s="1"/>
  <c r="T536" i="23"/>
  <c r="L642" i="23"/>
  <c r="M642" i="23" s="1"/>
  <c r="F627" i="23"/>
  <c r="T642" i="23"/>
  <c r="U642" i="23" s="1"/>
  <c r="N627" i="23"/>
  <c r="L643" i="23"/>
  <c r="M643" i="23" s="1"/>
  <c r="F628" i="23"/>
  <c r="F629" i="23"/>
  <c r="H629" i="23"/>
  <c r="J629" i="23"/>
  <c r="N629" i="23"/>
  <c r="P629" i="23"/>
  <c r="R629" i="23"/>
  <c r="L647" i="23"/>
  <c r="M647" i="23" s="1"/>
  <c r="F632" i="23"/>
  <c r="T647" i="23"/>
  <c r="U647" i="23" s="1"/>
  <c r="N632" i="23"/>
  <c r="V637" i="23"/>
  <c r="V632" i="23"/>
  <c r="G654" i="23"/>
  <c r="G639" i="23" s="1"/>
  <c r="G633" i="23"/>
  <c r="I654" i="23"/>
  <c r="I639" i="23" s="1"/>
  <c r="I633" i="23"/>
  <c r="K654" i="23"/>
  <c r="K639" i="23" s="1"/>
  <c r="K633" i="23"/>
  <c r="G634" i="23"/>
  <c r="I634" i="23"/>
  <c r="K634" i="23"/>
  <c r="O634" i="23"/>
  <c r="Q634" i="23"/>
  <c r="S634" i="23"/>
  <c r="S635" i="23" s="1"/>
  <c r="L540" i="23"/>
  <c r="M540" i="23" s="1"/>
  <c r="T540" i="23"/>
  <c r="L592" i="23"/>
  <c r="M592" i="23" s="1"/>
  <c r="T592" i="23"/>
  <c r="L612" i="23"/>
  <c r="M612" i="23" s="1"/>
  <c r="T612" i="23"/>
  <c r="L613" i="23"/>
  <c r="M613" i="23" s="1"/>
  <c r="L617" i="23"/>
  <c r="M617" i="23" s="1"/>
  <c r="G627" i="23"/>
  <c r="I627" i="23"/>
  <c r="K627" i="23"/>
  <c r="O627" i="23"/>
  <c r="Q627" i="23"/>
  <c r="S627" i="23"/>
  <c r="G628" i="23"/>
  <c r="I628" i="23"/>
  <c r="K628" i="23"/>
  <c r="O628" i="23"/>
  <c r="G629" i="23"/>
  <c r="I629" i="23"/>
  <c r="K629" i="23"/>
  <c r="Q629" i="23"/>
  <c r="S629" i="23"/>
  <c r="L646" i="23"/>
  <c r="M646" i="23" s="1"/>
  <c r="J631" i="23"/>
  <c r="N631" i="23"/>
  <c r="P631" i="23"/>
  <c r="R631" i="23"/>
  <c r="V631" i="23"/>
  <c r="G632" i="23"/>
  <c r="I632" i="23"/>
  <c r="K632" i="23"/>
  <c r="O632" i="23"/>
  <c r="Q632" i="23"/>
  <c r="S632" i="23"/>
  <c r="F654" i="23"/>
  <c r="F655" i="23" s="1"/>
  <c r="F656" i="23" s="1"/>
  <c r="F633" i="23"/>
  <c r="H654" i="23"/>
  <c r="H639" i="23" s="1"/>
  <c r="H633" i="23"/>
  <c r="J654" i="23"/>
  <c r="J639" i="23" s="1"/>
  <c r="J633" i="23"/>
  <c r="N633" i="23"/>
  <c r="P633" i="23"/>
  <c r="R633" i="23"/>
  <c r="V638" i="23"/>
  <c r="V633" i="23"/>
  <c r="F634" i="23"/>
  <c r="H634" i="23"/>
  <c r="J634" i="23"/>
  <c r="N634" i="23"/>
  <c r="P634" i="23"/>
  <c r="R634" i="23"/>
  <c r="V634" i="23"/>
  <c r="J636" i="23"/>
  <c r="N636" i="23"/>
  <c r="P636" i="23"/>
  <c r="R636" i="23"/>
  <c r="L652" i="23"/>
  <c r="M652" i="23" s="1"/>
  <c r="F637" i="23"/>
  <c r="F451" i="23" s="1"/>
  <c r="H637" i="23"/>
  <c r="H451" i="23" s="1"/>
  <c r="J637" i="23"/>
  <c r="J451" i="23" s="1"/>
  <c r="T652" i="23"/>
  <c r="N637" i="23"/>
  <c r="P637" i="23"/>
  <c r="R637" i="23"/>
  <c r="L653" i="23"/>
  <c r="M653" i="23" s="1"/>
  <c r="J638" i="23"/>
  <c r="T653" i="23"/>
  <c r="N638" i="23"/>
  <c r="P638" i="23"/>
  <c r="R638" i="23"/>
  <c r="T657" i="23"/>
  <c r="T658" i="23"/>
  <c r="T662" i="23"/>
  <c r="T506" i="23"/>
  <c r="O654" i="23"/>
  <c r="Q654" i="23"/>
  <c r="Q655" i="23" s="1"/>
  <c r="S654" i="23"/>
  <c r="T661" i="23"/>
  <c r="N669" i="23"/>
  <c r="N670" i="23" s="1"/>
  <c r="P669" i="23"/>
  <c r="P670" i="23" s="1"/>
  <c r="R669" i="23"/>
  <c r="R670" i="23" s="1"/>
  <c r="T617" i="23"/>
  <c r="N654" i="23"/>
  <c r="N639" i="23" s="1"/>
  <c r="P654" i="23"/>
  <c r="P639" i="23" s="1"/>
  <c r="R654" i="23"/>
  <c r="R639" i="23" s="1"/>
  <c r="O669" i="23"/>
  <c r="O670" i="23" s="1"/>
  <c r="Q669" i="23"/>
  <c r="Q670" i="23" s="1"/>
  <c r="S669" i="23"/>
  <c r="S670" i="23" s="1"/>
  <c r="J670" i="23"/>
  <c r="K670" i="23"/>
  <c r="T659" i="23"/>
  <c r="T663" i="23"/>
  <c r="T666" i="23"/>
  <c r="T664" i="23"/>
  <c r="R624" i="23"/>
  <c r="L644" i="23"/>
  <c r="M644" i="23" s="1"/>
  <c r="L648" i="23"/>
  <c r="M648" i="23" s="1"/>
  <c r="T648" i="23"/>
  <c r="L651" i="23"/>
  <c r="T651" i="23"/>
  <c r="Q624" i="23"/>
  <c r="S624" i="23"/>
  <c r="L649" i="23"/>
  <c r="M649" i="23" s="1"/>
  <c r="T649" i="23"/>
  <c r="F594" i="23"/>
  <c r="H594" i="23"/>
  <c r="J594" i="23"/>
  <c r="N594" i="23"/>
  <c r="P594" i="23"/>
  <c r="R594" i="23"/>
  <c r="L614" i="23"/>
  <c r="M614" i="23" s="1"/>
  <c r="T614" i="23"/>
  <c r="L618" i="23"/>
  <c r="M618" i="23" s="1"/>
  <c r="G594" i="23"/>
  <c r="I594" i="23"/>
  <c r="K594" i="23"/>
  <c r="O594" i="23"/>
  <c r="Q594" i="23"/>
  <c r="S594" i="23"/>
  <c r="L619" i="23"/>
  <c r="M619" i="23" s="1"/>
  <c r="T619" i="23"/>
  <c r="L584" i="23"/>
  <c r="M584" i="23" s="1"/>
  <c r="T584" i="23"/>
  <c r="L588" i="23"/>
  <c r="M588" i="23" s="1"/>
  <c r="T588" i="23"/>
  <c r="L589" i="23"/>
  <c r="M589" i="23" s="1"/>
  <c r="T589" i="23"/>
  <c r="H547" i="23"/>
  <c r="J547" i="23"/>
  <c r="P547" i="23"/>
  <c r="R547" i="23"/>
  <c r="I547" i="23"/>
  <c r="O547" i="23"/>
  <c r="Q547" i="23"/>
  <c r="L537" i="23"/>
  <c r="M537" i="23" s="1"/>
  <c r="L542" i="23"/>
  <c r="M542" i="23" s="1"/>
  <c r="L507" i="23"/>
  <c r="M507" i="23" s="1"/>
  <c r="T507" i="23"/>
  <c r="L512" i="23"/>
  <c r="M512" i="23" s="1"/>
  <c r="O635" i="23" l="1"/>
  <c r="K640" i="23"/>
  <c r="K641" i="23" s="1"/>
  <c r="W647" i="23"/>
  <c r="U521" i="7"/>
  <c r="W521" i="7" s="1"/>
  <c r="U652" i="23"/>
  <c r="X652" i="23" s="1"/>
  <c r="U653" i="23"/>
  <c r="W653" i="23" s="1"/>
  <c r="H655" i="23"/>
  <c r="P655" i="23"/>
  <c r="U583" i="23"/>
  <c r="I655" i="23"/>
  <c r="W652" i="23"/>
  <c r="S630" i="23"/>
  <c r="I630" i="23"/>
  <c r="P643" i="9"/>
  <c r="Q658" i="9"/>
  <c r="V630" i="23"/>
  <c r="Q635" i="23"/>
  <c r="K635" i="23"/>
  <c r="U505" i="23"/>
  <c r="U506" i="23"/>
  <c r="U592" i="23"/>
  <c r="W592" i="23" s="1"/>
  <c r="U535" i="23"/>
  <c r="U582" i="23"/>
  <c r="U658" i="23"/>
  <c r="U540" i="23"/>
  <c r="U587" i="23"/>
  <c r="U545" i="23"/>
  <c r="W545" i="23" s="1"/>
  <c r="U622" i="23"/>
  <c r="W622" i="23" s="1"/>
  <c r="V636" i="23"/>
  <c r="V635" i="23" s="1"/>
  <c r="S639" i="23"/>
  <c r="S640" i="23" s="1"/>
  <c r="S641" i="23" s="1"/>
  <c r="O639" i="23"/>
  <c r="O640" i="23" s="1"/>
  <c r="O641" i="23" s="1"/>
  <c r="J630" i="23"/>
  <c r="Q630" i="23"/>
  <c r="K630" i="23"/>
  <c r="U538" i="7"/>
  <c r="W538" i="7" s="1"/>
  <c r="R635" i="23"/>
  <c r="N635" i="23"/>
  <c r="S655" i="23"/>
  <c r="O655" i="23"/>
  <c r="R655" i="23"/>
  <c r="N655" i="23"/>
  <c r="U667" i="23"/>
  <c r="W667" i="23" s="1"/>
  <c r="U664" i="23"/>
  <c r="W664" i="23" s="1"/>
  <c r="U515" i="23"/>
  <c r="X515" i="23" s="1"/>
  <c r="U536" i="23"/>
  <c r="U617" i="23"/>
  <c r="U612" i="23"/>
  <c r="K655" i="23"/>
  <c r="G655" i="23"/>
  <c r="G656" i="23" s="1"/>
  <c r="H656" i="23" s="1"/>
  <c r="J655" i="23"/>
  <c r="U662" i="23"/>
  <c r="U657" i="23"/>
  <c r="Q639" i="23"/>
  <c r="Q640" i="23" s="1"/>
  <c r="Q641" i="23" s="1"/>
  <c r="R640" i="23"/>
  <c r="R641" i="23" s="1"/>
  <c r="N640" i="23"/>
  <c r="N641" i="23" s="1"/>
  <c r="R630" i="23"/>
  <c r="P630" i="23"/>
  <c r="N630" i="23"/>
  <c r="P640" i="23"/>
  <c r="P641" i="23" s="1"/>
  <c r="J635" i="23"/>
  <c r="J640" i="23"/>
  <c r="J641" i="23" s="1"/>
  <c r="P635" i="23"/>
  <c r="L654" i="23"/>
  <c r="M654" i="23" s="1"/>
  <c r="F639" i="23"/>
  <c r="U659" i="23"/>
  <c r="T654" i="23"/>
  <c r="T669" i="23"/>
  <c r="U669" i="23" s="1"/>
  <c r="T665" i="23"/>
  <c r="U663" i="23"/>
  <c r="T660" i="23"/>
  <c r="V669" i="23"/>
  <c r="V654" i="23"/>
  <c r="M651" i="23"/>
  <c r="M650" i="23" s="1"/>
  <c r="L650" i="23"/>
  <c r="L645" i="23"/>
  <c r="U649" i="23"/>
  <c r="W649" i="23" s="1"/>
  <c r="U651" i="23"/>
  <c r="T650" i="23"/>
  <c r="U648" i="23"/>
  <c r="M645" i="23"/>
  <c r="L594" i="23"/>
  <c r="M594" i="23" s="1"/>
  <c r="U588" i="23"/>
  <c r="U619" i="23"/>
  <c r="U614" i="23"/>
  <c r="T594" i="23"/>
  <c r="U589" i="23"/>
  <c r="U584" i="23"/>
  <c r="U507" i="23"/>
  <c r="S508" i="16"/>
  <c r="S510" i="16" s="1"/>
  <c r="X619" i="23" l="1"/>
  <c r="X653" i="23"/>
  <c r="W662" i="23"/>
  <c r="X667" i="23"/>
  <c r="W540" i="23"/>
  <c r="X545" i="23"/>
  <c r="X589" i="23"/>
  <c r="W617" i="23"/>
  <c r="X622" i="23"/>
  <c r="W587" i="23"/>
  <c r="X592" i="23"/>
  <c r="W659" i="23"/>
  <c r="X664" i="23"/>
  <c r="I656" i="23"/>
  <c r="J656" i="23" s="1"/>
  <c r="K656" i="23" s="1"/>
  <c r="N656" i="23" s="1"/>
  <c r="O656" i="23" s="1"/>
  <c r="P656" i="23" s="1"/>
  <c r="Q656" i="23" s="1"/>
  <c r="R656" i="23" s="1"/>
  <c r="S656" i="23" s="1"/>
  <c r="Q643" i="9"/>
  <c r="R658" i="9"/>
  <c r="Q628" i="23"/>
  <c r="P628" i="23"/>
  <c r="W669" i="23"/>
  <c r="U654" i="23"/>
  <c r="W654" i="23" s="1"/>
  <c r="U594" i="23"/>
  <c r="W588" i="23"/>
  <c r="V639" i="23"/>
  <c r="W663" i="23"/>
  <c r="W648" i="23"/>
  <c r="U650" i="23"/>
  <c r="W651" i="23"/>
  <c r="W650" i="23" s="1"/>
  <c r="W614" i="23"/>
  <c r="W584" i="23"/>
  <c r="W507" i="23"/>
  <c r="R643" i="9" l="1"/>
  <c r="S658" i="9"/>
  <c r="R628" i="23"/>
  <c r="S643" i="9" l="1"/>
  <c r="T613" i="23" s="1"/>
  <c r="U613" i="23" s="1"/>
  <c r="S628" i="23"/>
  <c r="R574" i="16"/>
  <c r="R576" i="16" s="1"/>
  <c r="T643" i="23" l="1"/>
  <c r="U643" i="23" s="1"/>
  <c r="S82" i="15" l="1"/>
  <c r="S82" i="23" s="1"/>
  <c r="S80" i="23"/>
  <c r="Q366" i="13"/>
  <c r="Q368" i="13" s="1"/>
  <c r="Q291" i="23" s="1"/>
  <c r="T537" i="23" l="1"/>
  <c r="U537" i="23" s="1"/>
  <c r="S493" i="8"/>
  <c r="W537" i="23" l="1"/>
  <c r="N64" i="18"/>
  <c r="R64" i="18"/>
  <c r="O64" i="18"/>
  <c r="Q64" i="18"/>
  <c r="P64" i="18"/>
  <c r="V436" i="16" l="1"/>
  <c r="N712" i="11" l="1"/>
  <c r="O712" i="11"/>
  <c r="P712" i="11"/>
  <c r="R517" i="23" l="1"/>
  <c r="P517" i="23"/>
  <c r="S547" i="23"/>
  <c r="P624" i="23"/>
  <c r="O629" i="23" l="1"/>
  <c r="T644" i="23"/>
  <c r="U644" i="23" s="1"/>
  <c r="X649" i="23" s="1"/>
  <c r="W644" i="23" l="1"/>
  <c r="V83" i="16"/>
  <c r="J712" i="11" l="1"/>
  <c r="K712" i="11"/>
  <c r="F707" i="11"/>
  <c r="G707" i="11"/>
  <c r="H707" i="11"/>
  <c r="I707" i="11"/>
  <c r="J707" i="11"/>
  <c r="K707" i="11"/>
  <c r="Z343" i="13" l="1"/>
  <c r="O517" i="23" l="1"/>
  <c r="N517" i="23"/>
  <c r="K547" i="23" l="1"/>
  <c r="T541" i="23" l="1"/>
  <c r="N547" i="23"/>
  <c r="T547" i="23" s="1"/>
  <c r="N624" i="23"/>
  <c r="K497" i="13" l="1"/>
  <c r="K498" i="13"/>
  <c r="S609" i="18" l="1"/>
  <c r="R609" i="18"/>
  <c r="P609" i="18"/>
  <c r="O609" i="18"/>
  <c r="N609" i="18"/>
  <c r="H609" i="18"/>
  <c r="S579" i="18"/>
  <c r="R579" i="18"/>
  <c r="Q579" i="18"/>
  <c r="P579" i="18"/>
  <c r="N579" i="18"/>
  <c r="K609" i="18"/>
  <c r="K579" i="18"/>
  <c r="R513" i="7"/>
  <c r="Q513" i="7"/>
  <c r="P513" i="7"/>
  <c r="O513" i="7"/>
  <c r="N513" i="7"/>
  <c r="J513" i="7"/>
  <c r="K513" i="7"/>
  <c r="N558" i="7"/>
  <c r="K558" i="7"/>
  <c r="S232" i="18" l="1"/>
  <c r="S579" i="16" l="1"/>
  <c r="R579" i="16"/>
  <c r="Q579" i="16"/>
  <c r="P579" i="16"/>
  <c r="O579" i="16"/>
  <c r="N579" i="16"/>
  <c r="I579" i="16"/>
  <c r="K579" i="16"/>
  <c r="K517" i="23"/>
  <c r="V430" i="13"/>
  <c r="V435" i="13" s="1"/>
  <c r="V438" i="13" s="1"/>
  <c r="S438" i="13"/>
  <c r="R438" i="13"/>
  <c r="Q438" i="13"/>
  <c r="P438" i="13"/>
  <c r="O438" i="13"/>
  <c r="N438" i="13"/>
  <c r="S498" i="13"/>
  <c r="R498" i="13"/>
  <c r="Q498" i="13"/>
  <c r="P498" i="13"/>
  <c r="O498" i="13"/>
  <c r="N498" i="13"/>
  <c r="V490" i="13"/>
  <c r="V495" i="13" s="1"/>
  <c r="V498" i="13" s="1"/>
  <c r="I498" i="13"/>
  <c r="W515" i="23" l="1"/>
  <c r="W510" i="23"/>
  <c r="V571" i="16"/>
  <c r="J512" i="19" l="1"/>
  <c r="J550" i="19"/>
  <c r="J551" i="19"/>
  <c r="J552" i="19"/>
  <c r="J559" i="19"/>
  <c r="J553" i="19" l="1"/>
  <c r="J560" i="19"/>
  <c r="J513" i="19" l="1"/>
  <c r="J514" i="19" s="1"/>
  <c r="S498" i="18"/>
  <c r="V505" i="18"/>
  <c r="I513" i="18"/>
  <c r="G513" i="18"/>
  <c r="R498" i="18"/>
  <c r="Q498" i="18"/>
  <c r="O498" i="18"/>
  <c r="K498" i="18"/>
  <c r="F476" i="18"/>
  <c r="J609" i="18"/>
  <c r="J579" i="18"/>
  <c r="R513" i="18"/>
  <c r="Q513" i="18"/>
  <c r="O513" i="18"/>
  <c r="N513" i="18"/>
  <c r="K513" i="18"/>
  <c r="P498" i="18"/>
  <c r="P513" i="18"/>
  <c r="N498" i="18"/>
  <c r="J498" i="18"/>
  <c r="I498" i="18"/>
  <c r="G498" i="18"/>
  <c r="V476" i="18"/>
  <c r="S609" i="16"/>
  <c r="R609" i="16"/>
  <c r="Q609" i="16"/>
  <c r="P609" i="16"/>
  <c r="P564" i="16" s="1"/>
  <c r="O609" i="16"/>
  <c r="O564" i="16" s="1"/>
  <c r="N609" i="16"/>
  <c r="K609" i="16"/>
  <c r="J579" i="16"/>
  <c r="S498" i="16"/>
  <c r="R498" i="16"/>
  <c r="Q498" i="16"/>
  <c r="P498" i="16"/>
  <c r="O498" i="16"/>
  <c r="N498" i="16"/>
  <c r="I498" i="16"/>
  <c r="J498" i="16"/>
  <c r="K498" i="16"/>
  <c r="R513" i="16"/>
  <c r="Q513" i="16"/>
  <c r="P513" i="16"/>
  <c r="O513" i="16"/>
  <c r="N513" i="16"/>
  <c r="S513" i="16"/>
  <c r="K513" i="16"/>
  <c r="J513" i="16"/>
  <c r="R145" i="13"/>
  <c r="Q145" i="13"/>
  <c r="P145" i="13"/>
  <c r="O145" i="13"/>
  <c r="N145" i="13"/>
  <c r="H145" i="13"/>
  <c r="J145" i="13"/>
  <c r="K145" i="13"/>
  <c r="V648" i="13"/>
  <c r="Q656" i="13"/>
  <c r="P656" i="13"/>
  <c r="O656" i="13"/>
  <c r="N656" i="13"/>
  <c r="H656" i="13"/>
  <c r="I656" i="13"/>
  <c r="J656" i="13"/>
  <c r="K656" i="13"/>
  <c r="F656" i="13"/>
  <c r="R656" i="13"/>
  <c r="R513" i="13"/>
  <c r="Q513" i="13"/>
  <c r="P513" i="13"/>
  <c r="K513" i="13"/>
  <c r="V505" i="13"/>
  <c r="S513" i="13"/>
  <c r="O513" i="13"/>
  <c r="N513" i="13"/>
  <c r="J498" i="13"/>
  <c r="J513" i="13"/>
  <c r="K438" i="13"/>
  <c r="J438" i="13"/>
  <c r="I85" i="13"/>
  <c r="Q517" i="23" l="1"/>
  <c r="Q609" i="18"/>
  <c r="J609" i="16"/>
  <c r="V477" i="18"/>
  <c r="V483" i="18" s="1"/>
  <c r="J558" i="7" l="1"/>
  <c r="V82" i="7"/>
  <c r="V63" i="7"/>
  <c r="H214" i="18" l="1"/>
  <c r="S145" i="13" l="1"/>
  <c r="I145" i="13"/>
  <c r="I609" i="18" l="1"/>
  <c r="I579" i="18"/>
  <c r="J513" i="18"/>
  <c r="I513" i="13"/>
  <c r="I438" i="13"/>
  <c r="J517" i="23" l="1"/>
  <c r="I609" i="16"/>
  <c r="I517" i="23"/>
  <c r="H67" i="8"/>
  <c r="H579" i="18" l="1"/>
  <c r="H498" i="18"/>
  <c r="H498" i="13"/>
  <c r="H438" i="13"/>
  <c r="H609" i="16" l="1"/>
  <c r="H517" i="23"/>
  <c r="V58" i="13"/>
  <c r="R65" i="13"/>
  <c r="Q65" i="13"/>
  <c r="P65" i="13"/>
  <c r="O65" i="13"/>
  <c r="N65" i="13"/>
  <c r="S58" i="13"/>
  <c r="R58" i="13"/>
  <c r="Q58" i="13"/>
  <c r="P58" i="13"/>
  <c r="O58" i="13"/>
  <c r="N58" i="13"/>
  <c r="G58" i="13"/>
  <c r="H58" i="13"/>
  <c r="I58" i="13"/>
  <c r="J58" i="13"/>
  <c r="K58" i="13"/>
  <c r="G65" i="13"/>
  <c r="H65" i="13"/>
  <c r="I65" i="13"/>
  <c r="J65" i="13"/>
  <c r="K65" i="13"/>
  <c r="F65" i="13"/>
  <c r="F58" i="13"/>
  <c r="V90" i="18"/>
  <c r="S92" i="18"/>
  <c r="S97" i="18"/>
  <c r="V94" i="18"/>
  <c r="S94" i="18"/>
  <c r="S64" i="18" s="1"/>
  <c r="I94" i="18"/>
  <c r="L58" i="13" l="1"/>
  <c r="H94" i="18"/>
  <c r="G94" i="18"/>
  <c r="F91" i="18"/>
  <c r="G91" i="18"/>
  <c r="G64" i="18" l="1"/>
  <c r="H513" i="13"/>
  <c r="G498" i="13"/>
  <c r="G513" i="13"/>
  <c r="E91" i="22" l="1"/>
  <c r="R58" i="9" l="1"/>
  <c r="Q58" i="9"/>
  <c r="P58" i="9"/>
  <c r="O58" i="9"/>
  <c r="N58" i="9"/>
  <c r="G58" i="9"/>
  <c r="H58" i="9"/>
  <c r="I58" i="9"/>
  <c r="J58" i="9"/>
  <c r="K58" i="9"/>
  <c r="R65" i="9"/>
  <c r="Q65" i="9"/>
  <c r="P65" i="9"/>
  <c r="O65" i="9"/>
  <c r="N65" i="9"/>
  <c r="G65" i="9"/>
  <c r="H65" i="9"/>
  <c r="I65" i="9"/>
  <c r="J65" i="9"/>
  <c r="K65" i="9"/>
  <c r="F65" i="9"/>
  <c r="S154" i="9"/>
  <c r="S154" i="23" s="1"/>
  <c r="G154" i="9"/>
  <c r="G154" i="23" s="1"/>
  <c r="H513" i="16" l="1"/>
  <c r="H498" i="16"/>
  <c r="G498" i="16"/>
  <c r="G513" i="16"/>
  <c r="S558" i="7" l="1"/>
  <c r="G558" i="7"/>
  <c r="S513" i="7"/>
  <c r="H513" i="7"/>
  <c r="G513" i="7"/>
  <c r="S517" i="23" l="1"/>
  <c r="T511" i="23"/>
  <c r="T517" i="23" l="1"/>
  <c r="H513" i="18"/>
  <c r="G477" i="18"/>
  <c r="I513" i="16"/>
  <c r="F492" i="22" l="1"/>
  <c r="F507" i="22"/>
  <c r="F154" i="22"/>
  <c r="F139" i="22"/>
  <c r="F109" i="22"/>
  <c r="F109" i="23" s="1"/>
  <c r="F94" i="22"/>
  <c r="F603" i="19"/>
  <c r="F573" i="19"/>
  <c r="F507" i="19"/>
  <c r="F492" i="19"/>
  <c r="F199" i="19"/>
  <c r="F184" i="19"/>
  <c r="F603" i="18"/>
  <c r="F609" i="18" s="1"/>
  <c r="G609" i="18"/>
  <c r="F573" i="18"/>
  <c r="F579" i="18" s="1"/>
  <c r="G579" i="18"/>
  <c r="F507" i="18"/>
  <c r="F513" i="18" s="1"/>
  <c r="F492" i="18"/>
  <c r="F498" i="18" s="1"/>
  <c r="F432" i="18"/>
  <c r="F370" i="18"/>
  <c r="F139" i="18"/>
  <c r="F96" i="18"/>
  <c r="F94" i="18"/>
  <c r="H579" i="16"/>
  <c r="G579" i="16"/>
  <c r="F603" i="16"/>
  <c r="F609" i="16" s="1"/>
  <c r="F573" i="16"/>
  <c r="F579" i="16" s="1"/>
  <c r="F507" i="16"/>
  <c r="F513" i="16" s="1"/>
  <c r="F492" i="16"/>
  <c r="F498" i="16" s="1"/>
  <c r="F139" i="16"/>
  <c r="F94" i="16"/>
  <c r="F79" i="16"/>
  <c r="F94" i="15"/>
  <c r="F79" i="15"/>
  <c r="F507" i="13"/>
  <c r="F513" i="13" s="1"/>
  <c r="F492" i="13"/>
  <c r="F139" i="13"/>
  <c r="F145" i="13" s="1"/>
  <c r="G145" i="13"/>
  <c r="F94" i="13"/>
  <c r="F100" i="13" s="1"/>
  <c r="F79" i="13"/>
  <c r="F85" i="13" s="1"/>
  <c r="G609" i="16" l="1"/>
  <c r="G564" i="16" s="1"/>
  <c r="G517" i="23"/>
  <c r="G656" i="13"/>
  <c r="G547" i="23"/>
  <c r="F492" i="11"/>
  <c r="F94" i="11"/>
  <c r="F79" i="11"/>
  <c r="F507" i="9"/>
  <c r="F492" i="9"/>
  <c r="F154" i="9"/>
  <c r="F154" i="23" s="1"/>
  <c r="F139" i="9"/>
  <c r="F139" i="23" s="1"/>
  <c r="F94" i="9"/>
  <c r="F507" i="8"/>
  <c r="F492" i="8"/>
  <c r="F415" i="23" s="1"/>
  <c r="F94" i="8"/>
  <c r="F79" i="8"/>
  <c r="F79" i="23" s="1"/>
  <c r="F558" i="7"/>
  <c r="F507" i="7"/>
  <c r="F513" i="7" s="1"/>
  <c r="F492" i="7"/>
  <c r="F139" i="7"/>
  <c r="F94" i="7"/>
  <c r="F79" i="7"/>
  <c r="F64" i="7" s="1"/>
  <c r="K11" i="8"/>
  <c r="J11" i="8"/>
  <c r="I11" i="8"/>
  <c r="H11" i="8"/>
  <c r="G11" i="8"/>
  <c r="F11" i="8"/>
  <c r="F94" i="23" l="1"/>
  <c r="F430" i="23"/>
  <c r="F547" i="23"/>
  <c r="L547" i="23" s="1"/>
  <c r="L541" i="23"/>
  <c r="L511" i="23"/>
  <c r="F517" i="23"/>
  <c r="R65" i="22"/>
  <c r="R48" i="22" s="1"/>
  <c r="R31" i="22" s="1"/>
  <c r="Q65" i="22"/>
  <c r="Q48" i="22" s="1"/>
  <c r="Q31" i="22" s="1"/>
  <c r="P65" i="22"/>
  <c r="P48" i="22" s="1"/>
  <c r="P31" i="22" s="1"/>
  <c r="O65" i="22"/>
  <c r="O48" i="22" s="1"/>
  <c r="O31" i="22" s="1"/>
  <c r="N65" i="22"/>
  <c r="N48" i="22" s="1"/>
  <c r="N31" i="22" s="1"/>
  <c r="G65" i="22"/>
  <c r="G48" i="22" s="1"/>
  <c r="G31" i="22" s="1"/>
  <c r="H65" i="22"/>
  <c r="H48" i="22" s="1"/>
  <c r="H31" i="22" s="1"/>
  <c r="I65" i="22"/>
  <c r="I48" i="22" s="1"/>
  <c r="I31" i="22" s="1"/>
  <c r="J65" i="22"/>
  <c r="J48" i="22" s="1"/>
  <c r="J31" i="22" s="1"/>
  <c r="K65" i="22"/>
  <c r="K48" i="22" s="1"/>
  <c r="K31" i="22" s="1"/>
  <c r="S58" i="22"/>
  <c r="S41" i="22" s="1"/>
  <c r="S24" i="22" s="1"/>
  <c r="R58" i="22"/>
  <c r="R41" i="22" s="1"/>
  <c r="R24" i="22" s="1"/>
  <c r="Q58" i="22"/>
  <c r="Q41" i="22" s="1"/>
  <c r="Q24" i="22" s="1"/>
  <c r="P58" i="22"/>
  <c r="P41" i="22" s="1"/>
  <c r="P24" i="22" s="1"/>
  <c r="O58" i="22"/>
  <c r="O41" i="22" s="1"/>
  <c r="O24" i="22" s="1"/>
  <c r="N58" i="22"/>
  <c r="N41" i="22" s="1"/>
  <c r="N24" i="22" s="1"/>
  <c r="G58" i="22"/>
  <c r="G41" i="22" s="1"/>
  <c r="G24" i="22" s="1"/>
  <c r="H58" i="22"/>
  <c r="H41" i="22" s="1"/>
  <c r="H24" i="22" s="1"/>
  <c r="I58" i="22"/>
  <c r="I41" i="22" s="1"/>
  <c r="I24" i="22" s="1"/>
  <c r="J58" i="22"/>
  <c r="J41" i="22" s="1"/>
  <c r="J24" i="22" s="1"/>
  <c r="K58" i="22"/>
  <c r="K41" i="22" s="1"/>
  <c r="K24" i="22" s="1"/>
  <c r="F65" i="22"/>
  <c r="F48" i="22" s="1"/>
  <c r="F31" i="22" s="1"/>
  <c r="F58" i="22"/>
  <c r="F41" i="22" s="1"/>
  <c r="F24" i="22" s="1"/>
  <c r="R65" i="18"/>
  <c r="Q65" i="18"/>
  <c r="P65" i="18"/>
  <c r="O65" i="18"/>
  <c r="N65" i="18"/>
  <c r="S58" i="18"/>
  <c r="R58" i="18"/>
  <c r="Q58" i="18"/>
  <c r="P58" i="18"/>
  <c r="O58" i="18"/>
  <c r="N58" i="18"/>
  <c r="G58" i="18"/>
  <c r="H58" i="18"/>
  <c r="I58" i="18"/>
  <c r="J58" i="18"/>
  <c r="K58" i="18"/>
  <c r="G65" i="18"/>
  <c r="H65" i="18"/>
  <c r="I65" i="18"/>
  <c r="J65" i="18"/>
  <c r="K65" i="18"/>
  <c r="F65" i="18"/>
  <c r="F58" i="18"/>
  <c r="R65" i="16"/>
  <c r="Q65" i="16"/>
  <c r="P65" i="16"/>
  <c r="O65" i="16"/>
  <c r="N65" i="16"/>
  <c r="G65" i="16"/>
  <c r="H65" i="16"/>
  <c r="I65" i="16"/>
  <c r="J65" i="16"/>
  <c r="K65" i="16"/>
  <c r="S58" i="16"/>
  <c r="R58" i="16"/>
  <c r="Q58" i="16"/>
  <c r="P58" i="16"/>
  <c r="O58" i="16"/>
  <c r="N58" i="16"/>
  <c r="G58" i="16"/>
  <c r="H58" i="16"/>
  <c r="I58" i="16"/>
  <c r="J58" i="16"/>
  <c r="K58" i="16"/>
  <c r="F65" i="16"/>
  <c r="F58" i="16"/>
  <c r="S58" i="15"/>
  <c r="R58" i="15"/>
  <c r="Q58" i="15"/>
  <c r="P58" i="15"/>
  <c r="O58" i="15"/>
  <c r="N58" i="15"/>
  <c r="R65" i="15"/>
  <c r="Q65" i="15"/>
  <c r="P65" i="15"/>
  <c r="O65" i="15"/>
  <c r="N65" i="15"/>
  <c r="G65" i="15"/>
  <c r="H65" i="15"/>
  <c r="I65" i="15"/>
  <c r="J65" i="15"/>
  <c r="K65" i="15"/>
  <c r="G58" i="15"/>
  <c r="H58" i="15"/>
  <c r="I58" i="15"/>
  <c r="J58" i="15"/>
  <c r="K58" i="15"/>
  <c r="F65" i="15"/>
  <c r="F58" i="15"/>
  <c r="R65" i="11"/>
  <c r="Q65" i="11"/>
  <c r="P65" i="11"/>
  <c r="O65" i="11"/>
  <c r="N65" i="11"/>
  <c r="G65" i="11"/>
  <c r="H65" i="11"/>
  <c r="I65" i="11"/>
  <c r="J65" i="11"/>
  <c r="K65" i="11"/>
  <c r="F65" i="11"/>
  <c r="S58" i="11"/>
  <c r="R58" i="11"/>
  <c r="Q58" i="11"/>
  <c r="P58" i="11"/>
  <c r="O58" i="11"/>
  <c r="N58" i="11"/>
  <c r="G58" i="11"/>
  <c r="H58" i="11"/>
  <c r="I58" i="11"/>
  <c r="J58" i="11"/>
  <c r="K58" i="11"/>
  <c r="F58" i="11"/>
  <c r="R65" i="8"/>
  <c r="Q65" i="8"/>
  <c r="P65" i="8"/>
  <c r="O65" i="8"/>
  <c r="N65" i="8"/>
  <c r="G65" i="8"/>
  <c r="H65" i="8"/>
  <c r="I65" i="8"/>
  <c r="J65" i="8"/>
  <c r="K65" i="8"/>
  <c r="V58" i="8"/>
  <c r="R58" i="8"/>
  <c r="Q58" i="8"/>
  <c r="P58" i="8"/>
  <c r="O58" i="8"/>
  <c r="N58" i="8"/>
  <c r="G58" i="8"/>
  <c r="H58" i="8"/>
  <c r="I58" i="8"/>
  <c r="J58" i="8"/>
  <c r="K58" i="8"/>
  <c r="F65" i="8"/>
  <c r="F58" i="8"/>
  <c r="R65" i="7"/>
  <c r="Q65" i="7"/>
  <c r="P65" i="7"/>
  <c r="O65" i="7"/>
  <c r="N65" i="7"/>
  <c r="G65" i="7"/>
  <c r="H65" i="7"/>
  <c r="I65" i="7"/>
  <c r="J65" i="7"/>
  <c r="K65" i="7"/>
  <c r="F65" i="7"/>
  <c r="R58" i="7"/>
  <c r="Q58" i="7"/>
  <c r="P58" i="7"/>
  <c r="O58" i="7"/>
  <c r="N58" i="7"/>
  <c r="G58" i="7"/>
  <c r="H58" i="7"/>
  <c r="I58" i="7"/>
  <c r="J58" i="7"/>
  <c r="K58" i="7"/>
  <c r="F58" i="7"/>
  <c r="M547" i="23" l="1"/>
  <c r="U547" i="23"/>
  <c r="M541" i="23"/>
  <c r="U541" i="23"/>
  <c r="W541" i="23" s="1"/>
  <c r="L517" i="23"/>
  <c r="M511" i="23"/>
  <c r="U511" i="23"/>
  <c r="F634" i="13"/>
  <c r="H100" i="23"/>
  <c r="I100" i="23"/>
  <c r="N411" i="7"/>
  <c r="V552" i="19"/>
  <c r="S552" i="19"/>
  <c r="R552" i="19"/>
  <c r="Q552" i="19"/>
  <c r="P552" i="19"/>
  <c r="O552" i="19"/>
  <c r="N552" i="19"/>
  <c r="G552" i="19"/>
  <c r="H552" i="19"/>
  <c r="I552" i="19"/>
  <c r="K552" i="19"/>
  <c r="F552" i="19"/>
  <c r="F535" i="19" s="1"/>
  <c r="F518" i="19" s="1"/>
  <c r="O552" i="7"/>
  <c r="P552" i="7"/>
  <c r="R552" i="7"/>
  <c r="S552" i="7"/>
  <c r="N552" i="7"/>
  <c r="G552" i="7"/>
  <c r="H552" i="7"/>
  <c r="I552" i="7"/>
  <c r="J552" i="7"/>
  <c r="K552" i="7"/>
  <c r="F552" i="7"/>
  <c r="V552" i="7"/>
  <c r="W511" i="23" l="1"/>
  <c r="M517" i="23"/>
  <c r="U517" i="23"/>
  <c r="L552" i="7"/>
  <c r="M552" i="7" s="1"/>
  <c r="L157" i="9"/>
  <c r="S140" i="16"/>
  <c r="S142" i="16" s="1"/>
  <c r="G438" i="13" l="1"/>
  <c r="V92" i="11" l="1"/>
  <c r="V99" i="11"/>
  <c r="V80" i="8"/>
  <c r="F559" i="7"/>
  <c r="R92" i="7"/>
  <c r="S508" i="22" l="1"/>
  <c r="L503" i="22"/>
  <c r="S510" i="22" l="1"/>
  <c r="T512" i="23"/>
  <c r="U512" i="23" s="1"/>
  <c r="X512" i="23" s="1"/>
  <c r="T490" i="22"/>
  <c r="S140" i="22"/>
  <c r="S142" i="22" s="1"/>
  <c r="R137" i="22"/>
  <c r="R137" i="23" s="1"/>
  <c r="R136" i="23" s="1"/>
  <c r="Q137" i="22"/>
  <c r="Q137" i="23" s="1"/>
  <c r="Q136" i="23" s="1"/>
  <c r="V505" i="19"/>
  <c r="S493" i="19"/>
  <c r="S604" i="18"/>
  <c r="S574" i="18"/>
  <c r="S513" i="18"/>
  <c r="S508" i="18"/>
  <c r="S510" i="18" s="1"/>
  <c r="L488" i="18" l="1"/>
  <c r="M488" i="18" s="1"/>
  <c r="K97" i="18"/>
  <c r="J97" i="18"/>
  <c r="H97" i="18"/>
  <c r="R97" i="18"/>
  <c r="Q97" i="18"/>
  <c r="P97" i="18"/>
  <c r="O97" i="18"/>
  <c r="N97" i="18"/>
  <c r="R92" i="18"/>
  <c r="Q92" i="18"/>
  <c r="P92" i="18"/>
  <c r="O92" i="18"/>
  <c r="N92" i="18"/>
  <c r="K92" i="18"/>
  <c r="J92" i="18"/>
  <c r="I92" i="18"/>
  <c r="H92" i="18"/>
  <c r="S65" i="18" l="1"/>
  <c r="H61" i="18"/>
  <c r="H44" i="18"/>
  <c r="S80" i="16"/>
  <c r="N471" i="15"/>
  <c r="O471" i="15"/>
  <c r="P471" i="15"/>
  <c r="Q471" i="15"/>
  <c r="R471" i="15"/>
  <c r="S471" i="15"/>
  <c r="N472" i="15"/>
  <c r="O472" i="15"/>
  <c r="P472" i="15"/>
  <c r="Q472" i="15"/>
  <c r="R472" i="15"/>
  <c r="S472" i="15"/>
  <c r="F471" i="15"/>
  <c r="G471" i="15"/>
  <c r="H471" i="15"/>
  <c r="I471" i="15"/>
  <c r="J471" i="15"/>
  <c r="K471" i="15"/>
  <c r="F472" i="15"/>
  <c r="G472" i="15"/>
  <c r="H472" i="15"/>
  <c r="I472" i="15"/>
  <c r="J472" i="15"/>
  <c r="K472" i="15"/>
  <c r="R366" i="15"/>
  <c r="R368" i="15" s="1"/>
  <c r="S65" i="15"/>
  <c r="V77" i="15"/>
  <c r="S65" i="16" l="1"/>
  <c r="L571" i="16"/>
  <c r="M571" i="16" s="1"/>
  <c r="S493" i="16"/>
  <c r="F638" i="13" l="1"/>
  <c r="F637" i="13" s="1"/>
  <c r="S508" i="13"/>
  <c r="S510" i="13" s="1"/>
  <c r="S428" i="13"/>
  <c r="S430" i="13" s="1"/>
  <c r="R428" i="13"/>
  <c r="R430" i="13" s="1"/>
  <c r="R366" i="13"/>
  <c r="R368" i="13" s="1"/>
  <c r="R291" i="23" s="1"/>
  <c r="S656" i="13" l="1"/>
  <c r="L77" i="13" l="1"/>
  <c r="M77" i="13" s="1"/>
  <c r="S488" i="11" l="1"/>
  <c r="R488" i="11"/>
  <c r="S95" i="11"/>
  <c r="S85" i="11"/>
  <c r="V77" i="11"/>
  <c r="N44" i="11"/>
  <c r="G513" i="9"/>
  <c r="V154" i="9"/>
  <c r="V77" i="9"/>
  <c r="V64" i="9" l="1"/>
  <c r="V154" i="23"/>
  <c r="S65" i="11"/>
  <c r="S493" i="11"/>
  <c r="N471" i="8"/>
  <c r="O471" i="8"/>
  <c r="P471" i="8"/>
  <c r="Q471" i="8"/>
  <c r="R471" i="8"/>
  <c r="S471" i="8"/>
  <c r="N472" i="8"/>
  <c r="O472" i="8"/>
  <c r="P472" i="8"/>
  <c r="Q472" i="8"/>
  <c r="R472" i="8"/>
  <c r="S472" i="8"/>
  <c r="F471" i="8"/>
  <c r="G471" i="8"/>
  <c r="H471" i="8"/>
  <c r="I471" i="8"/>
  <c r="J471" i="8"/>
  <c r="K471" i="8"/>
  <c r="F472" i="8"/>
  <c r="G472" i="8"/>
  <c r="H472" i="8"/>
  <c r="I472" i="8"/>
  <c r="J472" i="8"/>
  <c r="K472" i="8"/>
  <c r="V368" i="8"/>
  <c r="S145" i="8"/>
  <c r="R145" i="8"/>
  <c r="V137" i="8"/>
  <c r="V77" i="8"/>
  <c r="S559" i="7"/>
  <c r="Q552" i="7"/>
  <c r="T552" i="7" s="1"/>
  <c r="U552" i="7" s="1"/>
  <c r="S58" i="7"/>
  <c r="T542" i="23" l="1"/>
  <c r="U542" i="23" s="1"/>
  <c r="X542" i="23" s="1"/>
  <c r="S58" i="8"/>
  <c r="S95" i="7"/>
  <c r="S95" i="8"/>
  <c r="S97" i="8" l="1"/>
  <c r="L433" i="13"/>
  <c r="S95" i="9" l="1"/>
  <c r="S97" i="9" s="1"/>
  <c r="V63" i="13"/>
  <c r="S63" i="13"/>
  <c r="G84" i="18" l="1"/>
  <c r="J84" i="18"/>
  <c r="K84" i="18"/>
  <c r="F84" i="18"/>
  <c r="O84" i="18"/>
  <c r="P84" i="18"/>
  <c r="Q84" i="18"/>
  <c r="R84" i="18"/>
  <c r="N99" i="18"/>
  <c r="N84" i="18"/>
  <c r="Q477" i="11" l="1"/>
  <c r="I15" i="27" l="1"/>
  <c r="I17" i="27" s="1"/>
  <c r="I11" i="27"/>
  <c r="J11" i="27" s="1"/>
  <c r="J17" i="27"/>
  <c r="K17" i="27"/>
  <c r="L17" i="27"/>
  <c r="M17" i="27"/>
  <c r="G24" i="27"/>
  <c r="I12" i="27" l="1"/>
  <c r="I18" i="27" s="1"/>
  <c r="N17" i="27"/>
  <c r="S574" i="16" l="1"/>
  <c r="S366" i="16"/>
  <c r="S368" i="16" s="1"/>
  <c r="S291" i="23" s="1"/>
  <c r="N636" i="15" l="1"/>
  <c r="R636" i="15"/>
  <c r="Q636" i="15"/>
  <c r="P636" i="15"/>
  <c r="O636" i="15"/>
  <c r="S629" i="15"/>
  <c r="R629" i="15"/>
  <c r="Q629" i="15"/>
  <c r="P629" i="15"/>
  <c r="O629" i="15"/>
  <c r="N629" i="15"/>
  <c r="G629" i="15"/>
  <c r="H629" i="15"/>
  <c r="I629" i="15"/>
  <c r="J629" i="15"/>
  <c r="K629" i="15"/>
  <c r="G636" i="15"/>
  <c r="H636" i="15"/>
  <c r="I636" i="15"/>
  <c r="J636" i="15"/>
  <c r="K636" i="15"/>
  <c r="F636" i="15"/>
  <c r="F629" i="15"/>
  <c r="L366" i="9"/>
  <c r="L368" i="9"/>
  <c r="L629" i="15" l="1"/>
  <c r="L636" i="15"/>
  <c r="L367" i="9"/>
  <c r="Q63" i="16" l="1"/>
  <c r="V63" i="16"/>
  <c r="V496" i="13" l="1"/>
  <c r="O624" i="23" l="1"/>
  <c r="T624" i="23" s="1"/>
  <c r="U624" i="23" s="1"/>
  <c r="T618" i="23"/>
  <c r="U618" i="23" s="1"/>
  <c r="O84" i="16"/>
  <c r="O84" i="13"/>
  <c r="S84" i="18"/>
  <c r="T84" i="18" s="1"/>
  <c r="W618" i="23" l="1"/>
  <c r="E111" i="22"/>
  <c r="E106" i="22"/>
  <c r="E76" i="22"/>
  <c r="V436" i="18" l="1"/>
  <c r="N375" i="18"/>
  <c r="N437" i="18"/>
  <c r="V368" i="13" l="1"/>
  <c r="V373" i="13" l="1"/>
  <c r="V376" i="13" s="1"/>
  <c r="N559" i="16" l="1"/>
  <c r="K100" i="23" l="1"/>
  <c r="L651" i="8" l="1"/>
  <c r="E570" i="11" l="1"/>
  <c r="J477" i="13" l="1"/>
  <c r="G60" i="22" l="1"/>
  <c r="H60" i="22"/>
  <c r="I60" i="22"/>
  <c r="F60" i="22"/>
  <c r="I67" i="8"/>
  <c r="V477" i="19" l="1"/>
  <c r="V64" i="18"/>
  <c r="I477" i="19" l="1"/>
  <c r="G85" i="13"/>
  <c r="H85" i="13"/>
  <c r="J85" i="13"/>
  <c r="K85" i="13"/>
  <c r="I100" i="13"/>
  <c r="I99" i="13" l="1"/>
  <c r="V99" i="13"/>
  <c r="V92" i="13" l="1"/>
  <c r="V97" i="13" s="1"/>
  <c r="V100" i="13" s="1"/>
  <c r="H100" i="18" l="1"/>
  <c r="H100" i="13" l="1"/>
  <c r="J100" i="23"/>
  <c r="E76" i="15" l="1"/>
  <c r="H512" i="7" l="1"/>
  <c r="H481" i="7"/>
  <c r="G353" i="23" l="1"/>
  <c r="G358" i="23"/>
  <c r="V437" i="8"/>
  <c r="E429" i="13" l="1"/>
  <c r="F375" i="8" l="1"/>
  <c r="G375" i="8"/>
  <c r="N146" i="18" l="1"/>
  <c r="V143" i="18"/>
  <c r="T143" i="18"/>
  <c r="L143" i="18"/>
  <c r="M143" i="18" s="1"/>
  <c r="V140" i="18"/>
  <c r="L140" i="18"/>
  <c r="M140" i="18" s="1"/>
  <c r="V144" i="18"/>
  <c r="T139" i="18"/>
  <c r="T138" i="18"/>
  <c r="L138" i="18"/>
  <c r="M138" i="18" s="1"/>
  <c r="V137" i="18"/>
  <c r="V142" i="18" s="1"/>
  <c r="T135" i="18"/>
  <c r="L135" i="18"/>
  <c r="T134" i="18"/>
  <c r="L134" i="18"/>
  <c r="M134" i="18" s="1"/>
  <c r="T133" i="18"/>
  <c r="L133" i="18"/>
  <c r="M133" i="18" s="1"/>
  <c r="P146" i="18" l="1"/>
  <c r="R146" i="18"/>
  <c r="U133" i="18"/>
  <c r="U134" i="18"/>
  <c r="T140" i="18"/>
  <c r="U135" i="18"/>
  <c r="W135" i="18" s="1"/>
  <c r="T137" i="18"/>
  <c r="T136" i="18" s="1"/>
  <c r="L139" i="18"/>
  <c r="M139" i="18" s="1"/>
  <c r="O146" i="18"/>
  <c r="Q146" i="18"/>
  <c r="M135" i="18"/>
  <c r="T145" i="18"/>
  <c r="U140" i="18"/>
  <c r="W140" i="18" s="1"/>
  <c r="U143" i="18"/>
  <c r="V136" i="18"/>
  <c r="U138" i="18"/>
  <c r="W138" i="18" s="1"/>
  <c r="V145" i="18"/>
  <c r="V141" i="18"/>
  <c r="S146" i="18"/>
  <c r="S144" i="18"/>
  <c r="T142" i="18"/>
  <c r="N144" i="18"/>
  <c r="P144" i="18"/>
  <c r="R144" i="18"/>
  <c r="L145" i="18"/>
  <c r="M145" i="18" s="1"/>
  <c r="O144" i="18"/>
  <c r="Q144" i="18"/>
  <c r="U139" i="18" l="1"/>
  <c r="W139" i="18" s="1"/>
  <c r="X143" i="18"/>
  <c r="W143" i="18"/>
  <c r="T144" i="18"/>
  <c r="T141" i="18"/>
  <c r="U145" i="18"/>
  <c r="W145" i="18" s="1"/>
  <c r="F145" i="23" l="1"/>
  <c r="J145" i="23" l="1"/>
  <c r="H145" i="23"/>
  <c r="K145" i="23"/>
  <c r="I145" i="23"/>
  <c r="I76" i="23" l="1"/>
  <c r="S76" i="23"/>
  <c r="O76" i="23"/>
  <c r="F85" i="23"/>
  <c r="S81" i="23"/>
  <c r="P100" i="23"/>
  <c r="Q100" i="23"/>
  <c r="R100" i="23"/>
  <c r="T138" i="23"/>
  <c r="N145" i="23"/>
  <c r="O145" i="23"/>
  <c r="P145" i="23"/>
  <c r="Q145" i="23"/>
  <c r="R145" i="23"/>
  <c r="F160" i="23"/>
  <c r="G160" i="23"/>
  <c r="H160" i="23"/>
  <c r="J160" i="23"/>
  <c r="K160" i="23"/>
  <c r="J161" i="23"/>
  <c r="I160" i="23"/>
  <c r="F190" i="23"/>
  <c r="H205" i="23"/>
  <c r="I205" i="23"/>
  <c r="J205" i="23"/>
  <c r="K205" i="23"/>
  <c r="F205" i="23"/>
  <c r="X227" i="23"/>
  <c r="G235" i="23"/>
  <c r="H235" i="23"/>
  <c r="I235" i="23"/>
  <c r="J235" i="23"/>
  <c r="K235" i="23"/>
  <c r="F250" i="23"/>
  <c r="H250" i="23"/>
  <c r="I250" i="23"/>
  <c r="J250" i="23"/>
  <c r="K250" i="23"/>
  <c r="V57" i="23"/>
  <c r="V40" i="23" s="1"/>
  <c r="V23" i="23" s="1"/>
  <c r="V56" i="23"/>
  <c r="V270" i="23"/>
  <c r="V271" i="23"/>
  <c r="X306" i="23"/>
  <c r="F314" i="23"/>
  <c r="H314" i="23"/>
  <c r="I314" i="23"/>
  <c r="J314" i="23"/>
  <c r="K314" i="23"/>
  <c r="G314" i="23"/>
  <c r="F329" i="23"/>
  <c r="H329" i="23"/>
  <c r="I329" i="23"/>
  <c r="J329" i="23"/>
  <c r="K329" i="23"/>
  <c r="G329" i="23"/>
  <c r="V332" i="23"/>
  <c r="V333" i="23"/>
  <c r="E352" i="23"/>
  <c r="I361" i="23"/>
  <c r="J361" i="23"/>
  <c r="K361" i="23"/>
  <c r="P361" i="23"/>
  <c r="X368" i="23"/>
  <c r="F376" i="23"/>
  <c r="G376" i="23"/>
  <c r="H376" i="23"/>
  <c r="I376" i="23"/>
  <c r="J376" i="23"/>
  <c r="K376" i="23"/>
  <c r="F391" i="23"/>
  <c r="H391" i="23"/>
  <c r="I391" i="23"/>
  <c r="J391" i="23"/>
  <c r="K391" i="23"/>
  <c r="G391" i="23"/>
  <c r="R421" i="23"/>
  <c r="E465" i="23"/>
  <c r="E467" i="23"/>
  <c r="E448" i="23" s="1"/>
  <c r="E449" i="23" s="1"/>
  <c r="E483" i="23"/>
  <c r="G502" i="23"/>
  <c r="H502" i="23"/>
  <c r="N502" i="23"/>
  <c r="O502" i="23"/>
  <c r="P502" i="23"/>
  <c r="Q502" i="23"/>
  <c r="R502" i="23"/>
  <c r="H532" i="23"/>
  <c r="N532" i="23"/>
  <c r="O532" i="23"/>
  <c r="P532" i="23"/>
  <c r="Q532" i="23"/>
  <c r="R532" i="23"/>
  <c r="E560" i="23"/>
  <c r="F579" i="23"/>
  <c r="N579" i="23"/>
  <c r="O579" i="23"/>
  <c r="P579" i="23"/>
  <c r="Q579" i="23"/>
  <c r="R579" i="23"/>
  <c r="H609" i="23"/>
  <c r="I609" i="23"/>
  <c r="J609" i="23"/>
  <c r="K609" i="23"/>
  <c r="G609" i="23"/>
  <c r="Q487" i="23" l="1"/>
  <c r="O487" i="23"/>
  <c r="H487" i="23"/>
  <c r="R487" i="23"/>
  <c r="P487" i="23"/>
  <c r="N487" i="23"/>
  <c r="K579" i="23"/>
  <c r="K564" i="23" s="1"/>
  <c r="I579" i="23"/>
  <c r="I564" i="23" s="1"/>
  <c r="J502" i="23"/>
  <c r="I436" i="23"/>
  <c r="N421" i="23"/>
  <c r="N299" i="23"/>
  <c r="J579" i="23"/>
  <c r="J564" i="23" s="1"/>
  <c r="H579" i="23"/>
  <c r="H564" i="23" s="1"/>
  <c r="J532" i="23"/>
  <c r="F532" i="23"/>
  <c r="F487" i="23" s="1"/>
  <c r="R436" i="23"/>
  <c r="P436" i="23"/>
  <c r="H436" i="23"/>
  <c r="I421" i="23"/>
  <c r="O299" i="23"/>
  <c r="Q436" i="23"/>
  <c r="P421" i="23"/>
  <c r="P299" i="23"/>
  <c r="J436" i="23"/>
  <c r="J421" i="23"/>
  <c r="K421" i="23"/>
  <c r="O436" i="23"/>
  <c r="O421" i="23"/>
  <c r="N436" i="23"/>
  <c r="K436" i="23"/>
  <c r="F564" i="23"/>
  <c r="K502" i="23"/>
  <c r="R81" i="23"/>
  <c r="S609" i="23"/>
  <c r="O81" i="23"/>
  <c r="O63" i="23"/>
  <c r="Q65" i="23"/>
  <c r="O65" i="23"/>
  <c r="K65" i="23"/>
  <c r="F65" i="23"/>
  <c r="Q58" i="23"/>
  <c r="O58" i="23"/>
  <c r="K58" i="23"/>
  <c r="I58" i="23"/>
  <c r="Q57" i="23"/>
  <c r="O57" i="23"/>
  <c r="K57" i="23"/>
  <c r="I57" i="23"/>
  <c r="R56" i="23"/>
  <c r="P56" i="23"/>
  <c r="N56" i="23"/>
  <c r="J56" i="23"/>
  <c r="H56" i="23"/>
  <c r="R65" i="23"/>
  <c r="P65" i="23"/>
  <c r="N65" i="23"/>
  <c r="G65" i="23"/>
  <c r="V58" i="23"/>
  <c r="P58" i="23"/>
  <c r="N58" i="23"/>
  <c r="J58" i="23"/>
  <c r="F58" i="23"/>
  <c r="P57" i="23"/>
  <c r="N57" i="23"/>
  <c r="J57" i="23"/>
  <c r="S56" i="23"/>
  <c r="Q56" i="23"/>
  <c r="O56" i="23"/>
  <c r="K56" i="23"/>
  <c r="I56" i="23"/>
  <c r="G56" i="23"/>
  <c r="H65" i="23"/>
  <c r="Q329" i="23"/>
  <c r="S63" i="23"/>
  <c r="Q64" i="23"/>
  <c r="Q63" i="23"/>
  <c r="Q76" i="23"/>
  <c r="R76" i="23"/>
  <c r="R376" i="23"/>
  <c r="N376" i="23"/>
  <c r="S314" i="23"/>
  <c r="O115" i="23"/>
  <c r="O116" i="23" s="1"/>
  <c r="I130" i="23"/>
  <c r="S130" i="23"/>
  <c r="O314" i="23"/>
  <c r="F161" i="23"/>
  <c r="F162" i="23" s="1"/>
  <c r="J115" i="23"/>
  <c r="J116" i="23" s="1"/>
  <c r="H115" i="23"/>
  <c r="F115" i="23"/>
  <c r="R160" i="23"/>
  <c r="R161" i="23" s="1"/>
  <c r="O130" i="23"/>
  <c r="S115" i="23"/>
  <c r="S116" i="23" s="1"/>
  <c r="O609" i="23"/>
  <c r="O564" i="23" s="1"/>
  <c r="R205" i="23"/>
  <c r="P205" i="23"/>
  <c r="N205" i="23"/>
  <c r="V165" i="23"/>
  <c r="R165" i="23"/>
  <c r="P165" i="23"/>
  <c r="N165" i="23"/>
  <c r="J165" i="23"/>
  <c r="H165" i="23"/>
  <c r="F165" i="23"/>
  <c r="R164" i="23"/>
  <c r="P164" i="23"/>
  <c r="N164" i="23"/>
  <c r="J164" i="23"/>
  <c r="H164" i="23"/>
  <c r="F164" i="23"/>
  <c r="R163" i="23"/>
  <c r="P163" i="23"/>
  <c r="N163" i="23"/>
  <c r="J163" i="23"/>
  <c r="H163" i="23"/>
  <c r="F163" i="23"/>
  <c r="Q130" i="23"/>
  <c r="K130" i="23"/>
  <c r="G130" i="23"/>
  <c r="S329" i="23"/>
  <c r="O329" i="23"/>
  <c r="N160" i="23"/>
  <c r="N161" i="23" s="1"/>
  <c r="S205" i="23"/>
  <c r="Q115" i="23"/>
  <c r="Q116" i="23" s="1"/>
  <c r="R250" i="23"/>
  <c r="P250" i="23"/>
  <c r="N250" i="23"/>
  <c r="V210" i="23"/>
  <c r="R210" i="23"/>
  <c r="P210" i="23"/>
  <c r="N210" i="23"/>
  <c r="J210" i="23"/>
  <c r="H210" i="23"/>
  <c r="F210" i="23"/>
  <c r="R209" i="23"/>
  <c r="P209" i="23"/>
  <c r="N209" i="23"/>
  <c r="J209" i="23"/>
  <c r="H209" i="23"/>
  <c r="F209" i="23"/>
  <c r="R208" i="23"/>
  <c r="P208" i="23"/>
  <c r="N208" i="23"/>
  <c r="J208" i="23"/>
  <c r="H208" i="23"/>
  <c r="P190" i="23"/>
  <c r="P160" i="23"/>
  <c r="P161" i="23" s="1"/>
  <c r="O64" i="23"/>
  <c r="N63" i="23"/>
  <c r="R64" i="23"/>
  <c r="P64" i="23"/>
  <c r="L414" i="23"/>
  <c r="M414" i="23" s="1"/>
  <c r="R314" i="23"/>
  <c r="P314" i="23"/>
  <c r="N314" i="23"/>
  <c r="Q314" i="23"/>
  <c r="P63" i="23"/>
  <c r="R63" i="23"/>
  <c r="V63" i="23"/>
  <c r="R130" i="23"/>
  <c r="R609" i="23"/>
  <c r="R564" i="23" s="1"/>
  <c r="P609" i="23"/>
  <c r="P564" i="23" s="1"/>
  <c r="N609" i="23"/>
  <c r="N564" i="23" s="1"/>
  <c r="Q609" i="23"/>
  <c r="Q564" i="23" s="1"/>
  <c r="T414" i="23"/>
  <c r="P130" i="23"/>
  <c r="N130" i="23"/>
  <c r="P376" i="23"/>
  <c r="S160" i="23"/>
  <c r="S161" i="23" s="1"/>
  <c r="Q160" i="23"/>
  <c r="Q161" i="23" s="1"/>
  <c r="K115" i="23"/>
  <c r="K116" i="23" s="1"/>
  <c r="I115" i="23"/>
  <c r="I116" i="23" s="1"/>
  <c r="L567" i="23"/>
  <c r="M567" i="23" s="1"/>
  <c r="L113" i="23"/>
  <c r="M113" i="23" s="1"/>
  <c r="L303" i="23"/>
  <c r="M303" i="23" s="1"/>
  <c r="L627" i="23"/>
  <c r="M627" i="23" s="1"/>
  <c r="R85" i="23"/>
  <c r="R86" i="23" s="1"/>
  <c r="P85" i="23"/>
  <c r="L572" i="23"/>
  <c r="M572" i="23" s="1"/>
  <c r="T633" i="23"/>
  <c r="L633" i="23"/>
  <c r="M633" i="23" s="1"/>
  <c r="T629" i="23"/>
  <c r="L628" i="23"/>
  <c r="M628" i="23" s="1"/>
  <c r="T627" i="23"/>
  <c r="T603" i="23"/>
  <c r="L603" i="23"/>
  <c r="M603" i="23" s="1"/>
  <c r="T597" i="23"/>
  <c r="L597" i="23"/>
  <c r="M597" i="23" s="1"/>
  <c r="T572" i="23"/>
  <c r="T495" i="23"/>
  <c r="L495" i="23"/>
  <c r="M495" i="23" s="1"/>
  <c r="T429" i="23"/>
  <c r="L429" i="23"/>
  <c r="M429" i="23" s="1"/>
  <c r="L123" i="23"/>
  <c r="M123" i="23" s="1"/>
  <c r="L193" i="23"/>
  <c r="T124" i="23"/>
  <c r="L120" i="23"/>
  <c r="M120" i="23" s="1"/>
  <c r="L602" i="23"/>
  <c r="M602" i="23" s="1"/>
  <c r="L521" i="23"/>
  <c r="M521" i="23" s="1"/>
  <c r="T150" i="23"/>
  <c r="T149" i="23"/>
  <c r="T148" i="23"/>
  <c r="L598" i="23"/>
  <c r="M598" i="23" s="1"/>
  <c r="L525" i="23"/>
  <c r="M525" i="23" s="1"/>
  <c r="L118" i="23"/>
  <c r="M118" i="23" s="1"/>
  <c r="T632" i="23"/>
  <c r="L632" i="23"/>
  <c r="M632" i="23" s="1"/>
  <c r="L609" i="23"/>
  <c r="M609" i="23" s="1"/>
  <c r="T602" i="23"/>
  <c r="T599" i="23"/>
  <c r="L599" i="23"/>
  <c r="M599" i="23" s="1"/>
  <c r="T598" i="23"/>
  <c r="T525" i="23"/>
  <c r="T522" i="23"/>
  <c r="T521" i="23"/>
  <c r="U521" i="23" s="1"/>
  <c r="E466" i="23"/>
  <c r="L195" i="23"/>
  <c r="L119" i="23"/>
  <c r="M119" i="23" s="1"/>
  <c r="T110" i="23"/>
  <c r="L83" i="23"/>
  <c r="M83" i="23" s="1"/>
  <c r="Q235" i="23"/>
  <c r="O205" i="23"/>
  <c r="L235" i="23"/>
  <c r="M235" i="23" s="1"/>
  <c r="L230" i="23"/>
  <c r="M230" i="23" s="1"/>
  <c r="T228" i="23"/>
  <c r="L194" i="23"/>
  <c r="L185" i="23"/>
  <c r="M185" i="23" s="1"/>
  <c r="J130" i="23"/>
  <c r="H130" i="23"/>
  <c r="F130" i="23"/>
  <c r="R115" i="23"/>
  <c r="R116" i="23" s="1"/>
  <c r="P115" i="23"/>
  <c r="P116" i="23" s="1"/>
  <c r="N115" i="23"/>
  <c r="N116" i="23" s="1"/>
  <c r="J68" i="23"/>
  <c r="H68" i="23"/>
  <c r="F68" i="23"/>
  <c r="Q85" i="23"/>
  <c r="O85" i="23"/>
  <c r="O86" i="23" s="1"/>
  <c r="J64" i="23"/>
  <c r="J63" i="23"/>
  <c r="H63" i="23"/>
  <c r="F63" i="23"/>
  <c r="L639" i="23"/>
  <c r="M639" i="23" s="1"/>
  <c r="T628" i="23"/>
  <c r="L522" i="23"/>
  <c r="M522" i="23" s="1"/>
  <c r="L292" i="23"/>
  <c r="M292" i="23" s="1"/>
  <c r="L238" i="23"/>
  <c r="M238" i="23" s="1"/>
  <c r="L233" i="23"/>
  <c r="M233" i="23" s="1"/>
  <c r="S235" i="23"/>
  <c r="L229" i="23"/>
  <c r="M229" i="23" s="1"/>
  <c r="T203" i="23"/>
  <c r="T199" i="23"/>
  <c r="O100" i="23"/>
  <c r="L93" i="23"/>
  <c r="M93" i="23" s="1"/>
  <c r="K68" i="23"/>
  <c r="I68" i="23"/>
  <c r="G68" i="23"/>
  <c r="K64" i="23"/>
  <c r="K63" i="23"/>
  <c r="I85" i="23"/>
  <c r="I63" i="23"/>
  <c r="G63" i="23"/>
  <c r="K81" i="23"/>
  <c r="J85" i="23"/>
  <c r="L629" i="23"/>
  <c r="M629" i="23" s="1"/>
  <c r="T157" i="23"/>
  <c r="K85" i="23"/>
  <c r="K86" i="23" s="1"/>
  <c r="S376" i="23"/>
  <c r="Q376" i="23"/>
  <c r="L391" i="23"/>
  <c r="M391" i="23" s="1"/>
  <c r="L369" i="23"/>
  <c r="M369" i="23" s="1"/>
  <c r="L354" i="23"/>
  <c r="M354" i="23" s="1"/>
  <c r="R329" i="23"/>
  <c r="P329" i="23"/>
  <c r="N329" i="23"/>
  <c r="T370" i="23"/>
  <c r="T308" i="23"/>
  <c r="O376" i="23"/>
  <c r="T369" i="23"/>
  <c r="U369" i="23" s="1"/>
  <c r="W369" i="23" s="1"/>
  <c r="T354" i="23"/>
  <c r="L307" i="23"/>
  <c r="M307" i="23" s="1"/>
  <c r="T303" i="23"/>
  <c r="L329" i="23"/>
  <c r="M329" i="23" s="1"/>
  <c r="L324" i="23"/>
  <c r="M324" i="23" s="1"/>
  <c r="T307" i="23"/>
  <c r="L327" i="23"/>
  <c r="M327" i="23" s="1"/>
  <c r="L389" i="23"/>
  <c r="M389" i="23" s="1"/>
  <c r="L370" i="23"/>
  <c r="M370" i="23" s="1"/>
  <c r="L308" i="23"/>
  <c r="M308" i="23" s="1"/>
  <c r="L243" i="23"/>
  <c r="M243" i="23" s="1"/>
  <c r="L188" i="23"/>
  <c r="M188" i="23" s="1"/>
  <c r="T158" i="23"/>
  <c r="T153" i="23"/>
  <c r="T244" i="23"/>
  <c r="L240" i="23"/>
  <c r="M240" i="23" s="1"/>
  <c r="L198" i="23"/>
  <c r="L154" i="23"/>
  <c r="M154" i="23" s="1"/>
  <c r="Q205" i="23"/>
  <c r="S173" i="23"/>
  <c r="Q173" i="23"/>
  <c r="J173" i="23"/>
  <c r="H173" i="23"/>
  <c r="F173" i="23"/>
  <c r="S165" i="23"/>
  <c r="Q165" i="23"/>
  <c r="O165" i="23"/>
  <c r="K165" i="23"/>
  <c r="I165" i="23"/>
  <c r="G165" i="23"/>
  <c r="K164" i="23"/>
  <c r="I164" i="23"/>
  <c r="G164" i="23"/>
  <c r="S163" i="23"/>
  <c r="Q163" i="23"/>
  <c r="O163" i="23"/>
  <c r="K163" i="23"/>
  <c r="I163" i="23"/>
  <c r="G163" i="23"/>
  <c r="K161" i="23"/>
  <c r="L239" i="23"/>
  <c r="M239" i="23" s="1"/>
  <c r="J170" i="23"/>
  <c r="H170" i="23"/>
  <c r="F170" i="23"/>
  <c r="F48" i="23" s="1"/>
  <c r="F31" i="23" s="1"/>
  <c r="J169" i="23"/>
  <c r="F169" i="23"/>
  <c r="F175" i="23" s="1"/>
  <c r="K168" i="23"/>
  <c r="I168" i="23"/>
  <c r="G168" i="23"/>
  <c r="S250" i="23"/>
  <c r="Q250" i="23"/>
  <c r="S218" i="23"/>
  <c r="Q218" i="23"/>
  <c r="J214" i="23"/>
  <c r="J220" i="23" s="1"/>
  <c r="H214" i="23"/>
  <c r="H220" i="23" s="1"/>
  <c r="F214" i="23"/>
  <c r="F220" i="23" s="1"/>
  <c r="L80" i="23"/>
  <c r="M80" i="23" s="1"/>
  <c r="T327" i="23"/>
  <c r="T389" i="23"/>
  <c r="T604" i="23"/>
  <c r="L604" i="23"/>
  <c r="M604" i="23" s="1"/>
  <c r="F464" i="23"/>
  <c r="F447" i="23" s="1"/>
  <c r="R557" i="23"/>
  <c r="P557" i="23"/>
  <c r="N557" i="23"/>
  <c r="K557" i="23"/>
  <c r="I557" i="23"/>
  <c r="G557" i="23"/>
  <c r="Q482" i="23"/>
  <c r="O482" i="23"/>
  <c r="K482" i="23"/>
  <c r="I482" i="23"/>
  <c r="G482" i="23"/>
  <c r="S480" i="23"/>
  <c r="Q480" i="23"/>
  <c r="O480" i="23"/>
  <c r="J480" i="23"/>
  <c r="H480" i="23"/>
  <c r="F480" i="23"/>
  <c r="L426" i="23"/>
  <c r="M426" i="23" s="1"/>
  <c r="L425" i="23"/>
  <c r="M425" i="23" s="1"/>
  <c r="L424" i="23"/>
  <c r="M424" i="23" s="1"/>
  <c r="H404" i="23"/>
  <c r="F404" i="23"/>
  <c r="R401" i="23"/>
  <c r="P401" i="23"/>
  <c r="J401" i="23"/>
  <c r="F401" i="23"/>
  <c r="V400" i="23"/>
  <c r="O400" i="23"/>
  <c r="J400" i="23"/>
  <c r="R399" i="23"/>
  <c r="P399" i="23"/>
  <c r="N399" i="23"/>
  <c r="K399" i="23"/>
  <c r="I399" i="23"/>
  <c r="G399" i="23"/>
  <c r="Q396" i="23"/>
  <c r="I396" i="23"/>
  <c r="G396" i="23"/>
  <c r="Q395" i="23"/>
  <c r="I395" i="23"/>
  <c r="G395" i="23"/>
  <c r="K394" i="23"/>
  <c r="I394" i="23"/>
  <c r="G394" i="23"/>
  <c r="T384" i="23"/>
  <c r="L384" i="23"/>
  <c r="M384" i="23" s="1"/>
  <c r="L381" i="23"/>
  <c r="M381" i="23" s="1"/>
  <c r="T637" i="23"/>
  <c r="L637" i="23"/>
  <c r="M637" i="23" s="1"/>
  <c r="T634" i="23"/>
  <c r="L634" i="23"/>
  <c r="M634" i="23" s="1"/>
  <c r="S557" i="23"/>
  <c r="Q557" i="23"/>
  <c r="O557" i="23"/>
  <c r="J557" i="23"/>
  <c r="H557" i="23"/>
  <c r="F557" i="23"/>
  <c r="T530" i="23"/>
  <c r="L530" i="23"/>
  <c r="M530" i="23" s="1"/>
  <c r="L527" i="23"/>
  <c r="M527" i="23" s="1"/>
  <c r="R482" i="23"/>
  <c r="N482" i="23"/>
  <c r="J482" i="23"/>
  <c r="R480" i="23"/>
  <c r="P480" i="23"/>
  <c r="N480" i="23"/>
  <c r="K480" i="23"/>
  <c r="I480" i="23"/>
  <c r="G480" i="23"/>
  <c r="L431" i="23"/>
  <c r="M431" i="23" s="1"/>
  <c r="K404" i="23"/>
  <c r="I404" i="23"/>
  <c r="G404" i="23"/>
  <c r="Q401" i="23"/>
  <c r="O401" i="23"/>
  <c r="G401" i="23"/>
  <c r="R400" i="23"/>
  <c r="P400" i="23"/>
  <c r="N400" i="23"/>
  <c r="K400" i="23"/>
  <c r="I400" i="23"/>
  <c r="V399" i="23"/>
  <c r="S399" i="23"/>
  <c r="Q399" i="23"/>
  <c r="O399" i="23"/>
  <c r="J399" i="23"/>
  <c r="H399" i="23"/>
  <c r="F399" i="23"/>
  <c r="V396" i="23"/>
  <c r="P396" i="23"/>
  <c r="N396" i="23"/>
  <c r="F396" i="23"/>
  <c r="P395" i="23"/>
  <c r="N395" i="23"/>
  <c r="F395" i="23"/>
  <c r="P394" i="23"/>
  <c r="N394" i="23"/>
  <c r="F394" i="23"/>
  <c r="L385" i="23"/>
  <c r="M385" i="23" s="1"/>
  <c r="L376" i="23"/>
  <c r="M376" i="23" s="1"/>
  <c r="T322" i="23"/>
  <c r="L322" i="23"/>
  <c r="M322" i="23" s="1"/>
  <c r="T319" i="23"/>
  <c r="L319" i="23"/>
  <c r="M319" i="23" s="1"/>
  <c r="T317" i="23"/>
  <c r="L317" i="23"/>
  <c r="M317" i="23" s="1"/>
  <c r="S282" i="23"/>
  <c r="Q282" i="23"/>
  <c r="O282" i="23"/>
  <c r="K282" i="23"/>
  <c r="I282" i="23"/>
  <c r="G282" i="23"/>
  <c r="E262" i="23"/>
  <c r="P278" i="23"/>
  <c r="N278" i="23"/>
  <c r="V277" i="23"/>
  <c r="S277" i="23"/>
  <c r="Q277" i="23"/>
  <c r="O277" i="23"/>
  <c r="J277" i="23"/>
  <c r="H277" i="23"/>
  <c r="F277" i="23"/>
  <c r="V272" i="23"/>
  <c r="Q272" i="23"/>
  <c r="H272" i="23"/>
  <c r="H271" i="23"/>
  <c r="Q270" i="23"/>
  <c r="H270" i="23"/>
  <c r="F270" i="23"/>
  <c r="V253" i="23"/>
  <c r="T374" i="23"/>
  <c r="L374" i="23"/>
  <c r="M374" i="23" s="1"/>
  <c r="L371" i="23"/>
  <c r="M371" i="23" s="1"/>
  <c r="T366" i="23"/>
  <c r="L366" i="23"/>
  <c r="M366" i="23" s="1"/>
  <c r="T365" i="23"/>
  <c r="L365" i="23"/>
  <c r="M365" i="23" s="1"/>
  <c r="T364" i="23"/>
  <c r="L364" i="23"/>
  <c r="M364" i="23" s="1"/>
  <c r="T323" i="23"/>
  <c r="L323" i="23"/>
  <c r="M323" i="23" s="1"/>
  <c r="L314" i="23"/>
  <c r="M314" i="23" s="1"/>
  <c r="T312" i="23"/>
  <c r="L312" i="23"/>
  <c r="M312" i="23" s="1"/>
  <c r="L309" i="23"/>
  <c r="M309" i="23" s="1"/>
  <c r="T304" i="23"/>
  <c r="L304" i="23"/>
  <c r="M304" i="23" s="1"/>
  <c r="T302" i="23"/>
  <c r="L302" i="23"/>
  <c r="M302" i="23" s="1"/>
  <c r="R282" i="23"/>
  <c r="P282" i="23"/>
  <c r="N282" i="23"/>
  <c r="J282" i="23"/>
  <c r="H282" i="23"/>
  <c r="F282" i="23"/>
  <c r="E281" i="23"/>
  <c r="F279" i="23"/>
  <c r="V278" i="23"/>
  <c r="O278" i="23"/>
  <c r="T292" i="23"/>
  <c r="R277" i="23"/>
  <c r="P277" i="23"/>
  <c r="N277" i="23"/>
  <c r="K277" i="23"/>
  <c r="I277" i="23"/>
  <c r="G277" i="23"/>
  <c r="G272" i="23"/>
  <c r="R270" i="23"/>
  <c r="P270" i="23"/>
  <c r="N270" i="23"/>
  <c r="I270" i="23"/>
  <c r="G270" i="23"/>
  <c r="V254" i="23"/>
  <c r="V39" i="23"/>
  <c r="V22" i="23" s="1"/>
  <c r="L245" i="23"/>
  <c r="M245" i="23" s="1"/>
  <c r="T243" i="23"/>
  <c r="O250" i="23"/>
  <c r="T239" i="23"/>
  <c r="O218" i="23"/>
  <c r="T233" i="23"/>
  <c r="Q215" i="23"/>
  <c r="O215" i="23"/>
  <c r="T229" i="23"/>
  <c r="R213" i="23"/>
  <c r="R235" i="23"/>
  <c r="P213" i="23"/>
  <c r="P235" i="23"/>
  <c r="N213" i="23"/>
  <c r="N235" i="23"/>
  <c r="L203" i="23"/>
  <c r="M203" i="23" s="1"/>
  <c r="L200" i="23"/>
  <c r="M200" i="23" s="1"/>
  <c r="O173" i="23"/>
  <c r="T188" i="23"/>
  <c r="Q170" i="23"/>
  <c r="Q48" i="23" s="1"/>
  <c r="Q31" i="23" s="1"/>
  <c r="O170" i="23"/>
  <c r="O48" i="23" s="1"/>
  <c r="O31" i="23" s="1"/>
  <c r="V169" i="23"/>
  <c r="V174" i="23" s="1"/>
  <c r="R169" i="23"/>
  <c r="R190" i="23"/>
  <c r="P169" i="23"/>
  <c r="N169" i="23"/>
  <c r="N190" i="23"/>
  <c r="H169" i="23"/>
  <c r="H175" i="23" s="1"/>
  <c r="H190" i="23"/>
  <c r="S168" i="23"/>
  <c r="Q168" i="23"/>
  <c r="O168" i="23"/>
  <c r="S164" i="23"/>
  <c r="Q164" i="23"/>
  <c r="O164" i="23"/>
  <c r="I161" i="23"/>
  <c r="T154" i="23"/>
  <c r="O160" i="23"/>
  <c r="O161" i="23" s="1"/>
  <c r="L160" i="23"/>
  <c r="M160" i="23" s="1"/>
  <c r="T152" i="23"/>
  <c r="L149" i="23"/>
  <c r="M149" i="23" s="1"/>
  <c r="T248" i="23"/>
  <c r="L248" i="23"/>
  <c r="M248" i="23" s="1"/>
  <c r="L244" i="23"/>
  <c r="M244" i="23" s="1"/>
  <c r="G250" i="23"/>
  <c r="L250" i="23" s="1"/>
  <c r="M250" i="23" s="1"/>
  <c r="T240" i="23"/>
  <c r="T238" i="23"/>
  <c r="O235" i="23"/>
  <c r="L228" i="23"/>
  <c r="M228" i="23" s="1"/>
  <c r="L199" i="23"/>
  <c r="M199" i="23" s="1"/>
  <c r="G205" i="23"/>
  <c r="L205" i="23" s="1"/>
  <c r="M205" i="23" s="1"/>
  <c r="J190" i="23"/>
  <c r="G161" i="23"/>
  <c r="L153" i="23"/>
  <c r="M153" i="23" s="1"/>
  <c r="L150" i="23"/>
  <c r="M150" i="23" s="1"/>
  <c r="L148" i="23"/>
  <c r="M148" i="23" s="1"/>
  <c r="L143" i="23"/>
  <c r="M143" i="23" s="1"/>
  <c r="K218" i="23"/>
  <c r="I218" i="23"/>
  <c r="G218" i="23"/>
  <c r="K215" i="23"/>
  <c r="I215" i="23"/>
  <c r="G215" i="23"/>
  <c r="R214" i="23"/>
  <c r="P214" i="23"/>
  <c r="N214" i="23"/>
  <c r="J213" i="23"/>
  <c r="H213" i="23"/>
  <c r="F213" i="23"/>
  <c r="R173" i="23"/>
  <c r="P173" i="23"/>
  <c r="N173" i="23"/>
  <c r="K173" i="23"/>
  <c r="I173" i="23"/>
  <c r="G173" i="23"/>
  <c r="R170" i="23"/>
  <c r="R48" i="23" s="1"/>
  <c r="R31" i="23" s="1"/>
  <c r="P170" i="23"/>
  <c r="P48" i="23" s="1"/>
  <c r="P31" i="23" s="1"/>
  <c r="N170" i="23"/>
  <c r="N48" i="23" s="1"/>
  <c r="N31" i="23" s="1"/>
  <c r="K170" i="23"/>
  <c r="K48" i="23" s="1"/>
  <c r="K31" i="23" s="1"/>
  <c r="I170" i="23"/>
  <c r="G170" i="23"/>
  <c r="G48" i="23" s="1"/>
  <c r="G31" i="23" s="1"/>
  <c r="S169" i="23"/>
  <c r="Q169" i="23"/>
  <c r="O169" i="23"/>
  <c r="K169" i="23"/>
  <c r="K175" i="23" s="1"/>
  <c r="I169" i="23"/>
  <c r="I175" i="23" s="1"/>
  <c r="G169" i="23"/>
  <c r="G175" i="23" s="1"/>
  <c r="V168" i="23"/>
  <c r="V173" i="23" s="1"/>
  <c r="R168" i="23"/>
  <c r="P168" i="23"/>
  <c r="N168" i="23"/>
  <c r="J168" i="23"/>
  <c r="H168" i="23"/>
  <c r="F168" i="23"/>
  <c r="T155" i="23"/>
  <c r="L155" i="23"/>
  <c r="M155" i="23" s="1"/>
  <c r="L138" i="23"/>
  <c r="M138" i="23" s="1"/>
  <c r="T125" i="23"/>
  <c r="L125" i="23"/>
  <c r="M125" i="23" s="1"/>
  <c r="T123" i="23"/>
  <c r="T119" i="23"/>
  <c r="T113" i="23"/>
  <c r="N100" i="23"/>
  <c r="T88" i="23"/>
  <c r="T83" i="23"/>
  <c r="T128" i="23"/>
  <c r="L128" i="23"/>
  <c r="M128" i="23" s="1"/>
  <c r="L124" i="23"/>
  <c r="M124" i="23" s="1"/>
  <c r="T120" i="23"/>
  <c r="T118" i="23"/>
  <c r="L110" i="23"/>
  <c r="M110" i="23" s="1"/>
  <c r="T109" i="23"/>
  <c r="L109" i="23"/>
  <c r="M109" i="23" s="1"/>
  <c r="G115" i="23"/>
  <c r="T93" i="23"/>
  <c r="L140" i="23"/>
  <c r="M140" i="23" s="1"/>
  <c r="L135" i="23"/>
  <c r="M135" i="23" s="1"/>
  <c r="T134" i="23"/>
  <c r="T133" i="23"/>
  <c r="L133" i="23"/>
  <c r="M133" i="23" s="1"/>
  <c r="T108" i="23"/>
  <c r="L108" i="23"/>
  <c r="M108" i="23" s="1"/>
  <c r="T105" i="23"/>
  <c r="L105" i="23"/>
  <c r="M105" i="23" s="1"/>
  <c r="T104" i="23"/>
  <c r="L104" i="23"/>
  <c r="M104" i="23" s="1"/>
  <c r="T103" i="23"/>
  <c r="L103" i="23"/>
  <c r="M103" i="23" s="1"/>
  <c r="L98" i="23"/>
  <c r="M98" i="23" s="1"/>
  <c r="T80" i="23"/>
  <c r="T78" i="23"/>
  <c r="L78" i="23"/>
  <c r="M78" i="23" s="1"/>
  <c r="J76" i="23"/>
  <c r="T75" i="23"/>
  <c r="L75" i="23"/>
  <c r="M75" i="23" s="1"/>
  <c r="T74" i="23"/>
  <c r="L74" i="23"/>
  <c r="M74" i="23" s="1"/>
  <c r="T73" i="23"/>
  <c r="L73" i="23"/>
  <c r="M73" i="23" s="1"/>
  <c r="O210" i="23"/>
  <c r="T225" i="23"/>
  <c r="O209" i="23"/>
  <c r="T224" i="23"/>
  <c r="O208" i="23"/>
  <c r="T223" i="23"/>
  <c r="K214" i="23"/>
  <c r="I214" i="23"/>
  <c r="G214" i="23"/>
  <c r="S213" i="23"/>
  <c r="Q213" i="23"/>
  <c r="O213" i="23"/>
  <c r="S210" i="23"/>
  <c r="Q210" i="23"/>
  <c r="S209" i="23"/>
  <c r="Q209" i="23"/>
  <c r="S208" i="23"/>
  <c r="Q208" i="23"/>
  <c r="V213" i="23"/>
  <c r="G210" i="23"/>
  <c r="L225" i="23"/>
  <c r="M225" i="23" s="1"/>
  <c r="G209" i="23"/>
  <c r="L224" i="23"/>
  <c r="M224" i="23" s="1"/>
  <c r="G208" i="23"/>
  <c r="L223" i="23"/>
  <c r="M223" i="23" s="1"/>
  <c r="R218" i="23"/>
  <c r="P218" i="23"/>
  <c r="N218" i="23"/>
  <c r="J218" i="23"/>
  <c r="H218" i="23"/>
  <c r="F218" i="23"/>
  <c r="R215" i="23"/>
  <c r="P215" i="23"/>
  <c r="N215" i="23"/>
  <c r="J215" i="23"/>
  <c r="H215" i="23"/>
  <c r="F215" i="23"/>
  <c r="S214" i="23"/>
  <c r="Q214" i="23"/>
  <c r="O214" i="23"/>
  <c r="K213" i="23"/>
  <c r="I213" i="23"/>
  <c r="G213" i="23"/>
  <c r="K210" i="23"/>
  <c r="I210" i="23"/>
  <c r="K209" i="23"/>
  <c r="I209" i="23"/>
  <c r="K208" i="23"/>
  <c r="I208" i="23"/>
  <c r="V214" i="23"/>
  <c r="S190" i="23"/>
  <c r="Q190" i="23"/>
  <c r="O190" i="23"/>
  <c r="K190" i="23"/>
  <c r="I190" i="23"/>
  <c r="G190" i="23"/>
  <c r="T184" i="23"/>
  <c r="L184" i="23"/>
  <c r="M184" i="23" s="1"/>
  <c r="T183" i="23"/>
  <c r="L183" i="23"/>
  <c r="M183" i="23" s="1"/>
  <c r="T180" i="23"/>
  <c r="L180" i="23"/>
  <c r="M180" i="23" s="1"/>
  <c r="T179" i="23"/>
  <c r="L179" i="23"/>
  <c r="M179" i="23" s="1"/>
  <c r="T178" i="23"/>
  <c r="L178" i="23"/>
  <c r="M178" i="23" s="1"/>
  <c r="L158" i="23"/>
  <c r="M158" i="23" s="1"/>
  <c r="T112" i="23"/>
  <c r="T107" i="23"/>
  <c r="L107" i="23"/>
  <c r="T607" i="23"/>
  <c r="L607" i="23"/>
  <c r="M607" i="23" s="1"/>
  <c r="T577" i="23"/>
  <c r="L577" i="23"/>
  <c r="M577" i="23" s="1"/>
  <c r="T500" i="23"/>
  <c r="L500" i="23"/>
  <c r="M500" i="23" s="1"/>
  <c r="R344" i="23"/>
  <c r="N344" i="23"/>
  <c r="J344" i="23"/>
  <c r="H344" i="23"/>
  <c r="F344" i="23"/>
  <c r="K340" i="23"/>
  <c r="I340" i="23"/>
  <c r="V339" i="23"/>
  <c r="S339" i="23"/>
  <c r="Q339" i="23"/>
  <c r="O339" i="23"/>
  <c r="J339" i="23"/>
  <c r="H339" i="23"/>
  <c r="F339" i="23"/>
  <c r="K334" i="23"/>
  <c r="G334" i="23"/>
  <c r="G333" i="23"/>
  <c r="I332" i="23"/>
  <c r="G332" i="23"/>
  <c r="T419" i="23"/>
  <c r="L419" i="23"/>
  <c r="M419" i="23" s="1"/>
  <c r="S344" i="23"/>
  <c r="K344" i="23"/>
  <c r="I344" i="23"/>
  <c r="G344" i="23"/>
  <c r="N341" i="23"/>
  <c r="V340" i="23"/>
  <c r="J340" i="23"/>
  <c r="R339" i="23"/>
  <c r="P339" i="23"/>
  <c r="N339" i="23"/>
  <c r="K339" i="23"/>
  <c r="I339" i="23"/>
  <c r="G339" i="23"/>
  <c r="V334" i="23"/>
  <c r="J334" i="23"/>
  <c r="H334" i="23"/>
  <c r="J333" i="23"/>
  <c r="H333" i="23"/>
  <c r="F333" i="23"/>
  <c r="N332" i="23"/>
  <c r="H332" i="23"/>
  <c r="L359" i="23"/>
  <c r="M359" i="23" s="1"/>
  <c r="T297" i="23"/>
  <c r="L297" i="23"/>
  <c r="M297" i="23" s="1"/>
  <c r="E279" i="23"/>
  <c r="E264" i="23"/>
  <c r="J487" i="23" l="1"/>
  <c r="V41" i="23"/>
  <c r="V24" i="23" s="1"/>
  <c r="H48" i="23"/>
  <c r="H31" i="23" s="1"/>
  <c r="O40" i="23"/>
  <c r="O23" i="23" s="1"/>
  <c r="I39" i="23"/>
  <c r="I22" i="23" s="1"/>
  <c r="O39" i="23"/>
  <c r="O22" i="23" s="1"/>
  <c r="S39" i="23"/>
  <c r="S22" i="23" s="1"/>
  <c r="I40" i="23"/>
  <c r="I23" i="23" s="1"/>
  <c r="K41" i="23"/>
  <c r="K24" i="23" s="1"/>
  <c r="Q41" i="23"/>
  <c r="Q24" i="23" s="1"/>
  <c r="G46" i="23"/>
  <c r="G29" i="23" s="1"/>
  <c r="K47" i="23"/>
  <c r="K30" i="23" s="1"/>
  <c r="I51" i="23"/>
  <c r="I34" i="23" s="1"/>
  <c r="F46" i="23"/>
  <c r="F29" i="23" s="1"/>
  <c r="J46" i="23"/>
  <c r="J29" i="23" s="1"/>
  <c r="F51" i="23"/>
  <c r="F34" i="23" s="1"/>
  <c r="J51" i="23"/>
  <c r="J34" i="23" s="1"/>
  <c r="R46" i="23"/>
  <c r="R29" i="23" s="1"/>
  <c r="R47" i="23"/>
  <c r="R30" i="23" s="1"/>
  <c r="O47" i="23"/>
  <c r="O30" i="23" s="1"/>
  <c r="J39" i="23"/>
  <c r="J22" i="23" s="1"/>
  <c r="P39" i="23"/>
  <c r="P22" i="23" s="1"/>
  <c r="J40" i="23"/>
  <c r="J23" i="23" s="1"/>
  <c r="P40" i="23"/>
  <c r="P23" i="23" s="1"/>
  <c r="F41" i="23"/>
  <c r="F24" i="23" s="1"/>
  <c r="J41" i="23"/>
  <c r="J24" i="23" s="1"/>
  <c r="P41" i="23"/>
  <c r="P24" i="23" s="1"/>
  <c r="Q47" i="23"/>
  <c r="Q30" i="23" s="1"/>
  <c r="O46" i="23"/>
  <c r="O29" i="23" s="1"/>
  <c r="Q40" i="23"/>
  <c r="Q23" i="23" s="1"/>
  <c r="G39" i="23"/>
  <c r="G22" i="23" s="1"/>
  <c r="K39" i="23"/>
  <c r="K22" i="23" s="1"/>
  <c r="Q39" i="23"/>
  <c r="Q22" i="23" s="1"/>
  <c r="K40" i="23"/>
  <c r="K23" i="23" s="1"/>
  <c r="I41" i="23"/>
  <c r="I24" i="23" s="1"/>
  <c r="O41" i="23"/>
  <c r="O24" i="23" s="1"/>
  <c r="I46" i="23"/>
  <c r="I29" i="23" s="1"/>
  <c r="K46" i="23"/>
  <c r="K29" i="23" s="1"/>
  <c r="G51" i="23"/>
  <c r="G34" i="23" s="1"/>
  <c r="K51" i="23"/>
  <c r="K34" i="23" s="1"/>
  <c r="H46" i="23"/>
  <c r="H29" i="23" s="1"/>
  <c r="J47" i="23"/>
  <c r="J30" i="23" s="1"/>
  <c r="H51" i="23"/>
  <c r="H34" i="23" s="1"/>
  <c r="P46" i="23"/>
  <c r="P29" i="23" s="1"/>
  <c r="P47" i="23"/>
  <c r="P30" i="23" s="1"/>
  <c r="N46" i="23"/>
  <c r="N29" i="23" s="1"/>
  <c r="H39" i="23"/>
  <c r="H22" i="23" s="1"/>
  <c r="N39" i="23"/>
  <c r="N22" i="23" s="1"/>
  <c r="R39" i="23"/>
  <c r="R22" i="23" s="1"/>
  <c r="N40" i="23"/>
  <c r="N23" i="23" s="1"/>
  <c r="N41" i="23"/>
  <c r="N24" i="23" s="1"/>
  <c r="Q46" i="23"/>
  <c r="Q29" i="23" s="1"/>
  <c r="S46" i="23"/>
  <c r="S29" i="23" s="1"/>
  <c r="T557" i="23"/>
  <c r="U239" i="23"/>
  <c r="U243" i="23"/>
  <c r="W243" i="23" s="1"/>
  <c r="M194" i="23"/>
  <c r="U194" i="23"/>
  <c r="M198" i="23"/>
  <c r="U198" i="23"/>
  <c r="W198" i="23" s="1"/>
  <c r="M195" i="23"/>
  <c r="U195" i="23"/>
  <c r="W195" i="23" s="1"/>
  <c r="M193" i="23"/>
  <c r="U193" i="23"/>
  <c r="U238" i="23"/>
  <c r="F463" i="23"/>
  <c r="F446" i="23" s="1"/>
  <c r="H265" i="23"/>
  <c r="N265" i="23"/>
  <c r="T165" i="23"/>
  <c r="Q70" i="23"/>
  <c r="N220" i="23"/>
  <c r="G456" i="23"/>
  <c r="G439" i="23" s="1"/>
  <c r="R457" i="23"/>
  <c r="R440" i="23" s="1"/>
  <c r="I463" i="23"/>
  <c r="I446" i="23" s="1"/>
  <c r="N463" i="23"/>
  <c r="N446" i="23" s="1"/>
  <c r="R463" i="23"/>
  <c r="R446" i="23" s="1"/>
  <c r="H464" i="23"/>
  <c r="H447" i="23" s="1"/>
  <c r="F457" i="23"/>
  <c r="F440" i="23" s="1"/>
  <c r="T609" i="23"/>
  <c r="U609" i="23" s="1"/>
  <c r="U229" i="23"/>
  <c r="W229" i="23" s="1"/>
  <c r="N456" i="23"/>
  <c r="N439" i="23" s="1"/>
  <c r="R456" i="23"/>
  <c r="R439" i="23" s="1"/>
  <c r="R458" i="23"/>
  <c r="R441" i="23" s="1"/>
  <c r="R465" i="23"/>
  <c r="R448" i="23" s="1"/>
  <c r="N468" i="23"/>
  <c r="N451" i="23" s="1"/>
  <c r="R468" i="23"/>
  <c r="R451" i="23" s="1"/>
  <c r="L550" i="23"/>
  <c r="M550" i="23" s="1"/>
  <c r="Q457" i="23"/>
  <c r="Q440" i="23" s="1"/>
  <c r="H463" i="23"/>
  <c r="H446" i="23" s="1"/>
  <c r="S463" i="23"/>
  <c r="S446" i="23" s="1"/>
  <c r="P463" i="23"/>
  <c r="P446" i="23" s="1"/>
  <c r="G465" i="23"/>
  <c r="G448" i="23" s="1"/>
  <c r="G162" i="23"/>
  <c r="F465" i="23"/>
  <c r="F448" i="23" s="1"/>
  <c r="I465" i="23"/>
  <c r="I448" i="23" s="1"/>
  <c r="Q465" i="23"/>
  <c r="Q448" i="23" s="1"/>
  <c r="P406" i="23"/>
  <c r="H254" i="23"/>
  <c r="I260" i="23"/>
  <c r="G265" i="23"/>
  <c r="K265" i="23"/>
  <c r="O284" i="23"/>
  <c r="F456" i="23"/>
  <c r="F439" i="23" s="1"/>
  <c r="Q463" i="23"/>
  <c r="Q446" i="23" s="1"/>
  <c r="L557" i="23"/>
  <c r="T314" i="23"/>
  <c r="U314" i="23" s="1"/>
  <c r="F265" i="23"/>
  <c r="O468" i="23"/>
  <c r="O451" i="23" s="1"/>
  <c r="S468" i="23"/>
  <c r="S451" i="23" s="1"/>
  <c r="I406" i="23"/>
  <c r="N406" i="23"/>
  <c r="R406" i="23"/>
  <c r="G463" i="23"/>
  <c r="G446" i="23" s="1"/>
  <c r="J464" i="23"/>
  <c r="J447" i="23" s="1"/>
  <c r="U303" i="23"/>
  <c r="W303" i="23" s="1"/>
  <c r="J346" i="23"/>
  <c r="I346" i="23"/>
  <c r="P284" i="23"/>
  <c r="J406" i="23"/>
  <c r="N284" i="23"/>
  <c r="O406" i="23"/>
  <c r="J463" i="23"/>
  <c r="J446" i="23" s="1"/>
  <c r="V464" i="23"/>
  <c r="V447" i="23" s="1"/>
  <c r="O464" i="23"/>
  <c r="O447" i="23" s="1"/>
  <c r="K346" i="23"/>
  <c r="K406" i="23"/>
  <c r="L173" i="23"/>
  <c r="M173" i="23" s="1"/>
  <c r="H457" i="23"/>
  <c r="H440" i="23" s="1"/>
  <c r="U495" i="23"/>
  <c r="L485" i="23"/>
  <c r="M485" i="23" s="1"/>
  <c r="L130" i="23"/>
  <c r="M130" i="23" s="1"/>
  <c r="L164" i="23"/>
  <c r="M164" i="23" s="1"/>
  <c r="T205" i="23"/>
  <c r="U205" i="23" s="1"/>
  <c r="U93" i="23"/>
  <c r="W93" i="23" s="1"/>
  <c r="U113" i="23"/>
  <c r="U119" i="23"/>
  <c r="U240" i="23"/>
  <c r="W240" i="23" s="1"/>
  <c r="U154" i="23"/>
  <c r="W154" i="23" s="1"/>
  <c r="U188" i="23"/>
  <c r="U233" i="23"/>
  <c r="U632" i="23"/>
  <c r="Q175" i="23"/>
  <c r="P456" i="23"/>
  <c r="P439" i="23" s="1"/>
  <c r="P468" i="23"/>
  <c r="P451" i="23" s="1"/>
  <c r="T130" i="23"/>
  <c r="T115" i="23"/>
  <c r="U120" i="23"/>
  <c r="W120" i="23" s="1"/>
  <c r="J70" i="23"/>
  <c r="T56" i="23"/>
  <c r="U118" i="23"/>
  <c r="O70" i="23"/>
  <c r="O175" i="23"/>
  <c r="U80" i="23"/>
  <c r="U123" i="23"/>
  <c r="W123" i="23" s="1"/>
  <c r="K70" i="23"/>
  <c r="T485" i="23"/>
  <c r="S175" i="23"/>
  <c r="R220" i="23"/>
  <c r="T164" i="23"/>
  <c r="L399" i="23"/>
  <c r="M399" i="23" s="1"/>
  <c r="Q458" i="23"/>
  <c r="Q441" i="23" s="1"/>
  <c r="U83" i="23"/>
  <c r="L68" i="23"/>
  <c r="M68" i="23" s="1"/>
  <c r="L277" i="23"/>
  <c r="M277" i="23" s="1"/>
  <c r="Q260" i="23"/>
  <c r="Q456" i="23"/>
  <c r="Q439" i="23" s="1"/>
  <c r="L480" i="23"/>
  <c r="M480" i="23" s="1"/>
  <c r="V463" i="23"/>
  <c r="V446" i="23" s="1"/>
  <c r="K456" i="23"/>
  <c r="K439" i="23" s="1"/>
  <c r="G457" i="23"/>
  <c r="G440" i="23" s="1"/>
  <c r="P458" i="23"/>
  <c r="P441" i="23" s="1"/>
  <c r="K463" i="23"/>
  <c r="K446" i="23" s="1"/>
  <c r="T163" i="23"/>
  <c r="L63" i="23"/>
  <c r="M63" i="23" s="1"/>
  <c r="T639" i="23"/>
  <c r="U639" i="23" s="1"/>
  <c r="T277" i="23"/>
  <c r="R70" i="23"/>
  <c r="T329" i="23"/>
  <c r="U329" i="23" s="1"/>
  <c r="T63" i="23"/>
  <c r="H458" i="23"/>
  <c r="H441" i="23" s="1"/>
  <c r="H253" i="23"/>
  <c r="G255" i="23"/>
  <c r="J260" i="23"/>
  <c r="O463" i="23"/>
  <c r="O446" i="23" s="1"/>
  <c r="T480" i="23"/>
  <c r="T151" i="23"/>
  <c r="U292" i="23"/>
  <c r="W292" i="23" s="1"/>
  <c r="Q464" i="23"/>
  <c r="Q447" i="23" s="1"/>
  <c r="V406" i="23"/>
  <c r="U628" i="23"/>
  <c r="U525" i="23"/>
  <c r="U602" i="23"/>
  <c r="U572" i="23"/>
  <c r="U627" i="23"/>
  <c r="U633" i="23"/>
  <c r="V284" i="23"/>
  <c r="T376" i="23"/>
  <c r="U376" i="23" s="1"/>
  <c r="T399" i="23"/>
  <c r="H456" i="23"/>
  <c r="H439" i="23" s="1"/>
  <c r="S456" i="23"/>
  <c r="S439" i="23" s="1"/>
  <c r="V458" i="23"/>
  <c r="V441" i="23" s="1"/>
  <c r="N464" i="23"/>
  <c r="N447" i="23" s="1"/>
  <c r="R464" i="23"/>
  <c r="R447" i="23" s="1"/>
  <c r="P457" i="23"/>
  <c r="P440" i="23" s="1"/>
  <c r="G458" i="23"/>
  <c r="G441" i="23" s="1"/>
  <c r="G260" i="23"/>
  <c r="K260" i="23"/>
  <c r="L163" i="23"/>
  <c r="M163" i="23" s="1"/>
  <c r="L165" i="23"/>
  <c r="M165" i="23" s="1"/>
  <c r="U370" i="23"/>
  <c r="W370" i="23" s="1"/>
  <c r="E280" i="23"/>
  <c r="P260" i="23"/>
  <c r="G253" i="23"/>
  <c r="R265" i="23"/>
  <c r="L562" i="23"/>
  <c r="M562" i="23" s="1"/>
  <c r="T156" i="23"/>
  <c r="T168" i="23"/>
  <c r="P220" i="23"/>
  <c r="U203" i="23"/>
  <c r="T209" i="23"/>
  <c r="T173" i="23"/>
  <c r="U629" i="23"/>
  <c r="P70" i="23"/>
  <c r="L170" i="23"/>
  <c r="M170" i="23" s="1"/>
  <c r="N175" i="23"/>
  <c r="U149" i="23"/>
  <c r="U603" i="23"/>
  <c r="U327" i="23"/>
  <c r="U597" i="23"/>
  <c r="U414" i="23"/>
  <c r="U354" i="23"/>
  <c r="W354" i="23" s="1"/>
  <c r="P464" i="23"/>
  <c r="P447" i="23" s="1"/>
  <c r="U307" i="23"/>
  <c r="W307" i="23" s="1"/>
  <c r="U598" i="23"/>
  <c r="U429" i="23"/>
  <c r="W429" i="23" s="1"/>
  <c r="U599" i="23"/>
  <c r="T562" i="23"/>
  <c r="Q468" i="23"/>
  <c r="Q451" i="23" s="1"/>
  <c r="U419" i="23"/>
  <c r="U530" i="23"/>
  <c r="U522" i="23"/>
  <c r="U103" i="23"/>
  <c r="U104" i="23"/>
  <c r="U637" i="23"/>
  <c r="W637" i="23" s="1"/>
  <c r="U125" i="23"/>
  <c r="X125" i="23" s="1"/>
  <c r="U604" i="23"/>
  <c r="U105" i="23"/>
  <c r="W105" i="23" s="1"/>
  <c r="F458" i="23"/>
  <c r="F441" i="23" s="1"/>
  <c r="J175" i="23"/>
  <c r="L175" i="23" s="1"/>
  <c r="M175" i="23" s="1"/>
  <c r="H255" i="23"/>
  <c r="U634" i="23"/>
  <c r="L282" i="23"/>
  <c r="M282" i="23" s="1"/>
  <c r="I253" i="23"/>
  <c r="R260" i="23"/>
  <c r="J265" i="23"/>
  <c r="H260" i="23"/>
  <c r="O260" i="23"/>
  <c r="S260" i="23"/>
  <c r="T282" i="23"/>
  <c r="U308" i="23"/>
  <c r="W308" i="23" s="1"/>
  <c r="E263" i="23"/>
  <c r="I265" i="23"/>
  <c r="S265" i="23"/>
  <c r="U389" i="23"/>
  <c r="U302" i="23"/>
  <c r="W302" i="23" s="1"/>
  <c r="U323" i="23"/>
  <c r="W323" i="23" s="1"/>
  <c r="U364" i="23"/>
  <c r="U365" i="23"/>
  <c r="U366" i="23"/>
  <c r="W366" i="23" s="1"/>
  <c r="U319" i="23"/>
  <c r="W319" i="23" s="1"/>
  <c r="U322" i="23"/>
  <c r="T208" i="23"/>
  <c r="T210" i="23"/>
  <c r="U155" i="23"/>
  <c r="L168" i="23"/>
  <c r="M168" i="23" s="1"/>
  <c r="T169" i="23"/>
  <c r="T250" i="23"/>
  <c r="U250" i="23" s="1"/>
  <c r="L169" i="23"/>
  <c r="M169" i="23" s="1"/>
  <c r="L214" i="23"/>
  <c r="M214" i="23" s="1"/>
  <c r="U297" i="23"/>
  <c r="U138" i="23"/>
  <c r="W138" i="23" s="1"/>
  <c r="U500" i="23"/>
  <c r="U577" i="23"/>
  <c r="U73" i="23"/>
  <c r="U74" i="23"/>
  <c r="U75" i="23"/>
  <c r="U78" i="23"/>
  <c r="U124" i="23"/>
  <c r="L115" i="23"/>
  <c r="M115" i="23" s="1"/>
  <c r="P175" i="23"/>
  <c r="R175" i="23"/>
  <c r="T160" i="23"/>
  <c r="U160" i="23" s="1"/>
  <c r="U183" i="23"/>
  <c r="U184" i="23"/>
  <c r="W184" i="23" s="1"/>
  <c r="T190" i="23"/>
  <c r="U108" i="23"/>
  <c r="U133" i="23"/>
  <c r="U109" i="23"/>
  <c r="U128" i="23"/>
  <c r="U110" i="23"/>
  <c r="U248" i="23"/>
  <c r="U148" i="23"/>
  <c r="U150" i="23"/>
  <c r="U153" i="23"/>
  <c r="W153" i="23" s="1"/>
  <c r="U199" i="23"/>
  <c r="T235" i="23"/>
  <c r="U235" i="23" s="1"/>
  <c r="U228" i="23"/>
  <c r="W228" i="23" s="1"/>
  <c r="U244" i="23"/>
  <c r="U304" i="23"/>
  <c r="U312" i="23"/>
  <c r="U374" i="23"/>
  <c r="U317" i="23"/>
  <c r="U384" i="23"/>
  <c r="U107" i="23"/>
  <c r="T106" i="23"/>
  <c r="T111" i="23"/>
  <c r="O220" i="23"/>
  <c r="S220" i="23"/>
  <c r="L215" i="23"/>
  <c r="M215" i="23" s="1"/>
  <c r="L218" i="23"/>
  <c r="M218" i="23" s="1"/>
  <c r="V46" i="23"/>
  <c r="V29" i="23" s="1"/>
  <c r="I220" i="23"/>
  <c r="U178" i="23"/>
  <c r="U179" i="23"/>
  <c r="U180" i="23"/>
  <c r="L190" i="23"/>
  <c r="M190" i="23" s="1"/>
  <c r="U158" i="23"/>
  <c r="L208" i="23"/>
  <c r="M208" i="23" s="1"/>
  <c r="L209" i="23"/>
  <c r="M209" i="23" s="1"/>
  <c r="L210" i="23"/>
  <c r="M210" i="23" s="1"/>
  <c r="T214" i="23"/>
  <c r="M107" i="23"/>
  <c r="M106" i="23" s="1"/>
  <c r="L106" i="23"/>
  <c r="Q220" i="23"/>
  <c r="T218" i="23"/>
  <c r="G220" i="23"/>
  <c r="K220" i="23"/>
  <c r="U223" i="23"/>
  <c r="U224" i="23"/>
  <c r="U225" i="23"/>
  <c r="T213" i="23"/>
  <c r="L213" i="23"/>
  <c r="M213" i="23" s="1"/>
  <c r="V346" i="23"/>
  <c r="T339" i="23"/>
  <c r="N253" i="23"/>
  <c r="L339" i="23"/>
  <c r="M339" i="23" s="1"/>
  <c r="F260" i="23"/>
  <c r="V260" i="23"/>
  <c r="U607" i="23"/>
  <c r="N260" i="23"/>
  <c r="V261" i="23"/>
  <c r="L344" i="23"/>
  <c r="M344" i="23" s="1"/>
  <c r="V255" i="23"/>
  <c r="W599" i="23" l="1"/>
  <c r="X604" i="23"/>
  <c r="W602" i="23"/>
  <c r="X607" i="23"/>
  <c r="W603" i="23"/>
  <c r="W572" i="23"/>
  <c r="X577" i="23"/>
  <c r="W632" i="23"/>
  <c r="X637" i="23"/>
  <c r="W495" i="23"/>
  <c r="X500" i="23"/>
  <c r="W633" i="23"/>
  <c r="W629" i="23"/>
  <c r="X634" i="23"/>
  <c r="V17" i="23"/>
  <c r="Q17" i="23"/>
  <c r="N17" i="23"/>
  <c r="P17" i="23"/>
  <c r="K20" i="23"/>
  <c r="K17" i="23"/>
  <c r="J17" i="23"/>
  <c r="I20" i="23"/>
  <c r="G17" i="23"/>
  <c r="S17" i="23"/>
  <c r="H20" i="23"/>
  <c r="H17" i="23"/>
  <c r="G20" i="23"/>
  <c r="I17" i="23"/>
  <c r="O17" i="23"/>
  <c r="R17" i="23"/>
  <c r="F20" i="23"/>
  <c r="F17" i="23"/>
  <c r="W525" i="23"/>
  <c r="X530" i="23"/>
  <c r="W522" i="23"/>
  <c r="M557" i="23"/>
  <c r="U557" i="23"/>
  <c r="F470" i="23"/>
  <c r="F453" i="23" s="1"/>
  <c r="U164" i="23"/>
  <c r="P470" i="23"/>
  <c r="P453" i="23" s="1"/>
  <c r="N470" i="23"/>
  <c r="N453" i="23" s="1"/>
  <c r="R470" i="23"/>
  <c r="R453" i="23" s="1"/>
  <c r="H470" i="23"/>
  <c r="H453" i="23" s="1"/>
  <c r="U173" i="23"/>
  <c r="W173" i="23" s="1"/>
  <c r="X188" i="23"/>
  <c r="U399" i="23"/>
  <c r="W399" i="23" s="1"/>
  <c r="W557" i="23"/>
  <c r="U165" i="23"/>
  <c r="W165" i="23" s="1"/>
  <c r="U130" i="23"/>
  <c r="U562" i="23"/>
  <c r="X419" i="23"/>
  <c r="W414" i="23"/>
  <c r="J470" i="23"/>
  <c r="J453" i="23" s="1"/>
  <c r="O470" i="23"/>
  <c r="O453" i="23" s="1"/>
  <c r="V470" i="23"/>
  <c r="Q470" i="23"/>
  <c r="Q453" i="23" s="1"/>
  <c r="U485" i="23"/>
  <c r="U277" i="23"/>
  <c r="W277" i="23" s="1"/>
  <c r="L463" i="23"/>
  <c r="M463" i="23" s="1"/>
  <c r="U218" i="23"/>
  <c r="T463" i="23"/>
  <c r="T468" i="23"/>
  <c r="W183" i="23"/>
  <c r="U480" i="23"/>
  <c r="W480" i="23" s="1"/>
  <c r="X128" i="23"/>
  <c r="U169" i="23"/>
  <c r="W169" i="23" s="1"/>
  <c r="U63" i="23"/>
  <c r="W63" i="23" s="1"/>
  <c r="L260" i="23"/>
  <c r="M260" i="23" s="1"/>
  <c r="X297" i="23"/>
  <c r="U163" i="23"/>
  <c r="L468" i="23"/>
  <c r="M468" i="23" s="1"/>
  <c r="U168" i="23"/>
  <c r="U214" i="23"/>
  <c r="W214" i="23" s="1"/>
  <c r="X110" i="23"/>
  <c r="X203" i="23"/>
  <c r="U282" i="23"/>
  <c r="L265" i="23"/>
  <c r="M265" i="23" s="1"/>
  <c r="T220" i="23"/>
  <c r="T260" i="23"/>
  <c r="R53" i="23"/>
  <c r="R36" i="23" s="1"/>
  <c r="J53" i="23"/>
  <c r="J36" i="23" s="1"/>
  <c r="Q53" i="23"/>
  <c r="Q36" i="23" s="1"/>
  <c r="T175" i="23"/>
  <c r="U175" i="23" s="1"/>
  <c r="K53" i="23"/>
  <c r="K36" i="23" s="1"/>
  <c r="P53" i="23"/>
  <c r="P36" i="23" s="1"/>
  <c r="O53" i="23"/>
  <c r="O36" i="23" s="1"/>
  <c r="W322" i="23"/>
  <c r="X327" i="23"/>
  <c r="U190" i="23"/>
  <c r="X248" i="23"/>
  <c r="L220" i="23"/>
  <c r="M220" i="23" s="1"/>
  <c r="U209" i="23"/>
  <c r="X389" i="23"/>
  <c r="W384" i="23"/>
  <c r="X374" i="23"/>
  <c r="W109" i="23"/>
  <c r="W124" i="23"/>
  <c r="X83" i="23"/>
  <c r="W78" i="23"/>
  <c r="X80" i="23"/>
  <c r="W75" i="23"/>
  <c r="U210" i="23"/>
  <c r="W210" i="23" s="1"/>
  <c r="U208" i="23"/>
  <c r="X312" i="23"/>
  <c r="W304" i="23"/>
  <c r="W244" i="23"/>
  <c r="W199" i="23"/>
  <c r="X155" i="23"/>
  <c r="W150" i="23"/>
  <c r="X113" i="23"/>
  <c r="W108" i="23"/>
  <c r="X233" i="23"/>
  <c r="U115" i="23"/>
  <c r="W225" i="23"/>
  <c r="T29" i="23"/>
  <c r="L46" i="23"/>
  <c r="M46" i="23" s="1"/>
  <c r="T22" i="23"/>
  <c r="L51" i="23"/>
  <c r="M51" i="23" s="1"/>
  <c r="X158" i="23"/>
  <c r="W180" i="23"/>
  <c r="U106" i="23"/>
  <c r="U213" i="23"/>
  <c r="T46" i="23"/>
  <c r="L29" i="23"/>
  <c r="M29" i="23" s="1"/>
  <c r="T39" i="23"/>
  <c r="L34" i="23"/>
  <c r="M34" i="23" s="1"/>
  <c r="V267" i="23"/>
  <c r="U339" i="23"/>
  <c r="X562" i="23" l="1"/>
  <c r="V453" i="23"/>
  <c r="X485" i="23"/>
  <c r="X173" i="23"/>
  <c r="X282" i="23"/>
  <c r="U463" i="23"/>
  <c r="W463" i="23" s="1"/>
  <c r="W168" i="23"/>
  <c r="T17" i="23"/>
  <c r="U260" i="23"/>
  <c r="U468" i="23"/>
  <c r="L17" i="23"/>
  <c r="M17" i="23" s="1"/>
  <c r="U220" i="23"/>
  <c r="U46" i="23"/>
  <c r="W46" i="23" s="1"/>
  <c r="X218" i="23"/>
  <c r="W213" i="23"/>
  <c r="U29" i="23"/>
  <c r="W29" i="23" s="1"/>
  <c r="W339" i="23"/>
  <c r="X468" i="23" l="1"/>
  <c r="W260" i="23"/>
  <c r="U17" i="23"/>
  <c r="S61" i="18"/>
  <c r="V77" i="18"/>
  <c r="W17" i="23" l="1"/>
  <c r="S145" i="23"/>
  <c r="T145" i="23" s="1"/>
  <c r="T139" i="23"/>
  <c r="V84" i="18"/>
  <c r="E367" i="7"/>
  <c r="E76" i="7"/>
  <c r="E76" i="9"/>
  <c r="V227" i="18"/>
  <c r="F334" i="23" l="1"/>
  <c r="S85" i="23"/>
  <c r="S86" i="23" s="1"/>
  <c r="F272" i="23" l="1"/>
  <c r="F290" i="23"/>
  <c r="S532" i="23"/>
  <c r="S421" i="23"/>
  <c r="T532" i="23" l="1"/>
  <c r="T526" i="23"/>
  <c r="F255" i="23"/>
  <c r="S502" i="23"/>
  <c r="S487" i="23" s="1"/>
  <c r="F356" i="9"/>
  <c r="E489" i="15"/>
  <c r="E367" i="15"/>
  <c r="E91" i="15"/>
  <c r="S436" i="23" l="1"/>
  <c r="T436" i="23" s="1"/>
  <c r="S400" i="23"/>
  <c r="S406" i="23" s="1"/>
  <c r="T430" i="23"/>
  <c r="T496" i="23"/>
  <c r="E489" i="11"/>
  <c r="E76" i="11"/>
  <c r="T487" i="23" l="1"/>
  <c r="T502" i="23"/>
  <c r="T481" i="23"/>
  <c r="E181" i="19"/>
  <c r="H401" i="23" l="1"/>
  <c r="S68" i="7"/>
  <c r="R68" i="7"/>
  <c r="Q68" i="7"/>
  <c r="P68" i="7"/>
  <c r="O68" i="7"/>
  <c r="N68" i="7"/>
  <c r="K68" i="7"/>
  <c r="J68" i="7"/>
  <c r="I68" i="7"/>
  <c r="H68" i="7"/>
  <c r="G68" i="7"/>
  <c r="F68" i="7"/>
  <c r="E67" i="7"/>
  <c r="E65" i="7"/>
  <c r="S64" i="7"/>
  <c r="R64" i="7"/>
  <c r="Q64" i="7"/>
  <c r="P64" i="7"/>
  <c r="O64" i="7"/>
  <c r="N64" i="7"/>
  <c r="K64" i="7"/>
  <c r="J64" i="7"/>
  <c r="I64" i="7"/>
  <c r="H64" i="7"/>
  <c r="G64" i="7"/>
  <c r="S63" i="7"/>
  <c r="R63" i="7"/>
  <c r="Q63" i="7"/>
  <c r="Q70" i="7" s="1"/>
  <c r="P63" i="7"/>
  <c r="O63" i="7"/>
  <c r="N63" i="7"/>
  <c r="K63" i="7"/>
  <c r="J63" i="7"/>
  <c r="I63" i="7"/>
  <c r="H63" i="7"/>
  <c r="G63" i="7"/>
  <c r="F63" i="7"/>
  <c r="S61" i="7"/>
  <c r="R61" i="7"/>
  <c r="Q61" i="7"/>
  <c r="P61" i="7"/>
  <c r="O61" i="7"/>
  <c r="N61" i="7"/>
  <c r="K61" i="7"/>
  <c r="J61" i="7"/>
  <c r="I61" i="7"/>
  <c r="H61" i="7"/>
  <c r="G61" i="7"/>
  <c r="F60" i="7"/>
  <c r="F59" i="7" s="1"/>
  <c r="V58" i="7"/>
  <c r="V57" i="7"/>
  <c r="S57" i="7"/>
  <c r="R57" i="7"/>
  <c r="Q57" i="7"/>
  <c r="P57" i="7"/>
  <c r="O57" i="7"/>
  <c r="N57" i="7"/>
  <c r="K57" i="7"/>
  <c r="J57" i="7"/>
  <c r="I57" i="7"/>
  <c r="V56" i="7"/>
  <c r="S56" i="7"/>
  <c r="R56" i="7"/>
  <c r="Q56" i="7"/>
  <c r="P56" i="7"/>
  <c r="O56" i="7"/>
  <c r="N56" i="7"/>
  <c r="K56" i="7"/>
  <c r="J56" i="7"/>
  <c r="I56" i="7"/>
  <c r="H56" i="7"/>
  <c r="G56" i="7"/>
  <c r="F56" i="7"/>
  <c r="S44" i="7"/>
  <c r="R44" i="7"/>
  <c r="Q44" i="7"/>
  <c r="P44" i="7"/>
  <c r="O44" i="7"/>
  <c r="N44" i="7"/>
  <c r="K44" i="7"/>
  <c r="J44" i="7"/>
  <c r="I44" i="7"/>
  <c r="H44" i="7"/>
  <c r="G44" i="7"/>
  <c r="F44" i="7"/>
  <c r="E136" i="7"/>
  <c r="E91" i="7"/>
  <c r="O70" i="7" l="1"/>
  <c r="G70" i="7"/>
  <c r="I70" i="7"/>
  <c r="K70" i="7"/>
  <c r="S70" i="7"/>
  <c r="F70" i="7"/>
  <c r="H70" i="7"/>
  <c r="J70" i="7"/>
  <c r="R70" i="7"/>
  <c r="P70" i="7"/>
  <c r="N70" i="7"/>
  <c r="T44" i="7"/>
  <c r="L44" i="7"/>
  <c r="M44" i="7" s="1"/>
  <c r="L56" i="7"/>
  <c r="M56" i="7" s="1"/>
  <c r="T56" i="7"/>
  <c r="L63" i="7"/>
  <c r="M63" i="7" s="1"/>
  <c r="T63" i="7"/>
  <c r="E66" i="7"/>
  <c r="F62" i="7"/>
  <c r="T57" i="7"/>
  <c r="L61" i="7"/>
  <c r="M61" i="7" s="1"/>
  <c r="T61" i="7"/>
  <c r="L68" i="7"/>
  <c r="M68" i="7" s="1"/>
  <c r="T68" i="7"/>
  <c r="T58" i="7"/>
  <c r="L64" i="7"/>
  <c r="M64" i="7" s="1"/>
  <c r="T64" i="7"/>
  <c r="U56" i="7" l="1"/>
  <c r="U44" i="7"/>
  <c r="L70" i="7"/>
  <c r="M70" i="7" s="1"/>
  <c r="U68" i="7"/>
  <c r="U61" i="7"/>
  <c r="U63" i="7"/>
  <c r="W63" i="7" s="1"/>
  <c r="T70" i="7"/>
  <c r="U64" i="7"/>
  <c r="U70" i="7" l="1"/>
  <c r="E489" i="22"/>
  <c r="E429" i="22"/>
  <c r="H116" i="23" l="1"/>
  <c r="E151" i="9"/>
  <c r="E136" i="9"/>
  <c r="H161" i="23" l="1"/>
  <c r="H162" i="23" s="1"/>
  <c r="I162" i="23" s="1"/>
  <c r="J162" i="23" s="1"/>
  <c r="K162" i="23" s="1"/>
  <c r="N162" i="23" s="1"/>
  <c r="O162" i="23" s="1"/>
  <c r="P162" i="23" s="1"/>
  <c r="Q162" i="23" s="1"/>
  <c r="R162" i="23" s="1"/>
  <c r="S162" i="23" s="1"/>
  <c r="L157" i="23"/>
  <c r="H482" i="23"/>
  <c r="H465" i="23" s="1"/>
  <c r="H448" i="23" s="1"/>
  <c r="L497" i="23"/>
  <c r="M497" i="23" s="1"/>
  <c r="E76" i="18"/>
  <c r="L482" i="23" l="1"/>
  <c r="M482" i="23" s="1"/>
  <c r="M157" i="23"/>
  <c r="M156" i="23" s="1"/>
  <c r="U157" i="23"/>
  <c r="L156" i="23"/>
  <c r="E76" i="16"/>
  <c r="U156" i="23" l="1"/>
  <c r="E647" i="13" l="1"/>
  <c r="E504" i="13"/>
  <c r="E489" i="13"/>
  <c r="E367" i="13"/>
  <c r="L356" i="23" l="1"/>
  <c r="M356" i="23" s="1"/>
  <c r="G279" i="23"/>
  <c r="E136" i="13"/>
  <c r="E91" i="13"/>
  <c r="E76" i="13"/>
  <c r="E647" i="8" l="1"/>
  <c r="E136" i="8"/>
  <c r="E91" i="8"/>
  <c r="E76" i="8"/>
  <c r="H279" i="23" l="1"/>
  <c r="H67" i="7" l="1"/>
  <c r="O361" i="23"/>
  <c r="K532" i="23"/>
  <c r="K487" i="23" s="1"/>
  <c r="I532" i="23"/>
  <c r="I502" i="23"/>
  <c r="G532" i="23"/>
  <c r="G487" i="23" s="1"/>
  <c r="Q421" i="23"/>
  <c r="N361" i="23"/>
  <c r="G145" i="23"/>
  <c r="H421" i="23"/>
  <c r="K299" i="23"/>
  <c r="J299" i="23"/>
  <c r="G436" i="23"/>
  <c r="F421" i="23"/>
  <c r="F436" i="23"/>
  <c r="H361" i="23"/>
  <c r="G355" i="13"/>
  <c r="F361" i="23"/>
  <c r="H64" i="23"/>
  <c r="S361" i="23"/>
  <c r="S299" i="23"/>
  <c r="R361" i="23"/>
  <c r="R299" i="23"/>
  <c r="Q299" i="23"/>
  <c r="Q361" i="23"/>
  <c r="G361" i="23"/>
  <c r="G299" i="23"/>
  <c r="I64" i="23"/>
  <c r="S579" i="23"/>
  <c r="G579" i="23"/>
  <c r="I487" i="23" l="1"/>
  <c r="I70" i="23"/>
  <c r="I47" i="23"/>
  <c r="I30" i="23" s="1"/>
  <c r="H70" i="23"/>
  <c r="H47" i="23"/>
  <c r="H30" i="23" s="1"/>
  <c r="G100" i="23"/>
  <c r="H299" i="23"/>
  <c r="F64" i="23"/>
  <c r="F47" i="23" s="1"/>
  <c r="F30" i="23" s="1"/>
  <c r="F100" i="23"/>
  <c r="S100" i="23"/>
  <c r="T100" i="23" s="1"/>
  <c r="T94" i="23"/>
  <c r="S64" i="23"/>
  <c r="T558" i="23"/>
  <c r="T573" i="23"/>
  <c r="G278" i="23"/>
  <c r="G284" i="23" s="1"/>
  <c r="L79" i="23"/>
  <c r="M79" i="23" s="1"/>
  <c r="G85" i="23"/>
  <c r="H340" i="23"/>
  <c r="H346" i="23" s="1"/>
  <c r="F400" i="23"/>
  <c r="F406" i="23" s="1"/>
  <c r="K278" i="23"/>
  <c r="K284" i="23" s="1"/>
  <c r="H400" i="23"/>
  <c r="H406" i="23" s="1"/>
  <c r="L145" i="23"/>
  <c r="L139" i="23"/>
  <c r="T355" i="23"/>
  <c r="Q400" i="23"/>
  <c r="T415" i="23"/>
  <c r="I464" i="23"/>
  <c r="I447" i="23" s="1"/>
  <c r="L496" i="23"/>
  <c r="K464" i="23"/>
  <c r="K447" i="23" s="1"/>
  <c r="L558" i="23"/>
  <c r="L573" i="23"/>
  <c r="M573" i="23" s="1"/>
  <c r="G340" i="23"/>
  <c r="G346" i="23" s="1"/>
  <c r="Q278" i="23"/>
  <c r="Q284" i="23" s="1"/>
  <c r="T293" i="23"/>
  <c r="R278" i="23"/>
  <c r="R284" i="23" s="1"/>
  <c r="S278" i="23"/>
  <c r="S284" i="23" s="1"/>
  <c r="H85" i="23"/>
  <c r="L355" i="23"/>
  <c r="M355" i="23" s="1"/>
  <c r="F340" i="23"/>
  <c r="F346" i="23" s="1"/>
  <c r="L430" i="23"/>
  <c r="L436" i="23"/>
  <c r="I299" i="23"/>
  <c r="J278" i="23"/>
  <c r="J284" i="23" s="1"/>
  <c r="N85" i="23"/>
  <c r="N64" i="23"/>
  <c r="T79" i="23"/>
  <c r="L526" i="23"/>
  <c r="G100" i="8"/>
  <c r="H71" i="7"/>
  <c r="H66" i="7"/>
  <c r="G64" i="8"/>
  <c r="H53" i="23" l="1"/>
  <c r="H36" i="23" s="1"/>
  <c r="I53" i="23"/>
  <c r="I36" i="23" s="1"/>
  <c r="N70" i="23"/>
  <c r="N47" i="23"/>
  <c r="N30" i="23" s="1"/>
  <c r="S70" i="23"/>
  <c r="S47" i="23"/>
  <c r="S30" i="23" s="1"/>
  <c r="M558" i="23"/>
  <c r="U558" i="23"/>
  <c r="I470" i="23"/>
  <c r="I453" i="23" s="1"/>
  <c r="K470" i="23"/>
  <c r="K453" i="23" s="1"/>
  <c r="F278" i="23"/>
  <c r="F284" i="23" s="1"/>
  <c r="F299" i="23"/>
  <c r="L415" i="23"/>
  <c r="M415" i="23" s="1"/>
  <c r="G421" i="23"/>
  <c r="T400" i="23"/>
  <c r="Q406" i="23"/>
  <c r="T406" i="23" s="1"/>
  <c r="G64" i="23"/>
  <c r="H278" i="23"/>
  <c r="F70" i="23"/>
  <c r="G400" i="23"/>
  <c r="G406" i="23" s="1"/>
  <c r="L94" i="23"/>
  <c r="M94" i="23" s="1"/>
  <c r="F53" i="23"/>
  <c r="F36" i="23" s="1"/>
  <c r="L100" i="23"/>
  <c r="M100" i="23" s="1"/>
  <c r="U79" i="23"/>
  <c r="W79" i="23" s="1"/>
  <c r="M436" i="23"/>
  <c r="U436" i="23"/>
  <c r="L481" i="23"/>
  <c r="G464" i="23"/>
  <c r="G447" i="23" s="1"/>
  <c r="L532" i="23"/>
  <c r="N53" i="23"/>
  <c r="N36" i="23" s="1"/>
  <c r="T64" i="23"/>
  <c r="I278" i="23"/>
  <c r="M430" i="23"/>
  <c r="U430" i="23"/>
  <c r="L293" i="23"/>
  <c r="M293" i="23" s="1"/>
  <c r="M496" i="23"/>
  <c r="U496" i="23"/>
  <c r="W496" i="23" s="1"/>
  <c r="T421" i="23"/>
  <c r="T361" i="23"/>
  <c r="M139" i="23"/>
  <c r="U139" i="23"/>
  <c r="L85" i="23"/>
  <c r="M85" i="23" s="1"/>
  <c r="G261" i="23"/>
  <c r="G267" i="23" s="1"/>
  <c r="U573" i="23"/>
  <c r="M526" i="23"/>
  <c r="U526" i="23"/>
  <c r="T85" i="23"/>
  <c r="J261" i="23"/>
  <c r="L346" i="23"/>
  <c r="M346" i="23" s="1"/>
  <c r="L340" i="23"/>
  <c r="M340" i="23" s="1"/>
  <c r="T284" i="23"/>
  <c r="T299" i="23"/>
  <c r="T278" i="23"/>
  <c r="L361" i="23"/>
  <c r="M361" i="23" s="1"/>
  <c r="G564" i="23"/>
  <c r="L564" i="23" s="1"/>
  <c r="M564" i="23" s="1"/>
  <c r="L579" i="23"/>
  <c r="M579" i="23" s="1"/>
  <c r="L502" i="23"/>
  <c r="U355" i="23"/>
  <c r="W355" i="23" s="1"/>
  <c r="M145" i="23"/>
  <c r="U145" i="23"/>
  <c r="K261" i="23"/>
  <c r="S564" i="23"/>
  <c r="T564" i="23" s="1"/>
  <c r="T579" i="23"/>
  <c r="S464" i="23"/>
  <c r="S447" i="23" s="1"/>
  <c r="S53" i="23" l="1"/>
  <c r="S36" i="23" s="1"/>
  <c r="T36" i="23" s="1"/>
  <c r="K267" i="23"/>
  <c r="K18" i="23"/>
  <c r="K3" i="23" s="1"/>
  <c r="J267" i="23"/>
  <c r="J18" i="23"/>
  <c r="J3" i="23" s="1"/>
  <c r="G70" i="23"/>
  <c r="G47" i="23"/>
  <c r="G30" i="23" s="1"/>
  <c r="G18" i="23" s="1"/>
  <c r="G3" i="23" s="1"/>
  <c r="S470" i="23"/>
  <c r="S453" i="23" s="1"/>
  <c r="T453" i="23" s="1"/>
  <c r="G470" i="23"/>
  <c r="G453" i="23" s="1"/>
  <c r="F261" i="23"/>
  <c r="U415" i="23"/>
  <c r="W415" i="23" s="1"/>
  <c r="H261" i="23"/>
  <c r="H284" i="23"/>
  <c r="L278" i="23"/>
  <c r="M278" i="23" s="1"/>
  <c r="I284" i="23"/>
  <c r="L284" i="23" s="1"/>
  <c r="L421" i="23"/>
  <c r="M421" i="23" s="1"/>
  <c r="L299" i="23"/>
  <c r="M299" i="23" s="1"/>
  <c r="L64" i="23"/>
  <c r="M64" i="23" s="1"/>
  <c r="L406" i="23"/>
  <c r="M406" i="23" s="1"/>
  <c r="L400" i="23"/>
  <c r="M400" i="23" s="1"/>
  <c r="U94" i="23"/>
  <c r="U579" i="23"/>
  <c r="U564" i="23"/>
  <c r="U100" i="23"/>
  <c r="U293" i="23"/>
  <c r="W293" i="23" s="1"/>
  <c r="U85" i="23"/>
  <c r="M502" i="23"/>
  <c r="U502" i="23"/>
  <c r="W526" i="23"/>
  <c r="L70" i="23"/>
  <c r="M70" i="23" s="1"/>
  <c r="W430" i="23"/>
  <c r="T30" i="23"/>
  <c r="L487" i="23"/>
  <c r="L464" i="23"/>
  <c r="M464" i="23" s="1"/>
  <c r="W558" i="23"/>
  <c r="T464" i="23"/>
  <c r="W573" i="23"/>
  <c r="U361" i="23"/>
  <c r="I261" i="23"/>
  <c r="T70" i="23"/>
  <c r="T47" i="23"/>
  <c r="M532" i="23"/>
  <c r="U532" i="23"/>
  <c r="M481" i="23"/>
  <c r="U481" i="23"/>
  <c r="E91" i="9"/>
  <c r="L470" i="23" l="1"/>
  <c r="M470" i="23" s="1"/>
  <c r="T53" i="23"/>
  <c r="G53" i="23"/>
  <c r="L53" i="23" s="1"/>
  <c r="M53" i="23" s="1"/>
  <c r="I267" i="23"/>
  <c r="I18" i="23"/>
  <c r="I3" i="23" s="1"/>
  <c r="H267" i="23"/>
  <c r="H18" i="23"/>
  <c r="H3" i="23" s="1"/>
  <c r="F267" i="23"/>
  <c r="L267" i="23" s="1"/>
  <c r="M267" i="23" s="1"/>
  <c r="F18" i="23"/>
  <c r="F3" i="23" s="1"/>
  <c r="W481" i="23"/>
  <c r="U278" i="23"/>
  <c r="W278" i="23" s="1"/>
  <c r="U421" i="23"/>
  <c r="U299" i="23"/>
  <c r="L47" i="23"/>
  <c r="M47" i="23" s="1"/>
  <c r="U64" i="23"/>
  <c r="L30" i="23"/>
  <c r="M30" i="23" s="1"/>
  <c r="U406" i="23"/>
  <c r="W406" i="23" s="1"/>
  <c r="U400" i="23"/>
  <c r="W400" i="23" s="1"/>
  <c r="U464" i="23"/>
  <c r="U70" i="23"/>
  <c r="M284" i="23"/>
  <c r="U284" i="23"/>
  <c r="W284" i="23" s="1"/>
  <c r="M487" i="23"/>
  <c r="U487" i="23"/>
  <c r="L261" i="23"/>
  <c r="M261" i="23" s="1"/>
  <c r="T470" i="23"/>
  <c r="S68" i="11"/>
  <c r="R68" i="11"/>
  <c r="Q68" i="11"/>
  <c r="P68" i="11"/>
  <c r="O68" i="11"/>
  <c r="N68" i="11"/>
  <c r="K68" i="11"/>
  <c r="J68" i="11"/>
  <c r="I68" i="11"/>
  <c r="H68" i="11"/>
  <c r="G68" i="11"/>
  <c r="F68" i="11"/>
  <c r="E67" i="11"/>
  <c r="E65" i="11"/>
  <c r="V64" i="11"/>
  <c r="S64" i="11"/>
  <c r="R64" i="11"/>
  <c r="Q64" i="11"/>
  <c r="P64" i="11"/>
  <c r="O64" i="11"/>
  <c r="N64" i="11"/>
  <c r="K64" i="11"/>
  <c r="K70" i="11" s="1"/>
  <c r="J64" i="11"/>
  <c r="I64" i="11"/>
  <c r="I70" i="11" s="1"/>
  <c r="H64" i="11"/>
  <c r="G64" i="11"/>
  <c r="G70" i="11" s="1"/>
  <c r="F64" i="11"/>
  <c r="V63" i="11"/>
  <c r="S63" i="11"/>
  <c r="R63" i="11"/>
  <c r="Q63" i="11"/>
  <c r="P63" i="11"/>
  <c r="O63" i="11"/>
  <c r="N63" i="11"/>
  <c r="K63" i="11"/>
  <c r="J63" i="11"/>
  <c r="I63" i="11"/>
  <c r="H63" i="11"/>
  <c r="G63" i="11"/>
  <c r="F63" i="11"/>
  <c r="S61" i="11"/>
  <c r="R61" i="11"/>
  <c r="Q61" i="11"/>
  <c r="O61" i="11"/>
  <c r="N61" i="11"/>
  <c r="K61" i="11"/>
  <c r="J61" i="11"/>
  <c r="I61" i="11"/>
  <c r="H61" i="11"/>
  <c r="G61" i="11"/>
  <c r="F61" i="11"/>
  <c r="V58" i="11"/>
  <c r="V57" i="11"/>
  <c r="S57" i="11"/>
  <c r="R57" i="11"/>
  <c r="Q57" i="11"/>
  <c r="P57" i="11"/>
  <c r="O57" i="11"/>
  <c r="N57" i="11"/>
  <c r="K57" i="11"/>
  <c r="J57" i="11"/>
  <c r="I57" i="11"/>
  <c r="V56" i="11"/>
  <c r="S56" i="11"/>
  <c r="R56" i="11"/>
  <c r="Q56" i="11"/>
  <c r="P56" i="11"/>
  <c r="O56" i="11"/>
  <c r="N56" i="11"/>
  <c r="K56" i="11"/>
  <c r="J56" i="11"/>
  <c r="I56" i="11"/>
  <c r="H56" i="11"/>
  <c r="G56" i="11"/>
  <c r="S44" i="11"/>
  <c r="R44" i="11"/>
  <c r="Q44" i="11"/>
  <c r="O44" i="11"/>
  <c r="K44" i="11"/>
  <c r="J44" i="11"/>
  <c r="I44" i="11"/>
  <c r="H44" i="11"/>
  <c r="G44" i="11"/>
  <c r="F44" i="11"/>
  <c r="U470" i="23" l="1"/>
  <c r="W470" i="23" s="1"/>
  <c r="G36" i="23"/>
  <c r="L36" i="23" s="1"/>
  <c r="M36" i="23" s="1"/>
  <c r="U30" i="23"/>
  <c r="U53" i="23"/>
  <c r="W464" i="23"/>
  <c r="U47" i="23"/>
  <c r="E66" i="11"/>
  <c r="L61" i="11"/>
  <c r="M61" i="11" s="1"/>
  <c r="L18" i="23"/>
  <c r="M18" i="23" s="1"/>
  <c r="O70" i="11"/>
  <c r="T57" i="11"/>
  <c r="Q70" i="11"/>
  <c r="S70" i="11"/>
  <c r="T68" i="11"/>
  <c r="L65" i="11"/>
  <c r="M65" i="11" s="1"/>
  <c r="N70" i="11"/>
  <c r="P70" i="11"/>
  <c r="R70" i="11"/>
  <c r="L44" i="11"/>
  <c r="M44" i="11" s="1"/>
  <c r="T56" i="11"/>
  <c r="T58" i="11"/>
  <c r="L63" i="11"/>
  <c r="M63" i="11" s="1"/>
  <c r="T64" i="11"/>
  <c r="L68" i="11"/>
  <c r="M68" i="11" s="1"/>
  <c r="F70" i="11"/>
  <c r="H70" i="11"/>
  <c r="J70" i="11"/>
  <c r="V70" i="11"/>
  <c r="T63" i="11"/>
  <c r="L64" i="11"/>
  <c r="M64" i="11" s="1"/>
  <c r="U36" i="23" l="1"/>
  <c r="U63" i="11"/>
  <c r="W63" i="11" s="1"/>
  <c r="U64" i="11"/>
  <c r="T70" i="11"/>
  <c r="L70" i="11"/>
  <c r="M70" i="11" s="1"/>
  <c r="U68" i="11"/>
  <c r="W64" i="11" l="1"/>
  <c r="X68" i="11"/>
  <c r="U70" i="11"/>
  <c r="W70" i="11" s="1"/>
  <c r="S68" i="22" l="1"/>
  <c r="R68" i="22"/>
  <c r="Q68" i="22"/>
  <c r="P68" i="22"/>
  <c r="O68" i="22"/>
  <c r="N68" i="22"/>
  <c r="K68" i="22"/>
  <c r="J68" i="22"/>
  <c r="I68" i="22"/>
  <c r="H68" i="22"/>
  <c r="G68" i="22"/>
  <c r="F68" i="22"/>
  <c r="E67" i="22"/>
  <c r="E65" i="22"/>
  <c r="V64" i="22"/>
  <c r="S64" i="22"/>
  <c r="R64" i="22"/>
  <c r="Q64" i="22"/>
  <c r="P64" i="22"/>
  <c r="O64" i="22"/>
  <c r="N64" i="22"/>
  <c r="K64" i="22"/>
  <c r="K70" i="22" s="1"/>
  <c r="J64" i="22"/>
  <c r="J70" i="22" s="1"/>
  <c r="I64" i="22"/>
  <c r="I70" i="22" s="1"/>
  <c r="H64" i="22"/>
  <c r="H70" i="22" s="1"/>
  <c r="G64" i="22"/>
  <c r="G70" i="22" s="1"/>
  <c r="F64" i="22"/>
  <c r="V63" i="22"/>
  <c r="S63" i="22"/>
  <c r="R63" i="22"/>
  <c r="Q63" i="22"/>
  <c r="P63" i="22"/>
  <c r="O63" i="22"/>
  <c r="N63" i="22"/>
  <c r="K63" i="22"/>
  <c r="J63" i="22"/>
  <c r="I63" i="22"/>
  <c r="H63" i="22"/>
  <c r="G63" i="22"/>
  <c r="F63" i="22"/>
  <c r="V58" i="22"/>
  <c r="V57" i="22"/>
  <c r="R57" i="22"/>
  <c r="Q57" i="22"/>
  <c r="P57" i="22"/>
  <c r="O57" i="22"/>
  <c r="N57" i="22"/>
  <c r="K57" i="22"/>
  <c r="J57" i="22"/>
  <c r="I57" i="22"/>
  <c r="V56" i="22"/>
  <c r="S56" i="22"/>
  <c r="R56" i="22"/>
  <c r="Q56" i="22"/>
  <c r="P56" i="22"/>
  <c r="O56" i="22"/>
  <c r="N56" i="22"/>
  <c r="K56" i="22"/>
  <c r="J56" i="22"/>
  <c r="I56" i="22"/>
  <c r="H56" i="22"/>
  <c r="G56" i="22"/>
  <c r="F56" i="22"/>
  <c r="S493" i="22"/>
  <c r="S421" i="22"/>
  <c r="R421" i="22"/>
  <c r="Q421" i="22"/>
  <c r="P421" i="22"/>
  <c r="O421" i="22"/>
  <c r="N421" i="22"/>
  <c r="K421" i="22"/>
  <c r="J421" i="22"/>
  <c r="I421" i="22"/>
  <c r="H421" i="22"/>
  <c r="G421" i="22"/>
  <c r="F421" i="22"/>
  <c r="E420" i="22"/>
  <c r="R418" i="22"/>
  <c r="Q418" i="22"/>
  <c r="P418" i="22"/>
  <c r="O418" i="22"/>
  <c r="N418" i="22"/>
  <c r="K418" i="22"/>
  <c r="J418" i="22"/>
  <c r="I418" i="22"/>
  <c r="H418" i="22"/>
  <c r="G418" i="22"/>
  <c r="F418" i="22"/>
  <c r="E418" i="22"/>
  <c r="E215" i="23" s="1"/>
  <c r="V417" i="22"/>
  <c r="S417" i="22"/>
  <c r="R417" i="22"/>
  <c r="Q417" i="22"/>
  <c r="P417" i="22"/>
  <c r="O417" i="22"/>
  <c r="N417" i="22"/>
  <c r="K417" i="22"/>
  <c r="K423" i="22" s="1"/>
  <c r="J417" i="22"/>
  <c r="J423" i="22" s="1"/>
  <c r="I417" i="22"/>
  <c r="I423" i="22" s="1"/>
  <c r="H417" i="22"/>
  <c r="H423" i="22" s="1"/>
  <c r="G417" i="22"/>
  <c r="G423" i="22" s="1"/>
  <c r="F417" i="22"/>
  <c r="F423" i="22" s="1"/>
  <c r="V416" i="22"/>
  <c r="S416" i="22"/>
  <c r="R416" i="22"/>
  <c r="Q416" i="22"/>
  <c r="P416" i="22"/>
  <c r="O416" i="22"/>
  <c r="N416" i="22"/>
  <c r="K416" i="22"/>
  <c r="J416" i="22"/>
  <c r="I416" i="22"/>
  <c r="H416" i="22"/>
  <c r="G416" i="22"/>
  <c r="F416" i="22"/>
  <c r="V411" i="22"/>
  <c r="S411" i="22"/>
  <c r="R411" i="22"/>
  <c r="Q411" i="22"/>
  <c r="P411" i="22"/>
  <c r="O411" i="22"/>
  <c r="K411" i="22"/>
  <c r="J411" i="22"/>
  <c r="I411" i="22"/>
  <c r="H411" i="22"/>
  <c r="G411" i="22"/>
  <c r="F411" i="22"/>
  <c r="V410" i="22"/>
  <c r="S410" i="22"/>
  <c r="R410" i="22"/>
  <c r="Q410" i="22"/>
  <c r="P410" i="22"/>
  <c r="O410" i="22"/>
  <c r="K410" i="22"/>
  <c r="J410" i="22"/>
  <c r="I410" i="22"/>
  <c r="H410" i="22"/>
  <c r="G410" i="22"/>
  <c r="F410" i="22"/>
  <c r="V409" i="22"/>
  <c r="S409" i="22"/>
  <c r="R409" i="22"/>
  <c r="Q409" i="22"/>
  <c r="P409" i="22"/>
  <c r="O409" i="22"/>
  <c r="N409" i="22"/>
  <c r="K409" i="22"/>
  <c r="J409" i="22"/>
  <c r="I409" i="22"/>
  <c r="H409" i="22"/>
  <c r="G409" i="22"/>
  <c r="F409" i="22"/>
  <c r="L427" i="22"/>
  <c r="M427" i="22" s="1"/>
  <c r="K398" i="22"/>
  <c r="J398" i="22"/>
  <c r="I398" i="22"/>
  <c r="H398" i="22"/>
  <c r="G398" i="22"/>
  <c r="F398" i="22"/>
  <c r="K403" i="22"/>
  <c r="J403" i="22"/>
  <c r="I403" i="22"/>
  <c r="H403" i="22"/>
  <c r="G403" i="22"/>
  <c r="F403" i="22"/>
  <c r="L394" i="22"/>
  <c r="M394" i="22" s="1"/>
  <c r="G271" i="23"/>
  <c r="G254" i="23" s="1"/>
  <c r="S160" i="22"/>
  <c r="S161" i="22" s="1"/>
  <c r="R160" i="22"/>
  <c r="R161" i="22" s="1"/>
  <c r="Q160" i="22"/>
  <c r="Q161" i="22" s="1"/>
  <c r="P160" i="22"/>
  <c r="P161" i="22" s="1"/>
  <c r="O160" i="22"/>
  <c r="O161" i="22" s="1"/>
  <c r="N160" i="22"/>
  <c r="N161" i="22" s="1"/>
  <c r="K160" i="22"/>
  <c r="K161" i="22" s="1"/>
  <c r="J160" i="22"/>
  <c r="J161" i="22" s="1"/>
  <c r="I160" i="22"/>
  <c r="I161" i="22" s="1"/>
  <c r="H160" i="22"/>
  <c r="H161" i="22" s="1"/>
  <c r="G160" i="22"/>
  <c r="G161" i="22" s="1"/>
  <c r="F160" i="22"/>
  <c r="F161" i="22" s="1"/>
  <c r="F162" i="22" s="1"/>
  <c r="V159" i="22"/>
  <c r="S159" i="22"/>
  <c r="R159" i="22"/>
  <c r="Q159" i="22"/>
  <c r="P159" i="22"/>
  <c r="O159" i="22"/>
  <c r="N159" i="22"/>
  <c r="K159" i="22"/>
  <c r="J159" i="22"/>
  <c r="I159" i="22"/>
  <c r="H159" i="22"/>
  <c r="G159" i="22"/>
  <c r="F159" i="22"/>
  <c r="V158" i="22"/>
  <c r="T158" i="22"/>
  <c r="L158" i="22"/>
  <c r="M158" i="22" s="1"/>
  <c r="T157" i="22"/>
  <c r="L157" i="22"/>
  <c r="M157" i="22" s="1"/>
  <c r="T155" i="22"/>
  <c r="L155" i="22"/>
  <c r="T154" i="22"/>
  <c r="L154" i="22"/>
  <c r="M154" i="22" s="1"/>
  <c r="T153" i="22"/>
  <c r="L153" i="22"/>
  <c r="M153" i="22" s="1"/>
  <c r="V152" i="22"/>
  <c r="V157" i="22" s="1"/>
  <c r="T152" i="22"/>
  <c r="L152" i="22"/>
  <c r="M152" i="22" s="1"/>
  <c r="L150" i="22"/>
  <c r="T150" i="22"/>
  <c r="L140" i="22"/>
  <c r="M140" i="22" s="1"/>
  <c r="K60" i="22"/>
  <c r="J60" i="22"/>
  <c r="P60" i="22"/>
  <c r="O60" i="22"/>
  <c r="S57" i="22"/>
  <c r="H57" i="22"/>
  <c r="G57" i="22"/>
  <c r="F57" i="22"/>
  <c r="V574" i="19"/>
  <c r="S508" i="19"/>
  <c r="L492" i="19"/>
  <c r="M492" i="19" s="1"/>
  <c r="S359" i="19"/>
  <c r="R359" i="19"/>
  <c r="Q359" i="19"/>
  <c r="P359" i="19"/>
  <c r="O359" i="19"/>
  <c r="N359" i="19"/>
  <c r="K359" i="19"/>
  <c r="J359" i="19"/>
  <c r="I359" i="19"/>
  <c r="H359" i="19"/>
  <c r="G359" i="19"/>
  <c r="F359" i="19"/>
  <c r="E358" i="19"/>
  <c r="R356" i="19"/>
  <c r="Q356" i="19"/>
  <c r="P356" i="19"/>
  <c r="O356" i="19"/>
  <c r="N356" i="19"/>
  <c r="K356" i="19"/>
  <c r="I356" i="19"/>
  <c r="H356" i="19"/>
  <c r="G356" i="19"/>
  <c r="F356" i="19"/>
  <c r="E356" i="19"/>
  <c r="V355" i="19"/>
  <c r="S355" i="19"/>
  <c r="R355" i="19"/>
  <c r="Q355" i="19"/>
  <c r="P355" i="19"/>
  <c r="O355" i="19"/>
  <c r="N355" i="19"/>
  <c r="K355" i="19"/>
  <c r="K361" i="19" s="1"/>
  <c r="J355" i="19"/>
  <c r="J361" i="19" s="1"/>
  <c r="I355" i="19"/>
  <c r="I361" i="19" s="1"/>
  <c r="H355" i="19"/>
  <c r="H361" i="19" s="1"/>
  <c r="G355" i="19"/>
  <c r="G361" i="19" s="1"/>
  <c r="F355" i="19"/>
  <c r="F361" i="19" s="1"/>
  <c r="V354" i="19"/>
  <c r="S354" i="19"/>
  <c r="R354" i="19"/>
  <c r="Q354" i="19"/>
  <c r="P354" i="19"/>
  <c r="O354" i="19"/>
  <c r="N354" i="19"/>
  <c r="K354" i="19"/>
  <c r="J354" i="19"/>
  <c r="I354" i="19"/>
  <c r="H354" i="19"/>
  <c r="G354" i="19"/>
  <c r="F354" i="19"/>
  <c r="V349" i="19"/>
  <c r="S349" i="19"/>
  <c r="R349" i="19"/>
  <c r="Q349" i="19"/>
  <c r="P349" i="19"/>
  <c r="O349" i="19"/>
  <c r="N349" i="19"/>
  <c r="K349" i="19"/>
  <c r="I349" i="19"/>
  <c r="H349" i="19"/>
  <c r="G349" i="19"/>
  <c r="F349" i="19"/>
  <c r="V348" i="19"/>
  <c r="S348" i="19"/>
  <c r="R348" i="19"/>
  <c r="Q348" i="19"/>
  <c r="P348" i="19"/>
  <c r="O348" i="19"/>
  <c r="N348" i="19"/>
  <c r="K348" i="19"/>
  <c r="I348" i="19"/>
  <c r="H348" i="19"/>
  <c r="G348" i="19"/>
  <c r="F348" i="19"/>
  <c r="V347" i="19"/>
  <c r="S347" i="19"/>
  <c r="R347" i="19"/>
  <c r="Q347" i="19"/>
  <c r="P347" i="19"/>
  <c r="O347" i="19"/>
  <c r="N347" i="19"/>
  <c r="K347" i="19"/>
  <c r="J347" i="19"/>
  <c r="I347" i="19"/>
  <c r="H347" i="19"/>
  <c r="G347" i="19"/>
  <c r="F347" i="19"/>
  <c r="E339" i="19"/>
  <c r="J279" i="23"/>
  <c r="J348" i="19"/>
  <c r="S421" i="19"/>
  <c r="R421" i="19"/>
  <c r="R342" i="19" s="1"/>
  <c r="Q421" i="19"/>
  <c r="P421" i="19"/>
  <c r="P342" i="19" s="1"/>
  <c r="O421" i="19"/>
  <c r="N421" i="19"/>
  <c r="K421" i="19"/>
  <c r="J421" i="19"/>
  <c r="J342" i="19" s="1"/>
  <c r="I421" i="19"/>
  <c r="H421" i="19"/>
  <c r="H342" i="19" s="1"/>
  <c r="G421" i="19"/>
  <c r="F421" i="19"/>
  <c r="E420" i="19"/>
  <c r="R418" i="19"/>
  <c r="R339" i="19" s="1"/>
  <c r="Q418" i="19"/>
  <c r="P418" i="19"/>
  <c r="O418" i="19"/>
  <c r="N418" i="19"/>
  <c r="K418" i="19"/>
  <c r="J418" i="19"/>
  <c r="I418" i="19"/>
  <c r="H418" i="19"/>
  <c r="G418" i="19"/>
  <c r="F418" i="19"/>
  <c r="E418" i="19"/>
  <c r="E419" i="19" s="1"/>
  <c r="J417" i="19"/>
  <c r="J423" i="19" s="1"/>
  <c r="I417" i="19"/>
  <c r="I423" i="19" s="1"/>
  <c r="F417" i="19"/>
  <c r="F423" i="19" s="1"/>
  <c r="V416" i="19"/>
  <c r="S416" i="19"/>
  <c r="R416" i="19"/>
  <c r="Q416" i="19"/>
  <c r="P416" i="19"/>
  <c r="O416" i="19"/>
  <c r="N416" i="19"/>
  <c r="K416" i="19"/>
  <c r="J416" i="19"/>
  <c r="I416" i="19"/>
  <c r="H416" i="19"/>
  <c r="G416" i="19"/>
  <c r="F416" i="19"/>
  <c r="V411" i="19"/>
  <c r="S411" i="19"/>
  <c r="R411" i="19"/>
  <c r="Q411" i="19"/>
  <c r="P411" i="19"/>
  <c r="O411" i="19"/>
  <c r="N411" i="19"/>
  <c r="K411" i="19"/>
  <c r="J411" i="19"/>
  <c r="I411" i="19"/>
  <c r="H411" i="19"/>
  <c r="H332" i="19" s="1"/>
  <c r="G411" i="19"/>
  <c r="F411" i="19"/>
  <c r="F332" i="19" s="1"/>
  <c r="V410" i="19"/>
  <c r="V331" i="19" s="1"/>
  <c r="S410" i="19"/>
  <c r="S331" i="19" s="1"/>
  <c r="R410" i="19"/>
  <c r="Q410" i="19"/>
  <c r="Q331" i="19" s="1"/>
  <c r="P410" i="19"/>
  <c r="O410" i="19"/>
  <c r="O331" i="19" s="1"/>
  <c r="N410" i="19"/>
  <c r="K410" i="19"/>
  <c r="K331" i="19" s="1"/>
  <c r="I410" i="19"/>
  <c r="I331" i="19" s="1"/>
  <c r="H410" i="19"/>
  <c r="H331" i="19" s="1"/>
  <c r="G410" i="19"/>
  <c r="G331" i="19" s="1"/>
  <c r="F410" i="19"/>
  <c r="F331" i="19" s="1"/>
  <c r="V409" i="19"/>
  <c r="V330" i="19" s="1"/>
  <c r="S409" i="19"/>
  <c r="S330" i="19" s="1"/>
  <c r="R409" i="19"/>
  <c r="R330" i="19" s="1"/>
  <c r="Q409" i="19"/>
  <c r="Q330" i="19" s="1"/>
  <c r="P409" i="19"/>
  <c r="P330" i="19" s="1"/>
  <c r="O409" i="19"/>
  <c r="O330" i="19" s="1"/>
  <c r="N409" i="19"/>
  <c r="N330" i="19" s="1"/>
  <c r="K409" i="19"/>
  <c r="K330" i="19" s="1"/>
  <c r="I409" i="19"/>
  <c r="H409" i="19"/>
  <c r="G409" i="19"/>
  <c r="F409" i="19"/>
  <c r="S421" i="18"/>
  <c r="R421" i="18"/>
  <c r="N421" i="18"/>
  <c r="K421" i="18"/>
  <c r="J421" i="18"/>
  <c r="I421" i="18"/>
  <c r="H421" i="18"/>
  <c r="G421" i="18"/>
  <c r="F421" i="18"/>
  <c r="E420" i="18"/>
  <c r="S418" i="18"/>
  <c r="R418" i="18"/>
  <c r="Q418" i="18"/>
  <c r="P418" i="18"/>
  <c r="O418" i="18"/>
  <c r="N418" i="18"/>
  <c r="K418" i="18"/>
  <c r="J418" i="18"/>
  <c r="I418" i="18"/>
  <c r="H418" i="18"/>
  <c r="G418" i="18"/>
  <c r="F418" i="18"/>
  <c r="E418" i="18"/>
  <c r="V417" i="18"/>
  <c r="S417" i="18"/>
  <c r="R417" i="18"/>
  <c r="Q417" i="18"/>
  <c r="P417" i="18"/>
  <c r="O417" i="18"/>
  <c r="N417" i="18"/>
  <c r="K417" i="18"/>
  <c r="J417" i="18"/>
  <c r="I417" i="18"/>
  <c r="H417" i="18"/>
  <c r="G417" i="18"/>
  <c r="F417" i="18"/>
  <c r="V416" i="18"/>
  <c r="S416" i="18"/>
  <c r="R416" i="18"/>
  <c r="Q416" i="18"/>
  <c r="P416" i="18"/>
  <c r="O416" i="18"/>
  <c r="N416" i="18"/>
  <c r="K416" i="18"/>
  <c r="J416" i="18"/>
  <c r="I416" i="18"/>
  <c r="H416" i="18"/>
  <c r="G416" i="18"/>
  <c r="F416" i="18"/>
  <c r="V411" i="18"/>
  <c r="S411" i="18"/>
  <c r="R411" i="18"/>
  <c r="Q411" i="18"/>
  <c r="P411" i="18"/>
  <c r="N411" i="18"/>
  <c r="K411" i="18"/>
  <c r="J411" i="18"/>
  <c r="I411" i="18"/>
  <c r="H411" i="18"/>
  <c r="G411" i="18"/>
  <c r="F411" i="18"/>
  <c r="V410" i="18"/>
  <c r="S410" i="18"/>
  <c r="R410" i="18"/>
  <c r="Q410" i="18"/>
  <c r="P410" i="18"/>
  <c r="N410" i="18"/>
  <c r="K410" i="18"/>
  <c r="J410" i="18"/>
  <c r="I410" i="18"/>
  <c r="H410" i="18"/>
  <c r="G410" i="18"/>
  <c r="F410" i="18"/>
  <c r="V409" i="18"/>
  <c r="S409" i="18"/>
  <c r="R409" i="18"/>
  <c r="Q409" i="18"/>
  <c r="P409" i="18"/>
  <c r="O409" i="18"/>
  <c r="N409" i="18"/>
  <c r="J409" i="18"/>
  <c r="I409" i="18"/>
  <c r="H409" i="18"/>
  <c r="G409" i="18"/>
  <c r="F409" i="18"/>
  <c r="S421" i="16"/>
  <c r="R421" i="16"/>
  <c r="N421" i="16"/>
  <c r="K421" i="16"/>
  <c r="J421" i="16"/>
  <c r="I421" i="16"/>
  <c r="H421" i="16"/>
  <c r="G421" i="16"/>
  <c r="F421" i="16"/>
  <c r="E420" i="16"/>
  <c r="N418" i="16"/>
  <c r="E418" i="16"/>
  <c r="E419" i="16" s="1"/>
  <c r="V417" i="16"/>
  <c r="K417" i="16"/>
  <c r="J417" i="16"/>
  <c r="I417" i="16"/>
  <c r="H417" i="16"/>
  <c r="G417" i="16"/>
  <c r="F417" i="16"/>
  <c r="V416" i="16"/>
  <c r="S416" i="16"/>
  <c r="R416" i="16"/>
  <c r="Q416" i="16"/>
  <c r="P416" i="16"/>
  <c r="O416" i="16"/>
  <c r="N416" i="16"/>
  <c r="K416" i="16"/>
  <c r="J416" i="16"/>
  <c r="I416" i="16"/>
  <c r="H416" i="16"/>
  <c r="G416" i="16"/>
  <c r="F416" i="16"/>
  <c r="V411" i="16"/>
  <c r="K411" i="16"/>
  <c r="J411" i="16"/>
  <c r="I411" i="16"/>
  <c r="H411" i="16"/>
  <c r="G411" i="16"/>
  <c r="F411" i="16"/>
  <c r="V410" i="16"/>
  <c r="J410" i="16"/>
  <c r="I410" i="16"/>
  <c r="H410" i="16"/>
  <c r="G410" i="16"/>
  <c r="F410" i="16"/>
  <c r="V409" i="16"/>
  <c r="N409" i="16"/>
  <c r="K409" i="16"/>
  <c r="J409" i="16"/>
  <c r="I409" i="16"/>
  <c r="H409" i="16"/>
  <c r="G409" i="16"/>
  <c r="S359" i="18"/>
  <c r="R359" i="18"/>
  <c r="Q359" i="18"/>
  <c r="P359" i="18"/>
  <c r="O359" i="18"/>
  <c r="N359" i="18"/>
  <c r="K359" i="18"/>
  <c r="J359" i="18"/>
  <c r="I359" i="18"/>
  <c r="H359" i="18"/>
  <c r="G359" i="18"/>
  <c r="F359" i="18"/>
  <c r="E358" i="18"/>
  <c r="R356" i="18"/>
  <c r="Q356" i="18"/>
  <c r="P356" i="18"/>
  <c r="O356" i="18"/>
  <c r="N356" i="18"/>
  <c r="K356" i="18"/>
  <c r="J356" i="18"/>
  <c r="I356" i="18"/>
  <c r="H356" i="18"/>
  <c r="G356" i="18"/>
  <c r="F356" i="18"/>
  <c r="E356" i="18"/>
  <c r="V355" i="18"/>
  <c r="S355" i="18"/>
  <c r="R355" i="18"/>
  <c r="Q355" i="18"/>
  <c r="P355" i="18"/>
  <c r="O355" i="18"/>
  <c r="N355" i="18"/>
  <c r="K355" i="18"/>
  <c r="J355" i="18"/>
  <c r="I355" i="18"/>
  <c r="H355" i="18"/>
  <c r="G355" i="18"/>
  <c r="F355" i="18"/>
  <c r="V354" i="18"/>
  <c r="S354" i="18"/>
  <c r="R354" i="18"/>
  <c r="Q354" i="18"/>
  <c r="Q361" i="18" s="1"/>
  <c r="P354" i="18"/>
  <c r="O354" i="18"/>
  <c r="N354" i="18"/>
  <c r="K354" i="18"/>
  <c r="J354" i="18"/>
  <c r="I354" i="18"/>
  <c r="H354" i="18"/>
  <c r="G354" i="18"/>
  <c r="F354" i="18"/>
  <c r="V349" i="18"/>
  <c r="S349" i="18"/>
  <c r="R349" i="18"/>
  <c r="Q349" i="18"/>
  <c r="P349" i="18"/>
  <c r="O349" i="18"/>
  <c r="N349" i="18"/>
  <c r="K349" i="18"/>
  <c r="J349" i="18"/>
  <c r="I349" i="18"/>
  <c r="H349" i="18"/>
  <c r="G349" i="18"/>
  <c r="F349" i="18"/>
  <c r="V348" i="18"/>
  <c r="V331" i="18" s="1"/>
  <c r="S348" i="18"/>
  <c r="R348" i="18"/>
  <c r="Q348" i="18"/>
  <c r="P348" i="18"/>
  <c r="O348" i="18"/>
  <c r="N348" i="18"/>
  <c r="K348" i="18"/>
  <c r="J348" i="18"/>
  <c r="I348" i="18"/>
  <c r="H348" i="18"/>
  <c r="G348" i="18"/>
  <c r="F348" i="18"/>
  <c r="V347" i="18"/>
  <c r="V330" i="18" s="1"/>
  <c r="S347" i="18"/>
  <c r="R347" i="18"/>
  <c r="Q347" i="18"/>
  <c r="P347" i="18"/>
  <c r="O347" i="18"/>
  <c r="N347" i="18"/>
  <c r="I347" i="18"/>
  <c r="H347" i="18"/>
  <c r="G347" i="18"/>
  <c r="F347" i="18"/>
  <c r="E339" i="18"/>
  <c r="J347" i="18"/>
  <c r="T364" i="18"/>
  <c r="L365" i="18"/>
  <c r="M365" i="18" s="1"/>
  <c r="T365" i="18"/>
  <c r="L366" i="18"/>
  <c r="M366" i="18" s="1"/>
  <c r="T366" i="18"/>
  <c r="E367" i="18"/>
  <c r="V368" i="18"/>
  <c r="V367" i="18" s="1"/>
  <c r="L369" i="18"/>
  <c r="M369" i="18" s="1"/>
  <c r="T369" i="18"/>
  <c r="L370" i="18"/>
  <c r="M370" i="18" s="1"/>
  <c r="T370" i="18"/>
  <c r="L371" i="18"/>
  <c r="M371" i="18" s="1"/>
  <c r="T371" i="18"/>
  <c r="V371" i="18"/>
  <c r="E372" i="18"/>
  <c r="H375" i="18"/>
  <c r="J375" i="18"/>
  <c r="L374" i="18"/>
  <c r="M374" i="18" s="1"/>
  <c r="T374" i="18"/>
  <c r="V374" i="18"/>
  <c r="F375" i="18"/>
  <c r="P375" i="18"/>
  <c r="R375" i="18"/>
  <c r="V375" i="18"/>
  <c r="F376" i="18"/>
  <c r="G376" i="18"/>
  <c r="H376" i="18"/>
  <c r="I376" i="18"/>
  <c r="I377" i="18" s="1"/>
  <c r="J376" i="18"/>
  <c r="K376" i="18"/>
  <c r="N376" i="18"/>
  <c r="O376" i="18"/>
  <c r="O377" i="18" s="1"/>
  <c r="P376" i="18"/>
  <c r="Q376" i="18"/>
  <c r="R376" i="18"/>
  <c r="S376" i="18"/>
  <c r="S377" i="18" s="1"/>
  <c r="L379" i="18"/>
  <c r="M379" i="18" s="1"/>
  <c r="T379" i="18"/>
  <c r="L380" i="18"/>
  <c r="M380" i="18" s="1"/>
  <c r="T380" i="18"/>
  <c r="K460" i="16"/>
  <c r="J460" i="16"/>
  <c r="I460" i="16"/>
  <c r="H460" i="16"/>
  <c r="G460" i="16"/>
  <c r="F460" i="16"/>
  <c r="N465" i="16"/>
  <c r="K463" i="16"/>
  <c r="J463" i="16"/>
  <c r="I463" i="16"/>
  <c r="H463" i="16"/>
  <c r="G463" i="16"/>
  <c r="F463" i="16"/>
  <c r="K457" i="16"/>
  <c r="F456" i="16"/>
  <c r="S457" i="16"/>
  <c r="R457" i="16"/>
  <c r="Q457" i="16"/>
  <c r="P457" i="16"/>
  <c r="O457" i="16"/>
  <c r="N457" i="16"/>
  <c r="S456" i="16"/>
  <c r="R456" i="16"/>
  <c r="Q456" i="16"/>
  <c r="P456" i="16"/>
  <c r="O456" i="16"/>
  <c r="P462" i="16"/>
  <c r="O462" i="16"/>
  <c r="N462" i="16"/>
  <c r="S270" i="23"/>
  <c r="I271" i="23"/>
  <c r="K309" i="16"/>
  <c r="J309" i="16"/>
  <c r="I309" i="16"/>
  <c r="H309" i="16"/>
  <c r="G309" i="16"/>
  <c r="F309" i="16"/>
  <c r="S510" i="15"/>
  <c r="R510" i="15"/>
  <c r="Q510" i="15"/>
  <c r="P510" i="15"/>
  <c r="O510" i="15"/>
  <c r="N510" i="15"/>
  <c r="K510" i="15"/>
  <c r="J510" i="15"/>
  <c r="J480" i="15" s="1"/>
  <c r="I510" i="15"/>
  <c r="H510" i="15"/>
  <c r="H480" i="15" s="1"/>
  <c r="G510" i="15"/>
  <c r="F510" i="15"/>
  <c r="K505" i="15"/>
  <c r="J505" i="15"/>
  <c r="I505" i="15"/>
  <c r="H505" i="15"/>
  <c r="G505" i="15"/>
  <c r="F505" i="15"/>
  <c r="R505" i="15"/>
  <c r="Q505" i="15"/>
  <c r="P505" i="15"/>
  <c r="O505" i="15"/>
  <c r="N505" i="15"/>
  <c r="K401" i="23"/>
  <c r="K395" i="23"/>
  <c r="J395" i="23"/>
  <c r="J394" i="23"/>
  <c r="S359" i="15"/>
  <c r="R359" i="15"/>
  <c r="Q359" i="15"/>
  <c r="P359" i="15"/>
  <c r="O359" i="15"/>
  <c r="N359" i="15"/>
  <c r="K359" i="15"/>
  <c r="J359" i="15"/>
  <c r="I359" i="15"/>
  <c r="H359" i="15"/>
  <c r="G359" i="15"/>
  <c r="F359" i="15"/>
  <c r="E358" i="15"/>
  <c r="S356" i="15"/>
  <c r="R356" i="15"/>
  <c r="Q356" i="15"/>
  <c r="P356" i="15"/>
  <c r="O356" i="15"/>
  <c r="K356" i="15"/>
  <c r="J356" i="15"/>
  <c r="I356" i="15"/>
  <c r="H356" i="15"/>
  <c r="G356" i="15"/>
  <c r="F356" i="15"/>
  <c r="E356" i="15"/>
  <c r="V355" i="15"/>
  <c r="S355" i="15"/>
  <c r="R355" i="15"/>
  <c r="Q355" i="15"/>
  <c r="P355" i="15"/>
  <c r="O355" i="15"/>
  <c r="N355" i="15"/>
  <c r="K355" i="15"/>
  <c r="K361" i="15" s="1"/>
  <c r="J355" i="15"/>
  <c r="J361" i="15" s="1"/>
  <c r="I355" i="15"/>
  <c r="I361" i="15" s="1"/>
  <c r="H355" i="15"/>
  <c r="H361" i="15" s="1"/>
  <c r="G355" i="15"/>
  <c r="G361" i="15" s="1"/>
  <c r="F355" i="15"/>
  <c r="F361" i="15" s="1"/>
  <c r="V354" i="15"/>
  <c r="S354" i="15"/>
  <c r="R354" i="15"/>
  <c r="Q354" i="15"/>
  <c r="P354" i="15"/>
  <c r="O354" i="15"/>
  <c r="N354" i="15"/>
  <c r="K354" i="15"/>
  <c r="J354" i="15"/>
  <c r="I354" i="15"/>
  <c r="H354" i="15"/>
  <c r="G354" i="15"/>
  <c r="F354" i="15"/>
  <c r="V349" i="15"/>
  <c r="S349" i="15"/>
  <c r="R349" i="15"/>
  <c r="Q349" i="15"/>
  <c r="P349" i="15"/>
  <c r="O349" i="15"/>
  <c r="K349" i="15"/>
  <c r="J349" i="15"/>
  <c r="I349" i="15"/>
  <c r="H349" i="15"/>
  <c r="G349" i="15"/>
  <c r="F349" i="15"/>
  <c r="V348" i="15"/>
  <c r="S348" i="15"/>
  <c r="R348" i="15"/>
  <c r="Q348" i="15"/>
  <c r="P348" i="15"/>
  <c r="O348" i="15"/>
  <c r="K348" i="15"/>
  <c r="J348" i="15"/>
  <c r="I348" i="15"/>
  <c r="H348" i="15"/>
  <c r="G348" i="15"/>
  <c r="F348" i="15"/>
  <c r="V347" i="15"/>
  <c r="S347" i="15"/>
  <c r="R347" i="15"/>
  <c r="Q347" i="15"/>
  <c r="P347" i="15"/>
  <c r="O347" i="15"/>
  <c r="N347" i="15"/>
  <c r="K347" i="15"/>
  <c r="J347" i="15"/>
  <c r="I347" i="15"/>
  <c r="H347" i="15"/>
  <c r="G347" i="15"/>
  <c r="F347" i="15"/>
  <c r="E339" i="15"/>
  <c r="L364" i="15"/>
  <c r="M364" i="15" s="1"/>
  <c r="T364" i="15"/>
  <c r="L365" i="15"/>
  <c r="M365" i="15" s="1"/>
  <c r="N348" i="15"/>
  <c r="L366" i="15"/>
  <c r="M366" i="15" s="1"/>
  <c r="T366" i="15"/>
  <c r="V368" i="15"/>
  <c r="L369" i="15"/>
  <c r="M369" i="15" s="1"/>
  <c r="T369" i="15"/>
  <c r="L370" i="15"/>
  <c r="M370" i="15" s="1"/>
  <c r="T370" i="15"/>
  <c r="L371" i="15"/>
  <c r="M371" i="15" s="1"/>
  <c r="N356" i="15"/>
  <c r="V371" i="15"/>
  <c r="E372" i="15"/>
  <c r="L374" i="15"/>
  <c r="M374" i="15" s="1"/>
  <c r="T374" i="15"/>
  <c r="V374" i="15"/>
  <c r="G375" i="15"/>
  <c r="I375" i="15"/>
  <c r="J375" i="15"/>
  <c r="K375" i="15"/>
  <c r="O375" i="15"/>
  <c r="P375" i="15"/>
  <c r="Q375" i="15"/>
  <c r="R375" i="15"/>
  <c r="S375" i="15"/>
  <c r="V375" i="15"/>
  <c r="F376" i="15"/>
  <c r="G376" i="15"/>
  <c r="H376" i="15"/>
  <c r="I376" i="15"/>
  <c r="J376" i="15"/>
  <c r="J377" i="15" s="1"/>
  <c r="K376" i="15"/>
  <c r="N376" i="15"/>
  <c r="O376" i="15"/>
  <c r="P376" i="15"/>
  <c r="Q376" i="15"/>
  <c r="R376" i="15"/>
  <c r="S376" i="15"/>
  <c r="R377" i="15"/>
  <c r="L379" i="15"/>
  <c r="M379" i="15" s="1"/>
  <c r="T379" i="15"/>
  <c r="L380" i="15"/>
  <c r="M380" i="15" s="1"/>
  <c r="T380" i="15"/>
  <c r="R57" i="23"/>
  <c r="R40" i="23" s="1"/>
  <c r="R23" i="23" s="1"/>
  <c r="L318" i="23"/>
  <c r="M318" i="23" s="1"/>
  <c r="Q279" i="23"/>
  <c r="P279" i="23"/>
  <c r="K361" i="18" l="1"/>
  <c r="L361" i="18" s="1"/>
  <c r="M361" i="18" s="1"/>
  <c r="F330" i="19"/>
  <c r="H330" i="19"/>
  <c r="V332" i="19"/>
  <c r="G337" i="19"/>
  <c r="I337" i="19"/>
  <c r="K337" i="19"/>
  <c r="O337" i="19"/>
  <c r="Q337" i="19"/>
  <c r="S337" i="19"/>
  <c r="H339" i="19"/>
  <c r="L421" i="19"/>
  <c r="M421" i="19" s="1"/>
  <c r="L354" i="19"/>
  <c r="M354" i="19" s="1"/>
  <c r="E357" i="19"/>
  <c r="H361" i="18"/>
  <c r="T409" i="18"/>
  <c r="F361" i="18"/>
  <c r="J361" i="18"/>
  <c r="N361" i="18"/>
  <c r="R361" i="18"/>
  <c r="G361" i="18"/>
  <c r="I361" i="18"/>
  <c r="O361" i="18"/>
  <c r="S361" i="18"/>
  <c r="G423" i="16"/>
  <c r="I423" i="16"/>
  <c r="K423" i="16"/>
  <c r="F423" i="16"/>
  <c r="H423" i="16"/>
  <c r="J423" i="16"/>
  <c r="L359" i="15"/>
  <c r="M359" i="15" s="1"/>
  <c r="L347" i="15"/>
  <c r="M347" i="15" s="1"/>
  <c r="T359" i="15"/>
  <c r="P361" i="18"/>
  <c r="T354" i="19"/>
  <c r="U354" i="19" s="1"/>
  <c r="W354" i="19" s="1"/>
  <c r="G423" i="18"/>
  <c r="I423" i="18"/>
  <c r="K423" i="18"/>
  <c r="O423" i="18"/>
  <c r="Q423" i="18"/>
  <c r="S423" i="18"/>
  <c r="F423" i="18"/>
  <c r="H423" i="18"/>
  <c r="J423" i="18"/>
  <c r="N423" i="18"/>
  <c r="P423" i="18"/>
  <c r="R423" i="18"/>
  <c r="R58" i="23"/>
  <c r="R41" i="23" s="1"/>
  <c r="R24" i="23" s="1"/>
  <c r="U380" i="15"/>
  <c r="W380" i="15" s="1"/>
  <c r="P339" i="19"/>
  <c r="T421" i="19"/>
  <c r="U379" i="18"/>
  <c r="W379" i="18" s="1"/>
  <c r="T151" i="22"/>
  <c r="N332" i="19"/>
  <c r="R332" i="19"/>
  <c r="P332" i="19"/>
  <c r="U365" i="18"/>
  <c r="T347" i="15"/>
  <c r="U374" i="18"/>
  <c r="V373" i="18"/>
  <c r="V372" i="18" s="1"/>
  <c r="L354" i="18"/>
  <c r="M354" i="18" s="1"/>
  <c r="T354" i="18"/>
  <c r="K332" i="19"/>
  <c r="O332" i="19"/>
  <c r="Q332" i="19"/>
  <c r="S332" i="19"/>
  <c r="H337" i="19"/>
  <c r="N337" i="19"/>
  <c r="R337" i="19"/>
  <c r="V151" i="22"/>
  <c r="U158" i="22"/>
  <c r="W158" i="22" s="1"/>
  <c r="T159" i="22"/>
  <c r="N339" i="19"/>
  <c r="U370" i="18"/>
  <c r="W370" i="18" s="1"/>
  <c r="U379" i="15"/>
  <c r="W379" i="15" s="1"/>
  <c r="T63" i="22"/>
  <c r="L68" i="22"/>
  <c r="M68" i="22" s="1"/>
  <c r="T68" i="22"/>
  <c r="T368" i="18"/>
  <c r="T367" i="18" s="1"/>
  <c r="T347" i="18"/>
  <c r="L409" i="22"/>
  <c r="M409" i="22" s="1"/>
  <c r="T376" i="15"/>
  <c r="L156" i="22"/>
  <c r="U157" i="22"/>
  <c r="W157" i="22" s="1"/>
  <c r="L159" i="22"/>
  <c r="M159" i="22" s="1"/>
  <c r="U152" i="22"/>
  <c r="T355" i="15"/>
  <c r="V423" i="16"/>
  <c r="W374" i="18"/>
  <c r="U374" i="15"/>
  <c r="U369" i="15"/>
  <c r="U364" i="15"/>
  <c r="E357" i="15"/>
  <c r="H395" i="23"/>
  <c r="L395" i="23" s="1"/>
  <c r="M395" i="23" s="1"/>
  <c r="L410" i="23"/>
  <c r="M410" i="23" s="1"/>
  <c r="N401" i="23"/>
  <c r="T550" i="23"/>
  <c r="U550" i="23" s="1"/>
  <c r="T567" i="23"/>
  <c r="U567" i="23" s="1"/>
  <c r="E217" i="23"/>
  <c r="E216" i="23" s="1"/>
  <c r="I279" i="23"/>
  <c r="O417" i="16"/>
  <c r="O423" i="16" s="1"/>
  <c r="O409" i="16"/>
  <c r="Q409" i="16"/>
  <c r="Q332" i="23"/>
  <c r="Q253" i="23" s="1"/>
  <c r="S409" i="16"/>
  <c r="S332" i="23"/>
  <c r="S253" i="23" s="1"/>
  <c r="O410" i="16"/>
  <c r="Q410" i="16"/>
  <c r="Q333" i="23"/>
  <c r="S410" i="16"/>
  <c r="S333" i="23"/>
  <c r="K410" i="16"/>
  <c r="G418" i="16"/>
  <c r="G341" i="23"/>
  <c r="G262" i="23" s="1"/>
  <c r="I418" i="16"/>
  <c r="I341" i="23"/>
  <c r="K418" i="16"/>
  <c r="K341" i="23"/>
  <c r="H394" i="23"/>
  <c r="L394" i="23" s="1"/>
  <c r="M394" i="23" s="1"/>
  <c r="L409" i="23"/>
  <c r="M409" i="23" s="1"/>
  <c r="L520" i="23"/>
  <c r="M520" i="23" s="1"/>
  <c r="K347" i="18"/>
  <c r="L347" i="18" s="1"/>
  <c r="K270" i="23"/>
  <c r="K409" i="18"/>
  <c r="L409" i="18" s="1"/>
  <c r="M409" i="18" s="1"/>
  <c r="K332" i="23"/>
  <c r="T348" i="19"/>
  <c r="E341" i="19"/>
  <c r="E340" i="19" s="1"/>
  <c r="G342" i="19"/>
  <c r="I342" i="19"/>
  <c r="K342" i="19"/>
  <c r="O342" i="19"/>
  <c r="Q342" i="19"/>
  <c r="S342" i="19"/>
  <c r="I59" i="22"/>
  <c r="U154" i="22"/>
  <c r="W154" i="22" s="1"/>
  <c r="T491" i="23"/>
  <c r="V361" i="15"/>
  <c r="N417" i="16"/>
  <c r="N423" i="16" s="1"/>
  <c r="P417" i="16"/>
  <c r="P423" i="16" s="1"/>
  <c r="P409" i="16"/>
  <c r="P332" i="23"/>
  <c r="P253" i="23" s="1"/>
  <c r="R409" i="16"/>
  <c r="R332" i="23"/>
  <c r="R253" i="23" s="1"/>
  <c r="N410" i="16"/>
  <c r="P410" i="16"/>
  <c r="R410" i="16"/>
  <c r="R333" i="23"/>
  <c r="F409" i="16"/>
  <c r="L409" i="16" s="1"/>
  <c r="M409" i="16" s="1"/>
  <c r="F418" i="16"/>
  <c r="H465" i="16"/>
  <c r="H341" i="23"/>
  <c r="H262" i="23" s="1"/>
  <c r="J418" i="16"/>
  <c r="J341" i="23"/>
  <c r="J262" i="23" s="1"/>
  <c r="U380" i="18"/>
  <c r="W380" i="18" s="1"/>
  <c r="E357" i="18"/>
  <c r="O410" i="18"/>
  <c r="T410" i="18" s="1"/>
  <c r="L416" i="18"/>
  <c r="M416" i="18" s="1"/>
  <c r="T416" i="18"/>
  <c r="L421" i="18"/>
  <c r="M421" i="18" s="1"/>
  <c r="J337" i="19"/>
  <c r="P337" i="19"/>
  <c r="T337" i="19" s="1"/>
  <c r="V337" i="19"/>
  <c r="J409" i="19"/>
  <c r="J330" i="19" s="1"/>
  <c r="N410" i="22"/>
  <c r="T410" i="22" s="1"/>
  <c r="O70" i="22"/>
  <c r="Q70" i="22"/>
  <c r="S70" i="22"/>
  <c r="P377" i="15"/>
  <c r="T348" i="15"/>
  <c r="T368" i="15"/>
  <c r="T367" i="15" s="1"/>
  <c r="T365" i="15"/>
  <c r="U365" i="15" s="1"/>
  <c r="L348" i="15"/>
  <c r="M348" i="15" s="1"/>
  <c r="L354" i="15"/>
  <c r="M354" i="15" s="1"/>
  <c r="T354" i="15"/>
  <c r="G465" i="16"/>
  <c r="I465" i="16"/>
  <c r="K465" i="16"/>
  <c r="L373" i="18"/>
  <c r="L372" i="18" s="1"/>
  <c r="H418" i="16"/>
  <c r="F342" i="19"/>
  <c r="L348" i="19"/>
  <c r="M348" i="19" s="1"/>
  <c r="L151" i="22"/>
  <c r="M150" i="22"/>
  <c r="M151" i="22" s="1"/>
  <c r="K59" i="22"/>
  <c r="O59" i="22"/>
  <c r="L63" i="22"/>
  <c r="M63" i="22" s="1"/>
  <c r="P70" i="22"/>
  <c r="N349" i="15"/>
  <c r="T410" i="16"/>
  <c r="F465" i="16"/>
  <c r="J465" i="16"/>
  <c r="Q377" i="18"/>
  <c r="K377" i="18"/>
  <c r="L376" i="18"/>
  <c r="M376" i="18" s="1"/>
  <c r="S375" i="18"/>
  <c r="Q375" i="18"/>
  <c r="O375" i="18"/>
  <c r="K375" i="18"/>
  <c r="I375" i="18"/>
  <c r="T373" i="18"/>
  <c r="T372" i="18" s="1"/>
  <c r="U369" i="18"/>
  <c r="W369" i="18" s="1"/>
  <c r="L364" i="18"/>
  <c r="M364" i="18" s="1"/>
  <c r="E341" i="18"/>
  <c r="E340" i="18" s="1"/>
  <c r="L348" i="18"/>
  <c r="M348" i="18" s="1"/>
  <c r="T348" i="18"/>
  <c r="T409" i="16"/>
  <c r="E419" i="18"/>
  <c r="G330" i="19"/>
  <c r="I330" i="19"/>
  <c r="I332" i="19"/>
  <c r="F337" i="19"/>
  <c r="N342" i="19"/>
  <c r="T342" i="19" s="1"/>
  <c r="G59" i="22"/>
  <c r="N70" i="22"/>
  <c r="R70" i="22"/>
  <c r="E66" i="22"/>
  <c r="V70" i="22"/>
  <c r="T355" i="18"/>
  <c r="V361" i="18"/>
  <c r="L359" i="18"/>
  <c r="M359" i="18" s="1"/>
  <c r="T359" i="18"/>
  <c r="L410" i="16"/>
  <c r="M410" i="16" s="1"/>
  <c r="L416" i="16"/>
  <c r="M416" i="16" s="1"/>
  <c r="T416" i="16"/>
  <c r="L421" i="16"/>
  <c r="M421" i="16" s="1"/>
  <c r="L410" i="18"/>
  <c r="M410" i="18" s="1"/>
  <c r="T417" i="18"/>
  <c r="V423" i="18"/>
  <c r="T330" i="19"/>
  <c r="T410" i="19"/>
  <c r="P331" i="19"/>
  <c r="R331" i="19"/>
  <c r="G332" i="19"/>
  <c r="L416" i="19"/>
  <c r="M416" i="19" s="1"/>
  <c r="T416" i="19"/>
  <c r="G339" i="19"/>
  <c r="I339" i="19"/>
  <c r="K339" i="19"/>
  <c r="O339" i="19"/>
  <c r="Q339" i="19"/>
  <c r="L347" i="19"/>
  <c r="M347" i="19" s="1"/>
  <c r="T347" i="19"/>
  <c r="T355" i="19"/>
  <c r="V361" i="19"/>
  <c r="J356" i="19"/>
  <c r="L359" i="19"/>
  <c r="M359" i="19" s="1"/>
  <c r="T359" i="19"/>
  <c r="U153" i="22"/>
  <c r="W153" i="22" s="1"/>
  <c r="T156" i="22"/>
  <c r="E419" i="22"/>
  <c r="T56" i="22"/>
  <c r="P59" i="22"/>
  <c r="G377" i="18"/>
  <c r="G375" i="18"/>
  <c r="U366" i="18"/>
  <c r="W366" i="18" s="1"/>
  <c r="T417" i="22"/>
  <c r="T64" i="22"/>
  <c r="L64" i="22"/>
  <c r="M64" i="22" s="1"/>
  <c r="F70" i="22"/>
  <c r="L376" i="15"/>
  <c r="M376" i="15" s="1"/>
  <c r="U370" i="15"/>
  <c r="W370" i="15" s="1"/>
  <c r="F59" i="22"/>
  <c r="F339" i="19"/>
  <c r="U371" i="18"/>
  <c r="W371" i="18" s="1"/>
  <c r="U366" i="15"/>
  <c r="L57" i="22"/>
  <c r="M57" i="22" s="1"/>
  <c r="L56" i="22"/>
  <c r="M56" i="22" s="1"/>
  <c r="T57" i="22"/>
  <c r="T409" i="22"/>
  <c r="V423" i="22"/>
  <c r="L410" i="22"/>
  <c r="M410" i="22" s="1"/>
  <c r="L416" i="22"/>
  <c r="M416" i="22" s="1"/>
  <c r="T416" i="22"/>
  <c r="L421" i="22"/>
  <c r="M421" i="22" s="1"/>
  <c r="T421" i="22"/>
  <c r="L423" i="22"/>
  <c r="M423" i="22" s="1"/>
  <c r="L411" i="22"/>
  <c r="M411" i="22" s="1"/>
  <c r="L417" i="22"/>
  <c r="M417" i="22" s="1"/>
  <c r="L418" i="22"/>
  <c r="M418" i="22" s="1"/>
  <c r="U150" i="22"/>
  <c r="G162" i="22"/>
  <c r="H162" i="22" s="1"/>
  <c r="I162" i="22" s="1"/>
  <c r="J162" i="22" s="1"/>
  <c r="K162" i="22" s="1"/>
  <c r="N162" i="22" s="1"/>
  <c r="O162" i="22" s="1"/>
  <c r="P162" i="22" s="1"/>
  <c r="Q162" i="22" s="1"/>
  <c r="R162" i="22" s="1"/>
  <c r="S162" i="22" s="1"/>
  <c r="V160" i="22"/>
  <c r="V156" i="22"/>
  <c r="W152" i="22"/>
  <c r="M155" i="22"/>
  <c r="M156" i="22" s="1"/>
  <c r="U155" i="22"/>
  <c r="L160" i="22"/>
  <c r="M160" i="22" s="1"/>
  <c r="T160" i="22"/>
  <c r="I338" i="19"/>
  <c r="I344" i="19" s="1"/>
  <c r="F338" i="19"/>
  <c r="F344" i="19" s="1"/>
  <c r="J338" i="19"/>
  <c r="J344" i="19" s="1"/>
  <c r="L418" i="19"/>
  <c r="M418" i="19" s="1"/>
  <c r="N331" i="19"/>
  <c r="L361" i="19"/>
  <c r="M361" i="19" s="1"/>
  <c r="T349" i="19"/>
  <c r="L355" i="19"/>
  <c r="M355" i="19" s="1"/>
  <c r="T409" i="19"/>
  <c r="U421" i="19"/>
  <c r="L411" i="19"/>
  <c r="M411" i="19" s="1"/>
  <c r="T411" i="19"/>
  <c r="L411" i="18"/>
  <c r="M411" i="18" s="1"/>
  <c r="L417" i="18"/>
  <c r="M417" i="18" s="1"/>
  <c r="L418" i="18"/>
  <c r="M418" i="18" s="1"/>
  <c r="T418" i="18"/>
  <c r="L411" i="16"/>
  <c r="M411" i="16" s="1"/>
  <c r="L417" i="16"/>
  <c r="M417" i="16" s="1"/>
  <c r="L349" i="18"/>
  <c r="M349" i="18" s="1"/>
  <c r="T349" i="18"/>
  <c r="L355" i="18"/>
  <c r="M355" i="18" s="1"/>
  <c r="L356" i="18"/>
  <c r="M356" i="18" s="1"/>
  <c r="R377" i="18"/>
  <c r="P377" i="18"/>
  <c r="N377" i="18"/>
  <c r="J377" i="18"/>
  <c r="H377" i="18"/>
  <c r="F377" i="18"/>
  <c r="F378" i="18" s="1"/>
  <c r="G378" i="18" s="1"/>
  <c r="V376" i="18"/>
  <c r="T376" i="18"/>
  <c r="L361" i="15"/>
  <c r="M361" i="15" s="1"/>
  <c r="U359" i="15"/>
  <c r="L349" i="15"/>
  <c r="M349" i="15" s="1"/>
  <c r="T349" i="15"/>
  <c r="L355" i="15"/>
  <c r="M355" i="15" s="1"/>
  <c r="L356" i="15"/>
  <c r="M356" i="15" s="1"/>
  <c r="T356" i="15"/>
  <c r="W369" i="15"/>
  <c r="V367" i="15"/>
  <c r="S377" i="15"/>
  <c r="Q377" i="15"/>
  <c r="O377" i="15"/>
  <c r="K377" i="15"/>
  <c r="I377" i="15"/>
  <c r="G377" i="15"/>
  <c r="W374" i="15"/>
  <c r="V373" i="15"/>
  <c r="T371" i="15"/>
  <c r="U371" i="15" s="1"/>
  <c r="W371" i="15" s="1"/>
  <c r="U376" i="18" l="1"/>
  <c r="U68" i="22"/>
  <c r="L423" i="16"/>
  <c r="M423" i="16" s="1"/>
  <c r="U409" i="22"/>
  <c r="L409" i="19"/>
  <c r="M409" i="19" s="1"/>
  <c r="U348" i="18"/>
  <c r="M347" i="18"/>
  <c r="U347" i="18"/>
  <c r="U409" i="16"/>
  <c r="U348" i="15"/>
  <c r="U347" i="15"/>
  <c r="X371" i="15"/>
  <c r="L423" i="18"/>
  <c r="M423" i="18" s="1"/>
  <c r="U354" i="18"/>
  <c r="X374" i="15"/>
  <c r="M373" i="18"/>
  <c r="M372" i="18" s="1"/>
  <c r="W366" i="15"/>
  <c r="U159" i="22"/>
  <c r="W159" i="22" s="1"/>
  <c r="U359" i="18"/>
  <c r="U151" i="22"/>
  <c r="W150" i="22"/>
  <c r="W151" i="22" s="1"/>
  <c r="U416" i="16"/>
  <c r="W416" i="16" s="1"/>
  <c r="U63" i="22"/>
  <c r="X68" i="22" s="1"/>
  <c r="T332" i="19"/>
  <c r="U57" i="22"/>
  <c r="L330" i="19"/>
  <c r="M330" i="19" s="1"/>
  <c r="U348" i="19"/>
  <c r="U354" i="15"/>
  <c r="W354" i="15" s="1"/>
  <c r="X374" i="18"/>
  <c r="U416" i="18"/>
  <c r="W416" i="18" s="1"/>
  <c r="U409" i="18"/>
  <c r="L342" i="19"/>
  <c r="M342" i="19" s="1"/>
  <c r="U410" i="16"/>
  <c r="U410" i="18"/>
  <c r="U410" i="22"/>
  <c r="U416" i="19"/>
  <c r="W416" i="19" s="1"/>
  <c r="L418" i="16"/>
  <c r="M418" i="16" s="1"/>
  <c r="X371" i="18"/>
  <c r="U160" i="22"/>
  <c r="L337" i="19"/>
  <c r="M337" i="19" s="1"/>
  <c r="U156" i="22"/>
  <c r="U64" i="22"/>
  <c r="W64" i="22" s="1"/>
  <c r="O333" i="23"/>
  <c r="K253" i="23"/>
  <c r="I456" i="23"/>
  <c r="I439" i="23" s="1"/>
  <c r="L380" i="23"/>
  <c r="M380" i="23" s="1"/>
  <c r="K333" i="23"/>
  <c r="T380" i="23"/>
  <c r="T379" i="23"/>
  <c r="O391" i="23"/>
  <c r="O340" i="23"/>
  <c r="P482" i="23"/>
  <c r="U347" i="19"/>
  <c r="U373" i="18"/>
  <c r="N333" i="23"/>
  <c r="L349" i="23"/>
  <c r="M349" i="23" s="1"/>
  <c r="J332" i="23"/>
  <c r="L386" i="23"/>
  <c r="M386" i="23" s="1"/>
  <c r="F341" i="23"/>
  <c r="L379" i="23"/>
  <c r="M379" i="23" s="1"/>
  <c r="F332" i="23"/>
  <c r="P391" i="23"/>
  <c r="P340" i="23"/>
  <c r="N391" i="23"/>
  <c r="N340" i="23"/>
  <c r="N346" i="23" s="1"/>
  <c r="T474" i="23"/>
  <c r="S457" i="23"/>
  <c r="S440" i="23" s="1"/>
  <c r="I262" i="23"/>
  <c r="U417" i="18"/>
  <c r="W417" i="18" s="1"/>
  <c r="J339" i="19"/>
  <c r="L339" i="19" s="1"/>
  <c r="M339" i="19" s="1"/>
  <c r="T375" i="18"/>
  <c r="U364" i="18"/>
  <c r="L356" i="19"/>
  <c r="M356" i="19" s="1"/>
  <c r="U359" i="19"/>
  <c r="X359" i="19" s="1"/>
  <c r="T331" i="19"/>
  <c r="U421" i="22"/>
  <c r="U416" i="22"/>
  <c r="W416" i="22" s="1"/>
  <c r="T70" i="22"/>
  <c r="J59" i="22"/>
  <c r="U411" i="19"/>
  <c r="W411" i="19" s="1"/>
  <c r="L375" i="18"/>
  <c r="L70" i="22"/>
  <c r="M70" i="22" s="1"/>
  <c r="U376" i="15"/>
  <c r="U418" i="18"/>
  <c r="U356" i="15"/>
  <c r="U56" i="22"/>
  <c r="U417" i="22"/>
  <c r="W160" i="22"/>
  <c r="W155" i="22"/>
  <c r="W156" i="22" s="1"/>
  <c r="U355" i="19"/>
  <c r="X421" i="19"/>
  <c r="W354" i="18"/>
  <c r="U349" i="18"/>
  <c r="U355" i="18"/>
  <c r="W376" i="18"/>
  <c r="H378" i="18"/>
  <c r="I378" i="18" s="1"/>
  <c r="J378" i="18" s="1"/>
  <c r="K378" i="18" s="1"/>
  <c r="N378" i="18" s="1"/>
  <c r="O378" i="18" s="1"/>
  <c r="P378" i="18" s="1"/>
  <c r="Q378" i="18" s="1"/>
  <c r="R378" i="18" s="1"/>
  <c r="S378" i="18" s="1"/>
  <c r="U349" i="15"/>
  <c r="U355" i="15"/>
  <c r="X359" i="15"/>
  <c r="T373" i="15"/>
  <c r="N375" i="15"/>
  <c r="N377" i="15"/>
  <c r="V372" i="15"/>
  <c r="V376" i="15"/>
  <c r="U372" i="18" l="1"/>
  <c r="X421" i="22"/>
  <c r="W63" i="22"/>
  <c r="U337" i="19"/>
  <c r="W337" i="19" s="1"/>
  <c r="U330" i="19"/>
  <c r="U409" i="19"/>
  <c r="U380" i="23"/>
  <c r="X359" i="18"/>
  <c r="O261" i="23"/>
  <c r="O346" i="23"/>
  <c r="P261" i="23"/>
  <c r="P346" i="23"/>
  <c r="U342" i="19"/>
  <c r="X342" i="19" s="1"/>
  <c r="W373" i="18"/>
  <c r="W372" i="18" s="1"/>
  <c r="W376" i="15"/>
  <c r="L332" i="23"/>
  <c r="M332" i="23" s="1"/>
  <c r="F253" i="23"/>
  <c r="L341" i="23"/>
  <c r="M341" i="23" s="1"/>
  <c r="F262" i="23"/>
  <c r="U379" i="23"/>
  <c r="N261" i="23"/>
  <c r="M375" i="18"/>
  <c r="U375" i="18"/>
  <c r="U70" i="22"/>
  <c r="W70" i="22" s="1"/>
  <c r="W417" i="22"/>
  <c r="W355" i="19"/>
  <c r="W355" i="18"/>
  <c r="W349" i="18"/>
  <c r="W355" i="15"/>
  <c r="X356" i="15"/>
  <c r="W349" i="15"/>
  <c r="T372" i="15"/>
  <c r="T375" i="15"/>
  <c r="N267" i="23" l="1"/>
  <c r="N18" i="23"/>
  <c r="N3" i="23" s="1"/>
  <c r="P267" i="23"/>
  <c r="P18" i="23"/>
  <c r="P3" i="23" s="1"/>
  <c r="O267" i="23"/>
  <c r="O18" i="23"/>
  <c r="O3" i="23" s="1"/>
  <c r="X375" i="18"/>
  <c r="W375" i="18"/>
  <c r="F438" i="13" l="1"/>
  <c r="V437" i="13"/>
  <c r="V436" i="13"/>
  <c r="T436" i="13"/>
  <c r="L436" i="13"/>
  <c r="M436" i="13" s="1"/>
  <c r="S437" i="13"/>
  <c r="K437" i="13"/>
  <c r="J437" i="13"/>
  <c r="I437" i="13"/>
  <c r="G437" i="13"/>
  <c r="F437" i="13"/>
  <c r="E434" i="13"/>
  <c r="V433" i="13"/>
  <c r="T433" i="13"/>
  <c r="M433" i="13"/>
  <c r="T432" i="13"/>
  <c r="L432" i="13"/>
  <c r="M432" i="13" s="1"/>
  <c r="T431" i="13"/>
  <c r="L431" i="13"/>
  <c r="M431" i="13" s="1"/>
  <c r="T428" i="13"/>
  <c r="L428" i="13"/>
  <c r="M428" i="13" s="1"/>
  <c r="T427" i="13"/>
  <c r="L427" i="13"/>
  <c r="M427" i="13" s="1"/>
  <c r="L426" i="13"/>
  <c r="M426" i="13" s="1"/>
  <c r="S421" i="13"/>
  <c r="R421" i="13"/>
  <c r="Q421" i="13"/>
  <c r="P421" i="13"/>
  <c r="O421" i="13"/>
  <c r="N421" i="13"/>
  <c r="K421" i="13"/>
  <c r="J421" i="13"/>
  <c r="I421" i="13"/>
  <c r="H421" i="13"/>
  <c r="G421" i="13"/>
  <c r="F421" i="13"/>
  <c r="E420" i="13"/>
  <c r="R418" i="13"/>
  <c r="Q418" i="13"/>
  <c r="P418" i="13"/>
  <c r="O418" i="13"/>
  <c r="N418" i="13"/>
  <c r="K418" i="13"/>
  <c r="J418" i="13"/>
  <c r="I418" i="13"/>
  <c r="H418" i="13"/>
  <c r="G418" i="13"/>
  <c r="F418" i="13"/>
  <c r="E418" i="13"/>
  <c r="E419" i="13" s="1"/>
  <c r="V417" i="13"/>
  <c r="S417" i="13"/>
  <c r="R417" i="13"/>
  <c r="Q417" i="13"/>
  <c r="P417" i="13"/>
  <c r="O417" i="13"/>
  <c r="N417" i="13"/>
  <c r="K417" i="13"/>
  <c r="J417" i="13"/>
  <c r="I417" i="13"/>
  <c r="H417" i="13"/>
  <c r="G417" i="13"/>
  <c r="F417" i="13"/>
  <c r="V416" i="13"/>
  <c r="S416" i="13"/>
  <c r="R416" i="13"/>
  <c r="Q416" i="13"/>
  <c r="P416" i="13"/>
  <c r="O416" i="13"/>
  <c r="N416" i="13"/>
  <c r="K416" i="13"/>
  <c r="J416" i="13"/>
  <c r="I416" i="13"/>
  <c r="H416" i="13"/>
  <c r="G416" i="13"/>
  <c r="F416" i="13"/>
  <c r="V411" i="13"/>
  <c r="S411" i="13"/>
  <c r="R411" i="13"/>
  <c r="Q411" i="13"/>
  <c r="P411" i="13"/>
  <c r="O411" i="13"/>
  <c r="N411" i="13"/>
  <c r="K411" i="13"/>
  <c r="J411" i="13"/>
  <c r="I411" i="13"/>
  <c r="H411" i="13"/>
  <c r="G411" i="13"/>
  <c r="F411" i="13"/>
  <c r="V410" i="13"/>
  <c r="S410" i="13"/>
  <c r="R410" i="13"/>
  <c r="Q410" i="13"/>
  <c r="P410" i="13"/>
  <c r="O410" i="13"/>
  <c r="N410" i="13"/>
  <c r="K410" i="13"/>
  <c r="J410" i="13"/>
  <c r="I410" i="13"/>
  <c r="H410" i="13"/>
  <c r="G410" i="13"/>
  <c r="F410" i="13"/>
  <c r="V409" i="13"/>
  <c r="S409" i="13"/>
  <c r="R409" i="13"/>
  <c r="Q409" i="13"/>
  <c r="P409" i="13"/>
  <c r="N409" i="13"/>
  <c r="K409" i="13"/>
  <c r="J409" i="13"/>
  <c r="I409" i="13"/>
  <c r="H409" i="13"/>
  <c r="G409" i="13"/>
  <c r="F409" i="13"/>
  <c r="F423" i="13" l="1"/>
  <c r="H423" i="13"/>
  <c r="J423" i="13"/>
  <c r="N423" i="13"/>
  <c r="P423" i="13"/>
  <c r="R423" i="13"/>
  <c r="G423" i="13"/>
  <c r="I423" i="13"/>
  <c r="K423" i="13"/>
  <c r="O423" i="13"/>
  <c r="Q423" i="13"/>
  <c r="S423" i="13"/>
  <c r="L409" i="13"/>
  <c r="M409" i="13" s="1"/>
  <c r="R394" i="23"/>
  <c r="T424" i="23"/>
  <c r="U424" i="23" s="1"/>
  <c r="S394" i="23"/>
  <c r="L416" i="13"/>
  <c r="M416" i="13" s="1"/>
  <c r="L421" i="13"/>
  <c r="M421" i="13" s="1"/>
  <c r="T421" i="13"/>
  <c r="U421" i="13" s="1"/>
  <c r="V429" i="13"/>
  <c r="O270" i="23"/>
  <c r="T287" i="23"/>
  <c r="O394" i="23"/>
  <c r="T416" i="13"/>
  <c r="U416" i="13" s="1"/>
  <c r="W416" i="13" s="1"/>
  <c r="T426" i="13"/>
  <c r="U426" i="13" s="1"/>
  <c r="U436" i="13"/>
  <c r="W436" i="13" s="1"/>
  <c r="J270" i="23"/>
  <c r="L287" i="23"/>
  <c r="M287" i="23" s="1"/>
  <c r="L410" i="13"/>
  <c r="M410" i="13" s="1"/>
  <c r="V423" i="13"/>
  <c r="U431" i="13"/>
  <c r="W431" i="13" s="1"/>
  <c r="T417" i="13"/>
  <c r="T438" i="13"/>
  <c r="L438" i="13"/>
  <c r="M438" i="13" s="1"/>
  <c r="L417" i="13"/>
  <c r="M417" i="13" s="1"/>
  <c r="U432" i="13"/>
  <c r="W432" i="13" s="1"/>
  <c r="O409" i="13"/>
  <c r="T409" i="13" s="1"/>
  <c r="U409" i="13" s="1"/>
  <c r="T410" i="13"/>
  <c r="T411" i="13"/>
  <c r="U433" i="13"/>
  <c r="W433" i="13" s="1"/>
  <c r="L430" i="13"/>
  <c r="L429" i="13" s="1"/>
  <c r="U427" i="13"/>
  <c r="U428" i="13"/>
  <c r="W428" i="13" s="1"/>
  <c r="V434" i="13"/>
  <c r="U410" i="13"/>
  <c r="L418" i="13"/>
  <c r="M418" i="13" s="1"/>
  <c r="L411" i="13"/>
  <c r="M411" i="13" s="1"/>
  <c r="L95" i="13"/>
  <c r="M95" i="13" s="1"/>
  <c r="S57" i="23"/>
  <c r="S40" i="23" s="1"/>
  <c r="S23" i="23" s="1"/>
  <c r="S359" i="22"/>
  <c r="S342" i="22" s="1"/>
  <c r="R359" i="22"/>
  <c r="Q359" i="22"/>
  <c r="Q342" i="22" s="1"/>
  <c r="P359" i="22"/>
  <c r="P342" i="22" s="1"/>
  <c r="O359" i="22"/>
  <c r="O342" i="22" s="1"/>
  <c r="N359" i="22"/>
  <c r="K359" i="22"/>
  <c r="K342" i="22" s="1"/>
  <c r="J359" i="22"/>
  <c r="J342" i="22" s="1"/>
  <c r="I359" i="22"/>
  <c r="I342" i="22" s="1"/>
  <c r="H359" i="22"/>
  <c r="G359" i="22"/>
  <c r="G342" i="22" s="1"/>
  <c r="F359" i="22"/>
  <c r="F342" i="22" s="1"/>
  <c r="E358" i="22"/>
  <c r="R356" i="22"/>
  <c r="R339" i="22" s="1"/>
  <c r="Q356" i="22"/>
  <c r="Q339" i="22" s="1"/>
  <c r="P356" i="22"/>
  <c r="P339" i="22" s="1"/>
  <c r="O356" i="22"/>
  <c r="O339" i="22" s="1"/>
  <c r="N356" i="22"/>
  <c r="K356" i="22"/>
  <c r="K339" i="22" s="1"/>
  <c r="J356" i="22"/>
  <c r="J339" i="22" s="1"/>
  <c r="I356" i="22"/>
  <c r="I339" i="22" s="1"/>
  <c r="H356" i="22"/>
  <c r="H339" i="22" s="1"/>
  <c r="G356" i="22"/>
  <c r="G339" i="22" s="1"/>
  <c r="F356" i="22"/>
  <c r="E356" i="22"/>
  <c r="E357" i="22" s="1"/>
  <c r="V355" i="22"/>
  <c r="S355" i="22"/>
  <c r="S338" i="22" s="1"/>
  <c r="R355" i="22"/>
  <c r="R338" i="22" s="1"/>
  <c r="Q355" i="22"/>
  <c r="Q338" i="22" s="1"/>
  <c r="P355" i="22"/>
  <c r="P338" i="22" s="1"/>
  <c r="O355" i="22"/>
  <c r="N355" i="22"/>
  <c r="N338" i="22" s="1"/>
  <c r="K355" i="22"/>
  <c r="K361" i="22" s="1"/>
  <c r="J355" i="22"/>
  <c r="J361" i="22" s="1"/>
  <c r="I355" i="22"/>
  <c r="I361" i="22" s="1"/>
  <c r="H355" i="22"/>
  <c r="H361" i="22" s="1"/>
  <c r="G355" i="22"/>
  <c r="G361" i="22" s="1"/>
  <c r="F355" i="22"/>
  <c r="F361" i="22" s="1"/>
  <c r="V354" i="22"/>
  <c r="S354" i="22"/>
  <c r="S337" i="22" s="1"/>
  <c r="R354" i="22"/>
  <c r="R337" i="22" s="1"/>
  <c r="Q354" i="22"/>
  <c r="Q337" i="22" s="1"/>
  <c r="P354" i="22"/>
  <c r="P337" i="22" s="1"/>
  <c r="O354" i="22"/>
  <c r="N354" i="22"/>
  <c r="N337" i="22" s="1"/>
  <c r="K354" i="22"/>
  <c r="K337" i="22" s="1"/>
  <c r="J354" i="22"/>
  <c r="J337" i="22" s="1"/>
  <c r="I354" i="22"/>
  <c r="I337" i="22" s="1"/>
  <c r="H354" i="22"/>
  <c r="H337" i="22" s="1"/>
  <c r="G354" i="22"/>
  <c r="G337" i="22" s="1"/>
  <c r="F354" i="22"/>
  <c r="F337" i="22" s="1"/>
  <c r="V349" i="22"/>
  <c r="Q349" i="22"/>
  <c r="P349" i="22"/>
  <c r="P332" i="22" s="1"/>
  <c r="O349" i="22"/>
  <c r="O332" i="22" s="1"/>
  <c r="K349" i="22"/>
  <c r="J349" i="22"/>
  <c r="J332" i="22" s="1"/>
  <c r="I349" i="22"/>
  <c r="I332" i="22" s="1"/>
  <c r="H349" i="22"/>
  <c r="H332" i="22" s="1"/>
  <c r="G349" i="22"/>
  <c r="F349" i="22"/>
  <c r="F332" i="22" s="1"/>
  <c r="V348" i="22"/>
  <c r="V331" i="22" s="1"/>
  <c r="S348" i="22"/>
  <c r="S331" i="22" s="1"/>
  <c r="R348" i="22"/>
  <c r="R331" i="22" s="1"/>
  <c r="Q348" i="22"/>
  <c r="Q331" i="22" s="1"/>
  <c r="P348" i="22"/>
  <c r="P331" i="22" s="1"/>
  <c r="O348" i="22"/>
  <c r="O331" i="22" s="1"/>
  <c r="N348" i="22"/>
  <c r="N331" i="22" s="1"/>
  <c r="K348" i="22"/>
  <c r="K331" i="22" s="1"/>
  <c r="J348" i="22"/>
  <c r="J331" i="22" s="1"/>
  <c r="I348" i="22"/>
  <c r="I331" i="22" s="1"/>
  <c r="H348" i="22"/>
  <c r="G348" i="22"/>
  <c r="G331" i="22" s="1"/>
  <c r="F348" i="22"/>
  <c r="V347" i="22"/>
  <c r="V330" i="22" s="1"/>
  <c r="S347" i="22"/>
  <c r="S330" i="22" s="1"/>
  <c r="R347" i="22"/>
  <c r="R330" i="22" s="1"/>
  <c r="Q347" i="22"/>
  <c r="Q330" i="22" s="1"/>
  <c r="P347" i="22"/>
  <c r="P330" i="22" s="1"/>
  <c r="O347" i="22"/>
  <c r="O330" i="22" s="1"/>
  <c r="N347" i="22"/>
  <c r="N330" i="22" s="1"/>
  <c r="K347" i="22"/>
  <c r="J347" i="22"/>
  <c r="J330" i="22" s="1"/>
  <c r="I347" i="22"/>
  <c r="I330" i="22" s="1"/>
  <c r="H347" i="22"/>
  <c r="H330" i="22" s="1"/>
  <c r="G347" i="22"/>
  <c r="G330" i="22" s="1"/>
  <c r="F347" i="22"/>
  <c r="F330" i="22" s="1"/>
  <c r="R342" i="22"/>
  <c r="N342" i="22"/>
  <c r="H342" i="22"/>
  <c r="E341" i="22"/>
  <c r="E339" i="22"/>
  <c r="O338" i="22"/>
  <c r="O337" i="22"/>
  <c r="H331" i="22"/>
  <c r="K330" i="22"/>
  <c r="S359" i="16"/>
  <c r="R359" i="16"/>
  <c r="Q359" i="16"/>
  <c r="P359" i="16"/>
  <c r="O359" i="16"/>
  <c r="N359" i="16"/>
  <c r="K359" i="16"/>
  <c r="J359" i="16"/>
  <c r="I359" i="16"/>
  <c r="H359" i="16"/>
  <c r="G359" i="16"/>
  <c r="F359" i="16"/>
  <c r="E358" i="16"/>
  <c r="S356" i="16"/>
  <c r="R356" i="16"/>
  <c r="Q356" i="16"/>
  <c r="P356" i="16"/>
  <c r="O356" i="16"/>
  <c r="N356" i="16"/>
  <c r="K356" i="16"/>
  <c r="J356" i="16"/>
  <c r="I356" i="16"/>
  <c r="H356" i="16"/>
  <c r="G356" i="16"/>
  <c r="F356" i="16"/>
  <c r="E356" i="16"/>
  <c r="V355" i="16"/>
  <c r="S355" i="16"/>
  <c r="R355" i="16"/>
  <c r="Q355" i="16"/>
  <c r="P355" i="16"/>
  <c r="O355" i="16"/>
  <c r="N355" i="16"/>
  <c r="K355" i="16"/>
  <c r="J355" i="16"/>
  <c r="I355" i="16"/>
  <c r="H355" i="16"/>
  <c r="G355" i="16"/>
  <c r="F355" i="16"/>
  <c r="V354" i="16"/>
  <c r="S354" i="16"/>
  <c r="R354" i="16"/>
  <c r="Q354" i="16"/>
  <c r="P354" i="16"/>
  <c r="O354" i="16"/>
  <c r="N354" i="16"/>
  <c r="K354" i="16"/>
  <c r="J354" i="16"/>
  <c r="I354" i="16"/>
  <c r="H354" i="16"/>
  <c r="G354" i="16"/>
  <c r="F354" i="16"/>
  <c r="V349" i="16"/>
  <c r="S349" i="16"/>
  <c r="R349" i="16"/>
  <c r="Q349" i="16"/>
  <c r="P349" i="16"/>
  <c r="N349" i="16"/>
  <c r="K349" i="16"/>
  <c r="J349" i="16"/>
  <c r="H349" i="16"/>
  <c r="G349" i="16"/>
  <c r="F349" i="16"/>
  <c r="V348" i="16"/>
  <c r="S348" i="16"/>
  <c r="R348" i="16"/>
  <c r="Q348" i="16"/>
  <c r="P348" i="16"/>
  <c r="O348" i="16"/>
  <c r="N348" i="16"/>
  <c r="K348" i="16"/>
  <c r="J348" i="16"/>
  <c r="I348" i="16"/>
  <c r="H348" i="16"/>
  <c r="G348" i="16"/>
  <c r="F348" i="16"/>
  <c r="V347" i="16"/>
  <c r="S347" i="16"/>
  <c r="R347" i="16"/>
  <c r="Q347" i="16"/>
  <c r="P347" i="16"/>
  <c r="O347" i="16"/>
  <c r="N347" i="16"/>
  <c r="K347" i="16"/>
  <c r="J347" i="16"/>
  <c r="I347" i="16"/>
  <c r="H347" i="16"/>
  <c r="G347" i="16"/>
  <c r="F347" i="16"/>
  <c r="E341" i="16"/>
  <c r="E339" i="16"/>
  <c r="V331" i="16"/>
  <c r="V330" i="16"/>
  <c r="S359" i="13"/>
  <c r="S342" i="13" s="1"/>
  <c r="R359" i="13"/>
  <c r="R342" i="13" s="1"/>
  <c r="Q359" i="13"/>
  <c r="P359" i="13"/>
  <c r="O359" i="13"/>
  <c r="N359" i="13"/>
  <c r="K359" i="13"/>
  <c r="K342" i="13" s="1"/>
  <c r="J359" i="13"/>
  <c r="I359" i="13"/>
  <c r="I342" i="13" s="1"/>
  <c r="H359" i="13"/>
  <c r="G359" i="13"/>
  <c r="G342" i="13" s="1"/>
  <c r="F359" i="13"/>
  <c r="E358" i="13"/>
  <c r="R356" i="13"/>
  <c r="Q356" i="13"/>
  <c r="Q339" i="13" s="1"/>
  <c r="P356" i="13"/>
  <c r="O356" i="13"/>
  <c r="O339" i="13" s="1"/>
  <c r="N356" i="13"/>
  <c r="N339" i="13" s="1"/>
  <c r="K356" i="13"/>
  <c r="J356" i="13"/>
  <c r="I356" i="13"/>
  <c r="H356" i="13"/>
  <c r="G356" i="13"/>
  <c r="F356" i="13"/>
  <c r="E356" i="13"/>
  <c r="E357" i="13" s="1"/>
  <c r="V355" i="13"/>
  <c r="S355" i="13"/>
  <c r="R355" i="13"/>
  <c r="Q355" i="13"/>
  <c r="P355" i="13"/>
  <c r="O355" i="13"/>
  <c r="N355" i="13"/>
  <c r="K355" i="13"/>
  <c r="J355" i="13"/>
  <c r="I355" i="13"/>
  <c r="H355" i="13"/>
  <c r="F355" i="13"/>
  <c r="V354" i="13"/>
  <c r="S354" i="13"/>
  <c r="R354" i="13"/>
  <c r="R337" i="13" s="1"/>
  <c r="Q354" i="13"/>
  <c r="P354" i="13"/>
  <c r="P337" i="13" s="1"/>
  <c r="O354" i="13"/>
  <c r="N354" i="13"/>
  <c r="K354" i="13"/>
  <c r="K337" i="13" s="1"/>
  <c r="J354" i="13"/>
  <c r="J337" i="13" s="1"/>
  <c r="I354" i="13"/>
  <c r="H354" i="13"/>
  <c r="H337" i="13" s="1"/>
  <c r="G354" i="13"/>
  <c r="G361" i="13" s="1"/>
  <c r="F354" i="13"/>
  <c r="F337" i="13" s="1"/>
  <c r="V349" i="13"/>
  <c r="S349" i="13"/>
  <c r="S332" i="13" s="1"/>
  <c r="R349" i="13"/>
  <c r="R332" i="13" s="1"/>
  <c r="Q349" i="13"/>
  <c r="Q332" i="13" s="1"/>
  <c r="P349" i="13"/>
  <c r="P332" i="13" s="1"/>
  <c r="O349" i="13"/>
  <c r="O332" i="13" s="1"/>
  <c r="K349" i="13"/>
  <c r="K332" i="13" s="1"/>
  <c r="J349" i="13"/>
  <c r="I349" i="13"/>
  <c r="I332" i="13" s="1"/>
  <c r="H349" i="13"/>
  <c r="H332" i="13" s="1"/>
  <c r="G349" i="13"/>
  <c r="G332" i="13" s="1"/>
  <c r="F349" i="13"/>
  <c r="F332" i="13" s="1"/>
  <c r="V348" i="13"/>
  <c r="S348" i="13"/>
  <c r="R348" i="13"/>
  <c r="Q348" i="13"/>
  <c r="P348" i="13"/>
  <c r="O348" i="13"/>
  <c r="N348" i="13"/>
  <c r="K348" i="13"/>
  <c r="J348" i="13"/>
  <c r="I348" i="13"/>
  <c r="H348" i="13"/>
  <c r="G348" i="13"/>
  <c r="F348" i="13"/>
  <c r="V347" i="13"/>
  <c r="S347" i="13"/>
  <c r="R347" i="13"/>
  <c r="Q347" i="13"/>
  <c r="P347" i="13"/>
  <c r="O347" i="13"/>
  <c r="N347" i="13"/>
  <c r="K347" i="13"/>
  <c r="J347" i="13"/>
  <c r="I347" i="13"/>
  <c r="H347" i="13"/>
  <c r="G347" i="13"/>
  <c r="F347" i="13"/>
  <c r="P342" i="13"/>
  <c r="J342" i="13"/>
  <c r="H342" i="13"/>
  <c r="F342" i="13"/>
  <c r="E341" i="13"/>
  <c r="R339" i="13"/>
  <c r="P339" i="13"/>
  <c r="E339" i="13"/>
  <c r="E340" i="13" s="1"/>
  <c r="S337" i="13"/>
  <c r="I337" i="13"/>
  <c r="J332" i="13"/>
  <c r="V331" i="13"/>
  <c r="V330" i="13"/>
  <c r="S359" i="11"/>
  <c r="R359" i="11"/>
  <c r="Q359" i="11"/>
  <c r="P359" i="11"/>
  <c r="O359" i="11"/>
  <c r="N359" i="11"/>
  <c r="K359" i="11"/>
  <c r="J359" i="11"/>
  <c r="I359" i="11"/>
  <c r="H359" i="11"/>
  <c r="G359" i="11"/>
  <c r="F359" i="11"/>
  <c r="E358" i="11"/>
  <c r="Q356" i="11"/>
  <c r="P356" i="11"/>
  <c r="O356" i="11"/>
  <c r="N356" i="11"/>
  <c r="K356" i="11"/>
  <c r="J356" i="11"/>
  <c r="I356" i="11"/>
  <c r="H356" i="11"/>
  <c r="G356" i="11"/>
  <c r="F356" i="11"/>
  <c r="E356" i="11"/>
  <c r="V355" i="11"/>
  <c r="S355" i="11"/>
  <c r="R355" i="11"/>
  <c r="Q355" i="11"/>
  <c r="P355" i="11"/>
  <c r="O355" i="11"/>
  <c r="N355" i="11"/>
  <c r="K355" i="11"/>
  <c r="K361" i="11" s="1"/>
  <c r="J355" i="11"/>
  <c r="I355" i="11"/>
  <c r="I361" i="11" s="1"/>
  <c r="H355" i="11"/>
  <c r="G355" i="11"/>
  <c r="G361" i="11" s="1"/>
  <c r="F355" i="11"/>
  <c r="V354" i="11"/>
  <c r="S354" i="11"/>
  <c r="R354" i="11"/>
  <c r="Q354" i="11"/>
  <c r="P354" i="11"/>
  <c r="O354" i="11"/>
  <c r="N354" i="11"/>
  <c r="K354" i="11"/>
  <c r="J354" i="11"/>
  <c r="I354" i="11"/>
  <c r="H354" i="11"/>
  <c r="G354" i="11"/>
  <c r="F354" i="11"/>
  <c r="V349" i="11"/>
  <c r="Q349" i="11"/>
  <c r="P349" i="11"/>
  <c r="O349" i="11"/>
  <c r="N349" i="11"/>
  <c r="K349" i="11"/>
  <c r="J349" i="11"/>
  <c r="I349" i="11"/>
  <c r="H349" i="11"/>
  <c r="G349" i="11"/>
  <c r="F349" i="11"/>
  <c r="V348" i="11"/>
  <c r="S348" i="11"/>
  <c r="R348" i="11"/>
  <c r="Q348" i="11"/>
  <c r="P348" i="11"/>
  <c r="N348" i="11"/>
  <c r="K348" i="11"/>
  <c r="J348" i="11"/>
  <c r="I348" i="11"/>
  <c r="H348" i="11"/>
  <c r="G348" i="11"/>
  <c r="V347" i="11"/>
  <c r="S347" i="11"/>
  <c r="R347" i="11"/>
  <c r="Q347" i="11"/>
  <c r="P347" i="11"/>
  <c r="O347" i="11"/>
  <c r="N347" i="11"/>
  <c r="K347" i="11"/>
  <c r="J347" i="11"/>
  <c r="I347" i="11"/>
  <c r="H347" i="11"/>
  <c r="G347" i="11"/>
  <c r="F347" i="11"/>
  <c r="E339" i="11"/>
  <c r="K510" i="11"/>
  <c r="J510" i="11"/>
  <c r="I510" i="11"/>
  <c r="H510" i="11"/>
  <c r="G510" i="11"/>
  <c r="F510" i="11"/>
  <c r="K505" i="11"/>
  <c r="J505" i="11"/>
  <c r="I505" i="11"/>
  <c r="H505" i="11"/>
  <c r="G505" i="11"/>
  <c r="F505" i="11"/>
  <c r="S510" i="11"/>
  <c r="R510" i="11"/>
  <c r="Q510" i="11"/>
  <c r="P510" i="11"/>
  <c r="O510" i="11"/>
  <c r="N510" i="11"/>
  <c r="S505" i="11"/>
  <c r="Q505" i="11"/>
  <c r="P505" i="11"/>
  <c r="O505" i="11"/>
  <c r="N505" i="11"/>
  <c r="G477" i="11"/>
  <c r="H477" i="11"/>
  <c r="I477" i="11"/>
  <c r="J477" i="11"/>
  <c r="K477" i="11"/>
  <c r="H57" i="11"/>
  <c r="G57" i="11"/>
  <c r="F57" i="11"/>
  <c r="K85" i="11"/>
  <c r="I338" i="22" l="1"/>
  <c r="I344" i="22" s="1"/>
  <c r="G361" i="16"/>
  <c r="I361" i="16"/>
  <c r="K361" i="16"/>
  <c r="O361" i="16"/>
  <c r="Q361" i="16"/>
  <c r="S361" i="16"/>
  <c r="F361" i="16"/>
  <c r="H361" i="16"/>
  <c r="J361" i="16"/>
  <c r="N361" i="16"/>
  <c r="P361" i="16"/>
  <c r="R361" i="16"/>
  <c r="G337" i="13"/>
  <c r="L337" i="13" s="1"/>
  <c r="M337" i="13" s="1"/>
  <c r="H361" i="13"/>
  <c r="J361" i="13"/>
  <c r="N361" i="13"/>
  <c r="P361" i="13"/>
  <c r="R361" i="13"/>
  <c r="F361" i="13"/>
  <c r="I361" i="13"/>
  <c r="K361" i="13"/>
  <c r="O361" i="13"/>
  <c r="Q361" i="13"/>
  <c r="S361" i="13"/>
  <c r="L423" i="13"/>
  <c r="M423" i="13" s="1"/>
  <c r="L342" i="13"/>
  <c r="M342" i="13" s="1"/>
  <c r="L348" i="13"/>
  <c r="M348" i="13" s="1"/>
  <c r="T348" i="13"/>
  <c r="V361" i="13"/>
  <c r="E357" i="11"/>
  <c r="T355" i="16"/>
  <c r="U438" i="13"/>
  <c r="W438" i="13" s="1"/>
  <c r="F56" i="11"/>
  <c r="L56" i="11" s="1"/>
  <c r="F56" i="23"/>
  <c r="F39" i="23" s="1"/>
  <c r="F22" i="23" s="1"/>
  <c r="T89" i="23"/>
  <c r="O332" i="23"/>
  <c r="T332" i="23" s="1"/>
  <c r="U332" i="23" s="1"/>
  <c r="T349" i="23"/>
  <c r="U349" i="23" s="1"/>
  <c r="U287" i="23"/>
  <c r="F427" i="23"/>
  <c r="F432" i="23"/>
  <c r="F437" i="23"/>
  <c r="F438" i="23" s="1"/>
  <c r="E357" i="16"/>
  <c r="M430" i="13"/>
  <c r="M429" i="13" s="1"/>
  <c r="L270" i="23"/>
  <c r="M270" i="23" s="1"/>
  <c r="J253" i="23"/>
  <c r="L253" i="23" s="1"/>
  <c r="M253" i="23" s="1"/>
  <c r="T270" i="23"/>
  <c r="U270" i="23" s="1"/>
  <c r="L57" i="11"/>
  <c r="L359" i="11"/>
  <c r="M359" i="11" s="1"/>
  <c r="T359" i="11"/>
  <c r="L354" i="13"/>
  <c r="M354" i="13" s="1"/>
  <c r="T354" i="13"/>
  <c r="L359" i="13"/>
  <c r="M359" i="13" s="1"/>
  <c r="T359" i="13"/>
  <c r="L348" i="16"/>
  <c r="M348" i="16" s="1"/>
  <c r="L359" i="16"/>
  <c r="M359" i="16" s="1"/>
  <c r="T359" i="16"/>
  <c r="E340" i="22"/>
  <c r="V361" i="22"/>
  <c r="L348" i="22"/>
  <c r="M348" i="22" s="1"/>
  <c r="T348" i="22"/>
  <c r="T355" i="13"/>
  <c r="U417" i="13"/>
  <c r="W417" i="13" s="1"/>
  <c r="L356" i="22"/>
  <c r="M356" i="22" s="1"/>
  <c r="F339" i="22"/>
  <c r="L339" i="22" s="1"/>
  <c r="M339" i="22" s="1"/>
  <c r="L342" i="22"/>
  <c r="M342" i="22" s="1"/>
  <c r="F331" i="22"/>
  <c r="L331" i="22" s="1"/>
  <c r="M331" i="22" s="1"/>
  <c r="G332" i="22"/>
  <c r="K332" i="22"/>
  <c r="Q332" i="22"/>
  <c r="L359" i="22"/>
  <c r="M359" i="22" s="1"/>
  <c r="T359" i="22"/>
  <c r="G338" i="22"/>
  <c r="G344" i="22" s="1"/>
  <c r="K338" i="22"/>
  <c r="K344" i="22" s="1"/>
  <c r="L361" i="22"/>
  <c r="M361" i="22" s="1"/>
  <c r="N339" i="22"/>
  <c r="T331" i="22"/>
  <c r="U331" i="22" s="1"/>
  <c r="Q344" i="22"/>
  <c r="T342" i="22"/>
  <c r="L337" i="22"/>
  <c r="M337" i="22" s="1"/>
  <c r="T337" i="22"/>
  <c r="O344" i="22"/>
  <c r="S344" i="22"/>
  <c r="L330" i="22"/>
  <c r="M330" i="22" s="1"/>
  <c r="T330" i="22"/>
  <c r="E340" i="16"/>
  <c r="L354" i="16"/>
  <c r="M354" i="16" s="1"/>
  <c r="T354" i="16"/>
  <c r="T348" i="16"/>
  <c r="V361" i="16"/>
  <c r="T347" i="16"/>
  <c r="L347" i="16"/>
  <c r="M347" i="16" s="1"/>
  <c r="T430" i="13"/>
  <c r="U411" i="13"/>
  <c r="W411" i="13" s="1"/>
  <c r="T347" i="13"/>
  <c r="L347" i="13"/>
  <c r="M347" i="13" s="1"/>
  <c r="T338" i="22"/>
  <c r="N344" i="22"/>
  <c r="P344" i="22"/>
  <c r="R344" i="22"/>
  <c r="L347" i="22"/>
  <c r="M347" i="22" s="1"/>
  <c r="T347" i="22"/>
  <c r="L349" i="22"/>
  <c r="M349" i="22" s="1"/>
  <c r="L354" i="22"/>
  <c r="M354" i="22" s="1"/>
  <c r="T354" i="22"/>
  <c r="L355" i="22"/>
  <c r="M355" i="22" s="1"/>
  <c r="T355" i="22"/>
  <c r="V332" i="22"/>
  <c r="V337" i="22"/>
  <c r="F338" i="22"/>
  <c r="H338" i="22"/>
  <c r="H344" i="22" s="1"/>
  <c r="J338" i="22"/>
  <c r="J344" i="22" s="1"/>
  <c r="V338" i="22"/>
  <c r="L355" i="16"/>
  <c r="M355" i="16" s="1"/>
  <c r="L356" i="16"/>
  <c r="M356" i="16" s="1"/>
  <c r="T356" i="16"/>
  <c r="L349" i="13"/>
  <c r="M349" i="13" s="1"/>
  <c r="L355" i="13"/>
  <c r="M355" i="13" s="1"/>
  <c r="L332" i="13"/>
  <c r="M332" i="13" s="1"/>
  <c r="L356" i="13"/>
  <c r="M356" i="13" s="1"/>
  <c r="F361" i="11"/>
  <c r="H361" i="11"/>
  <c r="J361" i="11"/>
  <c r="V361" i="11"/>
  <c r="T347" i="11"/>
  <c r="L354" i="11"/>
  <c r="M354" i="11" s="1"/>
  <c r="T355" i="11"/>
  <c r="L347" i="11"/>
  <c r="M347" i="11" s="1"/>
  <c r="L349" i="11"/>
  <c r="M349" i="11" s="1"/>
  <c r="T354" i="11"/>
  <c r="L355" i="11"/>
  <c r="M355" i="11" s="1"/>
  <c r="L356" i="11"/>
  <c r="M356" i="11" s="1"/>
  <c r="T425" i="23"/>
  <c r="U425" i="23" s="1"/>
  <c r="R505" i="11"/>
  <c r="S505" i="15"/>
  <c r="S359" i="9"/>
  <c r="R359" i="9"/>
  <c r="Q359" i="9"/>
  <c r="P359" i="9"/>
  <c r="O359" i="9"/>
  <c r="N359" i="9"/>
  <c r="K359" i="9"/>
  <c r="J359" i="9"/>
  <c r="I359" i="9"/>
  <c r="H359" i="9"/>
  <c r="G359" i="9"/>
  <c r="F359" i="9"/>
  <c r="E358" i="9"/>
  <c r="R356" i="9"/>
  <c r="Q356" i="9"/>
  <c r="P356" i="9"/>
  <c r="O356" i="9"/>
  <c r="N356" i="9"/>
  <c r="K356" i="9"/>
  <c r="J356" i="9"/>
  <c r="I356" i="9"/>
  <c r="H356" i="9"/>
  <c r="G356" i="9"/>
  <c r="E356" i="9"/>
  <c r="V355" i="9"/>
  <c r="S355" i="9"/>
  <c r="R355" i="9"/>
  <c r="Q355" i="9"/>
  <c r="P355" i="9"/>
  <c r="O355" i="9"/>
  <c r="N355" i="9"/>
  <c r="K355" i="9"/>
  <c r="K361" i="9" s="1"/>
  <c r="J355" i="9"/>
  <c r="J361" i="9" s="1"/>
  <c r="I355" i="9"/>
  <c r="I361" i="9" s="1"/>
  <c r="H355" i="9"/>
  <c r="H361" i="9" s="1"/>
  <c r="G355" i="9"/>
  <c r="G361" i="9" s="1"/>
  <c r="F355" i="9"/>
  <c r="F361" i="9" s="1"/>
  <c r="V354" i="9"/>
  <c r="S354" i="9"/>
  <c r="R354" i="9"/>
  <c r="Q354" i="9"/>
  <c r="P354" i="9"/>
  <c r="O354" i="9"/>
  <c r="N354" i="9"/>
  <c r="K354" i="9"/>
  <c r="J354" i="9"/>
  <c r="I354" i="9"/>
  <c r="H354" i="9"/>
  <c r="G354" i="9"/>
  <c r="F354" i="9"/>
  <c r="V349" i="9"/>
  <c r="S349" i="9"/>
  <c r="R349" i="9"/>
  <c r="Q349" i="9"/>
  <c r="P349" i="9"/>
  <c r="O349" i="9"/>
  <c r="N349" i="9"/>
  <c r="K349" i="9"/>
  <c r="J349" i="9"/>
  <c r="I349" i="9"/>
  <c r="H349" i="9"/>
  <c r="G349" i="9"/>
  <c r="F349" i="9"/>
  <c r="V348" i="9"/>
  <c r="S348" i="9"/>
  <c r="R348" i="9"/>
  <c r="Q348" i="9"/>
  <c r="P348" i="9"/>
  <c r="O348" i="9"/>
  <c r="N348" i="9"/>
  <c r="K348" i="9"/>
  <c r="J348" i="9"/>
  <c r="I348" i="9"/>
  <c r="H348" i="9"/>
  <c r="G348" i="9"/>
  <c r="F348" i="9"/>
  <c r="V347" i="9"/>
  <c r="S347" i="9"/>
  <c r="R347" i="9"/>
  <c r="Q347" i="9"/>
  <c r="P347" i="9"/>
  <c r="O347" i="9"/>
  <c r="N347" i="9"/>
  <c r="K347" i="9"/>
  <c r="J347" i="9"/>
  <c r="I347" i="9"/>
  <c r="H347" i="9"/>
  <c r="G347" i="9"/>
  <c r="F347" i="9"/>
  <c r="S421" i="9"/>
  <c r="R421" i="9"/>
  <c r="Q421" i="9"/>
  <c r="P421" i="9"/>
  <c r="O421" i="9"/>
  <c r="N421" i="9"/>
  <c r="K421" i="9"/>
  <c r="J421" i="9"/>
  <c r="I421" i="9"/>
  <c r="H421" i="9"/>
  <c r="G421" i="9"/>
  <c r="F421" i="9"/>
  <c r="E420" i="9"/>
  <c r="R418" i="9"/>
  <c r="Q418" i="9"/>
  <c r="P418" i="9"/>
  <c r="O418" i="9"/>
  <c r="N418" i="9"/>
  <c r="K418" i="9"/>
  <c r="J418" i="9"/>
  <c r="I418" i="9"/>
  <c r="H418" i="9"/>
  <c r="G418" i="9"/>
  <c r="F418" i="9"/>
  <c r="F339" i="9" s="1"/>
  <c r="E418" i="9"/>
  <c r="E339" i="9" s="1"/>
  <c r="V417" i="9"/>
  <c r="S417" i="9"/>
  <c r="R417" i="9"/>
  <c r="Q417" i="9"/>
  <c r="P417" i="9"/>
  <c r="O417" i="9"/>
  <c r="N417" i="9"/>
  <c r="K417" i="9"/>
  <c r="K423" i="9" s="1"/>
  <c r="J417" i="9"/>
  <c r="J423" i="9" s="1"/>
  <c r="I417" i="9"/>
  <c r="I423" i="9" s="1"/>
  <c r="H417" i="9"/>
  <c r="H423" i="9" s="1"/>
  <c r="G417" i="9"/>
  <c r="G423" i="9" s="1"/>
  <c r="F417" i="9"/>
  <c r="F423" i="9" s="1"/>
  <c r="V416" i="9"/>
  <c r="S416" i="9"/>
  <c r="R416" i="9"/>
  <c r="Q416" i="9"/>
  <c r="P416" i="9"/>
  <c r="O416" i="9"/>
  <c r="N416" i="9"/>
  <c r="K416" i="9"/>
  <c r="J416" i="9"/>
  <c r="I416" i="9"/>
  <c r="H416" i="9"/>
  <c r="G416" i="9"/>
  <c r="F416" i="9"/>
  <c r="V411" i="9"/>
  <c r="S411" i="9"/>
  <c r="R411" i="9"/>
  <c r="Q411" i="9"/>
  <c r="P411" i="9"/>
  <c r="O411" i="9"/>
  <c r="N411" i="9"/>
  <c r="K411" i="9"/>
  <c r="J411" i="9"/>
  <c r="I411" i="9"/>
  <c r="H411" i="9"/>
  <c r="G411" i="9"/>
  <c r="F411" i="9"/>
  <c r="V410" i="9"/>
  <c r="S410" i="9"/>
  <c r="R410" i="9"/>
  <c r="Q410" i="9"/>
  <c r="P410" i="9"/>
  <c r="O410" i="9"/>
  <c r="N410" i="9"/>
  <c r="K410" i="9"/>
  <c r="J410" i="9"/>
  <c r="I410" i="9"/>
  <c r="H410" i="9"/>
  <c r="G410" i="9"/>
  <c r="F410" i="9"/>
  <c r="V409" i="9"/>
  <c r="S409" i="9"/>
  <c r="R409" i="9"/>
  <c r="Q409" i="9"/>
  <c r="P409" i="9"/>
  <c r="O409" i="9"/>
  <c r="N409" i="9"/>
  <c r="K409" i="9"/>
  <c r="J409" i="9"/>
  <c r="I409" i="9"/>
  <c r="H409" i="9"/>
  <c r="G409" i="9"/>
  <c r="F409" i="9"/>
  <c r="S58" i="9"/>
  <c r="V63" i="9"/>
  <c r="V70" i="9" s="1"/>
  <c r="S68" i="19"/>
  <c r="R68" i="19"/>
  <c r="Q68" i="19"/>
  <c r="P68" i="19"/>
  <c r="O68" i="19"/>
  <c r="N68" i="19"/>
  <c r="K68" i="19"/>
  <c r="J68" i="19"/>
  <c r="I68" i="19"/>
  <c r="H68" i="19"/>
  <c r="G68" i="19"/>
  <c r="F68" i="19"/>
  <c r="E67" i="19"/>
  <c r="S65" i="19"/>
  <c r="R65" i="19"/>
  <c r="Q65" i="19"/>
  <c r="P65" i="19"/>
  <c r="O65" i="19"/>
  <c r="N65" i="19"/>
  <c r="K65" i="19"/>
  <c r="J65" i="19"/>
  <c r="I65" i="19"/>
  <c r="H65" i="19"/>
  <c r="G65" i="19"/>
  <c r="F65" i="19"/>
  <c r="E65" i="19"/>
  <c r="V64" i="19"/>
  <c r="S64" i="19"/>
  <c r="R64" i="19"/>
  <c r="Q64" i="19"/>
  <c r="P64" i="19"/>
  <c r="O64" i="19"/>
  <c r="N64" i="19"/>
  <c r="K64" i="19"/>
  <c r="K70" i="19" s="1"/>
  <c r="J64" i="19"/>
  <c r="J70" i="19" s="1"/>
  <c r="I64" i="19"/>
  <c r="I70" i="19" s="1"/>
  <c r="H64" i="19"/>
  <c r="H70" i="19" s="1"/>
  <c r="G64" i="19"/>
  <c r="G70" i="19" s="1"/>
  <c r="F64" i="19"/>
  <c r="F70" i="19" s="1"/>
  <c r="V63" i="19"/>
  <c r="S63" i="19"/>
  <c r="R63" i="19"/>
  <c r="Q63" i="19"/>
  <c r="P63" i="19"/>
  <c r="O63" i="19"/>
  <c r="N63" i="19"/>
  <c r="K63" i="19"/>
  <c r="J63" i="19"/>
  <c r="I63" i="19"/>
  <c r="H63" i="19"/>
  <c r="G63" i="19"/>
  <c r="F63" i="19"/>
  <c r="S61" i="19"/>
  <c r="R61" i="19"/>
  <c r="Q61" i="19"/>
  <c r="P61" i="19"/>
  <c r="O61" i="19"/>
  <c r="N61" i="19"/>
  <c r="K61" i="19"/>
  <c r="J61" i="19"/>
  <c r="I61" i="19"/>
  <c r="H61" i="19"/>
  <c r="G61" i="19"/>
  <c r="F61" i="19"/>
  <c r="V58" i="19"/>
  <c r="S58" i="19"/>
  <c r="R58" i="19"/>
  <c r="Q58" i="19"/>
  <c r="P58" i="19"/>
  <c r="O58" i="19"/>
  <c r="N58" i="19"/>
  <c r="K58" i="19"/>
  <c r="J58" i="19"/>
  <c r="I58" i="19"/>
  <c r="H58" i="19"/>
  <c r="G58" i="19"/>
  <c r="F58" i="19"/>
  <c r="V57" i="19"/>
  <c r="S57" i="19"/>
  <c r="R57" i="19"/>
  <c r="Q57" i="19"/>
  <c r="P57" i="19"/>
  <c r="O57" i="19"/>
  <c r="N57" i="19"/>
  <c r="K57" i="19"/>
  <c r="J57" i="19"/>
  <c r="I57" i="19"/>
  <c r="H57" i="19"/>
  <c r="G57" i="19"/>
  <c r="F57" i="19"/>
  <c r="V56" i="19"/>
  <c r="S56" i="19"/>
  <c r="R56" i="19"/>
  <c r="Q56" i="19"/>
  <c r="P56" i="19"/>
  <c r="O56" i="19"/>
  <c r="N56" i="19"/>
  <c r="K56" i="19"/>
  <c r="J56" i="19"/>
  <c r="I56" i="19"/>
  <c r="H56" i="19"/>
  <c r="G56" i="19"/>
  <c r="F56" i="19"/>
  <c r="S68" i="18"/>
  <c r="R68" i="18"/>
  <c r="Q68" i="18"/>
  <c r="P68" i="18"/>
  <c r="O68" i="18"/>
  <c r="N68" i="18"/>
  <c r="K68" i="18"/>
  <c r="J68" i="18"/>
  <c r="I68" i="18"/>
  <c r="H68" i="18"/>
  <c r="G68" i="18"/>
  <c r="F68" i="18"/>
  <c r="E67" i="18"/>
  <c r="E65" i="18"/>
  <c r="K64" i="18"/>
  <c r="F64" i="18"/>
  <c r="V63" i="18"/>
  <c r="V70" i="18" s="1"/>
  <c r="S63" i="18"/>
  <c r="R63" i="18"/>
  <c r="Q63" i="18"/>
  <c r="P63" i="18"/>
  <c r="O63" i="18"/>
  <c r="O70" i="18" s="1"/>
  <c r="N63" i="18"/>
  <c r="K63" i="18"/>
  <c r="J63" i="18"/>
  <c r="I63" i="18"/>
  <c r="H63" i="18"/>
  <c r="G63" i="18"/>
  <c r="F63" i="18"/>
  <c r="R61" i="18"/>
  <c r="Q61" i="18"/>
  <c r="P61" i="18"/>
  <c r="O61" i="18"/>
  <c r="N61" i="18"/>
  <c r="K61" i="18"/>
  <c r="J61" i="18"/>
  <c r="I61" i="18"/>
  <c r="V58" i="18"/>
  <c r="V57" i="18"/>
  <c r="S57" i="18"/>
  <c r="R57" i="18"/>
  <c r="Q57" i="18"/>
  <c r="P57" i="18"/>
  <c r="O57" i="18"/>
  <c r="N57" i="18"/>
  <c r="K57" i="18"/>
  <c r="J57" i="18"/>
  <c r="I57" i="18"/>
  <c r="H57" i="18"/>
  <c r="G57" i="18"/>
  <c r="F57" i="18"/>
  <c r="V56" i="18"/>
  <c r="S56" i="18"/>
  <c r="R56" i="18"/>
  <c r="Q56" i="18"/>
  <c r="P56" i="18"/>
  <c r="O56" i="18"/>
  <c r="N56" i="18"/>
  <c r="K56" i="18"/>
  <c r="J56" i="18"/>
  <c r="I56" i="18"/>
  <c r="H56" i="18"/>
  <c r="G56" i="18"/>
  <c r="F56" i="18"/>
  <c r="S68" i="16"/>
  <c r="R68" i="16"/>
  <c r="N68" i="16"/>
  <c r="K68" i="16"/>
  <c r="J68" i="16"/>
  <c r="I68" i="16"/>
  <c r="H68" i="16"/>
  <c r="G68" i="16"/>
  <c r="F68" i="16"/>
  <c r="R67" i="16"/>
  <c r="Q67" i="16"/>
  <c r="P67" i="16"/>
  <c r="O67" i="16"/>
  <c r="N67" i="16"/>
  <c r="K67" i="16"/>
  <c r="J67" i="16"/>
  <c r="I67" i="16"/>
  <c r="I66" i="16" s="1"/>
  <c r="H67" i="16"/>
  <c r="F67" i="16"/>
  <c r="E67" i="16"/>
  <c r="E65" i="16"/>
  <c r="S64" i="16"/>
  <c r="R64" i="16"/>
  <c r="Q64" i="16"/>
  <c r="P64" i="16"/>
  <c r="O64" i="16"/>
  <c r="N64" i="16"/>
  <c r="K64" i="16"/>
  <c r="J64" i="16"/>
  <c r="I64" i="16"/>
  <c r="H64" i="16"/>
  <c r="G64" i="16"/>
  <c r="F64" i="16"/>
  <c r="S63" i="16"/>
  <c r="R63" i="16"/>
  <c r="P63" i="16"/>
  <c r="O63" i="16"/>
  <c r="N63" i="16"/>
  <c r="K63" i="16"/>
  <c r="J63" i="16"/>
  <c r="I63" i="16"/>
  <c r="H63" i="16"/>
  <c r="G63" i="16"/>
  <c r="F63" i="16"/>
  <c r="S61" i="16"/>
  <c r="R61" i="16"/>
  <c r="Q61" i="16"/>
  <c r="P61" i="16"/>
  <c r="O61" i="16"/>
  <c r="N61" i="16"/>
  <c r="K61" i="16"/>
  <c r="J61" i="16"/>
  <c r="I61" i="16"/>
  <c r="H61" i="16"/>
  <c r="G61" i="16"/>
  <c r="F61" i="16"/>
  <c r="Q60" i="16"/>
  <c r="Q62" i="16" s="1"/>
  <c r="P60" i="16"/>
  <c r="P62" i="16" s="1"/>
  <c r="O60" i="16"/>
  <c r="O62" i="16" s="1"/>
  <c r="N60" i="16"/>
  <c r="N62" i="16" s="1"/>
  <c r="K60" i="16"/>
  <c r="K62" i="16" s="1"/>
  <c r="J60" i="16"/>
  <c r="J62" i="16" s="1"/>
  <c r="I60" i="16"/>
  <c r="I62" i="16" s="1"/>
  <c r="F60" i="16"/>
  <c r="F62" i="16" s="1"/>
  <c r="V58" i="16"/>
  <c r="N59" i="16"/>
  <c r="K59" i="16"/>
  <c r="V57" i="16"/>
  <c r="S57" i="16"/>
  <c r="R57" i="16"/>
  <c r="Q57" i="16"/>
  <c r="P57" i="16"/>
  <c r="O57" i="16"/>
  <c r="N57" i="16"/>
  <c r="K57" i="16"/>
  <c r="J57" i="16"/>
  <c r="I57" i="16"/>
  <c r="H57" i="16"/>
  <c r="G57" i="16"/>
  <c r="F57" i="16"/>
  <c r="V56" i="16"/>
  <c r="S56" i="16"/>
  <c r="R56" i="16"/>
  <c r="Q56" i="16"/>
  <c r="P56" i="16"/>
  <c r="O56" i="16"/>
  <c r="N56" i="16"/>
  <c r="K56" i="16"/>
  <c r="J56" i="16"/>
  <c r="I56" i="16"/>
  <c r="H56" i="16"/>
  <c r="G56" i="16"/>
  <c r="F56" i="16"/>
  <c r="S68" i="15"/>
  <c r="R68" i="15"/>
  <c r="Q68" i="15"/>
  <c r="P68" i="15"/>
  <c r="O68" i="15"/>
  <c r="N68" i="15"/>
  <c r="K68" i="15"/>
  <c r="J68" i="15"/>
  <c r="I68" i="15"/>
  <c r="H68" i="15"/>
  <c r="G68" i="15"/>
  <c r="F68" i="15"/>
  <c r="E67" i="15"/>
  <c r="E65" i="15"/>
  <c r="V64" i="15"/>
  <c r="S64" i="15"/>
  <c r="R64" i="15"/>
  <c r="Q64" i="15"/>
  <c r="P64" i="15"/>
  <c r="O64" i="15"/>
  <c r="N64" i="15"/>
  <c r="K64" i="15"/>
  <c r="K70" i="15" s="1"/>
  <c r="J64" i="15"/>
  <c r="J70" i="15" s="1"/>
  <c r="I64" i="15"/>
  <c r="I70" i="15" s="1"/>
  <c r="H64" i="15"/>
  <c r="H70" i="15" s="1"/>
  <c r="G64" i="15"/>
  <c r="G70" i="15" s="1"/>
  <c r="F64" i="15"/>
  <c r="F70" i="15" s="1"/>
  <c r="V63" i="15"/>
  <c r="S63" i="15"/>
  <c r="R63" i="15"/>
  <c r="Q63" i="15"/>
  <c r="P63" i="15"/>
  <c r="O63" i="15"/>
  <c r="N63" i="15"/>
  <c r="K63" i="15"/>
  <c r="J63" i="15"/>
  <c r="I63" i="15"/>
  <c r="H63" i="15"/>
  <c r="G63" i="15"/>
  <c r="F63" i="15"/>
  <c r="S61" i="15"/>
  <c r="R61" i="15"/>
  <c r="Q61" i="15"/>
  <c r="P61" i="15"/>
  <c r="O61" i="15"/>
  <c r="N61" i="15"/>
  <c r="K61" i="15"/>
  <c r="J61" i="15"/>
  <c r="I61" i="15"/>
  <c r="H61" i="15"/>
  <c r="G61" i="15"/>
  <c r="F61" i="15"/>
  <c r="V58" i="15"/>
  <c r="V57" i="15"/>
  <c r="S57" i="15"/>
  <c r="R57" i="15"/>
  <c r="Q57" i="15"/>
  <c r="P57" i="15"/>
  <c r="O57" i="15"/>
  <c r="N57" i="15"/>
  <c r="K57" i="15"/>
  <c r="J57" i="15"/>
  <c r="I57" i="15"/>
  <c r="H57" i="15"/>
  <c r="G57" i="15"/>
  <c r="F57" i="15"/>
  <c r="V56" i="15"/>
  <c r="S56" i="15"/>
  <c r="R56" i="15"/>
  <c r="Q56" i="15"/>
  <c r="P56" i="15"/>
  <c r="O56" i="15"/>
  <c r="N56" i="15"/>
  <c r="K56" i="15"/>
  <c r="J56" i="15"/>
  <c r="I56" i="15"/>
  <c r="H56" i="15"/>
  <c r="G56" i="15"/>
  <c r="F56" i="15"/>
  <c r="K68" i="13"/>
  <c r="J68" i="13"/>
  <c r="I68" i="13"/>
  <c r="H68" i="13"/>
  <c r="G68" i="13"/>
  <c r="F68" i="13"/>
  <c r="R67" i="13"/>
  <c r="O67" i="13"/>
  <c r="N67" i="13"/>
  <c r="K67" i="13"/>
  <c r="I67" i="13"/>
  <c r="H67" i="13"/>
  <c r="G67" i="13"/>
  <c r="E67" i="13"/>
  <c r="E65" i="13"/>
  <c r="V64" i="13"/>
  <c r="S64" i="13"/>
  <c r="R64" i="13"/>
  <c r="Q64" i="13"/>
  <c r="P64" i="13"/>
  <c r="O64" i="13"/>
  <c r="N64" i="13"/>
  <c r="K64" i="13"/>
  <c r="J64" i="13"/>
  <c r="I64" i="13"/>
  <c r="H64" i="13"/>
  <c r="G64" i="13"/>
  <c r="F64" i="13"/>
  <c r="R63" i="13"/>
  <c r="Q63" i="13"/>
  <c r="P63" i="13"/>
  <c r="O63" i="13"/>
  <c r="N63" i="13"/>
  <c r="K63" i="13"/>
  <c r="J63" i="13"/>
  <c r="I63" i="13"/>
  <c r="H63" i="13"/>
  <c r="G63" i="13"/>
  <c r="F63" i="13"/>
  <c r="S61" i="13"/>
  <c r="R61" i="13"/>
  <c r="Q61" i="13"/>
  <c r="P61" i="13"/>
  <c r="O61" i="13"/>
  <c r="N61" i="13"/>
  <c r="K61" i="13"/>
  <c r="J61" i="13"/>
  <c r="I61" i="13"/>
  <c r="H61" i="13"/>
  <c r="G61" i="13"/>
  <c r="F61" i="13"/>
  <c r="Q60" i="13"/>
  <c r="Q62" i="13" s="1"/>
  <c r="P60" i="13"/>
  <c r="P62" i="13" s="1"/>
  <c r="O60" i="13"/>
  <c r="O62" i="13" s="1"/>
  <c r="N60" i="13"/>
  <c r="N62" i="13" s="1"/>
  <c r="K60" i="13"/>
  <c r="J60" i="13"/>
  <c r="J62" i="13" s="1"/>
  <c r="I60" i="13"/>
  <c r="G60" i="13"/>
  <c r="F60" i="13"/>
  <c r="V57" i="13"/>
  <c r="S57" i="13"/>
  <c r="R57" i="13"/>
  <c r="Q57" i="13"/>
  <c r="P57" i="13"/>
  <c r="O57" i="13"/>
  <c r="N57" i="13"/>
  <c r="K57" i="13"/>
  <c r="J57" i="13"/>
  <c r="I57" i="13"/>
  <c r="H57" i="13"/>
  <c r="G57" i="13"/>
  <c r="F57" i="13"/>
  <c r="V56" i="13"/>
  <c r="S56" i="13"/>
  <c r="R56" i="13"/>
  <c r="Q56" i="13"/>
  <c r="P56" i="13"/>
  <c r="O56" i="13"/>
  <c r="N56" i="13"/>
  <c r="K56" i="13"/>
  <c r="J56" i="13"/>
  <c r="I56" i="13"/>
  <c r="H56" i="13"/>
  <c r="G56" i="13"/>
  <c r="F56" i="13"/>
  <c r="S68" i="9"/>
  <c r="R68" i="9"/>
  <c r="Q68" i="9"/>
  <c r="P68" i="9"/>
  <c r="O68" i="9"/>
  <c r="N68" i="9"/>
  <c r="K68" i="9"/>
  <c r="J68" i="9"/>
  <c r="I68" i="9"/>
  <c r="H68" i="9"/>
  <c r="G68" i="9"/>
  <c r="F68" i="9"/>
  <c r="O66" i="9"/>
  <c r="N66" i="9"/>
  <c r="J66" i="9"/>
  <c r="F67" i="9"/>
  <c r="E67" i="9"/>
  <c r="R66" i="9"/>
  <c r="Q66" i="9"/>
  <c r="P66" i="9"/>
  <c r="E65" i="9"/>
  <c r="S64" i="9"/>
  <c r="R64" i="9"/>
  <c r="Q64" i="9"/>
  <c r="P64" i="9"/>
  <c r="O64" i="9"/>
  <c r="N64" i="9"/>
  <c r="K64" i="9"/>
  <c r="K70" i="9" s="1"/>
  <c r="J64" i="9"/>
  <c r="J70" i="9" s="1"/>
  <c r="I64" i="9"/>
  <c r="I70" i="9" s="1"/>
  <c r="H64" i="9"/>
  <c r="H70" i="9" s="1"/>
  <c r="G64" i="9"/>
  <c r="G70" i="9" s="1"/>
  <c r="F64" i="9"/>
  <c r="F70" i="9" s="1"/>
  <c r="S63" i="9"/>
  <c r="R63" i="9"/>
  <c r="Q63" i="9"/>
  <c r="P63" i="9"/>
  <c r="O63" i="9"/>
  <c r="N63" i="9"/>
  <c r="K63" i="9"/>
  <c r="J63" i="9"/>
  <c r="I63" i="9"/>
  <c r="H63" i="9"/>
  <c r="G63" i="9"/>
  <c r="F63" i="9"/>
  <c r="P59" i="9"/>
  <c r="O59" i="9"/>
  <c r="N59" i="9"/>
  <c r="V58" i="9"/>
  <c r="K59" i="9"/>
  <c r="J59" i="9"/>
  <c r="V57" i="9"/>
  <c r="S57" i="9"/>
  <c r="R57" i="9"/>
  <c r="Q57" i="9"/>
  <c r="P57" i="9"/>
  <c r="O57" i="9"/>
  <c r="N57" i="9"/>
  <c r="K57" i="9"/>
  <c r="J57" i="9"/>
  <c r="I57" i="9"/>
  <c r="H57" i="9"/>
  <c r="G57" i="9"/>
  <c r="F57" i="9"/>
  <c r="V56" i="9"/>
  <c r="S56" i="9"/>
  <c r="R56" i="9"/>
  <c r="Q56" i="9"/>
  <c r="P56" i="9"/>
  <c r="O56" i="9"/>
  <c r="N56" i="9"/>
  <c r="K56" i="9"/>
  <c r="J56" i="9"/>
  <c r="I56" i="9"/>
  <c r="H56" i="9"/>
  <c r="G56" i="9"/>
  <c r="F56" i="9"/>
  <c r="V355" i="8"/>
  <c r="V354" i="8"/>
  <c r="O457" i="23"/>
  <c r="O440" i="23" s="1"/>
  <c r="K457" i="23"/>
  <c r="K440" i="23" s="1"/>
  <c r="J480" i="8"/>
  <c r="H480" i="8"/>
  <c r="R395" i="23"/>
  <c r="O279" i="23"/>
  <c r="J271" i="23"/>
  <c r="J254" i="23" s="1"/>
  <c r="S68" i="8"/>
  <c r="R68" i="8"/>
  <c r="Q68" i="8"/>
  <c r="P68" i="8"/>
  <c r="O68" i="8"/>
  <c r="N68" i="8"/>
  <c r="K68" i="8"/>
  <c r="J68" i="8"/>
  <c r="I68" i="8"/>
  <c r="H68" i="8"/>
  <c r="G68" i="8"/>
  <c r="F68" i="8"/>
  <c r="E67" i="8"/>
  <c r="E65" i="8"/>
  <c r="E66" i="8" s="1"/>
  <c r="V64" i="8"/>
  <c r="S64" i="8"/>
  <c r="R64" i="8"/>
  <c r="Q64" i="8"/>
  <c r="P64" i="8"/>
  <c r="O64" i="8"/>
  <c r="N64" i="8"/>
  <c r="K64" i="8"/>
  <c r="K70" i="8" s="1"/>
  <c r="J64" i="8"/>
  <c r="J70" i="8" s="1"/>
  <c r="I64" i="8"/>
  <c r="I70" i="8" s="1"/>
  <c r="H64" i="8"/>
  <c r="H70" i="8" s="1"/>
  <c r="G70" i="8"/>
  <c r="F64" i="8"/>
  <c r="F70" i="8" s="1"/>
  <c r="V63" i="8"/>
  <c r="S63" i="8"/>
  <c r="R63" i="8"/>
  <c r="Q63" i="8"/>
  <c r="P63" i="8"/>
  <c r="O63" i="8"/>
  <c r="N63" i="8"/>
  <c r="K63" i="8"/>
  <c r="J63" i="8"/>
  <c r="I63" i="8"/>
  <c r="H63" i="8"/>
  <c r="G63" i="8"/>
  <c r="F63" i="8"/>
  <c r="S61" i="8"/>
  <c r="R61" i="8"/>
  <c r="Q61" i="8"/>
  <c r="P61" i="8"/>
  <c r="O61" i="8"/>
  <c r="K61" i="8"/>
  <c r="J61" i="8"/>
  <c r="I61" i="8"/>
  <c r="H61" i="8"/>
  <c r="G61" i="8"/>
  <c r="F61" i="8"/>
  <c r="G60" i="8"/>
  <c r="G59" i="8" s="1"/>
  <c r="F60" i="8"/>
  <c r="F62" i="8" s="1"/>
  <c r="V57" i="8"/>
  <c r="S57" i="8"/>
  <c r="R57" i="8"/>
  <c r="Q57" i="8"/>
  <c r="P57" i="8"/>
  <c r="O57" i="8"/>
  <c r="N57" i="8"/>
  <c r="K57" i="8"/>
  <c r="J57" i="8"/>
  <c r="I57" i="8"/>
  <c r="V56" i="8"/>
  <c r="S56" i="8"/>
  <c r="R56" i="8"/>
  <c r="Q56" i="8"/>
  <c r="P56" i="8"/>
  <c r="O56" i="8"/>
  <c r="N56" i="8"/>
  <c r="K56" i="8"/>
  <c r="J56" i="8"/>
  <c r="I56" i="8"/>
  <c r="H56" i="8"/>
  <c r="G56" i="8"/>
  <c r="F56" i="8"/>
  <c r="S44" i="19"/>
  <c r="R44" i="19"/>
  <c r="Q44" i="19"/>
  <c r="P44" i="19"/>
  <c r="O44" i="19"/>
  <c r="N44" i="19"/>
  <c r="K44" i="19"/>
  <c r="J44" i="19"/>
  <c r="I44" i="19"/>
  <c r="H44" i="19"/>
  <c r="G44" i="19"/>
  <c r="F44" i="19"/>
  <c r="V40" i="19"/>
  <c r="V39" i="19"/>
  <c r="S44" i="18"/>
  <c r="R44" i="18"/>
  <c r="Q44" i="18"/>
  <c r="P44" i="18"/>
  <c r="O44" i="18"/>
  <c r="N44" i="18"/>
  <c r="K44" i="18"/>
  <c r="J44" i="18"/>
  <c r="I44" i="18"/>
  <c r="S44" i="16"/>
  <c r="R44" i="16"/>
  <c r="Q44" i="16"/>
  <c r="P44" i="16"/>
  <c r="O44" i="16"/>
  <c r="N44" i="16"/>
  <c r="K44" i="16"/>
  <c r="J44" i="16"/>
  <c r="I44" i="16"/>
  <c r="H44" i="16"/>
  <c r="G44" i="16"/>
  <c r="F44" i="16"/>
  <c r="S44" i="15"/>
  <c r="R44" i="15"/>
  <c r="Q44" i="15"/>
  <c r="P44" i="15"/>
  <c r="O44" i="15"/>
  <c r="N44" i="15"/>
  <c r="K44" i="15"/>
  <c r="J44" i="15"/>
  <c r="I44" i="15"/>
  <c r="H44" i="15"/>
  <c r="G44" i="15"/>
  <c r="F44" i="15"/>
  <c r="S44" i="13"/>
  <c r="R44" i="13"/>
  <c r="Q44" i="13"/>
  <c r="P44" i="13"/>
  <c r="O44" i="13"/>
  <c r="N44" i="13"/>
  <c r="K44" i="13"/>
  <c r="J44" i="13"/>
  <c r="I44" i="13"/>
  <c r="H44" i="13"/>
  <c r="G44" i="13"/>
  <c r="F44" i="13"/>
  <c r="S44" i="8"/>
  <c r="R44" i="8"/>
  <c r="Q44" i="8"/>
  <c r="P44" i="8"/>
  <c r="O44" i="8"/>
  <c r="K44" i="8"/>
  <c r="J44" i="8"/>
  <c r="I44" i="8"/>
  <c r="H44" i="8"/>
  <c r="G44" i="8"/>
  <c r="F44" i="8"/>
  <c r="T89" i="8"/>
  <c r="R67" i="8"/>
  <c r="Q67" i="8"/>
  <c r="P67" i="8"/>
  <c r="O67" i="8"/>
  <c r="N67" i="8"/>
  <c r="K67" i="8"/>
  <c r="H57" i="8"/>
  <c r="G57" i="8"/>
  <c r="V417" i="7"/>
  <c r="V416" i="7"/>
  <c r="V355" i="7"/>
  <c r="V354" i="7"/>
  <c r="T520" i="23"/>
  <c r="U520" i="23" s="1"/>
  <c r="P427" i="23"/>
  <c r="O427" i="23"/>
  <c r="N427" i="23"/>
  <c r="J417" i="23"/>
  <c r="T364" i="7"/>
  <c r="L364" i="7"/>
  <c r="M364" i="7" s="1"/>
  <c r="F66" i="9" l="1"/>
  <c r="L56" i="19"/>
  <c r="M56" i="19" s="1"/>
  <c r="T56" i="19"/>
  <c r="U56" i="19" s="1"/>
  <c r="L70" i="19"/>
  <c r="M70" i="19" s="1"/>
  <c r="L361" i="16"/>
  <c r="M361" i="16" s="1"/>
  <c r="T361" i="13"/>
  <c r="U348" i="13"/>
  <c r="L361" i="13"/>
  <c r="U361" i="13" s="1"/>
  <c r="W361" i="13" s="1"/>
  <c r="L410" i="9"/>
  <c r="M410" i="9" s="1"/>
  <c r="L416" i="9"/>
  <c r="M416" i="9" s="1"/>
  <c r="T416" i="9"/>
  <c r="L68" i="8"/>
  <c r="M68" i="8" s="1"/>
  <c r="T68" i="8"/>
  <c r="M361" i="13"/>
  <c r="I59" i="16"/>
  <c r="U337" i="22"/>
  <c r="W337" i="22" s="1"/>
  <c r="S395" i="23"/>
  <c r="I70" i="13"/>
  <c r="I71" i="13" s="1"/>
  <c r="E66" i="9"/>
  <c r="L348" i="9"/>
  <c r="M348" i="9" s="1"/>
  <c r="U354" i="16"/>
  <c r="W354" i="16" s="1"/>
  <c r="O62" i="9"/>
  <c r="T135" i="23"/>
  <c r="U135" i="23" s="1"/>
  <c r="W135" i="23" s="1"/>
  <c r="S140" i="9"/>
  <c r="T410" i="9"/>
  <c r="U410" i="9" s="1"/>
  <c r="F59" i="8"/>
  <c r="F57" i="8"/>
  <c r="L57" i="8" s="1"/>
  <c r="U359" i="11"/>
  <c r="U359" i="13"/>
  <c r="P59" i="16"/>
  <c r="O59" i="16"/>
  <c r="Q59" i="16"/>
  <c r="U348" i="22"/>
  <c r="U359" i="16"/>
  <c r="L68" i="9"/>
  <c r="M68" i="9" s="1"/>
  <c r="T68" i="9"/>
  <c r="K59" i="13"/>
  <c r="L61" i="19"/>
  <c r="M61" i="19" s="1"/>
  <c r="E66" i="19"/>
  <c r="L421" i="9"/>
  <c r="M421" i="9" s="1"/>
  <c r="U354" i="13"/>
  <c r="W354" i="13" s="1"/>
  <c r="U347" i="13"/>
  <c r="U348" i="16"/>
  <c r="L354" i="9"/>
  <c r="M354" i="9" s="1"/>
  <c r="U347" i="16"/>
  <c r="L61" i="8"/>
  <c r="M61" i="8" s="1"/>
  <c r="L56" i="8"/>
  <c r="M56" i="8" s="1"/>
  <c r="L63" i="8"/>
  <c r="M63" i="8" s="1"/>
  <c r="T63" i="8"/>
  <c r="T57" i="16"/>
  <c r="F70" i="13"/>
  <c r="H70" i="13"/>
  <c r="H71" i="13" s="1"/>
  <c r="J70" i="13"/>
  <c r="V70" i="13"/>
  <c r="G70" i="16"/>
  <c r="I70" i="16"/>
  <c r="I71" i="16" s="1"/>
  <c r="K70" i="16"/>
  <c r="K71" i="16" s="1"/>
  <c r="O70" i="16"/>
  <c r="O71" i="16" s="1"/>
  <c r="Q70" i="16"/>
  <c r="Q71" i="16" s="1"/>
  <c r="F70" i="18"/>
  <c r="T354" i="9"/>
  <c r="O338" i="9"/>
  <c r="E357" i="9"/>
  <c r="L359" i="9"/>
  <c r="M359" i="9" s="1"/>
  <c r="T359" i="9"/>
  <c r="U354" i="11"/>
  <c r="X359" i="11" s="1"/>
  <c r="G70" i="13"/>
  <c r="G71" i="13" s="1"/>
  <c r="K70" i="13"/>
  <c r="F70" i="16"/>
  <c r="H70" i="16"/>
  <c r="J70" i="16"/>
  <c r="J71" i="16" s="1"/>
  <c r="N70" i="16"/>
  <c r="P70" i="16"/>
  <c r="R70" i="16"/>
  <c r="R71" i="16" s="1"/>
  <c r="K70" i="18"/>
  <c r="S70" i="16"/>
  <c r="L44" i="8"/>
  <c r="M44" i="8" s="1"/>
  <c r="I59" i="13"/>
  <c r="O253" i="23"/>
  <c r="T253" i="23" s="1"/>
  <c r="U253" i="23" s="1"/>
  <c r="L68" i="16"/>
  <c r="M68" i="16" s="1"/>
  <c r="L56" i="18"/>
  <c r="M56" i="18" s="1"/>
  <c r="L365" i="7"/>
  <c r="M365" i="7" s="1"/>
  <c r="K271" i="23"/>
  <c r="K254" i="23" s="1"/>
  <c r="T365" i="7"/>
  <c r="U365" i="7" s="1"/>
  <c r="Q295" i="23"/>
  <c r="Q300" i="23"/>
  <c r="I300" i="23"/>
  <c r="I295" i="23"/>
  <c r="P333" i="23"/>
  <c r="T333" i="23" s="1"/>
  <c r="T350" i="23"/>
  <c r="N403" i="23"/>
  <c r="N422" i="23"/>
  <c r="N417" i="23"/>
  <c r="N432" i="23"/>
  <c r="N437" i="23"/>
  <c r="I432" i="23"/>
  <c r="I437" i="23"/>
  <c r="T490" i="23"/>
  <c r="T57" i="8"/>
  <c r="N279" i="23"/>
  <c r="Q394" i="23"/>
  <c r="T394" i="23" s="1"/>
  <c r="U394" i="23" s="1"/>
  <c r="T409" i="23"/>
  <c r="U409" i="23" s="1"/>
  <c r="T568" i="23"/>
  <c r="L88" i="23"/>
  <c r="Q290" i="23"/>
  <c r="N300" i="23"/>
  <c r="N295" i="23"/>
  <c r="J300" i="23"/>
  <c r="J295" i="23"/>
  <c r="I333" i="23"/>
  <c r="L350" i="23"/>
  <c r="M350" i="23" s="1"/>
  <c r="T356" i="23"/>
  <c r="U356" i="23" s="1"/>
  <c r="J422" i="23"/>
  <c r="Q427" i="23"/>
  <c r="Q432" i="23"/>
  <c r="Q437" i="23"/>
  <c r="L134" i="8"/>
  <c r="L134" i="23"/>
  <c r="K279" i="23"/>
  <c r="L294" i="23"/>
  <c r="M294" i="23" s="1"/>
  <c r="O395" i="23"/>
  <c r="T410" i="23"/>
  <c r="U410" i="23" s="1"/>
  <c r="K465" i="23"/>
  <c r="K448" i="23" s="1"/>
  <c r="T61" i="9"/>
  <c r="G59" i="13"/>
  <c r="J59" i="13"/>
  <c r="N59" i="13"/>
  <c r="P59" i="13"/>
  <c r="F62" i="13"/>
  <c r="L63" i="15"/>
  <c r="M63" i="15" s="1"/>
  <c r="T63" i="15"/>
  <c r="E66" i="15"/>
  <c r="L68" i="15"/>
  <c r="M68" i="15" s="1"/>
  <c r="T68" i="15"/>
  <c r="L61" i="16"/>
  <c r="M61" i="16" s="1"/>
  <c r="T61" i="16"/>
  <c r="L63" i="16"/>
  <c r="M63" i="16" s="1"/>
  <c r="E66" i="18"/>
  <c r="T421" i="9"/>
  <c r="U421" i="9" s="1"/>
  <c r="L347" i="9"/>
  <c r="M347" i="9" s="1"/>
  <c r="U359" i="22"/>
  <c r="T23" i="23"/>
  <c r="T40" i="23"/>
  <c r="T57" i="23"/>
  <c r="L44" i="16"/>
  <c r="M44" i="16" s="1"/>
  <c r="T44" i="18"/>
  <c r="T68" i="18"/>
  <c r="N60" i="8"/>
  <c r="N59" i="8" s="1"/>
  <c r="S60" i="8"/>
  <c r="S59" i="8" s="1"/>
  <c r="L89" i="8"/>
  <c r="M89" i="8" s="1"/>
  <c r="U364" i="7"/>
  <c r="I437" i="7"/>
  <c r="T56" i="8"/>
  <c r="O70" i="8"/>
  <c r="O71" i="8" s="1"/>
  <c r="Q70" i="8"/>
  <c r="Q71" i="8" s="1"/>
  <c r="S70" i="8"/>
  <c r="I66" i="8"/>
  <c r="K66" i="8"/>
  <c r="O66" i="8"/>
  <c r="Q66" i="8"/>
  <c r="L57" i="9"/>
  <c r="M57" i="9" s="1"/>
  <c r="L63" i="9"/>
  <c r="M63" i="9" s="1"/>
  <c r="T63" i="9"/>
  <c r="N70" i="9"/>
  <c r="N71" i="9" s="1"/>
  <c r="P70" i="9"/>
  <c r="P71" i="9" s="1"/>
  <c r="R70" i="9"/>
  <c r="R71" i="9" s="1"/>
  <c r="V423" i="9"/>
  <c r="T348" i="9"/>
  <c r="U348" i="9" s="1"/>
  <c r="V361" i="9"/>
  <c r="G339" i="9"/>
  <c r="I339" i="9"/>
  <c r="K339" i="9"/>
  <c r="O339" i="9"/>
  <c r="Q339" i="9"/>
  <c r="E341" i="9"/>
  <c r="E340" i="9" s="1"/>
  <c r="M56" i="11"/>
  <c r="U56" i="11"/>
  <c r="M57" i="11"/>
  <c r="U57" i="11"/>
  <c r="N70" i="8"/>
  <c r="N71" i="8" s="1"/>
  <c r="P70" i="8"/>
  <c r="R70" i="8"/>
  <c r="R71" i="8" s="1"/>
  <c r="V70" i="8"/>
  <c r="R66" i="8"/>
  <c r="O70" i="9"/>
  <c r="Q70" i="9"/>
  <c r="Q71" i="9" s="1"/>
  <c r="S70" i="9"/>
  <c r="T57" i="15"/>
  <c r="L409" i="9"/>
  <c r="M409" i="9" s="1"/>
  <c r="T409" i="9"/>
  <c r="T347" i="9"/>
  <c r="H339" i="9"/>
  <c r="J339" i="9"/>
  <c r="N339" i="9"/>
  <c r="P339" i="9"/>
  <c r="R339" i="9"/>
  <c r="N70" i="19"/>
  <c r="P70" i="19"/>
  <c r="R70" i="19"/>
  <c r="V70" i="19"/>
  <c r="T61" i="19"/>
  <c r="E419" i="9"/>
  <c r="G62" i="8"/>
  <c r="U355" i="11"/>
  <c r="W355" i="11" s="1"/>
  <c r="T355" i="9"/>
  <c r="T417" i="9"/>
  <c r="L356" i="9"/>
  <c r="M356" i="9" s="1"/>
  <c r="L418" i="9"/>
  <c r="M418" i="9" s="1"/>
  <c r="F59" i="9"/>
  <c r="U330" i="22"/>
  <c r="U342" i="22"/>
  <c r="X342" i="22" s="1"/>
  <c r="L332" i="22"/>
  <c r="L44" i="19"/>
  <c r="M44" i="19" s="1"/>
  <c r="T44" i="19"/>
  <c r="L57" i="19"/>
  <c r="M57" i="19" s="1"/>
  <c r="T57" i="19"/>
  <c r="L63" i="19"/>
  <c r="M63" i="19" s="1"/>
  <c r="T63" i="19"/>
  <c r="O70" i="19"/>
  <c r="Q70" i="19"/>
  <c r="S70" i="19"/>
  <c r="L68" i="19"/>
  <c r="M68" i="19" s="1"/>
  <c r="T68" i="19"/>
  <c r="L68" i="18"/>
  <c r="M68" i="18" s="1"/>
  <c r="L63" i="18"/>
  <c r="M63" i="18" s="1"/>
  <c r="T63" i="18"/>
  <c r="Q70" i="18"/>
  <c r="L57" i="18"/>
  <c r="M57" i="18" s="1"/>
  <c r="T57" i="18"/>
  <c r="T61" i="18"/>
  <c r="N70" i="18"/>
  <c r="P70" i="18"/>
  <c r="R70" i="18"/>
  <c r="T56" i="18"/>
  <c r="U355" i="16"/>
  <c r="W355" i="16" s="1"/>
  <c r="E66" i="16"/>
  <c r="T44" i="16"/>
  <c r="P71" i="16"/>
  <c r="F66" i="16"/>
  <c r="H66" i="16"/>
  <c r="J66" i="16"/>
  <c r="N66" i="16"/>
  <c r="P66" i="16"/>
  <c r="R66" i="16"/>
  <c r="T63" i="16"/>
  <c r="N71" i="16"/>
  <c r="K66" i="16"/>
  <c r="L57" i="16"/>
  <c r="M57" i="16" s="1"/>
  <c r="O66" i="16"/>
  <c r="Q66" i="16"/>
  <c r="F59" i="16"/>
  <c r="J59" i="16"/>
  <c r="T56" i="16"/>
  <c r="L56" i="16"/>
  <c r="M56" i="16" s="1"/>
  <c r="O70" i="15"/>
  <c r="Q70" i="15"/>
  <c r="S70" i="15"/>
  <c r="L56" i="15"/>
  <c r="M56" i="15" s="1"/>
  <c r="V70" i="15"/>
  <c r="L44" i="15"/>
  <c r="M44" i="15" s="1"/>
  <c r="L61" i="15"/>
  <c r="M61" i="15" s="1"/>
  <c r="T44" i="15"/>
  <c r="U44" i="15" s="1"/>
  <c r="N70" i="15"/>
  <c r="P70" i="15"/>
  <c r="R70" i="15"/>
  <c r="L65" i="15"/>
  <c r="M65" i="15" s="1"/>
  <c r="T56" i="15"/>
  <c r="L57" i="15"/>
  <c r="M57" i="15" s="1"/>
  <c r="L70" i="15"/>
  <c r="M70" i="15" s="1"/>
  <c r="T61" i="15"/>
  <c r="U430" i="13"/>
  <c r="T429" i="13"/>
  <c r="P70" i="13"/>
  <c r="R70" i="13"/>
  <c r="R71" i="13" s="1"/>
  <c r="T44" i="13"/>
  <c r="L57" i="13"/>
  <c r="M57" i="13" s="1"/>
  <c r="T57" i="13"/>
  <c r="T61" i="13"/>
  <c r="L63" i="13"/>
  <c r="M63" i="13" s="1"/>
  <c r="T63" i="13"/>
  <c r="O70" i="13"/>
  <c r="O71" i="13" s="1"/>
  <c r="Q70" i="13"/>
  <c r="S70" i="13"/>
  <c r="E66" i="13"/>
  <c r="G66" i="13"/>
  <c r="I66" i="13"/>
  <c r="O66" i="13"/>
  <c r="L68" i="13"/>
  <c r="M68" i="13" s="1"/>
  <c r="K66" i="13"/>
  <c r="F59" i="13"/>
  <c r="O59" i="13"/>
  <c r="Q59" i="13"/>
  <c r="N70" i="13"/>
  <c r="N71" i="13" s="1"/>
  <c r="L65" i="13"/>
  <c r="T56" i="13"/>
  <c r="L56" i="13"/>
  <c r="M56" i="13" s="1"/>
  <c r="K71" i="13"/>
  <c r="L44" i="13"/>
  <c r="M44" i="13" s="1"/>
  <c r="G62" i="13"/>
  <c r="I62" i="13"/>
  <c r="K62" i="13"/>
  <c r="L61" i="13"/>
  <c r="M61" i="13" s="1"/>
  <c r="L338" i="22"/>
  <c r="M338" i="22" s="1"/>
  <c r="F344" i="22"/>
  <c r="L344" i="22" s="1"/>
  <c r="M344" i="22" s="1"/>
  <c r="V344" i="22"/>
  <c r="U355" i="22"/>
  <c r="U354" i="22"/>
  <c r="U347" i="22"/>
  <c r="T344" i="22"/>
  <c r="U356" i="16"/>
  <c r="X359" i="16"/>
  <c r="X359" i="13"/>
  <c r="U355" i="13"/>
  <c r="L361" i="11"/>
  <c r="U347" i="11"/>
  <c r="W354" i="11"/>
  <c r="L361" i="9"/>
  <c r="M361" i="9" s="1"/>
  <c r="L349" i="9"/>
  <c r="M349" i="9" s="1"/>
  <c r="T349" i="9"/>
  <c r="L355" i="9"/>
  <c r="M355" i="9" s="1"/>
  <c r="L423" i="9"/>
  <c r="M423" i="9" s="1"/>
  <c r="L411" i="9"/>
  <c r="M411" i="9" s="1"/>
  <c r="T411" i="9"/>
  <c r="L417" i="9"/>
  <c r="M417" i="9" s="1"/>
  <c r="N62" i="9"/>
  <c r="P62" i="9"/>
  <c r="G66" i="9"/>
  <c r="S62" i="9"/>
  <c r="T57" i="9"/>
  <c r="J62" i="9"/>
  <c r="T56" i="9"/>
  <c r="L56" i="9"/>
  <c r="M56" i="9" s="1"/>
  <c r="L58" i="19"/>
  <c r="M58" i="19" s="1"/>
  <c r="T58" i="19"/>
  <c r="L64" i="19"/>
  <c r="M64" i="19" s="1"/>
  <c r="T64" i="19"/>
  <c r="L65" i="19"/>
  <c r="M65" i="19" s="1"/>
  <c r="T65" i="19"/>
  <c r="L58" i="18"/>
  <c r="M58" i="18" s="1"/>
  <c r="T58" i="18"/>
  <c r="L65" i="18"/>
  <c r="M65" i="18" s="1"/>
  <c r="F71" i="16"/>
  <c r="F72" i="16" s="1"/>
  <c r="H71" i="16"/>
  <c r="L64" i="16"/>
  <c r="M64" i="16" s="1"/>
  <c r="T64" i="16"/>
  <c r="L65" i="16"/>
  <c r="M65" i="16" s="1"/>
  <c r="U63" i="15"/>
  <c r="T58" i="15"/>
  <c r="L64" i="15"/>
  <c r="M64" i="15" s="1"/>
  <c r="T64" i="15"/>
  <c r="L64" i="13"/>
  <c r="M64" i="13" s="1"/>
  <c r="T64" i="13"/>
  <c r="H66" i="13"/>
  <c r="N66" i="13"/>
  <c r="R66" i="13"/>
  <c r="L70" i="9"/>
  <c r="M70" i="9" s="1"/>
  <c r="F71" i="9"/>
  <c r="F72" i="9" s="1"/>
  <c r="J71" i="9"/>
  <c r="O71" i="9"/>
  <c r="L58" i="9"/>
  <c r="M58" i="9" s="1"/>
  <c r="T58" i="9"/>
  <c r="L64" i="9"/>
  <c r="M64" i="9" s="1"/>
  <c r="T64" i="9"/>
  <c r="L65" i="9"/>
  <c r="M65" i="9" s="1"/>
  <c r="T44" i="9"/>
  <c r="L70" i="8"/>
  <c r="M70" i="8" s="1"/>
  <c r="H71" i="8"/>
  <c r="P71" i="8"/>
  <c r="I71" i="8"/>
  <c r="K71" i="8"/>
  <c r="U68" i="8"/>
  <c r="T58" i="8"/>
  <c r="L64" i="8"/>
  <c r="M64" i="8" s="1"/>
  <c r="T64" i="8"/>
  <c r="H66" i="8"/>
  <c r="N66" i="8"/>
  <c r="P66" i="8"/>
  <c r="H57" i="23"/>
  <c r="H40" i="23" s="1"/>
  <c r="H23" i="23" s="1"/>
  <c r="G57" i="23"/>
  <c r="G40" i="23" s="1"/>
  <c r="G23" i="23" s="1"/>
  <c r="S65" i="9" l="1"/>
  <c r="S142" i="9"/>
  <c r="S67" i="9" s="1"/>
  <c r="U68" i="19"/>
  <c r="U61" i="19"/>
  <c r="U57" i="13"/>
  <c r="U359" i="9"/>
  <c r="U354" i="9"/>
  <c r="W354" i="9" s="1"/>
  <c r="U68" i="9"/>
  <c r="U416" i="9"/>
  <c r="W416" i="9" s="1"/>
  <c r="U57" i="9"/>
  <c r="U56" i="9"/>
  <c r="U63" i="8"/>
  <c r="W63" i="8" s="1"/>
  <c r="U56" i="8"/>
  <c r="O465" i="23"/>
  <c r="O448" i="23" s="1"/>
  <c r="P465" i="23"/>
  <c r="P448" i="23" s="1"/>
  <c r="T395" i="23"/>
  <c r="U395" i="23" s="1"/>
  <c r="M65" i="13"/>
  <c r="U56" i="18"/>
  <c r="U44" i="19"/>
  <c r="U63" i="9"/>
  <c r="W63" i="9" s="1"/>
  <c r="L70" i="13"/>
  <c r="M70" i="13" s="1"/>
  <c r="L70" i="16"/>
  <c r="M70" i="16" s="1"/>
  <c r="U57" i="15"/>
  <c r="M57" i="8"/>
  <c r="U57" i="8"/>
  <c r="T70" i="8"/>
  <c r="U70" i="8" s="1"/>
  <c r="W70" i="8" s="1"/>
  <c r="U68" i="15"/>
  <c r="T70" i="9"/>
  <c r="U70" i="9" s="1"/>
  <c r="W70" i="9" s="1"/>
  <c r="U44" i="13"/>
  <c r="U68" i="18"/>
  <c r="U61" i="16"/>
  <c r="O300" i="23"/>
  <c r="O295" i="23"/>
  <c r="U57" i="19"/>
  <c r="U409" i="9"/>
  <c r="U347" i="9"/>
  <c r="U56" i="15"/>
  <c r="U56" i="16"/>
  <c r="U56" i="13"/>
  <c r="U61" i="13"/>
  <c r="U44" i="16"/>
  <c r="U63" i="16"/>
  <c r="W63" i="16" s="1"/>
  <c r="K295" i="23"/>
  <c r="K300" i="23"/>
  <c r="F57" i="7"/>
  <c r="F57" i="23"/>
  <c r="F40" i="23" s="1"/>
  <c r="F23" i="23" s="1"/>
  <c r="U63" i="13"/>
  <c r="W63" i="13" s="1"/>
  <c r="U61" i="15"/>
  <c r="U63" i="18"/>
  <c r="W63" i="18" s="1"/>
  <c r="U89" i="8"/>
  <c r="L39" i="23"/>
  <c r="L22" i="23"/>
  <c r="L56" i="23"/>
  <c r="N457" i="23"/>
  <c r="N440" i="23" s="1"/>
  <c r="T551" i="23"/>
  <c r="T473" i="23"/>
  <c r="O456" i="23"/>
  <c r="O439" i="23" s="1"/>
  <c r="U350" i="23"/>
  <c r="T70" i="15"/>
  <c r="U70" i="15" s="1"/>
  <c r="W70" i="15" s="1"/>
  <c r="K262" i="23"/>
  <c r="L262" i="23" s="1"/>
  <c r="M262" i="23" s="1"/>
  <c r="L279" i="23"/>
  <c r="M279" i="23" s="1"/>
  <c r="M134" i="23"/>
  <c r="U134" i="23"/>
  <c r="L333" i="23"/>
  <c r="M333" i="23" s="1"/>
  <c r="I254" i="23"/>
  <c r="M88" i="23"/>
  <c r="U88" i="23"/>
  <c r="J465" i="23"/>
  <c r="J448" i="23" s="1"/>
  <c r="L574" i="23"/>
  <c r="M574" i="23" s="1"/>
  <c r="N262" i="23"/>
  <c r="N407" i="23"/>
  <c r="N402" i="23"/>
  <c r="S62" i="8"/>
  <c r="H57" i="7"/>
  <c r="O67" i="7"/>
  <c r="Q67" i="7"/>
  <c r="N60" i="7"/>
  <c r="P60" i="7"/>
  <c r="R60" i="7"/>
  <c r="G57" i="7"/>
  <c r="N67" i="7"/>
  <c r="R67" i="7"/>
  <c r="O60" i="7"/>
  <c r="Q60" i="7"/>
  <c r="K67" i="7"/>
  <c r="U57" i="16"/>
  <c r="U57" i="18"/>
  <c r="U63" i="19"/>
  <c r="X68" i="19" s="1"/>
  <c r="S59" i="9"/>
  <c r="U338" i="22"/>
  <c r="W338" i="22" s="1"/>
  <c r="T70" i="13"/>
  <c r="U65" i="19"/>
  <c r="T70" i="19"/>
  <c r="U70" i="19" s="1"/>
  <c r="W70" i="19" s="1"/>
  <c r="T70" i="16"/>
  <c r="U64" i="8"/>
  <c r="W64" i="8" s="1"/>
  <c r="M332" i="22"/>
  <c r="U344" i="22"/>
  <c r="W344" i="22" s="1"/>
  <c r="U64" i="15"/>
  <c r="W64" i="15" s="1"/>
  <c r="U429" i="13"/>
  <c r="W430" i="13"/>
  <c r="W429" i="13" s="1"/>
  <c r="W355" i="22"/>
  <c r="X359" i="22"/>
  <c r="W354" i="22"/>
  <c r="W355" i="13"/>
  <c r="M361" i="11"/>
  <c r="U349" i="9"/>
  <c r="W349" i="9" s="1"/>
  <c r="U355" i="9"/>
  <c r="W355" i="9" s="1"/>
  <c r="U411" i="9"/>
  <c r="W411" i="9" s="1"/>
  <c r="U417" i="9"/>
  <c r="W417" i="9" s="1"/>
  <c r="G71" i="9"/>
  <c r="G72" i="9" s="1"/>
  <c r="U64" i="9"/>
  <c r="W64" i="9" s="1"/>
  <c r="U58" i="9"/>
  <c r="U64" i="19"/>
  <c r="U58" i="19"/>
  <c r="U58" i="18"/>
  <c r="U64" i="16"/>
  <c r="X68" i="15"/>
  <c r="W63" i="15"/>
  <c r="U64" i="13"/>
  <c r="X68" i="8" l="1"/>
  <c r="W63" i="19"/>
  <c r="X68" i="9"/>
  <c r="U70" i="16"/>
  <c r="U70" i="13"/>
  <c r="W70" i="13" s="1"/>
  <c r="X68" i="18"/>
  <c r="W58" i="9"/>
  <c r="U333" i="23"/>
  <c r="L559" i="23"/>
  <c r="M559" i="23" s="1"/>
  <c r="N465" i="23"/>
  <c r="N448" i="23" s="1"/>
  <c r="T457" i="23"/>
  <c r="M56" i="23"/>
  <c r="U56" i="23"/>
  <c r="M39" i="23"/>
  <c r="U39" i="23"/>
  <c r="L89" i="23"/>
  <c r="T456" i="23"/>
  <c r="M22" i="23"/>
  <c r="U22" i="23"/>
  <c r="K66" i="7"/>
  <c r="K71" i="7"/>
  <c r="Q62" i="7"/>
  <c r="Q59" i="7"/>
  <c r="P62" i="7"/>
  <c r="P59" i="7"/>
  <c r="Q66" i="7"/>
  <c r="Q71" i="7"/>
  <c r="O66" i="7"/>
  <c r="O71" i="7"/>
  <c r="L57" i="7"/>
  <c r="O62" i="7"/>
  <c r="O59" i="7"/>
  <c r="R71" i="7"/>
  <c r="R66" i="7"/>
  <c r="N71" i="7"/>
  <c r="N66" i="7"/>
  <c r="R62" i="7"/>
  <c r="R59" i="7"/>
  <c r="N62" i="7"/>
  <c r="N59" i="7"/>
  <c r="X65" i="19"/>
  <c r="W58" i="19"/>
  <c r="W64" i="19"/>
  <c r="W58" i="18"/>
  <c r="W64" i="13"/>
  <c r="T439" i="23" l="1"/>
  <c r="L57" i="23"/>
  <c r="L40" i="23"/>
  <c r="L23" i="23"/>
  <c r="M89" i="23"/>
  <c r="U89" i="23"/>
  <c r="L465" i="23"/>
  <c r="M465" i="23" s="1"/>
  <c r="M57" i="7"/>
  <c r="U57" i="7"/>
  <c r="M40" i="23" l="1"/>
  <c r="U40" i="23"/>
  <c r="M23" i="23"/>
  <c r="U23" i="23"/>
  <c r="M57" i="23"/>
  <c r="U57" i="23"/>
  <c r="Q686" i="8"/>
  <c r="Q683" i="8"/>
  <c r="Q678" i="8"/>
  <c r="Q655" i="8"/>
  <c r="Q656" i="8"/>
  <c r="Q639" i="8"/>
  <c r="Q545" i="8" s="1"/>
  <c r="Q528" i="8" s="1"/>
  <c r="Q636" i="8"/>
  <c r="Q635" i="8"/>
  <c r="Q541" i="8" s="1"/>
  <c r="Q629" i="8"/>
  <c r="Q628" i="8"/>
  <c r="Q627" i="8"/>
  <c r="Q609" i="8"/>
  <c r="Q606" i="8"/>
  <c r="Q601" i="8"/>
  <c r="Q579" i="8"/>
  <c r="Q564" i="8" s="1"/>
  <c r="Q576" i="8"/>
  <c r="Q571" i="8"/>
  <c r="Q559" i="8"/>
  <c r="Q523" i="8"/>
  <c r="Q552" i="8"/>
  <c r="Q551" i="8"/>
  <c r="Q550" i="8"/>
  <c r="Q512" i="8"/>
  <c r="Q513" i="8"/>
  <c r="Q514" i="8" s="1"/>
  <c r="Q498" i="8"/>
  <c r="Q499" i="8" s="1"/>
  <c r="Q475" i="8"/>
  <c r="Q481" i="8"/>
  <c r="Q480" i="8"/>
  <c r="Q478" i="8"/>
  <c r="Q477" i="8"/>
  <c r="Q476" i="8"/>
  <c r="Q473" i="8"/>
  <c r="Q468" i="8"/>
  <c r="Q465" i="8"/>
  <c r="Q460" i="8"/>
  <c r="Q453" i="8"/>
  <c r="Q450" i="8"/>
  <c r="Q445" i="8"/>
  <c r="Q413" i="8" s="1"/>
  <c r="Q438" i="8"/>
  <c r="Q423" i="8" s="1"/>
  <c r="Q435" i="8"/>
  <c r="Q358" i="23" s="1"/>
  <c r="Q430" i="8"/>
  <c r="Q353" i="23" s="1"/>
  <c r="Q421" i="8"/>
  <c r="Q418" i="8"/>
  <c r="Q417" i="8"/>
  <c r="Q416" i="8"/>
  <c r="Q414" i="8"/>
  <c r="Q411" i="8"/>
  <c r="Q332" i="8" s="1"/>
  <c r="Q410" i="8"/>
  <c r="Q409" i="8"/>
  <c r="Q406" i="8"/>
  <c r="Q403" i="8"/>
  <c r="Q398" i="8"/>
  <c r="Q391" i="8"/>
  <c r="Q388" i="8"/>
  <c r="Q383" i="8"/>
  <c r="Q351" i="8" s="1"/>
  <c r="Q375" i="8"/>
  <c r="Q376" i="8"/>
  <c r="Q359" i="8"/>
  <c r="Q358" i="8"/>
  <c r="Q356" i="8"/>
  <c r="Q355" i="8"/>
  <c r="Q338" i="8" s="1"/>
  <c r="Q354" i="8"/>
  <c r="Q352" i="8"/>
  <c r="Q335" i="8" s="1"/>
  <c r="Q349" i="8"/>
  <c r="Q348" i="8"/>
  <c r="Q331" i="8" s="1"/>
  <c r="Q347" i="8"/>
  <c r="Q342" i="8"/>
  <c r="Q330" i="8"/>
  <c r="Q327" i="8"/>
  <c r="Q324" i="8"/>
  <c r="Q328" i="8" s="1"/>
  <c r="Q319" i="8"/>
  <c r="Q312" i="8"/>
  <c r="Q309" i="8"/>
  <c r="Q304" i="8"/>
  <c r="Q297" i="8"/>
  <c r="Q294" i="8"/>
  <c r="Q298" i="8" s="1"/>
  <c r="Q289" i="8"/>
  <c r="Q282" i="8"/>
  <c r="Q279" i="8"/>
  <c r="Q274" i="8"/>
  <c r="Q265" i="8"/>
  <c r="Q262" i="8"/>
  <c r="Q261" i="8"/>
  <c r="Q260" i="8"/>
  <c r="Q258" i="8"/>
  <c r="Q27" i="8" s="1"/>
  <c r="Q257" i="8"/>
  <c r="Q255" i="8"/>
  <c r="Q254" i="8"/>
  <c r="Q253" i="8"/>
  <c r="Q250" i="8"/>
  <c r="Q247" i="8"/>
  <c r="Q242" i="8"/>
  <c r="Q235" i="8"/>
  <c r="Q232" i="8"/>
  <c r="Q227" i="8"/>
  <c r="Q218" i="8"/>
  <c r="Q215" i="8"/>
  <c r="Q214" i="8"/>
  <c r="Q213" i="8"/>
  <c r="Q210" i="8"/>
  <c r="Q209" i="8"/>
  <c r="Q208" i="8"/>
  <c r="Q205" i="8"/>
  <c r="Q202" i="8"/>
  <c r="Q206" i="8" s="1"/>
  <c r="Q197" i="8"/>
  <c r="Q190" i="8"/>
  <c r="Q187" i="8"/>
  <c r="Q182" i="8"/>
  <c r="Q173" i="8"/>
  <c r="Q170" i="8"/>
  <c r="Q169" i="8"/>
  <c r="Q168" i="8"/>
  <c r="Q165" i="8"/>
  <c r="Q164" i="8"/>
  <c r="Q163" i="8"/>
  <c r="Q160" i="8"/>
  <c r="Q161" i="8" s="1"/>
  <c r="Q159" i="8"/>
  <c r="Q156" i="8"/>
  <c r="Q145" i="8"/>
  <c r="Q146" i="8" s="1"/>
  <c r="Q144" i="8"/>
  <c r="Q130" i="8"/>
  <c r="Q131" i="8" s="1"/>
  <c r="Q115" i="8"/>
  <c r="Q116" i="8" s="1"/>
  <c r="Q114" i="8"/>
  <c r="Q100" i="8"/>
  <c r="Q101" i="8" s="1"/>
  <c r="Q99" i="8"/>
  <c r="Q85" i="8"/>
  <c r="Q86" i="8" s="1"/>
  <c r="Q84" i="8"/>
  <c r="Q494" i="23" l="1"/>
  <c r="Q554" i="8"/>
  <c r="Q499" i="23"/>
  <c r="Q561" i="8"/>
  <c r="Q638" i="8"/>
  <c r="Q631" i="8"/>
  <c r="Q542" i="8"/>
  <c r="Q525" i="8" s="1"/>
  <c r="Q533" i="8"/>
  <c r="Q516" i="8" s="1"/>
  <c r="Q534" i="8"/>
  <c r="Q517" i="8" s="1"/>
  <c r="Q535" i="8"/>
  <c r="Q518" i="8" s="1"/>
  <c r="Q69" i="8"/>
  <c r="Q212" i="8"/>
  <c r="Q211" i="8" s="1"/>
  <c r="Q407" i="8"/>
  <c r="Q637" i="8"/>
  <c r="Q392" i="8"/>
  <c r="Q251" i="8"/>
  <c r="Q191" i="8"/>
  <c r="Q204" i="8"/>
  <c r="Q454" i="8"/>
  <c r="Q524" i="8"/>
  <c r="Q687" i="8"/>
  <c r="Q412" i="8"/>
  <c r="Q267" i="8"/>
  <c r="Q283" i="8"/>
  <c r="Q313" i="8"/>
  <c r="Q685" i="8"/>
  <c r="Q405" i="8"/>
  <c r="Q610" i="8"/>
  <c r="Q296" i="8"/>
  <c r="Q326" i="8"/>
  <c r="Q337" i="8"/>
  <c r="Q344" i="8" s="1"/>
  <c r="Q339" i="8"/>
  <c r="Q39" i="8"/>
  <c r="Q22" i="8"/>
  <c r="Q24" i="8"/>
  <c r="Q41" i="8"/>
  <c r="Q51" i="8"/>
  <c r="Q34" i="8"/>
  <c r="Q175" i="8"/>
  <c r="Q47" i="8"/>
  <c r="Q30" i="8"/>
  <c r="Q630" i="8"/>
  <c r="Q40" i="8"/>
  <c r="Q23" i="8"/>
  <c r="Q46" i="8"/>
  <c r="Q29" i="8"/>
  <c r="Q48" i="8"/>
  <c r="Q31" i="8"/>
  <c r="Q167" i="8"/>
  <c r="Q220" i="8"/>
  <c r="Q236" i="8"/>
  <c r="Q259" i="8"/>
  <c r="Q281" i="8"/>
  <c r="Q420" i="8"/>
  <c r="Q424" i="8" s="1"/>
  <c r="Q439" i="8"/>
  <c r="Q469" i="8"/>
  <c r="Q479" i="8"/>
  <c r="Q474" i="8"/>
  <c r="Q580" i="8"/>
  <c r="Q553" i="8"/>
  <c r="Q20" i="8"/>
  <c r="Q353" i="8"/>
  <c r="Q334" i="8"/>
  <c r="Q336" i="8" s="1"/>
  <c r="Q350" i="8"/>
  <c r="Q264" i="8"/>
  <c r="Q263" i="8" s="1"/>
  <c r="Q311" i="8"/>
  <c r="Q256" i="8"/>
  <c r="Q172" i="8"/>
  <c r="Q189" i="8"/>
  <c r="Q174" i="8" s="1"/>
  <c r="Q377" i="8"/>
  <c r="Q361" i="8"/>
  <c r="Q362" i="8" s="1"/>
  <c r="Q657" i="8"/>
  <c r="Q641" i="8"/>
  <c r="Q176" i="8"/>
  <c r="Q483" i="8"/>
  <c r="Q484" i="8" s="1"/>
  <c r="Q166" i="8"/>
  <c r="Q171" i="8"/>
  <c r="Q217" i="8"/>
  <c r="Q234" i="8"/>
  <c r="Q249" i="8"/>
  <c r="Q357" i="8"/>
  <c r="Q390" i="8"/>
  <c r="Q360" i="8" s="1"/>
  <c r="Q415" i="8"/>
  <c r="Q437" i="8"/>
  <c r="Q452" i="8"/>
  <c r="Q467" i="8"/>
  <c r="Q497" i="8"/>
  <c r="Q578" i="8"/>
  <c r="Q608" i="8"/>
  <c r="Q563" i="8" l="1"/>
  <c r="Q640" i="8"/>
  <c r="Q556" i="8"/>
  <c r="Q537" i="8"/>
  <c r="Q482" i="8"/>
  <c r="Q268" i="8"/>
  <c r="Q547" i="8"/>
  <c r="Q565" i="8"/>
  <c r="Q266" i="8"/>
  <c r="Q17" i="8"/>
  <c r="Q530" i="8"/>
  <c r="Q18" i="8"/>
  <c r="Q3" i="8" s="1"/>
  <c r="Q341" i="8"/>
  <c r="Q419" i="8"/>
  <c r="Q536" i="8"/>
  <c r="Q50" i="8"/>
  <c r="Q33" i="8"/>
  <c r="Q53" i="8"/>
  <c r="Q49" i="8"/>
  <c r="Q36" i="8"/>
  <c r="Q333" i="8"/>
  <c r="Q560" i="8"/>
  <c r="Q544" i="8"/>
  <c r="Q216" i="8"/>
  <c r="Q221" i="8"/>
  <c r="Q642" i="8"/>
  <c r="Q546" i="8"/>
  <c r="Q529" i="8" s="1"/>
  <c r="Q422" i="8"/>
  <c r="Q343" i="8" s="1"/>
  <c r="Q219" i="8"/>
  <c r="Q539" i="8" l="1"/>
  <c r="Q520" i="8"/>
  <c r="Q522" i="8" s="1"/>
  <c r="Q35" i="8"/>
  <c r="Q340" i="8"/>
  <c r="Q345" i="8"/>
  <c r="Q519" i="8"/>
  <c r="Q32" i="8"/>
  <c r="Q37" i="8"/>
  <c r="Q52" i="8"/>
  <c r="Q54" i="8"/>
  <c r="Q543" i="8"/>
  <c r="Q527" i="8"/>
  <c r="Q19" i="8" s="1"/>
  <c r="Q12" i="8" s="1"/>
  <c r="Q548" i="8"/>
  <c r="Q21" i="8"/>
  <c r="Q531" i="8" l="1"/>
  <c r="Q526" i="8"/>
  <c r="R686" i="22" l="1"/>
  <c r="Q686" i="22"/>
  <c r="R683" i="22"/>
  <c r="R687" i="22" s="1"/>
  <c r="Q683" i="22"/>
  <c r="Q687" i="22" s="1"/>
  <c r="R678" i="22"/>
  <c r="Q678" i="22"/>
  <c r="R656" i="22"/>
  <c r="Q656" i="22"/>
  <c r="R653" i="22"/>
  <c r="R657" i="22" s="1"/>
  <c r="Q653" i="22"/>
  <c r="Q657" i="22" s="1"/>
  <c r="R648" i="22"/>
  <c r="R631" i="22" s="1"/>
  <c r="R633" i="22" s="1"/>
  <c r="Q648" i="22"/>
  <c r="Q631" i="22" s="1"/>
  <c r="Q633" i="22" s="1"/>
  <c r="R641" i="22"/>
  <c r="Q641" i="22"/>
  <c r="R639" i="22"/>
  <c r="R545" i="22" s="1"/>
  <c r="Q639" i="22"/>
  <c r="Q545" i="22" s="1"/>
  <c r="R638" i="22"/>
  <c r="Q638" i="22"/>
  <c r="R636" i="22"/>
  <c r="R637" i="22" s="1"/>
  <c r="Q636" i="22"/>
  <c r="Q637" i="22" s="1"/>
  <c r="R629" i="22"/>
  <c r="R630" i="22" s="1"/>
  <c r="Q629" i="22"/>
  <c r="Q630" i="22" s="1"/>
  <c r="R628" i="22"/>
  <c r="Q628" i="22"/>
  <c r="R627" i="22"/>
  <c r="Q627" i="22"/>
  <c r="R609" i="22"/>
  <c r="Q609" i="22"/>
  <c r="R606" i="22"/>
  <c r="Q606" i="22"/>
  <c r="R601" i="22"/>
  <c r="R554" i="22" s="1"/>
  <c r="R556" i="22" s="1"/>
  <c r="Q601" i="22"/>
  <c r="Q554" i="22" s="1"/>
  <c r="Q556" i="22" s="1"/>
  <c r="Q579" i="22"/>
  <c r="Q580" i="22" s="1"/>
  <c r="R578" i="22"/>
  <c r="Q578" i="22"/>
  <c r="Q501" i="23" s="1"/>
  <c r="R579" i="22"/>
  <c r="R528" i="22"/>
  <c r="R559" i="22"/>
  <c r="Q559" i="22"/>
  <c r="Q542" i="22" s="1"/>
  <c r="Q525" i="22" s="1"/>
  <c r="R541" i="22"/>
  <c r="R547" i="22" s="1"/>
  <c r="Q541" i="22"/>
  <c r="R540" i="22"/>
  <c r="Q540" i="22"/>
  <c r="Q523" i="22" s="1"/>
  <c r="R537" i="22"/>
  <c r="R539" i="22" s="1"/>
  <c r="Q537" i="22"/>
  <c r="Q539" i="22" s="1"/>
  <c r="R552" i="22"/>
  <c r="R553" i="22" s="1"/>
  <c r="Q552" i="22"/>
  <c r="Q553" i="22" s="1"/>
  <c r="R551" i="22"/>
  <c r="Q551" i="22"/>
  <c r="R550" i="22"/>
  <c r="Q550" i="22"/>
  <c r="R542" i="22"/>
  <c r="R525" i="22" s="1"/>
  <c r="R535" i="22"/>
  <c r="R534" i="22"/>
  <c r="Q534" i="22"/>
  <c r="R533" i="22"/>
  <c r="Q533" i="22"/>
  <c r="R523" i="22"/>
  <c r="R518" i="22"/>
  <c r="R517" i="22"/>
  <c r="Q517" i="22"/>
  <c r="R516" i="22"/>
  <c r="Q516" i="22"/>
  <c r="Q513" i="22"/>
  <c r="Q514" i="22" s="1"/>
  <c r="Q512" i="22"/>
  <c r="R513" i="22"/>
  <c r="Q480" i="22"/>
  <c r="R498" i="22"/>
  <c r="Q498" i="22"/>
  <c r="R481" i="22"/>
  <c r="Q481" i="22"/>
  <c r="R480" i="22"/>
  <c r="R478" i="22"/>
  <c r="Q478" i="22"/>
  <c r="R477" i="22"/>
  <c r="Q477" i="22"/>
  <c r="R476" i="22"/>
  <c r="Q476" i="22"/>
  <c r="Q475" i="22"/>
  <c r="R473" i="22"/>
  <c r="Q473" i="22"/>
  <c r="R472" i="22"/>
  <c r="Q472" i="22"/>
  <c r="R471" i="22"/>
  <c r="Q471" i="22"/>
  <c r="R468" i="22"/>
  <c r="Q468" i="22"/>
  <c r="R465" i="22"/>
  <c r="Q465" i="22"/>
  <c r="R460" i="22"/>
  <c r="Q460" i="22"/>
  <c r="R453" i="22"/>
  <c r="Q453" i="22"/>
  <c r="R450" i="22"/>
  <c r="R454" i="22" s="1"/>
  <c r="Q450" i="22"/>
  <c r="Q454" i="22" s="1"/>
  <c r="R445" i="22"/>
  <c r="R414" i="22" s="1"/>
  <c r="Q445" i="22"/>
  <c r="Q414" i="22" s="1"/>
  <c r="R438" i="22"/>
  <c r="Q438" i="22"/>
  <c r="Q439" i="22" s="1"/>
  <c r="R406" i="22"/>
  <c r="Q406" i="22"/>
  <c r="R403" i="22"/>
  <c r="R407" i="22" s="1"/>
  <c r="Q403" i="22"/>
  <c r="Q407" i="22" s="1"/>
  <c r="R398" i="22"/>
  <c r="Q398" i="22"/>
  <c r="R391" i="22"/>
  <c r="Q391" i="22"/>
  <c r="R388" i="22"/>
  <c r="R392" i="22" s="1"/>
  <c r="Q388" i="22"/>
  <c r="R383" i="22"/>
  <c r="Q383" i="22"/>
  <c r="R358" i="22"/>
  <c r="R376" i="22"/>
  <c r="Q376" i="22"/>
  <c r="Q361" i="22" s="1"/>
  <c r="R327" i="22"/>
  <c r="R328" i="22" s="1"/>
  <c r="Q327" i="22"/>
  <c r="Q328" i="22" s="1"/>
  <c r="R326" i="22"/>
  <c r="Q326" i="22"/>
  <c r="R312" i="22"/>
  <c r="Q312" i="22"/>
  <c r="R309" i="22"/>
  <c r="R313" i="22" s="1"/>
  <c r="Q309" i="22"/>
  <c r="Q313" i="22" s="1"/>
  <c r="R304" i="22"/>
  <c r="Q304" i="22"/>
  <c r="R297" i="22"/>
  <c r="Q297" i="22"/>
  <c r="R294" i="22"/>
  <c r="R298" i="22" s="1"/>
  <c r="Q294" i="22"/>
  <c r="Q298" i="22" s="1"/>
  <c r="R289" i="22"/>
  <c r="Q289" i="22"/>
  <c r="R282" i="22"/>
  <c r="Q282" i="22"/>
  <c r="R279" i="22"/>
  <c r="R283" i="22" s="1"/>
  <c r="Q279" i="22"/>
  <c r="Q283" i="22" s="1"/>
  <c r="R274" i="22"/>
  <c r="Q274" i="22"/>
  <c r="R265" i="22"/>
  <c r="Q265" i="22"/>
  <c r="R264" i="22"/>
  <c r="Q264" i="22"/>
  <c r="R262" i="22"/>
  <c r="Q262" i="22"/>
  <c r="R261" i="22"/>
  <c r="Q261" i="22"/>
  <c r="R260" i="22"/>
  <c r="Q260" i="22"/>
  <c r="R258" i="22"/>
  <c r="Q258" i="22"/>
  <c r="R257" i="22"/>
  <c r="Q257" i="22"/>
  <c r="R255" i="22"/>
  <c r="Q255" i="22"/>
  <c r="R254" i="22"/>
  <c r="Q254" i="22"/>
  <c r="R253" i="22"/>
  <c r="Q253" i="22"/>
  <c r="R250" i="22"/>
  <c r="Q250" i="22"/>
  <c r="R247" i="22"/>
  <c r="R251" i="22" s="1"/>
  <c r="Q247" i="22"/>
  <c r="Q251" i="22" s="1"/>
  <c r="R242" i="22"/>
  <c r="Q242" i="22"/>
  <c r="R235" i="22"/>
  <c r="Q235" i="22"/>
  <c r="R232" i="22"/>
  <c r="R236" i="22" s="1"/>
  <c r="Q232" i="22"/>
  <c r="Q236" i="22" s="1"/>
  <c r="R227" i="22"/>
  <c r="Q227" i="22"/>
  <c r="R218" i="22"/>
  <c r="Q218" i="22"/>
  <c r="R217" i="22"/>
  <c r="Q217" i="22"/>
  <c r="R215" i="22"/>
  <c r="R216" i="22" s="1"/>
  <c r="Q215" i="22"/>
  <c r="Q216" i="22" s="1"/>
  <c r="R214" i="22"/>
  <c r="Q214" i="22"/>
  <c r="R213" i="22"/>
  <c r="Q213" i="22"/>
  <c r="R212" i="22"/>
  <c r="Q212" i="22"/>
  <c r="R210" i="22"/>
  <c r="R211" i="22" s="1"/>
  <c r="Q210" i="22"/>
  <c r="Q211" i="22" s="1"/>
  <c r="R209" i="22"/>
  <c r="Q209" i="22"/>
  <c r="R208" i="22"/>
  <c r="Q208" i="22"/>
  <c r="R205" i="22"/>
  <c r="Q205" i="22"/>
  <c r="R202" i="22"/>
  <c r="R206" i="22" s="1"/>
  <c r="Q202" i="22"/>
  <c r="Q206" i="22" s="1"/>
  <c r="R197" i="22"/>
  <c r="Q197" i="22"/>
  <c r="R190" i="22"/>
  <c r="Q190" i="22"/>
  <c r="R187" i="22"/>
  <c r="R191" i="22" s="1"/>
  <c r="Q187" i="22"/>
  <c r="Q191" i="22" s="1"/>
  <c r="R182" i="22"/>
  <c r="Q182" i="22"/>
  <c r="R173" i="22"/>
  <c r="R51" i="22" s="1"/>
  <c r="Q173" i="22"/>
  <c r="Q51" i="22" s="1"/>
  <c r="R172" i="22"/>
  <c r="Q172" i="22"/>
  <c r="R170" i="22"/>
  <c r="Q170" i="22"/>
  <c r="R169" i="22"/>
  <c r="R47" i="22" s="1"/>
  <c r="Q169" i="22"/>
  <c r="Q47" i="22" s="1"/>
  <c r="R168" i="22"/>
  <c r="R46" i="22" s="1"/>
  <c r="Q168" i="22"/>
  <c r="Q46" i="22" s="1"/>
  <c r="R167" i="22"/>
  <c r="Q167" i="22"/>
  <c r="R165" i="22"/>
  <c r="Q165" i="22"/>
  <c r="R164" i="22"/>
  <c r="R40" i="22" s="1"/>
  <c r="Q164" i="22"/>
  <c r="Q40" i="22" s="1"/>
  <c r="R163" i="22"/>
  <c r="R39" i="22" s="1"/>
  <c r="Q163" i="22"/>
  <c r="Q39" i="22" s="1"/>
  <c r="R145" i="22"/>
  <c r="R146" i="22" s="1"/>
  <c r="Q145" i="22"/>
  <c r="Q146" i="22" s="1"/>
  <c r="Q144" i="22"/>
  <c r="R130" i="22"/>
  <c r="Q130" i="22"/>
  <c r="R127" i="22"/>
  <c r="R127" i="23" s="1"/>
  <c r="R126" i="23" s="1"/>
  <c r="Q127" i="22"/>
  <c r="Q127" i="23" s="1"/>
  <c r="Q126" i="23" s="1"/>
  <c r="R122" i="22"/>
  <c r="R122" i="23" s="1"/>
  <c r="R121" i="23" s="1"/>
  <c r="Q122" i="22"/>
  <c r="Q122" i="23" s="1"/>
  <c r="Q121" i="23" s="1"/>
  <c r="R115" i="22"/>
  <c r="R116" i="22" s="1"/>
  <c r="Q115" i="22"/>
  <c r="Q116" i="22" s="1"/>
  <c r="R114" i="22"/>
  <c r="Q114" i="22"/>
  <c r="R100" i="22"/>
  <c r="Q100" i="22"/>
  <c r="Q101" i="22" s="1"/>
  <c r="Q99" i="22"/>
  <c r="R85" i="22"/>
  <c r="R86" i="22" s="1"/>
  <c r="Q85" i="22"/>
  <c r="Q86" i="22" s="1"/>
  <c r="R84" i="22"/>
  <c r="Q84" i="22"/>
  <c r="Q610" i="22" l="1"/>
  <c r="Q561" i="22"/>
  <c r="Q544" i="22" s="1"/>
  <c r="R610" i="22"/>
  <c r="R561" i="22"/>
  <c r="R544" i="22" s="1"/>
  <c r="R527" i="22" s="1"/>
  <c r="R483" i="22"/>
  <c r="Q528" i="22"/>
  <c r="R131" i="23"/>
  <c r="R361" i="22"/>
  <c r="R362" i="22" s="1"/>
  <c r="Q535" i="22"/>
  <c r="Q61" i="23"/>
  <c r="Q44" i="23" s="1"/>
  <c r="Q131" i="23"/>
  <c r="R61" i="23"/>
  <c r="R44" i="23" s="1"/>
  <c r="Q44" i="22"/>
  <c r="Q27" i="22" s="1"/>
  <c r="Q61" i="22"/>
  <c r="Q131" i="22"/>
  <c r="Q67" i="22"/>
  <c r="Q33" i="22" s="1"/>
  <c r="R60" i="22"/>
  <c r="R26" i="22" s="1"/>
  <c r="R43" i="22"/>
  <c r="Q166" i="22"/>
  <c r="Q53" i="22"/>
  <c r="Q171" i="22"/>
  <c r="Q22" i="22"/>
  <c r="Q23" i="22"/>
  <c r="Q29" i="22"/>
  <c r="Q17" i="22" s="1"/>
  <c r="Q30" i="22"/>
  <c r="Q34" i="22"/>
  <c r="Q20" i="22" s="1"/>
  <c r="R351" i="22"/>
  <c r="R349" i="22"/>
  <c r="R332" i="22" s="1"/>
  <c r="Q423" i="22"/>
  <c r="R61" i="22"/>
  <c r="R44" i="22"/>
  <c r="R131" i="22"/>
  <c r="R67" i="22"/>
  <c r="R33" i="22" s="1"/>
  <c r="R166" i="22"/>
  <c r="R53" i="22"/>
  <c r="R171" i="22"/>
  <c r="R22" i="22"/>
  <c r="R23" i="22"/>
  <c r="R27" i="22"/>
  <c r="R29" i="22"/>
  <c r="R17" i="22" s="1"/>
  <c r="R30" i="22"/>
  <c r="R34" i="22"/>
  <c r="R20" i="22" s="1"/>
  <c r="R423" i="22"/>
  <c r="Q547" i="22"/>
  <c r="Q524" i="22"/>
  <c r="R524" i="22"/>
  <c r="Q564" i="22"/>
  <c r="R560" i="22"/>
  <c r="Q520" i="22"/>
  <c r="Q522" i="22" s="1"/>
  <c r="R520" i="22"/>
  <c r="Q483" i="22"/>
  <c r="Q484" i="22" s="1"/>
  <c r="Q413" i="22"/>
  <c r="Q412" i="22" s="1"/>
  <c r="R413" i="22"/>
  <c r="R415" i="22" s="1"/>
  <c r="Q469" i="22"/>
  <c r="Q420" i="22"/>
  <c r="R469" i="22"/>
  <c r="R420" i="22"/>
  <c r="R341" i="22" s="1"/>
  <c r="R256" i="22"/>
  <c r="R259" i="22"/>
  <c r="R263" i="22"/>
  <c r="Q256" i="22"/>
  <c r="Q259" i="22"/>
  <c r="Q263" i="22"/>
  <c r="R439" i="22"/>
  <c r="Q352" i="22"/>
  <c r="Q335" i="22" s="1"/>
  <c r="Q351" i="22"/>
  <c r="Q392" i="22"/>
  <c r="Q358" i="22"/>
  <c r="Q362" i="22" s="1"/>
  <c r="R352" i="22"/>
  <c r="R335" i="22" s="1"/>
  <c r="R357" i="22"/>
  <c r="R536" i="22"/>
  <c r="R543" i="22"/>
  <c r="R526" i="22"/>
  <c r="Q527" i="22"/>
  <c r="Q526" i="22" s="1"/>
  <c r="R475" i="22"/>
  <c r="R474" i="22" s="1"/>
  <c r="Q479" i="22"/>
  <c r="R484" i="22"/>
  <c r="R479" i="22"/>
  <c r="Q474" i="22"/>
  <c r="R101" i="22"/>
  <c r="R175" i="22"/>
  <c r="R220" i="22"/>
  <c r="R221" i="22" s="1"/>
  <c r="R267" i="22"/>
  <c r="R268" i="22" s="1"/>
  <c r="Q377" i="22"/>
  <c r="Q175" i="22"/>
  <c r="Q176" i="22" s="1"/>
  <c r="Q220" i="22"/>
  <c r="Q267" i="22"/>
  <c r="Q268" i="22" s="1"/>
  <c r="R377" i="22"/>
  <c r="R375" i="22"/>
  <c r="R580" i="22"/>
  <c r="R564" i="22"/>
  <c r="Q565" i="22"/>
  <c r="R642" i="22"/>
  <c r="Q221" i="22"/>
  <c r="Q499" i="22"/>
  <c r="R514" i="22"/>
  <c r="R548" i="22"/>
  <c r="Q642" i="22"/>
  <c r="R176" i="22"/>
  <c r="R499" i="22"/>
  <c r="R99" i="22"/>
  <c r="R129" i="22"/>
  <c r="R129" i="23" s="1"/>
  <c r="R144" i="22"/>
  <c r="Q189" i="22"/>
  <c r="Q204" i="22"/>
  <c r="Q234" i="22"/>
  <c r="Q249" i="22"/>
  <c r="Q281" i="22"/>
  <c r="Q296" i="22"/>
  <c r="Q311" i="22"/>
  <c r="Q375" i="22"/>
  <c r="Q390" i="22"/>
  <c r="Q405" i="22"/>
  <c r="Q437" i="22"/>
  <c r="Q452" i="22"/>
  <c r="Q467" i="22"/>
  <c r="Q497" i="22"/>
  <c r="R512" i="22"/>
  <c r="R608" i="22"/>
  <c r="R563" i="22" s="1"/>
  <c r="R655" i="22"/>
  <c r="R685" i="22"/>
  <c r="Q129" i="22"/>
  <c r="R189" i="22"/>
  <c r="R204" i="22"/>
  <c r="R234" i="22"/>
  <c r="R249" i="22"/>
  <c r="R281" i="22"/>
  <c r="R296" i="22"/>
  <c r="R311" i="22"/>
  <c r="R390" i="22"/>
  <c r="R405" i="22"/>
  <c r="R437" i="22"/>
  <c r="R452" i="22"/>
  <c r="R467" i="22"/>
  <c r="R497" i="22"/>
  <c r="Q608" i="22"/>
  <c r="Q563" i="22" s="1"/>
  <c r="Q655" i="22"/>
  <c r="Q685" i="22"/>
  <c r="Q69" i="22" l="1"/>
  <c r="Q129" i="23"/>
  <c r="Q482" i="22"/>
  <c r="R519" i="22"/>
  <c r="R522" i="22"/>
  <c r="R27" i="23"/>
  <c r="Q27" i="23"/>
  <c r="R412" i="22"/>
  <c r="R42" i="22"/>
  <c r="R36" i="22"/>
  <c r="R37" i="22" s="1"/>
  <c r="R25" i="22"/>
  <c r="R19" i="22"/>
  <c r="R12" i="22" s="1"/>
  <c r="Q415" i="22"/>
  <c r="Q422" i="22"/>
  <c r="Q36" i="22"/>
  <c r="Q536" i="22"/>
  <c r="Q518" i="22"/>
  <c r="Q519" i="22" s="1"/>
  <c r="Q32" i="22"/>
  <c r="Q37" i="22"/>
  <c r="R69" i="22"/>
  <c r="Q560" i="22"/>
  <c r="R32" i="22"/>
  <c r="R62" i="22"/>
  <c r="R28" i="22" s="1"/>
  <c r="R59" i="22"/>
  <c r="R50" i="22"/>
  <c r="R66" i="22"/>
  <c r="R71" i="22"/>
  <c r="R45" i="22"/>
  <c r="Q50" i="22"/>
  <c r="Q49" i="22" s="1"/>
  <c r="Q71" i="22"/>
  <c r="Q66" i="22"/>
  <c r="R530" i="22"/>
  <c r="R531" i="22" s="1"/>
  <c r="R18" i="22"/>
  <c r="R3" i="22" s="1"/>
  <c r="Q530" i="22"/>
  <c r="Q531" i="22" s="1"/>
  <c r="Q18" i="22"/>
  <c r="Q3" i="22" s="1"/>
  <c r="R422" i="22"/>
  <c r="R424" i="22"/>
  <c r="R419" i="22"/>
  <c r="Q424" i="22"/>
  <c r="Q419" i="22"/>
  <c r="Q360" i="22"/>
  <c r="R334" i="22"/>
  <c r="R350" i="22"/>
  <c r="R353" i="22"/>
  <c r="Q341" i="22"/>
  <c r="Q19" i="22" s="1"/>
  <c r="Q12" i="22" s="1"/>
  <c r="Q357" i="22"/>
  <c r="Q353" i="22"/>
  <c r="Q334" i="22"/>
  <c r="Q350" i="22"/>
  <c r="R360" i="22"/>
  <c r="R343" i="22" s="1"/>
  <c r="R345" i="22"/>
  <c r="R340" i="22"/>
  <c r="Q548" i="22"/>
  <c r="Q543" i="22"/>
  <c r="Q640" i="22"/>
  <c r="R482" i="22"/>
  <c r="R219" i="22"/>
  <c r="R174" i="22"/>
  <c r="R565" i="22"/>
  <c r="R640" i="22"/>
  <c r="R546" i="22" s="1"/>
  <c r="Q266" i="22"/>
  <c r="Q219" i="22"/>
  <c r="Q174" i="22"/>
  <c r="R266" i="22"/>
  <c r="R529" i="22" l="1"/>
  <c r="Q546" i="22"/>
  <c r="Q529" i="22" s="1"/>
  <c r="Q343" i="22"/>
  <c r="R35" i="22"/>
  <c r="R21" i="22" s="1"/>
  <c r="Q52" i="22"/>
  <c r="R52" i="22"/>
  <c r="R49" i="22"/>
  <c r="R54" i="22"/>
  <c r="Q35" i="22"/>
  <c r="Q54" i="22"/>
  <c r="Q345" i="22"/>
  <c r="Q340" i="22"/>
  <c r="Q336" i="22"/>
  <c r="Q333" i="22"/>
  <c r="R336" i="22"/>
  <c r="R16" i="22" s="1"/>
  <c r="R333" i="22"/>
  <c r="Q21" i="22" l="1"/>
  <c r="P84" i="16"/>
  <c r="Q84" i="16"/>
  <c r="O85" i="16"/>
  <c r="O86" i="16" s="1"/>
  <c r="P85" i="16"/>
  <c r="P86" i="16" s="1"/>
  <c r="Q85" i="16"/>
  <c r="Q86" i="16" s="1"/>
  <c r="O99" i="16"/>
  <c r="P99" i="16"/>
  <c r="Q99" i="16"/>
  <c r="O100" i="16"/>
  <c r="O101" i="16" s="1"/>
  <c r="P100" i="16"/>
  <c r="Q100" i="16"/>
  <c r="Q101" i="16" s="1"/>
  <c r="P101" i="16"/>
  <c r="O114" i="16"/>
  <c r="P114" i="16"/>
  <c r="Q114" i="16"/>
  <c r="O115" i="16"/>
  <c r="O116" i="16" s="1"/>
  <c r="P115" i="16"/>
  <c r="Q115" i="16"/>
  <c r="Q116" i="16" s="1"/>
  <c r="P116" i="16"/>
  <c r="O130" i="16"/>
  <c r="O131" i="16" s="1"/>
  <c r="P130" i="16"/>
  <c r="P131" i="16" s="1"/>
  <c r="Q130" i="16"/>
  <c r="Q131" i="16" s="1"/>
  <c r="O143" i="16"/>
  <c r="P143" i="16"/>
  <c r="Q143" i="16"/>
  <c r="P144" i="16"/>
  <c r="O146" i="16"/>
  <c r="Q146" i="16"/>
  <c r="P146" i="16"/>
  <c r="O151" i="16"/>
  <c r="P151" i="16"/>
  <c r="O156" i="16"/>
  <c r="P156" i="16"/>
  <c r="Q156" i="16"/>
  <c r="O159" i="16"/>
  <c r="P159" i="16"/>
  <c r="Q159" i="16"/>
  <c r="O160" i="16"/>
  <c r="O161" i="16" s="1"/>
  <c r="P160" i="16"/>
  <c r="P161" i="16" s="1"/>
  <c r="Q160" i="16"/>
  <c r="Q161" i="16" s="1"/>
  <c r="O163" i="16"/>
  <c r="P163" i="16"/>
  <c r="Q163" i="16"/>
  <c r="O164" i="16"/>
  <c r="P164" i="16"/>
  <c r="Q164" i="16"/>
  <c r="O165" i="16"/>
  <c r="P165" i="16"/>
  <c r="Q165" i="16"/>
  <c r="O168" i="16"/>
  <c r="P168" i="16"/>
  <c r="Q168" i="16"/>
  <c r="O169" i="16"/>
  <c r="P169" i="16"/>
  <c r="Q169" i="16"/>
  <c r="O170" i="16"/>
  <c r="P170" i="16"/>
  <c r="Q170" i="16"/>
  <c r="O173" i="16"/>
  <c r="P173" i="16"/>
  <c r="Q173" i="16"/>
  <c r="O175" i="16"/>
  <c r="O182" i="16"/>
  <c r="P182" i="16"/>
  <c r="Q182" i="16"/>
  <c r="O187" i="16"/>
  <c r="P187" i="16"/>
  <c r="Q187" i="16"/>
  <c r="P189" i="16"/>
  <c r="O190" i="16"/>
  <c r="P190" i="16"/>
  <c r="Q190" i="16"/>
  <c r="P191" i="16"/>
  <c r="O197" i="16"/>
  <c r="P197" i="16"/>
  <c r="Q197" i="16"/>
  <c r="O202" i="16"/>
  <c r="P202" i="16"/>
  <c r="Q202" i="16"/>
  <c r="P204" i="16"/>
  <c r="O205" i="16"/>
  <c r="P205" i="16"/>
  <c r="Q205" i="16"/>
  <c r="P206" i="16"/>
  <c r="O208" i="16"/>
  <c r="P208" i="16"/>
  <c r="Q208" i="16"/>
  <c r="O209" i="16"/>
  <c r="P209" i="16"/>
  <c r="Q209" i="16"/>
  <c r="O210" i="16"/>
  <c r="P210" i="16"/>
  <c r="Q210" i="16"/>
  <c r="O213" i="16"/>
  <c r="P213" i="16"/>
  <c r="Q213" i="16"/>
  <c r="O214" i="16"/>
  <c r="P214" i="16"/>
  <c r="Q214" i="16"/>
  <c r="O215" i="16"/>
  <c r="P215" i="16"/>
  <c r="Q215" i="16"/>
  <c r="O218" i="16"/>
  <c r="P218" i="16"/>
  <c r="Q218" i="16"/>
  <c r="P220" i="16"/>
  <c r="O227" i="16"/>
  <c r="P227" i="16"/>
  <c r="Q227" i="16"/>
  <c r="O232" i="16"/>
  <c r="O234" i="16" s="1"/>
  <c r="P232" i="16"/>
  <c r="Q232" i="16"/>
  <c r="Q234" i="16" s="1"/>
  <c r="O235" i="16"/>
  <c r="O236" i="16" s="1"/>
  <c r="P235" i="16"/>
  <c r="Q235" i="16"/>
  <c r="O242" i="16"/>
  <c r="P242" i="16"/>
  <c r="Q242" i="16"/>
  <c r="O247" i="16"/>
  <c r="P247" i="16"/>
  <c r="Q247" i="16"/>
  <c r="O249" i="16"/>
  <c r="Q249" i="16"/>
  <c r="O250" i="16"/>
  <c r="O251" i="16" s="1"/>
  <c r="P250" i="16"/>
  <c r="Q250" i="16"/>
  <c r="Q251" i="16" s="1"/>
  <c r="O253" i="16"/>
  <c r="O22" i="16" s="1"/>
  <c r="P253" i="16"/>
  <c r="P22" i="16" s="1"/>
  <c r="Q253" i="16"/>
  <c r="Q22" i="16" s="1"/>
  <c r="O254" i="16"/>
  <c r="O23" i="16" s="1"/>
  <c r="P254" i="16"/>
  <c r="P23" i="16" s="1"/>
  <c r="Q254" i="16"/>
  <c r="Q23" i="16" s="1"/>
  <c r="O255" i="16"/>
  <c r="P255" i="16"/>
  <c r="Q255" i="16"/>
  <c r="O260" i="16"/>
  <c r="O29" i="16" s="1"/>
  <c r="P260" i="16"/>
  <c r="P29" i="16" s="1"/>
  <c r="Q260" i="16"/>
  <c r="Q29" i="16" s="1"/>
  <c r="O261" i="16"/>
  <c r="P261" i="16"/>
  <c r="P30" i="16" s="1"/>
  <c r="Q261" i="16"/>
  <c r="Q30" i="16" s="1"/>
  <c r="O262" i="16"/>
  <c r="P262" i="16"/>
  <c r="Q262" i="16"/>
  <c r="O265" i="16"/>
  <c r="P265" i="16"/>
  <c r="Q265" i="16"/>
  <c r="O274" i="16"/>
  <c r="O257" i="16" s="1"/>
  <c r="O256" i="16" s="1"/>
  <c r="P274" i="16"/>
  <c r="P257" i="16" s="1"/>
  <c r="Q274" i="16"/>
  <c r="Q257" i="16" s="1"/>
  <c r="O279" i="16"/>
  <c r="P279" i="16"/>
  <c r="Q279" i="16"/>
  <c r="P281" i="16"/>
  <c r="O282" i="16"/>
  <c r="P282" i="16"/>
  <c r="Q282" i="16"/>
  <c r="P283" i="16"/>
  <c r="O289" i="16"/>
  <c r="O258" i="16" s="1"/>
  <c r="O27" i="16" s="1"/>
  <c r="P289" i="16"/>
  <c r="P258" i="16" s="1"/>
  <c r="P27" i="16" s="1"/>
  <c r="Q289" i="16"/>
  <c r="Q258" i="16" s="1"/>
  <c r="Q27" i="16" s="1"/>
  <c r="O294" i="16"/>
  <c r="P294" i="16"/>
  <c r="Q294" i="16"/>
  <c r="P296" i="16"/>
  <c r="O297" i="16"/>
  <c r="P297" i="16"/>
  <c r="Q297" i="16"/>
  <c r="P298" i="16"/>
  <c r="O311" i="16"/>
  <c r="P311" i="16"/>
  <c r="Q311" i="16"/>
  <c r="O312" i="16"/>
  <c r="O313" i="16" s="1"/>
  <c r="P312" i="16"/>
  <c r="Q312" i="16"/>
  <c r="Q313" i="16" s="1"/>
  <c r="P313" i="16"/>
  <c r="O318" i="16"/>
  <c r="P318" i="16"/>
  <c r="O323" i="16"/>
  <c r="P323" i="16"/>
  <c r="Q323" i="16"/>
  <c r="O326" i="16"/>
  <c r="P326" i="16"/>
  <c r="Q326" i="16"/>
  <c r="O327" i="16"/>
  <c r="P327" i="16"/>
  <c r="P328" i="16" s="1"/>
  <c r="Q327" i="16"/>
  <c r="O328" i="16"/>
  <c r="Q328" i="16"/>
  <c r="P376" i="16"/>
  <c r="O375" i="16"/>
  <c r="P375" i="16"/>
  <c r="Q375" i="16"/>
  <c r="O376" i="16"/>
  <c r="Q376" i="16"/>
  <c r="P377" i="16"/>
  <c r="O383" i="16"/>
  <c r="P383" i="16"/>
  <c r="Q383" i="16"/>
  <c r="O388" i="16"/>
  <c r="P388" i="16"/>
  <c r="Q388" i="16"/>
  <c r="P390" i="16"/>
  <c r="O391" i="16"/>
  <c r="P391" i="16"/>
  <c r="Q391" i="16"/>
  <c r="P392" i="16"/>
  <c r="O398" i="16"/>
  <c r="P398" i="16"/>
  <c r="Q398" i="16"/>
  <c r="O403" i="16"/>
  <c r="P403" i="16"/>
  <c r="Q403" i="16"/>
  <c r="P405" i="16"/>
  <c r="O406" i="16"/>
  <c r="P406" i="16"/>
  <c r="Q406" i="16"/>
  <c r="P407" i="16"/>
  <c r="O337" i="16"/>
  <c r="P337" i="16"/>
  <c r="Q337" i="16"/>
  <c r="O338" i="16"/>
  <c r="O344" i="16" s="1"/>
  <c r="P338" i="16"/>
  <c r="P344" i="16" s="1"/>
  <c r="O437" i="16"/>
  <c r="Q437" i="16"/>
  <c r="O438" i="16"/>
  <c r="O439" i="16" s="1"/>
  <c r="Q438" i="16"/>
  <c r="Q439" i="16" s="1"/>
  <c r="O445" i="16"/>
  <c r="P445" i="16"/>
  <c r="Q445" i="16"/>
  <c r="O450" i="16"/>
  <c r="O452" i="16" s="1"/>
  <c r="P450" i="16"/>
  <c r="Q450" i="16"/>
  <c r="Q452" i="16" s="1"/>
  <c r="O453" i="16"/>
  <c r="P453" i="16"/>
  <c r="Q453" i="16"/>
  <c r="O330" i="16"/>
  <c r="P330" i="16"/>
  <c r="Q330" i="16"/>
  <c r="O331" i="16"/>
  <c r="P331" i="16"/>
  <c r="Q331" i="16"/>
  <c r="O458" i="16"/>
  <c r="P458" i="16"/>
  <c r="Q458" i="16"/>
  <c r="Q334" i="23" s="1"/>
  <c r="Q255" i="23" s="1"/>
  <c r="Q462" i="16"/>
  <c r="O463" i="16"/>
  <c r="P463" i="16"/>
  <c r="P341" i="23" s="1"/>
  <c r="P262" i="23" s="1"/>
  <c r="Q463" i="16"/>
  <c r="Q341" i="23" s="1"/>
  <c r="Q262" i="23" s="1"/>
  <c r="O468" i="16"/>
  <c r="P468" i="16"/>
  <c r="Q468" i="16"/>
  <c r="O471" i="16"/>
  <c r="P471" i="16"/>
  <c r="Q471" i="16"/>
  <c r="O472" i="16"/>
  <c r="P472" i="16"/>
  <c r="Q472" i="16"/>
  <c r="O473" i="16"/>
  <c r="P473" i="16"/>
  <c r="Q473" i="16"/>
  <c r="O475" i="16"/>
  <c r="P475" i="16"/>
  <c r="O476" i="16"/>
  <c r="P476" i="16"/>
  <c r="Q476" i="16"/>
  <c r="O478" i="16"/>
  <c r="P478" i="16"/>
  <c r="Q478" i="16"/>
  <c r="O480" i="16"/>
  <c r="Q480" i="16"/>
  <c r="P481" i="16"/>
  <c r="Q475" i="16"/>
  <c r="Q474" i="16" s="1"/>
  <c r="O477" i="16"/>
  <c r="P477" i="16"/>
  <c r="P483" i="16" s="1"/>
  <c r="Q477" i="16"/>
  <c r="Q483" i="16" s="1"/>
  <c r="O497" i="16"/>
  <c r="P497" i="16"/>
  <c r="Q497" i="16"/>
  <c r="O481" i="16"/>
  <c r="Q481" i="16"/>
  <c r="O512" i="16"/>
  <c r="O514" i="16"/>
  <c r="Q514" i="16"/>
  <c r="O550" i="16"/>
  <c r="P550" i="16"/>
  <c r="Q550" i="16"/>
  <c r="O551" i="16"/>
  <c r="P551" i="16"/>
  <c r="Q551" i="16"/>
  <c r="O552" i="16"/>
  <c r="P552" i="16"/>
  <c r="Q552" i="16"/>
  <c r="O554" i="16"/>
  <c r="O556" i="16" s="1"/>
  <c r="P554" i="16"/>
  <c r="O557" i="16"/>
  <c r="P557" i="16"/>
  <c r="Q557" i="16"/>
  <c r="O559" i="16"/>
  <c r="P559" i="16"/>
  <c r="Q559" i="16"/>
  <c r="Q554" i="16"/>
  <c r="O578" i="16"/>
  <c r="Q578" i="16"/>
  <c r="O580" i="16"/>
  <c r="Q580" i="16"/>
  <c r="O608" i="16"/>
  <c r="P608" i="16"/>
  <c r="Q608" i="16"/>
  <c r="O610" i="16"/>
  <c r="P610" i="16"/>
  <c r="Q610" i="16"/>
  <c r="O636" i="16"/>
  <c r="P636" i="16"/>
  <c r="Q636" i="16"/>
  <c r="O639" i="16"/>
  <c r="P639" i="16"/>
  <c r="Q639" i="16"/>
  <c r="O648" i="16"/>
  <c r="P648" i="16"/>
  <c r="Q648" i="16"/>
  <c r="O653" i="16"/>
  <c r="P653" i="16"/>
  <c r="Q653" i="16"/>
  <c r="P655" i="16"/>
  <c r="O656" i="16"/>
  <c r="P656" i="16"/>
  <c r="Q656" i="16"/>
  <c r="P657" i="16"/>
  <c r="O678" i="16"/>
  <c r="P678" i="16"/>
  <c r="Q678" i="16"/>
  <c r="O683" i="16"/>
  <c r="O685" i="16" s="1"/>
  <c r="P683" i="16"/>
  <c r="Q683" i="16"/>
  <c r="Q685" i="16" s="1"/>
  <c r="P685" i="16"/>
  <c r="O686" i="16"/>
  <c r="P686" i="16"/>
  <c r="Q686" i="16"/>
  <c r="P687" i="16"/>
  <c r="O716" i="16"/>
  <c r="O717" i="16" s="1"/>
  <c r="P716" i="16"/>
  <c r="Q716" i="16"/>
  <c r="Q717" i="16" s="1"/>
  <c r="P717" i="16"/>
  <c r="O563" i="16" l="1"/>
  <c r="O565" i="16"/>
  <c r="P631" i="16"/>
  <c r="Q631" i="16"/>
  <c r="O631" i="16"/>
  <c r="P36" i="16"/>
  <c r="O483" i="16"/>
  <c r="Q236" i="16"/>
  <c r="O217" i="16"/>
  <c r="Q31" i="16"/>
  <c r="O31" i="16"/>
  <c r="P24" i="16"/>
  <c r="Q454" i="16"/>
  <c r="O454" i="16"/>
  <c r="P31" i="16"/>
  <c r="Q24" i="16"/>
  <c r="O24" i="16"/>
  <c r="P474" i="16"/>
  <c r="Q36" i="16"/>
  <c r="O482" i="16"/>
  <c r="O553" i="16"/>
  <c r="Q175" i="16"/>
  <c r="O341" i="23"/>
  <c r="Q479" i="16"/>
  <c r="O479" i="16"/>
  <c r="O474" i="16"/>
  <c r="Q417" i="16"/>
  <c r="Q423" i="16" s="1"/>
  <c r="Q220" i="16"/>
  <c r="P68" i="16"/>
  <c r="P34" i="16" s="1"/>
  <c r="T143" i="23"/>
  <c r="U143" i="23" s="1"/>
  <c r="P418" i="16"/>
  <c r="P465" i="16"/>
  <c r="P420" i="16" s="1"/>
  <c r="P460" i="16"/>
  <c r="P413" i="16" s="1"/>
  <c r="P411" i="16"/>
  <c r="P414" i="16"/>
  <c r="Q421" i="16"/>
  <c r="Q342" i="16" s="1"/>
  <c r="O421" i="16"/>
  <c r="Q358" i="16"/>
  <c r="Q357" i="16" s="1"/>
  <c r="O358" i="16"/>
  <c r="P174" i="16"/>
  <c r="P172" i="16"/>
  <c r="Q167" i="16"/>
  <c r="O167" i="16"/>
  <c r="Q48" i="16"/>
  <c r="O48" i="16"/>
  <c r="P47" i="16"/>
  <c r="Q46" i="16"/>
  <c r="O46" i="16"/>
  <c r="P41" i="16"/>
  <c r="Q40" i="16"/>
  <c r="O40" i="16"/>
  <c r="P39" i="16"/>
  <c r="Q564" i="16"/>
  <c r="Q418" i="16"/>
  <c r="Q339" i="16" s="1"/>
  <c r="Q465" i="16"/>
  <c r="Q420" i="16" s="1"/>
  <c r="O418" i="16"/>
  <c r="O465" i="16"/>
  <c r="O467" i="16" s="1"/>
  <c r="O422" i="16" s="1"/>
  <c r="Q411" i="16"/>
  <c r="Q460" i="16"/>
  <c r="Q413" i="16" s="1"/>
  <c r="O411" i="16"/>
  <c r="O460" i="16"/>
  <c r="O413" i="16" s="1"/>
  <c r="Q414" i="16"/>
  <c r="O414" i="16"/>
  <c r="P437" i="16"/>
  <c r="P421" i="16"/>
  <c r="P358" i="16"/>
  <c r="P357" i="16" s="1"/>
  <c r="O349" i="16"/>
  <c r="T349" i="16" s="1"/>
  <c r="P266" i="16"/>
  <c r="P264" i="16"/>
  <c r="P263" i="16" s="1"/>
  <c r="Q259" i="16"/>
  <c r="P212" i="16"/>
  <c r="P211" i="16" s="1"/>
  <c r="O220" i="16"/>
  <c r="O221" i="16" s="1"/>
  <c r="P167" i="16"/>
  <c r="P48" i="16"/>
  <c r="Q47" i="16"/>
  <c r="Q53" i="16" s="1"/>
  <c r="O47" i="16"/>
  <c r="O53" i="16" s="1"/>
  <c r="P175" i="16"/>
  <c r="P46" i="16"/>
  <c r="Q41" i="16"/>
  <c r="O41" i="16"/>
  <c r="P40" i="16"/>
  <c r="Q39" i="16"/>
  <c r="O39" i="16"/>
  <c r="P51" i="16"/>
  <c r="P642" i="16"/>
  <c r="P641" i="16"/>
  <c r="P640" i="16"/>
  <c r="P638" i="16"/>
  <c r="P637" i="16" s="1"/>
  <c r="Q545" i="16"/>
  <c r="Q528" i="16" s="1"/>
  <c r="O545" i="16"/>
  <c r="O528" i="16" s="1"/>
  <c r="Q542" i="16"/>
  <c r="Q525" i="16" s="1"/>
  <c r="O542" i="16"/>
  <c r="O525" i="16" s="1"/>
  <c r="Q535" i="16"/>
  <c r="Q518" i="16" s="1"/>
  <c r="O535" i="16"/>
  <c r="O518" i="16" s="1"/>
  <c r="P534" i="16"/>
  <c r="P517" i="16" s="1"/>
  <c r="Q533" i="16"/>
  <c r="Q516" i="16" s="1"/>
  <c r="O533" i="16"/>
  <c r="O516" i="16" s="1"/>
  <c r="Q641" i="16"/>
  <c r="O641" i="16"/>
  <c r="P545" i="16"/>
  <c r="P528" i="16" s="1"/>
  <c r="P542" i="16"/>
  <c r="P525" i="16" s="1"/>
  <c r="P535" i="16"/>
  <c r="P518" i="16" s="1"/>
  <c r="Q534" i="16"/>
  <c r="Q517" i="16" s="1"/>
  <c r="O534" i="16"/>
  <c r="O517" i="16" s="1"/>
  <c r="P533" i="16"/>
  <c r="P516" i="16" s="1"/>
  <c r="O484" i="16"/>
  <c r="O357" i="16"/>
  <c r="P352" i="16"/>
  <c r="P335" i="16" s="1"/>
  <c r="P351" i="16"/>
  <c r="P360" i="16"/>
  <c r="Q352" i="16"/>
  <c r="Q351" i="16"/>
  <c r="O352" i="16"/>
  <c r="O335" i="16" s="1"/>
  <c r="O351" i="16"/>
  <c r="Q267" i="16"/>
  <c r="O267" i="16"/>
  <c r="O30" i="16"/>
  <c r="O36" i="16" s="1"/>
  <c r="P267" i="16"/>
  <c r="P268" i="16" s="1"/>
  <c r="Q144" i="16"/>
  <c r="Q69" i="16" s="1"/>
  <c r="Q68" i="16"/>
  <c r="O144" i="16"/>
  <c r="O69" i="16" s="1"/>
  <c r="O68" i="16"/>
  <c r="P69" i="16"/>
  <c r="Q638" i="16"/>
  <c r="Q637" i="16" s="1"/>
  <c r="O638" i="16"/>
  <c r="O637" i="16" s="1"/>
  <c r="P630" i="16"/>
  <c r="Q630" i="16"/>
  <c r="O630" i="16"/>
  <c r="O216" i="16"/>
  <c r="O219" i="16"/>
  <c r="Q219" i="16"/>
  <c r="Q217" i="16"/>
  <c r="Q221" i="16" s="1"/>
  <c r="P171" i="16"/>
  <c r="P176" i="16"/>
  <c r="Q484" i="16"/>
  <c r="Q565" i="16"/>
  <c r="Q530" i="16"/>
  <c r="O530" i="16"/>
  <c r="P530" i="16"/>
  <c r="P547" i="16"/>
  <c r="Q553" i="16"/>
  <c r="Q544" i="16"/>
  <c r="O544" i="16"/>
  <c r="Q390" i="16"/>
  <c r="Q392" i="16"/>
  <c r="O390" i="16"/>
  <c r="O392" i="16"/>
  <c r="O377" i="16"/>
  <c r="Q264" i="16"/>
  <c r="Q281" i="16"/>
  <c r="Q283" i="16"/>
  <c r="O264" i="16"/>
  <c r="O281" i="16"/>
  <c r="O283" i="16"/>
  <c r="Q204" i="16"/>
  <c r="Q206" i="16"/>
  <c r="O204" i="16"/>
  <c r="O206" i="16"/>
  <c r="Q687" i="16"/>
  <c r="O687" i="16"/>
  <c r="Q657" i="16"/>
  <c r="O657" i="16"/>
  <c r="Q655" i="16"/>
  <c r="Q640" i="16" s="1"/>
  <c r="O655" i="16"/>
  <c r="O640" i="16" s="1"/>
  <c r="O546" i="16" s="1"/>
  <c r="O529" i="16" s="1"/>
  <c r="Q560" i="16"/>
  <c r="O560" i="16"/>
  <c r="P553" i="16"/>
  <c r="Q512" i="16"/>
  <c r="Q482" i="16" s="1"/>
  <c r="Q499" i="16"/>
  <c r="O499" i="16"/>
  <c r="Q469" i="16"/>
  <c r="Q467" i="16"/>
  <c r="Q422" i="16" s="1"/>
  <c r="P438" i="16"/>
  <c r="P342" i="16"/>
  <c r="P259" i="16"/>
  <c r="P28" i="16" s="1"/>
  <c r="O259" i="16"/>
  <c r="Q256" i="16"/>
  <c r="P256" i="16"/>
  <c r="Q166" i="16"/>
  <c r="P166" i="16"/>
  <c r="P17" i="16"/>
  <c r="P452" i="16"/>
  <c r="P454" i="16"/>
  <c r="Q405" i="16"/>
  <c r="Q407" i="16"/>
  <c r="O405" i="16"/>
  <c r="O407" i="16"/>
  <c r="Q377" i="16"/>
  <c r="Q296" i="16"/>
  <c r="Q298" i="16"/>
  <c r="O296" i="16"/>
  <c r="O298" i="16"/>
  <c r="P249" i="16"/>
  <c r="P251" i="16"/>
  <c r="P217" i="16"/>
  <c r="P33" i="16" s="1"/>
  <c r="P32" i="16" s="1"/>
  <c r="P234" i="16"/>
  <c r="P236" i="16"/>
  <c r="Q172" i="16"/>
  <c r="Q189" i="16"/>
  <c r="Q174" i="16" s="1"/>
  <c r="Q191" i="16"/>
  <c r="O172" i="16"/>
  <c r="O50" i="16" s="1"/>
  <c r="O189" i="16"/>
  <c r="O174" i="16" s="1"/>
  <c r="O191" i="16"/>
  <c r="O166" i="16"/>
  <c r="Q212" i="16"/>
  <c r="Q211" i="16" s="1"/>
  <c r="O212" i="16"/>
  <c r="O211" i="16" s="1"/>
  <c r="Q17" i="16"/>
  <c r="O17" i="16"/>
  <c r="Q338" i="16" l="1"/>
  <c r="Q344" i="16" s="1"/>
  <c r="Q633" i="16"/>
  <c r="Q537" i="16"/>
  <c r="O633" i="16"/>
  <c r="O537" i="16"/>
  <c r="P633" i="16"/>
  <c r="P537" i="16"/>
  <c r="Q546" i="16"/>
  <c r="Q529" i="16" s="1"/>
  <c r="O362" i="16"/>
  <c r="O332" i="16"/>
  <c r="Q362" i="16"/>
  <c r="Q50" i="16"/>
  <c r="Q49" i="16" s="1"/>
  <c r="O547" i="16"/>
  <c r="O548" i="16" s="1"/>
  <c r="O415" i="16"/>
  <c r="Q415" i="16"/>
  <c r="P415" i="16"/>
  <c r="Q547" i="16"/>
  <c r="Q548" i="16" s="1"/>
  <c r="P362" i="16"/>
  <c r="P341" i="16"/>
  <c r="P345" i="16" s="1"/>
  <c r="Q536" i="16"/>
  <c r="Q52" i="16"/>
  <c r="P53" i="16"/>
  <c r="X143" i="23"/>
  <c r="O262" i="23"/>
  <c r="Q391" i="23"/>
  <c r="Q340" i="23"/>
  <c r="Q346" i="23" s="1"/>
  <c r="Q424" i="16"/>
  <c r="Q341" i="16"/>
  <c r="Q340" i="16" s="1"/>
  <c r="O49" i="16"/>
  <c r="O54" i="16"/>
  <c r="O28" i="16"/>
  <c r="Q33" i="16"/>
  <c r="Q32" i="16" s="1"/>
  <c r="P43" i="16"/>
  <c r="P45" i="16" s="1"/>
  <c r="P26" i="16"/>
  <c r="P424" i="16"/>
  <c r="O412" i="16"/>
  <c r="Q412" i="16"/>
  <c r="P25" i="16"/>
  <c r="O43" i="16"/>
  <c r="O26" i="16"/>
  <c r="O25" i="16" s="1"/>
  <c r="P50" i="16"/>
  <c r="T421" i="16"/>
  <c r="U421" i="16" s="1"/>
  <c r="O420" i="16"/>
  <c r="P412" i="16"/>
  <c r="P332" i="16"/>
  <c r="P419" i="16"/>
  <c r="O469" i="16"/>
  <c r="P219" i="16"/>
  <c r="O33" i="16"/>
  <c r="O32" i="16" s="1"/>
  <c r="O360" i="16"/>
  <c r="Q360" i="16"/>
  <c r="Q343" i="16" s="1"/>
  <c r="Q216" i="16"/>
  <c r="O52" i="16"/>
  <c r="P37" i="16"/>
  <c r="Q28" i="16"/>
  <c r="Q332" i="16"/>
  <c r="O419" i="16"/>
  <c r="O339" i="16"/>
  <c r="Q419" i="16"/>
  <c r="Q43" i="16"/>
  <c r="Q26" i="16"/>
  <c r="Q25" i="16" s="1"/>
  <c r="O342" i="16"/>
  <c r="P467" i="16"/>
  <c r="P422" i="16" s="1"/>
  <c r="P343" i="16" s="1"/>
  <c r="P469" i="16"/>
  <c r="P339" i="16"/>
  <c r="P340" i="16" s="1"/>
  <c r="O343" i="16"/>
  <c r="Q335" i="16"/>
  <c r="O353" i="16"/>
  <c r="O334" i="16"/>
  <c r="O350" i="16"/>
  <c r="Q353" i="16"/>
  <c r="Q334" i="16"/>
  <c r="Q350" i="16"/>
  <c r="P353" i="16"/>
  <c r="P334" i="16"/>
  <c r="P350" i="16"/>
  <c r="Q51" i="16"/>
  <c r="Q34" i="16"/>
  <c r="Q20" i="16" s="1"/>
  <c r="O51" i="16"/>
  <c r="O34" i="16"/>
  <c r="T68" i="16"/>
  <c r="U68" i="16" s="1"/>
  <c r="Q18" i="16"/>
  <c r="Q3" i="16" s="1"/>
  <c r="O18" i="16"/>
  <c r="O3" i="16" s="1"/>
  <c r="O176" i="16"/>
  <c r="O171" i="16"/>
  <c r="P221" i="16"/>
  <c r="P216" i="16"/>
  <c r="P439" i="16"/>
  <c r="P499" i="16"/>
  <c r="O642" i="16"/>
  <c r="Q268" i="16"/>
  <c r="Q263" i="16"/>
  <c r="O527" i="16"/>
  <c r="O543" i="16"/>
  <c r="O266" i="16"/>
  <c r="P18" i="16"/>
  <c r="P3" i="16" s="1"/>
  <c r="Q176" i="16"/>
  <c r="Q171" i="16"/>
  <c r="Q642" i="16"/>
  <c r="O268" i="16"/>
  <c r="O263" i="16"/>
  <c r="P536" i="16"/>
  <c r="Q527" i="16"/>
  <c r="Q543" i="16"/>
  <c r="O536" i="16"/>
  <c r="P20" i="16"/>
  <c r="Q266" i="16"/>
  <c r="Q35" i="16" s="1"/>
  <c r="Q19" i="16" l="1"/>
  <c r="Q12" i="16" s="1"/>
  <c r="P539" i="16"/>
  <c r="P520" i="16"/>
  <c r="O539" i="16"/>
  <c r="O520" i="16"/>
  <c r="Q539" i="16"/>
  <c r="Q520" i="16"/>
  <c r="Q54" i="16"/>
  <c r="Q345" i="16"/>
  <c r="Q37" i="16"/>
  <c r="O20" i="16"/>
  <c r="P42" i="16"/>
  <c r="Q261" i="23"/>
  <c r="O424" i="16"/>
  <c r="O341" i="16"/>
  <c r="P54" i="16"/>
  <c r="P49" i="16"/>
  <c r="O45" i="16"/>
  <c r="O42" i="16"/>
  <c r="Q45" i="16"/>
  <c r="Q42" i="16"/>
  <c r="P35" i="16"/>
  <c r="P52" i="16"/>
  <c r="X421" i="16"/>
  <c r="P336" i="16"/>
  <c r="P333" i="16"/>
  <c r="Q336" i="16"/>
  <c r="Q333" i="16"/>
  <c r="O336" i="16"/>
  <c r="O333" i="16"/>
  <c r="O35" i="16"/>
  <c r="O21" i="16" s="1"/>
  <c r="Q21" i="16"/>
  <c r="O37" i="16"/>
  <c r="X68" i="16"/>
  <c r="Q531" i="16"/>
  <c r="Q526" i="16"/>
  <c r="O531" i="16"/>
  <c r="O526" i="16"/>
  <c r="O19" i="16"/>
  <c r="O12" i="16" s="1"/>
  <c r="Q522" i="16" l="1"/>
  <c r="Q16" i="16" s="1"/>
  <c r="Q519" i="16"/>
  <c r="O522" i="16"/>
  <c r="O16" i="16" s="1"/>
  <c r="O519" i="16"/>
  <c r="P522" i="16"/>
  <c r="P16" i="16" s="1"/>
  <c r="P519" i="16"/>
  <c r="Q267" i="23"/>
  <c r="Q18" i="23"/>
  <c r="Q3" i="23" s="1"/>
  <c r="O345" i="16"/>
  <c r="O340" i="16"/>
  <c r="Q421" i="18" l="1"/>
  <c r="Q344" i="23"/>
  <c r="Q265" i="23" s="1"/>
  <c r="P421" i="18"/>
  <c r="P344" i="23"/>
  <c r="P265" i="23" s="1"/>
  <c r="L105" i="9"/>
  <c r="P686" i="22" l="1"/>
  <c r="O686" i="22"/>
  <c r="P683" i="22"/>
  <c r="P687" i="22" s="1"/>
  <c r="O683" i="22"/>
  <c r="O687" i="22" s="1"/>
  <c r="P678" i="22"/>
  <c r="O678" i="22"/>
  <c r="P656" i="22"/>
  <c r="O656" i="22"/>
  <c r="P653" i="22"/>
  <c r="P657" i="22" s="1"/>
  <c r="O653" i="22"/>
  <c r="O657" i="22" s="1"/>
  <c r="P648" i="22"/>
  <c r="P631" i="22" s="1"/>
  <c r="P633" i="22" s="1"/>
  <c r="O648" i="22"/>
  <c r="O631" i="22" s="1"/>
  <c r="O633" i="22" s="1"/>
  <c r="P641" i="22"/>
  <c r="O641" i="22"/>
  <c r="P639" i="22"/>
  <c r="P545" i="22" s="1"/>
  <c r="O639" i="22"/>
  <c r="O545" i="22" s="1"/>
  <c r="P638" i="22"/>
  <c r="O638" i="22"/>
  <c r="P636" i="22"/>
  <c r="O636" i="22"/>
  <c r="O637" i="22" s="1"/>
  <c r="P629" i="22"/>
  <c r="P630" i="22" s="1"/>
  <c r="O629" i="22"/>
  <c r="P628" i="22"/>
  <c r="O628" i="22"/>
  <c r="P627" i="22"/>
  <c r="O627" i="22"/>
  <c r="P609" i="22"/>
  <c r="O609" i="22"/>
  <c r="P606" i="22"/>
  <c r="O606" i="22"/>
  <c r="P601" i="22"/>
  <c r="P554" i="22" s="1"/>
  <c r="P556" i="22" s="1"/>
  <c r="O601" i="22"/>
  <c r="P579" i="22"/>
  <c r="P580" i="22" s="1"/>
  <c r="P578" i="22"/>
  <c r="O578" i="22"/>
  <c r="O579" i="22"/>
  <c r="P564" i="22"/>
  <c r="P559" i="22"/>
  <c r="O559" i="22"/>
  <c r="O542" i="22" s="1"/>
  <c r="O525" i="22" s="1"/>
  <c r="P541" i="22"/>
  <c r="O541" i="22"/>
  <c r="O547" i="22" s="1"/>
  <c r="P540" i="22"/>
  <c r="P523" i="22" s="1"/>
  <c r="O540" i="22"/>
  <c r="O523" i="22" s="1"/>
  <c r="P537" i="22"/>
  <c r="P552" i="22"/>
  <c r="O552" i="22"/>
  <c r="P551" i="22"/>
  <c r="O551" i="22"/>
  <c r="O534" i="22" s="1"/>
  <c r="O517" i="22" s="1"/>
  <c r="P550" i="22"/>
  <c r="O550" i="22"/>
  <c r="O533" i="22" s="1"/>
  <c r="O516" i="22" s="1"/>
  <c r="O528" i="22"/>
  <c r="P542" i="22"/>
  <c r="P525" i="22" s="1"/>
  <c r="P535" i="22"/>
  <c r="P518" i="22" s="1"/>
  <c r="P534" i="22"/>
  <c r="P517" i="22" s="1"/>
  <c r="P533" i="22"/>
  <c r="P516" i="22" s="1"/>
  <c r="P528" i="22"/>
  <c r="P513" i="22"/>
  <c r="P514" i="22" s="1"/>
  <c r="P512" i="22"/>
  <c r="O512" i="22"/>
  <c r="O513" i="22"/>
  <c r="P497" i="22"/>
  <c r="O497" i="22"/>
  <c r="P498" i="22"/>
  <c r="O498" i="22"/>
  <c r="O499" i="22" s="1"/>
  <c r="P481" i="22"/>
  <c r="O481" i="22"/>
  <c r="P480" i="22"/>
  <c r="O480" i="22"/>
  <c r="P478" i="22"/>
  <c r="P479" i="22" s="1"/>
  <c r="O478" i="22"/>
  <c r="P477" i="22"/>
  <c r="O477" i="22"/>
  <c r="P476" i="22"/>
  <c r="O476" i="22"/>
  <c r="P473" i="22"/>
  <c r="O473" i="22"/>
  <c r="P472" i="22"/>
  <c r="O472" i="22"/>
  <c r="P471" i="22"/>
  <c r="O471" i="22"/>
  <c r="P468" i="22"/>
  <c r="O468" i="22"/>
  <c r="P465" i="22"/>
  <c r="O465" i="22"/>
  <c r="P460" i="22"/>
  <c r="O460" i="22"/>
  <c r="P453" i="22"/>
  <c r="O453" i="22"/>
  <c r="P450" i="22"/>
  <c r="P452" i="22" s="1"/>
  <c r="O450" i="22"/>
  <c r="O454" i="22" s="1"/>
  <c r="P445" i="22"/>
  <c r="P414" i="22" s="1"/>
  <c r="O445" i="22"/>
  <c r="O414" i="22" s="1"/>
  <c r="P438" i="22"/>
  <c r="O438" i="22"/>
  <c r="P437" i="22"/>
  <c r="P406" i="22"/>
  <c r="O406" i="22"/>
  <c r="P403" i="22"/>
  <c r="P407" i="22" s="1"/>
  <c r="O403" i="22"/>
  <c r="O405" i="22" s="1"/>
  <c r="P398" i="22"/>
  <c r="O398" i="22"/>
  <c r="P391" i="22"/>
  <c r="O391" i="22"/>
  <c r="P388" i="22"/>
  <c r="O388" i="22"/>
  <c r="P383" i="22"/>
  <c r="O383" i="22"/>
  <c r="O375" i="22"/>
  <c r="P376" i="22"/>
  <c r="O376" i="22"/>
  <c r="P327" i="22"/>
  <c r="P328" i="22" s="1"/>
  <c r="O327" i="22"/>
  <c r="O328" i="22" s="1"/>
  <c r="P326" i="22"/>
  <c r="O326" i="22"/>
  <c r="P312" i="22"/>
  <c r="O312" i="22"/>
  <c r="P309" i="22"/>
  <c r="P313" i="22" s="1"/>
  <c r="O309" i="22"/>
  <c r="O313" i="22" s="1"/>
  <c r="P304" i="22"/>
  <c r="O304" i="22"/>
  <c r="P297" i="22"/>
  <c r="O297" i="22"/>
  <c r="P294" i="22"/>
  <c r="P298" i="22" s="1"/>
  <c r="O294" i="22"/>
  <c r="O298" i="22" s="1"/>
  <c r="P289" i="22"/>
  <c r="O289" i="22"/>
  <c r="O258" i="22" s="1"/>
  <c r="P282" i="22"/>
  <c r="O282" i="22"/>
  <c r="P279" i="22"/>
  <c r="P283" i="22" s="1"/>
  <c r="O279" i="22"/>
  <c r="O283" i="22" s="1"/>
  <c r="P274" i="22"/>
  <c r="P257" i="22" s="1"/>
  <c r="O274" i="22"/>
  <c r="O257" i="22" s="1"/>
  <c r="P265" i="22"/>
  <c r="O265" i="22"/>
  <c r="P262" i="22"/>
  <c r="O262" i="22"/>
  <c r="P261" i="22"/>
  <c r="O261" i="22"/>
  <c r="P260" i="22"/>
  <c r="O260" i="22"/>
  <c r="P258" i="22"/>
  <c r="P255" i="22"/>
  <c r="O255" i="22"/>
  <c r="P254" i="22"/>
  <c r="O254" i="22"/>
  <c r="P253" i="22"/>
  <c r="O253" i="22"/>
  <c r="P250" i="22"/>
  <c r="O250" i="22"/>
  <c r="P247" i="22"/>
  <c r="P249" i="22" s="1"/>
  <c r="O247" i="22"/>
  <c r="O251" i="22" s="1"/>
  <c r="P242" i="22"/>
  <c r="O242" i="22"/>
  <c r="P235" i="22"/>
  <c r="O235" i="22"/>
  <c r="P232" i="22"/>
  <c r="P234" i="22" s="1"/>
  <c r="P219" i="22" s="1"/>
  <c r="O232" i="22"/>
  <c r="O236" i="22" s="1"/>
  <c r="P227" i="22"/>
  <c r="P212" i="22" s="1"/>
  <c r="O227" i="22"/>
  <c r="P218" i="22"/>
  <c r="O218" i="22"/>
  <c r="P217" i="22"/>
  <c r="P215" i="22"/>
  <c r="O215" i="22"/>
  <c r="P214" i="22"/>
  <c r="O214" i="22"/>
  <c r="P213" i="22"/>
  <c r="O213" i="22"/>
  <c r="O212" i="22"/>
  <c r="P210" i="22"/>
  <c r="O210" i="22"/>
  <c r="P209" i="22"/>
  <c r="O209" i="22"/>
  <c r="P208" i="22"/>
  <c r="O208" i="22"/>
  <c r="P205" i="22"/>
  <c r="O205" i="22"/>
  <c r="P202" i="22"/>
  <c r="P206" i="22" s="1"/>
  <c r="O202" i="22"/>
  <c r="O206" i="22" s="1"/>
  <c r="P197" i="22"/>
  <c r="O197" i="22"/>
  <c r="P190" i="22"/>
  <c r="O190" i="22"/>
  <c r="P187" i="22"/>
  <c r="P191" i="22" s="1"/>
  <c r="O187" i="22"/>
  <c r="O191" i="22" s="1"/>
  <c r="P182" i="22"/>
  <c r="P167" i="22" s="1"/>
  <c r="P43" i="22" s="1"/>
  <c r="O182" i="22"/>
  <c r="O167" i="22" s="1"/>
  <c r="O43" i="22" s="1"/>
  <c r="P173" i="22"/>
  <c r="P51" i="22" s="1"/>
  <c r="O173" i="22"/>
  <c r="O51" i="22" s="1"/>
  <c r="P170" i="22"/>
  <c r="O170" i="22"/>
  <c r="P169" i="22"/>
  <c r="O169" i="22"/>
  <c r="P168" i="22"/>
  <c r="O168" i="22"/>
  <c r="P165" i="22"/>
  <c r="O165" i="22"/>
  <c r="P164" i="22"/>
  <c r="O164" i="22"/>
  <c r="P163" i="22"/>
  <c r="O163" i="22"/>
  <c r="P145" i="22"/>
  <c r="P146" i="22" s="1"/>
  <c r="O145" i="22"/>
  <c r="O146" i="22" s="1"/>
  <c r="P144" i="22"/>
  <c r="O144" i="22"/>
  <c r="P130" i="22"/>
  <c r="O130" i="22"/>
  <c r="P127" i="22"/>
  <c r="P127" i="23" s="1"/>
  <c r="P126" i="23" s="1"/>
  <c r="O127" i="22"/>
  <c r="O127" i="23" s="1"/>
  <c r="O126" i="23" s="1"/>
  <c r="P122" i="22"/>
  <c r="P122" i="23" s="1"/>
  <c r="P121" i="23" s="1"/>
  <c r="O122" i="22"/>
  <c r="O122" i="23" s="1"/>
  <c r="O121" i="23" s="1"/>
  <c r="P115" i="22"/>
  <c r="P116" i="22" s="1"/>
  <c r="O115" i="22"/>
  <c r="O116" i="22" s="1"/>
  <c r="P114" i="22"/>
  <c r="O114" i="22"/>
  <c r="P100" i="22"/>
  <c r="P101" i="22" s="1"/>
  <c r="O100" i="22"/>
  <c r="O101" i="22" s="1"/>
  <c r="P99" i="22"/>
  <c r="O99" i="22"/>
  <c r="P85" i="22"/>
  <c r="P86" i="22" s="1"/>
  <c r="O85" i="22"/>
  <c r="O86" i="22" s="1"/>
  <c r="P84" i="22"/>
  <c r="O84" i="22"/>
  <c r="O610" i="22" l="1"/>
  <c r="O561" i="22"/>
  <c r="O544" i="22" s="1"/>
  <c r="P520" i="22"/>
  <c r="P522" i="22" s="1"/>
  <c r="P539" i="22"/>
  <c r="P610" i="22"/>
  <c r="P561" i="22"/>
  <c r="P544" i="22" s="1"/>
  <c r="P527" i="22" s="1"/>
  <c r="O46" i="22"/>
  <c r="O47" i="22"/>
  <c r="P46" i="22"/>
  <c r="P47" i="22"/>
  <c r="P131" i="23"/>
  <c r="O39" i="22"/>
  <c r="O40" i="22"/>
  <c r="O172" i="22"/>
  <c r="O171" i="22" s="1"/>
  <c r="O42" i="22"/>
  <c r="P39" i="22"/>
  <c r="P40" i="22"/>
  <c r="P361" i="22"/>
  <c r="O361" i="22"/>
  <c r="O535" i="22"/>
  <c r="O482" i="22"/>
  <c r="O61" i="23"/>
  <c r="O44" i="23" s="1"/>
  <c r="O396" i="23"/>
  <c r="P61" i="22"/>
  <c r="P62" i="22" s="1"/>
  <c r="P44" i="22"/>
  <c r="P45" i="22" s="1"/>
  <c r="P131" i="22"/>
  <c r="P67" i="22"/>
  <c r="O22" i="22"/>
  <c r="O23" i="22"/>
  <c r="P26" i="22"/>
  <c r="O29" i="22"/>
  <c r="O17" i="22" s="1"/>
  <c r="O30" i="22"/>
  <c r="O34" i="22"/>
  <c r="O20" i="22" s="1"/>
  <c r="O26" i="22"/>
  <c r="P423" i="22"/>
  <c r="N411" i="22"/>
  <c r="T411" i="22" s="1"/>
  <c r="U411" i="22" s="1"/>
  <c r="W411" i="22" s="1"/>
  <c r="O44" i="22"/>
  <c r="O45" i="22" s="1"/>
  <c r="O61" i="22"/>
  <c r="O62" i="22" s="1"/>
  <c r="O129" i="22"/>
  <c r="O67" i="22"/>
  <c r="P42" i="22"/>
  <c r="P22" i="22"/>
  <c r="P23" i="22"/>
  <c r="P29" i="22"/>
  <c r="P17" i="22" s="1"/>
  <c r="P30" i="22"/>
  <c r="P34" i="22"/>
  <c r="P20" i="22" s="1"/>
  <c r="N349" i="22"/>
  <c r="O423" i="22"/>
  <c r="P547" i="22"/>
  <c r="P524" i="22"/>
  <c r="O524" i="22"/>
  <c r="O18" i="22" s="1"/>
  <c r="P560" i="22"/>
  <c r="P413" i="22"/>
  <c r="P412" i="22" s="1"/>
  <c r="O413" i="22"/>
  <c r="O412" i="22" s="1"/>
  <c r="P415" i="22"/>
  <c r="P467" i="22"/>
  <c r="P422" i="22" s="1"/>
  <c r="P420" i="22"/>
  <c r="O469" i="22"/>
  <c r="O264" i="22"/>
  <c r="O263" i="22" s="1"/>
  <c r="P439" i="22"/>
  <c r="P352" i="22"/>
  <c r="P335" i="22" s="1"/>
  <c r="P351" i="22"/>
  <c r="P392" i="22"/>
  <c r="P358" i="22"/>
  <c r="O352" i="22"/>
  <c r="O335" i="22" s="1"/>
  <c r="O351" i="22"/>
  <c r="O390" i="22"/>
  <c r="O360" i="22" s="1"/>
  <c r="O358" i="22"/>
  <c r="P482" i="22"/>
  <c r="P519" i="22"/>
  <c r="P536" i="22"/>
  <c r="O527" i="22"/>
  <c r="O131" i="22"/>
  <c r="O175" i="22"/>
  <c r="O189" i="22"/>
  <c r="O204" i="22"/>
  <c r="O211" i="22"/>
  <c r="P220" i="22"/>
  <c r="P221" i="22" s="1"/>
  <c r="P211" i="22"/>
  <c r="P236" i="22"/>
  <c r="P251" i="22"/>
  <c r="O267" i="22"/>
  <c r="O281" i="22"/>
  <c r="O296" i="22"/>
  <c r="O311" i="22"/>
  <c r="O392" i="22"/>
  <c r="O407" i="22"/>
  <c r="P454" i="22"/>
  <c r="P469" i="22"/>
  <c r="P553" i="22"/>
  <c r="O608" i="22"/>
  <c r="O563" i="22" s="1"/>
  <c r="P655" i="22"/>
  <c r="P166" i="22"/>
  <c r="P175" i="22"/>
  <c r="O220" i="22"/>
  <c r="P216" i="22"/>
  <c r="P256" i="22"/>
  <c r="P267" i="22"/>
  <c r="O479" i="22"/>
  <c r="O630" i="22"/>
  <c r="P637" i="22"/>
  <c r="P526" i="22"/>
  <c r="P543" i="22"/>
  <c r="O475" i="22"/>
  <c r="O474" i="22" s="1"/>
  <c r="O166" i="22"/>
  <c r="O259" i="22"/>
  <c r="O256" i="22"/>
  <c r="P499" i="22"/>
  <c r="P483" i="22"/>
  <c r="P484" i="22" s="1"/>
  <c r="O483" i="22"/>
  <c r="O484" i="22" s="1"/>
  <c r="O514" i="22"/>
  <c r="O564" i="22"/>
  <c r="O580" i="22"/>
  <c r="O642" i="22"/>
  <c r="P377" i="22"/>
  <c r="O377" i="22"/>
  <c r="P565" i="22"/>
  <c r="P642" i="22"/>
  <c r="O176" i="22"/>
  <c r="P259" i="22"/>
  <c r="P548" i="22"/>
  <c r="P685" i="22"/>
  <c r="P640" i="22" s="1"/>
  <c r="P129" i="22"/>
  <c r="P172" i="22"/>
  <c r="P189" i="22"/>
  <c r="P204" i="22"/>
  <c r="O217" i="22"/>
  <c r="O234" i="22"/>
  <c r="O249" i="22"/>
  <c r="P264" i="22"/>
  <c r="P281" i="22"/>
  <c r="P296" i="22"/>
  <c r="P311" i="22"/>
  <c r="P375" i="22"/>
  <c r="P390" i="22"/>
  <c r="P405" i="22"/>
  <c r="O452" i="22"/>
  <c r="O467" i="22"/>
  <c r="P608" i="22"/>
  <c r="P563" i="22" s="1"/>
  <c r="P546" i="22" s="1"/>
  <c r="O655" i="22"/>
  <c r="O685" i="22"/>
  <c r="O415" i="22" l="1"/>
  <c r="P69" i="22"/>
  <c r="P129" i="23"/>
  <c r="O69" i="22"/>
  <c r="O129" i="23"/>
  <c r="O3" i="22"/>
  <c r="O53" i="22"/>
  <c r="O27" i="23"/>
  <c r="P53" i="22"/>
  <c r="O268" i="22"/>
  <c r="O36" i="22"/>
  <c r="P28" i="22"/>
  <c r="O362" i="22"/>
  <c r="P27" i="22"/>
  <c r="O174" i="22"/>
  <c r="O131" i="23"/>
  <c r="P33" i="22"/>
  <c r="P32" i="22" s="1"/>
  <c r="P362" i="22"/>
  <c r="P36" i="22"/>
  <c r="P25" i="22"/>
  <c r="O518" i="22"/>
  <c r="O28" i="22"/>
  <c r="O398" i="23"/>
  <c r="O33" i="22"/>
  <c r="N332" i="22"/>
  <c r="O25" i="22"/>
  <c r="O50" i="22"/>
  <c r="O49" i="22" s="1"/>
  <c r="O71" i="22"/>
  <c r="O66" i="22"/>
  <c r="O27" i="22"/>
  <c r="P50" i="22"/>
  <c r="P66" i="22"/>
  <c r="P71" i="22"/>
  <c r="P530" i="22"/>
  <c r="P531" i="22" s="1"/>
  <c r="P18" i="22"/>
  <c r="P3" i="22" s="1"/>
  <c r="O530" i="22"/>
  <c r="O531" i="22" s="1"/>
  <c r="O548" i="22"/>
  <c r="P424" i="22"/>
  <c r="P419" i="22"/>
  <c r="O357" i="22"/>
  <c r="O353" i="22"/>
  <c r="O334" i="22"/>
  <c r="O350" i="22"/>
  <c r="P357" i="22"/>
  <c r="P341" i="22"/>
  <c r="P334" i="22"/>
  <c r="P350" i="22"/>
  <c r="P353" i="22"/>
  <c r="P360" i="22"/>
  <c r="P343" i="22" s="1"/>
  <c r="P529" i="22"/>
  <c r="O526" i="22"/>
  <c r="O560" i="22"/>
  <c r="O543" i="22"/>
  <c r="O266" i="22"/>
  <c r="P268" i="22"/>
  <c r="P263" i="22"/>
  <c r="O221" i="22"/>
  <c r="O216" i="22"/>
  <c r="O565" i="22"/>
  <c r="O640" i="22"/>
  <c r="O219" i="22"/>
  <c r="O52" i="22" s="1"/>
  <c r="P174" i="22"/>
  <c r="P52" i="22" s="1"/>
  <c r="P176" i="22"/>
  <c r="P171" i="22"/>
  <c r="P266" i="22"/>
  <c r="O37" i="22" l="1"/>
  <c r="O546" i="22"/>
  <c r="O529" i="22" s="1"/>
  <c r="P19" i="22"/>
  <c r="P12" i="22" s="1"/>
  <c r="P37" i="22"/>
  <c r="O32" i="22"/>
  <c r="P35" i="22"/>
  <c r="P21" i="22" s="1"/>
  <c r="O397" i="23"/>
  <c r="O35" i="22"/>
  <c r="P49" i="22"/>
  <c r="P54" i="22"/>
  <c r="O54" i="22"/>
  <c r="P340" i="22"/>
  <c r="P345" i="22"/>
  <c r="P336" i="22"/>
  <c r="P333" i="22"/>
  <c r="O336" i="22"/>
  <c r="O333" i="22"/>
  <c r="Q716" i="18" l="1"/>
  <c r="P716" i="18"/>
  <c r="O716" i="18"/>
  <c r="Q686" i="18"/>
  <c r="P686" i="18"/>
  <c r="O686" i="18"/>
  <c r="Q656" i="18"/>
  <c r="P656" i="18"/>
  <c r="O656" i="18"/>
  <c r="Q653" i="18"/>
  <c r="P653" i="18"/>
  <c r="O653" i="18"/>
  <c r="Q648" i="18"/>
  <c r="P648" i="18"/>
  <c r="O648" i="18"/>
  <c r="Q639" i="18"/>
  <c r="P639" i="18"/>
  <c r="O639" i="18"/>
  <c r="Q636" i="18"/>
  <c r="P636" i="18"/>
  <c r="O636" i="18"/>
  <c r="Q629" i="18"/>
  <c r="P629" i="18"/>
  <c r="O629" i="18"/>
  <c r="Q628" i="18"/>
  <c r="P628" i="18"/>
  <c r="O628" i="18"/>
  <c r="Q627" i="18"/>
  <c r="P627" i="18"/>
  <c r="O627" i="18"/>
  <c r="Q610" i="18"/>
  <c r="P610" i="18"/>
  <c r="O610" i="18"/>
  <c r="P608" i="18"/>
  <c r="O608" i="18"/>
  <c r="P580" i="18"/>
  <c r="P578" i="18"/>
  <c r="P563" i="18" s="1"/>
  <c r="Q580" i="18"/>
  <c r="O545" i="18"/>
  <c r="O528" i="18" s="1"/>
  <c r="Q559" i="18"/>
  <c r="P559" i="18"/>
  <c r="P542" i="18" s="1"/>
  <c r="P525" i="18" s="1"/>
  <c r="O559" i="18"/>
  <c r="Q541" i="18"/>
  <c r="O541" i="18"/>
  <c r="Q552" i="18"/>
  <c r="P552" i="18"/>
  <c r="P535" i="18" s="1"/>
  <c r="P518" i="18" s="1"/>
  <c r="O552" i="18"/>
  <c r="Q551" i="18"/>
  <c r="Q534" i="18" s="1"/>
  <c r="Q517" i="18" s="1"/>
  <c r="P551" i="18"/>
  <c r="O551" i="18"/>
  <c r="O534" i="18" s="1"/>
  <c r="O517" i="18" s="1"/>
  <c r="Q550" i="18"/>
  <c r="P550" i="18"/>
  <c r="P533" i="18" s="1"/>
  <c r="P516" i="18" s="1"/>
  <c r="O550" i="18"/>
  <c r="Q545" i="18"/>
  <c r="Q528" i="18" s="1"/>
  <c r="Q540" i="18"/>
  <c r="O540" i="18"/>
  <c r="Q523" i="18"/>
  <c r="Q514" i="18"/>
  <c r="P514" i="18"/>
  <c r="O514" i="18"/>
  <c r="P512" i="18"/>
  <c r="O512" i="18"/>
  <c r="Q497" i="18"/>
  <c r="P497" i="18"/>
  <c r="O497" i="18"/>
  <c r="Q481" i="18"/>
  <c r="P481" i="18"/>
  <c r="Q480" i="18"/>
  <c r="P480" i="18"/>
  <c r="O480" i="18"/>
  <c r="Q478" i="18"/>
  <c r="P478" i="18"/>
  <c r="O478" i="18"/>
  <c r="Q477" i="18"/>
  <c r="P477" i="18"/>
  <c r="O477" i="18"/>
  <c r="Q476" i="18"/>
  <c r="P476" i="18"/>
  <c r="O476" i="18"/>
  <c r="Q475" i="18"/>
  <c r="P475" i="18"/>
  <c r="O475" i="18"/>
  <c r="Q473" i="18"/>
  <c r="P473" i="18"/>
  <c r="O473" i="18"/>
  <c r="Q472" i="18"/>
  <c r="P472" i="18"/>
  <c r="O472" i="18"/>
  <c r="Q471" i="18"/>
  <c r="P471" i="18"/>
  <c r="O471" i="18"/>
  <c r="Q468" i="18"/>
  <c r="P468" i="18"/>
  <c r="O468" i="18"/>
  <c r="Q465" i="18"/>
  <c r="P465" i="18"/>
  <c r="O465" i="18"/>
  <c r="Q460" i="18"/>
  <c r="P460" i="18"/>
  <c r="O460" i="18"/>
  <c r="Q453" i="18"/>
  <c r="P453" i="18"/>
  <c r="O453" i="18"/>
  <c r="Q450" i="18"/>
  <c r="P450" i="18"/>
  <c r="O450" i="18"/>
  <c r="Q445" i="18"/>
  <c r="P445" i="18"/>
  <c r="O445" i="18"/>
  <c r="O414" i="18" s="1"/>
  <c r="Q438" i="18"/>
  <c r="P438" i="18"/>
  <c r="O438" i="18"/>
  <c r="Q342" i="18"/>
  <c r="P342" i="18"/>
  <c r="Q339" i="18"/>
  <c r="P339" i="18"/>
  <c r="O339" i="18"/>
  <c r="Q338" i="18"/>
  <c r="P338" i="18"/>
  <c r="O338" i="18"/>
  <c r="Q337" i="18"/>
  <c r="P337" i="18"/>
  <c r="O337" i="18"/>
  <c r="Q332" i="18"/>
  <c r="P332" i="18"/>
  <c r="Q331" i="18"/>
  <c r="P331" i="18"/>
  <c r="O331" i="18"/>
  <c r="Q330" i="18"/>
  <c r="P330" i="18"/>
  <c r="O330" i="18"/>
  <c r="Q406" i="18"/>
  <c r="P406" i="18"/>
  <c r="O406" i="18"/>
  <c r="Q403" i="18"/>
  <c r="P403" i="18"/>
  <c r="P407" i="18" s="1"/>
  <c r="O403" i="18"/>
  <c r="Q398" i="18"/>
  <c r="P398" i="18"/>
  <c r="O398" i="18"/>
  <c r="Q391" i="18"/>
  <c r="P391" i="18"/>
  <c r="O391" i="18"/>
  <c r="Q388" i="18"/>
  <c r="Q358" i="18" s="1"/>
  <c r="P388" i="18"/>
  <c r="O388" i="18"/>
  <c r="O358" i="18" s="1"/>
  <c r="Q383" i="18"/>
  <c r="P383" i="18"/>
  <c r="O383" i="18"/>
  <c r="Q327" i="18"/>
  <c r="P327" i="18"/>
  <c r="O327" i="18"/>
  <c r="Q324" i="18"/>
  <c r="P324" i="18"/>
  <c r="P328" i="18" s="1"/>
  <c r="O324" i="18"/>
  <c r="Q319" i="18"/>
  <c r="P319" i="18"/>
  <c r="O319" i="18"/>
  <c r="Q312" i="18"/>
  <c r="P312" i="18"/>
  <c r="O312" i="18"/>
  <c r="Q309" i="18"/>
  <c r="Q313" i="18" s="1"/>
  <c r="P309" i="18"/>
  <c r="O309" i="18"/>
  <c r="O313" i="18" s="1"/>
  <c r="Q304" i="18"/>
  <c r="P304" i="18"/>
  <c r="O304" i="18"/>
  <c r="Q297" i="18"/>
  <c r="P297" i="18"/>
  <c r="O297" i="18"/>
  <c r="Q294" i="18"/>
  <c r="P294" i="18"/>
  <c r="P298" i="18" s="1"/>
  <c r="O294" i="18"/>
  <c r="Q289" i="18"/>
  <c r="P289" i="18"/>
  <c r="O289" i="18"/>
  <c r="Q282" i="18"/>
  <c r="P282" i="18"/>
  <c r="O282" i="18"/>
  <c r="Q279" i="18"/>
  <c r="Q283" i="18" s="1"/>
  <c r="P279" i="18"/>
  <c r="O279" i="18"/>
  <c r="O283" i="18" s="1"/>
  <c r="Q274" i="18"/>
  <c r="P274" i="18"/>
  <c r="O274" i="18"/>
  <c r="Q265" i="18"/>
  <c r="P265" i="18"/>
  <c r="O265" i="18"/>
  <c r="O264" i="18"/>
  <c r="Q262" i="18"/>
  <c r="P262" i="18"/>
  <c r="O262" i="18"/>
  <c r="Q261" i="18"/>
  <c r="P261" i="18"/>
  <c r="O261" i="18"/>
  <c r="Q260" i="18"/>
  <c r="P260" i="18"/>
  <c r="O260" i="18"/>
  <c r="Q258" i="18"/>
  <c r="Q27" i="18" s="1"/>
  <c r="P258" i="18"/>
  <c r="P27" i="18" s="1"/>
  <c r="O258" i="18"/>
  <c r="O27" i="18" s="1"/>
  <c r="Q257" i="18"/>
  <c r="P257" i="18"/>
  <c r="P259" i="18" s="1"/>
  <c r="O257" i="18"/>
  <c r="Q255" i="18"/>
  <c r="P255" i="18"/>
  <c r="O255" i="18"/>
  <c r="Q254" i="18"/>
  <c r="P254" i="18"/>
  <c r="O254" i="18"/>
  <c r="Q253" i="18"/>
  <c r="P253" i="18"/>
  <c r="O253" i="18"/>
  <c r="Q250" i="18"/>
  <c r="P250" i="18"/>
  <c r="O250" i="18"/>
  <c r="O251" i="18" s="1"/>
  <c r="O249" i="18"/>
  <c r="Q247" i="18"/>
  <c r="Q251" i="18" s="1"/>
  <c r="P247" i="18"/>
  <c r="P251" i="18" s="1"/>
  <c r="Q242" i="18"/>
  <c r="P242" i="18"/>
  <c r="P212" i="18" s="1"/>
  <c r="O242" i="18"/>
  <c r="Q235" i="18"/>
  <c r="Q236" i="18" s="1"/>
  <c r="P235" i="18"/>
  <c r="P236" i="18" s="1"/>
  <c r="O235" i="18"/>
  <c r="O236" i="18" s="1"/>
  <c r="P234" i="18"/>
  <c r="O234" i="18"/>
  <c r="O219" i="18" s="1"/>
  <c r="Q218" i="18"/>
  <c r="P218" i="18"/>
  <c r="O218" i="18"/>
  <c r="Q217" i="18"/>
  <c r="O217" i="18"/>
  <c r="Q215" i="18"/>
  <c r="P215" i="18"/>
  <c r="O215" i="18"/>
  <c r="Q214" i="18"/>
  <c r="P214" i="18"/>
  <c r="O214" i="18"/>
  <c r="Q213" i="18"/>
  <c r="P213" i="18"/>
  <c r="O213" i="18"/>
  <c r="Q212" i="18"/>
  <c r="O212" i="18"/>
  <c r="Q210" i="18"/>
  <c r="P210" i="18"/>
  <c r="O210" i="18"/>
  <c r="Q209" i="18"/>
  <c r="P209" i="18"/>
  <c r="O209" i="18"/>
  <c r="Q208" i="18"/>
  <c r="P208" i="18"/>
  <c r="O208" i="18"/>
  <c r="Q205" i="18"/>
  <c r="P205" i="18"/>
  <c r="O205" i="18"/>
  <c r="Q202" i="18"/>
  <c r="P202" i="18"/>
  <c r="P206" i="18" s="1"/>
  <c r="O202" i="18"/>
  <c r="Q197" i="18"/>
  <c r="P197" i="18"/>
  <c r="O197" i="18"/>
  <c r="Q190" i="18"/>
  <c r="P190" i="18"/>
  <c r="O190" i="18"/>
  <c r="Q187" i="18"/>
  <c r="Q191" i="18" s="1"/>
  <c r="P187" i="18"/>
  <c r="O187" i="18"/>
  <c r="O191" i="18" s="1"/>
  <c r="Q182" i="18"/>
  <c r="P182" i="18"/>
  <c r="O182" i="18"/>
  <c r="Q173" i="18"/>
  <c r="P173" i="18"/>
  <c r="O173" i="18"/>
  <c r="Q170" i="18"/>
  <c r="P170" i="18"/>
  <c r="O170" i="18"/>
  <c r="Q169" i="18"/>
  <c r="P169" i="18"/>
  <c r="P47" i="18" s="1"/>
  <c r="O169" i="18"/>
  <c r="Q168" i="18"/>
  <c r="P168" i="18"/>
  <c r="O168" i="18"/>
  <c r="P167" i="18"/>
  <c r="Q165" i="18"/>
  <c r="P165" i="18"/>
  <c r="O165" i="18"/>
  <c r="Q164" i="18"/>
  <c r="P164" i="18"/>
  <c r="O164" i="18"/>
  <c r="Q163" i="18"/>
  <c r="P163" i="18"/>
  <c r="O163" i="18"/>
  <c r="Q160" i="18"/>
  <c r="Q161" i="18" s="1"/>
  <c r="P160" i="18"/>
  <c r="P161" i="18" s="1"/>
  <c r="O160" i="18"/>
  <c r="O161" i="18" s="1"/>
  <c r="Q159" i="18"/>
  <c r="P159" i="18"/>
  <c r="O159" i="18"/>
  <c r="O156" i="18"/>
  <c r="Q130" i="18"/>
  <c r="Q131" i="18" s="1"/>
  <c r="P130" i="18"/>
  <c r="P131" i="18" s="1"/>
  <c r="O130" i="18"/>
  <c r="O131" i="18" s="1"/>
  <c r="Q115" i="18"/>
  <c r="Q116" i="18" s="1"/>
  <c r="P115" i="18"/>
  <c r="P116" i="18" s="1"/>
  <c r="O115" i="18"/>
  <c r="O116" i="18" s="1"/>
  <c r="Q100" i="18"/>
  <c r="P100" i="18"/>
  <c r="O100" i="18"/>
  <c r="P99" i="18"/>
  <c r="Q85" i="18"/>
  <c r="Q86" i="18" s="1"/>
  <c r="P85" i="18"/>
  <c r="P86" i="18" s="1"/>
  <c r="O85" i="18"/>
  <c r="O86" i="18" s="1"/>
  <c r="O523" i="18" l="1"/>
  <c r="Q638" i="18"/>
  <c r="P641" i="18"/>
  <c r="O638" i="18"/>
  <c r="O637" i="18" s="1"/>
  <c r="O47" i="18"/>
  <c r="Q47" i="18"/>
  <c r="P483" i="18"/>
  <c r="P484" i="18" s="1"/>
  <c r="O344" i="18"/>
  <c r="Q344" i="18"/>
  <c r="O483" i="18"/>
  <c r="O484" i="18" s="1"/>
  <c r="Q483" i="18"/>
  <c r="Q484" i="18" s="1"/>
  <c r="O564" i="18"/>
  <c r="Q564" i="18"/>
  <c r="P344" i="18"/>
  <c r="P540" i="18"/>
  <c r="P564" i="18"/>
  <c r="O547" i="18"/>
  <c r="Q547" i="18"/>
  <c r="P469" i="18"/>
  <c r="P545" i="18"/>
  <c r="P528" i="18" s="1"/>
  <c r="Q631" i="18"/>
  <c r="Q633" i="18" s="1"/>
  <c r="O167" i="18"/>
  <c r="O166" i="18" s="1"/>
  <c r="Q167" i="18"/>
  <c r="O542" i="18"/>
  <c r="O525" i="18" s="1"/>
  <c r="O535" i="18"/>
  <c r="O518" i="18" s="1"/>
  <c r="O533" i="18"/>
  <c r="O516" i="18" s="1"/>
  <c r="Q533" i="18"/>
  <c r="Q516" i="18" s="1"/>
  <c r="P534" i="18"/>
  <c r="P517" i="18" s="1"/>
  <c r="Q537" i="18"/>
  <c r="O544" i="18"/>
  <c r="O527" i="18" s="1"/>
  <c r="P172" i="18"/>
  <c r="P171" i="18" s="1"/>
  <c r="P191" i="18"/>
  <c r="O206" i="18"/>
  <c r="Q206" i="18"/>
  <c r="O216" i="18"/>
  <c r="Q216" i="18"/>
  <c r="P217" i="18"/>
  <c r="P256" i="18"/>
  <c r="O263" i="18"/>
  <c r="Q264" i="18"/>
  <c r="Q263" i="18" s="1"/>
  <c r="P283" i="18"/>
  <c r="O298" i="18"/>
  <c r="Q298" i="18"/>
  <c r="P313" i="18"/>
  <c r="O328" i="18"/>
  <c r="P358" i="18"/>
  <c r="P362" i="18" s="1"/>
  <c r="O469" i="18"/>
  <c r="Q469" i="18"/>
  <c r="O481" i="18"/>
  <c r="Q535" i="18"/>
  <c r="Q518" i="18" s="1"/>
  <c r="P541" i="18"/>
  <c r="P547" i="18" s="1"/>
  <c r="Q542" i="18"/>
  <c r="Q525" i="18" s="1"/>
  <c r="P657" i="18"/>
  <c r="O641" i="18"/>
  <c r="Q641" i="18"/>
  <c r="O687" i="18"/>
  <c r="Q687" i="18"/>
  <c r="P717" i="18"/>
  <c r="Q328" i="18"/>
  <c r="O407" i="18"/>
  <c r="Q407" i="18"/>
  <c r="P631" i="18"/>
  <c r="O657" i="18"/>
  <c r="Q657" i="18"/>
  <c r="P687" i="18"/>
  <c r="O717" i="18"/>
  <c r="Q717" i="18"/>
  <c r="P211" i="18"/>
  <c r="O334" i="23"/>
  <c r="O344" i="23"/>
  <c r="T359" i="23"/>
  <c r="U359" i="23" s="1"/>
  <c r="Q630" i="18"/>
  <c r="O39" i="18"/>
  <c r="O22" i="18"/>
  <c r="Q39" i="18"/>
  <c r="Q22" i="18"/>
  <c r="O41" i="18"/>
  <c r="O24" i="18"/>
  <c r="Q41" i="18"/>
  <c r="Q24" i="18"/>
  <c r="O29" i="18"/>
  <c r="O17" i="18" s="1"/>
  <c r="O46" i="18"/>
  <c r="Q46" i="18"/>
  <c r="Q29" i="18"/>
  <c r="Q17" i="18" s="1"/>
  <c r="P175" i="18"/>
  <c r="O48" i="18"/>
  <c r="O31" i="18"/>
  <c r="Q48" i="18"/>
  <c r="Q31" i="18"/>
  <c r="O34" i="18"/>
  <c r="O51" i="18"/>
  <c r="Q51" i="18"/>
  <c r="Q34" i="18"/>
  <c r="Q20" i="18" s="1"/>
  <c r="O204" i="18"/>
  <c r="O267" i="18"/>
  <c r="O268" i="18" s="1"/>
  <c r="Q267" i="18"/>
  <c r="Q326" i="18"/>
  <c r="O352" i="18"/>
  <c r="O335" i="18" s="1"/>
  <c r="O351" i="18"/>
  <c r="Q352" i="18"/>
  <c r="Q351" i="18"/>
  <c r="Q405" i="18"/>
  <c r="Q414" i="18"/>
  <c r="Q413" i="18"/>
  <c r="P454" i="18"/>
  <c r="P420" i="18"/>
  <c r="O553" i="18"/>
  <c r="O560" i="18"/>
  <c r="O631" i="18"/>
  <c r="P39" i="18"/>
  <c r="P22" i="18"/>
  <c r="P41" i="18"/>
  <c r="P24" i="18"/>
  <c r="P29" i="18"/>
  <c r="P46" i="18"/>
  <c r="O175" i="18"/>
  <c r="Q175" i="18"/>
  <c r="P48" i="18"/>
  <c r="P31" i="18"/>
  <c r="P51" i="18"/>
  <c r="P34" i="18"/>
  <c r="P20" i="18" s="1"/>
  <c r="Q204" i="18"/>
  <c r="O211" i="18"/>
  <c r="Q211" i="18"/>
  <c r="O256" i="18"/>
  <c r="Q256" i="18"/>
  <c r="P267" i="18"/>
  <c r="O326" i="18"/>
  <c r="P352" i="18"/>
  <c r="P351" i="18"/>
  <c r="O362" i="18"/>
  <c r="O357" i="18"/>
  <c r="Q362" i="18"/>
  <c r="Q357" i="18"/>
  <c r="O405" i="18"/>
  <c r="O411" i="18"/>
  <c r="O413" i="18"/>
  <c r="O415" i="18" s="1"/>
  <c r="O437" i="18"/>
  <c r="O421" i="18"/>
  <c r="P414" i="18"/>
  <c r="P413" i="18"/>
  <c r="O454" i="18"/>
  <c r="O420" i="18"/>
  <c r="Q454" i="18"/>
  <c r="Q420" i="18"/>
  <c r="O474" i="18"/>
  <c r="O482" i="18"/>
  <c r="Q524" i="18"/>
  <c r="O524" i="18"/>
  <c r="P560" i="18"/>
  <c r="O479" i="18"/>
  <c r="P482" i="18"/>
  <c r="O452" i="18"/>
  <c r="Q452" i="18"/>
  <c r="P392" i="18"/>
  <c r="O392" i="18"/>
  <c r="Q392" i="18"/>
  <c r="O43" i="18"/>
  <c r="O60" i="18"/>
  <c r="Q43" i="18"/>
  <c r="Q60" i="18"/>
  <c r="P101" i="18"/>
  <c r="P67" i="18"/>
  <c r="P60" i="18"/>
  <c r="P43" i="18"/>
  <c r="O101" i="18"/>
  <c r="O67" i="18"/>
  <c r="Q101" i="18"/>
  <c r="Q67" i="18"/>
  <c r="P220" i="18"/>
  <c r="P30" i="18"/>
  <c r="P53" i="18"/>
  <c r="O220" i="18"/>
  <c r="O53" i="18"/>
  <c r="O30" i="18"/>
  <c r="Q220" i="18"/>
  <c r="Q221" i="18" s="1"/>
  <c r="Q30" i="18"/>
  <c r="P50" i="18"/>
  <c r="O40" i="18"/>
  <c r="O23" i="18"/>
  <c r="Q40" i="18"/>
  <c r="Q23" i="18"/>
  <c r="P23" i="18"/>
  <c r="P40" i="18"/>
  <c r="P638" i="18"/>
  <c r="P544" i="18" s="1"/>
  <c r="P527" i="18" s="1"/>
  <c r="P537" i="18"/>
  <c r="Q637" i="18"/>
  <c r="Q467" i="18"/>
  <c r="O467" i="18"/>
  <c r="P264" i="18"/>
  <c r="P263" i="18" s="1"/>
  <c r="P166" i="18"/>
  <c r="Q166" i="18"/>
  <c r="O172" i="18"/>
  <c r="O171" i="18" s="1"/>
  <c r="Q172" i="18"/>
  <c r="Q171" i="18" s="1"/>
  <c r="P553" i="18"/>
  <c r="Q553" i="18"/>
  <c r="Q479" i="18"/>
  <c r="P474" i="18"/>
  <c r="Q474" i="18"/>
  <c r="O439" i="18"/>
  <c r="O499" i="18"/>
  <c r="Q499" i="18"/>
  <c r="O565" i="18"/>
  <c r="P565" i="18"/>
  <c r="O176" i="18"/>
  <c r="Q268" i="18"/>
  <c r="Q439" i="18"/>
  <c r="Q437" i="18"/>
  <c r="Q341" i="18"/>
  <c r="P499" i="18"/>
  <c r="Q565" i="18"/>
  <c r="Q642" i="18"/>
  <c r="O221" i="18"/>
  <c r="P439" i="18"/>
  <c r="P69" i="18"/>
  <c r="P189" i="18"/>
  <c r="P204" i="18"/>
  <c r="Q234" i="18"/>
  <c r="Q249" i="18"/>
  <c r="O259" i="18"/>
  <c r="Q259" i="18"/>
  <c r="P281" i="18"/>
  <c r="P296" i="18"/>
  <c r="P311" i="18"/>
  <c r="P326" i="18"/>
  <c r="O390" i="18"/>
  <c r="Q390" i="18"/>
  <c r="Q360" i="18" s="1"/>
  <c r="P437" i="18"/>
  <c r="P452" i="18"/>
  <c r="P467" i="18"/>
  <c r="P479" i="18"/>
  <c r="Q512" i="18"/>
  <c r="Q482" i="18" s="1"/>
  <c r="O578" i="18"/>
  <c r="O563" i="18" s="1"/>
  <c r="Q578" i="18"/>
  <c r="Q563" i="18" s="1"/>
  <c r="Q608" i="18"/>
  <c r="P655" i="18"/>
  <c r="P685" i="18"/>
  <c r="O99" i="18"/>
  <c r="O69" i="18" s="1"/>
  <c r="Q99" i="18"/>
  <c r="Q69" i="18" s="1"/>
  <c r="O189" i="18"/>
  <c r="Q189" i="18"/>
  <c r="Q174" i="18" s="1"/>
  <c r="P249" i="18"/>
  <c r="P219" i="18" s="1"/>
  <c r="O281" i="18"/>
  <c r="Q281" i="18"/>
  <c r="O296" i="18"/>
  <c r="Q296" i="18"/>
  <c r="O311" i="18"/>
  <c r="Q311" i="18"/>
  <c r="P390" i="18"/>
  <c r="P405" i="18"/>
  <c r="O655" i="18"/>
  <c r="Q655" i="18"/>
  <c r="O685" i="18"/>
  <c r="Q685" i="18"/>
  <c r="O530" i="18" l="1"/>
  <c r="O18" i="18"/>
  <c r="O3" i="18" s="1"/>
  <c r="O630" i="18"/>
  <c r="O633" i="18"/>
  <c r="O642" i="18"/>
  <c r="Q520" i="18"/>
  <c r="Q522" i="18" s="1"/>
  <c r="Q539" i="18"/>
  <c r="P523" i="18"/>
  <c r="P17" i="18"/>
  <c r="P520" i="18"/>
  <c r="P539" i="18"/>
  <c r="Q530" i="18"/>
  <c r="Q18" i="18"/>
  <c r="Q3" i="18" s="1"/>
  <c r="P630" i="18"/>
  <c r="P633" i="18"/>
  <c r="Q544" i="18"/>
  <c r="Q527" i="18" s="1"/>
  <c r="Q531" i="18" s="1"/>
  <c r="O537" i="18"/>
  <c r="P221" i="18"/>
  <c r="P216" i="18"/>
  <c r="Q36" i="18"/>
  <c r="P176" i="18"/>
  <c r="Q53" i="18"/>
  <c r="P357" i="18"/>
  <c r="P334" i="18"/>
  <c r="Q345" i="18"/>
  <c r="O334" i="18"/>
  <c r="P360" i="18"/>
  <c r="O526" i="18"/>
  <c r="P642" i="18"/>
  <c r="O548" i="18"/>
  <c r="O543" i="18"/>
  <c r="P524" i="18"/>
  <c r="P18" i="18" s="1"/>
  <c r="O531" i="18"/>
  <c r="Q519" i="18"/>
  <c r="O174" i="18"/>
  <c r="O52" i="18" s="1"/>
  <c r="O360" i="18"/>
  <c r="Q176" i="18"/>
  <c r="Q536" i="18"/>
  <c r="P341" i="18"/>
  <c r="P340" i="18" s="1"/>
  <c r="X359" i="23"/>
  <c r="O265" i="23"/>
  <c r="T265" i="23" s="1"/>
  <c r="U265" i="23" s="1"/>
  <c r="X265" i="23" s="1"/>
  <c r="T344" i="23"/>
  <c r="U344" i="23" s="1"/>
  <c r="P422" i="18"/>
  <c r="P343" i="18" s="1"/>
  <c r="O33" i="18"/>
  <c r="O32" i="18" s="1"/>
  <c r="O422" i="18"/>
  <c r="O343" i="18" s="1"/>
  <c r="O412" i="18"/>
  <c r="T411" i="18"/>
  <c r="U411" i="18" s="1"/>
  <c r="O332" i="18"/>
  <c r="O333" i="18" s="1"/>
  <c r="P335" i="18"/>
  <c r="Q335" i="18"/>
  <c r="Q422" i="18"/>
  <c r="Q343" i="18" s="1"/>
  <c r="Q33" i="18"/>
  <c r="Q32" i="18" s="1"/>
  <c r="Q50" i="18"/>
  <c r="Q49" i="18" s="1"/>
  <c r="O50" i="18"/>
  <c r="O54" i="18" s="1"/>
  <c r="P33" i="18"/>
  <c r="P32" i="18" s="1"/>
  <c r="Q424" i="18"/>
  <c r="Q419" i="18"/>
  <c r="O424" i="18"/>
  <c r="O419" i="18"/>
  <c r="P415" i="18"/>
  <c r="P412" i="18"/>
  <c r="T421" i="18"/>
  <c r="U421" i="18" s="1"/>
  <c r="O342" i="18"/>
  <c r="O20" i="18" s="1"/>
  <c r="P353" i="18"/>
  <c r="P350" i="18"/>
  <c r="P424" i="18"/>
  <c r="P419" i="18"/>
  <c r="Q415" i="18"/>
  <c r="Q412" i="18"/>
  <c r="Q353" i="18"/>
  <c r="Q350" i="18"/>
  <c r="Q334" i="18"/>
  <c r="O353" i="18"/>
  <c r="O350" i="18"/>
  <c r="O341" i="18"/>
  <c r="O536" i="18"/>
  <c r="P536" i="18"/>
  <c r="P548" i="18"/>
  <c r="Q340" i="18"/>
  <c r="O336" i="18"/>
  <c r="P333" i="18"/>
  <c r="Q71" i="18"/>
  <c r="Q66" i="18"/>
  <c r="O66" i="18"/>
  <c r="O71" i="18"/>
  <c r="P45" i="18"/>
  <c r="P42" i="18"/>
  <c r="Q45" i="18"/>
  <c r="Q42" i="18"/>
  <c r="O45" i="18"/>
  <c r="O42" i="18"/>
  <c r="P62" i="18"/>
  <c r="P28" i="18" s="1"/>
  <c r="P26" i="18"/>
  <c r="P25" i="18" s="1"/>
  <c r="P59" i="18"/>
  <c r="P66" i="18"/>
  <c r="P71" i="18"/>
  <c r="Q62" i="18"/>
  <c r="Q28" i="18" s="1"/>
  <c r="Q26" i="18"/>
  <c r="Q25" i="18" s="1"/>
  <c r="Q59" i="18"/>
  <c r="O62" i="18"/>
  <c r="O28" i="18" s="1"/>
  <c r="O26" i="18"/>
  <c r="O25" i="18" s="1"/>
  <c r="O59" i="18"/>
  <c r="O36" i="18"/>
  <c r="P36" i="18"/>
  <c r="P37" i="18" s="1"/>
  <c r="P49" i="18"/>
  <c r="P54" i="18"/>
  <c r="P526" i="18"/>
  <c r="Q640" i="18"/>
  <c r="P543" i="18"/>
  <c r="P637" i="18"/>
  <c r="P268" i="18"/>
  <c r="Q219" i="18"/>
  <c r="Q560" i="18"/>
  <c r="O640" i="18"/>
  <c r="O546" i="18" s="1"/>
  <c r="O529" i="18" s="1"/>
  <c r="Q266" i="18"/>
  <c r="P640" i="18"/>
  <c r="P546" i="18" s="1"/>
  <c r="P529" i="18" s="1"/>
  <c r="P266" i="18"/>
  <c r="P174" i="18"/>
  <c r="P52" i="18" s="1"/>
  <c r="O266" i="18"/>
  <c r="P3" i="18" l="1"/>
  <c r="Q16" i="18"/>
  <c r="P519" i="18"/>
  <c r="P522" i="18"/>
  <c r="O520" i="18"/>
  <c r="O539" i="18"/>
  <c r="Q526" i="18"/>
  <c r="Q543" i="18"/>
  <c r="Q548" i="18"/>
  <c r="P336" i="18"/>
  <c r="O35" i="18"/>
  <c r="O21" i="18" s="1"/>
  <c r="P530" i="18"/>
  <c r="P531" i="18" s="1"/>
  <c r="O49" i="18"/>
  <c r="O37" i="18"/>
  <c r="P19" i="18"/>
  <c r="P12" i="18" s="1"/>
  <c r="P345" i="18"/>
  <c r="Q54" i="18"/>
  <c r="X344" i="23"/>
  <c r="Q37" i="18"/>
  <c r="P35" i="18"/>
  <c r="O345" i="18"/>
  <c r="O340" i="18"/>
  <c r="Q336" i="18"/>
  <c r="Q333" i="18"/>
  <c r="X421" i="18"/>
  <c r="X418" i="18"/>
  <c r="W411" i="18"/>
  <c r="Q35" i="18"/>
  <c r="Q52" i="18"/>
  <c r="Q546" i="18"/>
  <c r="Q529" i="18" s="1"/>
  <c r="Q21" i="18" s="1"/>
  <c r="O19" i="18"/>
  <c r="O12" i="18" s="1"/>
  <c r="Q19" i="18"/>
  <c r="Q12" i="18" s="1"/>
  <c r="P16" i="18" l="1"/>
  <c r="O519" i="18"/>
  <c r="O522" i="18"/>
  <c r="O16" i="18" s="1"/>
  <c r="P21" i="18"/>
  <c r="P716" i="15" l="1"/>
  <c r="P686" i="15"/>
  <c r="P683" i="15"/>
  <c r="P678" i="15"/>
  <c r="P631" i="15" s="1"/>
  <c r="P633" i="15" s="1"/>
  <c r="P656" i="15"/>
  <c r="P641" i="15" s="1"/>
  <c r="P639" i="15"/>
  <c r="P638" i="15"/>
  <c r="P635" i="15"/>
  <c r="P634" i="15"/>
  <c r="P628" i="15"/>
  <c r="P627" i="15"/>
  <c r="P609" i="15"/>
  <c r="P606" i="15"/>
  <c r="P561" i="15" s="1"/>
  <c r="P601" i="15"/>
  <c r="P579" i="15"/>
  <c r="P564" i="15" s="1"/>
  <c r="P554" i="15"/>
  <c r="P545" i="15"/>
  <c r="P528" i="15" s="1"/>
  <c r="P559" i="15"/>
  <c r="P542" i="15" s="1"/>
  <c r="P525" i="15" s="1"/>
  <c r="P557" i="15"/>
  <c r="P552" i="15"/>
  <c r="P551" i="15"/>
  <c r="P550" i="15"/>
  <c r="P533" i="15" s="1"/>
  <c r="P516" i="15" s="1"/>
  <c r="P540" i="15"/>
  <c r="P523" i="15" s="1"/>
  <c r="P534" i="15"/>
  <c r="P517" i="15" s="1"/>
  <c r="P513" i="15"/>
  <c r="P514" i="15" s="1"/>
  <c r="P512" i="15"/>
  <c r="P475" i="15"/>
  <c r="P497" i="15"/>
  <c r="P498" i="15"/>
  <c r="P481" i="15"/>
  <c r="P480" i="15"/>
  <c r="P478" i="15"/>
  <c r="P477" i="15"/>
  <c r="P476" i="15"/>
  <c r="P473" i="15"/>
  <c r="P468" i="15"/>
  <c r="P465" i="15"/>
  <c r="P469" i="15" s="1"/>
  <c r="P460" i="15"/>
  <c r="P453" i="15"/>
  <c r="P450" i="15"/>
  <c r="P445" i="15"/>
  <c r="P415" i="15" s="1"/>
  <c r="P438" i="15"/>
  <c r="P435" i="15"/>
  <c r="P439" i="15" s="1"/>
  <c r="P430" i="15"/>
  <c r="P423" i="15"/>
  <c r="P421" i="15"/>
  <c r="P342" i="15" s="1"/>
  <c r="P418" i="15"/>
  <c r="P339" i="15" s="1"/>
  <c r="P417" i="15"/>
  <c r="P338" i="15" s="1"/>
  <c r="P416" i="15"/>
  <c r="P337" i="15" s="1"/>
  <c r="P411" i="15"/>
  <c r="P332" i="15" s="1"/>
  <c r="P410" i="15"/>
  <c r="P331" i="15" s="1"/>
  <c r="P409" i="15"/>
  <c r="P330" i="15" s="1"/>
  <c r="P406" i="15"/>
  <c r="P361" i="15" s="1"/>
  <c r="P403" i="15"/>
  <c r="P398" i="15"/>
  <c r="P391" i="15"/>
  <c r="P388" i="15"/>
  <c r="P383" i="15"/>
  <c r="P327" i="15"/>
  <c r="P324" i="15"/>
  <c r="P319" i="15"/>
  <c r="P312" i="15"/>
  <c r="P309" i="15"/>
  <c r="P304" i="15"/>
  <c r="P297" i="15"/>
  <c r="P294" i="15"/>
  <c r="P289" i="15"/>
  <c r="P258" i="15" s="1"/>
  <c r="P27" i="15" s="1"/>
  <c r="P282" i="15"/>
  <c r="P279" i="15"/>
  <c r="P264" i="15" s="1"/>
  <c r="P274" i="15"/>
  <c r="P257" i="15" s="1"/>
  <c r="P265" i="15"/>
  <c r="P262" i="15"/>
  <c r="P261" i="15"/>
  <c r="P260" i="15"/>
  <c r="P255" i="15"/>
  <c r="P254" i="15"/>
  <c r="P253" i="15"/>
  <c r="P250" i="15"/>
  <c r="P247" i="15"/>
  <c r="P242" i="15"/>
  <c r="P235" i="15"/>
  <c r="P232" i="15"/>
  <c r="P227" i="15"/>
  <c r="P218" i="15"/>
  <c r="P215" i="15"/>
  <c r="P214" i="15"/>
  <c r="P213" i="15"/>
  <c r="P210" i="15"/>
  <c r="P209" i="15"/>
  <c r="P208" i="15"/>
  <c r="P205" i="15"/>
  <c r="P202" i="15"/>
  <c r="P197" i="15"/>
  <c r="P190" i="15"/>
  <c r="P187" i="15"/>
  <c r="P182" i="15"/>
  <c r="P173" i="15"/>
  <c r="P170" i="15"/>
  <c r="P169" i="15"/>
  <c r="P168" i="15"/>
  <c r="P165" i="15"/>
  <c r="P164" i="15"/>
  <c r="P163" i="15"/>
  <c r="P160" i="15"/>
  <c r="P161" i="15" s="1"/>
  <c r="P145" i="15"/>
  <c r="P142" i="15"/>
  <c r="P137" i="15"/>
  <c r="P130" i="15"/>
  <c r="P131" i="15" s="1"/>
  <c r="P115" i="15"/>
  <c r="P116" i="15" s="1"/>
  <c r="P114" i="15"/>
  <c r="P99" i="15"/>
  <c r="P100" i="15"/>
  <c r="P101" i="15" s="1"/>
  <c r="P85" i="15"/>
  <c r="P84" i="15"/>
  <c r="P580" i="15" l="1"/>
  <c r="P537" i="15"/>
  <c r="P539" i="15" s="1"/>
  <c r="P556" i="15"/>
  <c r="P541" i="15"/>
  <c r="P547" i="15" s="1"/>
  <c r="P167" i="15"/>
  <c r="P206" i="15"/>
  <c r="P407" i="15"/>
  <c r="P687" i="15"/>
  <c r="P283" i="15"/>
  <c r="P313" i="15"/>
  <c r="P358" i="15"/>
  <c r="P357" i="15" s="1"/>
  <c r="P344" i="15"/>
  <c r="P413" i="15"/>
  <c r="P412" i="15" s="1"/>
  <c r="P454" i="15"/>
  <c r="P553" i="15"/>
  <c r="P717" i="15"/>
  <c r="P637" i="15"/>
  <c r="P352" i="15"/>
  <c r="P335" i="15" s="1"/>
  <c r="P351" i="15"/>
  <c r="P390" i="15"/>
  <c r="P392" i="15"/>
  <c r="P452" i="15"/>
  <c r="P362" i="15"/>
  <c r="P405" i="15"/>
  <c r="P610" i="15"/>
  <c r="L58" i="15"/>
  <c r="P657" i="15"/>
  <c r="P479" i="15"/>
  <c r="P60" i="15"/>
  <c r="P39" i="15"/>
  <c r="P22" i="15"/>
  <c r="P41" i="15"/>
  <c r="P24" i="15"/>
  <c r="P47" i="15"/>
  <c r="P30" i="15"/>
  <c r="P34" i="15"/>
  <c r="P20" i="15" s="1"/>
  <c r="P51" i="15"/>
  <c r="P191" i="15"/>
  <c r="P251" i="15"/>
  <c r="P146" i="15"/>
  <c r="P67" i="15"/>
  <c r="P23" i="15"/>
  <c r="P40" i="15"/>
  <c r="P46" i="15"/>
  <c r="P29" i="15"/>
  <c r="P17" i="15" s="1"/>
  <c r="P48" i="15"/>
  <c r="P31" i="15"/>
  <c r="P298" i="15"/>
  <c r="P328" i="15"/>
  <c r="P482" i="15"/>
  <c r="P467" i="15"/>
  <c r="P420" i="15"/>
  <c r="P419" i="15" s="1"/>
  <c r="P437" i="15"/>
  <c r="P212" i="15"/>
  <c r="P211" i="15" s="1"/>
  <c r="P172" i="15"/>
  <c r="P171" i="15" s="1"/>
  <c r="P144" i="15"/>
  <c r="P69" i="15" s="1"/>
  <c r="P175" i="15"/>
  <c r="P204" i="15"/>
  <c r="P220" i="15"/>
  <c r="P236" i="15"/>
  <c r="P267" i="15"/>
  <c r="P268" i="15" s="1"/>
  <c r="P263" i="15"/>
  <c r="P296" i="15"/>
  <c r="P326" i="15"/>
  <c r="P189" i="15"/>
  <c r="P174" i="15" s="1"/>
  <c r="P281" i="15"/>
  <c r="P311" i="15"/>
  <c r="P474" i="15"/>
  <c r="P86" i="15"/>
  <c r="P499" i="15"/>
  <c r="P483" i="15"/>
  <c r="P484" i="15" s="1"/>
  <c r="P166" i="15"/>
  <c r="P259" i="15"/>
  <c r="P256" i="15"/>
  <c r="P565" i="15"/>
  <c r="P176" i="15"/>
  <c r="P217" i="15"/>
  <c r="P234" i="15"/>
  <c r="P249" i="15"/>
  <c r="P578" i="15"/>
  <c r="P608" i="15"/>
  <c r="P630" i="15"/>
  <c r="P655" i="15"/>
  <c r="P685" i="15"/>
  <c r="P563" i="15" l="1"/>
  <c r="P43" i="15"/>
  <c r="P45" i="15" s="1"/>
  <c r="P524" i="15"/>
  <c r="P18" i="15" s="1"/>
  <c r="P3" i="15" s="1"/>
  <c r="P642" i="15"/>
  <c r="P422" i="15"/>
  <c r="P353" i="15"/>
  <c r="P334" i="15"/>
  <c r="P350" i="15"/>
  <c r="P640" i="15"/>
  <c r="M58" i="15"/>
  <c r="U58" i="15"/>
  <c r="W58" i="15" s="1"/>
  <c r="P341" i="15"/>
  <c r="P360" i="15"/>
  <c r="P343" i="15" s="1"/>
  <c r="P33" i="15"/>
  <c r="P32" i="15" s="1"/>
  <c r="P50" i="15"/>
  <c r="P71" i="15"/>
  <c r="P66" i="15"/>
  <c r="P62" i="15"/>
  <c r="P28" i="15" s="1"/>
  <c r="P26" i="15"/>
  <c r="P25" i="15" s="1"/>
  <c r="P59" i="15"/>
  <c r="P53" i="15"/>
  <c r="P42" i="15"/>
  <c r="P36" i="15"/>
  <c r="P424" i="15"/>
  <c r="P266" i="15"/>
  <c r="P535" i="15"/>
  <c r="P518" i="15" s="1"/>
  <c r="P560" i="15"/>
  <c r="P544" i="15"/>
  <c r="P221" i="15"/>
  <c r="P216" i="15"/>
  <c r="P520" i="15"/>
  <c r="P522" i="15" s="1"/>
  <c r="P219" i="15"/>
  <c r="P52" i="15" s="1"/>
  <c r="P37" i="15" l="1"/>
  <c r="P530" i="15"/>
  <c r="P546" i="15"/>
  <c r="P529" i="15" s="1"/>
  <c r="P519" i="15"/>
  <c r="P536" i="15"/>
  <c r="P345" i="15"/>
  <c r="P340" i="15"/>
  <c r="P336" i="15"/>
  <c r="P16" i="15" s="1"/>
  <c r="P333" i="15"/>
  <c r="P35" i="15"/>
  <c r="P49" i="15"/>
  <c r="P54" i="15"/>
  <c r="P543" i="15"/>
  <c r="P527" i="15"/>
  <c r="P19" i="15" s="1"/>
  <c r="P12" i="15" s="1"/>
  <c r="P548" i="15"/>
  <c r="P21" i="15" l="1"/>
  <c r="P531" i="15"/>
  <c r="P526" i="15"/>
  <c r="P271" i="23" l="1"/>
  <c r="P254" i="23" s="1"/>
  <c r="P716" i="13" l="1"/>
  <c r="P686" i="13"/>
  <c r="P641" i="13" s="1"/>
  <c r="P683" i="13"/>
  <c r="P638" i="13" s="1"/>
  <c r="P678" i="13"/>
  <c r="P631" i="13" s="1"/>
  <c r="P633" i="13" s="1"/>
  <c r="P657" i="13"/>
  <c r="P655" i="13"/>
  <c r="P639" i="13"/>
  <c r="P628" i="13"/>
  <c r="P627" i="13"/>
  <c r="P609" i="13"/>
  <c r="P606" i="13"/>
  <c r="P601" i="13"/>
  <c r="P579" i="13"/>
  <c r="P545" i="13"/>
  <c r="P528" i="13" s="1"/>
  <c r="P559" i="13"/>
  <c r="P541" i="13"/>
  <c r="P557" i="13"/>
  <c r="P552" i="13"/>
  <c r="P535" i="13" s="1"/>
  <c r="P551" i="13"/>
  <c r="P534" i="13" s="1"/>
  <c r="P550" i="13"/>
  <c r="P533" i="13" s="1"/>
  <c r="P516" i="13" s="1"/>
  <c r="P497" i="13"/>
  <c r="P477" i="13"/>
  <c r="P471" i="13"/>
  <c r="P480" i="13"/>
  <c r="P478" i="13"/>
  <c r="P476" i="13"/>
  <c r="P473" i="13"/>
  <c r="P472" i="13"/>
  <c r="P468" i="13"/>
  <c r="P465" i="13"/>
  <c r="P460" i="13"/>
  <c r="P453" i="13"/>
  <c r="P450" i="13"/>
  <c r="P445" i="13"/>
  <c r="P331" i="13"/>
  <c r="P330" i="13"/>
  <c r="P406" i="13"/>
  <c r="P403" i="13"/>
  <c r="P398" i="13"/>
  <c r="P391" i="13"/>
  <c r="P388" i="13"/>
  <c r="P383" i="13"/>
  <c r="P376" i="13"/>
  <c r="P327" i="13"/>
  <c r="P324" i="13"/>
  <c r="P319" i="13"/>
  <c r="P312" i="13"/>
  <c r="P309" i="13"/>
  <c r="P304" i="13"/>
  <c r="P297" i="13"/>
  <c r="P294" i="13"/>
  <c r="P289" i="13"/>
  <c r="P282" i="13"/>
  <c r="P279" i="13"/>
  <c r="P274" i="13"/>
  <c r="P265" i="13"/>
  <c r="P262" i="13"/>
  <c r="P261" i="13"/>
  <c r="P260" i="13"/>
  <c r="P258" i="13"/>
  <c r="P27" i="13" s="1"/>
  <c r="P257" i="13"/>
  <c r="P255" i="13"/>
  <c r="P254" i="13"/>
  <c r="P253" i="13"/>
  <c r="P250" i="13"/>
  <c r="P247" i="13"/>
  <c r="P242" i="13"/>
  <c r="P235" i="13"/>
  <c r="P232" i="13"/>
  <c r="P227" i="13"/>
  <c r="P218" i="13"/>
  <c r="P215" i="13"/>
  <c r="P214" i="13"/>
  <c r="P213" i="13"/>
  <c r="P210" i="13"/>
  <c r="P209" i="13"/>
  <c r="P208" i="13"/>
  <c r="P205" i="13"/>
  <c r="P202" i="13"/>
  <c r="P197" i="13"/>
  <c r="P190" i="13"/>
  <c r="P187" i="13"/>
  <c r="P182" i="13"/>
  <c r="P167" i="13" s="1"/>
  <c r="P173" i="13"/>
  <c r="P170" i="13"/>
  <c r="P169" i="13"/>
  <c r="P168" i="13"/>
  <c r="P165" i="13"/>
  <c r="P164" i="13"/>
  <c r="P163" i="13"/>
  <c r="P160" i="13"/>
  <c r="P161" i="13" s="1"/>
  <c r="P159" i="13"/>
  <c r="P146" i="13"/>
  <c r="P144" i="13"/>
  <c r="P130" i="13"/>
  <c r="P131" i="13" s="1"/>
  <c r="P115" i="13"/>
  <c r="P116" i="13" s="1"/>
  <c r="P114" i="13"/>
  <c r="P100" i="13"/>
  <c r="P101" i="13" s="1"/>
  <c r="P98" i="13"/>
  <c r="P68" i="23" s="1"/>
  <c r="P51" i="23" s="1"/>
  <c r="P34" i="23" s="1"/>
  <c r="P85" i="13"/>
  <c r="P608" i="13" l="1"/>
  <c r="P561" i="13"/>
  <c r="P540" i="13"/>
  <c r="P298" i="13"/>
  <c r="P328" i="13"/>
  <c r="P542" i="13"/>
  <c r="P483" i="13"/>
  <c r="P630" i="13"/>
  <c r="P523" i="13"/>
  <c r="P525" i="13"/>
  <c r="P564" i="13"/>
  <c r="P524" i="13"/>
  <c r="P530" i="13" s="1"/>
  <c r="P518" i="13"/>
  <c r="P544" i="13"/>
  <c r="P580" i="13"/>
  <c r="P191" i="13"/>
  <c r="P251" i="13"/>
  <c r="P517" i="13"/>
  <c r="P481" i="13"/>
  <c r="P404" i="23"/>
  <c r="P20" i="23" s="1"/>
  <c r="P717" i="13"/>
  <c r="P407" i="13"/>
  <c r="P39" i="13"/>
  <c r="P22" i="13"/>
  <c r="P41" i="13"/>
  <c r="P24" i="13"/>
  <c r="P175" i="13"/>
  <c r="P47" i="13"/>
  <c r="P30" i="13"/>
  <c r="P392" i="13"/>
  <c r="P405" i="13"/>
  <c r="P454" i="13"/>
  <c r="P99" i="13"/>
  <c r="P68" i="13"/>
  <c r="P23" i="13"/>
  <c r="P40" i="13"/>
  <c r="P46" i="13"/>
  <c r="P29" i="13"/>
  <c r="P17" i="13" s="1"/>
  <c r="P31" i="13"/>
  <c r="P48" i="13"/>
  <c r="P236" i="13"/>
  <c r="P352" i="13"/>
  <c r="P351" i="13"/>
  <c r="P413" i="13"/>
  <c r="P414" i="13"/>
  <c r="P637" i="13"/>
  <c r="P554" i="13"/>
  <c r="P556" i="13" s="1"/>
  <c r="P578" i="13"/>
  <c r="P212" i="13"/>
  <c r="P26" i="13" s="1"/>
  <c r="P217" i="13"/>
  <c r="P216" i="13" s="1"/>
  <c r="P166" i="13"/>
  <c r="P234" i="13"/>
  <c r="P267" i="13"/>
  <c r="P283" i="13"/>
  <c r="P313" i="13"/>
  <c r="P390" i="13"/>
  <c r="P338" i="13"/>
  <c r="P344" i="13" s="1"/>
  <c r="P469" i="13"/>
  <c r="P479" i="13"/>
  <c r="P560" i="13"/>
  <c r="P687" i="13"/>
  <c r="P610" i="13"/>
  <c r="P565" i="13" s="1"/>
  <c r="P206" i="13"/>
  <c r="P220" i="13"/>
  <c r="P221" i="13" s="1"/>
  <c r="P249" i="13"/>
  <c r="P256" i="13"/>
  <c r="P475" i="13"/>
  <c r="P474" i="13" s="1"/>
  <c r="P642" i="13"/>
  <c r="P514" i="13"/>
  <c r="P259" i="13"/>
  <c r="P547" i="13"/>
  <c r="P172" i="13"/>
  <c r="P189" i="13"/>
  <c r="P204" i="13"/>
  <c r="P264" i="13"/>
  <c r="P281" i="13"/>
  <c r="P296" i="13"/>
  <c r="P311" i="13"/>
  <c r="P326" i="13"/>
  <c r="P452" i="13"/>
  <c r="P467" i="13"/>
  <c r="P512" i="13"/>
  <c r="P482" i="13" s="1"/>
  <c r="P685" i="13"/>
  <c r="P640" i="13" s="1"/>
  <c r="P563" i="13" l="1"/>
  <c r="P546" i="13" s="1"/>
  <c r="P529" i="13" s="1"/>
  <c r="P18" i="13"/>
  <c r="P3" i="13" s="1"/>
  <c r="P211" i="13"/>
  <c r="P53" i="13"/>
  <c r="P553" i="13"/>
  <c r="P537" i="13"/>
  <c r="P539" i="13" s="1"/>
  <c r="P334" i="13"/>
  <c r="P333" i="13" s="1"/>
  <c r="P353" i="13"/>
  <c r="P350" i="13"/>
  <c r="P28" i="13"/>
  <c r="P43" i="13"/>
  <c r="P25" i="13"/>
  <c r="P415" i="13"/>
  <c r="P412" i="13"/>
  <c r="P335" i="13"/>
  <c r="P51" i="13"/>
  <c r="P34" i="13"/>
  <c r="P20" i="13" s="1"/>
  <c r="P36" i="13"/>
  <c r="P174" i="13"/>
  <c r="P219" i="13"/>
  <c r="P548" i="13"/>
  <c r="P543" i="13"/>
  <c r="P527" i="13"/>
  <c r="P176" i="13"/>
  <c r="P171" i="13"/>
  <c r="P499" i="13"/>
  <c r="P484" i="13"/>
  <c r="P266" i="13"/>
  <c r="P268" i="13"/>
  <c r="P263" i="13"/>
  <c r="P536" i="13"/>
  <c r="P520" i="13"/>
  <c r="P519" i="13" l="1"/>
  <c r="P522" i="13"/>
  <c r="P336" i="13"/>
  <c r="P45" i="13"/>
  <c r="P42" i="13"/>
  <c r="P526" i="13"/>
  <c r="P531" i="13"/>
  <c r="P16" i="13" l="1"/>
  <c r="P716" i="11"/>
  <c r="P717" i="11" s="1"/>
  <c r="P715" i="11"/>
  <c r="P686" i="11"/>
  <c r="P683" i="11"/>
  <c r="P678" i="11"/>
  <c r="P656" i="11"/>
  <c r="P653" i="11"/>
  <c r="P657" i="11" s="1"/>
  <c r="P648" i="11"/>
  <c r="P631" i="11" s="1"/>
  <c r="P633" i="11" s="1"/>
  <c r="P641" i="11"/>
  <c r="P639" i="11"/>
  <c r="P636" i="11"/>
  <c r="P635" i="11"/>
  <c r="P634" i="11"/>
  <c r="P629" i="11"/>
  <c r="P628" i="11"/>
  <c r="P627" i="11"/>
  <c r="P609" i="11"/>
  <c r="P564" i="11" s="1"/>
  <c r="P606" i="11"/>
  <c r="P561" i="11" s="1"/>
  <c r="P601" i="11"/>
  <c r="P554" i="11" s="1"/>
  <c r="P556" i="11" s="1"/>
  <c r="P578" i="11"/>
  <c r="P579" i="11"/>
  <c r="P545" i="11"/>
  <c r="P528" i="11" s="1"/>
  <c r="P559" i="11"/>
  <c r="P541" i="11"/>
  <c r="P557" i="11"/>
  <c r="P552" i="11"/>
  <c r="P535" i="11" s="1"/>
  <c r="P518" i="11" s="1"/>
  <c r="P551" i="11"/>
  <c r="P550" i="11"/>
  <c r="P542" i="11"/>
  <c r="P525" i="11" s="1"/>
  <c r="P540" i="11"/>
  <c r="P534" i="11"/>
  <c r="P517" i="11" s="1"/>
  <c r="P533" i="11"/>
  <c r="P516" i="11" s="1"/>
  <c r="P523" i="11"/>
  <c r="P513" i="11"/>
  <c r="P514" i="11" s="1"/>
  <c r="P497" i="11"/>
  <c r="P498" i="11"/>
  <c r="P481" i="11"/>
  <c r="P478" i="11"/>
  <c r="P477" i="11"/>
  <c r="P476" i="11"/>
  <c r="P475" i="11"/>
  <c r="P473" i="11"/>
  <c r="P472" i="11"/>
  <c r="P471" i="11"/>
  <c r="P468" i="11"/>
  <c r="P465" i="11"/>
  <c r="P460" i="11"/>
  <c r="P453" i="11"/>
  <c r="P450" i="11"/>
  <c r="P454" i="11" s="1"/>
  <c r="P445" i="11"/>
  <c r="P438" i="11"/>
  <c r="P435" i="11"/>
  <c r="P430" i="11"/>
  <c r="P413" i="11" s="1"/>
  <c r="P423" i="11"/>
  <c r="P421" i="11"/>
  <c r="P342" i="11" s="1"/>
  <c r="P418" i="11"/>
  <c r="P339" i="11" s="1"/>
  <c r="P417" i="11"/>
  <c r="P416" i="11"/>
  <c r="P337" i="11" s="1"/>
  <c r="P414" i="11"/>
  <c r="P411" i="11"/>
  <c r="P332" i="11" s="1"/>
  <c r="P410" i="11"/>
  <c r="P409" i="11"/>
  <c r="P406" i="11"/>
  <c r="P403" i="11"/>
  <c r="P398" i="11"/>
  <c r="P391" i="11"/>
  <c r="P388" i="11"/>
  <c r="P383" i="11"/>
  <c r="P376" i="11"/>
  <c r="P361" i="11" s="1"/>
  <c r="P327" i="11"/>
  <c r="P324" i="11"/>
  <c r="P319" i="11"/>
  <c r="P312" i="11"/>
  <c r="P309" i="11"/>
  <c r="P304" i="11"/>
  <c r="P297" i="11"/>
  <c r="P294" i="11"/>
  <c r="P289" i="11"/>
  <c r="P282" i="11"/>
  <c r="P279" i="11"/>
  <c r="P274" i="11"/>
  <c r="P265" i="11"/>
  <c r="P262" i="11"/>
  <c r="P261" i="11"/>
  <c r="P260" i="11"/>
  <c r="P258" i="11"/>
  <c r="P257" i="11"/>
  <c r="P255" i="11"/>
  <c r="P254" i="11"/>
  <c r="P253" i="11"/>
  <c r="P250" i="11"/>
  <c r="P247" i="11"/>
  <c r="P242" i="11"/>
  <c r="P235" i="11"/>
  <c r="P232" i="11"/>
  <c r="P227" i="11"/>
  <c r="P218" i="11"/>
  <c r="P215" i="11"/>
  <c r="P214" i="11"/>
  <c r="P213" i="11"/>
  <c r="P210" i="11"/>
  <c r="P209" i="11"/>
  <c r="P208" i="11"/>
  <c r="P205" i="11"/>
  <c r="P202" i="11"/>
  <c r="P197" i="11"/>
  <c r="P190" i="11"/>
  <c r="P187" i="11"/>
  <c r="P182" i="11"/>
  <c r="P173" i="11"/>
  <c r="P170" i="11"/>
  <c r="P169" i="11"/>
  <c r="P168" i="11"/>
  <c r="P165" i="11"/>
  <c r="P164" i="11"/>
  <c r="P163" i="11"/>
  <c r="P160" i="11"/>
  <c r="P161" i="11" s="1"/>
  <c r="P145" i="11"/>
  <c r="P142" i="11"/>
  <c r="P137" i="11"/>
  <c r="P130" i="11"/>
  <c r="P131" i="11" s="1"/>
  <c r="P115" i="11"/>
  <c r="P116" i="11" s="1"/>
  <c r="P114" i="11"/>
  <c r="P100" i="11"/>
  <c r="P101" i="11" s="1"/>
  <c r="P99" i="11"/>
  <c r="P85" i="11"/>
  <c r="P86" i="11" s="1"/>
  <c r="P84" i="11"/>
  <c r="P630" i="11" l="1"/>
  <c r="P439" i="11"/>
  <c r="P469" i="11"/>
  <c r="P687" i="11"/>
  <c r="P338" i="11"/>
  <c r="P344" i="11" s="1"/>
  <c r="P167" i="11"/>
  <c r="P206" i="11"/>
  <c r="P236" i="11"/>
  <c r="P298" i="11"/>
  <c r="P328" i="11"/>
  <c r="P60" i="11"/>
  <c r="P22" i="11"/>
  <c r="P39" i="11"/>
  <c r="P41" i="11"/>
  <c r="P24" i="11"/>
  <c r="P30" i="11"/>
  <c r="P47" i="11"/>
  <c r="P34" i="11"/>
  <c r="P20" i="11" s="1"/>
  <c r="P51" i="11"/>
  <c r="P352" i="11"/>
  <c r="P335" i="11" s="1"/>
  <c r="P351" i="11"/>
  <c r="P407" i="11"/>
  <c r="P67" i="11"/>
  <c r="P40" i="11"/>
  <c r="P23" i="11"/>
  <c r="P29" i="11"/>
  <c r="P17" i="11" s="1"/>
  <c r="P46" i="11"/>
  <c r="P48" i="11"/>
  <c r="P31" i="11"/>
  <c r="P166" i="11"/>
  <c r="P392" i="11"/>
  <c r="P358" i="11"/>
  <c r="P415" i="11"/>
  <c r="P610" i="11"/>
  <c r="P474" i="11"/>
  <c r="P547" i="11"/>
  <c r="P524" i="11"/>
  <c r="P530" i="11" s="1"/>
  <c r="P191" i="11"/>
  <c r="P251" i="11"/>
  <c r="P560" i="11"/>
  <c r="P608" i="11"/>
  <c r="P563" i="11" s="1"/>
  <c r="P553" i="11"/>
  <c r="P537" i="11"/>
  <c r="P539" i="11" s="1"/>
  <c r="P480" i="11"/>
  <c r="P212" i="11"/>
  <c r="P217" i="11"/>
  <c r="P175" i="11"/>
  <c r="P234" i="11"/>
  <c r="P267" i="11"/>
  <c r="P283" i="11"/>
  <c r="P313" i="11"/>
  <c r="P146" i="11"/>
  <c r="P220" i="11"/>
  <c r="P216" i="11"/>
  <c r="P249" i="11"/>
  <c r="P256" i="11"/>
  <c r="P211" i="11"/>
  <c r="P499" i="11"/>
  <c r="P483" i="11"/>
  <c r="P580" i="11"/>
  <c r="P642" i="11"/>
  <c r="P377" i="11"/>
  <c r="P221" i="11"/>
  <c r="P259" i="11"/>
  <c r="P412" i="11"/>
  <c r="P420" i="11"/>
  <c r="P437" i="11"/>
  <c r="P452" i="11"/>
  <c r="P467" i="11"/>
  <c r="P512" i="11"/>
  <c r="P482" i="11" s="1"/>
  <c r="P144" i="11"/>
  <c r="P69" i="11" s="1"/>
  <c r="P172" i="11"/>
  <c r="P189" i="11"/>
  <c r="P204" i="11"/>
  <c r="P264" i="11"/>
  <c r="P281" i="11"/>
  <c r="P296" i="11"/>
  <c r="P311" i="11"/>
  <c r="P326" i="11"/>
  <c r="P375" i="11"/>
  <c r="P390" i="11"/>
  <c r="P405" i="11"/>
  <c r="P638" i="11"/>
  <c r="P655" i="11"/>
  <c r="P685" i="11"/>
  <c r="P43" i="11" l="1"/>
  <c r="P640" i="11"/>
  <c r="P360" i="11"/>
  <c r="P362" i="11"/>
  <c r="P341" i="11"/>
  <c r="P357" i="11"/>
  <c r="P50" i="11"/>
  <c r="P49" i="11" s="1"/>
  <c r="P33" i="11"/>
  <c r="P66" i="11"/>
  <c r="P71" i="11"/>
  <c r="P36" i="11"/>
  <c r="P18" i="11"/>
  <c r="P3" i="11" s="1"/>
  <c r="P42" i="11"/>
  <c r="P334" i="11"/>
  <c r="P353" i="11"/>
  <c r="P350" i="11"/>
  <c r="P53" i="11"/>
  <c r="P54" i="11" s="1"/>
  <c r="P59" i="11"/>
  <c r="P26" i="11"/>
  <c r="P25" i="11" s="1"/>
  <c r="P484" i="11"/>
  <c r="P479" i="11"/>
  <c r="P546" i="11"/>
  <c r="P529" i="11" s="1"/>
  <c r="P536" i="11"/>
  <c r="P520" i="11"/>
  <c r="P422" i="11"/>
  <c r="P219" i="11"/>
  <c r="P176" i="11"/>
  <c r="P171" i="11"/>
  <c r="P637" i="11"/>
  <c r="P544" i="11"/>
  <c r="P268" i="11"/>
  <c r="P263" i="11"/>
  <c r="P419" i="11"/>
  <c r="P424" i="11"/>
  <c r="P266" i="11"/>
  <c r="P174" i="11"/>
  <c r="P52" i="11" s="1"/>
  <c r="P565" i="11"/>
  <c r="P519" i="11" l="1"/>
  <c r="P522" i="11"/>
  <c r="P35" i="11"/>
  <c r="P333" i="11"/>
  <c r="P336" i="11"/>
  <c r="P37" i="11"/>
  <c r="P32" i="11"/>
  <c r="P345" i="11"/>
  <c r="P340" i="11"/>
  <c r="P343" i="11"/>
  <c r="P543" i="11"/>
  <c r="P527" i="11"/>
  <c r="P19" i="11" s="1"/>
  <c r="P12" i="11" s="1"/>
  <c r="P548" i="11"/>
  <c r="P21" i="11" l="1"/>
  <c r="P531" i="11"/>
  <c r="P526" i="11"/>
  <c r="P559" i="9" l="1"/>
  <c r="P542" i="9" s="1"/>
  <c r="P525" i="9" s="1"/>
  <c r="P552" i="9"/>
  <c r="P535" i="9" s="1"/>
  <c r="P518" i="9" s="1"/>
  <c r="P551" i="9"/>
  <c r="P534" i="9" s="1"/>
  <c r="P517" i="9" s="1"/>
  <c r="P550" i="9"/>
  <c r="P512" i="9"/>
  <c r="P513" i="9"/>
  <c r="P498" i="9"/>
  <c r="P481" i="9"/>
  <c r="P478" i="9"/>
  <c r="P477" i="9"/>
  <c r="P476" i="9"/>
  <c r="P475" i="9"/>
  <c r="P473" i="9"/>
  <c r="P472" i="9"/>
  <c r="P471" i="9"/>
  <c r="P468" i="9"/>
  <c r="P465" i="9"/>
  <c r="P460" i="9"/>
  <c r="P453" i="9"/>
  <c r="P450" i="9"/>
  <c r="P445" i="9"/>
  <c r="P437" i="9"/>
  <c r="P438" i="9"/>
  <c r="P406" i="9"/>
  <c r="P403" i="9"/>
  <c r="P398" i="9"/>
  <c r="P391" i="9"/>
  <c r="P388" i="9"/>
  <c r="P383" i="9"/>
  <c r="P376" i="9"/>
  <c r="P375" i="9"/>
  <c r="P331" i="9"/>
  <c r="P342" i="9"/>
  <c r="P330" i="9"/>
  <c r="P327" i="9"/>
  <c r="P324" i="9"/>
  <c r="P319" i="9"/>
  <c r="P312" i="9"/>
  <c r="P309" i="9"/>
  <c r="P304" i="9"/>
  <c r="P297" i="9"/>
  <c r="P294" i="9"/>
  <c r="P289" i="9"/>
  <c r="P282" i="9"/>
  <c r="P279" i="9"/>
  <c r="P264" i="9" s="1"/>
  <c r="P274" i="9"/>
  <c r="P257" i="9" s="1"/>
  <c r="P265" i="9"/>
  <c r="P262" i="9"/>
  <c r="P261" i="9"/>
  <c r="P260" i="9"/>
  <c r="P258" i="9"/>
  <c r="P27" i="9" s="1"/>
  <c r="P255" i="9"/>
  <c r="P254" i="9"/>
  <c r="P253" i="9"/>
  <c r="P250" i="9"/>
  <c r="P247" i="9"/>
  <c r="P242" i="9"/>
  <c r="P235" i="9"/>
  <c r="P232" i="9"/>
  <c r="P236" i="9" s="1"/>
  <c r="P227" i="9"/>
  <c r="P218" i="9"/>
  <c r="P215" i="9"/>
  <c r="P214" i="9"/>
  <c r="P213" i="9"/>
  <c r="P210" i="9"/>
  <c r="P209" i="9"/>
  <c r="P208" i="9"/>
  <c r="P205" i="9"/>
  <c r="P202" i="9"/>
  <c r="P206" i="9" s="1"/>
  <c r="P197" i="9"/>
  <c r="P190" i="9"/>
  <c r="P187" i="9"/>
  <c r="P182" i="9"/>
  <c r="P167" i="9" s="1"/>
  <c r="P173" i="9"/>
  <c r="P170" i="9"/>
  <c r="P169" i="9"/>
  <c r="P168" i="9"/>
  <c r="P165" i="9"/>
  <c r="P164" i="9"/>
  <c r="P163" i="9"/>
  <c r="P160" i="9"/>
  <c r="P161" i="9" s="1"/>
  <c r="P159" i="9"/>
  <c r="P145" i="9"/>
  <c r="P146" i="9" s="1"/>
  <c r="P144" i="9"/>
  <c r="P130" i="9"/>
  <c r="P131" i="9" s="1"/>
  <c r="P115" i="9"/>
  <c r="P116" i="9" s="1"/>
  <c r="P114" i="9"/>
  <c r="P100" i="9"/>
  <c r="P101" i="9" s="1"/>
  <c r="P99" i="9"/>
  <c r="P85" i="9"/>
  <c r="P86" i="9" s="1"/>
  <c r="P84" i="9"/>
  <c r="P263" i="9" l="1"/>
  <c r="P267" i="9"/>
  <c r="P298" i="9"/>
  <c r="P328" i="9"/>
  <c r="P533" i="9"/>
  <c r="P516" i="9" s="1"/>
  <c r="P530" i="9"/>
  <c r="P423" i="9"/>
  <c r="P283" i="9"/>
  <c r="P313" i="9"/>
  <c r="P565" i="9"/>
  <c r="P474" i="9"/>
  <c r="P407" i="9"/>
  <c r="P39" i="9"/>
  <c r="P22" i="9"/>
  <c r="P41" i="9"/>
  <c r="P24" i="9"/>
  <c r="P175" i="9"/>
  <c r="P51" i="9"/>
  <c r="P34" i="9"/>
  <c r="P191" i="9"/>
  <c r="P204" i="9"/>
  <c r="P251" i="9"/>
  <c r="P296" i="9"/>
  <c r="P326" i="9"/>
  <c r="P377" i="9"/>
  <c r="P361" i="9"/>
  <c r="P392" i="9"/>
  <c r="P358" i="9"/>
  <c r="P454" i="9"/>
  <c r="P420" i="9"/>
  <c r="P69" i="9"/>
  <c r="P23" i="9"/>
  <c r="P40" i="9"/>
  <c r="P29" i="9"/>
  <c r="P46" i="9"/>
  <c r="P48" i="9"/>
  <c r="P31" i="9"/>
  <c r="P281" i="9"/>
  <c r="P352" i="9"/>
  <c r="P351" i="9"/>
  <c r="P414" i="9"/>
  <c r="P413" i="9"/>
  <c r="P20" i="9"/>
  <c r="P337" i="9"/>
  <c r="P17" i="9" s="1"/>
  <c r="P452" i="9"/>
  <c r="P469" i="9"/>
  <c r="P30" i="9"/>
  <c r="P47" i="9"/>
  <c r="P560" i="9"/>
  <c r="P467" i="9"/>
  <c r="P311" i="9"/>
  <c r="P266" i="9" s="1"/>
  <c r="P212" i="9"/>
  <c r="P211" i="9" s="1"/>
  <c r="P172" i="9"/>
  <c r="P171" i="9" s="1"/>
  <c r="P189" i="9"/>
  <c r="P174" i="9" s="1"/>
  <c r="P166" i="9"/>
  <c r="P259" i="9"/>
  <c r="P256" i="9"/>
  <c r="P514" i="9"/>
  <c r="P483" i="9"/>
  <c r="P439" i="9"/>
  <c r="P220" i="9"/>
  <c r="P268" i="9"/>
  <c r="P217" i="9"/>
  <c r="P234" i="9"/>
  <c r="P249" i="9"/>
  <c r="P390" i="9"/>
  <c r="P405" i="9"/>
  <c r="P332" i="9"/>
  <c r="P338" i="9"/>
  <c r="P18" i="9" s="1"/>
  <c r="P3" i="9" s="1"/>
  <c r="P176" i="9" l="1"/>
  <c r="P344" i="9"/>
  <c r="P36" i="9"/>
  <c r="P553" i="9"/>
  <c r="P341" i="9"/>
  <c r="P340" i="9" s="1"/>
  <c r="P53" i="9"/>
  <c r="P334" i="9"/>
  <c r="P333" i="9" s="1"/>
  <c r="P360" i="9"/>
  <c r="P422" i="9"/>
  <c r="P50" i="9"/>
  <c r="P49" i="9" s="1"/>
  <c r="P415" i="9"/>
  <c r="P412" i="9"/>
  <c r="P335" i="9"/>
  <c r="P43" i="9"/>
  <c r="P45" i="9" s="1"/>
  <c r="P362" i="9"/>
  <c r="P357" i="9"/>
  <c r="P33" i="9"/>
  <c r="P353" i="9"/>
  <c r="P350" i="9"/>
  <c r="P26" i="9"/>
  <c r="P424" i="9"/>
  <c r="P419" i="9"/>
  <c r="P221" i="9"/>
  <c r="P216" i="9"/>
  <c r="P536" i="9"/>
  <c r="P519" i="9"/>
  <c r="P219" i="9"/>
  <c r="P52" i="9" s="1"/>
  <c r="P345" i="9" l="1"/>
  <c r="P25" i="9"/>
  <c r="P28" i="9"/>
  <c r="P37" i="9"/>
  <c r="P336" i="9"/>
  <c r="P343" i="9"/>
  <c r="P54" i="9"/>
  <c r="P32" i="9"/>
  <c r="P42" i="9"/>
  <c r="P35" i="9"/>
  <c r="P548" i="9"/>
  <c r="P543" i="9"/>
  <c r="P16" i="9" l="1"/>
  <c r="P526" i="9"/>
  <c r="P531" i="9"/>
  <c r="P151" i="8" l="1"/>
  <c r="P417" i="19"/>
  <c r="P338" i="19" s="1"/>
  <c r="R417" i="19"/>
  <c r="R338" i="19" s="1"/>
  <c r="R344" i="19" s="1"/>
  <c r="P344" i="19" l="1"/>
  <c r="P18" i="19"/>
  <c r="P3" i="19" s="1"/>
  <c r="P272" i="23"/>
  <c r="O272" i="23"/>
  <c r="O255" i="23" s="1"/>
  <c r="O458" i="23" l="1"/>
  <c r="O441" i="23" s="1"/>
  <c r="K458" i="23"/>
  <c r="K441" i="23" s="1"/>
  <c r="P334" i="23"/>
  <c r="P255" i="23" s="1"/>
  <c r="T351" i="23"/>
  <c r="L569" i="23"/>
  <c r="M569" i="23" s="1"/>
  <c r="T569" i="23"/>
  <c r="P290" i="23"/>
  <c r="U569" i="23" l="1"/>
  <c r="T552" i="23"/>
  <c r="N458" i="23"/>
  <c r="N441" i="23" s="1"/>
  <c r="L552" i="23"/>
  <c r="M552" i="23" s="1"/>
  <c r="I458" i="23"/>
  <c r="I441" i="23" s="1"/>
  <c r="W569" i="23" l="1"/>
  <c r="U552" i="23"/>
  <c r="N475" i="22"/>
  <c r="N473" i="22"/>
  <c r="N474" i="22" l="1"/>
  <c r="W552" i="23"/>
  <c r="O716" i="13"/>
  <c r="O686" i="13"/>
  <c r="O641" i="13" s="1"/>
  <c r="O683" i="13"/>
  <c r="O678" i="13"/>
  <c r="O631" i="13" s="1"/>
  <c r="O633" i="13" s="1"/>
  <c r="O657" i="13"/>
  <c r="O639" i="13"/>
  <c r="O628" i="13"/>
  <c r="O627" i="13"/>
  <c r="O609" i="13"/>
  <c r="O606" i="13"/>
  <c r="O561" i="13" s="1"/>
  <c r="O601" i="13"/>
  <c r="O579" i="13"/>
  <c r="O564" i="13" s="1"/>
  <c r="O554" i="13"/>
  <c r="O556" i="13" s="1"/>
  <c r="O545" i="13"/>
  <c r="O528" i="13" s="1"/>
  <c r="O559" i="13"/>
  <c r="O541" i="13"/>
  <c r="O557" i="13"/>
  <c r="O540" i="13" s="1"/>
  <c r="O552" i="13"/>
  <c r="O551" i="13"/>
  <c r="O550" i="13"/>
  <c r="O404" i="23"/>
  <c r="O497" i="13"/>
  <c r="O478" i="13"/>
  <c r="O476" i="13"/>
  <c r="O475" i="13"/>
  <c r="O473" i="13"/>
  <c r="O472" i="13"/>
  <c r="O471" i="13"/>
  <c r="O468" i="13"/>
  <c r="O465" i="13"/>
  <c r="O467" i="13" s="1"/>
  <c r="O460" i="13"/>
  <c r="O453" i="13"/>
  <c r="O450" i="13"/>
  <c r="O445" i="13"/>
  <c r="O342" i="13"/>
  <c r="O338" i="13"/>
  <c r="O337" i="13"/>
  <c r="O331" i="13"/>
  <c r="O330" i="13"/>
  <c r="O406" i="13"/>
  <c r="O403" i="13"/>
  <c r="O398" i="13"/>
  <c r="O391" i="13"/>
  <c r="O388" i="13"/>
  <c r="O383" i="13"/>
  <c r="O376" i="13"/>
  <c r="O327" i="13"/>
  <c r="O324" i="13"/>
  <c r="O326" i="13" s="1"/>
  <c r="O319" i="13"/>
  <c r="O312" i="13"/>
  <c r="O309" i="13"/>
  <c r="O304" i="13"/>
  <c r="O297" i="13"/>
  <c r="O294" i="13"/>
  <c r="O296" i="13" s="1"/>
  <c r="O289" i="13"/>
  <c r="O258" i="13" s="1"/>
  <c r="O27" i="13" s="1"/>
  <c r="O282" i="13"/>
  <c r="O279" i="13"/>
  <c r="O274" i="13"/>
  <c r="O265" i="13"/>
  <c r="O262" i="13"/>
  <c r="O261" i="13"/>
  <c r="O260" i="13"/>
  <c r="O255" i="13"/>
  <c r="O254" i="13"/>
  <c r="O253" i="13"/>
  <c r="O250" i="13"/>
  <c r="O247" i="13"/>
  <c r="O242" i="13"/>
  <c r="O235" i="13"/>
  <c r="O232" i="13"/>
  <c r="O234" i="13" s="1"/>
  <c r="O227" i="13"/>
  <c r="O218" i="13"/>
  <c r="O215" i="13"/>
  <c r="O214" i="13"/>
  <c r="O213" i="13"/>
  <c r="O210" i="13"/>
  <c r="O209" i="13"/>
  <c r="O208" i="13"/>
  <c r="O205" i="13"/>
  <c r="O202" i="13"/>
  <c r="O197" i="13"/>
  <c r="O190" i="13"/>
  <c r="O187" i="13"/>
  <c r="O189" i="13" s="1"/>
  <c r="O182" i="13"/>
  <c r="O173" i="13"/>
  <c r="O170" i="13"/>
  <c r="O169" i="13"/>
  <c r="O168" i="13"/>
  <c r="O165" i="13"/>
  <c r="O164" i="13"/>
  <c r="O163" i="13"/>
  <c r="O160" i="13"/>
  <c r="O161" i="13" s="1"/>
  <c r="O159" i="13"/>
  <c r="O146" i="13"/>
  <c r="O144" i="13"/>
  <c r="O130" i="13"/>
  <c r="O131" i="13" s="1"/>
  <c r="O115" i="13"/>
  <c r="O116" i="13" s="1"/>
  <c r="O114" i="13"/>
  <c r="O100" i="13"/>
  <c r="O101" i="13" s="1"/>
  <c r="O98" i="13"/>
  <c r="O85" i="13"/>
  <c r="O86" i="13" s="1"/>
  <c r="O542" i="13" l="1"/>
  <c r="O525" i="13" s="1"/>
  <c r="O344" i="13"/>
  <c r="O535" i="13"/>
  <c r="O537" i="13"/>
  <c r="O539" i="13" s="1"/>
  <c r="O687" i="13"/>
  <c r="O534" i="13"/>
  <c r="O517" i="13" s="1"/>
  <c r="O212" i="13"/>
  <c r="O167" i="13"/>
  <c r="O481" i="13"/>
  <c r="O533" i="13"/>
  <c r="O516" i="13" s="1"/>
  <c r="O518" i="13"/>
  <c r="O283" i="13"/>
  <c r="O313" i="13"/>
  <c r="O523" i="13"/>
  <c r="O580" i="13"/>
  <c r="O68" i="13"/>
  <c r="O34" i="13" s="1"/>
  <c r="O51" i="13"/>
  <c r="O40" i="13"/>
  <c r="O23" i="13"/>
  <c r="O46" i="13"/>
  <c r="O29" i="13"/>
  <c r="O17" i="13" s="1"/>
  <c r="O48" i="13"/>
  <c r="O31" i="13"/>
  <c r="O166" i="13"/>
  <c r="O298" i="13"/>
  <c r="O328" i="13"/>
  <c r="O352" i="13"/>
  <c r="O351" i="13"/>
  <c r="O22" i="13"/>
  <c r="O39" i="13"/>
  <c r="O41" i="13"/>
  <c r="O24" i="13"/>
  <c r="O175" i="13"/>
  <c r="O47" i="13"/>
  <c r="O30" i="13"/>
  <c r="O220" i="13"/>
  <c r="O392" i="13"/>
  <c r="O358" i="13"/>
  <c r="O357" i="13" s="1"/>
  <c r="O414" i="13"/>
  <c r="O413" i="13"/>
  <c r="O334" i="13" s="1"/>
  <c r="O638" i="13"/>
  <c r="O257" i="13"/>
  <c r="O256" i="13" s="1"/>
  <c r="O547" i="13"/>
  <c r="O524" i="13"/>
  <c r="O530" i="13" s="1"/>
  <c r="O610" i="13"/>
  <c r="O565" i="13" s="1"/>
  <c r="O191" i="13"/>
  <c r="O206" i="13"/>
  <c r="O236" i="13"/>
  <c r="O251" i="13"/>
  <c r="O267" i="13"/>
  <c r="O264" i="13"/>
  <c r="O263" i="13" s="1"/>
  <c r="O407" i="13"/>
  <c r="O454" i="13"/>
  <c r="O469" i="13"/>
  <c r="O474" i="13"/>
  <c r="O477" i="13"/>
  <c r="O483" i="13" s="1"/>
  <c r="O553" i="13"/>
  <c r="O560" i="13"/>
  <c r="O717" i="13"/>
  <c r="O630" i="13"/>
  <c r="O499" i="13"/>
  <c r="O99" i="13"/>
  <c r="O69" i="13" s="1"/>
  <c r="O249" i="13"/>
  <c r="O219" i="13" s="1"/>
  <c r="O259" i="13"/>
  <c r="O28" i="13" s="1"/>
  <c r="O281" i="13"/>
  <c r="O377" i="13"/>
  <c r="O375" i="13"/>
  <c r="O642" i="13"/>
  <c r="O204" i="13"/>
  <c r="O174" i="13" s="1"/>
  <c r="O311" i="13"/>
  <c r="O452" i="13"/>
  <c r="O172" i="13"/>
  <c r="O217" i="13"/>
  <c r="O390" i="13"/>
  <c r="O405" i="13"/>
  <c r="O578" i="13"/>
  <c r="O608" i="13"/>
  <c r="O655" i="13"/>
  <c r="O685" i="13"/>
  <c r="O563" i="13" l="1"/>
  <c r="O36" i="13"/>
  <c r="O18" i="13"/>
  <c r="O3" i="13" s="1"/>
  <c r="O268" i="13"/>
  <c r="O520" i="13"/>
  <c r="O522" i="13" s="1"/>
  <c r="O43" i="13"/>
  <c r="O45" i="13" s="1"/>
  <c r="O211" i="13"/>
  <c r="O53" i="13"/>
  <c r="O20" i="13"/>
  <c r="O544" i="13"/>
  <c r="O543" i="13" s="1"/>
  <c r="O519" i="13"/>
  <c r="O42" i="13"/>
  <c r="O640" i="13"/>
  <c r="O68" i="23"/>
  <c r="O51" i="23" s="1"/>
  <c r="O34" i="23" s="1"/>
  <c r="O20" i="23" s="1"/>
  <c r="O415" i="13"/>
  <c r="O412" i="13"/>
  <c r="O362" i="13"/>
  <c r="O353" i="13"/>
  <c r="O350" i="13"/>
  <c r="O50" i="13"/>
  <c r="O49" i="13" s="1"/>
  <c r="O33" i="13"/>
  <c r="O360" i="13"/>
  <c r="O335" i="13"/>
  <c r="O336" i="13" s="1"/>
  <c r="O26" i="13"/>
  <c r="O25" i="13" s="1"/>
  <c r="O333" i="13"/>
  <c r="O52" i="13"/>
  <c r="O637" i="13"/>
  <c r="O536" i="13"/>
  <c r="O266" i="13"/>
  <c r="O35" i="13" s="1"/>
  <c r="O221" i="13"/>
  <c r="O216" i="13"/>
  <c r="O176" i="13"/>
  <c r="O171" i="13"/>
  <c r="O527" i="13" l="1"/>
  <c r="O526" i="13" s="1"/>
  <c r="O16" i="13"/>
  <c r="O546" i="13"/>
  <c r="O529" i="13" s="1"/>
  <c r="O548" i="13"/>
  <c r="O32" i="13"/>
  <c r="O37" i="13"/>
  <c r="O54" i="13"/>
  <c r="O531" i="13" l="1"/>
  <c r="P156" i="8"/>
  <c r="O151" i="8"/>
  <c r="J396" i="23" l="1"/>
  <c r="K396" i="23"/>
  <c r="K272" i="23"/>
  <c r="K255" i="23" s="1"/>
  <c r="O417" i="19"/>
  <c r="O338" i="19" s="1"/>
  <c r="O344" i="19" s="1"/>
  <c r="V417" i="19"/>
  <c r="V338" i="19" s="1"/>
  <c r="V344" i="19" s="1"/>
  <c r="S417" i="19"/>
  <c r="S338" i="19" s="1"/>
  <c r="S344" i="19" s="1"/>
  <c r="H396" i="23" l="1"/>
  <c r="L396" i="23" s="1"/>
  <c r="M396" i="23" s="1"/>
  <c r="L411" i="23"/>
  <c r="M411" i="23" s="1"/>
  <c r="V423" i="19"/>
  <c r="S503" i="9" l="1"/>
  <c r="S488" i="9"/>
  <c r="S309" i="16"/>
  <c r="S304" i="16"/>
  <c r="S411" i="23" l="1"/>
  <c r="S493" i="9"/>
  <c r="S426" i="23"/>
  <c r="S505" i="9"/>
  <c r="S428" i="23" s="1"/>
  <c r="S490" i="9"/>
  <c r="S413" i="23" s="1"/>
  <c r="S412" i="23" s="1"/>
  <c r="T411" i="23"/>
  <c r="U411" i="23" s="1"/>
  <c r="R396" i="23"/>
  <c r="R279" i="23"/>
  <c r="T294" i="23"/>
  <c r="U294" i="23" s="1"/>
  <c r="N272" i="23"/>
  <c r="R349" i="11"/>
  <c r="R356" i="11"/>
  <c r="S349" i="22"/>
  <c r="S508" i="9"/>
  <c r="S349" i="11"/>
  <c r="S356" i="11"/>
  <c r="N349" i="13"/>
  <c r="R272" i="23"/>
  <c r="S272" i="23"/>
  <c r="S510" i="9" l="1"/>
  <c r="S433" i="23" s="1"/>
  <c r="S431" i="23"/>
  <c r="S416" i="23"/>
  <c r="T272" i="23"/>
  <c r="W411" i="23"/>
  <c r="N290" i="23"/>
  <c r="S300" i="23"/>
  <c r="S295" i="23"/>
  <c r="T289" i="23"/>
  <c r="S332" i="22"/>
  <c r="T332" i="22" s="1"/>
  <c r="U332" i="22" s="1"/>
  <c r="W332" i="22" s="1"/>
  <c r="T349" i="22"/>
  <c r="U349" i="22" s="1"/>
  <c r="W349" i="22" s="1"/>
  <c r="T356" i="11"/>
  <c r="U356" i="11" s="1"/>
  <c r="T349" i="11"/>
  <c r="U349" i="11" s="1"/>
  <c r="N332" i="13"/>
  <c r="T332" i="13" s="1"/>
  <c r="U332" i="13" s="1"/>
  <c r="T349" i="13"/>
  <c r="U349" i="13" s="1"/>
  <c r="W349" i="11" l="1"/>
  <c r="X356" i="11"/>
  <c r="W349" i="13"/>
  <c r="N156" i="8"/>
  <c r="O156" i="8"/>
  <c r="N151" i="8"/>
  <c r="K151" i="8"/>
  <c r="N151" i="18" l="1"/>
  <c r="N318" i="16" l="1"/>
  <c r="N151" i="16"/>
  <c r="K106" i="16"/>
  <c r="S404" i="23" l="1"/>
  <c r="R404" i="23"/>
  <c r="N404" i="23"/>
  <c r="Q98" i="13"/>
  <c r="R98" i="13"/>
  <c r="S98" i="13"/>
  <c r="N98" i="13"/>
  <c r="N417" i="19"/>
  <c r="N338" i="19" s="1"/>
  <c r="Q417" i="19"/>
  <c r="Q338" i="19" s="1"/>
  <c r="R462" i="16"/>
  <c r="Q344" i="19" l="1"/>
  <c r="R417" i="16"/>
  <c r="R423" i="16" s="1"/>
  <c r="S68" i="13"/>
  <c r="S68" i="23"/>
  <c r="S51" i="23" s="1"/>
  <c r="S34" i="23" s="1"/>
  <c r="S20" i="23" s="1"/>
  <c r="Q68" i="13"/>
  <c r="Q68" i="23"/>
  <c r="Q51" i="23" s="1"/>
  <c r="Q34" i="23" s="1"/>
  <c r="T434" i="23"/>
  <c r="Q404" i="23"/>
  <c r="T404" i="23" s="1"/>
  <c r="N68" i="13"/>
  <c r="R68" i="13"/>
  <c r="R68" i="23"/>
  <c r="R51" i="23" s="1"/>
  <c r="R34" i="23" s="1"/>
  <c r="R20" i="23" s="1"/>
  <c r="T338" i="19"/>
  <c r="N344" i="19"/>
  <c r="T344" i="19" s="1"/>
  <c r="T417" i="19"/>
  <c r="Q20" i="23" l="1"/>
  <c r="T68" i="13"/>
  <c r="U68" i="13" s="1"/>
  <c r="X68" i="13" s="1"/>
  <c r="R391" i="23"/>
  <c r="R340" i="23"/>
  <c r="R346" i="23" s="1"/>
  <c r="N68" i="23"/>
  <c r="N51" i="23" s="1"/>
  <c r="N34" i="23" s="1"/>
  <c r="N20" i="23" s="1"/>
  <c r="T98" i="23"/>
  <c r="U98" i="23" s="1"/>
  <c r="X98" i="23" l="1"/>
  <c r="R261" i="23"/>
  <c r="T68" i="23"/>
  <c r="U68" i="23" s="1"/>
  <c r="T51" i="23"/>
  <c r="U51" i="23" s="1"/>
  <c r="L80" i="7"/>
  <c r="R267" i="23" l="1"/>
  <c r="R18" i="23"/>
  <c r="R3" i="23" s="1"/>
  <c r="X51" i="23"/>
  <c r="T20" i="23"/>
  <c r="T34" i="23"/>
  <c r="U34" i="23" s="1"/>
  <c r="X68" i="23"/>
  <c r="N323" i="16"/>
  <c r="K318" i="16"/>
  <c r="J318" i="16"/>
  <c r="F323" i="16"/>
  <c r="G323" i="16"/>
  <c r="H323" i="16"/>
  <c r="I323" i="16"/>
  <c r="J323" i="16"/>
  <c r="K323" i="16"/>
  <c r="N156" i="16"/>
  <c r="K151" i="16"/>
  <c r="X34" i="23" l="1"/>
  <c r="K106" i="11" l="1"/>
  <c r="N323" i="22" l="1"/>
  <c r="K318" i="22"/>
  <c r="J318" i="22"/>
  <c r="I318" i="22"/>
  <c r="H318" i="22"/>
  <c r="G318" i="22"/>
  <c r="F318" i="22"/>
  <c r="G323" i="22"/>
  <c r="H323" i="22"/>
  <c r="I323" i="22"/>
  <c r="J323" i="22"/>
  <c r="K323" i="22"/>
  <c r="F323" i="22"/>
  <c r="N156" i="18" l="1"/>
  <c r="J156" i="18"/>
  <c r="I156" i="18"/>
  <c r="H156" i="18"/>
  <c r="G156" i="18"/>
  <c r="F156" i="18"/>
  <c r="I151" i="18"/>
  <c r="H151" i="18"/>
  <c r="G151" i="18"/>
  <c r="F151" i="18"/>
  <c r="K151" i="18"/>
  <c r="V337" i="18" l="1"/>
  <c r="S337" i="18"/>
  <c r="R337" i="18"/>
  <c r="N337" i="18"/>
  <c r="K337" i="18"/>
  <c r="J337" i="18"/>
  <c r="I337" i="18"/>
  <c r="H337" i="18"/>
  <c r="G337" i="18"/>
  <c r="F337" i="18"/>
  <c r="V338" i="18"/>
  <c r="K338" i="18"/>
  <c r="N338" i="18"/>
  <c r="S417" i="7"/>
  <c r="R338" i="13"/>
  <c r="R344" i="13" s="1"/>
  <c r="O355" i="8"/>
  <c r="N355" i="8"/>
  <c r="K355" i="8"/>
  <c r="V338" i="16"/>
  <c r="N338" i="16"/>
  <c r="F338" i="16"/>
  <c r="V337" i="16"/>
  <c r="S337" i="16"/>
  <c r="R337" i="16"/>
  <c r="N337" i="16"/>
  <c r="K337" i="16"/>
  <c r="J337" i="16"/>
  <c r="I337" i="16"/>
  <c r="H337" i="16"/>
  <c r="G337" i="16"/>
  <c r="F337" i="16"/>
  <c r="V338" i="13"/>
  <c r="S338" i="13"/>
  <c r="S344" i="13" s="1"/>
  <c r="Q338" i="13"/>
  <c r="N338" i="13"/>
  <c r="K338" i="13"/>
  <c r="K344" i="13" s="1"/>
  <c r="I338" i="13"/>
  <c r="I344" i="13" s="1"/>
  <c r="V337" i="13"/>
  <c r="Q337" i="13"/>
  <c r="N337" i="13"/>
  <c r="V417" i="11"/>
  <c r="V338" i="11" s="1"/>
  <c r="S417" i="11"/>
  <c r="S338" i="11" s="1"/>
  <c r="R417" i="11"/>
  <c r="R338" i="11" s="1"/>
  <c r="Q417" i="11"/>
  <c r="Q338" i="11" s="1"/>
  <c r="O417" i="11"/>
  <c r="O338" i="11" s="1"/>
  <c r="N417" i="11"/>
  <c r="N338" i="11" s="1"/>
  <c r="K417" i="11"/>
  <c r="K338" i="11" s="1"/>
  <c r="K344" i="11" s="1"/>
  <c r="J417" i="11"/>
  <c r="J338" i="11" s="1"/>
  <c r="J344" i="11" s="1"/>
  <c r="I417" i="11"/>
  <c r="I338" i="11" s="1"/>
  <c r="I344" i="11" s="1"/>
  <c r="H417" i="11"/>
  <c r="H338" i="11" s="1"/>
  <c r="H344" i="11" s="1"/>
  <c r="G417" i="11"/>
  <c r="G338" i="11" s="1"/>
  <c r="G344" i="11" s="1"/>
  <c r="F417" i="11"/>
  <c r="F338" i="11" s="1"/>
  <c r="V416" i="11"/>
  <c r="V337" i="11" s="1"/>
  <c r="S416" i="11"/>
  <c r="S337" i="11" s="1"/>
  <c r="R416" i="11"/>
  <c r="R337" i="11" s="1"/>
  <c r="Q416" i="11"/>
  <c r="Q337" i="11" s="1"/>
  <c r="O416" i="11"/>
  <c r="O337" i="11" s="1"/>
  <c r="N416" i="11"/>
  <c r="N337" i="11" s="1"/>
  <c r="K416" i="11"/>
  <c r="K337" i="11" s="1"/>
  <c r="J416" i="11"/>
  <c r="J337" i="11" s="1"/>
  <c r="I416" i="11"/>
  <c r="I337" i="11" s="1"/>
  <c r="H416" i="11"/>
  <c r="H337" i="11" s="1"/>
  <c r="G416" i="11"/>
  <c r="G337" i="11" s="1"/>
  <c r="F416" i="11"/>
  <c r="F337" i="11" s="1"/>
  <c r="V415" i="11"/>
  <c r="R417" i="7"/>
  <c r="Q417" i="7"/>
  <c r="P417" i="7"/>
  <c r="O417" i="7"/>
  <c r="N417" i="7"/>
  <c r="K417" i="7"/>
  <c r="J417" i="7"/>
  <c r="I417" i="7"/>
  <c r="F417" i="7"/>
  <c r="S416" i="7"/>
  <c r="R416" i="7"/>
  <c r="Q416" i="7"/>
  <c r="P416" i="7"/>
  <c r="O416" i="7"/>
  <c r="N416" i="7"/>
  <c r="K416" i="7"/>
  <c r="J416" i="7"/>
  <c r="I416" i="7"/>
  <c r="H416" i="7"/>
  <c r="G416" i="7"/>
  <c r="F416" i="7"/>
  <c r="V417" i="8"/>
  <c r="S417" i="8"/>
  <c r="R417" i="8"/>
  <c r="P417" i="8"/>
  <c r="O417" i="8"/>
  <c r="N417" i="8"/>
  <c r="K417" i="8"/>
  <c r="J417" i="8"/>
  <c r="I417" i="8"/>
  <c r="H417" i="8"/>
  <c r="G417" i="8"/>
  <c r="F417" i="8"/>
  <c r="V416" i="8"/>
  <c r="V337" i="8" s="1"/>
  <c r="S416" i="8"/>
  <c r="R416" i="8"/>
  <c r="P416" i="8"/>
  <c r="O416" i="8"/>
  <c r="N416" i="8"/>
  <c r="K416" i="8"/>
  <c r="J416" i="8"/>
  <c r="I416" i="8"/>
  <c r="H416" i="8"/>
  <c r="G416" i="8"/>
  <c r="F416" i="8"/>
  <c r="V415" i="8"/>
  <c r="S338" i="9"/>
  <c r="Q338" i="9"/>
  <c r="N337" i="9"/>
  <c r="H337" i="9"/>
  <c r="S355" i="8"/>
  <c r="R355" i="8"/>
  <c r="R338" i="8" s="1"/>
  <c r="P355" i="8"/>
  <c r="P338" i="8" s="1"/>
  <c r="I355" i="8"/>
  <c r="F355" i="8"/>
  <c r="S354" i="8"/>
  <c r="R354" i="8"/>
  <c r="P354" i="8"/>
  <c r="P337" i="8" s="1"/>
  <c r="O354" i="8"/>
  <c r="N354" i="8"/>
  <c r="K354" i="8"/>
  <c r="J354" i="8"/>
  <c r="J337" i="8" s="1"/>
  <c r="I354" i="8"/>
  <c r="H354" i="8"/>
  <c r="G354" i="8"/>
  <c r="F354" i="8"/>
  <c r="F337" i="8" s="1"/>
  <c r="I338" i="9"/>
  <c r="G338" i="9"/>
  <c r="F338" i="9"/>
  <c r="V337" i="9"/>
  <c r="R337" i="9"/>
  <c r="J337" i="9"/>
  <c r="F337" i="9"/>
  <c r="K417" i="19"/>
  <c r="K338" i="19" s="1"/>
  <c r="K344" i="19" s="1"/>
  <c r="N344" i="18" l="1"/>
  <c r="N344" i="16"/>
  <c r="F344" i="16"/>
  <c r="K344" i="18"/>
  <c r="N344" i="13"/>
  <c r="Q344" i="13"/>
  <c r="G337" i="8"/>
  <c r="L337" i="8" s="1"/>
  <c r="M337" i="8" s="1"/>
  <c r="I337" i="8"/>
  <c r="K337" i="8"/>
  <c r="O337" i="8"/>
  <c r="R337" i="8"/>
  <c r="H337" i="8"/>
  <c r="N337" i="8"/>
  <c r="S337" i="8"/>
  <c r="L416" i="7"/>
  <c r="M416" i="7" s="1"/>
  <c r="L337" i="11"/>
  <c r="M337" i="11" s="1"/>
  <c r="L337" i="16"/>
  <c r="M337" i="16" s="1"/>
  <c r="T337" i="11"/>
  <c r="L417" i="8"/>
  <c r="M417" i="8" s="1"/>
  <c r="F338" i="8"/>
  <c r="U337" i="11"/>
  <c r="L338" i="11"/>
  <c r="M338" i="11" s="1"/>
  <c r="F344" i="11"/>
  <c r="L344" i="11" s="1"/>
  <c r="M344" i="11" s="1"/>
  <c r="N344" i="11"/>
  <c r="T338" i="11"/>
  <c r="Q344" i="11"/>
  <c r="S344" i="11"/>
  <c r="W337" i="11"/>
  <c r="O344" i="11"/>
  <c r="R344" i="11"/>
  <c r="V344" i="11"/>
  <c r="K423" i="19"/>
  <c r="L337" i="18"/>
  <c r="M337" i="18" s="1"/>
  <c r="T337" i="18"/>
  <c r="V344" i="18"/>
  <c r="V344" i="16"/>
  <c r="T337" i="16"/>
  <c r="V344" i="13"/>
  <c r="T338" i="13"/>
  <c r="T337" i="13"/>
  <c r="U337" i="13" s="1"/>
  <c r="R338" i="9"/>
  <c r="J338" i="9"/>
  <c r="V338" i="9"/>
  <c r="L417" i="11"/>
  <c r="M417" i="11" s="1"/>
  <c r="T417" i="11"/>
  <c r="T416" i="8"/>
  <c r="L354" i="8"/>
  <c r="M354" i="8" s="1"/>
  <c r="T354" i="8"/>
  <c r="T417" i="8"/>
  <c r="U417" i="8" s="1"/>
  <c r="W417" i="8" s="1"/>
  <c r="T416" i="7"/>
  <c r="T416" i="11"/>
  <c r="I337" i="9"/>
  <c r="O337" i="9"/>
  <c r="S337" i="9"/>
  <c r="L416" i="8"/>
  <c r="M416" i="8" s="1"/>
  <c r="I338" i="8"/>
  <c r="L416" i="11"/>
  <c r="M416" i="11" s="1"/>
  <c r="G337" i="9"/>
  <c r="K337" i="9"/>
  <c r="Q337" i="9"/>
  <c r="V338" i="8"/>
  <c r="T417" i="7"/>
  <c r="S338" i="8"/>
  <c r="O338" i="8"/>
  <c r="N338" i="8"/>
  <c r="K338" i="8"/>
  <c r="U416" i="8"/>
  <c r="W416" i="8" s="1"/>
  <c r="U337" i="16" l="1"/>
  <c r="W337" i="16" s="1"/>
  <c r="U416" i="7"/>
  <c r="W416" i="7" s="1"/>
  <c r="T337" i="8"/>
  <c r="U337" i="8" s="1"/>
  <c r="W337" i="8" s="1"/>
  <c r="T337" i="9"/>
  <c r="U337" i="18"/>
  <c r="W337" i="18" s="1"/>
  <c r="U338" i="11"/>
  <c r="W338" i="11" s="1"/>
  <c r="L337" i="9"/>
  <c r="M337" i="9" s="1"/>
  <c r="U417" i="11"/>
  <c r="W417" i="11" s="1"/>
  <c r="U354" i="8"/>
  <c r="W354" i="8" s="1"/>
  <c r="U416" i="11"/>
  <c r="W416" i="11" s="1"/>
  <c r="T344" i="11"/>
  <c r="U344" i="11" s="1"/>
  <c r="W344" i="11" s="1"/>
  <c r="W337" i="13"/>
  <c r="T344" i="13"/>
  <c r="U337" i="9" l="1"/>
  <c r="W337" i="9" s="1"/>
  <c r="K338" i="16"/>
  <c r="K344" i="16" s="1"/>
  <c r="S462" i="16"/>
  <c r="R338" i="16"/>
  <c r="R344" i="16" s="1"/>
  <c r="S417" i="16" l="1"/>
  <c r="T417" i="16" l="1"/>
  <c r="U417" i="16" s="1"/>
  <c r="W417" i="16" s="1"/>
  <c r="S423" i="16"/>
  <c r="S338" i="16"/>
  <c r="S391" i="23"/>
  <c r="S340" i="23"/>
  <c r="S346" i="23" s="1"/>
  <c r="T385" i="23"/>
  <c r="U385" i="23" s="1"/>
  <c r="X68" i="7"/>
  <c r="S344" i="16" l="1"/>
  <c r="T344" i="16" s="1"/>
  <c r="T338" i="16"/>
  <c r="S261" i="23"/>
  <c r="T340" i="23"/>
  <c r="U340" i="23" s="1"/>
  <c r="W340" i="23" s="1"/>
  <c r="W385" i="23"/>
  <c r="T346" i="23"/>
  <c r="U346" i="23" s="1"/>
  <c r="W346" i="23" s="1"/>
  <c r="T391" i="23"/>
  <c r="U391" i="23" s="1"/>
  <c r="S265" i="22"/>
  <c r="N265" i="22"/>
  <c r="K265" i="22"/>
  <c r="J265" i="22"/>
  <c r="I265" i="22"/>
  <c r="H265" i="22"/>
  <c r="G265" i="22"/>
  <c r="F265" i="22"/>
  <c r="E264" i="22"/>
  <c r="N262" i="22"/>
  <c r="K262" i="22"/>
  <c r="J262" i="22"/>
  <c r="I262" i="22"/>
  <c r="H262" i="22"/>
  <c r="G262" i="22"/>
  <c r="F262" i="22"/>
  <c r="E262" i="22"/>
  <c r="V261" i="22"/>
  <c r="S261" i="22"/>
  <c r="N261" i="22"/>
  <c r="K261" i="22"/>
  <c r="J261" i="22"/>
  <c r="I261" i="22"/>
  <c r="H261" i="22"/>
  <c r="G261" i="22"/>
  <c r="F261" i="22"/>
  <c r="V260" i="22"/>
  <c r="S260" i="22"/>
  <c r="N260" i="22"/>
  <c r="K260" i="22"/>
  <c r="J260" i="22"/>
  <c r="I260" i="22"/>
  <c r="H260" i="22"/>
  <c r="G260" i="22"/>
  <c r="F260" i="22"/>
  <c r="V259" i="22"/>
  <c r="V255" i="22"/>
  <c r="S255" i="22"/>
  <c r="N255" i="22"/>
  <c r="K255" i="22"/>
  <c r="J255" i="22"/>
  <c r="I255" i="22"/>
  <c r="H255" i="22"/>
  <c r="G255" i="22"/>
  <c r="F255" i="22"/>
  <c r="S265" i="19"/>
  <c r="R265" i="19"/>
  <c r="Q265" i="19"/>
  <c r="P265" i="19"/>
  <c r="O265" i="19"/>
  <c r="N265" i="19"/>
  <c r="K265" i="19"/>
  <c r="J265" i="19"/>
  <c r="I265" i="19"/>
  <c r="H265" i="19"/>
  <c r="G265" i="19"/>
  <c r="F265" i="19"/>
  <c r="E264" i="19"/>
  <c r="S262" i="19"/>
  <c r="R262" i="19"/>
  <c r="Q262" i="19"/>
  <c r="P262" i="19"/>
  <c r="O262" i="19"/>
  <c r="N262" i="19"/>
  <c r="K262" i="19"/>
  <c r="J262" i="19"/>
  <c r="I262" i="19"/>
  <c r="H262" i="19"/>
  <c r="G262" i="19"/>
  <c r="F262" i="19"/>
  <c r="E262" i="19"/>
  <c r="V261" i="19"/>
  <c r="S261" i="19"/>
  <c r="R261" i="19"/>
  <c r="Q261" i="19"/>
  <c r="P261" i="19"/>
  <c r="O261" i="19"/>
  <c r="N261" i="19"/>
  <c r="K261" i="19"/>
  <c r="K267" i="19" s="1"/>
  <c r="J261" i="19"/>
  <c r="J267" i="19" s="1"/>
  <c r="I261" i="19"/>
  <c r="I267" i="19" s="1"/>
  <c r="H261" i="19"/>
  <c r="H267" i="19" s="1"/>
  <c r="G261" i="19"/>
  <c r="G267" i="19" s="1"/>
  <c r="F261" i="19"/>
  <c r="F267" i="19" s="1"/>
  <c r="V260" i="19"/>
  <c r="S260" i="19"/>
  <c r="R260" i="19"/>
  <c r="Q260" i="19"/>
  <c r="P260" i="19"/>
  <c r="O260" i="19"/>
  <c r="N260" i="19"/>
  <c r="K260" i="19"/>
  <c r="J260" i="19"/>
  <c r="I260" i="19"/>
  <c r="H260" i="19"/>
  <c r="G260" i="19"/>
  <c r="F260" i="19"/>
  <c r="V259" i="19"/>
  <c r="V255" i="19"/>
  <c r="S255" i="19"/>
  <c r="R255" i="19"/>
  <c r="Q255" i="19"/>
  <c r="P255" i="19"/>
  <c r="O255" i="19"/>
  <c r="N255" i="19"/>
  <c r="K255" i="19"/>
  <c r="J255" i="19"/>
  <c r="I255" i="19"/>
  <c r="H255" i="19"/>
  <c r="G255" i="19"/>
  <c r="F255" i="19"/>
  <c r="S265" i="18"/>
  <c r="R265" i="18"/>
  <c r="N265" i="18"/>
  <c r="K265" i="18"/>
  <c r="J265" i="18"/>
  <c r="I265" i="18"/>
  <c r="H265" i="18"/>
  <c r="G265" i="18"/>
  <c r="F265" i="18"/>
  <c r="E264" i="18"/>
  <c r="R262" i="18"/>
  <c r="N262" i="18"/>
  <c r="K262" i="18"/>
  <c r="J262" i="18"/>
  <c r="I262" i="18"/>
  <c r="H262" i="18"/>
  <c r="G262" i="18"/>
  <c r="F262" i="18"/>
  <c r="E262" i="18"/>
  <c r="V261" i="18"/>
  <c r="S261" i="18"/>
  <c r="R261" i="18"/>
  <c r="N261" i="18"/>
  <c r="K261" i="18"/>
  <c r="K267" i="18" s="1"/>
  <c r="J261" i="18"/>
  <c r="J267" i="18" s="1"/>
  <c r="I261" i="18"/>
  <c r="I267" i="18" s="1"/>
  <c r="H261" i="18"/>
  <c r="H267" i="18" s="1"/>
  <c r="G261" i="18"/>
  <c r="G267" i="18" s="1"/>
  <c r="F261" i="18"/>
  <c r="F267" i="18" s="1"/>
  <c r="V260" i="18"/>
  <c r="S260" i="18"/>
  <c r="R260" i="18"/>
  <c r="N260" i="18"/>
  <c r="K260" i="18"/>
  <c r="J260" i="18"/>
  <c r="I260" i="18"/>
  <c r="H260" i="18"/>
  <c r="G260" i="18"/>
  <c r="F260" i="18"/>
  <c r="V259" i="18"/>
  <c r="V255" i="18"/>
  <c r="S255" i="18"/>
  <c r="R255" i="18"/>
  <c r="N255" i="18"/>
  <c r="K255" i="18"/>
  <c r="J255" i="18"/>
  <c r="I255" i="18"/>
  <c r="H255" i="18"/>
  <c r="G255" i="18"/>
  <c r="F255" i="18"/>
  <c r="S265" i="16"/>
  <c r="R265" i="16"/>
  <c r="N265" i="16"/>
  <c r="K265" i="16"/>
  <c r="J265" i="16"/>
  <c r="I265" i="16"/>
  <c r="H265" i="16"/>
  <c r="G265" i="16"/>
  <c r="F265" i="16"/>
  <c r="E264" i="16"/>
  <c r="R262" i="16"/>
  <c r="N262" i="16"/>
  <c r="K262" i="16"/>
  <c r="J262" i="16"/>
  <c r="I262" i="16"/>
  <c r="H262" i="16"/>
  <c r="G262" i="16"/>
  <c r="F262" i="16"/>
  <c r="E170" i="23" s="1"/>
  <c r="E48" i="23" s="1"/>
  <c r="E31" i="23" s="1"/>
  <c r="E262" i="16"/>
  <c r="V261" i="16"/>
  <c r="S261" i="16"/>
  <c r="R261" i="16"/>
  <c r="N261" i="16"/>
  <c r="K261" i="16"/>
  <c r="J261" i="16"/>
  <c r="I261" i="16"/>
  <c r="H261" i="16"/>
  <c r="G261" i="16"/>
  <c r="F261" i="16"/>
  <c r="V260" i="16"/>
  <c r="S260" i="16"/>
  <c r="R260" i="16"/>
  <c r="N260" i="16"/>
  <c r="K260" i="16"/>
  <c r="J260" i="16"/>
  <c r="I260" i="16"/>
  <c r="H260" i="16"/>
  <c r="G260" i="16"/>
  <c r="F260" i="16"/>
  <c r="V259" i="16"/>
  <c r="V255" i="16"/>
  <c r="S255" i="16"/>
  <c r="R255" i="16"/>
  <c r="N255" i="16"/>
  <c r="K255" i="16"/>
  <c r="J255" i="16"/>
  <c r="I255" i="16"/>
  <c r="H255" i="16"/>
  <c r="G255" i="16"/>
  <c r="F255" i="16"/>
  <c r="S265" i="15"/>
  <c r="R265" i="15"/>
  <c r="Q265" i="15"/>
  <c r="O265" i="15"/>
  <c r="N265" i="15"/>
  <c r="K265" i="15"/>
  <c r="J265" i="15"/>
  <c r="I265" i="15"/>
  <c r="H265" i="15"/>
  <c r="G265" i="15"/>
  <c r="F265" i="15"/>
  <c r="E264" i="15"/>
  <c r="R262" i="15"/>
  <c r="Q262" i="15"/>
  <c r="O262" i="15"/>
  <c r="N262" i="15"/>
  <c r="K262" i="15"/>
  <c r="J262" i="15"/>
  <c r="I262" i="15"/>
  <c r="H262" i="15"/>
  <c r="G262" i="15"/>
  <c r="F262" i="15"/>
  <c r="E262" i="15"/>
  <c r="V261" i="15"/>
  <c r="S261" i="15"/>
  <c r="R261" i="15"/>
  <c r="Q261" i="15"/>
  <c r="O261" i="15"/>
  <c r="N261" i="15"/>
  <c r="K261" i="15"/>
  <c r="K267" i="15" s="1"/>
  <c r="J261" i="15"/>
  <c r="J267" i="15" s="1"/>
  <c r="I261" i="15"/>
  <c r="I267" i="15" s="1"/>
  <c r="H261" i="15"/>
  <c r="H267" i="15" s="1"/>
  <c r="G261" i="15"/>
  <c r="G267" i="15" s="1"/>
  <c r="F261" i="15"/>
  <c r="F267" i="15" s="1"/>
  <c r="V260" i="15"/>
  <c r="S260" i="15"/>
  <c r="R260" i="15"/>
  <c r="Q260" i="15"/>
  <c r="O260" i="15"/>
  <c r="N260" i="15"/>
  <c r="K260" i="15"/>
  <c r="J260" i="15"/>
  <c r="I260" i="15"/>
  <c r="H260" i="15"/>
  <c r="G260" i="15"/>
  <c r="F260" i="15"/>
  <c r="V259" i="15"/>
  <c r="V255" i="15"/>
  <c r="S255" i="15"/>
  <c r="R255" i="15"/>
  <c r="Q255" i="15"/>
  <c r="O255" i="15"/>
  <c r="N255" i="15"/>
  <c r="K255" i="15"/>
  <c r="J255" i="15"/>
  <c r="I255" i="15"/>
  <c r="H255" i="15"/>
  <c r="G255" i="15"/>
  <c r="F255" i="15"/>
  <c r="S265" i="13"/>
  <c r="R265" i="13"/>
  <c r="Q265" i="13"/>
  <c r="N265" i="13"/>
  <c r="K265" i="13"/>
  <c r="J265" i="13"/>
  <c r="I265" i="13"/>
  <c r="H265" i="13"/>
  <c r="G265" i="13"/>
  <c r="F265" i="13"/>
  <c r="E264" i="13"/>
  <c r="R262" i="13"/>
  <c r="Q262" i="13"/>
  <c r="N262" i="13"/>
  <c r="K262" i="13"/>
  <c r="J262" i="13"/>
  <c r="I262" i="13"/>
  <c r="H262" i="13"/>
  <c r="G262" i="13"/>
  <c r="F262" i="13"/>
  <c r="E262" i="13"/>
  <c r="V261" i="13"/>
  <c r="S261" i="13"/>
  <c r="R261" i="13"/>
  <c r="Q261" i="13"/>
  <c r="N261" i="13"/>
  <c r="K261" i="13"/>
  <c r="K267" i="13" s="1"/>
  <c r="J261" i="13"/>
  <c r="J267" i="13" s="1"/>
  <c r="I261" i="13"/>
  <c r="I267" i="13" s="1"/>
  <c r="H261" i="13"/>
  <c r="H267" i="13" s="1"/>
  <c r="G261" i="13"/>
  <c r="G267" i="13" s="1"/>
  <c r="F261" i="13"/>
  <c r="F267" i="13" s="1"/>
  <c r="V260" i="13"/>
  <c r="S260" i="13"/>
  <c r="R260" i="13"/>
  <c r="Q260" i="13"/>
  <c r="N260" i="13"/>
  <c r="K260" i="13"/>
  <c r="J260" i="13"/>
  <c r="I260" i="13"/>
  <c r="H260" i="13"/>
  <c r="G260" i="13"/>
  <c r="F260" i="13"/>
  <c r="V259" i="13"/>
  <c r="V255" i="13"/>
  <c r="S255" i="13"/>
  <c r="R255" i="13"/>
  <c r="Q255" i="13"/>
  <c r="N255" i="13"/>
  <c r="K255" i="13"/>
  <c r="J255" i="13"/>
  <c r="I255" i="13"/>
  <c r="H255" i="13"/>
  <c r="G255" i="13"/>
  <c r="F255" i="13"/>
  <c r="S265" i="11"/>
  <c r="R265" i="11"/>
  <c r="Q265" i="11"/>
  <c r="O265" i="11"/>
  <c r="N265" i="11"/>
  <c r="K265" i="11"/>
  <c r="J265" i="11"/>
  <c r="I265" i="11"/>
  <c r="H265" i="11"/>
  <c r="G265" i="11"/>
  <c r="F265" i="11"/>
  <c r="E264" i="11"/>
  <c r="R262" i="11"/>
  <c r="Q262" i="11"/>
  <c r="O262" i="11"/>
  <c r="N262" i="11"/>
  <c r="K262" i="11"/>
  <c r="J262" i="11"/>
  <c r="I262" i="11"/>
  <c r="H262" i="11"/>
  <c r="G262" i="11"/>
  <c r="F262" i="11"/>
  <c r="E262" i="11"/>
  <c r="V261" i="11"/>
  <c r="S261" i="11"/>
  <c r="R261" i="11"/>
  <c r="Q261" i="11"/>
  <c r="O261" i="11"/>
  <c r="N261" i="11"/>
  <c r="K261" i="11"/>
  <c r="K267" i="11" s="1"/>
  <c r="J261" i="11"/>
  <c r="J267" i="11" s="1"/>
  <c r="I261" i="11"/>
  <c r="I267" i="11" s="1"/>
  <c r="H261" i="11"/>
  <c r="H267" i="11" s="1"/>
  <c r="G261" i="11"/>
  <c r="G267" i="11" s="1"/>
  <c r="F261" i="11"/>
  <c r="F267" i="11" s="1"/>
  <c r="V260" i="11"/>
  <c r="S260" i="11"/>
  <c r="R260" i="11"/>
  <c r="Q260" i="11"/>
  <c r="O260" i="11"/>
  <c r="N260" i="11"/>
  <c r="K260" i="11"/>
  <c r="J260" i="11"/>
  <c r="I260" i="11"/>
  <c r="H260" i="11"/>
  <c r="G260" i="11"/>
  <c r="F260" i="11"/>
  <c r="V259" i="11"/>
  <c r="V255" i="11"/>
  <c r="S255" i="11"/>
  <c r="R255" i="11"/>
  <c r="Q255" i="11"/>
  <c r="O255" i="11"/>
  <c r="N255" i="11"/>
  <c r="K255" i="11"/>
  <c r="J255" i="11"/>
  <c r="I255" i="11"/>
  <c r="H255" i="11"/>
  <c r="G255" i="11"/>
  <c r="F255" i="11"/>
  <c r="S265" i="9"/>
  <c r="R265" i="9"/>
  <c r="Q265" i="9"/>
  <c r="O265" i="9"/>
  <c r="N265" i="9"/>
  <c r="K265" i="9"/>
  <c r="J265" i="9"/>
  <c r="I265" i="9"/>
  <c r="H265" i="9"/>
  <c r="G265" i="9"/>
  <c r="F265" i="9"/>
  <c r="E264" i="9"/>
  <c r="R262" i="9"/>
  <c r="Q262" i="9"/>
  <c r="O262" i="9"/>
  <c r="N262" i="9"/>
  <c r="K262" i="9"/>
  <c r="J262" i="9"/>
  <c r="I262" i="9"/>
  <c r="H262" i="9"/>
  <c r="G262" i="9"/>
  <c r="F262" i="9"/>
  <c r="E262" i="9"/>
  <c r="V261" i="9"/>
  <c r="S261" i="9"/>
  <c r="R261" i="9"/>
  <c r="Q261" i="9"/>
  <c r="O261" i="9"/>
  <c r="N261" i="9"/>
  <c r="K261" i="9"/>
  <c r="K267" i="9" s="1"/>
  <c r="J261" i="9"/>
  <c r="J267" i="9" s="1"/>
  <c r="I261" i="9"/>
  <c r="I267" i="9" s="1"/>
  <c r="H261" i="9"/>
  <c r="H267" i="9" s="1"/>
  <c r="G261" i="9"/>
  <c r="G267" i="9" s="1"/>
  <c r="F261" i="9"/>
  <c r="F267" i="9" s="1"/>
  <c r="V260" i="9"/>
  <c r="S260" i="9"/>
  <c r="R260" i="9"/>
  <c r="Q260" i="9"/>
  <c r="O260" i="9"/>
  <c r="N260" i="9"/>
  <c r="K260" i="9"/>
  <c r="J260" i="9"/>
  <c r="I260" i="9"/>
  <c r="H260" i="9"/>
  <c r="G260" i="9"/>
  <c r="F260" i="9"/>
  <c r="V259" i="9"/>
  <c r="V255" i="9"/>
  <c r="S255" i="9"/>
  <c r="R255" i="9"/>
  <c r="Q255" i="9"/>
  <c r="O255" i="9"/>
  <c r="N255" i="9"/>
  <c r="K255" i="9"/>
  <c r="J255" i="9"/>
  <c r="I255" i="9"/>
  <c r="H255" i="9"/>
  <c r="G255" i="9"/>
  <c r="F255" i="9"/>
  <c r="S265" i="8"/>
  <c r="R265" i="8"/>
  <c r="P265" i="8"/>
  <c r="O265" i="8"/>
  <c r="N265" i="8"/>
  <c r="K265" i="8"/>
  <c r="J265" i="8"/>
  <c r="I265" i="8"/>
  <c r="H265" i="8"/>
  <c r="G265" i="8"/>
  <c r="F265" i="8"/>
  <c r="E264" i="8"/>
  <c r="R262" i="8"/>
  <c r="P262" i="8"/>
  <c r="O262" i="8"/>
  <c r="N262" i="8"/>
  <c r="K262" i="8"/>
  <c r="J262" i="8"/>
  <c r="I262" i="8"/>
  <c r="H262" i="8"/>
  <c r="G262" i="8"/>
  <c r="F262" i="8"/>
  <c r="E262" i="8"/>
  <c r="V261" i="8"/>
  <c r="S261" i="8"/>
  <c r="R261" i="8"/>
  <c r="P261" i="8"/>
  <c r="O261" i="8"/>
  <c r="N261" i="8"/>
  <c r="K261" i="8"/>
  <c r="K267" i="8" s="1"/>
  <c r="J261" i="8"/>
  <c r="J267" i="8" s="1"/>
  <c r="I261" i="8"/>
  <c r="I267" i="8" s="1"/>
  <c r="H261" i="8"/>
  <c r="H267" i="8" s="1"/>
  <c r="G261" i="8"/>
  <c r="G267" i="8" s="1"/>
  <c r="F261" i="8"/>
  <c r="F267" i="8" s="1"/>
  <c r="V260" i="8"/>
  <c r="S260" i="8"/>
  <c r="R260" i="8"/>
  <c r="P260" i="8"/>
  <c r="O260" i="8"/>
  <c r="N260" i="8"/>
  <c r="K260" i="8"/>
  <c r="J260" i="8"/>
  <c r="I260" i="8"/>
  <c r="H260" i="8"/>
  <c r="G260" i="8"/>
  <c r="F260" i="8"/>
  <c r="V259" i="8"/>
  <c r="V255" i="8"/>
  <c r="S255" i="8"/>
  <c r="R255" i="8"/>
  <c r="P255" i="8"/>
  <c r="O255" i="8"/>
  <c r="N255" i="8"/>
  <c r="K255" i="8"/>
  <c r="J255" i="8"/>
  <c r="I255" i="8"/>
  <c r="H255" i="8"/>
  <c r="G255" i="8"/>
  <c r="F255" i="8"/>
  <c r="S265" i="7"/>
  <c r="R265" i="7"/>
  <c r="Q265" i="7"/>
  <c r="P265" i="7"/>
  <c r="O265" i="7"/>
  <c r="N265" i="7"/>
  <c r="K265" i="7"/>
  <c r="J265" i="7"/>
  <c r="I265" i="7"/>
  <c r="H265" i="7"/>
  <c r="G265" i="7"/>
  <c r="F265" i="7"/>
  <c r="E264" i="7"/>
  <c r="R262" i="7"/>
  <c r="Q262" i="7"/>
  <c r="P262" i="7"/>
  <c r="O262" i="7"/>
  <c r="N262" i="7"/>
  <c r="K262" i="7"/>
  <c r="J262" i="7"/>
  <c r="I262" i="7"/>
  <c r="H262" i="7"/>
  <c r="G262" i="7"/>
  <c r="F262" i="7"/>
  <c r="E262" i="7"/>
  <c r="V261" i="7"/>
  <c r="S261" i="7"/>
  <c r="R261" i="7"/>
  <c r="Q261" i="7"/>
  <c r="P261" i="7"/>
  <c r="O261" i="7"/>
  <c r="N261" i="7"/>
  <c r="K261" i="7"/>
  <c r="K267" i="7" s="1"/>
  <c r="J261" i="7"/>
  <c r="J267" i="7" s="1"/>
  <c r="I261" i="7"/>
  <c r="I267" i="7" s="1"/>
  <c r="H261" i="7"/>
  <c r="H267" i="7" s="1"/>
  <c r="G261" i="7"/>
  <c r="G267" i="7" s="1"/>
  <c r="F261" i="7"/>
  <c r="F267" i="7" s="1"/>
  <c r="V260" i="7"/>
  <c r="S260" i="7"/>
  <c r="R260" i="7"/>
  <c r="Q260" i="7"/>
  <c r="P260" i="7"/>
  <c r="O260" i="7"/>
  <c r="N260" i="7"/>
  <c r="K260" i="7"/>
  <c r="J260" i="7"/>
  <c r="I260" i="7"/>
  <c r="H260" i="7"/>
  <c r="G260" i="7"/>
  <c r="F260" i="7"/>
  <c r="V259" i="7"/>
  <c r="V255" i="7"/>
  <c r="S255" i="7"/>
  <c r="R255" i="7"/>
  <c r="Q255" i="7"/>
  <c r="P255" i="7"/>
  <c r="O255" i="7"/>
  <c r="N255" i="7"/>
  <c r="K255" i="7"/>
  <c r="J255" i="7"/>
  <c r="I255" i="7"/>
  <c r="H255" i="7"/>
  <c r="G255" i="7"/>
  <c r="F255" i="7"/>
  <c r="S267" i="23" l="1"/>
  <c r="T267" i="23" s="1"/>
  <c r="U267" i="23" s="1"/>
  <c r="W267" i="23" s="1"/>
  <c r="S18" i="23"/>
  <c r="S3" i="23" s="1"/>
  <c r="T260" i="9"/>
  <c r="T260" i="18"/>
  <c r="L265" i="18"/>
  <c r="M265" i="18" s="1"/>
  <c r="L267" i="19"/>
  <c r="M267" i="19" s="1"/>
  <c r="T265" i="15"/>
  <c r="T261" i="23"/>
  <c r="U261" i="23" s="1"/>
  <c r="W261" i="23" s="1"/>
  <c r="L260" i="22"/>
  <c r="M260" i="22" s="1"/>
  <c r="G267" i="22"/>
  <c r="I267" i="22"/>
  <c r="K267" i="22"/>
  <c r="F267" i="22"/>
  <c r="H267" i="22"/>
  <c r="J267" i="22"/>
  <c r="F267" i="16"/>
  <c r="G267" i="16"/>
  <c r="I267" i="16"/>
  <c r="K267" i="16"/>
  <c r="H267" i="16"/>
  <c r="J267" i="16"/>
  <c r="T265" i="22"/>
  <c r="T265" i="13"/>
  <c r="L267" i="7"/>
  <c r="M267" i="7" s="1"/>
  <c r="L265" i="9"/>
  <c r="M265" i="9" s="1"/>
  <c r="L260" i="13"/>
  <c r="M260" i="13" s="1"/>
  <c r="Q267" i="13"/>
  <c r="L260" i="15"/>
  <c r="M260" i="15" s="1"/>
  <c r="L267" i="11"/>
  <c r="M267" i="11" s="1"/>
  <c r="O267" i="7"/>
  <c r="S267" i="7"/>
  <c r="E263" i="7"/>
  <c r="N267" i="8"/>
  <c r="R267" i="8"/>
  <c r="Q267" i="9"/>
  <c r="S267" i="13"/>
  <c r="N267" i="16"/>
  <c r="R267" i="16"/>
  <c r="P267" i="19"/>
  <c r="P267" i="7"/>
  <c r="E263" i="8"/>
  <c r="N267" i="13"/>
  <c r="R267" i="13"/>
  <c r="O267" i="15"/>
  <c r="S267" i="15"/>
  <c r="S267" i="22"/>
  <c r="L260" i="7"/>
  <c r="M260" i="7" s="1"/>
  <c r="T265" i="7"/>
  <c r="L260" i="8"/>
  <c r="M260" i="8" s="1"/>
  <c r="O267" i="8"/>
  <c r="S267" i="8"/>
  <c r="T265" i="8"/>
  <c r="N267" i="9"/>
  <c r="R267" i="9"/>
  <c r="T260" i="11"/>
  <c r="Q267" i="11"/>
  <c r="L265" i="11"/>
  <c r="M265" i="11" s="1"/>
  <c r="L267" i="13"/>
  <c r="M267" i="13" s="1"/>
  <c r="L260" i="16"/>
  <c r="M260" i="16" s="1"/>
  <c r="S267" i="16"/>
  <c r="T265" i="16"/>
  <c r="N267" i="18"/>
  <c r="R267" i="18"/>
  <c r="T260" i="19"/>
  <c r="Q267" i="19"/>
  <c r="L265" i="19"/>
  <c r="M265" i="19" s="1"/>
  <c r="T260" i="7"/>
  <c r="Q267" i="7"/>
  <c r="L265" i="7"/>
  <c r="M265" i="7" s="1"/>
  <c r="P267" i="8"/>
  <c r="L260" i="9"/>
  <c r="M260" i="9" s="1"/>
  <c r="O267" i="9"/>
  <c r="S267" i="9"/>
  <c r="E263" i="9"/>
  <c r="T265" i="9"/>
  <c r="U265" i="9" s="1"/>
  <c r="N267" i="11"/>
  <c r="R267" i="11"/>
  <c r="T260" i="13"/>
  <c r="E263" i="13"/>
  <c r="L265" i="13"/>
  <c r="M265" i="13" s="1"/>
  <c r="T260" i="15"/>
  <c r="Q267" i="15"/>
  <c r="E263" i="15"/>
  <c r="L265" i="15"/>
  <c r="M265" i="15" s="1"/>
  <c r="L260" i="18"/>
  <c r="M260" i="18" s="1"/>
  <c r="S267" i="18"/>
  <c r="E263" i="18"/>
  <c r="T265" i="18"/>
  <c r="U265" i="18" s="1"/>
  <c r="N267" i="19"/>
  <c r="R267" i="19"/>
  <c r="T260" i="22"/>
  <c r="E263" i="22"/>
  <c r="L265" i="22"/>
  <c r="M265" i="22" s="1"/>
  <c r="N267" i="7"/>
  <c r="R267" i="7"/>
  <c r="T260" i="8"/>
  <c r="L265" i="8"/>
  <c r="M265" i="8" s="1"/>
  <c r="L267" i="9"/>
  <c r="M267" i="9" s="1"/>
  <c r="L260" i="11"/>
  <c r="M260" i="11" s="1"/>
  <c r="O267" i="11"/>
  <c r="S267" i="11"/>
  <c r="E263" i="11"/>
  <c r="T265" i="11"/>
  <c r="U265" i="11" s="1"/>
  <c r="L262" i="13"/>
  <c r="M262" i="13" s="1"/>
  <c r="N267" i="15"/>
  <c r="R267" i="15"/>
  <c r="T260" i="16"/>
  <c r="E263" i="16"/>
  <c r="L265" i="16"/>
  <c r="M265" i="16" s="1"/>
  <c r="L267" i="18"/>
  <c r="M267" i="18" s="1"/>
  <c r="L260" i="19"/>
  <c r="M260" i="19" s="1"/>
  <c r="O267" i="19"/>
  <c r="S267" i="19"/>
  <c r="E263" i="19"/>
  <c r="T265" i="19"/>
  <c r="U265" i="19" s="1"/>
  <c r="N267" i="22"/>
  <c r="L255" i="22"/>
  <c r="M255" i="22" s="1"/>
  <c r="T255" i="22"/>
  <c r="L261" i="22"/>
  <c r="M261" i="22" s="1"/>
  <c r="T261" i="22"/>
  <c r="L262" i="22"/>
  <c r="M262" i="22" s="1"/>
  <c r="L255" i="19"/>
  <c r="M255" i="19" s="1"/>
  <c r="T255" i="19"/>
  <c r="L261" i="19"/>
  <c r="M261" i="19" s="1"/>
  <c r="T261" i="19"/>
  <c r="L262" i="19"/>
  <c r="M262" i="19" s="1"/>
  <c r="T262" i="19"/>
  <c r="L255" i="18"/>
  <c r="M255" i="18" s="1"/>
  <c r="T255" i="18"/>
  <c r="L261" i="18"/>
  <c r="M261" i="18" s="1"/>
  <c r="T261" i="18"/>
  <c r="L262" i="18"/>
  <c r="M262" i="18" s="1"/>
  <c r="L255" i="16"/>
  <c r="M255" i="16" s="1"/>
  <c r="L261" i="16"/>
  <c r="M261" i="16" s="1"/>
  <c r="T261" i="16"/>
  <c r="L262" i="16"/>
  <c r="M262" i="16" s="1"/>
  <c r="L267" i="15"/>
  <c r="M267" i="15" s="1"/>
  <c r="L255" i="15"/>
  <c r="M255" i="15" s="1"/>
  <c r="T255" i="15"/>
  <c r="L261" i="15"/>
  <c r="M261" i="15" s="1"/>
  <c r="T261" i="15"/>
  <c r="L262" i="15"/>
  <c r="M262" i="15" s="1"/>
  <c r="L255" i="13"/>
  <c r="M255" i="13" s="1"/>
  <c r="T255" i="13"/>
  <c r="L261" i="13"/>
  <c r="M261" i="13" s="1"/>
  <c r="T261" i="13"/>
  <c r="L255" i="11"/>
  <c r="M255" i="11" s="1"/>
  <c r="T255" i="11"/>
  <c r="L261" i="11"/>
  <c r="M261" i="11" s="1"/>
  <c r="T261" i="11"/>
  <c r="L262" i="11"/>
  <c r="M262" i="11" s="1"/>
  <c r="U260" i="9"/>
  <c r="L255" i="9"/>
  <c r="M255" i="9" s="1"/>
  <c r="T255" i="9"/>
  <c r="L261" i="9"/>
  <c r="M261" i="9" s="1"/>
  <c r="T261" i="9"/>
  <c r="L262" i="9"/>
  <c r="M262" i="9" s="1"/>
  <c r="U260" i="8"/>
  <c r="L267" i="8"/>
  <c r="M267" i="8" s="1"/>
  <c r="L255" i="8"/>
  <c r="M255" i="8" s="1"/>
  <c r="T255" i="8"/>
  <c r="L261" i="8"/>
  <c r="M261" i="8" s="1"/>
  <c r="T261" i="8"/>
  <c r="L262" i="8"/>
  <c r="M262" i="8" s="1"/>
  <c r="L255" i="7"/>
  <c r="M255" i="7" s="1"/>
  <c r="T255" i="7"/>
  <c r="L261" i="7"/>
  <c r="M261" i="7" s="1"/>
  <c r="T261" i="7"/>
  <c r="L262" i="7"/>
  <c r="M262" i="7" s="1"/>
  <c r="S160" i="8"/>
  <c r="R160" i="8"/>
  <c r="R161" i="8" s="1"/>
  <c r="P160" i="8"/>
  <c r="P161" i="8" s="1"/>
  <c r="O160" i="8"/>
  <c r="O161" i="8" s="1"/>
  <c r="N160" i="8"/>
  <c r="N161" i="8" s="1"/>
  <c r="K160" i="8"/>
  <c r="K161" i="8" s="1"/>
  <c r="J160" i="8"/>
  <c r="J161" i="8" s="1"/>
  <c r="I160" i="8"/>
  <c r="I161" i="8" s="1"/>
  <c r="H160" i="8"/>
  <c r="H161" i="8" s="1"/>
  <c r="G160" i="8"/>
  <c r="G161" i="8" s="1"/>
  <c r="F160" i="8"/>
  <c r="F161" i="8" s="1"/>
  <c r="F162" i="8" s="1"/>
  <c r="V159" i="8"/>
  <c r="R159" i="8"/>
  <c r="P159" i="8"/>
  <c r="O159" i="8"/>
  <c r="N159" i="8"/>
  <c r="K159" i="8"/>
  <c r="J159" i="8"/>
  <c r="I159" i="8"/>
  <c r="H159" i="8"/>
  <c r="G159" i="8"/>
  <c r="F159" i="8"/>
  <c r="V158" i="8"/>
  <c r="T158" i="8"/>
  <c r="L158" i="8"/>
  <c r="S159" i="8"/>
  <c r="L157" i="8"/>
  <c r="M157" i="8" s="1"/>
  <c r="K156" i="8"/>
  <c r="E156" i="8"/>
  <c r="V155" i="8"/>
  <c r="T155" i="8"/>
  <c r="L155" i="8"/>
  <c r="T154" i="8"/>
  <c r="L154" i="8"/>
  <c r="M154" i="8" s="1"/>
  <c r="T153" i="8"/>
  <c r="L153" i="8"/>
  <c r="M153" i="8" s="1"/>
  <c r="V152" i="8"/>
  <c r="V151" i="8" s="1"/>
  <c r="T152" i="8"/>
  <c r="L152" i="8"/>
  <c r="M152" i="8" s="1"/>
  <c r="J151" i="8"/>
  <c r="T150" i="8"/>
  <c r="L150" i="8"/>
  <c r="M150" i="8" s="1"/>
  <c r="T149" i="8"/>
  <c r="L149" i="8"/>
  <c r="M149" i="8" s="1"/>
  <c r="T148" i="8"/>
  <c r="L148" i="8"/>
  <c r="M148" i="8" s="1"/>
  <c r="S160" i="7"/>
  <c r="R160" i="7"/>
  <c r="R161" i="7" s="1"/>
  <c r="Q160" i="7"/>
  <c r="Q161" i="7" s="1"/>
  <c r="P160" i="7"/>
  <c r="P161" i="7" s="1"/>
  <c r="O160" i="7"/>
  <c r="O161" i="7" s="1"/>
  <c r="N160" i="7"/>
  <c r="N161" i="7" s="1"/>
  <c r="K160" i="7"/>
  <c r="K161" i="7" s="1"/>
  <c r="J160" i="7"/>
  <c r="J161" i="7" s="1"/>
  <c r="I160" i="7"/>
  <c r="I161" i="7" s="1"/>
  <c r="H160" i="7"/>
  <c r="H161" i="7" s="1"/>
  <c r="G160" i="7"/>
  <c r="G161" i="7" s="1"/>
  <c r="F160" i="7"/>
  <c r="F161" i="7" s="1"/>
  <c r="F162" i="7" s="1"/>
  <c r="V159" i="7"/>
  <c r="R159" i="7"/>
  <c r="Q159" i="7"/>
  <c r="P159" i="7"/>
  <c r="P159" i="23" s="1"/>
  <c r="O159" i="7"/>
  <c r="N159" i="7"/>
  <c r="K159" i="7"/>
  <c r="J159" i="7"/>
  <c r="I159" i="7"/>
  <c r="H159" i="7"/>
  <c r="G159" i="7"/>
  <c r="F159" i="7"/>
  <c r="V158" i="7"/>
  <c r="T158" i="7"/>
  <c r="L158" i="7"/>
  <c r="M158" i="7" s="1"/>
  <c r="S159" i="7"/>
  <c r="L157" i="7"/>
  <c r="M157" i="7" s="1"/>
  <c r="E156" i="7"/>
  <c r="V155" i="7"/>
  <c r="V155" i="23" s="1"/>
  <c r="T155" i="7"/>
  <c r="L155" i="7"/>
  <c r="T154" i="7"/>
  <c r="L154" i="7"/>
  <c r="M154" i="7" s="1"/>
  <c r="T153" i="7"/>
  <c r="L153" i="7"/>
  <c r="M153" i="7" s="1"/>
  <c r="V152" i="7"/>
  <c r="T152" i="7"/>
  <c r="L152" i="7"/>
  <c r="M152" i="7" s="1"/>
  <c r="T150" i="7"/>
  <c r="L150" i="7"/>
  <c r="M150" i="7" s="1"/>
  <c r="T149" i="7"/>
  <c r="L149" i="7"/>
  <c r="M149" i="7" s="1"/>
  <c r="T148" i="7"/>
  <c r="L148" i="7"/>
  <c r="M148" i="7" s="1"/>
  <c r="T157" i="18"/>
  <c r="L157" i="18"/>
  <c r="M157" i="18" s="1"/>
  <c r="K156" i="18"/>
  <c r="E156" i="18"/>
  <c r="V155" i="18"/>
  <c r="T155" i="18"/>
  <c r="L155" i="18"/>
  <c r="M155" i="18" s="1"/>
  <c r="T154" i="18"/>
  <c r="L154" i="18"/>
  <c r="M154" i="18" s="1"/>
  <c r="T153" i="18"/>
  <c r="L153" i="18"/>
  <c r="M153" i="18" s="1"/>
  <c r="V152" i="18"/>
  <c r="V157" i="18" s="1"/>
  <c r="T152" i="18"/>
  <c r="L152" i="18"/>
  <c r="M152" i="18" s="1"/>
  <c r="J151" i="18"/>
  <c r="T150" i="18"/>
  <c r="L150" i="18"/>
  <c r="T157" i="16"/>
  <c r="L157" i="16"/>
  <c r="M157" i="16" s="1"/>
  <c r="K156" i="16"/>
  <c r="E156" i="16"/>
  <c r="V155" i="16"/>
  <c r="T155" i="16"/>
  <c r="L155" i="16"/>
  <c r="T154" i="16"/>
  <c r="L154" i="16"/>
  <c r="M154" i="16" s="1"/>
  <c r="T153" i="16"/>
  <c r="L153" i="16"/>
  <c r="M153" i="16" s="1"/>
  <c r="V152" i="16"/>
  <c r="V151" i="16" s="1"/>
  <c r="T152" i="16"/>
  <c r="L152" i="16"/>
  <c r="M152" i="16" s="1"/>
  <c r="J151" i="16"/>
  <c r="T150" i="16"/>
  <c r="L150" i="16"/>
  <c r="M150" i="16" s="1"/>
  <c r="T112" i="16"/>
  <c r="L112" i="16"/>
  <c r="M112" i="16" s="1"/>
  <c r="E111" i="16"/>
  <c r="V110" i="16"/>
  <c r="T110" i="16"/>
  <c r="L110" i="16"/>
  <c r="M110" i="16" s="1"/>
  <c r="T109" i="16"/>
  <c r="L109" i="16"/>
  <c r="M109" i="16" s="1"/>
  <c r="T108" i="16"/>
  <c r="L108" i="16"/>
  <c r="M108" i="16" s="1"/>
  <c r="V107" i="16"/>
  <c r="V106" i="16" s="1"/>
  <c r="T107" i="16"/>
  <c r="L107" i="16"/>
  <c r="J106" i="16"/>
  <c r="T105" i="16"/>
  <c r="L105" i="16"/>
  <c r="L106" i="16" s="1"/>
  <c r="T112" i="15"/>
  <c r="L112" i="15"/>
  <c r="M112" i="15" s="1"/>
  <c r="E111" i="15"/>
  <c r="V110" i="15"/>
  <c r="T110" i="15"/>
  <c r="L110" i="15"/>
  <c r="T109" i="15"/>
  <c r="L109" i="15"/>
  <c r="M109" i="15" s="1"/>
  <c r="T108" i="15"/>
  <c r="L108" i="15"/>
  <c r="M108" i="15" s="1"/>
  <c r="V107" i="15"/>
  <c r="V106" i="15" s="1"/>
  <c r="T107" i="15"/>
  <c r="L107" i="15"/>
  <c r="M107" i="15" s="1"/>
  <c r="T105" i="15"/>
  <c r="L105" i="15"/>
  <c r="T157" i="13"/>
  <c r="L157" i="13"/>
  <c r="M157" i="13" s="1"/>
  <c r="E156" i="13"/>
  <c r="V155" i="13"/>
  <c r="T155" i="13"/>
  <c r="L155" i="13"/>
  <c r="L156" i="13" s="1"/>
  <c r="T154" i="13"/>
  <c r="L154" i="13"/>
  <c r="M154" i="13" s="1"/>
  <c r="T153" i="13"/>
  <c r="L153" i="13"/>
  <c r="M153" i="13" s="1"/>
  <c r="V152" i="13"/>
  <c r="V157" i="13" s="1"/>
  <c r="T152" i="13"/>
  <c r="L152" i="13"/>
  <c r="M152" i="13" s="1"/>
  <c r="T150" i="13"/>
  <c r="L150" i="13"/>
  <c r="T112" i="13"/>
  <c r="L112" i="13"/>
  <c r="M112" i="13" s="1"/>
  <c r="E111" i="13"/>
  <c r="V110" i="13"/>
  <c r="T110" i="13"/>
  <c r="L110" i="13"/>
  <c r="M110" i="13" s="1"/>
  <c r="T109" i="13"/>
  <c r="L109" i="13"/>
  <c r="M109" i="13" s="1"/>
  <c r="T108" i="13"/>
  <c r="L108" i="13"/>
  <c r="M108" i="13" s="1"/>
  <c r="V107" i="13"/>
  <c r="V106" i="13" s="1"/>
  <c r="T107" i="13"/>
  <c r="L107" i="13"/>
  <c r="T105" i="13"/>
  <c r="L105" i="13"/>
  <c r="L106" i="13" s="1"/>
  <c r="T112" i="11"/>
  <c r="L112" i="11"/>
  <c r="M112" i="11" s="1"/>
  <c r="K111" i="11"/>
  <c r="E111" i="11"/>
  <c r="V110" i="11"/>
  <c r="T110" i="11"/>
  <c r="L110" i="11"/>
  <c r="M110" i="11" s="1"/>
  <c r="T109" i="11"/>
  <c r="L109" i="11"/>
  <c r="M109" i="11" s="1"/>
  <c r="T108" i="11"/>
  <c r="L108" i="11"/>
  <c r="M108" i="11" s="1"/>
  <c r="V107" i="11"/>
  <c r="T107" i="11"/>
  <c r="L107" i="11"/>
  <c r="J106" i="11"/>
  <c r="T105" i="11"/>
  <c r="L105" i="11"/>
  <c r="V159" i="18"/>
  <c r="S159" i="18"/>
  <c r="R159" i="18"/>
  <c r="N159" i="18"/>
  <c r="N69" i="18" s="1"/>
  <c r="K159" i="18"/>
  <c r="J159" i="18"/>
  <c r="I159" i="18"/>
  <c r="H159" i="18"/>
  <c r="G159" i="18"/>
  <c r="F159" i="18"/>
  <c r="V158" i="18"/>
  <c r="T158" i="18"/>
  <c r="L158" i="18"/>
  <c r="V326" i="22"/>
  <c r="N326" i="22"/>
  <c r="K326" i="22"/>
  <c r="J326" i="22"/>
  <c r="I326" i="22"/>
  <c r="H326" i="22"/>
  <c r="G326" i="22"/>
  <c r="F326" i="22"/>
  <c r="V325" i="22"/>
  <c r="T325" i="22"/>
  <c r="L325" i="22"/>
  <c r="M325" i="22" s="1"/>
  <c r="S326" i="22"/>
  <c r="L324" i="22"/>
  <c r="M324" i="22" s="1"/>
  <c r="E323" i="22"/>
  <c r="V322" i="22"/>
  <c r="T322" i="22"/>
  <c r="L322" i="22"/>
  <c r="L323" i="22" s="1"/>
  <c r="T321" i="22"/>
  <c r="L321" i="22"/>
  <c r="M321" i="22" s="1"/>
  <c r="T320" i="22"/>
  <c r="L320" i="22"/>
  <c r="M320" i="22" s="1"/>
  <c r="V319" i="22"/>
  <c r="V324" i="22" s="1"/>
  <c r="T319" i="22"/>
  <c r="L319" i="22"/>
  <c r="M319" i="22" s="1"/>
  <c r="V326" i="16"/>
  <c r="R326" i="16"/>
  <c r="N326" i="16"/>
  <c r="K326" i="16"/>
  <c r="J326" i="16"/>
  <c r="I326" i="16"/>
  <c r="H326" i="16"/>
  <c r="G326" i="16"/>
  <c r="F326" i="16"/>
  <c r="V325" i="16"/>
  <c r="T325" i="16"/>
  <c r="L325" i="16"/>
  <c r="M325" i="16" s="1"/>
  <c r="T324" i="16"/>
  <c r="S326" i="16"/>
  <c r="L324" i="16"/>
  <c r="M324" i="16" s="1"/>
  <c r="E323" i="16"/>
  <c r="V322" i="16"/>
  <c r="T322" i="16"/>
  <c r="L322" i="16"/>
  <c r="L323" i="16" s="1"/>
  <c r="T321" i="16"/>
  <c r="L321" i="16"/>
  <c r="M321" i="16" s="1"/>
  <c r="T320" i="16"/>
  <c r="L320" i="16"/>
  <c r="M320" i="16" s="1"/>
  <c r="V319" i="16"/>
  <c r="V324" i="16" s="1"/>
  <c r="T319" i="16"/>
  <c r="L319" i="16"/>
  <c r="M319" i="16" s="1"/>
  <c r="V159" i="16"/>
  <c r="R159" i="16"/>
  <c r="N159" i="16"/>
  <c r="K159" i="16"/>
  <c r="J159" i="16"/>
  <c r="I159" i="16"/>
  <c r="H159" i="16"/>
  <c r="G159" i="16"/>
  <c r="F159" i="16"/>
  <c r="V158" i="16"/>
  <c r="T158" i="16"/>
  <c r="L158" i="16"/>
  <c r="M158" i="16" s="1"/>
  <c r="S159" i="16"/>
  <c r="V114" i="16"/>
  <c r="R114" i="16"/>
  <c r="N114" i="16"/>
  <c r="K114" i="16"/>
  <c r="J114" i="16"/>
  <c r="I114" i="16"/>
  <c r="H114" i="16"/>
  <c r="G114" i="16"/>
  <c r="F114" i="16"/>
  <c r="V113" i="16"/>
  <c r="T113" i="16"/>
  <c r="L113" i="16"/>
  <c r="M113" i="16" s="1"/>
  <c r="S114" i="16"/>
  <c r="V114" i="15"/>
  <c r="R114" i="15"/>
  <c r="Q114" i="15"/>
  <c r="O114" i="15"/>
  <c r="N114" i="15"/>
  <c r="K114" i="15"/>
  <c r="J114" i="15"/>
  <c r="I114" i="15"/>
  <c r="H114" i="15"/>
  <c r="G114" i="15"/>
  <c r="F114" i="15"/>
  <c r="V113" i="15"/>
  <c r="T113" i="15"/>
  <c r="L113" i="15"/>
  <c r="M113" i="15" s="1"/>
  <c r="S114" i="15"/>
  <c r="V114" i="13"/>
  <c r="R114" i="13"/>
  <c r="Q114" i="13"/>
  <c r="N114" i="13"/>
  <c r="K114" i="13"/>
  <c r="J114" i="13"/>
  <c r="I114" i="13"/>
  <c r="H114" i="13"/>
  <c r="G114" i="13"/>
  <c r="F114" i="13"/>
  <c r="V113" i="13"/>
  <c r="T113" i="13"/>
  <c r="L113" i="13"/>
  <c r="M113" i="13" s="1"/>
  <c r="S114" i="13"/>
  <c r="V159" i="13"/>
  <c r="R159" i="13"/>
  <c r="Q159" i="13"/>
  <c r="N159" i="13"/>
  <c r="K159" i="13"/>
  <c r="J159" i="13"/>
  <c r="I159" i="13"/>
  <c r="H159" i="13"/>
  <c r="G159" i="13"/>
  <c r="F159" i="13"/>
  <c r="V158" i="13"/>
  <c r="T158" i="13"/>
  <c r="L158" i="13"/>
  <c r="M158" i="13" s="1"/>
  <c r="S159" i="13"/>
  <c r="V114" i="11"/>
  <c r="R114" i="11"/>
  <c r="Q114" i="11"/>
  <c r="O114" i="11"/>
  <c r="N114" i="11"/>
  <c r="K114" i="11"/>
  <c r="J114" i="11"/>
  <c r="I114" i="11"/>
  <c r="H114" i="11"/>
  <c r="G114" i="11"/>
  <c r="F114" i="11"/>
  <c r="V113" i="11"/>
  <c r="T113" i="11"/>
  <c r="L113" i="11"/>
  <c r="M113" i="11" s="1"/>
  <c r="S114" i="11"/>
  <c r="L122" i="9"/>
  <c r="M122" i="9" s="1"/>
  <c r="T122" i="9"/>
  <c r="U122" i="9" s="1"/>
  <c r="V122" i="9"/>
  <c r="L123" i="9"/>
  <c r="M123" i="9" s="1"/>
  <c r="T123" i="9"/>
  <c r="L124" i="9"/>
  <c r="M124" i="9" s="1"/>
  <c r="T124" i="9"/>
  <c r="L125" i="9"/>
  <c r="M125" i="9" s="1"/>
  <c r="T125" i="9"/>
  <c r="V125" i="9"/>
  <c r="E126" i="9"/>
  <c r="L127" i="9"/>
  <c r="M127" i="9" s="1"/>
  <c r="M126" i="9" s="1"/>
  <c r="T127" i="9"/>
  <c r="V127" i="9"/>
  <c r="L128" i="9"/>
  <c r="M128" i="9"/>
  <c r="T128" i="9"/>
  <c r="U128" i="9" s="1"/>
  <c r="V128" i="9"/>
  <c r="L129" i="9"/>
  <c r="M129" i="9" s="1"/>
  <c r="T129" i="9"/>
  <c r="U129" i="9" s="1"/>
  <c r="V129" i="9"/>
  <c r="V114" i="8"/>
  <c r="R114" i="8"/>
  <c r="P114" i="8"/>
  <c r="P114" i="23" s="1"/>
  <c r="O114" i="8"/>
  <c r="N114" i="8"/>
  <c r="K114" i="8"/>
  <c r="J114" i="8"/>
  <c r="I114" i="8"/>
  <c r="H114" i="8"/>
  <c r="G114" i="8"/>
  <c r="F114" i="8"/>
  <c r="V113" i="8"/>
  <c r="T113" i="8"/>
  <c r="L113" i="8"/>
  <c r="M113" i="8" s="1"/>
  <c r="S114" i="8"/>
  <c r="L112" i="8"/>
  <c r="M112" i="8" s="1"/>
  <c r="E111" i="8"/>
  <c r="V110" i="8"/>
  <c r="T110" i="8"/>
  <c r="L110" i="8"/>
  <c r="T109" i="8"/>
  <c r="L109" i="8"/>
  <c r="T108" i="8"/>
  <c r="L108" i="8"/>
  <c r="M108" i="8" s="1"/>
  <c r="V107" i="8"/>
  <c r="T107" i="8"/>
  <c r="L107" i="8"/>
  <c r="M107" i="8" s="1"/>
  <c r="L267" i="22" l="1"/>
  <c r="M267" i="22" s="1"/>
  <c r="T267" i="22"/>
  <c r="V151" i="7"/>
  <c r="U260" i="22"/>
  <c r="U265" i="8"/>
  <c r="T267" i="8"/>
  <c r="U267" i="8" s="1"/>
  <c r="U260" i="11"/>
  <c r="T267" i="13"/>
  <c r="U265" i="7"/>
  <c r="T18" i="23"/>
  <c r="U18" i="23" s="1"/>
  <c r="T3" i="23" s="1"/>
  <c r="T267" i="15"/>
  <c r="U267" i="13"/>
  <c r="U157" i="16"/>
  <c r="L267" i="16"/>
  <c r="M267" i="16" s="1"/>
  <c r="U265" i="13"/>
  <c r="U265" i="15"/>
  <c r="U260" i="18"/>
  <c r="X265" i="18" s="1"/>
  <c r="U260" i="16"/>
  <c r="W260" i="16" s="1"/>
  <c r="W128" i="9"/>
  <c r="U320" i="16"/>
  <c r="U321" i="16"/>
  <c r="W321" i="16" s="1"/>
  <c r="U321" i="22"/>
  <c r="U265" i="22"/>
  <c r="U260" i="19"/>
  <c r="U153" i="18"/>
  <c r="W153" i="18" s="1"/>
  <c r="U325" i="16"/>
  <c r="W325" i="16" s="1"/>
  <c r="U265" i="16"/>
  <c r="U158" i="16"/>
  <c r="U154" i="16"/>
  <c r="W154" i="16" s="1"/>
  <c r="U113" i="15"/>
  <c r="U108" i="15"/>
  <c r="W108" i="15" s="1"/>
  <c r="U158" i="13"/>
  <c r="U113" i="13"/>
  <c r="W113" i="13" s="1"/>
  <c r="V106" i="11"/>
  <c r="U148" i="8"/>
  <c r="U149" i="8"/>
  <c r="L156" i="8"/>
  <c r="U109" i="8"/>
  <c r="U148" i="7"/>
  <c r="U149" i="7"/>
  <c r="U150" i="7"/>
  <c r="W150" i="7" s="1"/>
  <c r="U158" i="7"/>
  <c r="W158" i="7" s="1"/>
  <c r="U108" i="11"/>
  <c r="W108" i="11" s="1"/>
  <c r="U320" i="22"/>
  <c r="W320" i="22" s="1"/>
  <c r="U322" i="22"/>
  <c r="U325" i="22"/>
  <c r="W325" i="22" s="1"/>
  <c r="U261" i="22"/>
  <c r="T106" i="16"/>
  <c r="T106" i="13"/>
  <c r="U153" i="13"/>
  <c r="W153" i="13" s="1"/>
  <c r="U260" i="13"/>
  <c r="X325" i="16"/>
  <c r="U154" i="18"/>
  <c r="W154" i="18" s="1"/>
  <c r="U260" i="7"/>
  <c r="X265" i="7" s="1"/>
  <c r="U113" i="11"/>
  <c r="U324" i="16"/>
  <c r="U113" i="16"/>
  <c r="W113" i="16" s="1"/>
  <c r="U260" i="15"/>
  <c r="T151" i="18"/>
  <c r="T106" i="11"/>
  <c r="U124" i="9"/>
  <c r="W124" i="9" s="1"/>
  <c r="M107" i="11"/>
  <c r="L106" i="11"/>
  <c r="U109" i="11"/>
  <c r="W109" i="11" s="1"/>
  <c r="U107" i="13"/>
  <c r="W107" i="13" s="1"/>
  <c r="U108" i="13"/>
  <c r="W108" i="13" s="1"/>
  <c r="T106" i="15"/>
  <c r="U109" i="15"/>
  <c r="W109" i="15" s="1"/>
  <c r="U107" i="16"/>
  <c r="W107" i="16" s="1"/>
  <c r="U108" i="16"/>
  <c r="W108" i="16" s="1"/>
  <c r="U153" i="16"/>
  <c r="W153" i="16" s="1"/>
  <c r="U152" i="18"/>
  <c r="W152" i="18" s="1"/>
  <c r="U155" i="18"/>
  <c r="W155" i="18" s="1"/>
  <c r="U154" i="7"/>
  <c r="W154" i="7" s="1"/>
  <c r="U154" i="8"/>
  <c r="W154" i="8" s="1"/>
  <c r="U158" i="8"/>
  <c r="W158" i="8" s="1"/>
  <c r="U255" i="7"/>
  <c r="W255" i="7" s="1"/>
  <c r="U261" i="13"/>
  <c r="W261" i="13" s="1"/>
  <c r="U261" i="16"/>
  <c r="W261" i="16" s="1"/>
  <c r="U262" i="19"/>
  <c r="T326" i="16"/>
  <c r="U158" i="18"/>
  <c r="U154" i="13"/>
  <c r="W154" i="13" s="1"/>
  <c r="T267" i="16"/>
  <c r="U267" i="16" s="1"/>
  <c r="M155" i="13"/>
  <c r="M156" i="13" s="1"/>
  <c r="U155" i="13"/>
  <c r="W155" i="13" s="1"/>
  <c r="L151" i="13"/>
  <c r="U152" i="13"/>
  <c r="W152" i="13" s="1"/>
  <c r="U110" i="13"/>
  <c r="W110" i="13" s="1"/>
  <c r="M107" i="13"/>
  <c r="M105" i="13"/>
  <c r="U105" i="13"/>
  <c r="W105" i="13" s="1"/>
  <c r="L156" i="7"/>
  <c r="L159" i="7"/>
  <c r="M159" i="7" s="1"/>
  <c r="U152" i="7"/>
  <c r="W152" i="7" s="1"/>
  <c r="L159" i="16"/>
  <c r="M159" i="16" s="1"/>
  <c r="U155" i="16"/>
  <c r="U156" i="16" s="1"/>
  <c r="U319" i="16"/>
  <c r="W319" i="16" s="1"/>
  <c r="M322" i="16"/>
  <c r="M323" i="16" s="1"/>
  <c r="U322" i="16"/>
  <c r="W322" i="16" s="1"/>
  <c r="M105" i="16"/>
  <c r="U105" i="16"/>
  <c r="W105" i="16" s="1"/>
  <c r="W106" i="16" s="1"/>
  <c r="M107" i="16"/>
  <c r="M106" i="16" s="1"/>
  <c r="U110" i="16"/>
  <c r="W110" i="16" s="1"/>
  <c r="L111" i="15"/>
  <c r="M110" i="15"/>
  <c r="M111" i="15" s="1"/>
  <c r="U110" i="15"/>
  <c r="W110" i="15" s="1"/>
  <c r="U107" i="15"/>
  <c r="W107" i="15" s="1"/>
  <c r="L159" i="8"/>
  <c r="M159" i="8" s="1"/>
  <c r="U152" i="8"/>
  <c r="W152" i="8" s="1"/>
  <c r="U150" i="8"/>
  <c r="L111" i="8"/>
  <c r="U107" i="8"/>
  <c r="W107" i="8" s="1"/>
  <c r="L326" i="22"/>
  <c r="M326" i="22" s="1"/>
  <c r="L156" i="18"/>
  <c r="U107" i="11"/>
  <c r="W107" i="11" s="1"/>
  <c r="U110" i="11"/>
  <c r="W110" i="11" s="1"/>
  <c r="L111" i="11"/>
  <c r="L159" i="13"/>
  <c r="M159" i="13" s="1"/>
  <c r="L114" i="13"/>
  <c r="M114" i="13" s="1"/>
  <c r="L326" i="16"/>
  <c r="M326" i="16" s="1"/>
  <c r="M111" i="13"/>
  <c r="T151" i="13"/>
  <c r="L106" i="15"/>
  <c r="M111" i="16"/>
  <c r="L151" i="18"/>
  <c r="U155" i="8"/>
  <c r="W155" i="8" s="1"/>
  <c r="V112" i="8"/>
  <c r="U113" i="8"/>
  <c r="W113" i="8" s="1"/>
  <c r="U127" i="9"/>
  <c r="X127" i="9" s="1"/>
  <c r="U125" i="9"/>
  <c r="W125" i="9" s="1"/>
  <c r="U319" i="22"/>
  <c r="W319" i="22" s="1"/>
  <c r="L159" i="18"/>
  <c r="M159" i="18" s="1"/>
  <c r="M105" i="11"/>
  <c r="M111" i="11"/>
  <c r="V112" i="13"/>
  <c r="V111" i="13" s="1"/>
  <c r="U150" i="13"/>
  <c r="M105" i="15"/>
  <c r="M106" i="15" s="1"/>
  <c r="V112" i="16"/>
  <c r="V111" i="16" s="1"/>
  <c r="M150" i="18"/>
  <c r="M151" i="18" s="1"/>
  <c r="V151" i="18"/>
  <c r="M156" i="18"/>
  <c r="U155" i="7"/>
  <c r="V112" i="11"/>
  <c r="V111" i="11" s="1"/>
  <c r="V112" i="15"/>
  <c r="U153" i="8"/>
  <c r="W153" i="8" s="1"/>
  <c r="U108" i="8"/>
  <c r="W108" i="8" s="1"/>
  <c r="L114" i="8"/>
  <c r="M114" i="8" s="1"/>
  <c r="U123" i="9"/>
  <c r="X128" i="9" s="1"/>
  <c r="T159" i="18"/>
  <c r="U105" i="11"/>
  <c r="U109" i="13"/>
  <c r="W109" i="13" s="1"/>
  <c r="L111" i="13"/>
  <c r="M150" i="13"/>
  <c r="M151" i="13" s="1"/>
  <c r="V151" i="13"/>
  <c r="U105" i="15"/>
  <c r="W105" i="15" s="1"/>
  <c r="U109" i="16"/>
  <c r="W109" i="16" s="1"/>
  <c r="L111" i="16"/>
  <c r="U150" i="16"/>
  <c r="W150" i="16" s="1"/>
  <c r="U152" i="16"/>
  <c r="L156" i="16"/>
  <c r="U150" i="18"/>
  <c r="U153" i="7"/>
  <c r="X158" i="7" s="1"/>
  <c r="T267" i="19"/>
  <c r="U267" i="19" s="1"/>
  <c r="U261" i="15"/>
  <c r="W261" i="15" s="1"/>
  <c r="U255" i="19"/>
  <c r="W255" i="19" s="1"/>
  <c r="T267" i="11"/>
  <c r="U267" i="11" s="1"/>
  <c r="T267" i="18"/>
  <c r="U267" i="18" s="1"/>
  <c r="T267" i="9"/>
  <c r="U267" i="9" s="1"/>
  <c r="U267" i="15"/>
  <c r="T267" i="7"/>
  <c r="U267" i="7" s="1"/>
  <c r="W260" i="22"/>
  <c r="U255" i="22"/>
  <c r="W261" i="22"/>
  <c r="X265" i="19"/>
  <c r="W260" i="19"/>
  <c r="U261" i="19"/>
  <c r="U261" i="18"/>
  <c r="U255" i="18"/>
  <c r="U255" i="15"/>
  <c r="X265" i="15"/>
  <c r="W260" i="15"/>
  <c r="U255" i="13"/>
  <c r="W260" i="13"/>
  <c r="U261" i="11"/>
  <c r="U255" i="11"/>
  <c r="X265" i="11"/>
  <c r="W260" i="11"/>
  <c r="U261" i="9"/>
  <c r="U255" i="9"/>
  <c r="X265" i="9"/>
  <c r="W260" i="9"/>
  <c r="X265" i="8"/>
  <c r="W260" i="8"/>
  <c r="U261" i="8"/>
  <c r="U255" i="8"/>
  <c r="U261" i="7"/>
  <c r="W260" i="7"/>
  <c r="M151" i="8"/>
  <c r="G162" i="8"/>
  <c r="H162" i="8" s="1"/>
  <c r="I162" i="8" s="1"/>
  <c r="J162" i="8" s="1"/>
  <c r="K162" i="8" s="1"/>
  <c r="N162" i="8" s="1"/>
  <c r="O162" i="8" s="1"/>
  <c r="P162" i="8" s="1"/>
  <c r="W150" i="8"/>
  <c r="T159" i="8"/>
  <c r="L151" i="8"/>
  <c r="T151" i="8"/>
  <c r="T157" i="8"/>
  <c r="V157" i="8"/>
  <c r="M158" i="8"/>
  <c r="S161" i="8"/>
  <c r="M155" i="8"/>
  <c r="M156" i="8" s="1"/>
  <c r="L160" i="8"/>
  <c r="M160" i="8" s="1"/>
  <c r="T160" i="8"/>
  <c r="M151" i="7"/>
  <c r="G162" i="7"/>
  <c r="H162" i="7" s="1"/>
  <c r="I162" i="7" s="1"/>
  <c r="J162" i="7" s="1"/>
  <c r="K162" i="7" s="1"/>
  <c r="N162" i="7" s="1"/>
  <c r="O162" i="7" s="1"/>
  <c r="P162" i="7" s="1"/>
  <c r="Q162" i="7" s="1"/>
  <c r="R162" i="7" s="1"/>
  <c r="T159" i="7"/>
  <c r="L151" i="7"/>
  <c r="T151" i="7"/>
  <c r="T157" i="7"/>
  <c r="V157" i="7"/>
  <c r="S161" i="7"/>
  <c r="M155" i="7"/>
  <c r="M156" i="7" s="1"/>
  <c r="L160" i="7"/>
  <c r="M160" i="7" s="1"/>
  <c r="T160" i="7"/>
  <c r="V156" i="18"/>
  <c r="U157" i="18"/>
  <c r="T156" i="18"/>
  <c r="X157" i="16"/>
  <c r="M151" i="16"/>
  <c r="W152" i="16"/>
  <c r="L151" i="16"/>
  <c r="T151" i="16"/>
  <c r="V157" i="16"/>
  <c r="M155" i="16"/>
  <c r="M156" i="16" s="1"/>
  <c r="T156" i="16"/>
  <c r="U112" i="16"/>
  <c r="T111" i="16"/>
  <c r="X112" i="16"/>
  <c r="L114" i="16"/>
  <c r="M114" i="16" s="1"/>
  <c r="V111" i="15"/>
  <c r="U112" i="15"/>
  <c r="U111" i="15" s="1"/>
  <c r="T111" i="15"/>
  <c r="L114" i="15"/>
  <c r="M114" i="15" s="1"/>
  <c r="V156" i="13"/>
  <c r="U157" i="13"/>
  <c r="T156" i="13"/>
  <c r="U112" i="13"/>
  <c r="T111" i="13"/>
  <c r="U112" i="11"/>
  <c r="T111" i="11"/>
  <c r="W105" i="11"/>
  <c r="W106" i="11" s="1"/>
  <c r="L114" i="11"/>
  <c r="M114" i="11" s="1"/>
  <c r="U110" i="8"/>
  <c r="W110" i="8" s="1"/>
  <c r="X158" i="18"/>
  <c r="W158" i="18"/>
  <c r="M158" i="18"/>
  <c r="X325" i="22"/>
  <c r="W322" i="22"/>
  <c r="V323" i="22"/>
  <c r="T326" i="22"/>
  <c r="W321" i="22"/>
  <c r="M322" i="22"/>
  <c r="M323" i="22" s="1"/>
  <c r="T324" i="22"/>
  <c r="W324" i="16"/>
  <c r="V323" i="16"/>
  <c r="W320" i="16"/>
  <c r="T323" i="16"/>
  <c r="T159" i="16"/>
  <c r="W158" i="16"/>
  <c r="T114" i="16"/>
  <c r="W113" i="15"/>
  <c r="T114" i="15"/>
  <c r="T114" i="13"/>
  <c r="T159" i="13"/>
  <c r="W158" i="13"/>
  <c r="T114" i="11"/>
  <c r="W123" i="9"/>
  <c r="W129" i="9"/>
  <c r="W122" i="9"/>
  <c r="V126" i="9"/>
  <c r="T126" i="9"/>
  <c r="L126" i="9"/>
  <c r="W109" i="8"/>
  <c r="T114" i="8"/>
  <c r="M110" i="8"/>
  <c r="M111" i="8" s="1"/>
  <c r="T112" i="8"/>
  <c r="M109" i="8"/>
  <c r="V111" i="8" l="1"/>
  <c r="U267" i="22"/>
  <c r="X265" i="22"/>
  <c r="W260" i="18"/>
  <c r="U159" i="18"/>
  <c r="X159" i="18" s="1"/>
  <c r="X265" i="16"/>
  <c r="W153" i="7"/>
  <c r="X265" i="13"/>
  <c r="U159" i="8"/>
  <c r="W159" i="8" s="1"/>
  <c r="U114" i="15"/>
  <c r="W114" i="15" s="1"/>
  <c r="X113" i="8"/>
  <c r="U114" i="11"/>
  <c r="W114" i="11" s="1"/>
  <c r="U159" i="13"/>
  <c r="W159" i="13" s="1"/>
  <c r="X158" i="16"/>
  <c r="X112" i="13"/>
  <c r="U156" i="18"/>
  <c r="X155" i="7"/>
  <c r="W155" i="16"/>
  <c r="U114" i="16"/>
  <c r="W114" i="16" s="1"/>
  <c r="X113" i="15"/>
  <c r="W155" i="7"/>
  <c r="X129" i="9"/>
  <c r="U151" i="18"/>
  <c r="M106" i="11"/>
  <c r="U151" i="13"/>
  <c r="X113" i="13"/>
  <c r="X113" i="11"/>
  <c r="Q162" i="8"/>
  <c r="R162" i="8" s="1"/>
  <c r="S162" i="8" s="1"/>
  <c r="X158" i="8"/>
  <c r="U114" i="8"/>
  <c r="W114" i="8" s="1"/>
  <c r="X110" i="16"/>
  <c r="X158" i="13"/>
  <c r="U114" i="13"/>
  <c r="W114" i="13" s="1"/>
  <c r="X155" i="18"/>
  <c r="X157" i="18"/>
  <c r="W150" i="18"/>
  <c r="W151" i="18" s="1"/>
  <c r="X113" i="16"/>
  <c r="U111" i="16"/>
  <c r="X112" i="15"/>
  <c r="U156" i="13"/>
  <c r="W150" i="13"/>
  <c r="W151" i="13" s="1"/>
  <c r="X324" i="16"/>
  <c r="W106" i="13"/>
  <c r="U106" i="13"/>
  <c r="X110" i="13"/>
  <c r="X110" i="15"/>
  <c r="X155" i="8"/>
  <c r="U151" i="8"/>
  <c r="W113" i="11"/>
  <c r="U323" i="16"/>
  <c r="U111" i="13"/>
  <c r="W106" i="15"/>
  <c r="U151" i="7"/>
  <c r="U106" i="16"/>
  <c r="U106" i="11"/>
  <c r="X262" i="19"/>
  <c r="X157" i="13"/>
  <c r="X155" i="13"/>
  <c r="M106" i="13"/>
  <c r="U159" i="7"/>
  <c r="U159" i="16"/>
  <c r="W159" i="16" s="1"/>
  <c r="X155" i="16"/>
  <c r="W151" i="16"/>
  <c r="U326" i="16"/>
  <c r="X326" i="16" s="1"/>
  <c r="U151" i="16"/>
  <c r="X114" i="16"/>
  <c r="U106" i="15"/>
  <c r="U326" i="22"/>
  <c r="W326" i="22" s="1"/>
  <c r="X110" i="11"/>
  <c r="U111" i="11"/>
  <c r="U126" i="9"/>
  <c r="W127" i="9"/>
  <c r="W126" i="9" s="1"/>
  <c r="X159" i="8"/>
  <c r="W255" i="22"/>
  <c r="W261" i="19"/>
  <c r="W261" i="18"/>
  <c r="W255" i="18"/>
  <c r="W255" i="15"/>
  <c r="W255" i="13"/>
  <c r="W261" i="11"/>
  <c r="W255" i="11"/>
  <c r="W261" i="9"/>
  <c r="W255" i="9"/>
  <c r="W255" i="8"/>
  <c r="W261" i="8"/>
  <c r="W261" i="7"/>
  <c r="U157" i="8"/>
  <c r="T156" i="8"/>
  <c r="U160" i="8"/>
  <c r="V160" i="8"/>
  <c r="W157" i="8"/>
  <c r="W156" i="8" s="1"/>
  <c r="V156" i="8"/>
  <c r="W151" i="8"/>
  <c r="V160" i="7"/>
  <c r="V156" i="7"/>
  <c r="U157" i="7"/>
  <c r="T156" i="7"/>
  <c r="S162" i="7"/>
  <c r="U160" i="7"/>
  <c r="W151" i="7"/>
  <c r="W159" i="18"/>
  <c r="W157" i="18"/>
  <c r="W156" i="18" s="1"/>
  <c r="W157" i="16"/>
  <c r="V156" i="16"/>
  <c r="W112" i="16"/>
  <c r="W111" i="16" s="1"/>
  <c r="W112" i="15"/>
  <c r="W111" i="15" s="1"/>
  <c r="W157" i="13"/>
  <c r="W156" i="13" s="1"/>
  <c r="W112" i="13"/>
  <c r="W111" i="13" s="1"/>
  <c r="W112" i="11"/>
  <c r="W111" i="11" s="1"/>
  <c r="X112" i="11"/>
  <c r="U324" i="22"/>
  <c r="T323" i="22"/>
  <c r="W323" i="16"/>
  <c r="X114" i="15"/>
  <c r="X114" i="11"/>
  <c r="X114" i="8"/>
  <c r="U112" i="8"/>
  <c r="T111" i="8"/>
  <c r="X159" i="13" l="1"/>
  <c r="W156" i="16"/>
  <c r="X326" i="22"/>
  <c r="W326" i="16"/>
  <c r="X114" i="13"/>
  <c r="X159" i="16"/>
  <c r="W159" i="7"/>
  <c r="X159" i="7"/>
  <c r="W160" i="8"/>
  <c r="U156" i="8"/>
  <c r="X157" i="8"/>
  <c r="W160" i="7"/>
  <c r="U156" i="7"/>
  <c r="X157" i="7"/>
  <c r="W157" i="7"/>
  <c r="W156" i="7" s="1"/>
  <c r="U323" i="22"/>
  <c r="X324" i="22"/>
  <c r="W324" i="22"/>
  <c r="W323" i="22" s="1"/>
  <c r="U111" i="8"/>
  <c r="X112" i="8"/>
  <c r="W112" i="8"/>
  <c r="W111" i="8" s="1"/>
  <c r="L75" i="22" l="1"/>
  <c r="L77" i="22"/>
  <c r="T77" i="22"/>
  <c r="M75" i="22" l="1"/>
  <c r="L76" i="22"/>
  <c r="S60" i="7"/>
  <c r="J349" i="19" l="1"/>
  <c r="J332" i="19" s="1"/>
  <c r="L332" i="19" s="1"/>
  <c r="J272" i="23"/>
  <c r="J255" i="23" s="1"/>
  <c r="S62" i="7"/>
  <c r="S59" i="7"/>
  <c r="T60" i="7"/>
  <c r="S421" i="7"/>
  <c r="R421" i="7"/>
  <c r="Q421" i="7"/>
  <c r="P421" i="7"/>
  <c r="O421" i="7"/>
  <c r="N421" i="7"/>
  <c r="K421" i="7"/>
  <c r="J421" i="7"/>
  <c r="I421" i="7"/>
  <c r="H421" i="7"/>
  <c r="G421" i="7"/>
  <c r="F421" i="7"/>
  <c r="E420" i="7"/>
  <c r="R418" i="7"/>
  <c r="Q418" i="7"/>
  <c r="P418" i="7"/>
  <c r="O418" i="7"/>
  <c r="N418" i="7"/>
  <c r="K418" i="7"/>
  <c r="J418" i="7"/>
  <c r="I418" i="7"/>
  <c r="H418" i="7"/>
  <c r="G418" i="7"/>
  <c r="F418" i="7"/>
  <c r="E418" i="7"/>
  <c r="J423" i="7"/>
  <c r="I423" i="7"/>
  <c r="F423" i="7"/>
  <c r="V411" i="7"/>
  <c r="S411" i="7"/>
  <c r="R411" i="7"/>
  <c r="Q411" i="7"/>
  <c r="P411" i="7"/>
  <c r="O411" i="7"/>
  <c r="K411" i="7"/>
  <c r="J411" i="7"/>
  <c r="H411" i="7"/>
  <c r="G411" i="7"/>
  <c r="F411" i="7"/>
  <c r="V410" i="7"/>
  <c r="S410" i="7"/>
  <c r="R410" i="7"/>
  <c r="Q410" i="7"/>
  <c r="P410" i="7"/>
  <c r="O410" i="7"/>
  <c r="N410" i="7"/>
  <c r="K410" i="7"/>
  <c r="J410" i="7"/>
  <c r="I410" i="7"/>
  <c r="H410" i="7"/>
  <c r="G410" i="7"/>
  <c r="F410" i="7"/>
  <c r="V409" i="7"/>
  <c r="S409" i="7"/>
  <c r="R409" i="7"/>
  <c r="Q409" i="7"/>
  <c r="P409" i="7"/>
  <c r="O409" i="7"/>
  <c r="N409" i="7"/>
  <c r="K409" i="7"/>
  <c r="J409" i="7"/>
  <c r="I409" i="7"/>
  <c r="H409" i="7"/>
  <c r="G409" i="7"/>
  <c r="F409" i="7"/>
  <c r="S421" i="8"/>
  <c r="R421" i="8"/>
  <c r="P421" i="8"/>
  <c r="O421" i="8"/>
  <c r="N421" i="8"/>
  <c r="K421" i="8"/>
  <c r="J421" i="8"/>
  <c r="I421" i="8"/>
  <c r="H421" i="8"/>
  <c r="G421" i="8"/>
  <c r="F421" i="8"/>
  <c r="E420" i="8"/>
  <c r="R418" i="8"/>
  <c r="P418" i="8"/>
  <c r="O418" i="8"/>
  <c r="N418" i="8"/>
  <c r="K418" i="8"/>
  <c r="J418" i="8"/>
  <c r="I418" i="8"/>
  <c r="H418" i="8"/>
  <c r="G418" i="8"/>
  <c r="F418" i="8"/>
  <c r="E418" i="8"/>
  <c r="V423" i="8"/>
  <c r="K423" i="8"/>
  <c r="J423" i="8"/>
  <c r="I423" i="8"/>
  <c r="H423" i="8"/>
  <c r="G423" i="8"/>
  <c r="F423" i="8"/>
  <c r="V411" i="8"/>
  <c r="S411" i="8"/>
  <c r="R411" i="8"/>
  <c r="P411" i="8"/>
  <c r="O411" i="8"/>
  <c r="N411" i="8"/>
  <c r="K411" i="8"/>
  <c r="J411" i="8"/>
  <c r="I411" i="8"/>
  <c r="H411" i="8"/>
  <c r="G411" i="8"/>
  <c r="F411" i="8"/>
  <c r="V410" i="8"/>
  <c r="S410" i="8"/>
  <c r="R410" i="8"/>
  <c r="P410" i="8"/>
  <c r="O410" i="8"/>
  <c r="N410" i="8"/>
  <c r="K410" i="8"/>
  <c r="J410" i="8"/>
  <c r="I410" i="8"/>
  <c r="H410" i="8"/>
  <c r="G410" i="8"/>
  <c r="F410" i="8"/>
  <c r="V409" i="8"/>
  <c r="S409" i="8"/>
  <c r="R409" i="8"/>
  <c r="P409" i="8"/>
  <c r="O409" i="8"/>
  <c r="N409" i="8"/>
  <c r="K409" i="8"/>
  <c r="J409" i="8"/>
  <c r="I409" i="8"/>
  <c r="H409" i="8"/>
  <c r="G409" i="8"/>
  <c r="F409" i="8"/>
  <c r="S342" i="9"/>
  <c r="Q342" i="9"/>
  <c r="N342" i="9"/>
  <c r="J342" i="9"/>
  <c r="H342" i="9"/>
  <c r="F342" i="9"/>
  <c r="S332" i="9"/>
  <c r="Q332" i="9"/>
  <c r="R331" i="9"/>
  <c r="Q331" i="9"/>
  <c r="O331" i="9"/>
  <c r="R330" i="9"/>
  <c r="Q330" i="9"/>
  <c r="O330" i="9"/>
  <c r="S421" i="11"/>
  <c r="S342" i="11" s="1"/>
  <c r="R421" i="11"/>
  <c r="R342" i="11" s="1"/>
  <c r="Q421" i="11"/>
  <c r="Q342" i="11" s="1"/>
  <c r="O421" i="11"/>
  <c r="O342" i="11" s="1"/>
  <c r="N421" i="11"/>
  <c r="N342" i="11" s="1"/>
  <c r="K421" i="11"/>
  <c r="K342" i="11" s="1"/>
  <c r="J421" i="11"/>
  <c r="J342" i="11" s="1"/>
  <c r="I421" i="11"/>
  <c r="I342" i="11" s="1"/>
  <c r="H421" i="11"/>
  <c r="H342" i="11" s="1"/>
  <c r="G421" i="11"/>
  <c r="G342" i="11" s="1"/>
  <c r="F421" i="11"/>
  <c r="F342" i="11" s="1"/>
  <c r="E420" i="11"/>
  <c r="E341" i="11" s="1"/>
  <c r="E340" i="11" s="1"/>
  <c r="R418" i="11"/>
  <c r="R339" i="11" s="1"/>
  <c r="Q418" i="11"/>
  <c r="Q339" i="11" s="1"/>
  <c r="O418" i="11"/>
  <c r="O339" i="11" s="1"/>
  <c r="N418" i="11"/>
  <c r="N339" i="11" s="1"/>
  <c r="K418" i="11"/>
  <c r="K339" i="11" s="1"/>
  <c r="J418" i="11"/>
  <c r="J339" i="11" s="1"/>
  <c r="I418" i="11"/>
  <c r="I339" i="11" s="1"/>
  <c r="H418" i="11"/>
  <c r="H339" i="11" s="1"/>
  <c r="G418" i="11"/>
  <c r="G339" i="11" s="1"/>
  <c r="F418" i="11"/>
  <c r="F339" i="11" s="1"/>
  <c r="E418" i="11"/>
  <c r="K423" i="11"/>
  <c r="J423" i="11"/>
  <c r="I423" i="11"/>
  <c r="H423" i="11"/>
  <c r="G423" i="11"/>
  <c r="F423" i="11"/>
  <c r="V411" i="11"/>
  <c r="V332" i="11" s="1"/>
  <c r="S411" i="11"/>
  <c r="S332" i="11" s="1"/>
  <c r="R411" i="11"/>
  <c r="R332" i="11" s="1"/>
  <c r="Q411" i="11"/>
  <c r="Q332" i="11" s="1"/>
  <c r="O411" i="11"/>
  <c r="O332" i="11" s="1"/>
  <c r="N411" i="11"/>
  <c r="N332" i="11" s="1"/>
  <c r="K411" i="11"/>
  <c r="K332" i="11" s="1"/>
  <c r="J411" i="11"/>
  <c r="J332" i="11" s="1"/>
  <c r="I411" i="11"/>
  <c r="I332" i="11" s="1"/>
  <c r="H411" i="11"/>
  <c r="H332" i="11" s="1"/>
  <c r="G411" i="11"/>
  <c r="G332" i="11" s="1"/>
  <c r="F411" i="11"/>
  <c r="F332" i="11" s="1"/>
  <c r="V410" i="11"/>
  <c r="V331" i="11" s="1"/>
  <c r="S410" i="11"/>
  <c r="R410" i="11"/>
  <c r="Q410" i="11"/>
  <c r="O410" i="11"/>
  <c r="N410" i="11"/>
  <c r="K410" i="11"/>
  <c r="J410" i="11"/>
  <c r="I410" i="11"/>
  <c r="H410" i="11"/>
  <c r="G410" i="11"/>
  <c r="F410" i="11"/>
  <c r="V409" i="11"/>
  <c r="V330" i="11" s="1"/>
  <c r="S409" i="11"/>
  <c r="R409" i="11"/>
  <c r="Q409" i="11"/>
  <c r="O409" i="11"/>
  <c r="N409" i="11"/>
  <c r="K409" i="11"/>
  <c r="J409" i="11"/>
  <c r="I409" i="11"/>
  <c r="H409" i="11"/>
  <c r="G409" i="11"/>
  <c r="F409" i="11"/>
  <c r="Q342" i="13"/>
  <c r="N342" i="13"/>
  <c r="K339" i="13"/>
  <c r="J339" i="13"/>
  <c r="I339" i="13"/>
  <c r="G339" i="13"/>
  <c r="F339" i="13"/>
  <c r="V332" i="13"/>
  <c r="W332" i="13" s="1"/>
  <c r="S331" i="13"/>
  <c r="R331" i="13"/>
  <c r="Q331" i="13"/>
  <c r="N331" i="13"/>
  <c r="K331" i="13"/>
  <c r="J331" i="13"/>
  <c r="I331" i="13"/>
  <c r="H331" i="13"/>
  <c r="G331" i="13"/>
  <c r="F331" i="13"/>
  <c r="S330" i="13"/>
  <c r="R330" i="13"/>
  <c r="Q330" i="13"/>
  <c r="N330" i="13"/>
  <c r="K330" i="13"/>
  <c r="J330" i="13"/>
  <c r="I330" i="13"/>
  <c r="H330" i="13"/>
  <c r="F330" i="13"/>
  <c r="S421" i="15"/>
  <c r="S342" i="15" s="1"/>
  <c r="R421" i="15"/>
  <c r="R342" i="15" s="1"/>
  <c r="Q421" i="15"/>
  <c r="Q342" i="15" s="1"/>
  <c r="O421" i="15"/>
  <c r="O342" i="15" s="1"/>
  <c r="N421" i="15"/>
  <c r="N342" i="15" s="1"/>
  <c r="T342" i="15" s="1"/>
  <c r="K421" i="15"/>
  <c r="K342" i="15" s="1"/>
  <c r="J421" i="15"/>
  <c r="J342" i="15" s="1"/>
  <c r="I421" i="15"/>
  <c r="I342" i="15" s="1"/>
  <c r="H421" i="15"/>
  <c r="H342" i="15" s="1"/>
  <c r="G421" i="15"/>
  <c r="G342" i="15" s="1"/>
  <c r="F421" i="15"/>
  <c r="F342" i="15" s="1"/>
  <c r="L342" i="15" s="1"/>
  <c r="M342" i="15" s="1"/>
  <c r="E420" i="15"/>
  <c r="E341" i="15" s="1"/>
  <c r="E340" i="15" s="1"/>
  <c r="R418" i="15"/>
  <c r="R339" i="15" s="1"/>
  <c r="Q418" i="15"/>
  <c r="Q339" i="15" s="1"/>
  <c r="O418" i="15"/>
  <c r="O339" i="15" s="1"/>
  <c r="N418" i="15"/>
  <c r="N339" i="15" s="1"/>
  <c r="K418" i="15"/>
  <c r="K339" i="15" s="1"/>
  <c r="J418" i="15"/>
  <c r="J339" i="15" s="1"/>
  <c r="I418" i="15"/>
  <c r="I339" i="15" s="1"/>
  <c r="H418" i="15"/>
  <c r="H339" i="15" s="1"/>
  <c r="G418" i="15"/>
  <c r="G339" i="15" s="1"/>
  <c r="F418" i="15"/>
  <c r="F339" i="15" s="1"/>
  <c r="E418" i="15"/>
  <c r="E419" i="15" s="1"/>
  <c r="V417" i="15"/>
  <c r="V338" i="15" s="1"/>
  <c r="S417" i="15"/>
  <c r="S338" i="15" s="1"/>
  <c r="R417" i="15"/>
  <c r="R338" i="15" s="1"/>
  <c r="Q417" i="15"/>
  <c r="Q338" i="15" s="1"/>
  <c r="O417" i="15"/>
  <c r="O338" i="15" s="1"/>
  <c r="N417" i="15"/>
  <c r="N338" i="15" s="1"/>
  <c r="K417" i="15"/>
  <c r="K338" i="15" s="1"/>
  <c r="K344" i="15" s="1"/>
  <c r="J417" i="15"/>
  <c r="I417" i="15"/>
  <c r="I338" i="15" s="1"/>
  <c r="I344" i="15" s="1"/>
  <c r="H417" i="15"/>
  <c r="G417" i="15"/>
  <c r="F417" i="15"/>
  <c r="V416" i="15"/>
  <c r="V337" i="15" s="1"/>
  <c r="S416" i="15"/>
  <c r="S337" i="15" s="1"/>
  <c r="R416" i="15"/>
  <c r="R337" i="15" s="1"/>
  <c r="Q416" i="15"/>
  <c r="Q337" i="15" s="1"/>
  <c r="O416" i="15"/>
  <c r="O337" i="15" s="1"/>
  <c r="N416" i="15"/>
  <c r="N337" i="15" s="1"/>
  <c r="K416" i="15"/>
  <c r="K337" i="15" s="1"/>
  <c r="J416" i="15"/>
  <c r="J337" i="15" s="1"/>
  <c r="I416" i="15"/>
  <c r="I337" i="15" s="1"/>
  <c r="H416" i="15"/>
  <c r="H337" i="15" s="1"/>
  <c r="G416" i="15"/>
  <c r="G337" i="15" s="1"/>
  <c r="F416" i="15"/>
  <c r="F337" i="15" s="1"/>
  <c r="V411" i="15"/>
  <c r="V332" i="15" s="1"/>
  <c r="S411" i="15"/>
  <c r="S332" i="15" s="1"/>
  <c r="R411" i="15"/>
  <c r="R332" i="15" s="1"/>
  <c r="Q411" i="15"/>
  <c r="Q332" i="15" s="1"/>
  <c r="O411" i="15"/>
  <c r="O332" i="15" s="1"/>
  <c r="N411" i="15"/>
  <c r="N332" i="15" s="1"/>
  <c r="K411" i="15"/>
  <c r="K332" i="15" s="1"/>
  <c r="J411" i="15"/>
  <c r="J332" i="15" s="1"/>
  <c r="I411" i="15"/>
  <c r="I332" i="15" s="1"/>
  <c r="H411" i="15"/>
  <c r="H332" i="15" s="1"/>
  <c r="G411" i="15"/>
  <c r="G332" i="15" s="1"/>
  <c r="F411" i="15"/>
  <c r="F332" i="15" s="1"/>
  <c r="V410" i="15"/>
  <c r="V331" i="15" s="1"/>
  <c r="S410" i="15"/>
  <c r="S331" i="15" s="1"/>
  <c r="R410" i="15"/>
  <c r="R331" i="15" s="1"/>
  <c r="Q410" i="15"/>
  <c r="Q331" i="15" s="1"/>
  <c r="O410" i="15"/>
  <c r="O331" i="15" s="1"/>
  <c r="N410" i="15"/>
  <c r="K410" i="15"/>
  <c r="K331" i="15" s="1"/>
  <c r="J410" i="15"/>
  <c r="J331" i="15" s="1"/>
  <c r="I410" i="15"/>
  <c r="I331" i="15" s="1"/>
  <c r="H410" i="15"/>
  <c r="H331" i="15" s="1"/>
  <c r="G410" i="15"/>
  <c r="G331" i="15" s="1"/>
  <c r="F410" i="15"/>
  <c r="V409" i="15"/>
  <c r="V330" i="15" s="1"/>
  <c r="S409" i="15"/>
  <c r="S330" i="15" s="1"/>
  <c r="R409" i="15"/>
  <c r="R330" i="15" s="1"/>
  <c r="Q409" i="15"/>
  <c r="Q330" i="15" s="1"/>
  <c r="O409" i="15"/>
  <c r="O330" i="15" s="1"/>
  <c r="N409" i="15"/>
  <c r="N330" i="15" s="1"/>
  <c r="K409" i="15"/>
  <c r="K330" i="15" s="1"/>
  <c r="J409" i="15"/>
  <c r="J330" i="15" s="1"/>
  <c r="I409" i="15"/>
  <c r="I330" i="15" s="1"/>
  <c r="H409" i="15"/>
  <c r="H330" i="15" s="1"/>
  <c r="G409" i="15"/>
  <c r="G330" i="15" s="1"/>
  <c r="F409" i="15"/>
  <c r="F330" i="15" s="1"/>
  <c r="S342" i="16"/>
  <c r="R342" i="16"/>
  <c r="N342" i="16"/>
  <c r="K342" i="16"/>
  <c r="J342" i="16"/>
  <c r="I342" i="16"/>
  <c r="H342" i="16"/>
  <c r="G342" i="16"/>
  <c r="F342" i="16"/>
  <c r="N339" i="16"/>
  <c r="K339" i="16"/>
  <c r="J339" i="16"/>
  <c r="I339" i="16"/>
  <c r="H339" i="16"/>
  <c r="G339" i="16"/>
  <c r="F339" i="16"/>
  <c r="V332" i="16"/>
  <c r="H332" i="16"/>
  <c r="G332" i="16"/>
  <c r="F332" i="16"/>
  <c r="N331" i="16"/>
  <c r="K331" i="16"/>
  <c r="J331" i="16"/>
  <c r="I331" i="16"/>
  <c r="H331" i="16"/>
  <c r="G331" i="16"/>
  <c r="J330" i="16"/>
  <c r="I330" i="16"/>
  <c r="H330" i="16"/>
  <c r="G330" i="16"/>
  <c r="S342" i="18"/>
  <c r="R342" i="18"/>
  <c r="N342" i="18"/>
  <c r="K342" i="18"/>
  <c r="J342" i="18"/>
  <c r="I342" i="18"/>
  <c r="H342" i="18"/>
  <c r="G342" i="18"/>
  <c r="F342" i="18"/>
  <c r="R339" i="18"/>
  <c r="N339" i="18"/>
  <c r="K339" i="18"/>
  <c r="I339" i="18"/>
  <c r="H339" i="18"/>
  <c r="G339" i="18"/>
  <c r="F339" i="18"/>
  <c r="V332" i="18"/>
  <c r="S332" i="18"/>
  <c r="R332" i="18"/>
  <c r="N332" i="18"/>
  <c r="K332" i="18"/>
  <c r="J332" i="18"/>
  <c r="H332" i="18"/>
  <c r="G332" i="18"/>
  <c r="F332" i="18"/>
  <c r="S331" i="18"/>
  <c r="R331" i="18"/>
  <c r="N331" i="18"/>
  <c r="J331" i="18"/>
  <c r="I331" i="18"/>
  <c r="H331" i="18"/>
  <c r="G331" i="18"/>
  <c r="F331" i="18"/>
  <c r="S330" i="18"/>
  <c r="R330" i="18"/>
  <c r="K330" i="18"/>
  <c r="J330" i="18"/>
  <c r="I330" i="18"/>
  <c r="H330" i="18"/>
  <c r="G330" i="18"/>
  <c r="S359" i="7"/>
  <c r="R359" i="7"/>
  <c r="Q359" i="7"/>
  <c r="Q342" i="7" s="1"/>
  <c r="P359" i="7"/>
  <c r="O359" i="7"/>
  <c r="N359" i="7"/>
  <c r="K359" i="7"/>
  <c r="K342" i="7" s="1"/>
  <c r="J359" i="7"/>
  <c r="I359" i="7"/>
  <c r="H359" i="7"/>
  <c r="G359" i="7"/>
  <c r="G342" i="7" s="1"/>
  <c r="F359" i="7"/>
  <c r="E358" i="7"/>
  <c r="E341" i="7" s="1"/>
  <c r="R356" i="7"/>
  <c r="Q356" i="7"/>
  <c r="P356" i="7"/>
  <c r="O356" i="7"/>
  <c r="O339" i="7" s="1"/>
  <c r="N356" i="7"/>
  <c r="K356" i="7"/>
  <c r="K339" i="7" s="1"/>
  <c r="J356" i="7"/>
  <c r="I356" i="7"/>
  <c r="I339" i="7" s="1"/>
  <c r="H356" i="7"/>
  <c r="G356" i="7"/>
  <c r="G339" i="7" s="1"/>
  <c r="F356" i="7"/>
  <c r="E356" i="7"/>
  <c r="E357" i="7" s="1"/>
  <c r="V338" i="7"/>
  <c r="S355" i="7"/>
  <c r="S338" i="7" s="1"/>
  <c r="R355" i="7"/>
  <c r="R338" i="7" s="1"/>
  <c r="Q355" i="7"/>
  <c r="Q338" i="7" s="1"/>
  <c r="P355" i="7"/>
  <c r="P338" i="7" s="1"/>
  <c r="O355" i="7"/>
  <c r="O338" i="7" s="1"/>
  <c r="J355" i="7"/>
  <c r="I355" i="7"/>
  <c r="G355" i="7"/>
  <c r="F355" i="7"/>
  <c r="V337" i="7"/>
  <c r="S354" i="7"/>
  <c r="S337" i="7" s="1"/>
  <c r="R354" i="7"/>
  <c r="R337" i="7" s="1"/>
  <c r="Q354" i="7"/>
  <c r="Q337" i="7" s="1"/>
  <c r="P354" i="7"/>
  <c r="P337" i="7" s="1"/>
  <c r="O354" i="7"/>
  <c r="O337" i="7" s="1"/>
  <c r="N354" i="7"/>
  <c r="K354" i="7"/>
  <c r="K337" i="7" s="1"/>
  <c r="J354" i="7"/>
  <c r="J337" i="7" s="1"/>
  <c r="I354" i="7"/>
  <c r="I337" i="7" s="1"/>
  <c r="H354" i="7"/>
  <c r="H337" i="7" s="1"/>
  <c r="G354" i="7"/>
  <c r="G337" i="7" s="1"/>
  <c r="F354" i="7"/>
  <c r="V349" i="7"/>
  <c r="V332" i="7" s="1"/>
  <c r="S349" i="7"/>
  <c r="R349" i="7"/>
  <c r="R332" i="7" s="1"/>
  <c r="Q349" i="7"/>
  <c r="P349" i="7"/>
  <c r="O349" i="7"/>
  <c r="N349" i="7"/>
  <c r="K349" i="7"/>
  <c r="K332" i="7" s="1"/>
  <c r="I349" i="7"/>
  <c r="H349" i="7"/>
  <c r="H332" i="7" s="1"/>
  <c r="G349" i="7"/>
  <c r="G332" i="7" s="1"/>
  <c r="F349" i="7"/>
  <c r="V348" i="7"/>
  <c r="S348" i="7"/>
  <c r="R348" i="7"/>
  <c r="R331" i="7" s="1"/>
  <c r="Q348" i="7"/>
  <c r="P348" i="7"/>
  <c r="P331" i="7" s="1"/>
  <c r="O348" i="7"/>
  <c r="N348" i="7"/>
  <c r="N331" i="7" s="1"/>
  <c r="K348" i="7"/>
  <c r="J348" i="7"/>
  <c r="I348" i="7"/>
  <c r="H348" i="7"/>
  <c r="H331" i="7" s="1"/>
  <c r="G348" i="7"/>
  <c r="F348" i="7"/>
  <c r="V347" i="7"/>
  <c r="S347" i="7"/>
  <c r="S330" i="7" s="1"/>
  <c r="R347" i="7"/>
  <c r="Q347" i="7"/>
  <c r="Q330" i="7" s="1"/>
  <c r="P347" i="7"/>
  <c r="O347" i="7"/>
  <c r="O330" i="7" s="1"/>
  <c r="N347" i="7"/>
  <c r="K347" i="7"/>
  <c r="J347" i="7"/>
  <c r="I347" i="7"/>
  <c r="I330" i="7" s="1"/>
  <c r="H347" i="7"/>
  <c r="G347" i="7"/>
  <c r="G330" i="7" s="1"/>
  <c r="F347" i="7"/>
  <c r="K361" i="8"/>
  <c r="I361" i="8"/>
  <c r="S359" i="8"/>
  <c r="S342" i="8" s="1"/>
  <c r="R359" i="8"/>
  <c r="R342" i="8" s="1"/>
  <c r="P359" i="8"/>
  <c r="P342" i="8" s="1"/>
  <c r="O359" i="8"/>
  <c r="O342" i="8" s="1"/>
  <c r="N359" i="8"/>
  <c r="N342" i="8" s="1"/>
  <c r="K359" i="8"/>
  <c r="K342" i="8" s="1"/>
  <c r="J359" i="8"/>
  <c r="J342" i="8" s="1"/>
  <c r="I359" i="8"/>
  <c r="I342" i="8" s="1"/>
  <c r="H359" i="8"/>
  <c r="H342" i="8" s="1"/>
  <c r="G359" i="8"/>
  <c r="G342" i="8" s="1"/>
  <c r="F359" i="8"/>
  <c r="F342" i="8" s="1"/>
  <c r="E358" i="8"/>
  <c r="E341" i="8" s="1"/>
  <c r="R356" i="8"/>
  <c r="R339" i="8" s="1"/>
  <c r="P356" i="8"/>
  <c r="P339" i="8" s="1"/>
  <c r="O356" i="8"/>
  <c r="N356" i="8"/>
  <c r="N339" i="8" s="1"/>
  <c r="K356" i="8"/>
  <c r="K339" i="8" s="1"/>
  <c r="J356" i="8"/>
  <c r="J339" i="8" s="1"/>
  <c r="I356" i="8"/>
  <c r="I339" i="8" s="1"/>
  <c r="H356" i="8"/>
  <c r="H339" i="8" s="1"/>
  <c r="G356" i="8"/>
  <c r="G339" i="8" s="1"/>
  <c r="F356" i="8"/>
  <c r="F339" i="8" s="1"/>
  <c r="E356" i="8"/>
  <c r="V361" i="8"/>
  <c r="F361" i="8"/>
  <c r="V349" i="8"/>
  <c r="S349" i="8"/>
  <c r="S332" i="8" s="1"/>
  <c r="R349" i="8"/>
  <c r="P349" i="8"/>
  <c r="P332" i="8" s="1"/>
  <c r="O349" i="8"/>
  <c r="N349" i="8"/>
  <c r="N332" i="8" s="1"/>
  <c r="K349" i="8"/>
  <c r="J349" i="8"/>
  <c r="J332" i="8" s="1"/>
  <c r="I349" i="8"/>
  <c r="H349" i="8"/>
  <c r="H332" i="8" s="1"/>
  <c r="G349" i="8"/>
  <c r="F349" i="8"/>
  <c r="F332" i="8" s="1"/>
  <c r="V348" i="8"/>
  <c r="S348" i="8"/>
  <c r="S331" i="8" s="1"/>
  <c r="R348" i="8"/>
  <c r="P348" i="8"/>
  <c r="P331" i="8" s="1"/>
  <c r="O348" i="8"/>
  <c r="N348" i="8"/>
  <c r="N331" i="8" s="1"/>
  <c r="K348" i="8"/>
  <c r="J348" i="8"/>
  <c r="J331" i="8" s="1"/>
  <c r="I348" i="8"/>
  <c r="H348" i="8"/>
  <c r="H331" i="8" s="1"/>
  <c r="G348" i="8"/>
  <c r="F348" i="8"/>
  <c r="F331" i="8" s="1"/>
  <c r="V347" i="8"/>
  <c r="S347" i="8"/>
  <c r="S330" i="8" s="1"/>
  <c r="R347" i="8"/>
  <c r="P347" i="8"/>
  <c r="P330" i="8" s="1"/>
  <c r="O347" i="8"/>
  <c r="N347" i="8"/>
  <c r="N330" i="8" s="1"/>
  <c r="K347" i="8"/>
  <c r="J347" i="8"/>
  <c r="J330" i="8" s="1"/>
  <c r="I347" i="8"/>
  <c r="H347" i="8"/>
  <c r="H330" i="8" s="1"/>
  <c r="G347" i="8"/>
  <c r="F347" i="8"/>
  <c r="F330" i="8" s="1"/>
  <c r="O332" i="9"/>
  <c r="S342" i="7"/>
  <c r="O342" i="7"/>
  <c r="I342" i="7"/>
  <c r="J339" i="7"/>
  <c r="P332" i="7"/>
  <c r="V331" i="7"/>
  <c r="J331" i="7"/>
  <c r="F331" i="7"/>
  <c r="K330" i="7"/>
  <c r="O339" i="8"/>
  <c r="E339" i="8"/>
  <c r="K344" i="8"/>
  <c r="I344" i="8"/>
  <c r="R342" i="9"/>
  <c r="O342" i="9"/>
  <c r="K342" i="9"/>
  <c r="I342" i="9"/>
  <c r="G342" i="9"/>
  <c r="V344" i="9"/>
  <c r="J344" i="9"/>
  <c r="I344" i="9"/>
  <c r="G344" i="9"/>
  <c r="F344" i="9"/>
  <c r="V332" i="9"/>
  <c r="R332" i="9"/>
  <c r="N332" i="9"/>
  <c r="I332" i="9"/>
  <c r="H332" i="9"/>
  <c r="G332" i="9"/>
  <c r="F332" i="9"/>
  <c r="V331" i="9"/>
  <c r="S331" i="9"/>
  <c r="N331" i="9"/>
  <c r="K331" i="9"/>
  <c r="J331" i="9"/>
  <c r="I331" i="9"/>
  <c r="H331" i="9"/>
  <c r="G331" i="9"/>
  <c r="F331" i="9"/>
  <c r="V330" i="9"/>
  <c r="S330" i="9"/>
  <c r="N330" i="9"/>
  <c r="K330" i="9"/>
  <c r="J330" i="9"/>
  <c r="I330" i="9"/>
  <c r="H330" i="9"/>
  <c r="G330" i="9"/>
  <c r="F330" i="9"/>
  <c r="V254" i="7"/>
  <c r="S254" i="7"/>
  <c r="R254" i="7"/>
  <c r="Q254" i="7"/>
  <c r="P254" i="7"/>
  <c r="O254" i="7"/>
  <c r="N254" i="7"/>
  <c r="K254" i="7"/>
  <c r="J254" i="7"/>
  <c r="I254" i="7"/>
  <c r="H254" i="7"/>
  <c r="G254" i="7"/>
  <c r="F254" i="7"/>
  <c r="V253" i="7"/>
  <c r="S253" i="7"/>
  <c r="R253" i="7"/>
  <c r="Q253" i="7"/>
  <c r="P253" i="7"/>
  <c r="O253" i="7"/>
  <c r="N253" i="7"/>
  <c r="K253" i="7"/>
  <c r="J253" i="7"/>
  <c r="I253" i="7"/>
  <c r="H253" i="7"/>
  <c r="G253" i="7"/>
  <c r="F253" i="7"/>
  <c r="V254" i="8"/>
  <c r="S254" i="8"/>
  <c r="R254" i="8"/>
  <c r="P254" i="8"/>
  <c r="O254" i="8"/>
  <c r="N254" i="8"/>
  <c r="K254" i="8"/>
  <c r="J254" i="8"/>
  <c r="I254" i="8"/>
  <c r="H254" i="8"/>
  <c r="G254" i="8"/>
  <c r="F254" i="8"/>
  <c r="V253" i="8"/>
  <c r="S253" i="8"/>
  <c r="R253" i="8"/>
  <c r="P253" i="8"/>
  <c r="O253" i="8"/>
  <c r="N253" i="8"/>
  <c r="K253" i="8"/>
  <c r="J253" i="8"/>
  <c r="I253" i="8"/>
  <c r="H253" i="8"/>
  <c r="G253" i="8"/>
  <c r="F253" i="8"/>
  <c r="V254" i="9"/>
  <c r="S254" i="9"/>
  <c r="R254" i="9"/>
  <c r="Q254" i="9"/>
  <c r="O254" i="9"/>
  <c r="N254" i="9"/>
  <c r="K254" i="9"/>
  <c r="J254" i="9"/>
  <c r="I254" i="9"/>
  <c r="H254" i="9"/>
  <c r="G254" i="9"/>
  <c r="F254" i="9"/>
  <c r="V253" i="9"/>
  <c r="S253" i="9"/>
  <c r="R253" i="9"/>
  <c r="Q253" i="9"/>
  <c r="O253" i="9"/>
  <c r="N253" i="9"/>
  <c r="K253" i="9"/>
  <c r="J253" i="9"/>
  <c r="I253" i="9"/>
  <c r="H253" i="9"/>
  <c r="G253" i="9"/>
  <c r="F253" i="9"/>
  <c r="V254" i="11"/>
  <c r="S254" i="11"/>
  <c r="R254" i="11"/>
  <c r="Q254" i="11"/>
  <c r="O254" i="11"/>
  <c r="N254" i="11"/>
  <c r="K254" i="11"/>
  <c r="J254" i="11"/>
  <c r="I254" i="11"/>
  <c r="H254" i="11"/>
  <c r="G254" i="11"/>
  <c r="F254" i="11"/>
  <c r="V253" i="11"/>
  <c r="S253" i="11"/>
  <c r="R253" i="11"/>
  <c r="Q253" i="11"/>
  <c r="O253" i="11"/>
  <c r="N253" i="11"/>
  <c r="K253" i="11"/>
  <c r="J253" i="11"/>
  <c r="I253" i="11"/>
  <c r="H253" i="11"/>
  <c r="G253" i="11"/>
  <c r="F253" i="11"/>
  <c r="V254" i="13"/>
  <c r="S254" i="13"/>
  <c r="R254" i="13"/>
  <c r="Q254" i="13"/>
  <c r="N254" i="13"/>
  <c r="K254" i="13"/>
  <c r="J254" i="13"/>
  <c r="I254" i="13"/>
  <c r="H254" i="13"/>
  <c r="G254" i="13"/>
  <c r="F254" i="13"/>
  <c r="V253" i="13"/>
  <c r="S253" i="13"/>
  <c r="R253" i="13"/>
  <c r="Q253" i="13"/>
  <c r="N253" i="13"/>
  <c r="K253" i="13"/>
  <c r="J253" i="13"/>
  <c r="I253" i="13"/>
  <c r="H253" i="13"/>
  <c r="G253" i="13"/>
  <c r="F253" i="13"/>
  <c r="V254" i="15"/>
  <c r="S254" i="15"/>
  <c r="R254" i="15"/>
  <c r="Q254" i="15"/>
  <c r="O254" i="15"/>
  <c r="N254" i="15"/>
  <c r="K254" i="15"/>
  <c r="J254" i="15"/>
  <c r="I254" i="15"/>
  <c r="H254" i="15"/>
  <c r="G254" i="15"/>
  <c r="F254" i="15"/>
  <c r="V253" i="15"/>
  <c r="S253" i="15"/>
  <c r="R253" i="15"/>
  <c r="Q253" i="15"/>
  <c r="O253" i="15"/>
  <c r="N253" i="15"/>
  <c r="K253" i="15"/>
  <c r="J253" i="15"/>
  <c r="I253" i="15"/>
  <c r="H253" i="15"/>
  <c r="G253" i="15"/>
  <c r="F253" i="15"/>
  <c r="V254" i="16"/>
  <c r="S254" i="16"/>
  <c r="R254" i="16"/>
  <c r="N254" i="16"/>
  <c r="K254" i="16"/>
  <c r="J254" i="16"/>
  <c r="I254" i="16"/>
  <c r="H254" i="16"/>
  <c r="G254" i="16"/>
  <c r="F254" i="16"/>
  <c r="V253" i="16"/>
  <c r="S253" i="16"/>
  <c r="R253" i="16"/>
  <c r="N253" i="16"/>
  <c r="K253" i="16"/>
  <c r="J253" i="16"/>
  <c r="I253" i="16"/>
  <c r="H253" i="16"/>
  <c r="G253" i="16"/>
  <c r="F253" i="16"/>
  <c r="V254" i="18"/>
  <c r="S254" i="18"/>
  <c r="R254" i="18"/>
  <c r="N254" i="18"/>
  <c r="K254" i="18"/>
  <c r="J254" i="18"/>
  <c r="I254" i="18"/>
  <c r="H254" i="18"/>
  <c r="G254" i="18"/>
  <c r="F254" i="18"/>
  <c r="V253" i="18"/>
  <c r="S253" i="18"/>
  <c r="R253" i="18"/>
  <c r="N253" i="18"/>
  <c r="K253" i="18"/>
  <c r="J253" i="18"/>
  <c r="I253" i="18"/>
  <c r="H253" i="18"/>
  <c r="G253" i="18"/>
  <c r="F253" i="18"/>
  <c r="V254" i="19"/>
  <c r="S254" i="19"/>
  <c r="R254" i="19"/>
  <c r="Q254" i="19"/>
  <c r="P254" i="19"/>
  <c r="O254" i="19"/>
  <c r="N254" i="19"/>
  <c r="K254" i="19"/>
  <c r="J254" i="19"/>
  <c r="I254" i="19"/>
  <c r="H254" i="19"/>
  <c r="G254" i="19"/>
  <c r="F254" i="19"/>
  <c r="V253" i="19"/>
  <c r="S253" i="19"/>
  <c r="R253" i="19"/>
  <c r="Q253" i="19"/>
  <c r="P253" i="19"/>
  <c r="O253" i="19"/>
  <c r="N253" i="19"/>
  <c r="K253" i="19"/>
  <c r="J253" i="19"/>
  <c r="I253" i="19"/>
  <c r="H253" i="19"/>
  <c r="G253" i="19"/>
  <c r="F253" i="19"/>
  <c r="Q339" i="7" l="1"/>
  <c r="G330" i="8"/>
  <c r="I330" i="8"/>
  <c r="K330" i="8"/>
  <c r="O330" i="8"/>
  <c r="R330" i="8"/>
  <c r="V330" i="8"/>
  <c r="G331" i="8"/>
  <c r="I331" i="8"/>
  <c r="K331" i="8"/>
  <c r="O331" i="8"/>
  <c r="R331" i="8"/>
  <c r="V331" i="8"/>
  <c r="G332" i="8"/>
  <c r="I332" i="8"/>
  <c r="K332" i="8"/>
  <c r="O332" i="8"/>
  <c r="R332" i="8"/>
  <c r="V332" i="8"/>
  <c r="L330" i="15"/>
  <c r="M330" i="15" s="1"/>
  <c r="T330" i="15"/>
  <c r="T421" i="7"/>
  <c r="L349" i="19"/>
  <c r="M349" i="19" s="1"/>
  <c r="L332" i="15"/>
  <c r="M332" i="15" s="1"/>
  <c r="L409" i="8"/>
  <c r="M409" i="8" s="1"/>
  <c r="T409" i="8"/>
  <c r="E340" i="8"/>
  <c r="E357" i="8"/>
  <c r="T348" i="7"/>
  <c r="L330" i="11"/>
  <c r="M330" i="11" s="1"/>
  <c r="T330" i="11"/>
  <c r="L332" i="11"/>
  <c r="M332" i="11" s="1"/>
  <c r="T332" i="11"/>
  <c r="E419" i="11"/>
  <c r="T342" i="11"/>
  <c r="E419" i="8"/>
  <c r="T421" i="8"/>
  <c r="E341" i="23"/>
  <c r="E343" i="23"/>
  <c r="L254" i="18"/>
  <c r="M254" i="18" s="1"/>
  <c r="T254" i="18"/>
  <c r="U254" i="18" s="1"/>
  <c r="L254" i="15"/>
  <c r="M254" i="15" s="1"/>
  <c r="T254" i="9"/>
  <c r="L254" i="8"/>
  <c r="M254" i="8" s="1"/>
  <c r="T254" i="8"/>
  <c r="G423" i="15"/>
  <c r="G338" i="15"/>
  <c r="G344" i="15" s="1"/>
  <c r="O344" i="15"/>
  <c r="R344" i="15"/>
  <c r="V344" i="15"/>
  <c r="L339" i="15"/>
  <c r="M339" i="15" s="1"/>
  <c r="T410" i="11"/>
  <c r="L339" i="11"/>
  <c r="M339" i="11" s="1"/>
  <c r="L342" i="11"/>
  <c r="M342" i="11" s="1"/>
  <c r="E419" i="7"/>
  <c r="M332" i="19"/>
  <c r="U332" i="19"/>
  <c r="W332" i="19" s="1"/>
  <c r="T59" i="7"/>
  <c r="L410" i="15"/>
  <c r="M410" i="15" s="1"/>
  <c r="F331" i="15"/>
  <c r="L331" i="15" s="1"/>
  <c r="M331" i="15" s="1"/>
  <c r="T410" i="15"/>
  <c r="N331" i="15"/>
  <c r="T331" i="15" s="1"/>
  <c r="U331" i="15" s="1"/>
  <c r="T332" i="15"/>
  <c r="L337" i="15"/>
  <c r="M337" i="15" s="1"/>
  <c r="T337" i="15"/>
  <c r="F423" i="15"/>
  <c r="F338" i="15"/>
  <c r="H423" i="15"/>
  <c r="H338" i="15"/>
  <c r="H344" i="15" s="1"/>
  <c r="J423" i="15"/>
  <c r="J338" i="15"/>
  <c r="J344" i="15" s="1"/>
  <c r="T338" i="15"/>
  <c r="N344" i="15"/>
  <c r="Q344" i="15"/>
  <c r="S344" i="15"/>
  <c r="U342" i="15"/>
  <c r="T62" i="7"/>
  <c r="T331" i="13"/>
  <c r="L331" i="13"/>
  <c r="M331" i="13" s="1"/>
  <c r="T254" i="19"/>
  <c r="T332" i="18"/>
  <c r="L342" i="18"/>
  <c r="M342" i="18" s="1"/>
  <c r="T342" i="18"/>
  <c r="T331" i="18"/>
  <c r="N330" i="18"/>
  <c r="T330" i="18" s="1"/>
  <c r="F330" i="18"/>
  <c r="L330" i="18" s="1"/>
  <c r="L339" i="16"/>
  <c r="M339" i="16" s="1"/>
  <c r="L342" i="16"/>
  <c r="M342" i="16" s="1"/>
  <c r="T342" i="16"/>
  <c r="T342" i="13"/>
  <c r="U342" i="13" s="1"/>
  <c r="X342" i="13" s="1"/>
  <c r="T330" i="13"/>
  <c r="V330" i="7"/>
  <c r="F332" i="7"/>
  <c r="O332" i="7"/>
  <c r="Q332" i="7"/>
  <c r="S332" i="7"/>
  <c r="F339" i="7"/>
  <c r="N339" i="7"/>
  <c r="R339" i="7"/>
  <c r="F342" i="7"/>
  <c r="H342" i="7"/>
  <c r="J342" i="7"/>
  <c r="P342" i="7"/>
  <c r="R342" i="7"/>
  <c r="H339" i="7"/>
  <c r="L339" i="7" s="1"/>
  <c r="M339" i="7" s="1"/>
  <c r="F330" i="7"/>
  <c r="H330" i="7"/>
  <c r="J330" i="7"/>
  <c r="N330" i="7"/>
  <c r="P330" i="7"/>
  <c r="R330" i="7"/>
  <c r="G331" i="7"/>
  <c r="I331" i="7"/>
  <c r="K331" i="7"/>
  <c r="O331" i="7"/>
  <c r="Q331" i="7"/>
  <c r="S331" i="7"/>
  <c r="E340" i="7"/>
  <c r="N342" i="7"/>
  <c r="T359" i="7"/>
  <c r="L254" i="11"/>
  <c r="M254" i="11" s="1"/>
  <c r="T254" i="11"/>
  <c r="T254" i="15"/>
  <c r="P339" i="7"/>
  <c r="N332" i="7"/>
  <c r="L348" i="8"/>
  <c r="M348" i="8" s="1"/>
  <c r="T348" i="8"/>
  <c r="K332" i="9"/>
  <c r="T254" i="13"/>
  <c r="L421" i="15"/>
  <c r="M421" i="15" s="1"/>
  <c r="T421" i="15"/>
  <c r="T330" i="9"/>
  <c r="T421" i="11"/>
  <c r="T409" i="15"/>
  <c r="T417" i="15"/>
  <c r="I411" i="7"/>
  <c r="I332" i="7" s="1"/>
  <c r="L253" i="19"/>
  <c r="M253" i="19" s="1"/>
  <c r="T253" i="9"/>
  <c r="L253" i="8"/>
  <c r="M253" i="8" s="1"/>
  <c r="T347" i="8"/>
  <c r="L359" i="8"/>
  <c r="M359" i="8" s="1"/>
  <c r="L354" i="7"/>
  <c r="M354" i="7" s="1"/>
  <c r="F337" i="7"/>
  <c r="L337" i="7" s="1"/>
  <c r="M337" i="7" s="1"/>
  <c r="J361" i="7"/>
  <c r="J338" i="7"/>
  <c r="J344" i="7" s="1"/>
  <c r="L359" i="7"/>
  <c r="M359" i="7" s="1"/>
  <c r="L409" i="15"/>
  <c r="M409" i="15" s="1"/>
  <c r="L410" i="11"/>
  <c r="M410" i="11" s="1"/>
  <c r="L421" i="8"/>
  <c r="M421" i="8" s="1"/>
  <c r="L254" i="19"/>
  <c r="M254" i="19" s="1"/>
  <c r="F361" i="7"/>
  <c r="F338" i="7"/>
  <c r="L416" i="15"/>
  <c r="M416" i="15" s="1"/>
  <c r="I423" i="15"/>
  <c r="L421" i="11"/>
  <c r="M421" i="11" s="1"/>
  <c r="T410" i="8"/>
  <c r="L410" i="7"/>
  <c r="M410" i="7" s="1"/>
  <c r="T253" i="19"/>
  <c r="L253" i="18"/>
  <c r="M253" i="18" s="1"/>
  <c r="L253" i="9"/>
  <c r="M253" i="9" s="1"/>
  <c r="T253" i="8"/>
  <c r="L330" i="9"/>
  <c r="M330" i="9" s="1"/>
  <c r="L347" i="8"/>
  <c r="M347" i="8" s="1"/>
  <c r="L356" i="8"/>
  <c r="M356" i="8" s="1"/>
  <c r="T359" i="8"/>
  <c r="T354" i="7"/>
  <c r="N337" i="7"/>
  <c r="T337" i="7" s="1"/>
  <c r="G361" i="7"/>
  <c r="V423" i="15"/>
  <c r="L421" i="7"/>
  <c r="M421" i="7" s="1"/>
  <c r="L254" i="13"/>
  <c r="M254" i="13" s="1"/>
  <c r="L254" i="9"/>
  <c r="M254" i="9" s="1"/>
  <c r="L348" i="7"/>
  <c r="M348" i="7" s="1"/>
  <c r="I361" i="7"/>
  <c r="I338" i="7"/>
  <c r="I344" i="7" s="1"/>
  <c r="T416" i="15"/>
  <c r="K423" i="15"/>
  <c r="L410" i="8"/>
  <c r="M410" i="8" s="1"/>
  <c r="T410" i="7"/>
  <c r="U410" i="7" s="1"/>
  <c r="L254" i="7"/>
  <c r="M254" i="7" s="1"/>
  <c r="T254" i="7"/>
  <c r="L253" i="15"/>
  <c r="M253" i="15" s="1"/>
  <c r="T253" i="15"/>
  <c r="U253" i="15" s="1"/>
  <c r="L253" i="11"/>
  <c r="M253" i="11" s="1"/>
  <c r="R344" i="9"/>
  <c r="L253" i="7"/>
  <c r="M253" i="7" s="1"/>
  <c r="T253" i="7"/>
  <c r="L347" i="7"/>
  <c r="M347" i="7" s="1"/>
  <c r="T347" i="7"/>
  <c r="V361" i="7"/>
  <c r="V423" i="7"/>
  <c r="L409" i="7"/>
  <c r="M409" i="7" s="1"/>
  <c r="T409" i="7"/>
  <c r="L253" i="13"/>
  <c r="M253" i="13" s="1"/>
  <c r="T253" i="13"/>
  <c r="L409" i="11"/>
  <c r="M409" i="11" s="1"/>
  <c r="T409" i="11"/>
  <c r="L423" i="11"/>
  <c r="M423" i="11" s="1"/>
  <c r="V423" i="11"/>
  <c r="L418" i="11"/>
  <c r="M418" i="11" s="1"/>
  <c r="T253" i="11"/>
  <c r="J349" i="7"/>
  <c r="J332" i="7" s="1"/>
  <c r="U421" i="7"/>
  <c r="X421" i="7" s="1"/>
  <c r="L411" i="7"/>
  <c r="M411" i="7" s="1"/>
  <c r="T411" i="7"/>
  <c r="L418" i="7"/>
  <c r="M418" i="7" s="1"/>
  <c r="L423" i="8"/>
  <c r="M423" i="8" s="1"/>
  <c r="O344" i="8"/>
  <c r="S344" i="8"/>
  <c r="N344" i="8"/>
  <c r="P344" i="8"/>
  <c r="R344" i="8"/>
  <c r="L411" i="8"/>
  <c r="M411" i="8" s="1"/>
  <c r="T411" i="8"/>
  <c r="L418" i="8"/>
  <c r="M418" i="8" s="1"/>
  <c r="L411" i="11"/>
  <c r="M411" i="11" s="1"/>
  <c r="T411" i="11"/>
  <c r="U410" i="15"/>
  <c r="L411" i="15"/>
  <c r="M411" i="15" s="1"/>
  <c r="T411" i="15"/>
  <c r="L417" i="15"/>
  <c r="M417" i="15" s="1"/>
  <c r="L418" i="15"/>
  <c r="M418" i="15" s="1"/>
  <c r="P344" i="7"/>
  <c r="R344" i="7"/>
  <c r="V344" i="7"/>
  <c r="O344" i="7"/>
  <c r="Q344" i="7"/>
  <c r="S344" i="7"/>
  <c r="L342" i="7"/>
  <c r="M342" i="7" s="1"/>
  <c r="T349" i="7"/>
  <c r="L356" i="7"/>
  <c r="M356" i="7" s="1"/>
  <c r="L342" i="8"/>
  <c r="M342" i="8" s="1"/>
  <c r="T342" i="8"/>
  <c r="F344" i="8"/>
  <c r="V344" i="8"/>
  <c r="L349" i="8"/>
  <c r="M349" i="8" s="1"/>
  <c r="T349" i="8"/>
  <c r="L331" i="9"/>
  <c r="M331" i="9" s="1"/>
  <c r="T331" i="9"/>
  <c r="O344" i="9"/>
  <c r="Q344" i="9"/>
  <c r="S344" i="9"/>
  <c r="L342" i="9"/>
  <c r="M342" i="9" s="1"/>
  <c r="T342" i="9"/>
  <c r="L339" i="8"/>
  <c r="M339" i="8" s="1"/>
  <c r="T332" i="9"/>
  <c r="U254" i="15"/>
  <c r="L254" i="16"/>
  <c r="M254" i="16" s="1"/>
  <c r="T254" i="16"/>
  <c r="L253" i="16"/>
  <c r="M253" i="16" s="1"/>
  <c r="T253" i="16"/>
  <c r="T253" i="18"/>
  <c r="U254" i="19" l="1"/>
  <c r="U253" i="19"/>
  <c r="U253" i="18"/>
  <c r="U409" i="15"/>
  <c r="U416" i="15"/>
  <c r="W416" i="15" s="1"/>
  <c r="U254" i="11"/>
  <c r="L332" i="8"/>
  <c r="M332" i="8" s="1"/>
  <c r="T331" i="8"/>
  <c r="T330" i="8"/>
  <c r="U421" i="8"/>
  <c r="T332" i="8"/>
  <c r="L331" i="8"/>
  <c r="M331" i="8" s="1"/>
  <c r="L330" i="8"/>
  <c r="M330" i="8" s="1"/>
  <c r="T330" i="7"/>
  <c r="U421" i="11"/>
  <c r="U421" i="15"/>
  <c r="U410" i="8"/>
  <c r="T342" i="7"/>
  <c r="U342" i="7" s="1"/>
  <c r="L423" i="15"/>
  <c r="M423" i="15" s="1"/>
  <c r="U410" i="11"/>
  <c r="U332" i="15"/>
  <c r="W332" i="15" s="1"/>
  <c r="U330" i="15"/>
  <c r="U354" i="7"/>
  <c r="W354" i="7" s="1"/>
  <c r="U347" i="7"/>
  <c r="U253" i="13"/>
  <c r="U254" i="9"/>
  <c r="U253" i="11"/>
  <c r="U337" i="7"/>
  <c r="W337" i="7" s="1"/>
  <c r="U253" i="8"/>
  <c r="T332" i="7"/>
  <c r="U349" i="19"/>
  <c r="W349" i="19" s="1"/>
  <c r="U330" i="11"/>
  <c r="U254" i="8"/>
  <c r="U409" i="8"/>
  <c r="U342" i="18"/>
  <c r="X342" i="18" s="1"/>
  <c r="U332" i="11"/>
  <c r="W332" i="11" s="1"/>
  <c r="U359" i="8"/>
  <c r="X359" i="8" s="1"/>
  <c r="E342" i="23"/>
  <c r="U342" i="16"/>
  <c r="X342" i="16" s="1"/>
  <c r="I334" i="23"/>
  <c r="L334" i="23" s="1"/>
  <c r="M334" i="23" s="1"/>
  <c r="L351" i="23"/>
  <c r="U411" i="8"/>
  <c r="W411" i="8" s="1"/>
  <c r="U254" i="13"/>
  <c r="T344" i="15"/>
  <c r="F344" i="15"/>
  <c r="L344" i="15" s="1"/>
  <c r="M344" i="15" s="1"/>
  <c r="L338" i="15"/>
  <c r="M338" i="15" s="1"/>
  <c r="U337" i="15"/>
  <c r="U342" i="11"/>
  <c r="U253" i="9"/>
  <c r="U331" i="13"/>
  <c r="U253" i="7"/>
  <c r="M330" i="18"/>
  <c r="U330" i="18"/>
  <c r="U254" i="16"/>
  <c r="U330" i="9"/>
  <c r="U347" i="8"/>
  <c r="U359" i="7"/>
  <c r="T331" i="7"/>
  <c r="L331" i="7"/>
  <c r="M331" i="7" s="1"/>
  <c r="L330" i="7"/>
  <c r="M330" i="7" s="1"/>
  <c r="U409" i="7"/>
  <c r="U348" i="7"/>
  <c r="U254" i="7"/>
  <c r="U331" i="8"/>
  <c r="U348" i="8"/>
  <c r="U342" i="9"/>
  <c r="X342" i="9" s="1"/>
  <c r="X421" i="13"/>
  <c r="U342" i="8"/>
  <c r="X342" i="8" s="1"/>
  <c r="U332" i="8"/>
  <c r="W332" i="8" s="1"/>
  <c r="U331" i="9"/>
  <c r="L349" i="7"/>
  <c r="M349" i="7" s="1"/>
  <c r="X421" i="9"/>
  <c r="U411" i="15"/>
  <c r="W411" i="15" s="1"/>
  <c r="U409" i="11"/>
  <c r="F344" i="7"/>
  <c r="L332" i="7"/>
  <c r="M332" i="7" s="1"/>
  <c r="U411" i="7"/>
  <c r="X421" i="8"/>
  <c r="X421" i="11"/>
  <c r="U411" i="11"/>
  <c r="X421" i="15"/>
  <c r="U417" i="15"/>
  <c r="U349" i="8"/>
  <c r="X359" i="9"/>
  <c r="U253" i="16"/>
  <c r="U330" i="8" l="1"/>
  <c r="X359" i="7"/>
  <c r="U338" i="15"/>
  <c r="W338" i="15" s="1"/>
  <c r="X342" i="7"/>
  <c r="M351" i="23"/>
  <c r="U351" i="23"/>
  <c r="X356" i="23" s="1"/>
  <c r="X342" i="11"/>
  <c r="W337" i="15"/>
  <c r="X342" i="15"/>
  <c r="U344" i="15"/>
  <c r="W344" i="15" s="1"/>
  <c r="U330" i="7"/>
  <c r="U331" i="7"/>
  <c r="U332" i="7"/>
  <c r="W332" i="7" s="1"/>
  <c r="U349" i="7"/>
  <c r="W349" i="7" s="1"/>
  <c r="W411" i="7"/>
  <c r="W411" i="11"/>
  <c r="W417" i="15"/>
  <c r="W349" i="8"/>
  <c r="W351" i="23" l="1"/>
  <c r="L95" i="9"/>
  <c r="L90" i="9"/>
  <c r="S159" i="9"/>
  <c r="S159" i="23" s="1"/>
  <c r="R159" i="9"/>
  <c r="R159" i="23" s="1"/>
  <c r="Q159" i="9"/>
  <c r="Q159" i="23" s="1"/>
  <c r="O159" i="9"/>
  <c r="O159" i="23" s="1"/>
  <c r="N159" i="9"/>
  <c r="N159" i="23" s="1"/>
  <c r="K159" i="9"/>
  <c r="K159" i="23" s="1"/>
  <c r="J159" i="9"/>
  <c r="J159" i="23" s="1"/>
  <c r="I159" i="9"/>
  <c r="I159" i="23" s="1"/>
  <c r="G159" i="9"/>
  <c r="G159" i="23" s="1"/>
  <c r="F159" i="9"/>
  <c r="F159" i="23" s="1"/>
  <c r="S84" i="13"/>
  <c r="R84" i="13"/>
  <c r="N84" i="13"/>
  <c r="K84" i="13"/>
  <c r="I84" i="13"/>
  <c r="H84" i="13"/>
  <c r="G84" i="13"/>
  <c r="F84" i="13"/>
  <c r="T159" i="23" l="1"/>
  <c r="L90" i="13"/>
  <c r="M90" i="13" s="1"/>
  <c r="J84" i="13"/>
  <c r="S84" i="8"/>
  <c r="R84" i="8"/>
  <c r="P84" i="8"/>
  <c r="O84" i="8"/>
  <c r="N84" i="8"/>
  <c r="K84" i="8"/>
  <c r="J84" i="8"/>
  <c r="I84" i="8"/>
  <c r="H84" i="8"/>
  <c r="G84" i="8"/>
  <c r="F84" i="8"/>
  <c r="M58" i="13" l="1"/>
  <c r="L90" i="8"/>
  <c r="H60" i="13"/>
  <c r="S84" i="15"/>
  <c r="R84" i="15"/>
  <c r="Q84" i="15"/>
  <c r="O84" i="15"/>
  <c r="N84" i="15"/>
  <c r="K84" i="15"/>
  <c r="J84" i="15"/>
  <c r="I84" i="15"/>
  <c r="H84" i="15"/>
  <c r="G84" i="15"/>
  <c r="F84" i="15"/>
  <c r="H62" i="13" l="1"/>
  <c r="H59" i="13"/>
  <c r="L60" i="13"/>
  <c r="L58" i="8"/>
  <c r="I332" i="18"/>
  <c r="L332" i="18" s="1"/>
  <c r="S114" i="9"/>
  <c r="R114" i="9"/>
  <c r="R114" i="23" s="1"/>
  <c r="Q114" i="9"/>
  <c r="Q114" i="23" s="1"/>
  <c r="O114" i="9"/>
  <c r="O114" i="23" s="1"/>
  <c r="N114" i="9"/>
  <c r="K114" i="9"/>
  <c r="J114" i="9"/>
  <c r="G114" i="9"/>
  <c r="F114" i="9"/>
  <c r="M58" i="8" l="1"/>
  <c r="U58" i="8"/>
  <c r="M60" i="13"/>
  <c r="M59" i="13" s="1"/>
  <c r="L59" i="13"/>
  <c r="L62" i="13"/>
  <c r="M62" i="13" s="1"/>
  <c r="M332" i="18"/>
  <c r="U332" i="18"/>
  <c r="W332" i="18" s="1"/>
  <c r="J339" i="18"/>
  <c r="L110" i="9"/>
  <c r="L135" i="9"/>
  <c r="H159" i="9"/>
  <c r="J332" i="9"/>
  <c r="L332" i="9" s="1"/>
  <c r="L155" i="9"/>
  <c r="I114" i="9"/>
  <c r="H114" i="9"/>
  <c r="H159" i="23" l="1"/>
  <c r="L159" i="23" s="1"/>
  <c r="W58" i="8"/>
  <c r="L339" i="18"/>
  <c r="H66" i="9"/>
  <c r="H71" i="9"/>
  <c r="H72" i="9" s="1"/>
  <c r="I71" i="9"/>
  <c r="I66" i="9"/>
  <c r="M332" i="9"/>
  <c r="U332" i="9"/>
  <c r="S84" i="9"/>
  <c r="R84" i="9"/>
  <c r="Q84" i="9"/>
  <c r="O84" i="9"/>
  <c r="N84" i="9"/>
  <c r="K84" i="9"/>
  <c r="J84" i="9"/>
  <c r="I84" i="9"/>
  <c r="H84" i="9"/>
  <c r="G84" i="9"/>
  <c r="F84" i="9"/>
  <c r="M159" i="23" l="1"/>
  <c r="U159" i="23"/>
  <c r="M339" i="18"/>
  <c r="I72" i="9"/>
  <c r="J72" i="9" s="1"/>
  <c r="W332" i="9"/>
  <c r="I122" i="22"/>
  <c r="I122" i="23" s="1"/>
  <c r="I121" i="23" s="1"/>
  <c r="J122" i="22"/>
  <c r="J122" i="23" s="1"/>
  <c r="J121" i="23" s="1"/>
  <c r="K122" i="22"/>
  <c r="K122" i="23" s="1"/>
  <c r="K121" i="23" s="1"/>
  <c r="K127" i="22"/>
  <c r="K127" i="23" s="1"/>
  <c r="K126" i="23" s="1"/>
  <c r="J127" i="22"/>
  <c r="J127" i="23" s="1"/>
  <c r="J126" i="23" s="1"/>
  <c r="S114" i="22"/>
  <c r="S114" i="23" s="1"/>
  <c r="N114" i="22"/>
  <c r="N114" i="23" s="1"/>
  <c r="I114" i="22"/>
  <c r="I114" i="23" s="1"/>
  <c r="H114" i="22"/>
  <c r="H114" i="23" s="1"/>
  <c r="S84" i="22"/>
  <c r="K84" i="22"/>
  <c r="J84" i="22"/>
  <c r="I84" i="22"/>
  <c r="H84" i="22"/>
  <c r="G84" i="22"/>
  <c r="F84" i="22"/>
  <c r="S84" i="11"/>
  <c r="R84" i="11"/>
  <c r="Q84" i="11"/>
  <c r="O84" i="11"/>
  <c r="O84" i="23" s="1"/>
  <c r="N84" i="11"/>
  <c r="J84" i="11"/>
  <c r="I84" i="11"/>
  <c r="H84" i="11"/>
  <c r="G84" i="11"/>
  <c r="F84" i="11"/>
  <c r="X159" i="23" l="1"/>
  <c r="J131" i="23"/>
  <c r="J67" i="22"/>
  <c r="I61" i="22"/>
  <c r="I62" i="22" s="1"/>
  <c r="K131" i="23"/>
  <c r="K67" i="22"/>
  <c r="J61" i="23"/>
  <c r="J44" i="23" s="1"/>
  <c r="K129" i="22"/>
  <c r="K129" i="23" s="1"/>
  <c r="J61" i="22"/>
  <c r="J62" i="22" s="1"/>
  <c r="J44" i="22"/>
  <c r="J129" i="22"/>
  <c r="J129" i="23" s="1"/>
  <c r="K44" i="22"/>
  <c r="K61" i="22"/>
  <c r="K62" i="22" s="1"/>
  <c r="I44" i="22"/>
  <c r="K114" i="22"/>
  <c r="K114" i="23" s="1"/>
  <c r="J114" i="22"/>
  <c r="J114" i="23" s="1"/>
  <c r="J27" i="23" l="1"/>
  <c r="I61" i="23"/>
  <c r="I44" i="23" s="1"/>
  <c r="J71" i="22"/>
  <c r="J66" i="22"/>
  <c r="K71" i="22"/>
  <c r="K66" i="22"/>
  <c r="H59" i="22"/>
  <c r="L58" i="22"/>
  <c r="M58" i="22" s="1"/>
  <c r="I27" i="23" l="1"/>
  <c r="L60" i="22"/>
  <c r="L59" i="22" l="1"/>
  <c r="M60" i="22"/>
  <c r="M59" i="22" s="1"/>
  <c r="L58" i="11"/>
  <c r="S84" i="16"/>
  <c r="S84" i="23" s="1"/>
  <c r="R84" i="16"/>
  <c r="R84" i="23" s="1"/>
  <c r="N84" i="16"/>
  <c r="K84" i="16"/>
  <c r="I84" i="16"/>
  <c r="H84" i="16"/>
  <c r="F84" i="16"/>
  <c r="F84" i="23" s="1"/>
  <c r="M58" i="11" l="1"/>
  <c r="U58" i="11"/>
  <c r="H559" i="16"/>
  <c r="I559" i="16"/>
  <c r="J559" i="16"/>
  <c r="K559" i="16"/>
  <c r="H554" i="16"/>
  <c r="I554" i="16"/>
  <c r="G552" i="16"/>
  <c r="H552" i="16"/>
  <c r="I552" i="16"/>
  <c r="J552" i="16"/>
  <c r="H556" i="16" l="1"/>
  <c r="K560" i="16"/>
  <c r="G58" i="23"/>
  <c r="G41" i="23" s="1"/>
  <c r="G24" i="23" s="1"/>
  <c r="I553" i="16"/>
  <c r="J560" i="16"/>
  <c r="I272" i="23"/>
  <c r="L289" i="23"/>
  <c r="W58" i="11"/>
  <c r="I349" i="16"/>
  <c r="H553" i="16"/>
  <c r="J554" i="16"/>
  <c r="J553" i="16" l="1"/>
  <c r="J556" i="16"/>
  <c r="M289" i="23"/>
  <c r="U289" i="23"/>
  <c r="I255" i="23"/>
  <c r="L255" i="23" s="1"/>
  <c r="M255" i="23" s="1"/>
  <c r="L272" i="23"/>
  <c r="L58" i="16"/>
  <c r="M58" i="16" s="1"/>
  <c r="L349" i="16"/>
  <c r="I332" i="16"/>
  <c r="G60" i="16"/>
  <c r="H60" i="16"/>
  <c r="K129" i="7"/>
  <c r="J129" i="7"/>
  <c r="I129" i="7"/>
  <c r="H129" i="7"/>
  <c r="G129" i="7"/>
  <c r="F129" i="7"/>
  <c r="S129" i="7"/>
  <c r="R129" i="7"/>
  <c r="Q129" i="7"/>
  <c r="P129" i="7"/>
  <c r="O129" i="7"/>
  <c r="N129" i="7"/>
  <c r="S114" i="7"/>
  <c r="R114" i="7"/>
  <c r="Q114" i="7"/>
  <c r="P114" i="7"/>
  <c r="O114" i="7"/>
  <c r="N114" i="7"/>
  <c r="K114" i="7"/>
  <c r="J114" i="7"/>
  <c r="I114" i="7"/>
  <c r="H114" i="7"/>
  <c r="G114" i="7"/>
  <c r="F114" i="7"/>
  <c r="T114" i="23" l="1"/>
  <c r="M272" i="23"/>
  <c r="U272" i="23"/>
  <c r="W289" i="23"/>
  <c r="X294" i="23"/>
  <c r="H62" i="16"/>
  <c r="H59" i="16"/>
  <c r="G62" i="16"/>
  <c r="L60" i="16"/>
  <c r="G59" i="16"/>
  <c r="M349" i="16"/>
  <c r="U349" i="16"/>
  <c r="L62" i="16" l="1"/>
  <c r="M62" i="16" s="1"/>
  <c r="W272" i="23"/>
  <c r="H58" i="23"/>
  <c r="H41" i="23" s="1"/>
  <c r="H24" i="23" s="1"/>
  <c r="M60" i="16"/>
  <c r="M59" i="16" s="1"/>
  <c r="L59" i="16"/>
  <c r="W349" i="16"/>
  <c r="X356" i="16"/>
  <c r="S307" i="13"/>
  <c r="S277" i="15"/>
  <c r="V254" i="22"/>
  <c r="S254" i="22"/>
  <c r="N254" i="22"/>
  <c r="K254" i="22"/>
  <c r="J254" i="22"/>
  <c r="I254" i="22"/>
  <c r="H254" i="22"/>
  <c r="G254" i="22"/>
  <c r="F254" i="22"/>
  <c r="V253" i="22"/>
  <c r="S253" i="22"/>
  <c r="N253" i="22"/>
  <c r="K253" i="22"/>
  <c r="J253" i="22"/>
  <c r="I253" i="22"/>
  <c r="H253" i="22"/>
  <c r="G253" i="22"/>
  <c r="F253" i="22"/>
  <c r="H355" i="7"/>
  <c r="N355" i="7"/>
  <c r="N338" i="7" s="1"/>
  <c r="T338" i="7" s="1"/>
  <c r="K423" i="7"/>
  <c r="K355" i="7"/>
  <c r="K338" i="7" s="1"/>
  <c r="I65" i="23" l="1"/>
  <c r="I48" i="23" s="1"/>
  <c r="I31" i="23" s="1"/>
  <c r="Q271" i="23"/>
  <c r="Q254" i="23" s="1"/>
  <c r="N271" i="23"/>
  <c r="L90" i="23"/>
  <c r="M90" i="23" s="1"/>
  <c r="L58" i="7"/>
  <c r="I67" i="7"/>
  <c r="L65" i="7"/>
  <c r="M65" i="7" s="1"/>
  <c r="H338" i="13"/>
  <c r="H344" i="13" s="1"/>
  <c r="L253" i="22"/>
  <c r="M253" i="22" s="1"/>
  <c r="T253" i="22"/>
  <c r="H338" i="9"/>
  <c r="H417" i="7"/>
  <c r="H338" i="7" s="1"/>
  <c r="H344" i="7" s="1"/>
  <c r="K338" i="9"/>
  <c r="N338" i="9"/>
  <c r="H361" i="7"/>
  <c r="L355" i="7"/>
  <c r="M355" i="7" s="1"/>
  <c r="K361" i="7"/>
  <c r="K344" i="7"/>
  <c r="T355" i="7"/>
  <c r="L254" i="22"/>
  <c r="M254" i="22" s="1"/>
  <c r="T254" i="22"/>
  <c r="S453" i="16"/>
  <c r="R453" i="16"/>
  <c r="N453" i="16"/>
  <c r="K453" i="16"/>
  <c r="J453" i="16"/>
  <c r="I453" i="16"/>
  <c r="H453" i="16"/>
  <c r="G453" i="16"/>
  <c r="F453" i="16"/>
  <c r="V452" i="16"/>
  <c r="V451" i="16"/>
  <c r="T451" i="16"/>
  <c r="L451" i="16"/>
  <c r="M451" i="16" s="1"/>
  <c r="R450" i="16"/>
  <c r="N450" i="16"/>
  <c r="N420" i="16" s="1"/>
  <c r="K450" i="16"/>
  <c r="J450" i="16"/>
  <c r="J420" i="16" s="1"/>
  <c r="I450" i="16"/>
  <c r="I420" i="16" s="1"/>
  <c r="H450" i="16"/>
  <c r="H420" i="16" s="1"/>
  <c r="G450" i="16"/>
  <c r="G420" i="16" s="1"/>
  <c r="F450" i="16"/>
  <c r="F420" i="16" s="1"/>
  <c r="E449" i="16"/>
  <c r="V448" i="16"/>
  <c r="S450" i="16"/>
  <c r="L448" i="16"/>
  <c r="M448" i="16" s="1"/>
  <c r="T447" i="16"/>
  <c r="L447" i="16"/>
  <c r="M447" i="16" s="1"/>
  <c r="T446" i="16"/>
  <c r="L446" i="16"/>
  <c r="M446" i="16" s="1"/>
  <c r="X445" i="16"/>
  <c r="V445" i="16"/>
  <c r="V414" i="16" s="1"/>
  <c r="S445" i="16"/>
  <c r="R445" i="16"/>
  <c r="N445" i="16"/>
  <c r="K445" i="16"/>
  <c r="J445" i="16"/>
  <c r="I445" i="16"/>
  <c r="H445" i="16"/>
  <c r="G445" i="16"/>
  <c r="F445" i="16"/>
  <c r="V444" i="16"/>
  <c r="T443" i="16"/>
  <c r="L443" i="16"/>
  <c r="M443" i="16" s="1"/>
  <c r="T442" i="16"/>
  <c r="L442" i="16"/>
  <c r="M442" i="16" s="1"/>
  <c r="T441" i="16"/>
  <c r="L441" i="16"/>
  <c r="M441" i="16" s="1"/>
  <c r="S391" i="16"/>
  <c r="R391" i="16"/>
  <c r="N391" i="16"/>
  <c r="K391" i="16"/>
  <c r="J391" i="16"/>
  <c r="I391" i="16"/>
  <c r="H391" i="16"/>
  <c r="G391" i="16"/>
  <c r="F391" i="16"/>
  <c r="V390" i="16"/>
  <c r="V389" i="16"/>
  <c r="T389" i="16"/>
  <c r="L389" i="16"/>
  <c r="M389" i="16" s="1"/>
  <c r="R388" i="16"/>
  <c r="N388" i="16"/>
  <c r="K388" i="16"/>
  <c r="J388" i="16"/>
  <c r="I388" i="16"/>
  <c r="H388" i="16"/>
  <c r="G388" i="16"/>
  <c r="F388" i="16"/>
  <c r="E387" i="16"/>
  <c r="V386" i="16"/>
  <c r="S388" i="16"/>
  <c r="L386" i="16"/>
  <c r="M386" i="16" s="1"/>
  <c r="T385" i="16"/>
  <c r="L385" i="16"/>
  <c r="M385" i="16" s="1"/>
  <c r="T384" i="16"/>
  <c r="L384" i="16"/>
  <c r="M384" i="16" s="1"/>
  <c r="X383" i="16"/>
  <c r="V383" i="16"/>
  <c r="V352" i="16" s="1"/>
  <c r="S383" i="16"/>
  <c r="R383" i="16"/>
  <c r="N383" i="16"/>
  <c r="K383" i="16"/>
  <c r="J383" i="16"/>
  <c r="I383" i="16"/>
  <c r="H383" i="16"/>
  <c r="G383" i="16"/>
  <c r="F383" i="16"/>
  <c r="V382" i="16"/>
  <c r="T381" i="16"/>
  <c r="L381" i="16"/>
  <c r="M381" i="16" s="1"/>
  <c r="T380" i="16"/>
  <c r="L380" i="16"/>
  <c r="M380" i="16" s="1"/>
  <c r="T379" i="16"/>
  <c r="L379" i="16"/>
  <c r="M379" i="16" s="1"/>
  <c r="S327" i="16"/>
  <c r="R327" i="16"/>
  <c r="N327" i="16"/>
  <c r="K327" i="16"/>
  <c r="J327" i="16"/>
  <c r="I327" i="16"/>
  <c r="H327" i="16"/>
  <c r="G327" i="16"/>
  <c r="F327" i="16"/>
  <c r="V318" i="16"/>
  <c r="T317" i="16"/>
  <c r="L317" i="16"/>
  <c r="M317" i="16" s="1"/>
  <c r="T316" i="16"/>
  <c r="L316" i="16"/>
  <c r="M316" i="16" s="1"/>
  <c r="T315" i="16"/>
  <c r="L315" i="16"/>
  <c r="M315" i="16" s="1"/>
  <c r="S297" i="16"/>
  <c r="R297" i="16"/>
  <c r="N297" i="16"/>
  <c r="K297" i="16"/>
  <c r="J297" i="16"/>
  <c r="I297" i="16"/>
  <c r="H297" i="16"/>
  <c r="G297" i="16"/>
  <c r="F297" i="16"/>
  <c r="V296" i="16"/>
  <c r="V295" i="16"/>
  <c r="T295" i="16"/>
  <c r="L295" i="16"/>
  <c r="R294" i="16"/>
  <c r="N294" i="16"/>
  <c r="K294" i="16"/>
  <c r="J294" i="16"/>
  <c r="I294" i="16"/>
  <c r="H294" i="16"/>
  <c r="G294" i="16"/>
  <c r="F294" i="16"/>
  <c r="E293" i="16"/>
  <c r="V292" i="16"/>
  <c r="S292" i="16"/>
  <c r="L292" i="16"/>
  <c r="M292" i="16" s="1"/>
  <c r="T291" i="16"/>
  <c r="L291" i="16"/>
  <c r="M291" i="16" s="1"/>
  <c r="T290" i="16"/>
  <c r="L290" i="16"/>
  <c r="M290" i="16" s="1"/>
  <c r="X289" i="16"/>
  <c r="V289" i="16"/>
  <c r="V258" i="16" s="1"/>
  <c r="S289" i="16"/>
  <c r="S258" i="16" s="1"/>
  <c r="S27" i="16" s="1"/>
  <c r="R289" i="16"/>
  <c r="R258" i="16" s="1"/>
  <c r="R27" i="16" s="1"/>
  <c r="N289" i="16"/>
  <c r="N258" i="16" s="1"/>
  <c r="N27" i="16" s="1"/>
  <c r="K289" i="16"/>
  <c r="K258" i="16" s="1"/>
  <c r="K27" i="16" s="1"/>
  <c r="J289" i="16"/>
  <c r="J258" i="16" s="1"/>
  <c r="J27" i="16" s="1"/>
  <c r="I289" i="16"/>
  <c r="I258" i="16" s="1"/>
  <c r="I27" i="16" s="1"/>
  <c r="H289" i="16"/>
  <c r="H258" i="16" s="1"/>
  <c r="H27" i="16" s="1"/>
  <c r="G289" i="16"/>
  <c r="G258" i="16" s="1"/>
  <c r="G27" i="16" s="1"/>
  <c r="F289" i="16"/>
  <c r="F258" i="16" s="1"/>
  <c r="F27" i="16" s="1"/>
  <c r="T287" i="16"/>
  <c r="L287" i="16"/>
  <c r="M287" i="16" s="1"/>
  <c r="T286" i="16"/>
  <c r="L286" i="16"/>
  <c r="M286" i="16" s="1"/>
  <c r="T285" i="16"/>
  <c r="L285" i="16"/>
  <c r="M285" i="16" s="1"/>
  <c r="S160" i="16"/>
  <c r="S161" i="16" s="1"/>
  <c r="R160" i="16"/>
  <c r="R161" i="16" s="1"/>
  <c r="N160" i="16"/>
  <c r="N161" i="16" s="1"/>
  <c r="K160" i="16"/>
  <c r="K161" i="16" s="1"/>
  <c r="J160" i="16"/>
  <c r="J161" i="16" s="1"/>
  <c r="I160" i="16"/>
  <c r="I161" i="16" s="1"/>
  <c r="H160" i="16"/>
  <c r="H161" i="16" s="1"/>
  <c r="G160" i="16"/>
  <c r="G161" i="16" s="1"/>
  <c r="F160" i="16"/>
  <c r="F161" i="16" s="1"/>
  <c r="F162" i="16" s="1"/>
  <c r="T149" i="16"/>
  <c r="L149" i="16"/>
  <c r="M149" i="16" s="1"/>
  <c r="T148" i="16"/>
  <c r="L148" i="16"/>
  <c r="M148" i="16" s="1"/>
  <c r="S130" i="16"/>
  <c r="S131" i="16" s="1"/>
  <c r="R130" i="16"/>
  <c r="R131" i="16" s="1"/>
  <c r="N130" i="16"/>
  <c r="N131" i="16" s="1"/>
  <c r="K130" i="16"/>
  <c r="K131" i="16" s="1"/>
  <c r="J130" i="16"/>
  <c r="J131" i="16" s="1"/>
  <c r="I130" i="16"/>
  <c r="I131" i="16" s="1"/>
  <c r="H130" i="16"/>
  <c r="H131" i="16" s="1"/>
  <c r="G130" i="16"/>
  <c r="G131" i="16" s="1"/>
  <c r="F130" i="16"/>
  <c r="F131" i="16" s="1"/>
  <c r="F132" i="16" s="1"/>
  <c r="V129" i="16"/>
  <c r="T129" i="16"/>
  <c r="L129" i="16"/>
  <c r="M129" i="16" s="1"/>
  <c r="V128" i="16"/>
  <c r="T128" i="16"/>
  <c r="L128" i="16"/>
  <c r="M128" i="16" s="1"/>
  <c r="T127" i="16"/>
  <c r="L127" i="16"/>
  <c r="M127" i="16" s="1"/>
  <c r="E126" i="16"/>
  <c r="V125" i="16"/>
  <c r="T125" i="16"/>
  <c r="L125" i="16"/>
  <c r="L126" i="16" s="1"/>
  <c r="T124" i="16"/>
  <c r="L124" i="16"/>
  <c r="M124" i="16" s="1"/>
  <c r="T123" i="16"/>
  <c r="L123" i="16"/>
  <c r="M123" i="16" s="1"/>
  <c r="V122" i="16"/>
  <c r="V127" i="16" s="1"/>
  <c r="T122" i="16"/>
  <c r="L122" i="16"/>
  <c r="M122" i="16" s="1"/>
  <c r="T120" i="16"/>
  <c r="L120" i="16"/>
  <c r="T119" i="16"/>
  <c r="U119" i="16" s="1"/>
  <c r="L119" i="16"/>
  <c r="M119" i="16" s="1"/>
  <c r="T118" i="16"/>
  <c r="L118" i="16"/>
  <c r="M118" i="16" s="1"/>
  <c r="S115" i="16"/>
  <c r="S116" i="16" s="1"/>
  <c r="R115" i="16"/>
  <c r="R116" i="16" s="1"/>
  <c r="N115" i="16"/>
  <c r="N116" i="16" s="1"/>
  <c r="K115" i="16"/>
  <c r="K116" i="16" s="1"/>
  <c r="J115" i="16"/>
  <c r="J116" i="16" s="1"/>
  <c r="I115" i="16"/>
  <c r="I116" i="16" s="1"/>
  <c r="H115" i="16"/>
  <c r="H116" i="16" s="1"/>
  <c r="G115" i="16"/>
  <c r="G116" i="16" s="1"/>
  <c r="F115" i="16"/>
  <c r="F116" i="16" s="1"/>
  <c r="F117" i="16" s="1"/>
  <c r="T104" i="16"/>
  <c r="L104" i="16"/>
  <c r="M104" i="16" s="1"/>
  <c r="T103" i="16"/>
  <c r="L103" i="16"/>
  <c r="M103" i="16" s="1"/>
  <c r="S85" i="16"/>
  <c r="S86" i="16" s="1"/>
  <c r="R85" i="16"/>
  <c r="R86" i="16" s="1"/>
  <c r="N85" i="16"/>
  <c r="N86" i="16" s="1"/>
  <c r="K85" i="16"/>
  <c r="K86" i="16" s="1"/>
  <c r="J85" i="16"/>
  <c r="J86" i="16" s="1"/>
  <c r="I85" i="16"/>
  <c r="I86" i="16" s="1"/>
  <c r="H85" i="16"/>
  <c r="H86" i="16" s="1"/>
  <c r="G85" i="16"/>
  <c r="F85" i="16"/>
  <c r="F86" i="16" s="1"/>
  <c r="F87" i="16" s="1"/>
  <c r="V84" i="16"/>
  <c r="T84" i="16"/>
  <c r="T83" i="16"/>
  <c r="L83" i="16"/>
  <c r="M83" i="16" s="1"/>
  <c r="T82" i="16"/>
  <c r="E81" i="16"/>
  <c r="V80" i="16"/>
  <c r="T80" i="16"/>
  <c r="L80" i="16"/>
  <c r="M80" i="16" s="1"/>
  <c r="T79" i="16"/>
  <c r="L79" i="16"/>
  <c r="M79" i="16" s="1"/>
  <c r="T78" i="16"/>
  <c r="L78" i="16"/>
  <c r="M78" i="16" s="1"/>
  <c r="V77" i="16"/>
  <c r="T77" i="16"/>
  <c r="L77" i="16"/>
  <c r="M77" i="16" s="1"/>
  <c r="T75" i="16"/>
  <c r="T76" i="16" s="1"/>
  <c r="L75" i="16"/>
  <c r="T74" i="16"/>
  <c r="L74" i="16"/>
  <c r="M74" i="16" s="1"/>
  <c r="T73" i="16"/>
  <c r="L73" i="16"/>
  <c r="M73" i="16" s="1"/>
  <c r="S716" i="16"/>
  <c r="R716" i="16"/>
  <c r="N716" i="16"/>
  <c r="K716" i="16"/>
  <c r="J716" i="16"/>
  <c r="I716" i="16"/>
  <c r="H716" i="16"/>
  <c r="G716" i="16"/>
  <c r="T714" i="16"/>
  <c r="L714" i="16"/>
  <c r="M714" i="16" s="1"/>
  <c r="E712" i="16"/>
  <c r="T711" i="16"/>
  <c r="L711" i="16"/>
  <c r="M711" i="16" s="1"/>
  <c r="T710" i="16"/>
  <c r="L710" i="16"/>
  <c r="M710" i="16" s="1"/>
  <c r="T709" i="16"/>
  <c r="L709" i="16"/>
  <c r="M709" i="16" s="1"/>
  <c r="T706" i="16"/>
  <c r="L706" i="16"/>
  <c r="M706" i="16" s="1"/>
  <c r="T705" i="16"/>
  <c r="L705" i="16"/>
  <c r="M705" i="16" s="1"/>
  <c r="T704" i="16"/>
  <c r="L704" i="16"/>
  <c r="M704" i="16" s="1"/>
  <c r="S686" i="16"/>
  <c r="R686" i="16"/>
  <c r="N686" i="16"/>
  <c r="K686" i="16"/>
  <c r="J686" i="16"/>
  <c r="I686" i="16"/>
  <c r="H686" i="16"/>
  <c r="G686" i="16"/>
  <c r="F686" i="16"/>
  <c r="V685" i="16"/>
  <c r="V684" i="16"/>
  <c r="T684" i="16"/>
  <c r="L684" i="16"/>
  <c r="M684" i="16" s="1"/>
  <c r="S683" i="16"/>
  <c r="R683" i="16"/>
  <c r="N683" i="16"/>
  <c r="K683" i="16"/>
  <c r="J683" i="16"/>
  <c r="I683" i="16"/>
  <c r="H683" i="16"/>
  <c r="G683" i="16"/>
  <c r="F683" i="16"/>
  <c r="F687" i="16" s="1"/>
  <c r="F688" i="16" s="1"/>
  <c r="E682" i="16"/>
  <c r="V681" i="16"/>
  <c r="T681" i="16"/>
  <c r="L681" i="16"/>
  <c r="M681" i="16" s="1"/>
  <c r="T680" i="16"/>
  <c r="L680" i="16"/>
  <c r="M680" i="16" s="1"/>
  <c r="T679" i="16"/>
  <c r="L679" i="16"/>
  <c r="M679" i="16" s="1"/>
  <c r="V678" i="16"/>
  <c r="V683" i="16" s="1"/>
  <c r="S678" i="16"/>
  <c r="R678" i="16"/>
  <c r="N678" i="16"/>
  <c r="K678" i="16"/>
  <c r="J678" i="16"/>
  <c r="I678" i="16"/>
  <c r="H678" i="16"/>
  <c r="G678" i="16"/>
  <c r="F678" i="16"/>
  <c r="T676" i="16"/>
  <c r="L676" i="16"/>
  <c r="T675" i="16"/>
  <c r="L675" i="16"/>
  <c r="M675" i="16" s="1"/>
  <c r="T674" i="16"/>
  <c r="L674" i="16"/>
  <c r="M674" i="16" s="1"/>
  <c r="S656" i="16"/>
  <c r="R656" i="16"/>
  <c r="N656" i="16"/>
  <c r="K656" i="16"/>
  <c r="J656" i="16"/>
  <c r="I656" i="16"/>
  <c r="I641" i="16" s="1"/>
  <c r="H656" i="16"/>
  <c r="G656" i="16"/>
  <c r="G641" i="16" s="1"/>
  <c r="F656" i="16"/>
  <c r="V655" i="16"/>
  <c r="V640" i="16" s="1"/>
  <c r="V654" i="16"/>
  <c r="V639" i="16" s="1"/>
  <c r="T654" i="16"/>
  <c r="L654" i="16"/>
  <c r="M654" i="16" s="1"/>
  <c r="S653" i="16"/>
  <c r="S638" i="16" s="1"/>
  <c r="R653" i="16"/>
  <c r="N653" i="16"/>
  <c r="N657" i="16" s="1"/>
  <c r="K653" i="16"/>
  <c r="J653" i="16"/>
  <c r="J657" i="16" s="1"/>
  <c r="I653" i="16"/>
  <c r="I638" i="16" s="1"/>
  <c r="I544" i="16" s="1"/>
  <c r="H653" i="16"/>
  <c r="H657" i="16" s="1"/>
  <c r="G653" i="16"/>
  <c r="F653" i="16"/>
  <c r="F657" i="16" s="1"/>
  <c r="E652" i="16"/>
  <c r="V651" i="16"/>
  <c r="V636" i="16" s="1"/>
  <c r="T651" i="16"/>
  <c r="L651" i="16"/>
  <c r="M651" i="16" s="1"/>
  <c r="T650" i="16"/>
  <c r="L650" i="16"/>
  <c r="M650" i="16" s="1"/>
  <c r="T649" i="16"/>
  <c r="L649" i="16"/>
  <c r="M649" i="16" s="1"/>
  <c r="V648" i="16"/>
  <c r="V653" i="16" s="1"/>
  <c r="S648" i="16"/>
  <c r="S631" i="16" s="1"/>
  <c r="S633" i="16" s="1"/>
  <c r="R648" i="16"/>
  <c r="R631" i="16" s="1"/>
  <c r="N648" i="16"/>
  <c r="N631" i="16" s="1"/>
  <c r="K648" i="16"/>
  <c r="K631" i="16" s="1"/>
  <c r="J648" i="16"/>
  <c r="J631" i="16" s="1"/>
  <c r="I648" i="16"/>
  <c r="I631" i="16" s="1"/>
  <c r="H648" i="16"/>
  <c r="H631" i="16" s="1"/>
  <c r="G648" i="16"/>
  <c r="G631" i="16" s="1"/>
  <c r="G633" i="16" s="1"/>
  <c r="F648" i="16"/>
  <c r="F631" i="16" s="1"/>
  <c r="F633" i="16" s="1"/>
  <c r="T646" i="16"/>
  <c r="L646" i="16"/>
  <c r="M646" i="16" s="1"/>
  <c r="T645" i="16"/>
  <c r="L645" i="16"/>
  <c r="M645" i="16" s="1"/>
  <c r="T644" i="16"/>
  <c r="L644" i="16"/>
  <c r="M644" i="16" s="1"/>
  <c r="S641" i="16"/>
  <c r="K641" i="16"/>
  <c r="S639" i="16"/>
  <c r="R639" i="16"/>
  <c r="N639" i="16"/>
  <c r="K639" i="16"/>
  <c r="J639" i="16"/>
  <c r="I639" i="16"/>
  <c r="H639" i="16"/>
  <c r="G639" i="16"/>
  <c r="F639" i="16"/>
  <c r="K638" i="16"/>
  <c r="G638" i="16"/>
  <c r="E637" i="16"/>
  <c r="S636" i="16"/>
  <c r="R636" i="16"/>
  <c r="N636" i="16"/>
  <c r="K636" i="16"/>
  <c r="J636" i="16"/>
  <c r="I636" i="16"/>
  <c r="H636" i="16"/>
  <c r="G636" i="16"/>
  <c r="F636" i="16"/>
  <c r="F634" i="16"/>
  <c r="V629" i="16"/>
  <c r="J535" i="16"/>
  <c r="J518" i="16" s="1"/>
  <c r="V628" i="16"/>
  <c r="V627" i="16"/>
  <c r="I608" i="16"/>
  <c r="H608" i="16"/>
  <c r="G608" i="16"/>
  <c r="V607" i="16"/>
  <c r="T607" i="16"/>
  <c r="L607" i="16"/>
  <c r="M607" i="16" s="1"/>
  <c r="E605" i="16"/>
  <c r="V604" i="16"/>
  <c r="L604" i="16"/>
  <c r="M604" i="16" s="1"/>
  <c r="T602" i="16"/>
  <c r="L602" i="16"/>
  <c r="M602" i="16" s="1"/>
  <c r="E600" i="16"/>
  <c r="T599" i="16"/>
  <c r="L599" i="16"/>
  <c r="M599" i="16" s="1"/>
  <c r="T598" i="16"/>
  <c r="T597" i="16"/>
  <c r="L597" i="16"/>
  <c r="M597" i="16" s="1"/>
  <c r="I580" i="16"/>
  <c r="V578" i="16"/>
  <c r="I578" i="16"/>
  <c r="H578" i="16"/>
  <c r="H563" i="16" s="1"/>
  <c r="G578" i="16"/>
  <c r="V577" i="16"/>
  <c r="T577" i="16"/>
  <c r="L577" i="16"/>
  <c r="M577" i="16" s="1"/>
  <c r="K578" i="16"/>
  <c r="E575" i="16"/>
  <c r="V574" i="16"/>
  <c r="T573" i="16"/>
  <c r="T572" i="16"/>
  <c r="L572" i="16"/>
  <c r="M572" i="16" s="1"/>
  <c r="V576" i="16"/>
  <c r="E570" i="16"/>
  <c r="T569" i="16"/>
  <c r="L569" i="16"/>
  <c r="M569" i="16" s="1"/>
  <c r="T568" i="16"/>
  <c r="T567" i="16"/>
  <c r="L567" i="16"/>
  <c r="M567" i="16" s="1"/>
  <c r="R545" i="16"/>
  <c r="R528" i="16" s="1"/>
  <c r="G545" i="16"/>
  <c r="G528" i="16" s="1"/>
  <c r="G544" i="16"/>
  <c r="E560" i="16"/>
  <c r="R559" i="16"/>
  <c r="R542" i="16" s="1"/>
  <c r="R525" i="16" s="1"/>
  <c r="G559" i="16"/>
  <c r="F559" i="16"/>
  <c r="F542" i="16" s="1"/>
  <c r="F525" i="16" s="1"/>
  <c r="S557" i="16"/>
  <c r="R557" i="16"/>
  <c r="N557" i="16"/>
  <c r="K557" i="16"/>
  <c r="J557" i="16"/>
  <c r="I557" i="16"/>
  <c r="H557" i="16"/>
  <c r="G557" i="16"/>
  <c r="F557" i="16"/>
  <c r="F540" i="16" s="1"/>
  <c r="F554" i="16"/>
  <c r="F556" i="16" s="1"/>
  <c r="E553" i="16"/>
  <c r="V552" i="16"/>
  <c r="V535" i="16" s="1"/>
  <c r="V518" i="16" s="1"/>
  <c r="S552" i="16"/>
  <c r="R552" i="16"/>
  <c r="R535" i="16" s="1"/>
  <c r="R518" i="16" s="1"/>
  <c r="N552" i="16"/>
  <c r="K552" i="16"/>
  <c r="F552" i="16"/>
  <c r="S551" i="16"/>
  <c r="R551" i="16"/>
  <c r="R534" i="16" s="1"/>
  <c r="R517" i="16" s="1"/>
  <c r="N551" i="16"/>
  <c r="K551" i="16"/>
  <c r="K534" i="16" s="1"/>
  <c r="K517" i="16" s="1"/>
  <c r="J551" i="16"/>
  <c r="H551" i="16"/>
  <c r="H534" i="16" s="1"/>
  <c r="H517" i="16" s="1"/>
  <c r="G551" i="16"/>
  <c r="G534" i="16" s="1"/>
  <c r="G517" i="16" s="1"/>
  <c r="F551" i="16"/>
  <c r="F534" i="16" s="1"/>
  <c r="F517" i="16" s="1"/>
  <c r="S550" i="16"/>
  <c r="R550" i="16"/>
  <c r="R533" i="16" s="1"/>
  <c r="R516" i="16" s="1"/>
  <c r="N550" i="16"/>
  <c r="K550" i="16"/>
  <c r="J550" i="16"/>
  <c r="I550" i="16"/>
  <c r="H550" i="16"/>
  <c r="G550" i="16"/>
  <c r="F550" i="16"/>
  <c r="K545" i="16"/>
  <c r="K528" i="16" s="1"/>
  <c r="E544" i="16"/>
  <c r="K542" i="16"/>
  <c r="K525" i="16" s="1"/>
  <c r="E542" i="16"/>
  <c r="E536" i="16"/>
  <c r="J533" i="16"/>
  <c r="J516" i="16" s="1"/>
  <c r="E527" i="16"/>
  <c r="E525" i="16"/>
  <c r="E519" i="16"/>
  <c r="V517" i="16"/>
  <c r="V516" i="16"/>
  <c r="AB515" i="16"/>
  <c r="R514" i="16"/>
  <c r="N514" i="16"/>
  <c r="J514" i="16"/>
  <c r="H514" i="16"/>
  <c r="G514" i="16"/>
  <c r="F514" i="16"/>
  <c r="F515" i="16" s="1"/>
  <c r="V512" i="16"/>
  <c r="J512" i="16"/>
  <c r="I512" i="16"/>
  <c r="H512" i="16"/>
  <c r="G512" i="16"/>
  <c r="F512" i="16"/>
  <c r="V511" i="16"/>
  <c r="T511" i="16"/>
  <c r="L511" i="16"/>
  <c r="M511" i="16" s="1"/>
  <c r="K512" i="16"/>
  <c r="E509" i="16"/>
  <c r="V508" i="16"/>
  <c r="L508" i="16"/>
  <c r="M508" i="16" s="1"/>
  <c r="I514" i="16"/>
  <c r="T506" i="16"/>
  <c r="L506" i="16"/>
  <c r="M506" i="16" s="1"/>
  <c r="V505" i="16"/>
  <c r="V510" i="16" s="1"/>
  <c r="V513" i="16" s="1"/>
  <c r="E504" i="16"/>
  <c r="T503" i="16"/>
  <c r="L503" i="16"/>
  <c r="T502" i="16"/>
  <c r="L502" i="16"/>
  <c r="T501" i="16"/>
  <c r="L501" i="16"/>
  <c r="H499" i="16"/>
  <c r="F499" i="16"/>
  <c r="F500" i="16" s="1"/>
  <c r="V497" i="16"/>
  <c r="I497" i="16"/>
  <c r="H497" i="16"/>
  <c r="F497" i="16"/>
  <c r="V496" i="16"/>
  <c r="T496" i="16"/>
  <c r="L496" i="16"/>
  <c r="M496" i="16" s="1"/>
  <c r="E494" i="16"/>
  <c r="V493" i="16"/>
  <c r="I499" i="16"/>
  <c r="T491" i="16"/>
  <c r="L491" i="16"/>
  <c r="M491" i="16" s="1"/>
  <c r="V490" i="16"/>
  <c r="R475" i="16"/>
  <c r="E489" i="16"/>
  <c r="T488" i="16"/>
  <c r="I473" i="16"/>
  <c r="T487" i="16"/>
  <c r="T486" i="16"/>
  <c r="L486" i="16"/>
  <c r="M486" i="16" s="1"/>
  <c r="S481" i="16"/>
  <c r="R481" i="16"/>
  <c r="N481" i="16"/>
  <c r="K481" i="16"/>
  <c r="J481" i="16"/>
  <c r="I481" i="16"/>
  <c r="H481" i="16"/>
  <c r="G481" i="16"/>
  <c r="F481" i="16"/>
  <c r="I480" i="16"/>
  <c r="H480" i="16"/>
  <c r="F480" i="16"/>
  <c r="E480" i="16"/>
  <c r="R478" i="16"/>
  <c r="N478" i="16"/>
  <c r="K478" i="16"/>
  <c r="I478" i="16"/>
  <c r="H478" i="16"/>
  <c r="G478" i="16"/>
  <c r="F478" i="16"/>
  <c r="F479" i="16" s="1"/>
  <c r="E478" i="16"/>
  <c r="V477" i="16"/>
  <c r="R477" i="16"/>
  <c r="N477" i="16"/>
  <c r="H477" i="16"/>
  <c r="G477" i="16"/>
  <c r="F477" i="16"/>
  <c r="V476" i="16"/>
  <c r="S476" i="16"/>
  <c r="R476" i="16"/>
  <c r="N476" i="16"/>
  <c r="K476" i="16"/>
  <c r="J476" i="16"/>
  <c r="I476" i="16"/>
  <c r="H476" i="16"/>
  <c r="G476" i="16"/>
  <c r="F476" i="16"/>
  <c r="F475" i="16"/>
  <c r="E474" i="16"/>
  <c r="V473" i="16"/>
  <c r="S473" i="16"/>
  <c r="R473" i="16"/>
  <c r="N473" i="16"/>
  <c r="K473" i="16"/>
  <c r="J473" i="16"/>
  <c r="H473" i="16"/>
  <c r="G473" i="16"/>
  <c r="F473" i="16"/>
  <c r="V472" i="16"/>
  <c r="S472" i="16"/>
  <c r="R472" i="16"/>
  <c r="N472" i="16"/>
  <c r="K472" i="16"/>
  <c r="J472" i="16"/>
  <c r="I472" i="16"/>
  <c r="G472" i="16"/>
  <c r="F472" i="16"/>
  <c r="V471" i="16"/>
  <c r="S471" i="16"/>
  <c r="R471" i="16"/>
  <c r="N471" i="16"/>
  <c r="K471" i="16"/>
  <c r="J471" i="16"/>
  <c r="I471" i="16"/>
  <c r="H471" i="16"/>
  <c r="G471" i="16"/>
  <c r="F471" i="16"/>
  <c r="S468" i="16"/>
  <c r="R468" i="16"/>
  <c r="N468" i="16"/>
  <c r="K468" i="16"/>
  <c r="J468" i="16"/>
  <c r="H468" i="16"/>
  <c r="H469" i="16" s="1"/>
  <c r="G468" i="16"/>
  <c r="G469" i="16" s="1"/>
  <c r="F468" i="16"/>
  <c r="F469" i="16" s="1"/>
  <c r="F470" i="16" s="1"/>
  <c r="V467" i="16"/>
  <c r="I467" i="16"/>
  <c r="H467" i="16"/>
  <c r="G467" i="16"/>
  <c r="F467" i="16"/>
  <c r="V466" i="16"/>
  <c r="T466" i="16"/>
  <c r="L466" i="16"/>
  <c r="M466" i="16" s="1"/>
  <c r="N467" i="16"/>
  <c r="K467" i="16"/>
  <c r="J467" i="16"/>
  <c r="E464" i="16"/>
  <c r="V463" i="16"/>
  <c r="R463" i="16"/>
  <c r="L463" i="16"/>
  <c r="M463" i="16" s="1"/>
  <c r="T461" i="16"/>
  <c r="L461" i="16"/>
  <c r="M461" i="16" s="1"/>
  <c r="V460" i="16"/>
  <c r="V465" i="16" s="1"/>
  <c r="E459" i="16"/>
  <c r="S458" i="16"/>
  <c r="S334" i="23" s="1"/>
  <c r="S255" i="23" s="1"/>
  <c r="R458" i="16"/>
  <c r="N458" i="16"/>
  <c r="S330" i="16"/>
  <c r="R330" i="16"/>
  <c r="N330" i="16"/>
  <c r="K330" i="16"/>
  <c r="F330" i="16"/>
  <c r="S438" i="16"/>
  <c r="R438" i="16"/>
  <c r="N438" i="16"/>
  <c r="K438" i="16"/>
  <c r="F438" i="16"/>
  <c r="F439" i="16" s="1"/>
  <c r="F440" i="16" s="1"/>
  <c r="V437" i="16"/>
  <c r="V422" i="16" s="1"/>
  <c r="I437" i="16"/>
  <c r="H437" i="16"/>
  <c r="G437" i="16"/>
  <c r="F437" i="16"/>
  <c r="V421" i="16"/>
  <c r="W421" i="16" s="1"/>
  <c r="T436" i="16"/>
  <c r="L436" i="16"/>
  <c r="M436" i="16" s="1"/>
  <c r="J437" i="16"/>
  <c r="E434" i="16"/>
  <c r="V433" i="16"/>
  <c r="V418" i="16" s="1"/>
  <c r="T433" i="16"/>
  <c r="L433" i="16"/>
  <c r="M433" i="16" s="1"/>
  <c r="T431" i="16"/>
  <c r="L431" i="16"/>
  <c r="M431" i="16" s="1"/>
  <c r="V430" i="16"/>
  <c r="V413" i="16" s="1"/>
  <c r="E429" i="16"/>
  <c r="T428" i="16"/>
  <c r="L428" i="16"/>
  <c r="M428" i="16" s="1"/>
  <c r="T427" i="16"/>
  <c r="L427" i="16"/>
  <c r="M427" i="16" s="1"/>
  <c r="T426" i="16"/>
  <c r="L426" i="16"/>
  <c r="M426" i="16" s="1"/>
  <c r="S406" i="16"/>
  <c r="R406" i="16"/>
  <c r="N406" i="16"/>
  <c r="K406" i="16"/>
  <c r="J406" i="16"/>
  <c r="I406" i="16"/>
  <c r="H406" i="16"/>
  <c r="G406" i="16"/>
  <c r="F406" i="16"/>
  <c r="V405" i="16"/>
  <c r="V404" i="16"/>
  <c r="T404" i="16"/>
  <c r="L404" i="16"/>
  <c r="M404" i="16" s="1"/>
  <c r="R403" i="16"/>
  <c r="N403" i="16"/>
  <c r="K403" i="16"/>
  <c r="K405" i="16" s="1"/>
  <c r="J403" i="16"/>
  <c r="I403" i="16"/>
  <c r="I405" i="16" s="1"/>
  <c r="H403" i="16"/>
  <c r="G403" i="16"/>
  <c r="G405" i="16" s="1"/>
  <c r="F403" i="16"/>
  <c r="E402" i="16"/>
  <c r="V401" i="16"/>
  <c r="S403" i="16"/>
  <c r="S405" i="16" s="1"/>
  <c r="L401" i="16"/>
  <c r="M401" i="16" s="1"/>
  <c r="T400" i="16"/>
  <c r="L400" i="16"/>
  <c r="M400" i="16" s="1"/>
  <c r="T399" i="16"/>
  <c r="L399" i="16"/>
  <c r="M399" i="16" s="1"/>
  <c r="V398" i="16"/>
  <c r="S398" i="16"/>
  <c r="R398" i="16"/>
  <c r="N398" i="16"/>
  <c r="K398" i="16"/>
  <c r="J398" i="16"/>
  <c r="I398" i="16"/>
  <c r="H398" i="16"/>
  <c r="G398" i="16"/>
  <c r="F398" i="16"/>
  <c r="T396" i="16"/>
  <c r="L396" i="16"/>
  <c r="M396" i="16" s="1"/>
  <c r="T395" i="16"/>
  <c r="L395" i="16"/>
  <c r="M395" i="16" s="1"/>
  <c r="T394" i="16"/>
  <c r="L394" i="16"/>
  <c r="M394" i="16" s="1"/>
  <c r="S376" i="16"/>
  <c r="R376" i="16"/>
  <c r="N376" i="16"/>
  <c r="F376" i="16"/>
  <c r="V375" i="16"/>
  <c r="V360" i="16" s="1"/>
  <c r="I375" i="16"/>
  <c r="V374" i="16"/>
  <c r="T374" i="16"/>
  <c r="L374" i="16"/>
  <c r="M374" i="16" s="1"/>
  <c r="E372" i="16"/>
  <c r="V371" i="16"/>
  <c r="T371" i="16"/>
  <c r="K376" i="16"/>
  <c r="T369" i="16"/>
  <c r="L369" i="16"/>
  <c r="M369" i="16" s="1"/>
  <c r="V368" i="16"/>
  <c r="E367" i="16"/>
  <c r="T366" i="16"/>
  <c r="T364" i="16"/>
  <c r="L364" i="16"/>
  <c r="M364" i="16" s="1"/>
  <c r="S312" i="16"/>
  <c r="R312" i="16"/>
  <c r="N312" i="16"/>
  <c r="K312" i="16"/>
  <c r="J312" i="16"/>
  <c r="J313" i="16" s="1"/>
  <c r="I312" i="16"/>
  <c r="I313" i="16" s="1"/>
  <c r="H312" i="16"/>
  <c r="H313" i="16" s="1"/>
  <c r="G312" i="16"/>
  <c r="G313" i="16" s="1"/>
  <c r="F312" i="16"/>
  <c r="F313" i="16" s="1"/>
  <c r="F314" i="16" s="1"/>
  <c r="V311" i="16"/>
  <c r="J311" i="16"/>
  <c r="I311" i="16"/>
  <c r="H311" i="16"/>
  <c r="G311" i="16"/>
  <c r="F311" i="16"/>
  <c r="V310" i="16"/>
  <c r="T310" i="16"/>
  <c r="L310" i="16"/>
  <c r="M310" i="16" s="1"/>
  <c r="R311" i="16"/>
  <c r="N311" i="16"/>
  <c r="K311" i="16"/>
  <c r="E308" i="16"/>
  <c r="V307" i="16"/>
  <c r="L307" i="16"/>
  <c r="M307" i="16" s="1"/>
  <c r="T306" i="16"/>
  <c r="L306" i="16"/>
  <c r="M306" i="16" s="1"/>
  <c r="T305" i="16"/>
  <c r="L305" i="16"/>
  <c r="M305" i="16" s="1"/>
  <c r="V304" i="16"/>
  <c r="V309" i="16" s="1"/>
  <c r="R304" i="16"/>
  <c r="E303" i="16"/>
  <c r="L302" i="16"/>
  <c r="M302" i="16" s="1"/>
  <c r="T301" i="16"/>
  <c r="L301" i="16"/>
  <c r="M301" i="16" s="1"/>
  <c r="T300" i="16"/>
  <c r="L300" i="16"/>
  <c r="M300" i="16" s="1"/>
  <c r="S282" i="16"/>
  <c r="R282" i="16"/>
  <c r="N282" i="16"/>
  <c r="K282" i="16"/>
  <c r="J282" i="16"/>
  <c r="I282" i="16"/>
  <c r="H282" i="16"/>
  <c r="G282" i="16"/>
  <c r="F282" i="16"/>
  <c r="V281" i="16"/>
  <c r="V266" i="16" s="1"/>
  <c r="V280" i="16"/>
  <c r="T280" i="16"/>
  <c r="L280" i="16"/>
  <c r="M280" i="16" s="1"/>
  <c r="R279" i="16"/>
  <c r="R264" i="16" s="1"/>
  <c r="N279" i="16"/>
  <c r="N264" i="16" s="1"/>
  <c r="K279" i="16"/>
  <c r="K264" i="16" s="1"/>
  <c r="J279" i="16"/>
  <c r="J264" i="16" s="1"/>
  <c r="I279" i="16"/>
  <c r="I264" i="16" s="1"/>
  <c r="H279" i="16"/>
  <c r="H264" i="16" s="1"/>
  <c r="G279" i="16"/>
  <c r="G264" i="16" s="1"/>
  <c r="F279" i="16"/>
  <c r="F264" i="16" s="1"/>
  <c r="E278" i="16"/>
  <c r="V277" i="16"/>
  <c r="S277" i="16"/>
  <c r="S262" i="16" s="1"/>
  <c r="L277" i="16"/>
  <c r="M277" i="16" s="1"/>
  <c r="T276" i="16"/>
  <c r="L276" i="16"/>
  <c r="M276" i="16" s="1"/>
  <c r="T275" i="16"/>
  <c r="L275" i="16"/>
  <c r="M275" i="16" s="1"/>
  <c r="X274" i="16"/>
  <c r="V274" i="16"/>
  <c r="S274" i="16"/>
  <c r="S257" i="16" s="1"/>
  <c r="R274" i="16"/>
  <c r="N274" i="16"/>
  <c r="N257" i="16" s="1"/>
  <c r="K274" i="16"/>
  <c r="K257" i="16" s="1"/>
  <c r="J274" i="16"/>
  <c r="J257" i="16" s="1"/>
  <c r="I274" i="16"/>
  <c r="I257" i="16" s="1"/>
  <c r="H274" i="16"/>
  <c r="H257" i="16" s="1"/>
  <c r="G274" i="16"/>
  <c r="G257" i="16" s="1"/>
  <c r="F274" i="16"/>
  <c r="F257" i="16" s="1"/>
  <c r="T272" i="16"/>
  <c r="L272" i="16"/>
  <c r="M272" i="16" s="1"/>
  <c r="T271" i="16"/>
  <c r="L271" i="16"/>
  <c r="M271" i="16" s="1"/>
  <c r="T270" i="16"/>
  <c r="L270" i="16"/>
  <c r="M270" i="16" s="1"/>
  <c r="S250" i="16"/>
  <c r="R250" i="16"/>
  <c r="N250" i="16"/>
  <c r="K250" i="16"/>
  <c r="J250" i="16"/>
  <c r="I250" i="16"/>
  <c r="H250" i="16"/>
  <c r="G250" i="16"/>
  <c r="F250" i="16"/>
  <c r="V249" i="16"/>
  <c r="V248" i="16"/>
  <c r="T248" i="16"/>
  <c r="L248" i="16"/>
  <c r="M248" i="16" s="1"/>
  <c r="R247" i="16"/>
  <c r="R249" i="16" s="1"/>
  <c r="N247" i="16"/>
  <c r="N249" i="16" s="1"/>
  <c r="K247" i="16"/>
  <c r="K249" i="16" s="1"/>
  <c r="J247" i="16"/>
  <c r="J249" i="16" s="1"/>
  <c r="I247" i="16"/>
  <c r="I249" i="16" s="1"/>
  <c r="H247" i="16"/>
  <c r="H249" i="16" s="1"/>
  <c r="G247" i="16"/>
  <c r="G249" i="16" s="1"/>
  <c r="F247" i="16"/>
  <c r="F249" i="16" s="1"/>
  <c r="E246" i="16"/>
  <c r="V245" i="16"/>
  <c r="S245" i="16"/>
  <c r="S247" i="16" s="1"/>
  <c r="L245" i="16"/>
  <c r="M245" i="16" s="1"/>
  <c r="T244" i="16"/>
  <c r="L244" i="16"/>
  <c r="M244" i="16" s="1"/>
  <c r="T243" i="16"/>
  <c r="L243" i="16"/>
  <c r="M243" i="16" s="1"/>
  <c r="X242" i="16"/>
  <c r="V242" i="16"/>
  <c r="V247" i="16" s="1"/>
  <c r="S242" i="16"/>
  <c r="R242" i="16"/>
  <c r="N242" i="16"/>
  <c r="K242" i="16"/>
  <c r="J242" i="16"/>
  <c r="I242" i="16"/>
  <c r="H242" i="16"/>
  <c r="G242" i="16"/>
  <c r="F242" i="16"/>
  <c r="T240" i="16"/>
  <c r="L240" i="16"/>
  <c r="M240" i="16" s="1"/>
  <c r="T239" i="16"/>
  <c r="L239" i="16"/>
  <c r="M239" i="16" s="1"/>
  <c r="T238" i="16"/>
  <c r="L238" i="16"/>
  <c r="M238" i="16" s="1"/>
  <c r="S235" i="16"/>
  <c r="R235" i="16"/>
  <c r="N235" i="16"/>
  <c r="K235" i="16"/>
  <c r="J235" i="16"/>
  <c r="I235" i="16"/>
  <c r="H235" i="16"/>
  <c r="G235" i="16"/>
  <c r="F235" i="16"/>
  <c r="V234" i="16"/>
  <c r="V233" i="16"/>
  <c r="T233" i="16"/>
  <c r="L233" i="16"/>
  <c r="M233" i="16" s="1"/>
  <c r="R232" i="16"/>
  <c r="R234" i="16" s="1"/>
  <c r="N232" i="16"/>
  <c r="N234" i="16" s="1"/>
  <c r="K232" i="16"/>
  <c r="K234" i="16" s="1"/>
  <c r="J232" i="16"/>
  <c r="J234" i="16" s="1"/>
  <c r="I232" i="16"/>
  <c r="I234" i="16" s="1"/>
  <c r="H232" i="16"/>
  <c r="H234" i="16" s="1"/>
  <c r="G232" i="16"/>
  <c r="G234" i="16" s="1"/>
  <c r="F232" i="16"/>
  <c r="F234" i="16" s="1"/>
  <c r="E231" i="16"/>
  <c r="V230" i="16"/>
  <c r="S230" i="16"/>
  <c r="S232" i="16" s="1"/>
  <c r="L230" i="16"/>
  <c r="M230" i="16" s="1"/>
  <c r="T229" i="16"/>
  <c r="L229" i="16"/>
  <c r="M229" i="16" s="1"/>
  <c r="T228" i="16"/>
  <c r="L228" i="16"/>
  <c r="M228" i="16" s="1"/>
  <c r="X227" i="16"/>
  <c r="V227" i="16"/>
  <c r="V232" i="16" s="1"/>
  <c r="S227" i="16"/>
  <c r="R227" i="16"/>
  <c r="N227" i="16"/>
  <c r="K227" i="16"/>
  <c r="J227" i="16"/>
  <c r="I227" i="16"/>
  <c r="H227" i="16"/>
  <c r="G227" i="16"/>
  <c r="F227" i="16"/>
  <c r="T225" i="16"/>
  <c r="L225" i="16"/>
  <c r="M225" i="16" s="1"/>
  <c r="T224" i="16"/>
  <c r="L224" i="16"/>
  <c r="M224" i="16" s="1"/>
  <c r="T223" i="16"/>
  <c r="L223" i="16"/>
  <c r="M223" i="16" s="1"/>
  <c r="S218" i="16"/>
  <c r="R218" i="16"/>
  <c r="N218" i="16"/>
  <c r="K218" i="16"/>
  <c r="J218" i="16"/>
  <c r="I218" i="16"/>
  <c r="H218" i="16"/>
  <c r="G218" i="16"/>
  <c r="F218" i="16"/>
  <c r="E217" i="16"/>
  <c r="R215" i="16"/>
  <c r="N215" i="16"/>
  <c r="K215" i="16"/>
  <c r="J215" i="16"/>
  <c r="I215" i="16"/>
  <c r="H215" i="16"/>
  <c r="G215" i="16"/>
  <c r="F215" i="16"/>
  <c r="E215" i="16"/>
  <c r="V214" i="16"/>
  <c r="S214" i="16"/>
  <c r="R214" i="16"/>
  <c r="N214" i="16"/>
  <c r="K214" i="16"/>
  <c r="K220" i="16" s="1"/>
  <c r="J214" i="16"/>
  <c r="J220" i="16" s="1"/>
  <c r="I214" i="16"/>
  <c r="I220" i="16" s="1"/>
  <c r="H214" i="16"/>
  <c r="H220" i="16" s="1"/>
  <c r="G214" i="16"/>
  <c r="G220" i="16" s="1"/>
  <c r="F214" i="16"/>
  <c r="V213" i="16"/>
  <c r="S213" i="16"/>
  <c r="R213" i="16"/>
  <c r="N213" i="16"/>
  <c r="K213" i="16"/>
  <c r="J213" i="16"/>
  <c r="I213" i="16"/>
  <c r="H213" i="16"/>
  <c r="G213" i="16"/>
  <c r="F213" i="16"/>
  <c r="J212" i="16"/>
  <c r="V210" i="16"/>
  <c r="S210" i="16"/>
  <c r="R210" i="16"/>
  <c r="N210" i="16"/>
  <c r="K210" i="16"/>
  <c r="J210" i="16"/>
  <c r="I210" i="16"/>
  <c r="H210" i="16"/>
  <c r="G210" i="16"/>
  <c r="F210" i="16"/>
  <c r="V209" i="16"/>
  <c r="S209" i="16"/>
  <c r="R209" i="16"/>
  <c r="N209" i="16"/>
  <c r="K209" i="16"/>
  <c r="J209" i="16"/>
  <c r="I209" i="16"/>
  <c r="H209" i="16"/>
  <c r="G209" i="16"/>
  <c r="F209" i="16"/>
  <c r="V208" i="16"/>
  <c r="S208" i="16"/>
  <c r="R208" i="16"/>
  <c r="N208" i="16"/>
  <c r="K208" i="16"/>
  <c r="J208" i="16"/>
  <c r="I208" i="16"/>
  <c r="H208" i="16"/>
  <c r="G208" i="16"/>
  <c r="F208" i="16"/>
  <c r="S205" i="16"/>
  <c r="R205" i="16"/>
  <c r="N205" i="16"/>
  <c r="K205" i="16"/>
  <c r="J205" i="16"/>
  <c r="I205" i="16"/>
  <c r="H205" i="16"/>
  <c r="G205" i="16"/>
  <c r="F205" i="16"/>
  <c r="V204" i="16"/>
  <c r="V203" i="16"/>
  <c r="T203" i="16"/>
  <c r="L203" i="16"/>
  <c r="M203" i="16" s="1"/>
  <c r="R202" i="16"/>
  <c r="N202" i="16"/>
  <c r="K202" i="16"/>
  <c r="K204" i="16" s="1"/>
  <c r="J202" i="16"/>
  <c r="J204" i="16" s="1"/>
  <c r="I202" i="16"/>
  <c r="I204" i="16" s="1"/>
  <c r="H202" i="16"/>
  <c r="G202" i="16"/>
  <c r="G204" i="16" s="1"/>
  <c r="F202" i="16"/>
  <c r="E201" i="16"/>
  <c r="V200" i="16"/>
  <c r="S200" i="16"/>
  <c r="S202" i="16" s="1"/>
  <c r="S204" i="16" s="1"/>
  <c r="L200" i="16"/>
  <c r="M200" i="16" s="1"/>
  <c r="T199" i="16"/>
  <c r="L199" i="16"/>
  <c r="M199" i="16" s="1"/>
  <c r="T198" i="16"/>
  <c r="L198" i="16"/>
  <c r="M198" i="16" s="1"/>
  <c r="X197" i="16"/>
  <c r="V197" i="16"/>
  <c r="V196" i="16" s="1"/>
  <c r="S197" i="16"/>
  <c r="R197" i="16"/>
  <c r="N197" i="16"/>
  <c r="K197" i="16"/>
  <c r="J197" i="16"/>
  <c r="I197" i="16"/>
  <c r="H197" i="16"/>
  <c r="G197" i="16"/>
  <c r="F197" i="16"/>
  <c r="T195" i="16"/>
  <c r="L195" i="16"/>
  <c r="M195" i="16" s="1"/>
  <c r="T194" i="16"/>
  <c r="L194" i="16"/>
  <c r="M194" i="16" s="1"/>
  <c r="T193" i="16"/>
  <c r="L193" i="16"/>
  <c r="M193" i="16" s="1"/>
  <c r="S190" i="16"/>
  <c r="R190" i="16"/>
  <c r="N190" i="16"/>
  <c r="K190" i="16"/>
  <c r="J190" i="16"/>
  <c r="I190" i="16"/>
  <c r="H190" i="16"/>
  <c r="G190" i="16"/>
  <c r="F190" i="16"/>
  <c r="V189" i="16"/>
  <c r="V188" i="16"/>
  <c r="T188" i="16"/>
  <c r="L188" i="16"/>
  <c r="M188" i="16" s="1"/>
  <c r="R187" i="16"/>
  <c r="N187" i="16"/>
  <c r="K187" i="16"/>
  <c r="K189" i="16" s="1"/>
  <c r="J187" i="16"/>
  <c r="I187" i="16"/>
  <c r="I189" i="16" s="1"/>
  <c r="H187" i="16"/>
  <c r="G187" i="16"/>
  <c r="G189" i="16" s="1"/>
  <c r="F187" i="16"/>
  <c r="E186" i="16"/>
  <c r="V185" i="16"/>
  <c r="S185" i="16"/>
  <c r="S187" i="16" s="1"/>
  <c r="S189" i="16" s="1"/>
  <c r="L185" i="16"/>
  <c r="M185" i="16" s="1"/>
  <c r="T184" i="16"/>
  <c r="L184" i="16"/>
  <c r="M184" i="16" s="1"/>
  <c r="T183" i="16"/>
  <c r="L183" i="16"/>
  <c r="M183" i="16" s="1"/>
  <c r="V182" i="16"/>
  <c r="V181" i="16" s="1"/>
  <c r="S182" i="16"/>
  <c r="R182" i="16"/>
  <c r="N182" i="16"/>
  <c r="K182" i="16"/>
  <c r="K167" i="16" s="1"/>
  <c r="J182" i="16"/>
  <c r="I182" i="16"/>
  <c r="H182" i="16"/>
  <c r="G182" i="16"/>
  <c r="G167" i="16" s="1"/>
  <c r="F182" i="16"/>
  <c r="T180" i="16"/>
  <c r="L180" i="16"/>
  <c r="M180" i="16" s="1"/>
  <c r="T179" i="16"/>
  <c r="L179" i="16"/>
  <c r="M179" i="16" s="1"/>
  <c r="T178" i="16"/>
  <c r="L178" i="16"/>
  <c r="M178" i="16" s="1"/>
  <c r="S173" i="16"/>
  <c r="R173" i="16"/>
  <c r="N173" i="16"/>
  <c r="K173" i="16"/>
  <c r="J173" i="16"/>
  <c r="I173" i="16"/>
  <c r="H173" i="16"/>
  <c r="G173" i="16"/>
  <c r="F173" i="16"/>
  <c r="E172" i="16"/>
  <c r="R170" i="16"/>
  <c r="N170" i="16"/>
  <c r="K170" i="16"/>
  <c r="J170" i="16"/>
  <c r="I170" i="16"/>
  <c r="H170" i="16"/>
  <c r="G170" i="16"/>
  <c r="F170" i="16"/>
  <c r="E170" i="16"/>
  <c r="V169" i="16"/>
  <c r="S169" i="16"/>
  <c r="S47" i="16" s="1"/>
  <c r="R169" i="16"/>
  <c r="N169" i="16"/>
  <c r="K169" i="16"/>
  <c r="J169" i="16"/>
  <c r="I169" i="16"/>
  <c r="H169" i="16"/>
  <c r="G169" i="16"/>
  <c r="F169" i="16"/>
  <c r="V168" i="16"/>
  <c r="S168" i="16"/>
  <c r="R168" i="16"/>
  <c r="N168" i="16"/>
  <c r="K168" i="16"/>
  <c r="J168" i="16"/>
  <c r="I168" i="16"/>
  <c r="H168" i="16"/>
  <c r="G168" i="16"/>
  <c r="F168" i="16"/>
  <c r="X167" i="16"/>
  <c r="S167" i="16"/>
  <c r="V165" i="16"/>
  <c r="S165" i="16"/>
  <c r="R165" i="16"/>
  <c r="N165" i="16"/>
  <c r="K165" i="16"/>
  <c r="J165" i="16"/>
  <c r="I165" i="16"/>
  <c r="H165" i="16"/>
  <c r="H41" i="16" s="1"/>
  <c r="G165" i="16"/>
  <c r="F165" i="16"/>
  <c r="V164" i="16"/>
  <c r="S164" i="16"/>
  <c r="R164" i="16"/>
  <c r="N164" i="16"/>
  <c r="K164" i="16"/>
  <c r="J164" i="16"/>
  <c r="I164" i="16"/>
  <c r="H164" i="16"/>
  <c r="G164" i="16"/>
  <c r="F164" i="16"/>
  <c r="V163" i="16"/>
  <c r="S163" i="16"/>
  <c r="R163" i="16"/>
  <c r="N163" i="16"/>
  <c r="K163" i="16"/>
  <c r="J163" i="16"/>
  <c r="I163" i="16"/>
  <c r="H163" i="16"/>
  <c r="G163" i="16"/>
  <c r="F163" i="16"/>
  <c r="J146" i="16"/>
  <c r="G146" i="16"/>
  <c r="F146" i="16"/>
  <c r="F147" i="16" s="1"/>
  <c r="J144" i="16"/>
  <c r="I144" i="16"/>
  <c r="H144" i="16"/>
  <c r="G144" i="16"/>
  <c r="F144" i="16"/>
  <c r="V143" i="16"/>
  <c r="T143" i="16"/>
  <c r="L143" i="16"/>
  <c r="M143" i="16" s="1"/>
  <c r="R144" i="16"/>
  <c r="N144" i="16"/>
  <c r="E141" i="16"/>
  <c r="V140" i="16"/>
  <c r="L140" i="16"/>
  <c r="M140" i="16" s="1"/>
  <c r="T138" i="16"/>
  <c r="L138" i="16"/>
  <c r="M138" i="16" s="1"/>
  <c r="E136" i="16"/>
  <c r="T135" i="16"/>
  <c r="L135" i="16"/>
  <c r="M135" i="16" s="1"/>
  <c r="T134" i="16"/>
  <c r="L134" i="16"/>
  <c r="M134" i="16" s="1"/>
  <c r="T133" i="16"/>
  <c r="R100" i="16"/>
  <c r="R101" i="16" s="1"/>
  <c r="N100" i="16"/>
  <c r="N101" i="16" s="1"/>
  <c r="K100" i="16"/>
  <c r="K101" i="16" s="1"/>
  <c r="I100" i="16"/>
  <c r="I101" i="16" s="1"/>
  <c r="F100" i="16"/>
  <c r="F101" i="16" s="1"/>
  <c r="F102" i="16" s="1"/>
  <c r="V99" i="16"/>
  <c r="R99" i="16"/>
  <c r="N99" i="16"/>
  <c r="K99" i="16"/>
  <c r="J99" i="16"/>
  <c r="J69" i="16" s="1"/>
  <c r="I99" i="16"/>
  <c r="G99" i="16"/>
  <c r="F99" i="16"/>
  <c r="V98" i="16"/>
  <c r="T98" i="16"/>
  <c r="L98" i="16"/>
  <c r="M98" i="16" s="1"/>
  <c r="H99" i="16"/>
  <c r="E96" i="16"/>
  <c r="V95" i="16"/>
  <c r="V65" i="16" s="1"/>
  <c r="L95" i="16"/>
  <c r="M95" i="16" s="1"/>
  <c r="S100" i="16"/>
  <c r="J100" i="16"/>
  <c r="J101" i="16" s="1"/>
  <c r="T93" i="16"/>
  <c r="L93" i="16"/>
  <c r="M93" i="16" s="1"/>
  <c r="V92" i="16"/>
  <c r="E91" i="16"/>
  <c r="L90" i="16"/>
  <c r="M90" i="16" s="1"/>
  <c r="T89" i="16"/>
  <c r="L89" i="16"/>
  <c r="M89" i="16" s="1"/>
  <c r="T88" i="16"/>
  <c r="I563" i="16" l="1"/>
  <c r="K344" i="9"/>
  <c r="H479" i="16"/>
  <c r="V68" i="16"/>
  <c r="W68" i="16" s="1"/>
  <c r="I537" i="16"/>
  <c r="I633" i="16"/>
  <c r="K633" i="16"/>
  <c r="R633" i="16"/>
  <c r="R537" i="16"/>
  <c r="F523" i="16"/>
  <c r="L523" i="16" s="1"/>
  <c r="L540" i="16"/>
  <c r="H633" i="16"/>
  <c r="H537" i="16"/>
  <c r="J537" i="16"/>
  <c r="J633" i="16"/>
  <c r="L633" i="16" s="1"/>
  <c r="M633" i="16" s="1"/>
  <c r="N633" i="16"/>
  <c r="T633" i="16" s="1"/>
  <c r="G563" i="16"/>
  <c r="H687" i="16"/>
  <c r="J687" i="16"/>
  <c r="N687" i="16"/>
  <c r="S687" i="16"/>
  <c r="N717" i="16"/>
  <c r="S717" i="16"/>
  <c r="V495" i="16"/>
  <c r="V494" i="16" s="1"/>
  <c r="N69" i="16"/>
  <c r="V545" i="16"/>
  <c r="V528" i="16" s="1"/>
  <c r="G483" i="16"/>
  <c r="N483" i="16"/>
  <c r="F483" i="16"/>
  <c r="F484" i="16" s="1"/>
  <c r="F485" i="16" s="1"/>
  <c r="H483" i="16"/>
  <c r="R483" i="16"/>
  <c r="S564" i="16"/>
  <c r="N31" i="16"/>
  <c r="V265" i="16"/>
  <c r="W265" i="16" s="1"/>
  <c r="V351" i="16"/>
  <c r="V353" i="16" s="1"/>
  <c r="F482" i="16"/>
  <c r="H482" i="16"/>
  <c r="J530" i="16"/>
  <c r="U122" i="16"/>
  <c r="V303" i="16"/>
  <c r="F69" i="16"/>
  <c r="R69" i="16"/>
  <c r="V257" i="16"/>
  <c r="V262" i="16"/>
  <c r="V356" i="16"/>
  <c r="W356" i="16" s="1"/>
  <c r="V359" i="16"/>
  <c r="W359" i="16" s="1"/>
  <c r="T361" i="16"/>
  <c r="U361" i="16" s="1"/>
  <c r="W361" i="16" s="1"/>
  <c r="T423" i="16"/>
  <c r="U423" i="16" s="1"/>
  <c r="W423" i="16" s="1"/>
  <c r="F533" i="16"/>
  <c r="F516" i="16" s="1"/>
  <c r="H533" i="16"/>
  <c r="H516" i="16" s="1"/>
  <c r="N533" i="16"/>
  <c r="N516" i="16" s="1"/>
  <c r="J534" i="16"/>
  <c r="J517" i="16" s="1"/>
  <c r="S534" i="16"/>
  <c r="S517" i="16" s="1"/>
  <c r="H545" i="16"/>
  <c r="H528" i="16" s="1"/>
  <c r="J545" i="16"/>
  <c r="J528" i="16" s="1"/>
  <c r="G637" i="16"/>
  <c r="R657" i="16"/>
  <c r="G687" i="16"/>
  <c r="I687" i="16"/>
  <c r="K687" i="16"/>
  <c r="R687" i="16"/>
  <c r="R717" i="16"/>
  <c r="R530" i="16"/>
  <c r="L41" i="23"/>
  <c r="M41" i="23" s="1"/>
  <c r="I69" i="16"/>
  <c r="E172" i="23"/>
  <c r="E50" i="23" s="1"/>
  <c r="N334" i="23"/>
  <c r="R341" i="23"/>
  <c r="L58" i="23"/>
  <c r="M58" i="23" s="1"/>
  <c r="N254" i="23"/>
  <c r="L330" i="16"/>
  <c r="M330" i="16" s="1"/>
  <c r="R411" i="16"/>
  <c r="R332" i="16" s="1"/>
  <c r="R334" i="23"/>
  <c r="R255" i="23" s="1"/>
  <c r="L453" i="16"/>
  <c r="M453" i="16" s="1"/>
  <c r="H69" i="16"/>
  <c r="R60" i="16"/>
  <c r="F39" i="16"/>
  <c r="F22" i="16"/>
  <c r="H39" i="16"/>
  <c r="H22" i="16"/>
  <c r="J39" i="16"/>
  <c r="J22" i="16"/>
  <c r="N39" i="16"/>
  <c r="N22" i="16"/>
  <c r="S39" i="16"/>
  <c r="S22" i="16"/>
  <c r="F40" i="16"/>
  <c r="F23" i="16"/>
  <c r="H40" i="16"/>
  <c r="H23" i="16"/>
  <c r="J40" i="16"/>
  <c r="J23" i="16"/>
  <c r="N40" i="16"/>
  <c r="N23" i="16"/>
  <c r="S40" i="16"/>
  <c r="S23" i="16"/>
  <c r="F41" i="16"/>
  <c r="F24" i="16"/>
  <c r="H24" i="16"/>
  <c r="J41" i="16"/>
  <c r="J24" i="16"/>
  <c r="N24" i="16"/>
  <c r="N41" i="16"/>
  <c r="F46" i="16"/>
  <c r="F29" i="16"/>
  <c r="H46" i="16"/>
  <c r="H29" i="16"/>
  <c r="J46" i="16"/>
  <c r="J29" i="16"/>
  <c r="J17" i="16" s="1"/>
  <c r="N46" i="16"/>
  <c r="N29" i="16"/>
  <c r="S46" i="16"/>
  <c r="S29" i="16"/>
  <c r="F47" i="16"/>
  <c r="F53" i="16" s="1"/>
  <c r="F30" i="16"/>
  <c r="F36" i="16" s="1"/>
  <c r="H47" i="16"/>
  <c r="H53" i="16" s="1"/>
  <c r="H30" i="16"/>
  <c r="H36" i="16" s="1"/>
  <c r="J47" i="16"/>
  <c r="J53" i="16" s="1"/>
  <c r="J30" i="16"/>
  <c r="J36" i="16" s="1"/>
  <c r="N47" i="16"/>
  <c r="N53" i="16" s="1"/>
  <c r="N30" i="16"/>
  <c r="N36" i="16" s="1"/>
  <c r="S53" i="16"/>
  <c r="S30" i="16"/>
  <c r="S36" i="16" s="1"/>
  <c r="E31" i="16"/>
  <c r="E48" i="16"/>
  <c r="G48" i="16"/>
  <c r="G31" i="16"/>
  <c r="I48" i="16"/>
  <c r="I31" i="16"/>
  <c r="K48" i="16"/>
  <c r="K31" i="16"/>
  <c r="R48" i="16"/>
  <c r="R31" i="16"/>
  <c r="F51" i="16"/>
  <c r="F34" i="16"/>
  <c r="H51" i="16"/>
  <c r="H34" i="16"/>
  <c r="H20" i="16" s="1"/>
  <c r="J51" i="16"/>
  <c r="J34" i="16"/>
  <c r="J20" i="16" s="1"/>
  <c r="N51" i="16"/>
  <c r="N34" i="16"/>
  <c r="S51" i="16"/>
  <c r="S34" i="16"/>
  <c r="R465" i="16"/>
  <c r="R418" i="16"/>
  <c r="R339" i="16" s="1"/>
  <c r="J358" i="16"/>
  <c r="J362" i="16" s="1"/>
  <c r="N358" i="16"/>
  <c r="F414" i="16"/>
  <c r="F413" i="16"/>
  <c r="H414" i="16"/>
  <c r="H413" i="16"/>
  <c r="J414" i="16"/>
  <c r="J413" i="16"/>
  <c r="N414" i="16"/>
  <c r="S414" i="16"/>
  <c r="U447" i="16"/>
  <c r="G419" i="16"/>
  <c r="G424" i="16"/>
  <c r="I419" i="16"/>
  <c r="I424" i="16"/>
  <c r="T92" i="16"/>
  <c r="S41" i="16"/>
  <c r="G39" i="16"/>
  <c r="G22" i="16"/>
  <c r="I39" i="16"/>
  <c r="I22" i="16"/>
  <c r="K39" i="16"/>
  <c r="K22" i="16"/>
  <c r="R39" i="16"/>
  <c r="R22" i="16"/>
  <c r="V39" i="16"/>
  <c r="V22" i="16"/>
  <c r="G40" i="16"/>
  <c r="G23" i="16"/>
  <c r="I40" i="16"/>
  <c r="I23" i="16"/>
  <c r="K40" i="16"/>
  <c r="K23" i="16"/>
  <c r="R40" i="16"/>
  <c r="R23" i="16"/>
  <c r="V40" i="16"/>
  <c r="V23" i="16"/>
  <c r="G41" i="16"/>
  <c r="G24" i="16"/>
  <c r="I41" i="16"/>
  <c r="I24" i="16"/>
  <c r="K41" i="16"/>
  <c r="K24" i="16"/>
  <c r="R24" i="16"/>
  <c r="R41" i="16"/>
  <c r="V41" i="16"/>
  <c r="V24" i="16"/>
  <c r="G46" i="16"/>
  <c r="G29" i="16"/>
  <c r="I46" i="16"/>
  <c r="I29" i="16"/>
  <c r="K46" i="16"/>
  <c r="K29" i="16"/>
  <c r="R46" i="16"/>
  <c r="R29" i="16"/>
  <c r="R17" i="16" s="1"/>
  <c r="V46" i="16"/>
  <c r="V29" i="16"/>
  <c r="V17" i="16" s="1"/>
  <c r="G47" i="16"/>
  <c r="G53" i="16" s="1"/>
  <c r="G30" i="16"/>
  <c r="G36" i="16" s="1"/>
  <c r="I47" i="16"/>
  <c r="I53" i="16" s="1"/>
  <c r="I30" i="16"/>
  <c r="I36" i="16" s="1"/>
  <c r="K47" i="16"/>
  <c r="K53" i="16" s="1"/>
  <c r="K30" i="16"/>
  <c r="K36" i="16" s="1"/>
  <c r="R47" i="16"/>
  <c r="R53" i="16" s="1"/>
  <c r="R30" i="16"/>
  <c r="R36" i="16" s="1"/>
  <c r="F48" i="16"/>
  <c r="F31" i="16"/>
  <c r="H48" i="16"/>
  <c r="H31" i="16"/>
  <c r="J48" i="16"/>
  <c r="J31" i="16"/>
  <c r="N48" i="16"/>
  <c r="E50" i="16"/>
  <c r="E33" i="16"/>
  <c r="G51" i="16"/>
  <c r="G34" i="16"/>
  <c r="I51" i="16"/>
  <c r="I34" i="16"/>
  <c r="K51" i="16"/>
  <c r="K34" i="16"/>
  <c r="R51" i="16"/>
  <c r="R34" i="16"/>
  <c r="V412" i="16"/>
  <c r="V415" i="16"/>
  <c r="N411" i="16"/>
  <c r="N332" i="16" s="1"/>
  <c r="N460" i="16"/>
  <c r="N413" i="16" s="1"/>
  <c r="S411" i="16"/>
  <c r="S332" i="16" s="1"/>
  <c r="S460" i="16"/>
  <c r="S413" i="16" s="1"/>
  <c r="S358" i="16"/>
  <c r="S362" i="16" s="1"/>
  <c r="I358" i="16"/>
  <c r="I357" i="16" s="1"/>
  <c r="K358" i="16"/>
  <c r="K357" i="16" s="1"/>
  <c r="R358" i="16"/>
  <c r="R362" i="16" s="1"/>
  <c r="G414" i="16"/>
  <c r="G413" i="16"/>
  <c r="I414" i="16"/>
  <c r="I413" i="16"/>
  <c r="K414" i="16"/>
  <c r="K413" i="16"/>
  <c r="R414" i="16"/>
  <c r="F424" i="16"/>
  <c r="F425" i="16" s="1"/>
  <c r="F419" i="16"/>
  <c r="H424" i="16"/>
  <c r="H419" i="16"/>
  <c r="J419" i="16"/>
  <c r="J424" i="16"/>
  <c r="N419" i="16"/>
  <c r="I66" i="7"/>
  <c r="I71" i="7"/>
  <c r="M58" i="7"/>
  <c r="U58" i="7"/>
  <c r="W58" i="7" s="1"/>
  <c r="N424" i="16"/>
  <c r="U253" i="22"/>
  <c r="U674" i="16"/>
  <c r="W674" i="16" s="1"/>
  <c r="V478" i="16"/>
  <c r="V475" i="16"/>
  <c r="V474" i="16" s="1"/>
  <c r="V343" i="16"/>
  <c r="V342" i="16"/>
  <c r="W342" i="16" s="1"/>
  <c r="J338" i="16"/>
  <c r="J344" i="16" s="1"/>
  <c r="H338" i="16"/>
  <c r="H344" i="16" s="1"/>
  <c r="F352" i="16"/>
  <c r="F351" i="16"/>
  <c r="H352" i="16"/>
  <c r="H351" i="16"/>
  <c r="J352" i="16"/>
  <c r="J351" i="16"/>
  <c r="N352" i="16"/>
  <c r="N351" i="16"/>
  <c r="S352" i="16"/>
  <c r="S351" i="16"/>
  <c r="G352" i="16"/>
  <c r="G351" i="16"/>
  <c r="I352" i="16"/>
  <c r="I351" i="16"/>
  <c r="K352" i="16"/>
  <c r="K335" i="16" s="1"/>
  <c r="K351" i="16"/>
  <c r="R352" i="16"/>
  <c r="R335" i="16" s="1"/>
  <c r="R351" i="16"/>
  <c r="J341" i="16"/>
  <c r="J357" i="16"/>
  <c r="V334" i="16"/>
  <c r="V350" i="16"/>
  <c r="V339" i="16"/>
  <c r="L27" i="16"/>
  <c r="M27" i="16" s="1"/>
  <c r="T27" i="16"/>
  <c r="T330" i="16"/>
  <c r="V76" i="16"/>
  <c r="V61" i="16"/>
  <c r="H484" i="16"/>
  <c r="I217" i="16"/>
  <c r="I221" i="16" s="1"/>
  <c r="S554" i="16"/>
  <c r="U676" i="16"/>
  <c r="T552" i="16"/>
  <c r="R257" i="16"/>
  <c r="R259" i="16" s="1"/>
  <c r="V218" i="16"/>
  <c r="U675" i="16"/>
  <c r="W675" i="16" s="1"/>
  <c r="M676" i="16"/>
  <c r="U577" i="16"/>
  <c r="U709" i="16"/>
  <c r="W709" i="16" s="1"/>
  <c r="U711" i="16"/>
  <c r="W711" i="16" s="1"/>
  <c r="U379" i="16"/>
  <c r="W379" i="16" s="1"/>
  <c r="U381" i="16"/>
  <c r="W381" i="16" s="1"/>
  <c r="U389" i="16"/>
  <c r="W389" i="16" s="1"/>
  <c r="U442" i="16"/>
  <c r="W442" i="16" s="1"/>
  <c r="L88" i="16"/>
  <c r="U88" i="16" s="1"/>
  <c r="I167" i="16"/>
  <c r="I166" i="16" s="1"/>
  <c r="H259" i="16"/>
  <c r="H256" i="16"/>
  <c r="N259" i="16"/>
  <c r="N256" i="16"/>
  <c r="F263" i="16"/>
  <c r="F268" i="16"/>
  <c r="F269" i="16" s="1"/>
  <c r="L264" i="16"/>
  <c r="J268" i="16"/>
  <c r="J263" i="16"/>
  <c r="L365" i="16"/>
  <c r="M365" i="16" s="1"/>
  <c r="I376" i="16"/>
  <c r="I377" i="16" s="1"/>
  <c r="N375" i="16"/>
  <c r="R375" i="16"/>
  <c r="J332" i="16"/>
  <c r="U649" i="16"/>
  <c r="W649" i="16" s="1"/>
  <c r="U651" i="16"/>
  <c r="W651" i="16" s="1"/>
  <c r="U443" i="16"/>
  <c r="W443" i="16" s="1"/>
  <c r="H423" i="7"/>
  <c r="L338" i="9"/>
  <c r="M338" i="9" s="1"/>
  <c r="H344" i="9"/>
  <c r="L344" i="9" s="1"/>
  <c r="M344" i="9" s="1"/>
  <c r="H146" i="16"/>
  <c r="K144" i="16"/>
  <c r="K69" i="16" s="1"/>
  <c r="I259" i="16"/>
  <c r="I256" i="16"/>
  <c r="S259" i="16"/>
  <c r="S256" i="16"/>
  <c r="T262" i="16"/>
  <c r="U262" i="16" s="1"/>
  <c r="W262" i="16" s="1"/>
  <c r="G268" i="16"/>
  <c r="G263" i="16"/>
  <c r="K263" i="16"/>
  <c r="K268" i="16"/>
  <c r="T365" i="16"/>
  <c r="J376" i="16"/>
  <c r="S375" i="16"/>
  <c r="I438" i="16"/>
  <c r="I439" i="16" s="1"/>
  <c r="K332" i="16"/>
  <c r="R460" i="16"/>
  <c r="R413" i="16" s="1"/>
  <c r="L487" i="16"/>
  <c r="T551" i="16"/>
  <c r="L568" i="16"/>
  <c r="M568" i="16" s="1"/>
  <c r="W577" i="16"/>
  <c r="W122" i="16"/>
  <c r="L258" i="16"/>
  <c r="M258" i="16" s="1"/>
  <c r="T453" i="16"/>
  <c r="U453" i="16" s="1"/>
  <c r="I146" i="16"/>
  <c r="H17" i="16"/>
  <c r="F259" i="16"/>
  <c r="F256" i="16"/>
  <c r="L257" i="16"/>
  <c r="J259" i="16"/>
  <c r="J256" i="16"/>
  <c r="V256" i="16"/>
  <c r="H263" i="16"/>
  <c r="H268" i="16"/>
  <c r="N268" i="16"/>
  <c r="N263" i="16"/>
  <c r="R263" i="16"/>
  <c r="R268" i="16"/>
  <c r="G376" i="16"/>
  <c r="L457" i="16"/>
  <c r="M457" i="16" s="1"/>
  <c r="F331" i="16"/>
  <c r="L331" i="16" s="1"/>
  <c r="R331" i="16"/>
  <c r="U380" i="16"/>
  <c r="W380" i="16" s="1"/>
  <c r="U441" i="16"/>
  <c r="W441" i="16" s="1"/>
  <c r="V450" i="16"/>
  <c r="V453" i="16" s="1"/>
  <c r="V335" i="16"/>
  <c r="G100" i="16"/>
  <c r="G101" i="16" s="1"/>
  <c r="G102" i="16" s="1"/>
  <c r="L133" i="16"/>
  <c r="M133" i="16" s="1"/>
  <c r="G259" i="16"/>
  <c r="G256" i="16"/>
  <c r="K259" i="16"/>
  <c r="K256" i="16"/>
  <c r="I268" i="16"/>
  <c r="I263" i="16"/>
  <c r="H376" i="16"/>
  <c r="G438" i="16"/>
  <c r="G439" i="16" s="1"/>
  <c r="G440" i="16" s="1"/>
  <c r="G338" i="16"/>
  <c r="G344" i="16" s="1"/>
  <c r="S437" i="16"/>
  <c r="S331" i="16"/>
  <c r="L552" i="16"/>
  <c r="M552" i="16" s="1"/>
  <c r="R554" i="16"/>
  <c r="H610" i="16"/>
  <c r="V541" i="16"/>
  <c r="K637" i="16"/>
  <c r="U118" i="16"/>
  <c r="T121" i="16"/>
  <c r="T258" i="16"/>
  <c r="U315" i="16"/>
  <c r="W315" i="16" s="1"/>
  <c r="U317" i="16"/>
  <c r="U355" i="7"/>
  <c r="W355" i="7" s="1"/>
  <c r="T338" i="9"/>
  <c r="N344" i="9"/>
  <c r="T344" i="9" s="1"/>
  <c r="V482" i="16"/>
  <c r="V97" i="16"/>
  <c r="V100" i="16" s="1"/>
  <c r="L361" i="7"/>
  <c r="M361" i="7" s="1"/>
  <c r="N344" i="7"/>
  <c r="T344" i="7" s="1"/>
  <c r="U254" i="22"/>
  <c r="R20" i="16"/>
  <c r="V212" i="16"/>
  <c r="V211" i="16" s="1"/>
  <c r="G217" i="16"/>
  <c r="G221" i="16" s="1"/>
  <c r="K217" i="16"/>
  <c r="K221" i="16" s="1"/>
  <c r="F212" i="16"/>
  <c r="F211" i="16" s="1"/>
  <c r="H212" i="16"/>
  <c r="N212" i="16"/>
  <c r="N211" i="16" s="1"/>
  <c r="R212" i="16"/>
  <c r="R211" i="16" s="1"/>
  <c r="V215" i="16"/>
  <c r="H219" i="16"/>
  <c r="J219" i="16"/>
  <c r="R219" i="16"/>
  <c r="V219" i="16"/>
  <c r="V403" i="16"/>
  <c r="G452" i="16"/>
  <c r="G422" i="16" s="1"/>
  <c r="I452" i="16"/>
  <c r="I422" i="16" s="1"/>
  <c r="K452" i="16"/>
  <c r="F454" i="16"/>
  <c r="F455" i="16" s="1"/>
  <c r="H454" i="16"/>
  <c r="J454" i="16"/>
  <c r="N454" i="16"/>
  <c r="R454" i="16"/>
  <c r="T445" i="16"/>
  <c r="T444" i="16" s="1"/>
  <c r="L445" i="16"/>
  <c r="M445" i="16" s="1"/>
  <c r="M444" i="16" s="1"/>
  <c r="F392" i="16"/>
  <c r="F393" i="16" s="1"/>
  <c r="H392" i="16"/>
  <c r="J392" i="16"/>
  <c r="G390" i="16"/>
  <c r="I390" i="16"/>
  <c r="I360" i="16" s="1"/>
  <c r="K390" i="16"/>
  <c r="N392" i="16"/>
  <c r="R392" i="16"/>
  <c r="T383" i="16"/>
  <c r="T382" i="16" s="1"/>
  <c r="L383" i="16"/>
  <c r="N328" i="16"/>
  <c r="R328" i="16"/>
  <c r="F328" i="16"/>
  <c r="F329" i="16" s="1"/>
  <c r="H328" i="16"/>
  <c r="J328" i="16"/>
  <c r="F281" i="16"/>
  <c r="H281" i="16"/>
  <c r="N281" i="16"/>
  <c r="R281" i="16"/>
  <c r="V288" i="16"/>
  <c r="F298" i="16"/>
  <c r="F299" i="16" s="1"/>
  <c r="H298" i="16"/>
  <c r="J298" i="16"/>
  <c r="N298" i="16"/>
  <c r="R298" i="16"/>
  <c r="S279" i="16"/>
  <c r="G281" i="16"/>
  <c r="I281" i="16"/>
  <c r="K281" i="16"/>
  <c r="S294" i="16"/>
  <c r="G296" i="16"/>
  <c r="I296" i="16"/>
  <c r="K296" i="16"/>
  <c r="V279" i="16"/>
  <c r="J281" i="16"/>
  <c r="G166" i="16"/>
  <c r="S166" i="16"/>
  <c r="G175" i="16"/>
  <c r="I175" i="16"/>
  <c r="K175" i="16"/>
  <c r="K20" i="16"/>
  <c r="F175" i="16"/>
  <c r="H175" i="16"/>
  <c r="J175" i="16"/>
  <c r="U451" i="16"/>
  <c r="U183" i="16"/>
  <c r="W183" i="16" s="1"/>
  <c r="S174" i="16"/>
  <c r="I174" i="16"/>
  <c r="V173" i="16"/>
  <c r="T190" i="16"/>
  <c r="F172" i="16"/>
  <c r="F171" i="16" s="1"/>
  <c r="H172" i="16"/>
  <c r="H171" i="16" s="1"/>
  <c r="N172" i="16"/>
  <c r="R172" i="16"/>
  <c r="U203" i="16"/>
  <c r="W203" i="16" s="1"/>
  <c r="L209" i="16"/>
  <c r="M209" i="16" s="1"/>
  <c r="T209" i="16"/>
  <c r="L218" i="16"/>
  <c r="M218" i="16" s="1"/>
  <c r="T218" i="16"/>
  <c r="J477" i="16"/>
  <c r="J483" i="16" s="1"/>
  <c r="S477" i="16"/>
  <c r="U290" i="16"/>
  <c r="W290" i="16" s="1"/>
  <c r="U384" i="16"/>
  <c r="L391" i="16"/>
  <c r="M391" i="16" s="1"/>
  <c r="T391" i="16"/>
  <c r="U391" i="16" s="1"/>
  <c r="U446" i="16"/>
  <c r="W446" i="16" s="1"/>
  <c r="W451" i="16"/>
  <c r="S452" i="16"/>
  <c r="S454" i="16"/>
  <c r="L444" i="16"/>
  <c r="W447" i="16"/>
  <c r="T448" i="16"/>
  <c r="U448" i="16" s="1"/>
  <c r="W448" i="16" s="1"/>
  <c r="L450" i="16"/>
  <c r="T450" i="16"/>
  <c r="F452" i="16"/>
  <c r="F422" i="16" s="1"/>
  <c r="H452" i="16"/>
  <c r="H422" i="16" s="1"/>
  <c r="J452" i="16"/>
  <c r="J422" i="16" s="1"/>
  <c r="N452" i="16"/>
  <c r="R452" i="16"/>
  <c r="G454" i="16"/>
  <c r="I454" i="16"/>
  <c r="K454" i="16"/>
  <c r="E216" i="16"/>
  <c r="G392" i="16"/>
  <c r="I392" i="16"/>
  <c r="K392" i="16"/>
  <c r="K172" i="16"/>
  <c r="L214" i="16"/>
  <c r="M214" i="16" s="1"/>
  <c r="T214" i="16"/>
  <c r="R220" i="16"/>
  <c r="U244" i="16"/>
  <c r="W244" i="16" s="1"/>
  <c r="U291" i="16"/>
  <c r="T292" i="16"/>
  <c r="U292" i="16" s="1"/>
  <c r="W292" i="16" s="1"/>
  <c r="U295" i="16"/>
  <c r="W295" i="16" s="1"/>
  <c r="L297" i="16"/>
  <c r="M297" i="16" s="1"/>
  <c r="T297" i="16"/>
  <c r="L327" i="16"/>
  <c r="M327" i="16" s="1"/>
  <c r="T327" i="16"/>
  <c r="U385" i="16"/>
  <c r="W385" i="16" s="1"/>
  <c r="T386" i="16"/>
  <c r="U386" i="16" s="1"/>
  <c r="W386" i="16" s="1"/>
  <c r="M383" i="16"/>
  <c r="M382" i="16" s="1"/>
  <c r="L382" i="16"/>
  <c r="S390" i="16"/>
  <c r="S392" i="16"/>
  <c r="L388" i="16"/>
  <c r="T388" i="16"/>
  <c r="V388" i="16"/>
  <c r="F390" i="16"/>
  <c r="H390" i="16"/>
  <c r="J390" i="16"/>
  <c r="N390" i="16"/>
  <c r="R390" i="16"/>
  <c r="U285" i="16"/>
  <c r="W285" i="16" s="1"/>
  <c r="U287" i="16"/>
  <c r="W287" i="16" s="1"/>
  <c r="U316" i="16"/>
  <c r="W316" i="16" s="1"/>
  <c r="M318" i="16"/>
  <c r="T318" i="16"/>
  <c r="U89" i="16"/>
  <c r="U98" i="16"/>
  <c r="W98" i="16" s="1"/>
  <c r="G172" i="16"/>
  <c r="F217" i="16"/>
  <c r="F216" i="16" s="1"/>
  <c r="H217" i="16"/>
  <c r="H216" i="16" s="1"/>
  <c r="J217" i="16"/>
  <c r="J216" i="16" s="1"/>
  <c r="N217" i="16"/>
  <c r="N216" i="16" s="1"/>
  <c r="R217" i="16"/>
  <c r="G212" i="16"/>
  <c r="G43" i="16" s="1"/>
  <c r="I212" i="16"/>
  <c r="I211" i="16" s="1"/>
  <c r="K212" i="16"/>
  <c r="K26" i="16" s="1"/>
  <c r="S212" i="16"/>
  <c r="S211" i="16" s="1"/>
  <c r="G219" i="16"/>
  <c r="I219" i="16"/>
  <c r="K219" i="16"/>
  <c r="V459" i="16"/>
  <c r="S328" i="16"/>
  <c r="G328" i="16"/>
  <c r="I328" i="16"/>
  <c r="K328" i="16"/>
  <c r="U286" i="16"/>
  <c r="W286" i="16" s="1"/>
  <c r="L289" i="16"/>
  <c r="M289" i="16" s="1"/>
  <c r="M288" i="16" s="1"/>
  <c r="T289" i="16"/>
  <c r="U143" i="16"/>
  <c r="W143" i="16" s="1"/>
  <c r="I172" i="16"/>
  <c r="U179" i="16"/>
  <c r="W179" i="16" s="1"/>
  <c r="U188" i="16"/>
  <c r="W188" i="16" s="1"/>
  <c r="U229" i="16"/>
  <c r="W229" i="16" s="1"/>
  <c r="U271" i="16"/>
  <c r="W271" i="16" s="1"/>
  <c r="V397" i="16"/>
  <c r="F407" i="16"/>
  <c r="F408" i="16" s="1"/>
  <c r="H407" i="16"/>
  <c r="J407" i="16"/>
  <c r="N407" i="16"/>
  <c r="R407" i="16"/>
  <c r="U404" i="16"/>
  <c r="W404" i="16" s="1"/>
  <c r="G407" i="16"/>
  <c r="I407" i="16"/>
  <c r="V489" i="16"/>
  <c r="T492" i="16"/>
  <c r="U496" i="16"/>
  <c r="W496" i="16" s="1"/>
  <c r="E526" i="16"/>
  <c r="H535" i="16"/>
  <c r="H518" i="16" s="1"/>
  <c r="U645" i="16"/>
  <c r="W645" i="16" s="1"/>
  <c r="U78" i="16"/>
  <c r="W78" i="16" s="1"/>
  <c r="U80" i="16"/>
  <c r="W80" i="16" s="1"/>
  <c r="U83" i="16"/>
  <c r="X83" i="16" s="1"/>
  <c r="U103" i="16"/>
  <c r="U104" i="16"/>
  <c r="U123" i="16"/>
  <c r="U125" i="16"/>
  <c r="W125" i="16" s="1"/>
  <c r="U127" i="16"/>
  <c r="X127" i="16" s="1"/>
  <c r="U128" i="16"/>
  <c r="W128" i="16" s="1"/>
  <c r="U148" i="16"/>
  <c r="U149" i="16"/>
  <c r="T288" i="16"/>
  <c r="S296" i="16"/>
  <c r="S298" i="16"/>
  <c r="W291" i="16"/>
  <c r="L294" i="16"/>
  <c r="T294" i="16"/>
  <c r="V294" i="16"/>
  <c r="M295" i="16"/>
  <c r="F296" i="16"/>
  <c r="H296" i="16"/>
  <c r="J296" i="16"/>
  <c r="N296" i="16"/>
  <c r="R296" i="16"/>
  <c r="G298" i="16"/>
  <c r="I298" i="16"/>
  <c r="K298" i="16"/>
  <c r="N167" i="16"/>
  <c r="R167" i="16"/>
  <c r="V226" i="16"/>
  <c r="U228" i="16"/>
  <c r="F236" i="16"/>
  <c r="F237" i="16" s="1"/>
  <c r="H236" i="16"/>
  <c r="J236" i="16"/>
  <c r="N236" i="16"/>
  <c r="R236" i="16"/>
  <c r="V241" i="16"/>
  <c r="U243" i="16"/>
  <c r="W243" i="16" s="1"/>
  <c r="F251" i="16"/>
  <c r="F252" i="16" s="1"/>
  <c r="H251" i="16"/>
  <c r="J251" i="16"/>
  <c r="N251" i="16"/>
  <c r="R251" i="16"/>
  <c r="U270" i="16"/>
  <c r="W270" i="16" s="1"/>
  <c r="U272" i="16"/>
  <c r="W272" i="16" s="1"/>
  <c r="U276" i="16"/>
  <c r="W276" i="16" s="1"/>
  <c r="U306" i="16"/>
  <c r="W306" i="16" s="1"/>
  <c r="U426" i="16"/>
  <c r="U427" i="16"/>
  <c r="U428" i="16"/>
  <c r="W428" i="16" s="1"/>
  <c r="U436" i="16"/>
  <c r="W436" i="16" s="1"/>
  <c r="N535" i="16"/>
  <c r="N518" i="16" s="1"/>
  <c r="U569" i="16"/>
  <c r="W569" i="16" s="1"/>
  <c r="T571" i="16"/>
  <c r="T570" i="16" s="1"/>
  <c r="U572" i="16"/>
  <c r="W572" i="16" s="1"/>
  <c r="T574" i="16"/>
  <c r="K554" i="16"/>
  <c r="L628" i="16"/>
  <c r="M628" i="16" s="1"/>
  <c r="T628" i="16"/>
  <c r="T635" i="16"/>
  <c r="I637" i="16"/>
  <c r="S637" i="16"/>
  <c r="U644" i="16"/>
  <c r="W644" i="16" s="1"/>
  <c r="U646" i="16"/>
  <c r="W646" i="16" s="1"/>
  <c r="U680" i="16"/>
  <c r="W680" i="16" s="1"/>
  <c r="U684" i="16"/>
  <c r="W684" i="16" s="1"/>
  <c r="U705" i="16"/>
  <c r="W705" i="16" s="1"/>
  <c r="T126" i="16"/>
  <c r="T90" i="16"/>
  <c r="U90" i="16" s="1"/>
  <c r="W90" i="16" s="1"/>
  <c r="K166" i="16"/>
  <c r="S170" i="16"/>
  <c r="T170" i="16" s="1"/>
  <c r="J172" i="16"/>
  <c r="U178" i="16"/>
  <c r="W178" i="16" s="1"/>
  <c r="U193" i="16"/>
  <c r="W193" i="16" s="1"/>
  <c r="U195" i="16"/>
  <c r="W195" i="16" s="1"/>
  <c r="U198" i="16"/>
  <c r="I545" i="16"/>
  <c r="I528" i="16" s="1"/>
  <c r="I20" i="16" s="1"/>
  <c r="S545" i="16"/>
  <c r="S528" i="16" s="1"/>
  <c r="F641" i="16"/>
  <c r="H641" i="16"/>
  <c r="J641" i="16"/>
  <c r="N641" i="16"/>
  <c r="R641" i="16"/>
  <c r="T708" i="16"/>
  <c r="T707" i="16" s="1"/>
  <c r="U710" i="16"/>
  <c r="W710" i="16" s="1"/>
  <c r="U714" i="16"/>
  <c r="W714" i="16" s="1"/>
  <c r="U73" i="16"/>
  <c r="U74" i="16"/>
  <c r="U77" i="16"/>
  <c r="U124" i="16"/>
  <c r="M125" i="16"/>
  <c r="G162" i="16"/>
  <c r="H162" i="16" s="1"/>
  <c r="I162" i="16" s="1"/>
  <c r="J162" i="16" s="1"/>
  <c r="K162" i="16" s="1"/>
  <c r="N162" i="16" s="1"/>
  <c r="O162" i="16" s="1"/>
  <c r="P162" i="16" s="1"/>
  <c r="Q162" i="16" s="1"/>
  <c r="L160" i="16"/>
  <c r="M160" i="16" s="1"/>
  <c r="T160" i="16"/>
  <c r="S547" i="16"/>
  <c r="S530" i="16"/>
  <c r="U93" i="16"/>
  <c r="W93" i="16" s="1"/>
  <c r="L94" i="16"/>
  <c r="M94" i="16" s="1"/>
  <c r="L137" i="16"/>
  <c r="L136" i="16" s="1"/>
  <c r="T137" i="16"/>
  <c r="T136" i="16" s="1"/>
  <c r="U138" i="16"/>
  <c r="W138" i="16" s="1"/>
  <c r="T139" i="16"/>
  <c r="T140" i="16"/>
  <c r="U140" i="16" s="1"/>
  <c r="L163" i="16"/>
  <c r="M163" i="16" s="1"/>
  <c r="T163" i="16"/>
  <c r="L165" i="16"/>
  <c r="M165" i="16" s="1"/>
  <c r="R166" i="16"/>
  <c r="N175" i="16"/>
  <c r="R175" i="16"/>
  <c r="L170" i="16"/>
  <c r="M170" i="16" s="1"/>
  <c r="L173" i="16"/>
  <c r="M173" i="16" s="1"/>
  <c r="T173" i="16"/>
  <c r="T182" i="16"/>
  <c r="U184" i="16"/>
  <c r="W184" i="16" s="1"/>
  <c r="T185" i="16"/>
  <c r="U185" i="16" s="1"/>
  <c r="W185" i="16" s="1"/>
  <c r="T200" i="16"/>
  <c r="U200" i="16" s="1"/>
  <c r="W200" i="16" s="1"/>
  <c r="T541" i="16"/>
  <c r="R547" i="16"/>
  <c r="G533" i="16"/>
  <c r="G516" i="16" s="1"/>
  <c r="I533" i="16"/>
  <c r="I516" i="16" s="1"/>
  <c r="K533" i="16"/>
  <c r="K516" i="16" s="1"/>
  <c r="S533" i="16"/>
  <c r="S516" i="16" s="1"/>
  <c r="L631" i="16"/>
  <c r="T631" i="16"/>
  <c r="J655" i="16"/>
  <c r="T81" i="16"/>
  <c r="L205" i="16"/>
  <c r="M205" i="16" s="1"/>
  <c r="U224" i="16"/>
  <c r="W224" i="16" s="1"/>
  <c r="U239" i="16"/>
  <c r="W239" i="16" s="1"/>
  <c r="L274" i="16"/>
  <c r="L273" i="16" s="1"/>
  <c r="T274" i="16"/>
  <c r="T273" i="16" s="1"/>
  <c r="U280" i="16"/>
  <c r="W280" i="16" s="1"/>
  <c r="U300" i="16"/>
  <c r="U301" i="16"/>
  <c r="L304" i="16"/>
  <c r="M304" i="16" s="1"/>
  <c r="M303" i="16" s="1"/>
  <c r="U310" i="16"/>
  <c r="W310" i="16" s="1"/>
  <c r="L311" i="16"/>
  <c r="M311" i="16" s="1"/>
  <c r="L368" i="16"/>
  <c r="M368" i="16" s="1"/>
  <c r="T368" i="16"/>
  <c r="T367" i="16" s="1"/>
  <c r="U369" i="16"/>
  <c r="W369" i="16" s="1"/>
  <c r="U395" i="16"/>
  <c r="W395" i="16" s="1"/>
  <c r="U399" i="16"/>
  <c r="W399" i="16" s="1"/>
  <c r="T406" i="16"/>
  <c r="L430" i="16"/>
  <c r="L429" i="16" s="1"/>
  <c r="U431" i="16"/>
  <c r="W431" i="16" s="1"/>
  <c r="U433" i="16"/>
  <c r="W433" i="16" s="1"/>
  <c r="U466" i="16"/>
  <c r="W466" i="16" s="1"/>
  <c r="H472" i="16"/>
  <c r="L472" i="16" s="1"/>
  <c r="T472" i="16"/>
  <c r="L476" i="16"/>
  <c r="M476" i="16" s="1"/>
  <c r="T476" i="16"/>
  <c r="I477" i="16"/>
  <c r="I483" i="16" s="1"/>
  <c r="I484" i="16" s="1"/>
  <c r="K477" i="16"/>
  <c r="K483" i="16" s="1"/>
  <c r="U491" i="16"/>
  <c r="X496" i="16" s="1"/>
  <c r="U502" i="16"/>
  <c r="V504" i="16"/>
  <c r="V481" i="16"/>
  <c r="I482" i="16"/>
  <c r="N534" i="16"/>
  <c r="F535" i="16"/>
  <c r="F518" i="16" s="1"/>
  <c r="F537" i="16"/>
  <c r="F539" i="16" s="1"/>
  <c r="H542" i="16"/>
  <c r="L550" i="16"/>
  <c r="M550" i="16" s="1"/>
  <c r="T550" i="16"/>
  <c r="L557" i="16"/>
  <c r="M557" i="16" s="1"/>
  <c r="T557" i="16"/>
  <c r="T558" i="16"/>
  <c r="K580" i="16"/>
  <c r="J564" i="16"/>
  <c r="T579" i="16"/>
  <c r="R564" i="16"/>
  <c r="T601" i="16"/>
  <c r="T600" i="16" s="1"/>
  <c r="T603" i="16"/>
  <c r="F638" i="16"/>
  <c r="F544" i="16" s="1"/>
  <c r="H638" i="16"/>
  <c r="H544" i="16" s="1"/>
  <c r="J638" i="16"/>
  <c r="J637" i="16" s="1"/>
  <c r="N638" i="16"/>
  <c r="N637" i="16" s="1"/>
  <c r="R638" i="16"/>
  <c r="R637" i="16" s="1"/>
  <c r="L648" i="16"/>
  <c r="M648" i="16" s="1"/>
  <c r="M647" i="16" s="1"/>
  <c r="T648" i="16"/>
  <c r="T647" i="16" s="1"/>
  <c r="U650" i="16"/>
  <c r="W650" i="16" s="1"/>
  <c r="G657" i="16"/>
  <c r="I657" i="16"/>
  <c r="I642" i="16" s="1"/>
  <c r="K657" i="16"/>
  <c r="S657" i="16"/>
  <c r="S642" i="16" s="1"/>
  <c r="U654" i="16"/>
  <c r="F655" i="16"/>
  <c r="L678" i="16"/>
  <c r="L677" i="16" s="1"/>
  <c r="T678" i="16"/>
  <c r="U679" i="16"/>
  <c r="W679" i="16" s="1"/>
  <c r="U681" i="16"/>
  <c r="X681" i="16" s="1"/>
  <c r="U704" i="16"/>
  <c r="W704" i="16" s="1"/>
  <c r="U706" i="16"/>
  <c r="W706" i="16" s="1"/>
  <c r="U79" i="16"/>
  <c r="W79" i="16" s="1"/>
  <c r="L121" i="16"/>
  <c r="V121" i="16"/>
  <c r="M126" i="16"/>
  <c r="U129" i="16"/>
  <c r="W129" i="16" s="1"/>
  <c r="V130" i="16"/>
  <c r="V126" i="16"/>
  <c r="G132" i="16"/>
  <c r="H132" i="16" s="1"/>
  <c r="I132" i="16" s="1"/>
  <c r="J132" i="16" s="1"/>
  <c r="K132" i="16" s="1"/>
  <c r="N132" i="16" s="1"/>
  <c r="O132" i="16" s="1"/>
  <c r="P132" i="16" s="1"/>
  <c r="Q132" i="16" s="1"/>
  <c r="M120" i="16"/>
  <c r="M121" i="16" s="1"/>
  <c r="U120" i="16"/>
  <c r="L130" i="16"/>
  <c r="M130" i="16" s="1"/>
  <c r="T130" i="16"/>
  <c r="V115" i="16"/>
  <c r="G117" i="16"/>
  <c r="H117" i="16" s="1"/>
  <c r="I117" i="16" s="1"/>
  <c r="J117" i="16" s="1"/>
  <c r="K117" i="16" s="1"/>
  <c r="N117" i="16" s="1"/>
  <c r="O117" i="16" s="1"/>
  <c r="P117" i="16" s="1"/>
  <c r="Q117" i="16" s="1"/>
  <c r="L115" i="16"/>
  <c r="M115" i="16" s="1"/>
  <c r="T115" i="16"/>
  <c r="S439" i="16"/>
  <c r="L458" i="16"/>
  <c r="M458" i="16" s="1"/>
  <c r="S463" i="16"/>
  <c r="T463" i="16" s="1"/>
  <c r="U463" i="16" s="1"/>
  <c r="W463" i="16" s="1"/>
  <c r="L488" i="16"/>
  <c r="M488" i="16" s="1"/>
  <c r="L512" i="16"/>
  <c r="M512" i="16" s="1"/>
  <c r="G560" i="16"/>
  <c r="G542" i="16"/>
  <c r="G525" i="16" s="1"/>
  <c r="I560" i="16"/>
  <c r="I542" i="16"/>
  <c r="I525" i="16" s="1"/>
  <c r="N542" i="16"/>
  <c r="S608" i="16"/>
  <c r="T604" i="16"/>
  <c r="U604" i="16" s="1"/>
  <c r="W604" i="16" s="1"/>
  <c r="S559" i="16"/>
  <c r="S542" i="16" s="1"/>
  <c r="S525" i="16" s="1"/>
  <c r="G630" i="16"/>
  <c r="G535" i="16"/>
  <c r="I630" i="16"/>
  <c r="I535" i="16"/>
  <c r="K630" i="16"/>
  <c r="K535" i="16"/>
  <c r="S630" i="16"/>
  <c r="S535" i="16"/>
  <c r="L635" i="16"/>
  <c r="M635" i="16" s="1"/>
  <c r="T145" i="16"/>
  <c r="T181" i="16"/>
  <c r="V187" i="16"/>
  <c r="V190" i="16" s="1"/>
  <c r="G174" i="16"/>
  <c r="K174" i="16"/>
  <c r="I206" i="16"/>
  <c r="K211" i="16"/>
  <c r="F220" i="16"/>
  <c r="N313" i="16"/>
  <c r="R313" i="16"/>
  <c r="N377" i="16"/>
  <c r="G408" i="16"/>
  <c r="J469" i="16"/>
  <c r="N469" i="16"/>
  <c r="V483" i="16"/>
  <c r="N547" i="16"/>
  <c r="U567" i="16"/>
  <c r="N580" i="16"/>
  <c r="R580" i="16"/>
  <c r="U599" i="16"/>
  <c r="W599" i="16" s="1"/>
  <c r="U602" i="16"/>
  <c r="U607" i="16"/>
  <c r="W607" i="16" s="1"/>
  <c r="T430" i="16"/>
  <c r="V435" i="16"/>
  <c r="V420" i="16" s="1"/>
  <c r="H438" i="16"/>
  <c r="H439" i="16" s="1"/>
  <c r="J438" i="16"/>
  <c r="I468" i="16"/>
  <c r="I469" i="16" s="1"/>
  <c r="L462" i="16"/>
  <c r="M462" i="16" s="1"/>
  <c r="L562" i="16"/>
  <c r="M562" i="16" s="1"/>
  <c r="F545" i="16"/>
  <c r="T562" i="16"/>
  <c r="U562" i="16" s="1"/>
  <c r="N545" i="16"/>
  <c r="L598" i="16"/>
  <c r="M598" i="16" s="1"/>
  <c r="I551" i="16"/>
  <c r="I534" i="16" s="1"/>
  <c r="I517" i="16" s="1"/>
  <c r="L517" i="16" s="1"/>
  <c r="M517" i="16" s="1"/>
  <c r="K564" i="16"/>
  <c r="K608" i="16"/>
  <c r="K563" i="16" s="1"/>
  <c r="K544" i="16"/>
  <c r="V91" i="16"/>
  <c r="U133" i="16"/>
  <c r="U134" i="16"/>
  <c r="U135" i="16"/>
  <c r="W135" i="16" s="1"/>
  <c r="L142" i="16"/>
  <c r="K146" i="16"/>
  <c r="L164" i="16"/>
  <c r="M164" i="16" s="1"/>
  <c r="T164" i="16"/>
  <c r="L168" i="16"/>
  <c r="M168" i="16" s="1"/>
  <c r="T168" i="16"/>
  <c r="E171" i="16"/>
  <c r="I171" i="16"/>
  <c r="F191" i="16"/>
  <c r="F192" i="16" s="1"/>
  <c r="H191" i="16"/>
  <c r="J191" i="16"/>
  <c r="N191" i="16"/>
  <c r="R191" i="16"/>
  <c r="G191" i="16"/>
  <c r="I191" i="16"/>
  <c r="K191" i="16"/>
  <c r="L197" i="16"/>
  <c r="M197" i="16" s="1"/>
  <c r="M196" i="16" s="1"/>
  <c r="H167" i="16"/>
  <c r="H43" i="16" s="1"/>
  <c r="H45" i="16" s="1"/>
  <c r="J167" i="16"/>
  <c r="J43" i="16" s="1"/>
  <c r="J45" i="16" s="1"/>
  <c r="T197" i="16"/>
  <c r="T196" i="16" s="1"/>
  <c r="F206" i="16"/>
  <c r="F207" i="16" s="1"/>
  <c r="H206" i="16"/>
  <c r="J206" i="16"/>
  <c r="N206" i="16"/>
  <c r="R206" i="16"/>
  <c r="F204" i="16"/>
  <c r="G206" i="16"/>
  <c r="K206" i="16"/>
  <c r="S206" i="16"/>
  <c r="L208" i="16"/>
  <c r="M208" i="16" s="1"/>
  <c r="T208" i="16"/>
  <c r="H211" i="16"/>
  <c r="J211" i="16"/>
  <c r="L213" i="16"/>
  <c r="M213" i="16" s="1"/>
  <c r="T213" i="16"/>
  <c r="S220" i="16"/>
  <c r="N220" i="16"/>
  <c r="U223" i="16"/>
  <c r="W223" i="16" s="1"/>
  <c r="U225" i="16"/>
  <c r="W225" i="16" s="1"/>
  <c r="L227" i="16"/>
  <c r="L226" i="16" s="1"/>
  <c r="T227" i="16"/>
  <c r="T226" i="16" s="1"/>
  <c r="U233" i="16"/>
  <c r="W233" i="16" s="1"/>
  <c r="U238" i="16"/>
  <c r="W238" i="16" s="1"/>
  <c r="U240" i="16"/>
  <c r="W240" i="16" s="1"/>
  <c r="L242" i="16"/>
  <c r="M242" i="16" s="1"/>
  <c r="M241" i="16" s="1"/>
  <c r="T242" i="16"/>
  <c r="T241" i="16" s="1"/>
  <c r="U248" i="16"/>
  <c r="W248" i="16" s="1"/>
  <c r="V273" i="16"/>
  <c r="U275" i="16"/>
  <c r="W275" i="16" s="1"/>
  <c r="F283" i="16"/>
  <c r="F284" i="16" s="1"/>
  <c r="H283" i="16"/>
  <c r="J283" i="16"/>
  <c r="N283" i="16"/>
  <c r="R283" i="16"/>
  <c r="U305" i="16"/>
  <c r="U364" i="16"/>
  <c r="S377" i="16"/>
  <c r="R377" i="16"/>
  <c r="U394" i="16"/>
  <c r="W394" i="16" s="1"/>
  <c r="T398" i="16"/>
  <c r="T397" i="16" s="1"/>
  <c r="U400" i="16"/>
  <c r="T401" i="16"/>
  <c r="U401" i="16" s="1"/>
  <c r="W401" i="16" s="1"/>
  <c r="E479" i="16"/>
  <c r="U506" i="16"/>
  <c r="W506" i="16" s="1"/>
  <c r="G685" i="16"/>
  <c r="K685" i="16"/>
  <c r="V82" i="16"/>
  <c r="K407" i="16"/>
  <c r="L432" i="16"/>
  <c r="M432" i="16" s="1"/>
  <c r="L456" i="16"/>
  <c r="M456" i="16" s="1"/>
  <c r="T456" i="16"/>
  <c r="T457" i="16"/>
  <c r="U461" i="16"/>
  <c r="W461" i="16" s="1"/>
  <c r="L471" i="16"/>
  <c r="M471" i="16" s="1"/>
  <c r="T471" i="16"/>
  <c r="L473" i="16"/>
  <c r="M473" i="16" s="1"/>
  <c r="T473" i="16"/>
  <c r="L481" i="16"/>
  <c r="M481" i="16" s="1"/>
  <c r="T481" i="16"/>
  <c r="U486" i="16"/>
  <c r="R474" i="16"/>
  <c r="U501" i="16"/>
  <c r="U503" i="16"/>
  <c r="W503" i="16" s="1"/>
  <c r="L505" i="16"/>
  <c r="M505" i="16" s="1"/>
  <c r="U511" i="16"/>
  <c r="W511" i="16" s="1"/>
  <c r="G515" i="16"/>
  <c r="H515" i="16" s="1"/>
  <c r="I515" i="16" s="1"/>
  <c r="J515" i="16" s="1"/>
  <c r="E543" i="16"/>
  <c r="L601" i="16"/>
  <c r="M601" i="16" s="1"/>
  <c r="M600" i="16" s="1"/>
  <c r="L627" i="16"/>
  <c r="M627" i="16" s="1"/>
  <c r="T627" i="16"/>
  <c r="F630" i="16"/>
  <c r="H630" i="16"/>
  <c r="J630" i="16"/>
  <c r="N630" i="16"/>
  <c r="R630" i="16"/>
  <c r="V630" i="16"/>
  <c r="L634" i="16"/>
  <c r="L639" i="16"/>
  <c r="M639" i="16" s="1"/>
  <c r="T639" i="16"/>
  <c r="L641" i="16"/>
  <c r="M641" i="16" s="1"/>
  <c r="V647" i="16"/>
  <c r="W654" i="16"/>
  <c r="H655" i="16"/>
  <c r="N655" i="16"/>
  <c r="R655" i="16"/>
  <c r="L656" i="16"/>
  <c r="M656" i="16" s="1"/>
  <c r="T656" i="16"/>
  <c r="V677" i="16"/>
  <c r="I685" i="16"/>
  <c r="S685" i="16"/>
  <c r="L686" i="16"/>
  <c r="M686" i="16" s="1"/>
  <c r="T686" i="16"/>
  <c r="V707" i="16"/>
  <c r="L716" i="16"/>
  <c r="M716" i="16" s="1"/>
  <c r="T716" i="16"/>
  <c r="L76" i="16"/>
  <c r="W83" i="16"/>
  <c r="M75" i="16"/>
  <c r="M76" i="16" s="1"/>
  <c r="U75" i="16"/>
  <c r="L85" i="16"/>
  <c r="M85" i="16" s="1"/>
  <c r="T85" i="16"/>
  <c r="M88" i="16"/>
  <c r="S146" i="16"/>
  <c r="S144" i="16"/>
  <c r="L99" i="16"/>
  <c r="M99" i="16" s="1"/>
  <c r="G147" i="16"/>
  <c r="L144" i="16"/>
  <c r="M144" i="16" s="1"/>
  <c r="V174" i="16"/>
  <c r="W198" i="16"/>
  <c r="V235" i="16"/>
  <c r="V231" i="16"/>
  <c r="V217" i="16"/>
  <c r="L234" i="16"/>
  <c r="M234" i="16" s="1"/>
  <c r="F219" i="16"/>
  <c r="N219" i="16"/>
  <c r="L241" i="16"/>
  <c r="V250" i="16"/>
  <c r="V246" i="16"/>
  <c r="S281" i="16"/>
  <c r="S283" i="16"/>
  <c r="V312" i="16"/>
  <c r="V308" i="16"/>
  <c r="W305" i="16"/>
  <c r="S311" i="16"/>
  <c r="S313" i="16"/>
  <c r="T94" i="16"/>
  <c r="L97" i="16"/>
  <c r="L96" i="16" s="1"/>
  <c r="H100" i="16"/>
  <c r="T100" i="16"/>
  <c r="L139" i="16"/>
  <c r="M139" i="16" s="1"/>
  <c r="N146" i="16"/>
  <c r="R146" i="16"/>
  <c r="T165" i="16"/>
  <c r="F167" i="16"/>
  <c r="V167" i="16"/>
  <c r="S175" i="16"/>
  <c r="V170" i="16"/>
  <c r="J171" i="16"/>
  <c r="S172" i="16"/>
  <c r="U180" i="16"/>
  <c r="L182" i="16"/>
  <c r="F189" i="16"/>
  <c r="J189" i="16"/>
  <c r="J174" i="16" s="1"/>
  <c r="N189" i="16"/>
  <c r="R189" i="16"/>
  <c r="L190" i="16"/>
  <c r="M190" i="16" s="1"/>
  <c r="S191" i="16"/>
  <c r="U194" i="16"/>
  <c r="W194" i="16" s="1"/>
  <c r="U199" i="16"/>
  <c r="L202" i="16"/>
  <c r="T202" i="16"/>
  <c r="H204" i="16"/>
  <c r="T205" i="16"/>
  <c r="L249" i="16"/>
  <c r="M249" i="16" s="1"/>
  <c r="G314" i="16"/>
  <c r="H314" i="16" s="1"/>
  <c r="I314" i="16" s="1"/>
  <c r="J314" i="16" s="1"/>
  <c r="X188" i="16"/>
  <c r="W228" i="16"/>
  <c r="S234" i="16"/>
  <c r="S217" i="16"/>
  <c r="S236" i="16"/>
  <c r="S249" i="16"/>
  <c r="T249" i="16" s="1"/>
  <c r="S251" i="16"/>
  <c r="M274" i="16"/>
  <c r="M273" i="16" s="1"/>
  <c r="V282" i="16"/>
  <c r="V278" i="16"/>
  <c r="L303" i="16"/>
  <c r="L169" i="16"/>
  <c r="M169" i="16" s="1"/>
  <c r="T169" i="16"/>
  <c r="L187" i="16"/>
  <c r="T187" i="16"/>
  <c r="H189" i="16"/>
  <c r="V202" i="16"/>
  <c r="N204" i="16"/>
  <c r="R204" i="16"/>
  <c r="T311" i="16"/>
  <c r="U311" i="16" s="1"/>
  <c r="W311" i="16" s="1"/>
  <c r="U487" i="16"/>
  <c r="M487" i="16"/>
  <c r="L493" i="16"/>
  <c r="M493" i="16" s="1"/>
  <c r="J478" i="16"/>
  <c r="L478" i="16" s="1"/>
  <c r="M478" i="16" s="1"/>
  <c r="J499" i="16"/>
  <c r="J497" i="16"/>
  <c r="J482" i="16" s="1"/>
  <c r="J480" i="16"/>
  <c r="S512" i="16"/>
  <c r="S514" i="16"/>
  <c r="L210" i="16"/>
  <c r="M210" i="16" s="1"/>
  <c r="T210" i="16"/>
  <c r="S215" i="16"/>
  <c r="T215" i="16" s="1"/>
  <c r="I216" i="16"/>
  <c r="T230" i="16"/>
  <c r="U230" i="16" s="1"/>
  <c r="W230" i="16" s="1"/>
  <c r="L232" i="16"/>
  <c r="T232" i="16"/>
  <c r="G236" i="16"/>
  <c r="I236" i="16"/>
  <c r="K236" i="16"/>
  <c r="T245" i="16"/>
  <c r="U245" i="16" s="1"/>
  <c r="W245" i="16" s="1"/>
  <c r="L247" i="16"/>
  <c r="T247" i="16"/>
  <c r="G251" i="16"/>
  <c r="G252" i="16" s="1"/>
  <c r="I251" i="16"/>
  <c r="K251" i="16"/>
  <c r="T277" i="16"/>
  <c r="U277" i="16" s="1"/>
  <c r="W277" i="16" s="1"/>
  <c r="L279" i="16"/>
  <c r="T279" i="16"/>
  <c r="G283" i="16"/>
  <c r="I283" i="16"/>
  <c r="K283" i="16"/>
  <c r="T302" i="16"/>
  <c r="U302" i="16" s="1"/>
  <c r="T307" i="16"/>
  <c r="U307" i="16" s="1"/>
  <c r="W307" i="16" s="1"/>
  <c r="L309" i="16"/>
  <c r="T309" i="16"/>
  <c r="K313" i="16"/>
  <c r="L366" i="16"/>
  <c r="L370" i="16"/>
  <c r="M370" i="16" s="1"/>
  <c r="U374" i="16"/>
  <c r="U396" i="16"/>
  <c r="L398" i="16"/>
  <c r="W400" i="16"/>
  <c r="V402" i="16"/>
  <c r="F405" i="16"/>
  <c r="J405" i="16"/>
  <c r="N405" i="16"/>
  <c r="R405" i="16"/>
  <c r="L406" i="16"/>
  <c r="M406" i="16" s="1"/>
  <c r="S407" i="16"/>
  <c r="T458" i="16"/>
  <c r="L460" i="16"/>
  <c r="L467" i="16"/>
  <c r="M467" i="16" s="1"/>
  <c r="G470" i="16"/>
  <c r="H470" i="16" s="1"/>
  <c r="I470" i="16" s="1"/>
  <c r="V373" i="16"/>
  <c r="V358" i="16" s="1"/>
  <c r="V367" i="16"/>
  <c r="T370" i="16"/>
  <c r="L371" i="16"/>
  <c r="V468" i="16"/>
  <c r="V464" i="16"/>
  <c r="R467" i="16"/>
  <c r="V498" i="16"/>
  <c r="N499" i="16"/>
  <c r="N497" i="16"/>
  <c r="N480" i="16"/>
  <c r="R499" i="16"/>
  <c r="R497" i="16"/>
  <c r="R480" i="16"/>
  <c r="V509" i="16"/>
  <c r="L215" i="16"/>
  <c r="M215" i="16" s="1"/>
  <c r="L235" i="16"/>
  <c r="M235" i="16" s="1"/>
  <c r="T235" i="16"/>
  <c r="L250" i="16"/>
  <c r="M250" i="16" s="1"/>
  <c r="T250" i="16"/>
  <c r="L282" i="16"/>
  <c r="M282" i="16" s="1"/>
  <c r="T282" i="16"/>
  <c r="L312" i="16"/>
  <c r="M312" i="16" s="1"/>
  <c r="T312" i="16"/>
  <c r="K377" i="16"/>
  <c r="K375" i="16"/>
  <c r="K360" i="16" s="1"/>
  <c r="L403" i="16"/>
  <c r="T403" i="16"/>
  <c r="H405" i="16"/>
  <c r="T438" i="16"/>
  <c r="V579" i="16"/>
  <c r="V575" i="16"/>
  <c r="H580" i="16"/>
  <c r="J580" i="16"/>
  <c r="J578" i="16"/>
  <c r="T373" i="16"/>
  <c r="V429" i="16"/>
  <c r="T432" i="16"/>
  <c r="J439" i="16"/>
  <c r="T462" i="16"/>
  <c r="L465" i="16"/>
  <c r="K469" i="16"/>
  <c r="F474" i="16"/>
  <c r="S478" i="16"/>
  <c r="T478" i="16" s="1"/>
  <c r="I479" i="16"/>
  <c r="L492" i="16"/>
  <c r="M492" i="16" s="1"/>
  <c r="T493" i="16"/>
  <c r="T507" i="16"/>
  <c r="T508" i="16"/>
  <c r="U508" i="16" s="1"/>
  <c r="W508" i="16" s="1"/>
  <c r="L510" i="16"/>
  <c r="M510" i="16" s="1"/>
  <c r="M509" i="16" s="1"/>
  <c r="N512" i="16"/>
  <c r="R512" i="16"/>
  <c r="G580" i="16"/>
  <c r="S578" i="16"/>
  <c r="S563" i="16" s="1"/>
  <c r="S580" i="16"/>
  <c r="T468" i="16"/>
  <c r="L498" i="16"/>
  <c r="M498" i="16" s="1"/>
  <c r="M507" i="16"/>
  <c r="T513" i="16"/>
  <c r="K514" i="16"/>
  <c r="M631" i="16"/>
  <c r="V638" i="16"/>
  <c r="V656" i="16"/>
  <c r="V652" i="16"/>
  <c r="G642" i="16"/>
  <c r="K642" i="16"/>
  <c r="V686" i="16"/>
  <c r="V682" i="16"/>
  <c r="V716" i="16"/>
  <c r="L513" i="16"/>
  <c r="M513" i="16" s="1"/>
  <c r="F553" i="16"/>
  <c r="N554" i="16"/>
  <c r="N556" i="16" s="1"/>
  <c r="J542" i="16"/>
  <c r="J525" i="16" s="1"/>
  <c r="V559" i="16"/>
  <c r="F564" i="16"/>
  <c r="V570" i="16"/>
  <c r="L573" i="16"/>
  <c r="L574" i="16"/>
  <c r="M574" i="16" s="1"/>
  <c r="N578" i="16"/>
  <c r="N563" i="16" s="1"/>
  <c r="R578" i="16"/>
  <c r="S610" i="16"/>
  <c r="T609" i="16"/>
  <c r="G688" i="16"/>
  <c r="L603" i="16"/>
  <c r="M603" i="16" s="1"/>
  <c r="V608" i="16"/>
  <c r="V601" i="16"/>
  <c r="N610" i="16"/>
  <c r="N608" i="16"/>
  <c r="R610" i="16"/>
  <c r="R608" i="16"/>
  <c r="F642" i="16"/>
  <c r="F658" i="16"/>
  <c r="F643" i="16" s="1"/>
  <c r="H642" i="16"/>
  <c r="J642" i="16"/>
  <c r="N642" i="16"/>
  <c r="L579" i="16"/>
  <c r="M579" i="16" s="1"/>
  <c r="U597" i="16"/>
  <c r="U639" i="16"/>
  <c r="W639" i="16" s="1"/>
  <c r="L653" i="16"/>
  <c r="T653" i="16"/>
  <c r="G655" i="16"/>
  <c r="I655" i="16"/>
  <c r="I640" i="16" s="1"/>
  <c r="K655" i="16"/>
  <c r="S655" i="16"/>
  <c r="S640" i="16" s="1"/>
  <c r="W676" i="16"/>
  <c r="F685" i="16"/>
  <c r="H685" i="16"/>
  <c r="J685" i="16"/>
  <c r="J640" i="16" s="1"/>
  <c r="N685" i="16"/>
  <c r="R685" i="16"/>
  <c r="R640" i="16" s="1"/>
  <c r="L629" i="16"/>
  <c r="M629" i="16" s="1"/>
  <c r="T629" i="16"/>
  <c r="L636" i="16"/>
  <c r="M636" i="16" s="1"/>
  <c r="T636" i="16"/>
  <c r="L683" i="16"/>
  <c r="T683" i="16"/>
  <c r="T713" i="16"/>
  <c r="N565" i="16" l="1"/>
  <c r="N537" i="16"/>
  <c r="N539" i="16" s="1"/>
  <c r="K553" i="16"/>
  <c r="K556" i="16"/>
  <c r="K537" i="16"/>
  <c r="K539" i="16" s="1"/>
  <c r="M634" i="16"/>
  <c r="U634" i="16"/>
  <c r="W634" i="16" s="1"/>
  <c r="U633" i="16"/>
  <c r="W633" i="16" s="1"/>
  <c r="J520" i="16"/>
  <c r="J522" i="16" s="1"/>
  <c r="J539" i="16"/>
  <c r="M540" i="16"/>
  <c r="U540" i="16"/>
  <c r="R539" i="16"/>
  <c r="R520" i="16"/>
  <c r="R522" i="16" s="1"/>
  <c r="H539" i="16"/>
  <c r="H520" i="16"/>
  <c r="H522" i="16" s="1"/>
  <c r="M523" i="16"/>
  <c r="U523" i="16"/>
  <c r="K520" i="16"/>
  <c r="K522" i="16" s="1"/>
  <c r="I520" i="16"/>
  <c r="V554" i="16"/>
  <c r="V537" i="16" s="1"/>
  <c r="V563" i="16"/>
  <c r="E33" i="23"/>
  <c r="E49" i="23"/>
  <c r="V556" i="16"/>
  <c r="V547" i="16"/>
  <c r="V524" i="16"/>
  <c r="S537" i="16"/>
  <c r="S536" i="16" s="1"/>
  <c r="S556" i="16"/>
  <c r="T556" i="16" s="1"/>
  <c r="U568" i="16"/>
  <c r="R642" i="16"/>
  <c r="J176" i="16"/>
  <c r="F176" i="16"/>
  <c r="F177" i="16" s="1"/>
  <c r="K176" i="16"/>
  <c r="U258" i="16"/>
  <c r="W258" i="16" s="1"/>
  <c r="K216" i="16"/>
  <c r="R43" i="16"/>
  <c r="R45" i="16" s="1"/>
  <c r="I50" i="16"/>
  <c r="I54" i="16" s="1"/>
  <c r="K50" i="16"/>
  <c r="V34" i="16"/>
  <c r="G176" i="16"/>
  <c r="U218" i="16"/>
  <c r="W218" i="16" s="1"/>
  <c r="U209" i="16"/>
  <c r="W209" i="16" s="1"/>
  <c r="H688" i="16"/>
  <c r="I688" i="16" s="1"/>
  <c r="J688" i="16" s="1"/>
  <c r="K688" i="16" s="1"/>
  <c r="N688" i="16" s="1"/>
  <c r="O688" i="16" s="1"/>
  <c r="P688" i="16" s="1"/>
  <c r="Q688" i="16" s="1"/>
  <c r="X651" i="16"/>
  <c r="X374" i="16"/>
  <c r="V186" i="16"/>
  <c r="W681" i="16"/>
  <c r="U457" i="16"/>
  <c r="N18" i="16"/>
  <c r="N3" i="16" s="1"/>
  <c r="V449" i="16"/>
  <c r="U365" i="16"/>
  <c r="X577" i="16"/>
  <c r="U330" i="16"/>
  <c r="K362" i="16"/>
  <c r="S415" i="16"/>
  <c r="V51" i="16"/>
  <c r="R357" i="16"/>
  <c r="S483" i="16"/>
  <c r="T483" i="16" s="1"/>
  <c r="V480" i="16"/>
  <c r="V479" i="16" s="1"/>
  <c r="W562" i="16"/>
  <c r="W602" i="16"/>
  <c r="X607" i="16"/>
  <c r="I362" i="16"/>
  <c r="J547" i="16"/>
  <c r="U344" i="9"/>
  <c r="W344" i="9" s="1"/>
  <c r="S357" i="16"/>
  <c r="N362" i="16"/>
  <c r="H176" i="16"/>
  <c r="V530" i="16"/>
  <c r="I341" i="16"/>
  <c r="V357" i="16"/>
  <c r="L100" i="16"/>
  <c r="M100" i="16" s="1"/>
  <c r="U94" i="16"/>
  <c r="W94" i="16" s="1"/>
  <c r="I543" i="16"/>
  <c r="M678" i="16"/>
  <c r="M677" i="16" s="1"/>
  <c r="G216" i="16"/>
  <c r="M430" i="16"/>
  <c r="M429" i="16" s="1"/>
  <c r="L219" i="16"/>
  <c r="M219" i="16" s="1"/>
  <c r="X80" i="16"/>
  <c r="X310" i="16"/>
  <c r="X280" i="16"/>
  <c r="N221" i="16"/>
  <c r="L212" i="16"/>
  <c r="M212" i="16" s="1"/>
  <c r="G211" i="16"/>
  <c r="W127" i="16"/>
  <c r="U476" i="16"/>
  <c r="W476" i="16" s="1"/>
  <c r="U631" i="16"/>
  <c r="W631" i="16" s="1"/>
  <c r="T641" i="16"/>
  <c r="G329" i="16"/>
  <c r="H329" i="16" s="1"/>
  <c r="R256" i="16"/>
  <c r="E32" i="16"/>
  <c r="R553" i="16"/>
  <c r="U170" i="16"/>
  <c r="U197" i="16"/>
  <c r="W197" i="16" s="1"/>
  <c r="W196" i="16" s="1"/>
  <c r="N357" i="16"/>
  <c r="U678" i="16"/>
  <c r="W678" i="16" s="1"/>
  <c r="U168" i="16"/>
  <c r="W168" i="16" s="1"/>
  <c r="U656" i="16"/>
  <c r="G547" i="16"/>
  <c r="G548" i="16" s="1"/>
  <c r="G530" i="16"/>
  <c r="T358" i="16"/>
  <c r="T357" i="16" s="1"/>
  <c r="L24" i="23"/>
  <c r="M24" i="23" s="1"/>
  <c r="U488" i="16"/>
  <c r="W488" i="16" s="1"/>
  <c r="L281" i="16"/>
  <c r="M281" i="16" s="1"/>
  <c r="F33" i="16"/>
  <c r="F32" i="16" s="1"/>
  <c r="I26" i="16"/>
  <c r="I25" i="16" s="1"/>
  <c r="T334" i="23"/>
  <c r="U334" i="23" s="1"/>
  <c r="N255" i="23"/>
  <c r="T255" i="23" s="1"/>
  <c r="U255" i="23" s="1"/>
  <c r="E171" i="23"/>
  <c r="H640" i="16"/>
  <c r="H546" i="16" s="1"/>
  <c r="G640" i="16"/>
  <c r="T677" i="16"/>
  <c r="L647" i="16"/>
  <c r="U462" i="16"/>
  <c r="H564" i="16"/>
  <c r="L504" i="16"/>
  <c r="X404" i="16"/>
  <c r="J470" i="16"/>
  <c r="L376" i="16"/>
  <c r="M376" i="16" s="1"/>
  <c r="G284" i="16"/>
  <c r="H284" i="16" s="1"/>
  <c r="H252" i="16"/>
  <c r="X200" i="16"/>
  <c r="X248" i="16"/>
  <c r="J52" i="16"/>
  <c r="V48" i="16"/>
  <c r="M227" i="16"/>
  <c r="M226" i="16" s="1"/>
  <c r="V96" i="16"/>
  <c r="L638" i="16"/>
  <c r="M638" i="16" s="1"/>
  <c r="H536" i="16"/>
  <c r="L172" i="16"/>
  <c r="M172" i="16" s="1"/>
  <c r="M171" i="16" s="1"/>
  <c r="L533" i="16"/>
  <c r="M533" i="16" s="1"/>
  <c r="H408" i="16"/>
  <c r="I408" i="16" s="1"/>
  <c r="J408" i="16" s="1"/>
  <c r="F221" i="16"/>
  <c r="F222" i="16" s="1"/>
  <c r="G222" i="16" s="1"/>
  <c r="E403" i="23"/>
  <c r="S553" i="16"/>
  <c r="S20" i="16"/>
  <c r="H519" i="16"/>
  <c r="J50" i="16"/>
  <c r="J49" i="16" s="1"/>
  <c r="G299" i="16"/>
  <c r="H299" i="16" s="1"/>
  <c r="L288" i="16"/>
  <c r="K25" i="16"/>
  <c r="U297" i="16"/>
  <c r="G393" i="16"/>
  <c r="H393" i="16" s="1"/>
  <c r="I52" i="16"/>
  <c r="S335" i="16"/>
  <c r="E49" i="16"/>
  <c r="R262" i="23"/>
  <c r="T381" i="23"/>
  <c r="U381" i="23" s="1"/>
  <c r="G45" i="16"/>
  <c r="G42" i="16"/>
  <c r="R415" i="16"/>
  <c r="R412" i="16"/>
  <c r="N415" i="16"/>
  <c r="T415" i="16" s="1"/>
  <c r="T413" i="16"/>
  <c r="F43" i="16"/>
  <c r="F26" i="16"/>
  <c r="U716" i="16"/>
  <c r="U686" i="16"/>
  <c r="U627" i="16"/>
  <c r="W627" i="16" s="1"/>
  <c r="G192" i="16"/>
  <c r="S418" i="16"/>
  <c r="T418" i="16" s="1"/>
  <c r="U418" i="16" s="1"/>
  <c r="W418" i="16" s="1"/>
  <c r="S465" i="16"/>
  <c r="S420" i="16" s="1"/>
  <c r="S67" i="16"/>
  <c r="S48" i="16"/>
  <c r="T48" i="16" s="1"/>
  <c r="R50" i="16"/>
  <c r="H50" i="16"/>
  <c r="U383" i="16"/>
  <c r="W383" i="16" s="1"/>
  <c r="W382" i="16" s="1"/>
  <c r="K28" i="16"/>
  <c r="G28" i="16"/>
  <c r="F28" i="16"/>
  <c r="N28" i="16"/>
  <c r="H28" i="16"/>
  <c r="K415" i="16"/>
  <c r="K412" i="16"/>
  <c r="I415" i="16"/>
  <c r="I412" i="16"/>
  <c r="G415" i="16"/>
  <c r="G412" i="16"/>
  <c r="S412" i="16"/>
  <c r="N412" i="16"/>
  <c r="T411" i="16"/>
  <c r="U411" i="16" s="1"/>
  <c r="J33" i="16"/>
  <c r="L31" i="16"/>
  <c r="M31" i="16" s="1"/>
  <c r="R42" i="16"/>
  <c r="S24" i="16"/>
  <c r="T24" i="16" s="1"/>
  <c r="T58" i="16"/>
  <c r="U58" i="16" s="1"/>
  <c r="T414" i="16"/>
  <c r="L414" i="16"/>
  <c r="M414" i="16" s="1"/>
  <c r="K33" i="16"/>
  <c r="J26" i="16"/>
  <c r="J25" i="16" s="1"/>
  <c r="K43" i="16"/>
  <c r="T34" i="16"/>
  <c r="L34" i="16"/>
  <c r="M34" i="16" s="1"/>
  <c r="T36" i="16"/>
  <c r="T30" i="16"/>
  <c r="L36" i="16"/>
  <c r="M36" i="16" s="1"/>
  <c r="L30" i="16"/>
  <c r="M30" i="16" s="1"/>
  <c r="T29" i="16"/>
  <c r="L29" i="16"/>
  <c r="M29" i="16" s="1"/>
  <c r="T41" i="16"/>
  <c r="L24" i="16"/>
  <c r="M24" i="16" s="1"/>
  <c r="T23" i="16"/>
  <c r="L23" i="16"/>
  <c r="M23" i="16" s="1"/>
  <c r="T22" i="16"/>
  <c r="L22" i="16"/>
  <c r="M22" i="16" s="1"/>
  <c r="N43" i="16"/>
  <c r="N42" i="16" s="1"/>
  <c r="N26" i="16"/>
  <c r="K49" i="16"/>
  <c r="K54" i="16"/>
  <c r="N50" i="16"/>
  <c r="F50" i="16"/>
  <c r="J28" i="16"/>
  <c r="I28" i="16"/>
  <c r="I43" i="16"/>
  <c r="N33" i="16"/>
  <c r="H33" i="16"/>
  <c r="G26" i="16"/>
  <c r="G25" i="16" s="1"/>
  <c r="L48" i="16"/>
  <c r="M48" i="16" s="1"/>
  <c r="S60" i="16"/>
  <c r="T60" i="16" s="1"/>
  <c r="S43" i="16"/>
  <c r="G425" i="16"/>
  <c r="H425" i="16" s="1"/>
  <c r="I425" i="16" s="1"/>
  <c r="J425" i="16" s="1"/>
  <c r="J415" i="16"/>
  <c r="J412" i="16"/>
  <c r="H415" i="16"/>
  <c r="H412" i="16"/>
  <c r="F415" i="16"/>
  <c r="F412" i="16"/>
  <c r="L413" i="16"/>
  <c r="V419" i="16"/>
  <c r="R33" i="16"/>
  <c r="I33" i="16"/>
  <c r="H26" i="16"/>
  <c r="H25" i="16" s="1"/>
  <c r="T51" i="16"/>
  <c r="L51" i="16"/>
  <c r="M51" i="16" s="1"/>
  <c r="I49" i="16"/>
  <c r="T47" i="16"/>
  <c r="L53" i="16"/>
  <c r="M53" i="16" s="1"/>
  <c r="L47" i="16"/>
  <c r="M47" i="16" s="1"/>
  <c r="T46" i="16"/>
  <c r="L46" i="16"/>
  <c r="M46" i="16" s="1"/>
  <c r="N25" i="16"/>
  <c r="J42" i="16"/>
  <c r="H42" i="16"/>
  <c r="L41" i="16"/>
  <c r="M41" i="16" s="1"/>
  <c r="T40" i="16"/>
  <c r="L40" i="16"/>
  <c r="M40" i="16" s="1"/>
  <c r="T39" i="16"/>
  <c r="L39" i="16"/>
  <c r="M39" i="16" s="1"/>
  <c r="R62" i="16"/>
  <c r="R26" i="16"/>
  <c r="R25" i="16" s="1"/>
  <c r="R59" i="16"/>
  <c r="H440" i="16"/>
  <c r="I440" i="16" s="1"/>
  <c r="J440" i="16" s="1"/>
  <c r="U430" i="16"/>
  <c r="W430" i="16" s="1"/>
  <c r="W429" i="16" s="1"/>
  <c r="U552" i="16"/>
  <c r="W552" i="16" s="1"/>
  <c r="M137" i="16"/>
  <c r="M136" i="16" s="1"/>
  <c r="U628" i="16"/>
  <c r="W628" i="16" s="1"/>
  <c r="U550" i="16"/>
  <c r="I546" i="16"/>
  <c r="G543" i="16"/>
  <c r="I343" i="16"/>
  <c r="I335" i="16"/>
  <c r="G335" i="16"/>
  <c r="T332" i="16"/>
  <c r="J335" i="16"/>
  <c r="H335" i="16"/>
  <c r="I338" i="16"/>
  <c r="I344" i="16" s="1"/>
  <c r="S341" i="16"/>
  <c r="S345" i="16" s="1"/>
  <c r="J340" i="16"/>
  <c r="J345" i="16"/>
  <c r="R353" i="16"/>
  <c r="R350" i="16"/>
  <c r="R334" i="16"/>
  <c r="K353" i="16"/>
  <c r="K334" i="16"/>
  <c r="K336" i="16" s="1"/>
  <c r="K350" i="16"/>
  <c r="I353" i="16"/>
  <c r="I334" i="16"/>
  <c r="I350" i="16"/>
  <c r="G353" i="16"/>
  <c r="G334" i="16"/>
  <c r="G350" i="16"/>
  <c r="T352" i="16"/>
  <c r="N335" i="16"/>
  <c r="T335" i="16" s="1"/>
  <c r="L352" i="16"/>
  <c r="M352" i="16" s="1"/>
  <c r="F335" i="16"/>
  <c r="S360" i="16"/>
  <c r="R360" i="16"/>
  <c r="I345" i="16"/>
  <c r="I340" i="16"/>
  <c r="S353" i="16"/>
  <c r="S334" i="16"/>
  <c r="S350" i="16"/>
  <c r="N353" i="16"/>
  <c r="N350" i="16"/>
  <c r="N334" i="16"/>
  <c r="T351" i="16"/>
  <c r="J353" i="16"/>
  <c r="J334" i="16"/>
  <c r="J350" i="16"/>
  <c r="H353" i="16"/>
  <c r="H350" i="16"/>
  <c r="H334" i="16"/>
  <c r="F353" i="16"/>
  <c r="F334" i="16"/>
  <c r="L351" i="16"/>
  <c r="F350" i="16"/>
  <c r="N360" i="16"/>
  <c r="V333" i="16"/>
  <c r="V336" i="16"/>
  <c r="U27" i="16"/>
  <c r="T331" i="16"/>
  <c r="U331" i="16" s="1"/>
  <c r="G269" i="16"/>
  <c r="H269" i="16" s="1"/>
  <c r="I269" i="16" s="1"/>
  <c r="J269" i="16" s="1"/>
  <c r="K269" i="16" s="1"/>
  <c r="N269" i="16" s="1"/>
  <c r="O269" i="16" s="1"/>
  <c r="P269" i="16" s="1"/>
  <c r="Q269" i="16" s="1"/>
  <c r="L332" i="16"/>
  <c r="M331" i="16"/>
  <c r="L145" i="16"/>
  <c r="M145" i="16" s="1"/>
  <c r="H147" i="16"/>
  <c r="I147" i="16" s="1"/>
  <c r="J147" i="16" s="1"/>
  <c r="K147" i="16" s="1"/>
  <c r="N147" i="16" s="1"/>
  <c r="O147" i="16" s="1"/>
  <c r="P147" i="16" s="1"/>
  <c r="Q147" i="16" s="1"/>
  <c r="K52" i="16"/>
  <c r="M142" i="16"/>
  <c r="M141" i="16" s="1"/>
  <c r="L141" i="16"/>
  <c r="V31" i="16"/>
  <c r="V44" i="16"/>
  <c r="W61" i="16"/>
  <c r="U227" i="16"/>
  <c r="W227" i="16" s="1"/>
  <c r="W226" i="16" s="1"/>
  <c r="T606" i="16"/>
  <c r="T605" i="16" s="1"/>
  <c r="R469" i="16"/>
  <c r="X604" i="16"/>
  <c r="N530" i="16"/>
  <c r="T530" i="16" s="1"/>
  <c r="T535" i="16"/>
  <c r="X203" i="16"/>
  <c r="R117" i="16"/>
  <c r="S117" i="16" s="1"/>
  <c r="R132" i="16"/>
  <c r="S132" i="16" s="1"/>
  <c r="R688" i="16"/>
  <c r="S688" i="16" s="1"/>
  <c r="R162" i="16"/>
  <c r="S162" i="16" s="1"/>
  <c r="X233" i="16"/>
  <c r="U137" i="16"/>
  <c r="X98" i="16"/>
  <c r="X466" i="16"/>
  <c r="T516" i="16"/>
  <c r="X125" i="16"/>
  <c r="W126" i="16"/>
  <c r="U126" i="16"/>
  <c r="X389" i="16"/>
  <c r="X143" i="16"/>
  <c r="X436" i="16"/>
  <c r="T429" i="16"/>
  <c r="U338" i="9"/>
  <c r="W338" i="9" s="1"/>
  <c r="X386" i="16"/>
  <c r="U214" i="16"/>
  <c r="W214" i="16" s="1"/>
  <c r="S264" i="16"/>
  <c r="S266" i="16"/>
  <c r="G266" i="16"/>
  <c r="U458" i="16"/>
  <c r="X463" i="16" s="1"/>
  <c r="X433" i="16"/>
  <c r="T257" i="16"/>
  <c r="T375" i="16"/>
  <c r="U249" i="16"/>
  <c r="X249" i="16" s="1"/>
  <c r="L196" i="16"/>
  <c r="N166" i="16"/>
  <c r="W123" i="16"/>
  <c r="X128" i="16"/>
  <c r="X451" i="16"/>
  <c r="I266" i="16"/>
  <c r="I35" i="16" s="1"/>
  <c r="N266" i="16"/>
  <c r="W317" i="16"/>
  <c r="W318" i="16" s="1"/>
  <c r="X322" i="16"/>
  <c r="L259" i="16"/>
  <c r="M259" i="16" s="1"/>
  <c r="R18" i="16"/>
  <c r="R3" i="16" s="1"/>
  <c r="T255" i="16"/>
  <c r="U255" i="16" s="1"/>
  <c r="F17" i="16"/>
  <c r="U208" i="16"/>
  <c r="W208" i="16" s="1"/>
  <c r="W124" i="16"/>
  <c r="X129" i="16"/>
  <c r="J266" i="16"/>
  <c r="J35" i="16" s="1"/>
  <c r="H266" i="16"/>
  <c r="N17" i="16"/>
  <c r="K17" i="16"/>
  <c r="M264" i="16"/>
  <c r="M263" i="16" s="1"/>
  <c r="L263" i="16"/>
  <c r="V434" i="16"/>
  <c r="V264" i="16"/>
  <c r="R266" i="16"/>
  <c r="F266" i="16"/>
  <c r="M257" i="16"/>
  <c r="M256" i="16" s="1"/>
  <c r="L256" i="16"/>
  <c r="H192" i="16"/>
  <c r="K408" i="16"/>
  <c r="N408" i="16" s="1"/>
  <c r="O408" i="16" s="1"/>
  <c r="P408" i="16" s="1"/>
  <c r="Q408" i="16" s="1"/>
  <c r="X292" i="16"/>
  <c r="K266" i="16"/>
  <c r="K35" i="16" s="1"/>
  <c r="S17" i="16"/>
  <c r="I17" i="16"/>
  <c r="G17" i="16"/>
  <c r="S18" i="16"/>
  <c r="S3" i="16" s="1"/>
  <c r="T477" i="16"/>
  <c r="L483" i="16"/>
  <c r="M483" i="16" s="1"/>
  <c r="U432" i="16"/>
  <c r="W432" i="16" s="1"/>
  <c r="U473" i="16"/>
  <c r="W473" i="16" s="1"/>
  <c r="I192" i="16"/>
  <c r="J192" i="16" s="1"/>
  <c r="K192" i="16" s="1"/>
  <c r="N192" i="16" s="1"/>
  <c r="O192" i="16" s="1"/>
  <c r="P192" i="16" s="1"/>
  <c r="Q192" i="16" s="1"/>
  <c r="L175" i="16"/>
  <c r="M175" i="16" s="1"/>
  <c r="T212" i="16"/>
  <c r="U212" i="16" s="1"/>
  <c r="W212" i="16" s="1"/>
  <c r="K543" i="16"/>
  <c r="V20" i="16"/>
  <c r="T167" i="16"/>
  <c r="T166" i="16" s="1"/>
  <c r="T220" i="16"/>
  <c r="G237" i="16"/>
  <c r="H237" i="16" s="1"/>
  <c r="I237" i="16" s="1"/>
  <c r="J237" i="16" s="1"/>
  <c r="K237" i="16" s="1"/>
  <c r="N237" i="16" s="1"/>
  <c r="O237" i="16" s="1"/>
  <c r="P237" i="16" s="1"/>
  <c r="Q237" i="16" s="1"/>
  <c r="I176" i="16"/>
  <c r="R171" i="16"/>
  <c r="N171" i="16"/>
  <c r="R176" i="16"/>
  <c r="N176" i="16"/>
  <c r="H166" i="16"/>
  <c r="L171" i="16"/>
  <c r="L217" i="16"/>
  <c r="M217" i="16" s="1"/>
  <c r="M216" i="16" s="1"/>
  <c r="K171" i="16"/>
  <c r="G171" i="16"/>
  <c r="R221" i="16"/>
  <c r="L600" i="16"/>
  <c r="W77" i="16"/>
  <c r="V406" i="16"/>
  <c r="G455" i="16"/>
  <c r="H455" i="16" s="1"/>
  <c r="I455" i="16" s="1"/>
  <c r="J455" i="16" s="1"/>
  <c r="K455" i="16" s="1"/>
  <c r="N455" i="16" s="1"/>
  <c r="O455" i="16" s="1"/>
  <c r="P455" i="16" s="1"/>
  <c r="Q455" i="16" s="1"/>
  <c r="U445" i="16"/>
  <c r="W445" i="16" s="1"/>
  <c r="W444" i="16" s="1"/>
  <c r="T281" i="16"/>
  <c r="U281" i="16" s="1"/>
  <c r="G20" i="16"/>
  <c r="J166" i="16"/>
  <c r="T172" i="16"/>
  <c r="T171" i="16" s="1"/>
  <c r="U327" i="16"/>
  <c r="W384" i="16"/>
  <c r="I393" i="16"/>
  <c r="J393" i="16" s="1"/>
  <c r="K393" i="16" s="1"/>
  <c r="N393" i="16" s="1"/>
  <c r="O393" i="16" s="1"/>
  <c r="P393" i="16" s="1"/>
  <c r="Q393" i="16" s="1"/>
  <c r="M450" i="16"/>
  <c r="M449" i="16" s="1"/>
  <c r="L449" i="16"/>
  <c r="L452" i="16"/>
  <c r="M452" i="16" s="1"/>
  <c r="W453" i="16"/>
  <c r="U450" i="16"/>
  <c r="T449" i="16"/>
  <c r="T452" i="16"/>
  <c r="X448" i="16"/>
  <c r="U370" i="16"/>
  <c r="W370" i="16" s="1"/>
  <c r="L318" i="16"/>
  <c r="J221" i="16"/>
  <c r="X295" i="16"/>
  <c r="W677" i="16"/>
  <c r="V391" i="16"/>
  <c r="W391" i="16" s="1"/>
  <c r="V387" i="16"/>
  <c r="M388" i="16"/>
  <c r="M387" i="16" s="1"/>
  <c r="L387" i="16"/>
  <c r="U388" i="16"/>
  <c r="U387" i="16" s="1"/>
  <c r="T387" i="16"/>
  <c r="T390" i="16"/>
  <c r="L390" i="16"/>
  <c r="M390" i="16" s="1"/>
  <c r="L534" i="16"/>
  <c r="M534" i="16" s="1"/>
  <c r="H221" i="16"/>
  <c r="H222" i="16" s="1"/>
  <c r="I222" i="16" s="1"/>
  <c r="R216" i="16"/>
  <c r="V327" i="16"/>
  <c r="I329" i="16"/>
  <c r="J329" i="16" s="1"/>
  <c r="K329" i="16" s="1"/>
  <c r="N329" i="16" s="1"/>
  <c r="U242" i="16"/>
  <c r="U241" i="16" s="1"/>
  <c r="U213" i="16"/>
  <c r="X218" i="16" s="1"/>
  <c r="U289" i="16"/>
  <c r="W289" i="16" s="1"/>
  <c r="W288" i="16" s="1"/>
  <c r="V297" i="16"/>
  <c r="W297" i="16" s="1"/>
  <c r="V293" i="16"/>
  <c r="M294" i="16"/>
  <c r="M293" i="16" s="1"/>
  <c r="L293" i="16"/>
  <c r="L296" i="16"/>
  <c r="M296" i="16" s="1"/>
  <c r="U294" i="16"/>
  <c r="U293" i="16" s="1"/>
  <c r="T293" i="16"/>
  <c r="I299" i="16"/>
  <c r="J299" i="16" s="1"/>
  <c r="K299" i="16" s="1"/>
  <c r="N299" i="16" s="1"/>
  <c r="O299" i="16" s="1"/>
  <c r="P299" i="16" s="1"/>
  <c r="Q299" i="16" s="1"/>
  <c r="T296" i="16"/>
  <c r="V160" i="16"/>
  <c r="U478" i="16"/>
  <c r="W478" i="16" s="1"/>
  <c r="H174" i="16"/>
  <c r="H52" i="16" s="1"/>
  <c r="S219" i="16"/>
  <c r="U481" i="16"/>
  <c r="W481" i="16" s="1"/>
  <c r="U456" i="16"/>
  <c r="U601" i="16"/>
  <c r="U600" i="16" s="1"/>
  <c r="U164" i="16"/>
  <c r="W164" i="16" s="1"/>
  <c r="L551" i="16"/>
  <c r="M551" i="16" s="1"/>
  <c r="U115" i="16"/>
  <c r="W115" i="16" s="1"/>
  <c r="U130" i="16"/>
  <c r="W130" i="16" s="1"/>
  <c r="T638" i="16"/>
  <c r="U638" i="16" s="1"/>
  <c r="W638" i="16" s="1"/>
  <c r="U368" i="16"/>
  <c r="W368" i="16" s="1"/>
  <c r="U274" i="16"/>
  <c r="U273" i="16" s="1"/>
  <c r="U182" i="16"/>
  <c r="W182" i="16" s="1"/>
  <c r="X140" i="16"/>
  <c r="T547" i="16"/>
  <c r="U160" i="16"/>
  <c r="W249" i="16"/>
  <c r="M472" i="16"/>
  <c r="U472" i="16"/>
  <c r="H543" i="16"/>
  <c r="H525" i="16"/>
  <c r="F536" i="16"/>
  <c r="T534" i="16"/>
  <c r="U534" i="16" s="1"/>
  <c r="N517" i="16"/>
  <c r="T517" i="16" s="1"/>
  <c r="U517" i="16" s="1"/>
  <c r="F637" i="16"/>
  <c r="K640" i="16"/>
  <c r="K546" i="16" s="1"/>
  <c r="G546" i="16"/>
  <c r="G529" i="16" s="1"/>
  <c r="U641" i="16"/>
  <c r="K610" i="16"/>
  <c r="K565" i="16" s="1"/>
  <c r="U635" i="16"/>
  <c r="W635" i="16" s="1"/>
  <c r="T564" i="16"/>
  <c r="U648" i="16"/>
  <c r="W648" i="16" s="1"/>
  <c r="W647" i="16" s="1"/>
  <c r="L468" i="16"/>
  <c r="M468" i="16" s="1"/>
  <c r="U557" i="16"/>
  <c r="W557" i="16" s="1"/>
  <c r="U493" i="16"/>
  <c r="W493" i="16" s="1"/>
  <c r="W491" i="16"/>
  <c r="L438" i="16"/>
  <c r="M438" i="16" s="1"/>
  <c r="T524" i="16"/>
  <c r="U471" i="16"/>
  <c r="U398" i="16"/>
  <c r="W398" i="16" s="1"/>
  <c r="W374" i="16"/>
  <c r="L220" i="16"/>
  <c r="M220" i="16" s="1"/>
  <c r="T405" i="16"/>
  <c r="U210" i="16"/>
  <c r="W210" i="16" s="1"/>
  <c r="V438" i="16"/>
  <c r="U205" i="16"/>
  <c r="L204" i="16"/>
  <c r="M204" i="16" s="1"/>
  <c r="U165" i="16"/>
  <c r="X170" i="16" s="1"/>
  <c r="T95" i="16"/>
  <c r="U95" i="16" s="1"/>
  <c r="W95" i="16" s="1"/>
  <c r="U173" i="16"/>
  <c r="W173" i="16" s="1"/>
  <c r="U163" i="16"/>
  <c r="W163" i="16" s="1"/>
  <c r="W140" i="16"/>
  <c r="L477" i="16"/>
  <c r="M477" i="16" s="1"/>
  <c r="L516" i="16"/>
  <c r="T533" i="16"/>
  <c r="U533" i="16" s="1"/>
  <c r="H637" i="16"/>
  <c r="U121" i="16"/>
  <c r="W120" i="16"/>
  <c r="W121" i="16" s="1"/>
  <c r="V85" i="16"/>
  <c r="V81" i="16"/>
  <c r="K547" i="16"/>
  <c r="K548" i="16" s="1"/>
  <c r="K530" i="16"/>
  <c r="I547" i="16"/>
  <c r="I548" i="16" s="1"/>
  <c r="I530" i="16"/>
  <c r="T545" i="16"/>
  <c r="N528" i="16"/>
  <c r="T528" i="16" s="1"/>
  <c r="L545" i="16"/>
  <c r="M545" i="16" s="1"/>
  <c r="F528" i="16"/>
  <c r="L528" i="16" s="1"/>
  <c r="M528" i="16" s="1"/>
  <c r="T542" i="16"/>
  <c r="N525" i="16"/>
  <c r="T525" i="16" s="1"/>
  <c r="U603" i="16"/>
  <c r="W603" i="16" s="1"/>
  <c r="W716" i="16"/>
  <c r="L558" i="16"/>
  <c r="M558" i="16" s="1"/>
  <c r="U282" i="16"/>
  <c r="W282" i="16" s="1"/>
  <c r="U250" i="16"/>
  <c r="W250" i="16" s="1"/>
  <c r="U235" i="16"/>
  <c r="U215" i="16"/>
  <c r="W215" i="16" s="1"/>
  <c r="T376" i="16"/>
  <c r="T204" i="16"/>
  <c r="H101" i="16"/>
  <c r="H102" i="16" s="1"/>
  <c r="I102" i="16" s="1"/>
  <c r="J102" i="16" s="1"/>
  <c r="K102" i="16" s="1"/>
  <c r="N102" i="16" s="1"/>
  <c r="O102" i="16" s="1"/>
  <c r="P102" i="16" s="1"/>
  <c r="Q102" i="16" s="1"/>
  <c r="X511" i="16"/>
  <c r="G207" i="16"/>
  <c r="H207" i="16" s="1"/>
  <c r="I207" i="16" s="1"/>
  <c r="J207" i="16" s="1"/>
  <c r="K207" i="16" s="1"/>
  <c r="N207" i="16" s="1"/>
  <c r="O207" i="16" s="1"/>
  <c r="P207" i="16" s="1"/>
  <c r="Q207" i="16" s="1"/>
  <c r="U598" i="16"/>
  <c r="I610" i="16"/>
  <c r="I565" i="16" s="1"/>
  <c r="I564" i="16"/>
  <c r="F547" i="16"/>
  <c r="S518" i="16"/>
  <c r="K518" i="16"/>
  <c r="I536" i="16"/>
  <c r="I518" i="16"/>
  <c r="I519" i="16" s="1"/>
  <c r="G518" i="16"/>
  <c r="T175" i="16"/>
  <c r="T559" i="16"/>
  <c r="L535" i="16"/>
  <c r="U85" i="16"/>
  <c r="W85" i="16" s="1"/>
  <c r="U76" i="16"/>
  <c r="W75" i="16"/>
  <c r="L682" i="16"/>
  <c r="M683" i="16"/>
  <c r="M682" i="16" s="1"/>
  <c r="L685" i="16"/>
  <c r="M685" i="16" s="1"/>
  <c r="F640" i="16"/>
  <c r="V606" i="16"/>
  <c r="V600" i="16"/>
  <c r="U573" i="16"/>
  <c r="M573" i="16"/>
  <c r="V542" i="16"/>
  <c r="U677" i="16"/>
  <c r="V637" i="16"/>
  <c r="T712" i="16"/>
  <c r="T682" i="16"/>
  <c r="U683" i="16"/>
  <c r="X683" i="16" s="1"/>
  <c r="T685" i="16"/>
  <c r="N640" i="16"/>
  <c r="T640" i="16" s="1"/>
  <c r="M653" i="16"/>
  <c r="M652" i="16" s="1"/>
  <c r="L652" i="16"/>
  <c r="J610" i="16"/>
  <c r="J565" i="16" s="1"/>
  <c r="J608" i="16"/>
  <c r="J563" i="16" s="1"/>
  <c r="R560" i="16"/>
  <c r="R544" i="16"/>
  <c r="N560" i="16"/>
  <c r="N544" i="16"/>
  <c r="H547" i="16"/>
  <c r="T554" i="16"/>
  <c r="N553" i="16"/>
  <c r="W656" i="16"/>
  <c r="V641" i="16"/>
  <c r="U647" i="16"/>
  <c r="S560" i="16"/>
  <c r="S544" i="16"/>
  <c r="L509" i="16"/>
  <c r="U403" i="16"/>
  <c r="T402" i="16"/>
  <c r="R484" i="16"/>
  <c r="R479" i="16"/>
  <c r="N484" i="16"/>
  <c r="N479" i="16"/>
  <c r="N482" i="16"/>
  <c r="J375" i="16"/>
  <c r="J360" i="16" s="1"/>
  <c r="J377" i="16"/>
  <c r="W458" i="16"/>
  <c r="W396" i="16"/>
  <c r="X401" i="16"/>
  <c r="U366" i="16"/>
  <c r="M366" i="16"/>
  <c r="M367" i="16" s="1"/>
  <c r="U309" i="16"/>
  <c r="T308" i="16"/>
  <c r="M279" i="16"/>
  <c r="M278" i="16" s="1"/>
  <c r="L278" i="16"/>
  <c r="U247" i="16"/>
  <c r="T246" i="16"/>
  <c r="M232" i="16"/>
  <c r="M231" i="16" s="1"/>
  <c r="L231" i="16"/>
  <c r="S467" i="16"/>
  <c r="S422" i="16" s="1"/>
  <c r="S469" i="16"/>
  <c r="V205" i="16"/>
  <c r="V201" i="16"/>
  <c r="U187" i="16"/>
  <c r="T186" i="16"/>
  <c r="S221" i="16"/>
  <c r="S216" i="16"/>
  <c r="W213" i="16"/>
  <c r="M202" i="16"/>
  <c r="M201" i="16" s="1"/>
  <c r="L201" i="16"/>
  <c r="W199" i="16"/>
  <c r="W180" i="16"/>
  <c r="X185" i="16"/>
  <c r="L167" i="16"/>
  <c r="F166" i="16"/>
  <c r="V216" i="16"/>
  <c r="T91" i="16"/>
  <c r="T655" i="16"/>
  <c r="M637" i="16"/>
  <c r="R546" i="16"/>
  <c r="R529" i="16" s="1"/>
  <c r="M630" i="16"/>
  <c r="T715" i="16"/>
  <c r="U636" i="16"/>
  <c r="W636" i="16" s="1"/>
  <c r="U629" i="16"/>
  <c r="U630" i="16" s="1"/>
  <c r="L542" i="16"/>
  <c r="L637" i="16"/>
  <c r="L559" i="16"/>
  <c r="W686" i="16"/>
  <c r="G658" i="16"/>
  <c r="T630" i="16"/>
  <c r="L630" i="16"/>
  <c r="U513" i="16"/>
  <c r="W513" i="16" s="1"/>
  <c r="U579" i="16"/>
  <c r="W579" i="16" s="1"/>
  <c r="U574" i="16"/>
  <c r="U507" i="16"/>
  <c r="R565" i="16"/>
  <c r="T498" i="16"/>
  <c r="U498" i="16" s="1"/>
  <c r="W498" i="16" s="1"/>
  <c r="U312" i="16"/>
  <c r="W312" i="16" s="1"/>
  <c r="I252" i="16"/>
  <c r="J252" i="16" s="1"/>
  <c r="K252" i="16" s="1"/>
  <c r="N252" i="16" s="1"/>
  <c r="O252" i="16" s="1"/>
  <c r="P252" i="16" s="1"/>
  <c r="Q252" i="16" s="1"/>
  <c r="U169" i="16"/>
  <c r="L211" i="16"/>
  <c r="T217" i="16"/>
  <c r="R174" i="16"/>
  <c r="R52" i="16" s="1"/>
  <c r="G177" i="16"/>
  <c r="H177" i="16" s="1"/>
  <c r="X245" i="16"/>
  <c r="X230" i="16"/>
  <c r="V172" i="16"/>
  <c r="U145" i="16"/>
  <c r="U139" i="16"/>
  <c r="X173" i="16"/>
  <c r="U653" i="16"/>
  <c r="T652" i="16"/>
  <c r="G610" i="16"/>
  <c r="L609" i="16"/>
  <c r="M609" i="16" s="1"/>
  <c r="S565" i="16"/>
  <c r="M465" i="16"/>
  <c r="M464" i="16" s="1"/>
  <c r="L464" i="16"/>
  <c r="W462" i="16"/>
  <c r="T372" i="16"/>
  <c r="H565" i="16"/>
  <c r="R536" i="16"/>
  <c r="M403" i="16"/>
  <c r="M402" i="16" s="1"/>
  <c r="L402" i="16"/>
  <c r="U371" i="16"/>
  <c r="M371" i="16"/>
  <c r="V372" i="16"/>
  <c r="V376" i="16"/>
  <c r="L459" i="16"/>
  <c r="M460" i="16"/>
  <c r="M459" i="16" s="1"/>
  <c r="L405" i="16"/>
  <c r="M405" i="16" s="1"/>
  <c r="L397" i="16"/>
  <c r="M398" i="16"/>
  <c r="M397" i="16" s="1"/>
  <c r="N20" i="16"/>
  <c r="E19" i="16"/>
  <c r="M309" i="16"/>
  <c r="M308" i="16" s="1"/>
  <c r="L308" i="16"/>
  <c r="X307" i="16"/>
  <c r="W302" i="16"/>
  <c r="U279" i="16"/>
  <c r="T278" i="16"/>
  <c r="M247" i="16"/>
  <c r="M246" i="16" s="1"/>
  <c r="L246" i="16"/>
  <c r="U232" i="16"/>
  <c r="X232" i="16" s="1"/>
  <c r="T231" i="16"/>
  <c r="J484" i="16"/>
  <c r="J479" i="16"/>
  <c r="M187" i="16"/>
  <c r="M186" i="16" s="1"/>
  <c r="L186" i="16"/>
  <c r="U202" i="16"/>
  <c r="U201" i="16" s="1"/>
  <c r="T201" i="16"/>
  <c r="N174" i="16"/>
  <c r="N52" i="16" s="1"/>
  <c r="T189" i="16"/>
  <c r="F174" i="16"/>
  <c r="F52" i="16" s="1"/>
  <c r="L189" i="16"/>
  <c r="M189" i="16" s="1"/>
  <c r="L181" i="16"/>
  <c r="M182" i="16"/>
  <c r="M181" i="16" s="1"/>
  <c r="S176" i="16"/>
  <c r="S171" i="16"/>
  <c r="W170" i="16"/>
  <c r="V166" i="16"/>
  <c r="M97" i="16"/>
  <c r="M96" i="16" s="1"/>
  <c r="W242" i="16"/>
  <c r="W241" i="16" s="1"/>
  <c r="V220" i="16"/>
  <c r="W235" i="16"/>
  <c r="U196" i="16"/>
  <c r="T608" i="16"/>
  <c r="L655" i="16"/>
  <c r="M655" i="16" s="1"/>
  <c r="K515" i="16"/>
  <c r="N515" i="16" s="1"/>
  <c r="S546" i="16"/>
  <c r="S529" i="16" s="1"/>
  <c r="K470" i="16"/>
  <c r="N470" i="16" s="1"/>
  <c r="T460" i="16"/>
  <c r="X508" i="16"/>
  <c r="R482" i="16"/>
  <c r="U492" i="16"/>
  <c r="K314" i="16"/>
  <c r="N314" i="16" s="1"/>
  <c r="O314" i="16" s="1"/>
  <c r="P314" i="16" s="1"/>
  <c r="Q314" i="16" s="1"/>
  <c r="I284" i="16"/>
  <c r="J284" i="16" s="1"/>
  <c r="K284" i="16" s="1"/>
  <c r="N284" i="16" s="1"/>
  <c r="O284" i="16" s="1"/>
  <c r="P284" i="16" s="1"/>
  <c r="Q284" i="16" s="1"/>
  <c r="T304" i="16"/>
  <c r="L367" i="16"/>
  <c r="X277" i="16"/>
  <c r="M211" i="16"/>
  <c r="U406" i="16"/>
  <c r="W406" i="16" s="1"/>
  <c r="X311" i="16"/>
  <c r="T234" i="16"/>
  <c r="U234" i="16" s="1"/>
  <c r="U190" i="16"/>
  <c r="W190" i="16" s="1"/>
  <c r="N520" i="16" l="1"/>
  <c r="N522" i="16" s="1"/>
  <c r="W371" i="16"/>
  <c r="X371" i="16"/>
  <c r="V561" i="16"/>
  <c r="E32" i="23"/>
  <c r="E19" i="23"/>
  <c r="V539" i="16"/>
  <c r="V520" i="16"/>
  <c r="V522" i="16" s="1"/>
  <c r="S539" i="16"/>
  <c r="T539" i="16" s="1"/>
  <c r="S520" i="16"/>
  <c r="S522" i="16" s="1"/>
  <c r="U172" i="16"/>
  <c r="U171" i="16" s="1"/>
  <c r="U175" i="16"/>
  <c r="X562" i="16"/>
  <c r="W523" i="16"/>
  <c r="K333" i="16"/>
  <c r="U376" i="16"/>
  <c r="W376" i="16" s="1"/>
  <c r="U100" i="16"/>
  <c r="W100" i="16" s="1"/>
  <c r="L564" i="16"/>
  <c r="U564" i="16" s="1"/>
  <c r="U226" i="16"/>
  <c r="I177" i="16"/>
  <c r="J177" i="16" s="1"/>
  <c r="K177" i="16" s="1"/>
  <c r="N177" i="16" s="1"/>
  <c r="O177" i="16" s="1"/>
  <c r="P177" i="16" s="1"/>
  <c r="Q177" i="16" s="1"/>
  <c r="K519" i="16"/>
  <c r="U382" i="16"/>
  <c r="T465" i="16"/>
  <c r="T464" i="16" s="1"/>
  <c r="S101" i="16"/>
  <c r="T20" i="16"/>
  <c r="W274" i="16"/>
  <c r="W273" i="16" s="1"/>
  <c r="T360" i="16"/>
  <c r="L335" i="16"/>
  <c r="M335" i="16" s="1"/>
  <c r="S419" i="16"/>
  <c r="U24" i="16"/>
  <c r="W24" i="16" s="1"/>
  <c r="U414" i="16"/>
  <c r="W414" i="16" s="1"/>
  <c r="L415" i="16"/>
  <c r="M415" i="16" s="1"/>
  <c r="X95" i="16"/>
  <c r="J54" i="16"/>
  <c r="L28" i="16"/>
  <c r="M28" i="16" s="1"/>
  <c r="U34" i="16"/>
  <c r="W34" i="16" s="1"/>
  <c r="U46" i="16"/>
  <c r="W46" i="16" s="1"/>
  <c r="U29" i="16"/>
  <c r="W381" i="23"/>
  <c r="W255" i="23"/>
  <c r="U51" i="16"/>
  <c r="X51" i="16" s="1"/>
  <c r="W334" i="23"/>
  <c r="U429" i="16"/>
  <c r="W641" i="16"/>
  <c r="F35" i="16"/>
  <c r="H35" i="16"/>
  <c r="W27" i="16"/>
  <c r="U39" i="16"/>
  <c r="U40" i="16"/>
  <c r="U47" i="16"/>
  <c r="R32" i="16"/>
  <c r="R37" i="16"/>
  <c r="M413" i="16"/>
  <c r="M412" i="16" s="1"/>
  <c r="L412" i="16"/>
  <c r="S45" i="16"/>
  <c r="S42" i="16"/>
  <c r="U48" i="16"/>
  <c r="W48" i="16" s="1"/>
  <c r="H37" i="16"/>
  <c r="H32" i="16"/>
  <c r="I45" i="16"/>
  <c r="I42" i="16"/>
  <c r="F54" i="16"/>
  <c r="F55" i="16" s="1"/>
  <c r="F49" i="16"/>
  <c r="N45" i="16"/>
  <c r="T43" i="16"/>
  <c r="U22" i="16"/>
  <c r="U23" i="16"/>
  <c r="U41" i="16"/>
  <c r="U30" i="16"/>
  <c r="K45" i="16"/>
  <c r="K42" i="16"/>
  <c r="H54" i="16"/>
  <c r="H49" i="16"/>
  <c r="T65" i="16"/>
  <c r="U65" i="16" s="1"/>
  <c r="W65" i="16" s="1"/>
  <c r="W31" i="16" s="1"/>
  <c r="S31" i="16"/>
  <c r="T31" i="16" s="1"/>
  <c r="U31" i="16" s="1"/>
  <c r="S424" i="16"/>
  <c r="S339" i="16"/>
  <c r="T339" i="16" s="1"/>
  <c r="U339" i="16" s="1"/>
  <c r="W339" i="16" s="1"/>
  <c r="F25" i="16"/>
  <c r="L26" i="16"/>
  <c r="U413" i="16"/>
  <c r="T412" i="16"/>
  <c r="R35" i="16"/>
  <c r="N35" i="16"/>
  <c r="T59" i="16"/>
  <c r="U60" i="16"/>
  <c r="N54" i="16"/>
  <c r="T53" i="16"/>
  <c r="U53" i="16" s="1"/>
  <c r="I32" i="16"/>
  <c r="I37" i="16"/>
  <c r="S62" i="16"/>
  <c r="S28" i="16" s="1"/>
  <c r="S26" i="16"/>
  <c r="S25" i="16" s="1"/>
  <c r="N37" i="16"/>
  <c r="N32" i="16"/>
  <c r="N49" i="16"/>
  <c r="U36" i="16"/>
  <c r="K32" i="16"/>
  <c r="K37" i="16"/>
  <c r="W58" i="16"/>
  <c r="S59" i="16"/>
  <c r="J37" i="16"/>
  <c r="J32" i="16"/>
  <c r="X418" i="16"/>
  <c r="W411" i="16"/>
  <c r="R28" i="16"/>
  <c r="R49" i="16"/>
  <c r="R54" i="16"/>
  <c r="S50" i="16"/>
  <c r="T67" i="16"/>
  <c r="S66" i="16"/>
  <c r="S71" i="16"/>
  <c r="F45" i="16"/>
  <c r="L43" i="16"/>
  <c r="F42" i="16"/>
  <c r="F37" i="16"/>
  <c r="F38" i="16" s="1"/>
  <c r="K536" i="16"/>
  <c r="U483" i="16"/>
  <c r="W483" i="16" s="1"/>
  <c r="O470" i="16"/>
  <c r="P470" i="16" s="1"/>
  <c r="Q470" i="16" s="1"/>
  <c r="R470" i="16" s="1"/>
  <c r="S470" i="16" s="1"/>
  <c r="U444" i="16"/>
  <c r="V341" i="16"/>
  <c r="V340" i="16" s="1"/>
  <c r="L344" i="16"/>
  <c r="L338" i="16"/>
  <c r="S343" i="16"/>
  <c r="L350" i="16"/>
  <c r="M351" i="16"/>
  <c r="M350" i="16" s="1"/>
  <c r="N336" i="16"/>
  <c r="T334" i="16"/>
  <c r="N333" i="16"/>
  <c r="S336" i="16"/>
  <c r="S333" i="16"/>
  <c r="G336" i="16"/>
  <c r="G333" i="16"/>
  <c r="R336" i="16"/>
  <c r="R333" i="16"/>
  <c r="L353" i="16"/>
  <c r="M353" i="16" s="1"/>
  <c r="T353" i="16"/>
  <c r="U352" i="16"/>
  <c r="W352" i="16" s="1"/>
  <c r="F336" i="16"/>
  <c r="L334" i="16"/>
  <c r="M334" i="16" s="1"/>
  <c r="F333" i="16"/>
  <c r="H336" i="16"/>
  <c r="H333" i="16"/>
  <c r="J336" i="16"/>
  <c r="J333" i="16"/>
  <c r="T350" i="16"/>
  <c r="U351" i="16"/>
  <c r="I336" i="16"/>
  <c r="I333" i="16"/>
  <c r="U335" i="16"/>
  <c r="W335" i="16" s="1"/>
  <c r="J343" i="16"/>
  <c r="O329" i="16"/>
  <c r="P329" i="16" s="1"/>
  <c r="Q329" i="16" s="1"/>
  <c r="R329" i="16" s="1"/>
  <c r="S329" i="16" s="1"/>
  <c r="S268" i="16"/>
  <c r="S33" i="16"/>
  <c r="G28" i="28" s="1"/>
  <c r="H28" i="28" s="1"/>
  <c r="M332" i="16"/>
  <c r="U332" i="16"/>
  <c r="V27" i="16"/>
  <c r="W44" i="16"/>
  <c r="O515" i="16"/>
  <c r="X638" i="16"/>
  <c r="T211" i="16"/>
  <c r="J222" i="16"/>
  <c r="K222" i="16" s="1"/>
  <c r="N222" i="16" s="1"/>
  <c r="O222" i="16" s="1"/>
  <c r="P222" i="16" s="1"/>
  <c r="Q222" i="16" s="1"/>
  <c r="U136" i="16"/>
  <c r="X493" i="16"/>
  <c r="X247" i="16"/>
  <c r="X279" i="16"/>
  <c r="T637" i="16"/>
  <c r="U465" i="16"/>
  <c r="W465" i="16" s="1"/>
  <c r="W464" i="16" s="1"/>
  <c r="W76" i="16"/>
  <c r="R314" i="16"/>
  <c r="S314" i="16" s="1"/>
  <c r="R207" i="16"/>
  <c r="S207" i="16" s="1"/>
  <c r="R455" i="16"/>
  <c r="S455" i="16" s="1"/>
  <c r="R393" i="16"/>
  <c r="S393" i="16" s="1"/>
  <c r="R237" i="16"/>
  <c r="S237" i="16" s="1"/>
  <c r="R408" i="16"/>
  <c r="S408" i="16" s="1"/>
  <c r="R284" i="16"/>
  <c r="S284" i="16" s="1"/>
  <c r="R252" i="16"/>
  <c r="S252" i="16" s="1"/>
  <c r="R299" i="16"/>
  <c r="S299" i="16" s="1"/>
  <c r="R192" i="16"/>
  <c r="S192" i="16" s="1"/>
  <c r="R222" i="16"/>
  <c r="X403" i="16"/>
  <c r="R102" i="16"/>
  <c r="S102" i="16" s="1"/>
  <c r="X481" i="16"/>
  <c r="S263" i="16"/>
  <c r="T264" i="16"/>
  <c r="T263" i="16" s="1"/>
  <c r="X202" i="16"/>
  <c r="X450" i="16"/>
  <c r="T18" i="16"/>
  <c r="R269" i="16"/>
  <c r="W281" i="16"/>
  <c r="X281" i="16"/>
  <c r="L266" i="16"/>
  <c r="M266" i="16" s="1"/>
  <c r="T17" i="16"/>
  <c r="L17" i="16"/>
  <c r="M17" i="16" s="1"/>
  <c r="T259" i="16"/>
  <c r="U259" i="16" s="1"/>
  <c r="U257" i="16"/>
  <c r="T256" i="16"/>
  <c r="U637" i="16"/>
  <c r="U452" i="16"/>
  <c r="W452" i="16" s="1"/>
  <c r="J18" i="16"/>
  <c r="J3" i="16" s="1"/>
  <c r="V267" i="16"/>
  <c r="T97" i="16"/>
  <c r="U97" i="16" s="1"/>
  <c r="U96" i="16" s="1"/>
  <c r="S99" i="16"/>
  <c r="X262" i="16"/>
  <c r="W255" i="16"/>
  <c r="T266" i="16"/>
  <c r="V263" i="16"/>
  <c r="H18" i="16"/>
  <c r="H3" i="16" s="1"/>
  <c r="G18" i="16"/>
  <c r="G3" i="16" s="1"/>
  <c r="I18" i="16"/>
  <c r="I3" i="16" s="1"/>
  <c r="K18" i="16"/>
  <c r="K3" i="16" s="1"/>
  <c r="W327" i="16"/>
  <c r="X478" i="16"/>
  <c r="W165" i="16"/>
  <c r="X215" i="16"/>
  <c r="U211" i="16"/>
  <c r="L216" i="16"/>
  <c r="T219" i="16"/>
  <c r="U219" i="16" s="1"/>
  <c r="W219" i="16" s="1"/>
  <c r="R177" i="16"/>
  <c r="S177" i="16" s="1"/>
  <c r="X187" i="16"/>
  <c r="W601" i="16"/>
  <c r="W600" i="16" s="1"/>
  <c r="U367" i="16"/>
  <c r="U397" i="16"/>
  <c r="X388" i="16"/>
  <c r="U318" i="16"/>
  <c r="U181" i="16"/>
  <c r="W205" i="16"/>
  <c r="L174" i="16"/>
  <c r="M174" i="16" s="1"/>
  <c r="U609" i="16"/>
  <c r="U558" i="16"/>
  <c r="W558" i="16" s="1"/>
  <c r="U449" i="16"/>
  <c r="W450" i="16"/>
  <c r="W449" i="16" s="1"/>
  <c r="U204" i="16"/>
  <c r="W204" i="16" s="1"/>
  <c r="U288" i="16"/>
  <c r="U390" i="16"/>
  <c r="W388" i="16"/>
  <c r="W387" i="16" s="1"/>
  <c r="V175" i="16"/>
  <c r="W160" i="16"/>
  <c r="U220" i="16"/>
  <c r="U551" i="16"/>
  <c r="W294" i="16"/>
  <c r="W293" i="16" s="1"/>
  <c r="U296" i="16"/>
  <c r="X294" i="16"/>
  <c r="X219" i="16"/>
  <c r="U405" i="16"/>
  <c r="W405" i="16" s="1"/>
  <c r="L525" i="16"/>
  <c r="M516" i="16"/>
  <c r="U516" i="16"/>
  <c r="U468" i="16"/>
  <c r="W468" i="16" s="1"/>
  <c r="W220" i="16"/>
  <c r="T174" i="16"/>
  <c r="S222" i="16"/>
  <c r="F20" i="16"/>
  <c r="L20" i="16" s="1"/>
  <c r="M20" i="16" s="1"/>
  <c r="W540" i="16"/>
  <c r="U438" i="16"/>
  <c r="W438" i="16" s="1"/>
  <c r="U477" i="16"/>
  <c r="W477" i="16" s="1"/>
  <c r="M535" i="16"/>
  <c r="U535" i="16"/>
  <c r="W535" i="16" s="1"/>
  <c r="L518" i="16"/>
  <c r="M518" i="16" s="1"/>
  <c r="W211" i="16"/>
  <c r="T518" i="16"/>
  <c r="U545" i="16"/>
  <c r="F530" i="16"/>
  <c r="U528" i="16"/>
  <c r="W234" i="16"/>
  <c r="X234" i="16"/>
  <c r="T303" i="16"/>
  <c r="U304" i="16"/>
  <c r="W492" i="16"/>
  <c r="T459" i="16"/>
  <c r="U460" i="16"/>
  <c r="J546" i="16"/>
  <c r="R519" i="16"/>
  <c r="V546" i="16"/>
  <c r="J544" i="16"/>
  <c r="X574" i="16"/>
  <c r="W574" i="16"/>
  <c r="U541" i="16"/>
  <c r="G643" i="16"/>
  <c r="H658" i="16"/>
  <c r="M559" i="16"/>
  <c r="U559" i="16"/>
  <c r="U308" i="16"/>
  <c r="W309" i="16"/>
  <c r="W308" i="16" s="1"/>
  <c r="U402" i="16"/>
  <c r="W403" i="16"/>
  <c r="W402" i="16" s="1"/>
  <c r="T537" i="16"/>
  <c r="N536" i="16"/>
  <c r="H548" i="16"/>
  <c r="L547" i="16"/>
  <c r="R548" i="16"/>
  <c r="R543" i="16"/>
  <c r="R527" i="16"/>
  <c r="W573" i="16"/>
  <c r="L640" i="16"/>
  <c r="M640" i="16" s="1"/>
  <c r="W181" i="16"/>
  <c r="G565" i="16"/>
  <c r="U685" i="16"/>
  <c r="T467" i="16"/>
  <c r="U467" i="16" s="1"/>
  <c r="U231" i="16"/>
  <c r="W232" i="16"/>
  <c r="W231" i="16" s="1"/>
  <c r="U278" i="16"/>
  <c r="W279" i="16"/>
  <c r="W278" i="16" s="1"/>
  <c r="J536" i="16"/>
  <c r="N546" i="16"/>
  <c r="U652" i="16"/>
  <c r="W653" i="16"/>
  <c r="W652" i="16" s="1"/>
  <c r="W172" i="16"/>
  <c r="V171" i="16"/>
  <c r="U217" i="16"/>
  <c r="T216" i="16"/>
  <c r="W169" i="16"/>
  <c r="W507" i="16"/>
  <c r="M542" i="16"/>
  <c r="U542" i="16"/>
  <c r="X636" i="16"/>
  <c r="W629" i="16"/>
  <c r="W630" i="16" s="1"/>
  <c r="V553" i="16"/>
  <c r="M167" i="16"/>
  <c r="M166" i="16" s="1"/>
  <c r="L166" i="16"/>
  <c r="U167" i="16"/>
  <c r="U186" i="16"/>
  <c r="W187" i="16"/>
  <c r="W186" i="16" s="1"/>
  <c r="U246" i="16"/>
  <c r="W247" i="16"/>
  <c r="W246" i="16" s="1"/>
  <c r="W366" i="16"/>
  <c r="W367" i="16" s="1"/>
  <c r="S548" i="16"/>
  <c r="S543" i="16"/>
  <c r="S527" i="16"/>
  <c r="T553" i="16"/>
  <c r="H530" i="16"/>
  <c r="N548" i="16"/>
  <c r="N543" i="16"/>
  <c r="N527" i="16"/>
  <c r="U682" i="16"/>
  <c r="W683" i="16"/>
  <c r="W682" i="16" s="1"/>
  <c r="V525" i="16"/>
  <c r="V609" i="16"/>
  <c r="V605" i="16"/>
  <c r="U189" i="16"/>
  <c r="U655" i="16"/>
  <c r="W202" i="16"/>
  <c r="W201" i="16" s="1"/>
  <c r="W397" i="16"/>
  <c r="X653" i="16"/>
  <c r="W637" i="16"/>
  <c r="R16" i="16" l="1"/>
  <c r="T45" i="16"/>
  <c r="S519" i="16"/>
  <c r="T522" i="16"/>
  <c r="M564" i="16"/>
  <c r="T28" i="16"/>
  <c r="U28" i="16" s="1"/>
  <c r="S69" i="16"/>
  <c r="S52" i="16" s="1"/>
  <c r="T52" i="16" s="1"/>
  <c r="T99" i="16"/>
  <c r="U99" i="16" s="1"/>
  <c r="X34" i="16"/>
  <c r="X31" i="16"/>
  <c r="S269" i="16"/>
  <c r="U415" i="16"/>
  <c r="W415" i="16" s="1"/>
  <c r="U640" i="16"/>
  <c r="W51" i="16"/>
  <c r="L45" i="16"/>
  <c r="M45" i="16" s="1"/>
  <c r="X65" i="16"/>
  <c r="W29" i="16"/>
  <c r="U174" i="16"/>
  <c r="W174" i="16" s="1"/>
  <c r="S49" i="16"/>
  <c r="S54" i="16"/>
  <c r="T26" i="16"/>
  <c r="U412" i="16"/>
  <c r="W413" i="16"/>
  <c r="W412" i="16" s="1"/>
  <c r="T42" i="16"/>
  <c r="U43" i="16"/>
  <c r="T62" i="16"/>
  <c r="U62" i="16" s="1"/>
  <c r="L42" i="16"/>
  <c r="M43" i="16"/>
  <c r="M42" i="16" s="1"/>
  <c r="T66" i="16"/>
  <c r="T50" i="16"/>
  <c r="U59" i="16"/>
  <c r="M26" i="16"/>
  <c r="M25" i="16" s="1"/>
  <c r="L25" i="16"/>
  <c r="X48" i="16"/>
  <c r="W41" i="16"/>
  <c r="S340" i="16"/>
  <c r="L333" i="16"/>
  <c r="M333" i="16"/>
  <c r="U353" i="16"/>
  <c r="W353" i="16" s="1"/>
  <c r="M344" i="16"/>
  <c r="U344" i="16"/>
  <c r="W344" i="16" s="1"/>
  <c r="M338" i="16"/>
  <c r="U338" i="16"/>
  <c r="W338" i="16" s="1"/>
  <c r="L336" i="16"/>
  <c r="M336" i="16" s="1"/>
  <c r="T336" i="16"/>
  <c r="U350" i="16"/>
  <c r="W351" i="16"/>
  <c r="W350" i="16" s="1"/>
  <c r="T333" i="16"/>
  <c r="U334" i="16"/>
  <c r="U333" i="16" s="1"/>
  <c r="S32" i="16"/>
  <c r="S37" i="16"/>
  <c r="T33" i="16"/>
  <c r="W267" i="16"/>
  <c r="U266" i="16"/>
  <c r="X266" i="16" s="1"/>
  <c r="X339" i="16"/>
  <c r="W332" i="16"/>
  <c r="W97" i="16"/>
  <c r="W96" i="16" s="1"/>
  <c r="U464" i="16"/>
  <c r="T96" i="16"/>
  <c r="X405" i="16"/>
  <c r="X452" i="16"/>
  <c r="U264" i="16"/>
  <c r="X264" i="16" s="1"/>
  <c r="L18" i="16"/>
  <c r="M18" i="16" s="1"/>
  <c r="U256" i="16"/>
  <c r="W257" i="16"/>
  <c r="W259" i="16"/>
  <c r="U17" i="16"/>
  <c r="W17" i="16" s="1"/>
  <c r="W171" i="16"/>
  <c r="X204" i="16"/>
  <c r="X542" i="16"/>
  <c r="W542" i="16"/>
  <c r="U20" i="16"/>
  <c r="W175" i="16"/>
  <c r="X390" i="16"/>
  <c r="W390" i="16"/>
  <c r="U518" i="16"/>
  <c r="W518" i="16" s="1"/>
  <c r="W296" i="16"/>
  <c r="X296" i="16"/>
  <c r="M525" i="16"/>
  <c r="U525" i="16"/>
  <c r="W528" i="16"/>
  <c r="X528" i="16"/>
  <c r="W545" i="16"/>
  <c r="X545" i="16"/>
  <c r="W609" i="16"/>
  <c r="V564" i="16"/>
  <c r="W564" i="16" s="1"/>
  <c r="X655" i="16"/>
  <c r="W655" i="16"/>
  <c r="V560" i="16"/>
  <c r="V544" i="16"/>
  <c r="N531" i="16"/>
  <c r="N526" i="16"/>
  <c r="U524" i="16"/>
  <c r="S531" i="16"/>
  <c r="S526" i="16"/>
  <c r="X172" i="16"/>
  <c r="U166" i="16"/>
  <c r="W167" i="16"/>
  <c r="V536" i="16"/>
  <c r="N529" i="16"/>
  <c r="W467" i="16"/>
  <c r="X467" i="16"/>
  <c r="M547" i="16"/>
  <c r="U547" i="16"/>
  <c r="W547" i="16" s="1"/>
  <c r="T520" i="16"/>
  <c r="N519" i="16"/>
  <c r="T536" i="16"/>
  <c r="J548" i="16"/>
  <c r="J543" i="16"/>
  <c r="V529" i="16"/>
  <c r="X465" i="16"/>
  <c r="U459" i="16"/>
  <c r="W460" i="16"/>
  <c r="W459" i="16" s="1"/>
  <c r="W640" i="16"/>
  <c r="X640" i="16"/>
  <c r="W189" i="16"/>
  <c r="X189" i="16"/>
  <c r="L530" i="16"/>
  <c r="U216" i="16"/>
  <c r="W217" i="16"/>
  <c r="W216" i="16" s="1"/>
  <c r="X217" i="16"/>
  <c r="J519" i="16"/>
  <c r="W685" i="16"/>
  <c r="X685" i="16"/>
  <c r="R531" i="16"/>
  <c r="R526" i="16"/>
  <c r="W559" i="16"/>
  <c r="X559" i="16"/>
  <c r="H643" i="16"/>
  <c r="I658" i="16"/>
  <c r="W541" i="16"/>
  <c r="X309" i="16"/>
  <c r="U303" i="16"/>
  <c r="W304" i="16"/>
  <c r="W303" i="16" s="1"/>
  <c r="S35" i="16" l="1"/>
  <c r="T35" i="16" s="1"/>
  <c r="U45" i="16"/>
  <c r="X20" i="16"/>
  <c r="W266" i="16"/>
  <c r="T69" i="16"/>
  <c r="X174" i="16"/>
  <c r="T49" i="16"/>
  <c r="U42" i="16"/>
  <c r="T25" i="16"/>
  <c r="U26" i="16"/>
  <c r="U25" i="16" s="1"/>
  <c r="U336" i="16"/>
  <c r="W336" i="16" s="1"/>
  <c r="W334" i="16"/>
  <c r="W333" i="16" s="1"/>
  <c r="T32" i="16"/>
  <c r="W256" i="16"/>
  <c r="U18" i="16"/>
  <c r="X525" i="16"/>
  <c r="U263" i="16"/>
  <c r="W264" i="16"/>
  <c r="W99" i="16"/>
  <c r="X99" i="16"/>
  <c r="W20" i="16"/>
  <c r="W166" i="16"/>
  <c r="W525" i="16"/>
  <c r="I643" i="16"/>
  <c r="J658" i="16"/>
  <c r="M530" i="16"/>
  <c r="U530" i="16"/>
  <c r="W530" i="16" s="1"/>
  <c r="V519" i="16"/>
  <c r="W524" i="16"/>
  <c r="T519" i="16"/>
  <c r="V543" i="16"/>
  <c r="V527" i="16"/>
  <c r="W263" i="16" l="1"/>
  <c r="V526" i="16"/>
  <c r="J643" i="16"/>
  <c r="K658" i="16"/>
  <c r="K643" i="16" l="1"/>
  <c r="N658" i="16"/>
  <c r="O658" i="16" s="1"/>
  <c r="O643" i="16" l="1"/>
  <c r="P658" i="16"/>
  <c r="N643" i="16"/>
  <c r="Q658" i="16" l="1"/>
  <c r="Q643" i="16" s="1"/>
  <c r="P643" i="16"/>
  <c r="R658" i="16" l="1"/>
  <c r="R643" i="16" l="1"/>
  <c r="S658" i="16"/>
  <c r="S643" i="16" s="1"/>
  <c r="S85" i="22" l="1"/>
  <c r="S86" i="22" s="1"/>
  <c r="N85" i="22"/>
  <c r="K85" i="22"/>
  <c r="K86" i="22" s="1"/>
  <c r="J85" i="22"/>
  <c r="J86" i="22" s="1"/>
  <c r="I85" i="22"/>
  <c r="I86" i="22" s="1"/>
  <c r="H85" i="22"/>
  <c r="H86" i="22" s="1"/>
  <c r="G85" i="22"/>
  <c r="G86" i="22" s="1"/>
  <c r="F85" i="22"/>
  <c r="F86" i="22" s="1"/>
  <c r="F87" i="22" s="1"/>
  <c r="V84" i="22"/>
  <c r="L84" i="22"/>
  <c r="M84" i="22" s="1"/>
  <c r="V83" i="22"/>
  <c r="T83" i="22"/>
  <c r="L83" i="22"/>
  <c r="M83" i="22" s="1"/>
  <c r="E81" i="22"/>
  <c r="T79" i="22"/>
  <c r="L79" i="22"/>
  <c r="M79" i="22" s="1"/>
  <c r="T78" i="22"/>
  <c r="L78" i="22"/>
  <c r="M78" i="22" s="1"/>
  <c r="V77" i="22"/>
  <c r="T75" i="22"/>
  <c r="T74" i="22"/>
  <c r="L74" i="22"/>
  <c r="M74" i="22" s="1"/>
  <c r="T73" i="22"/>
  <c r="L73" i="22"/>
  <c r="M73" i="22" s="1"/>
  <c r="S130" i="22"/>
  <c r="N130" i="22"/>
  <c r="K130" i="22"/>
  <c r="J130" i="22"/>
  <c r="I130" i="22"/>
  <c r="H130" i="22"/>
  <c r="G130" i="22"/>
  <c r="F130" i="22"/>
  <c r="V129" i="22"/>
  <c r="V128" i="22"/>
  <c r="T128" i="22"/>
  <c r="L128" i="22"/>
  <c r="M128" i="22" s="1"/>
  <c r="S127" i="22"/>
  <c r="S127" i="23" s="1"/>
  <c r="S126" i="23" s="1"/>
  <c r="N127" i="22"/>
  <c r="N127" i="23" s="1"/>
  <c r="N126" i="23" s="1"/>
  <c r="I127" i="22"/>
  <c r="I127" i="23" s="1"/>
  <c r="I126" i="23" s="1"/>
  <c r="H127" i="22"/>
  <c r="H127" i="23" s="1"/>
  <c r="H126" i="23" s="1"/>
  <c r="G127" i="22"/>
  <c r="G127" i="23" s="1"/>
  <c r="G126" i="23" s="1"/>
  <c r="F127" i="22"/>
  <c r="F127" i="23" s="1"/>
  <c r="F126" i="23" s="1"/>
  <c r="E126" i="22"/>
  <c r="V125" i="22"/>
  <c r="T125" i="22"/>
  <c r="L125" i="22"/>
  <c r="M125" i="22" s="1"/>
  <c r="T124" i="22"/>
  <c r="L124" i="22"/>
  <c r="M124" i="22" s="1"/>
  <c r="T123" i="22"/>
  <c r="L123" i="22"/>
  <c r="M123" i="22" s="1"/>
  <c r="V122" i="22"/>
  <c r="S122" i="22"/>
  <c r="S122" i="23" s="1"/>
  <c r="S121" i="23" s="1"/>
  <c r="N122" i="22"/>
  <c r="N122" i="23" s="1"/>
  <c r="N121" i="23" s="1"/>
  <c r="H122" i="22"/>
  <c r="H122" i="23" s="1"/>
  <c r="H121" i="23" s="1"/>
  <c r="G122" i="22"/>
  <c r="G122" i="23" s="1"/>
  <c r="G121" i="23" s="1"/>
  <c r="F122" i="22"/>
  <c r="F122" i="23" s="1"/>
  <c r="F121" i="23" s="1"/>
  <c r="V121" i="22"/>
  <c r="T120" i="22"/>
  <c r="L120" i="22"/>
  <c r="M120" i="22" s="1"/>
  <c r="T119" i="22"/>
  <c r="L119" i="22"/>
  <c r="M119" i="22" s="1"/>
  <c r="T118" i="22"/>
  <c r="L118" i="22"/>
  <c r="M118" i="22" s="1"/>
  <c r="S115" i="22"/>
  <c r="S116" i="22" s="1"/>
  <c r="N115" i="22"/>
  <c r="N116" i="22" s="1"/>
  <c r="K115" i="22"/>
  <c r="K116" i="22" s="1"/>
  <c r="J115" i="22"/>
  <c r="J116" i="22" s="1"/>
  <c r="I115" i="22"/>
  <c r="I116" i="22" s="1"/>
  <c r="H115" i="22"/>
  <c r="H116" i="22" s="1"/>
  <c r="G115" i="22"/>
  <c r="F115" i="22"/>
  <c r="V114" i="22"/>
  <c r="T114" i="22"/>
  <c r="V113" i="22"/>
  <c r="T113" i="22"/>
  <c r="L113" i="22"/>
  <c r="M113" i="22" s="1"/>
  <c r="T112" i="22"/>
  <c r="V110" i="22"/>
  <c r="T110" i="22"/>
  <c r="L110" i="22"/>
  <c r="M110" i="22" s="1"/>
  <c r="T109" i="22"/>
  <c r="L109" i="22"/>
  <c r="M109" i="22" s="1"/>
  <c r="T108" i="22"/>
  <c r="L108" i="22"/>
  <c r="M108" i="22" s="1"/>
  <c r="V107" i="22"/>
  <c r="T107" i="22"/>
  <c r="L107" i="22"/>
  <c r="M107" i="22" s="1"/>
  <c r="T105" i="22"/>
  <c r="L105" i="22"/>
  <c r="T104" i="22"/>
  <c r="L104" i="22"/>
  <c r="M104" i="22" s="1"/>
  <c r="T103" i="22"/>
  <c r="L103" i="22"/>
  <c r="M103" i="22" s="1"/>
  <c r="E156" i="22"/>
  <c r="T149" i="22"/>
  <c r="L149" i="22"/>
  <c r="M149" i="22" s="1"/>
  <c r="T148" i="22"/>
  <c r="L148" i="22"/>
  <c r="M148" i="22" s="1"/>
  <c r="F163" i="22"/>
  <c r="G163" i="22"/>
  <c r="H163" i="22"/>
  <c r="I163" i="22"/>
  <c r="J163" i="22"/>
  <c r="K163" i="22"/>
  <c r="N163" i="22"/>
  <c r="S163" i="22"/>
  <c r="V163" i="22"/>
  <c r="F164" i="22"/>
  <c r="G164" i="22"/>
  <c r="H164" i="22"/>
  <c r="I164" i="22"/>
  <c r="J164" i="22"/>
  <c r="K164" i="22"/>
  <c r="N164" i="22"/>
  <c r="S164" i="22"/>
  <c r="V164" i="22"/>
  <c r="F165" i="22"/>
  <c r="G165" i="22"/>
  <c r="H165" i="22"/>
  <c r="I165" i="22"/>
  <c r="J165" i="22"/>
  <c r="K165" i="22"/>
  <c r="N165" i="22"/>
  <c r="S165" i="22"/>
  <c r="V165" i="22"/>
  <c r="S297" i="22"/>
  <c r="N297" i="22"/>
  <c r="K297" i="22"/>
  <c r="J297" i="22"/>
  <c r="I297" i="22"/>
  <c r="H297" i="22"/>
  <c r="G297" i="22"/>
  <c r="F297" i="22"/>
  <c r="V296" i="22"/>
  <c r="V295" i="22"/>
  <c r="T295" i="22"/>
  <c r="L295" i="22"/>
  <c r="M295" i="22" s="1"/>
  <c r="S294" i="22"/>
  <c r="N294" i="22"/>
  <c r="K294" i="22"/>
  <c r="J294" i="22"/>
  <c r="I294" i="22"/>
  <c r="H294" i="22"/>
  <c r="G294" i="22"/>
  <c r="F294" i="22"/>
  <c r="E293" i="22"/>
  <c r="V292" i="22"/>
  <c r="T292" i="22"/>
  <c r="L292" i="22"/>
  <c r="M292" i="22" s="1"/>
  <c r="T291" i="22"/>
  <c r="L291" i="22"/>
  <c r="M291" i="22" s="1"/>
  <c r="T290" i="22"/>
  <c r="L290" i="22"/>
  <c r="M290" i="22" s="1"/>
  <c r="X289" i="22"/>
  <c r="V289" i="22"/>
  <c r="V258" i="22" s="1"/>
  <c r="S289" i="22"/>
  <c r="S258" i="22" s="1"/>
  <c r="N289" i="22"/>
  <c r="N258" i="22" s="1"/>
  <c r="K289" i="22"/>
  <c r="K258" i="22" s="1"/>
  <c r="K27" i="22" s="1"/>
  <c r="J289" i="22"/>
  <c r="J258" i="22" s="1"/>
  <c r="J27" i="22" s="1"/>
  <c r="I289" i="22"/>
  <c r="I258" i="22" s="1"/>
  <c r="I27" i="22" s="1"/>
  <c r="H289" i="22"/>
  <c r="H258" i="22" s="1"/>
  <c r="G289" i="22"/>
  <c r="G258" i="22" s="1"/>
  <c r="F289" i="22"/>
  <c r="F258" i="22" s="1"/>
  <c r="T287" i="22"/>
  <c r="L287" i="22"/>
  <c r="M287" i="22" s="1"/>
  <c r="T286" i="22"/>
  <c r="L286" i="22"/>
  <c r="M286" i="22" s="1"/>
  <c r="T285" i="22"/>
  <c r="L285" i="22"/>
  <c r="M285" i="22" s="1"/>
  <c r="S327" i="22"/>
  <c r="N327" i="22"/>
  <c r="N328" i="22" s="1"/>
  <c r="K327" i="22"/>
  <c r="J327" i="22"/>
  <c r="J328" i="22" s="1"/>
  <c r="I327" i="22"/>
  <c r="H327" i="22"/>
  <c r="H328" i="22" s="1"/>
  <c r="G327" i="22"/>
  <c r="F327" i="22"/>
  <c r="F328" i="22" s="1"/>
  <c r="F329" i="22" s="1"/>
  <c r="T317" i="22"/>
  <c r="L317" i="22"/>
  <c r="M317" i="22" s="1"/>
  <c r="T316" i="22"/>
  <c r="L316" i="22"/>
  <c r="M316" i="22" s="1"/>
  <c r="T315" i="22"/>
  <c r="L315" i="22"/>
  <c r="M315" i="22" s="1"/>
  <c r="S391" i="22"/>
  <c r="N391" i="22"/>
  <c r="K391" i="22"/>
  <c r="J391" i="22"/>
  <c r="I391" i="22"/>
  <c r="H391" i="22"/>
  <c r="G391" i="22"/>
  <c r="F391" i="22"/>
  <c r="V390" i="22"/>
  <c r="V389" i="22"/>
  <c r="T389" i="22"/>
  <c r="L389" i="22"/>
  <c r="M389" i="22" s="1"/>
  <c r="N388" i="22"/>
  <c r="K388" i="22"/>
  <c r="K358" i="22" s="1"/>
  <c r="J388" i="22"/>
  <c r="J358" i="22" s="1"/>
  <c r="I388" i="22"/>
  <c r="I358" i="22" s="1"/>
  <c r="H388" i="22"/>
  <c r="H358" i="22" s="1"/>
  <c r="G388" i="22"/>
  <c r="G358" i="22" s="1"/>
  <c r="F388" i="22"/>
  <c r="F358" i="22" s="1"/>
  <c r="E387" i="22"/>
  <c r="V386" i="22"/>
  <c r="S388" i="22"/>
  <c r="L386" i="22"/>
  <c r="M386" i="22" s="1"/>
  <c r="T385" i="22"/>
  <c r="L385" i="22"/>
  <c r="M385" i="22" s="1"/>
  <c r="T384" i="22"/>
  <c r="L384" i="22"/>
  <c r="M384" i="22" s="1"/>
  <c r="X383" i="22"/>
  <c r="V383" i="22"/>
  <c r="V352" i="22" s="1"/>
  <c r="S383" i="22"/>
  <c r="N383" i="22"/>
  <c r="K383" i="22"/>
  <c r="J383" i="22"/>
  <c r="I383" i="22"/>
  <c r="H383" i="22"/>
  <c r="G383" i="22"/>
  <c r="F383" i="22"/>
  <c r="T381" i="22"/>
  <c r="L381" i="22"/>
  <c r="M381" i="22" s="1"/>
  <c r="T380" i="22"/>
  <c r="L380" i="22"/>
  <c r="M380" i="22" s="1"/>
  <c r="T379" i="22"/>
  <c r="L379" i="22"/>
  <c r="M379" i="22" s="1"/>
  <c r="S453" i="22"/>
  <c r="N453" i="22"/>
  <c r="K453" i="22"/>
  <c r="J453" i="22"/>
  <c r="I453" i="22"/>
  <c r="H453" i="22"/>
  <c r="G453" i="22"/>
  <c r="F453" i="22"/>
  <c r="V452" i="22"/>
  <c r="V451" i="22"/>
  <c r="T451" i="22"/>
  <c r="L451" i="22"/>
  <c r="M451" i="22" s="1"/>
  <c r="N450" i="22"/>
  <c r="K450" i="22"/>
  <c r="J450" i="22"/>
  <c r="I450" i="22"/>
  <c r="H450" i="22"/>
  <c r="G450" i="22"/>
  <c r="F450" i="22"/>
  <c r="E449" i="22"/>
  <c r="V448" i="22"/>
  <c r="S450" i="22"/>
  <c r="L448" i="22"/>
  <c r="M448" i="22" s="1"/>
  <c r="T447" i="22"/>
  <c r="L447" i="22"/>
  <c r="M447" i="22" s="1"/>
  <c r="T446" i="22"/>
  <c r="L446" i="22"/>
  <c r="M446" i="22" s="1"/>
  <c r="X445" i="22"/>
  <c r="V445" i="22"/>
  <c r="V414" i="22" s="1"/>
  <c r="S445" i="22"/>
  <c r="S414" i="22" s="1"/>
  <c r="N445" i="22"/>
  <c r="N414" i="22" s="1"/>
  <c r="K445" i="22"/>
  <c r="K414" i="22" s="1"/>
  <c r="J445" i="22"/>
  <c r="J414" i="22" s="1"/>
  <c r="I445" i="22"/>
  <c r="I414" i="22" s="1"/>
  <c r="H445" i="22"/>
  <c r="H414" i="22" s="1"/>
  <c r="G445" i="22"/>
  <c r="G414" i="22" s="1"/>
  <c r="F445" i="22"/>
  <c r="F414" i="22" s="1"/>
  <c r="T443" i="22"/>
  <c r="L443" i="22"/>
  <c r="M443" i="22" s="1"/>
  <c r="T442" i="22"/>
  <c r="L442" i="22"/>
  <c r="M442" i="22" s="1"/>
  <c r="T441" i="22"/>
  <c r="L441" i="22"/>
  <c r="M441" i="22" s="1"/>
  <c r="S686" i="22"/>
  <c r="N686" i="22"/>
  <c r="K686" i="22"/>
  <c r="J686" i="22"/>
  <c r="I686" i="22"/>
  <c r="H686" i="22"/>
  <c r="G686" i="22"/>
  <c r="F686" i="22"/>
  <c r="V685" i="22"/>
  <c r="V684" i="22"/>
  <c r="T684" i="22"/>
  <c r="L684" i="22"/>
  <c r="M684" i="22" s="1"/>
  <c r="S683" i="22"/>
  <c r="S685" i="22" s="1"/>
  <c r="N683" i="22"/>
  <c r="N687" i="22" s="1"/>
  <c r="K683" i="22"/>
  <c r="K685" i="22" s="1"/>
  <c r="J683" i="22"/>
  <c r="J687" i="22" s="1"/>
  <c r="I683" i="22"/>
  <c r="I685" i="22" s="1"/>
  <c r="H683" i="22"/>
  <c r="H687" i="22" s="1"/>
  <c r="G683" i="22"/>
  <c r="G685" i="22" s="1"/>
  <c r="F683" i="22"/>
  <c r="F687" i="22" s="1"/>
  <c r="F688" i="22" s="1"/>
  <c r="E682" i="22"/>
  <c r="V681" i="22"/>
  <c r="T681" i="22"/>
  <c r="L681" i="22"/>
  <c r="M681" i="22" s="1"/>
  <c r="T680" i="22"/>
  <c r="L680" i="22"/>
  <c r="M680" i="22" s="1"/>
  <c r="T679" i="22"/>
  <c r="L679" i="22"/>
  <c r="M679" i="22" s="1"/>
  <c r="V678" i="22"/>
  <c r="V683" i="22" s="1"/>
  <c r="S678" i="22"/>
  <c r="N678" i="22"/>
  <c r="K678" i="22"/>
  <c r="J678" i="22"/>
  <c r="I678" i="22"/>
  <c r="H678" i="22"/>
  <c r="G678" i="22"/>
  <c r="F678" i="22"/>
  <c r="T676" i="22"/>
  <c r="L676" i="22"/>
  <c r="M676" i="22" s="1"/>
  <c r="T675" i="22"/>
  <c r="L675" i="22"/>
  <c r="M675" i="22" s="1"/>
  <c r="T674" i="22"/>
  <c r="L674" i="22"/>
  <c r="M674" i="22" s="1"/>
  <c r="S656" i="22"/>
  <c r="S641" i="22" s="1"/>
  <c r="N656" i="22"/>
  <c r="K656" i="22"/>
  <c r="K641" i="22" s="1"/>
  <c r="J656" i="22"/>
  <c r="I656" i="22"/>
  <c r="I641" i="22" s="1"/>
  <c r="H656" i="22"/>
  <c r="G656" i="22"/>
  <c r="G641" i="22" s="1"/>
  <c r="F656" i="22"/>
  <c r="V655" i="22"/>
  <c r="V640" i="22" s="1"/>
  <c r="V654" i="22"/>
  <c r="T654" i="22"/>
  <c r="L654" i="22"/>
  <c r="M654" i="22" s="1"/>
  <c r="S653" i="22"/>
  <c r="S657" i="22" s="1"/>
  <c r="N653" i="22"/>
  <c r="N655" i="22" s="1"/>
  <c r="K653" i="22"/>
  <c r="K657" i="22" s="1"/>
  <c r="J653" i="22"/>
  <c r="J655" i="22" s="1"/>
  <c r="I653" i="22"/>
  <c r="I657" i="22" s="1"/>
  <c r="H653" i="22"/>
  <c r="H655" i="22" s="1"/>
  <c r="G653" i="22"/>
  <c r="G657" i="22" s="1"/>
  <c r="F653" i="22"/>
  <c r="F655" i="22" s="1"/>
  <c r="E652" i="22"/>
  <c r="V651" i="22"/>
  <c r="T651" i="22"/>
  <c r="L651" i="22"/>
  <c r="M651" i="22" s="1"/>
  <c r="T650" i="22"/>
  <c r="L650" i="22"/>
  <c r="M650" i="22" s="1"/>
  <c r="T649" i="22"/>
  <c r="L649" i="22"/>
  <c r="M649" i="22" s="1"/>
  <c r="V648" i="22"/>
  <c r="S648" i="22"/>
  <c r="S631" i="22" s="1"/>
  <c r="S633" i="22" s="1"/>
  <c r="N648" i="22"/>
  <c r="N631" i="22" s="1"/>
  <c r="N633" i="22" s="1"/>
  <c r="T633" i="22" s="1"/>
  <c r="K648" i="22"/>
  <c r="K631" i="22" s="1"/>
  <c r="K633" i="22" s="1"/>
  <c r="J648" i="22"/>
  <c r="J631" i="22" s="1"/>
  <c r="J633" i="22" s="1"/>
  <c r="I648" i="22"/>
  <c r="I631" i="22" s="1"/>
  <c r="I633" i="22" s="1"/>
  <c r="H648" i="22"/>
  <c r="H631" i="22" s="1"/>
  <c r="H633" i="22" s="1"/>
  <c r="G648" i="22"/>
  <c r="G631" i="22" s="1"/>
  <c r="G633" i="22" s="1"/>
  <c r="F648" i="22"/>
  <c r="T646" i="22"/>
  <c r="L646" i="22"/>
  <c r="M646" i="22" s="1"/>
  <c r="T645" i="22"/>
  <c r="L645" i="22"/>
  <c r="M645" i="22" s="1"/>
  <c r="T644" i="22"/>
  <c r="L644" i="22"/>
  <c r="M644" i="22" s="1"/>
  <c r="S639" i="22"/>
  <c r="S545" i="22" s="1"/>
  <c r="N639" i="22"/>
  <c r="N545" i="22" s="1"/>
  <c r="K639" i="22"/>
  <c r="K545" i="22" s="1"/>
  <c r="J639" i="22"/>
  <c r="I639" i="22"/>
  <c r="I545" i="22" s="1"/>
  <c r="H639" i="22"/>
  <c r="H545" i="22" s="1"/>
  <c r="G639" i="22"/>
  <c r="G545" i="22" s="1"/>
  <c r="F639" i="22"/>
  <c r="F545" i="22" s="1"/>
  <c r="E637" i="22"/>
  <c r="S636" i="22"/>
  <c r="N636" i="22"/>
  <c r="K636" i="22"/>
  <c r="J636" i="22"/>
  <c r="I636" i="22"/>
  <c r="H636" i="22"/>
  <c r="G636" i="22"/>
  <c r="F636" i="22"/>
  <c r="F634" i="22"/>
  <c r="L634" i="22" s="1"/>
  <c r="V629" i="22"/>
  <c r="S629" i="22"/>
  <c r="N629" i="22"/>
  <c r="K629" i="22"/>
  <c r="J629" i="22"/>
  <c r="I629" i="22"/>
  <c r="H629" i="22"/>
  <c r="G629" i="22"/>
  <c r="F629" i="22"/>
  <c r="V628" i="22"/>
  <c r="S628" i="22"/>
  <c r="N628" i="22"/>
  <c r="K628" i="22"/>
  <c r="J628" i="22"/>
  <c r="I628" i="22"/>
  <c r="H628" i="22"/>
  <c r="G628" i="22"/>
  <c r="F628" i="22"/>
  <c r="V627" i="22"/>
  <c r="S627" i="22"/>
  <c r="N627" i="22"/>
  <c r="K627" i="22"/>
  <c r="J627" i="22"/>
  <c r="I627" i="22"/>
  <c r="H627" i="22"/>
  <c r="G627" i="22"/>
  <c r="F627" i="22"/>
  <c r="S609" i="22"/>
  <c r="N609" i="22"/>
  <c r="K609" i="22"/>
  <c r="J609" i="22"/>
  <c r="I609" i="22"/>
  <c r="H609" i="22"/>
  <c r="G609" i="22"/>
  <c r="F609" i="22"/>
  <c r="V608" i="22"/>
  <c r="V607" i="22"/>
  <c r="T607" i="22"/>
  <c r="L607" i="22"/>
  <c r="M607" i="22" s="1"/>
  <c r="S606" i="22"/>
  <c r="N606" i="22"/>
  <c r="K606" i="22"/>
  <c r="J606" i="22"/>
  <c r="I606" i="22"/>
  <c r="H606" i="22"/>
  <c r="G606" i="22"/>
  <c r="F606" i="22"/>
  <c r="F561" i="22" s="1"/>
  <c r="E605" i="22"/>
  <c r="V604" i="22"/>
  <c r="T604" i="22"/>
  <c r="L604" i="22"/>
  <c r="M604" i="22" s="1"/>
  <c r="T603" i="22"/>
  <c r="L603" i="22"/>
  <c r="M603" i="22" s="1"/>
  <c r="T602" i="22"/>
  <c r="L602" i="22"/>
  <c r="M602" i="22" s="1"/>
  <c r="V601" i="22"/>
  <c r="S601" i="22"/>
  <c r="S554" i="22" s="1"/>
  <c r="S556" i="22" s="1"/>
  <c r="N601" i="22"/>
  <c r="N554" i="22" s="1"/>
  <c r="N556" i="22" s="1"/>
  <c r="K601" i="22"/>
  <c r="J601" i="22"/>
  <c r="I601" i="22"/>
  <c r="H601" i="22"/>
  <c r="G601" i="22"/>
  <c r="F601" i="22"/>
  <c r="T599" i="22"/>
  <c r="L599" i="22"/>
  <c r="M599" i="22" s="1"/>
  <c r="T598" i="22"/>
  <c r="L598" i="22"/>
  <c r="M598" i="22" s="1"/>
  <c r="T597" i="22"/>
  <c r="L597" i="22"/>
  <c r="M597" i="22" s="1"/>
  <c r="S579" i="22"/>
  <c r="F579" i="22"/>
  <c r="F580" i="22" s="1"/>
  <c r="F581" i="22" s="1"/>
  <c r="V578" i="22"/>
  <c r="V563" i="22" s="1"/>
  <c r="V546" i="22" s="1"/>
  <c r="I578" i="22"/>
  <c r="H578" i="22"/>
  <c r="G578" i="22"/>
  <c r="F578" i="22"/>
  <c r="V577" i="22"/>
  <c r="T577" i="22"/>
  <c r="L577" i="22"/>
  <c r="M577" i="22" s="1"/>
  <c r="N578" i="22"/>
  <c r="J578" i="22"/>
  <c r="E575" i="22"/>
  <c r="V574" i="22"/>
  <c r="L574" i="22"/>
  <c r="M574" i="22" s="1"/>
  <c r="K541" i="22"/>
  <c r="J579" i="22"/>
  <c r="H541" i="22"/>
  <c r="T572" i="22"/>
  <c r="L572" i="22"/>
  <c r="M572" i="22" s="1"/>
  <c r="V571" i="22"/>
  <c r="E570" i="22"/>
  <c r="T568" i="22"/>
  <c r="S528" i="22"/>
  <c r="K528" i="22"/>
  <c r="I528" i="22"/>
  <c r="E560" i="22"/>
  <c r="N559" i="22"/>
  <c r="K559" i="22"/>
  <c r="K542" i="22" s="1"/>
  <c r="I559" i="22"/>
  <c r="I542" i="22" s="1"/>
  <c r="I525" i="22" s="1"/>
  <c r="H559" i="22"/>
  <c r="H542" i="22" s="1"/>
  <c r="G559" i="22"/>
  <c r="G542" i="22" s="1"/>
  <c r="F559" i="22"/>
  <c r="F542" i="22" s="1"/>
  <c r="S541" i="22"/>
  <c r="F541" i="22"/>
  <c r="S540" i="22"/>
  <c r="S523" i="22" s="1"/>
  <c r="N540" i="22"/>
  <c r="I540" i="22"/>
  <c r="H540" i="22"/>
  <c r="G540" i="22"/>
  <c r="G523" i="22" s="1"/>
  <c r="F557" i="22"/>
  <c r="E553" i="22"/>
  <c r="V552" i="22"/>
  <c r="N552" i="22"/>
  <c r="K552" i="22"/>
  <c r="I552" i="22"/>
  <c r="H552" i="22"/>
  <c r="G552" i="22"/>
  <c r="F552" i="22"/>
  <c r="V551" i="22"/>
  <c r="V534" i="22" s="1"/>
  <c r="V517" i="22" s="1"/>
  <c r="S551" i="22"/>
  <c r="N551" i="22"/>
  <c r="N534" i="22" s="1"/>
  <c r="K551" i="22"/>
  <c r="I551" i="22"/>
  <c r="H551" i="22"/>
  <c r="G551" i="22"/>
  <c r="F551" i="22"/>
  <c r="V550" i="22"/>
  <c r="S550" i="22"/>
  <c r="S533" i="22" s="1"/>
  <c r="S516" i="22" s="1"/>
  <c r="N550" i="22"/>
  <c r="K550" i="22"/>
  <c r="K533" i="22" s="1"/>
  <c r="K516" i="22" s="1"/>
  <c r="I550" i="22"/>
  <c r="I533" i="22" s="1"/>
  <c r="I516" i="22" s="1"/>
  <c r="H550" i="22"/>
  <c r="G550" i="22"/>
  <c r="G533" i="22" s="1"/>
  <c r="G516" i="22" s="1"/>
  <c r="F550" i="22"/>
  <c r="G528" i="22"/>
  <c r="E544" i="22"/>
  <c r="E527" i="22" s="1"/>
  <c r="E542" i="22"/>
  <c r="AB515" i="22"/>
  <c r="S513" i="22"/>
  <c r="N513" i="22"/>
  <c r="K513" i="22"/>
  <c r="I513" i="22"/>
  <c r="I514" i="22" s="1"/>
  <c r="H513" i="22"/>
  <c r="G513" i="22"/>
  <c r="G514" i="22" s="1"/>
  <c r="F513" i="22"/>
  <c r="F514" i="22" s="1"/>
  <c r="F515" i="22" s="1"/>
  <c r="V512" i="22"/>
  <c r="I512" i="22"/>
  <c r="G512" i="22"/>
  <c r="F512" i="22"/>
  <c r="V511" i="22"/>
  <c r="T511" i="22"/>
  <c r="K512" i="22"/>
  <c r="E509" i="22"/>
  <c r="V508" i="22"/>
  <c r="L508" i="22"/>
  <c r="M508" i="22" s="1"/>
  <c r="T507" i="22"/>
  <c r="L507" i="22"/>
  <c r="M507" i="22" s="1"/>
  <c r="T506" i="22"/>
  <c r="L506" i="22"/>
  <c r="M506" i="22" s="1"/>
  <c r="V505" i="22"/>
  <c r="V510" i="22" s="1"/>
  <c r="E504" i="22"/>
  <c r="T503" i="22"/>
  <c r="T502" i="22"/>
  <c r="L502" i="22"/>
  <c r="T501" i="22"/>
  <c r="N498" i="22"/>
  <c r="K498" i="22"/>
  <c r="F498" i="22"/>
  <c r="F499" i="22" s="1"/>
  <c r="F500" i="22" s="1"/>
  <c r="V497" i="22"/>
  <c r="I497" i="22"/>
  <c r="G497" i="22"/>
  <c r="F497" i="22"/>
  <c r="V496" i="22"/>
  <c r="T496" i="22"/>
  <c r="L496" i="22"/>
  <c r="M496" i="22" s="1"/>
  <c r="E494" i="22"/>
  <c r="V493" i="22"/>
  <c r="S498" i="22"/>
  <c r="J498" i="22"/>
  <c r="I498" i="22"/>
  <c r="I499" i="22" s="1"/>
  <c r="H498" i="22"/>
  <c r="G477" i="22"/>
  <c r="G483" i="22" s="1"/>
  <c r="T491" i="22"/>
  <c r="L491" i="22"/>
  <c r="M491" i="22" s="1"/>
  <c r="V490" i="22"/>
  <c r="T488" i="22"/>
  <c r="T487" i="22"/>
  <c r="L487" i="22"/>
  <c r="M487" i="22" s="1"/>
  <c r="T486" i="22"/>
  <c r="S481" i="22"/>
  <c r="N481" i="22"/>
  <c r="K481" i="22"/>
  <c r="I481" i="22"/>
  <c r="H481" i="22"/>
  <c r="G481" i="22"/>
  <c r="F481" i="22"/>
  <c r="I480" i="22"/>
  <c r="G480" i="22"/>
  <c r="F480" i="22"/>
  <c r="E480" i="22"/>
  <c r="N478" i="22"/>
  <c r="K478" i="22"/>
  <c r="I478" i="22"/>
  <c r="H478" i="22"/>
  <c r="G478" i="22"/>
  <c r="F478" i="22"/>
  <c r="E478" i="22"/>
  <c r="V477" i="22"/>
  <c r="S477" i="22"/>
  <c r="N477" i="22"/>
  <c r="K477" i="22"/>
  <c r="I477" i="22"/>
  <c r="I483" i="22" s="1"/>
  <c r="F477" i="22"/>
  <c r="F483" i="22" s="1"/>
  <c r="V476" i="22"/>
  <c r="S476" i="22"/>
  <c r="N476" i="22"/>
  <c r="K476" i="22"/>
  <c r="J476" i="22"/>
  <c r="I476" i="22"/>
  <c r="H476" i="22"/>
  <c r="G476" i="22"/>
  <c r="F476" i="22"/>
  <c r="I475" i="22"/>
  <c r="H475" i="22"/>
  <c r="F475" i="22"/>
  <c r="V473" i="22"/>
  <c r="S473" i="22"/>
  <c r="K473" i="22"/>
  <c r="J473" i="22"/>
  <c r="H473" i="22"/>
  <c r="G473" i="22"/>
  <c r="F473" i="22"/>
  <c r="V472" i="22"/>
  <c r="S472" i="22"/>
  <c r="N472" i="22"/>
  <c r="K472" i="22"/>
  <c r="J472" i="22"/>
  <c r="I472" i="22"/>
  <c r="H472" i="22"/>
  <c r="G472" i="22"/>
  <c r="F472" i="22"/>
  <c r="V471" i="22"/>
  <c r="S471" i="22"/>
  <c r="N471" i="22"/>
  <c r="K471" i="22"/>
  <c r="J471" i="22"/>
  <c r="I471" i="22"/>
  <c r="H471" i="22"/>
  <c r="G471" i="22"/>
  <c r="S468" i="22"/>
  <c r="N468" i="22"/>
  <c r="K468" i="22"/>
  <c r="J468" i="22"/>
  <c r="I468" i="22"/>
  <c r="H468" i="22"/>
  <c r="G468" i="22"/>
  <c r="F468" i="22"/>
  <c r="V467" i="22"/>
  <c r="V466" i="22"/>
  <c r="T466" i="22"/>
  <c r="L466" i="22"/>
  <c r="M466" i="22" s="1"/>
  <c r="N465" i="22"/>
  <c r="K465" i="22"/>
  <c r="K420" i="22" s="1"/>
  <c r="J465" i="22"/>
  <c r="J420" i="22" s="1"/>
  <c r="I465" i="22"/>
  <c r="I420" i="22" s="1"/>
  <c r="H465" i="22"/>
  <c r="H420" i="22" s="1"/>
  <c r="G465" i="22"/>
  <c r="G420" i="22" s="1"/>
  <c r="F465" i="22"/>
  <c r="F420" i="22" s="1"/>
  <c r="E464" i="22"/>
  <c r="V463" i="22"/>
  <c r="S463" i="22"/>
  <c r="S418" i="22" s="1"/>
  <c r="L463" i="22"/>
  <c r="M463" i="22" s="1"/>
  <c r="T462" i="22"/>
  <c r="L462" i="22"/>
  <c r="M462" i="22" s="1"/>
  <c r="T461" i="22"/>
  <c r="L461" i="22"/>
  <c r="M461" i="22" s="1"/>
  <c r="V460" i="22"/>
  <c r="S460" i="22"/>
  <c r="N460" i="22"/>
  <c r="N413" i="22" s="1"/>
  <c r="K460" i="22"/>
  <c r="J460" i="22"/>
  <c r="J413" i="22" s="1"/>
  <c r="I460" i="22"/>
  <c r="H460" i="22"/>
  <c r="H413" i="22" s="1"/>
  <c r="G460" i="22"/>
  <c r="F460" i="22"/>
  <c r="F413" i="22" s="1"/>
  <c r="T458" i="22"/>
  <c r="L458" i="22"/>
  <c r="T457" i="22"/>
  <c r="L457" i="22"/>
  <c r="M457" i="22" s="1"/>
  <c r="T456" i="22"/>
  <c r="L456" i="22"/>
  <c r="M456" i="22" s="1"/>
  <c r="S438" i="22"/>
  <c r="N438" i="22"/>
  <c r="K438" i="22"/>
  <c r="J438" i="22"/>
  <c r="I438" i="22"/>
  <c r="H438" i="22"/>
  <c r="G438" i="22"/>
  <c r="F438" i="22"/>
  <c r="V437" i="22"/>
  <c r="V436" i="22"/>
  <c r="T436" i="22"/>
  <c r="L436" i="22"/>
  <c r="M436" i="22" s="1"/>
  <c r="E434" i="22"/>
  <c r="V433" i="22"/>
  <c r="T433" i="22"/>
  <c r="L433" i="22"/>
  <c r="M433" i="22" s="1"/>
  <c r="T432" i="22"/>
  <c r="L432" i="22"/>
  <c r="M432" i="22" s="1"/>
  <c r="T431" i="22"/>
  <c r="L431" i="22"/>
  <c r="M431" i="22" s="1"/>
  <c r="V430" i="22"/>
  <c r="T428" i="22"/>
  <c r="L428" i="22"/>
  <c r="M428" i="22" s="1"/>
  <c r="T427" i="22"/>
  <c r="T426" i="22"/>
  <c r="L426" i="22"/>
  <c r="M426" i="22" s="1"/>
  <c r="S406" i="22"/>
  <c r="N406" i="22"/>
  <c r="K406" i="22"/>
  <c r="J406" i="22"/>
  <c r="I406" i="22"/>
  <c r="I407" i="22" s="1"/>
  <c r="H406" i="22"/>
  <c r="H407" i="22" s="1"/>
  <c r="G406" i="22"/>
  <c r="G407" i="22" s="1"/>
  <c r="F406" i="22"/>
  <c r="F407" i="22" s="1"/>
  <c r="F408" i="22" s="1"/>
  <c r="V405" i="22"/>
  <c r="I405" i="22"/>
  <c r="H405" i="22"/>
  <c r="G405" i="22"/>
  <c r="F405" i="22"/>
  <c r="V404" i="22"/>
  <c r="T404" i="22"/>
  <c r="L404" i="22"/>
  <c r="M404" i="22" s="1"/>
  <c r="N403" i="22"/>
  <c r="K405" i="22"/>
  <c r="E402" i="22"/>
  <c r="V401" i="22"/>
  <c r="S401" i="22"/>
  <c r="L401" i="22"/>
  <c r="M401" i="22" s="1"/>
  <c r="T400" i="22"/>
  <c r="L400" i="22"/>
  <c r="M400" i="22" s="1"/>
  <c r="T399" i="22"/>
  <c r="L399" i="22"/>
  <c r="M399" i="22" s="1"/>
  <c r="V398" i="22"/>
  <c r="V403" i="22" s="1"/>
  <c r="S398" i="22"/>
  <c r="N398" i="22"/>
  <c r="E397" i="22"/>
  <c r="T396" i="22"/>
  <c r="L396" i="22"/>
  <c r="M396" i="22" s="1"/>
  <c r="T395" i="22"/>
  <c r="L395" i="22"/>
  <c r="M395" i="22" s="1"/>
  <c r="T394" i="22"/>
  <c r="S376" i="22"/>
  <c r="S361" i="22" s="1"/>
  <c r="K376" i="22"/>
  <c r="V375" i="22"/>
  <c r="V360" i="22" s="1"/>
  <c r="I375" i="22"/>
  <c r="H375" i="22"/>
  <c r="G375" i="22"/>
  <c r="F375" i="22"/>
  <c r="V374" i="22"/>
  <c r="T374" i="22"/>
  <c r="L374" i="22"/>
  <c r="M374" i="22" s="1"/>
  <c r="S375" i="22"/>
  <c r="K375" i="22"/>
  <c r="E372" i="22"/>
  <c r="V371" i="22"/>
  <c r="T371" i="22"/>
  <c r="L371" i="22"/>
  <c r="M371" i="22" s="1"/>
  <c r="H376" i="22"/>
  <c r="H377" i="22" s="1"/>
  <c r="T369" i="22"/>
  <c r="L369" i="22"/>
  <c r="M369" i="22" s="1"/>
  <c r="V368" i="22"/>
  <c r="E367" i="22"/>
  <c r="T366" i="22"/>
  <c r="L366" i="22"/>
  <c r="M366" i="22" s="1"/>
  <c r="T365" i="22"/>
  <c r="T364" i="22"/>
  <c r="L364" i="22"/>
  <c r="M364" i="22" s="1"/>
  <c r="S312" i="22"/>
  <c r="N312" i="22"/>
  <c r="K312" i="22"/>
  <c r="J312" i="22"/>
  <c r="J313" i="22" s="1"/>
  <c r="I312" i="22"/>
  <c r="I313" i="22" s="1"/>
  <c r="H312" i="22"/>
  <c r="H313" i="22" s="1"/>
  <c r="G312" i="22"/>
  <c r="G313" i="22" s="1"/>
  <c r="F312" i="22"/>
  <c r="F313" i="22" s="1"/>
  <c r="F314" i="22" s="1"/>
  <c r="V311" i="22"/>
  <c r="J311" i="22"/>
  <c r="I311" i="22"/>
  <c r="H311" i="22"/>
  <c r="G311" i="22"/>
  <c r="F311" i="22"/>
  <c r="V310" i="22"/>
  <c r="T310" i="22"/>
  <c r="L310" i="22"/>
  <c r="M310" i="22" s="1"/>
  <c r="S309" i="22"/>
  <c r="S311" i="22" s="1"/>
  <c r="N309" i="22"/>
  <c r="K309" i="22"/>
  <c r="K311" i="22" s="1"/>
  <c r="E308" i="22"/>
  <c r="V307" i="22"/>
  <c r="T307" i="22"/>
  <c r="L307" i="22"/>
  <c r="M307" i="22" s="1"/>
  <c r="T306" i="22"/>
  <c r="L306" i="22"/>
  <c r="M306" i="22" s="1"/>
  <c r="T305" i="22"/>
  <c r="L305" i="22"/>
  <c r="M305" i="22" s="1"/>
  <c r="V304" i="22"/>
  <c r="S304" i="22"/>
  <c r="N304" i="22"/>
  <c r="K304" i="22"/>
  <c r="J304" i="22"/>
  <c r="T302" i="22"/>
  <c r="L302" i="22"/>
  <c r="M302" i="22" s="1"/>
  <c r="T301" i="22"/>
  <c r="L301" i="22"/>
  <c r="M301" i="22" s="1"/>
  <c r="T300" i="22"/>
  <c r="L300" i="22"/>
  <c r="M300" i="22" s="1"/>
  <c r="S282" i="22"/>
  <c r="N282" i="22"/>
  <c r="K282" i="22"/>
  <c r="J282" i="22"/>
  <c r="I282" i="22"/>
  <c r="H282" i="22"/>
  <c r="G282" i="22"/>
  <c r="F282" i="22"/>
  <c r="V281" i="22"/>
  <c r="V280" i="22"/>
  <c r="V265" i="22" s="1"/>
  <c r="T280" i="22"/>
  <c r="L280" i="22"/>
  <c r="M280" i="22" s="1"/>
  <c r="N279" i="22"/>
  <c r="K279" i="22"/>
  <c r="J279" i="22"/>
  <c r="I279" i="22"/>
  <c r="I264" i="22" s="1"/>
  <c r="H279" i="22"/>
  <c r="G279" i="22"/>
  <c r="G264" i="22" s="1"/>
  <c r="F279" i="22"/>
  <c r="E278" i="22"/>
  <c r="V277" i="22"/>
  <c r="S277" i="22"/>
  <c r="S262" i="22" s="1"/>
  <c r="L277" i="22"/>
  <c r="M277" i="22" s="1"/>
  <c r="T276" i="22"/>
  <c r="L276" i="22"/>
  <c r="M276" i="22" s="1"/>
  <c r="T275" i="22"/>
  <c r="L275" i="22"/>
  <c r="M275" i="22" s="1"/>
  <c r="X274" i="22"/>
  <c r="V274" i="22"/>
  <c r="S274" i="22"/>
  <c r="S257" i="22" s="1"/>
  <c r="N274" i="22"/>
  <c r="K274" i="22"/>
  <c r="J274" i="22"/>
  <c r="I274" i="22"/>
  <c r="I257" i="22" s="1"/>
  <c r="H274" i="22"/>
  <c r="H257" i="22" s="1"/>
  <c r="G274" i="22"/>
  <c r="G257" i="22" s="1"/>
  <c r="F274" i="22"/>
  <c r="F257" i="22" s="1"/>
  <c r="T272" i="22"/>
  <c r="L272" i="22"/>
  <c r="M272" i="22" s="1"/>
  <c r="T271" i="22"/>
  <c r="L271" i="22"/>
  <c r="M271" i="22" s="1"/>
  <c r="T270" i="22"/>
  <c r="L270" i="22"/>
  <c r="M270" i="22" s="1"/>
  <c r="S250" i="22"/>
  <c r="N250" i="22"/>
  <c r="K250" i="22"/>
  <c r="J250" i="22"/>
  <c r="I250" i="22"/>
  <c r="H250" i="22"/>
  <c r="G250" i="22"/>
  <c r="F250" i="22"/>
  <c r="V249" i="22"/>
  <c r="V248" i="22"/>
  <c r="T248" i="22"/>
  <c r="L248" i="22"/>
  <c r="M248" i="22" s="1"/>
  <c r="N247" i="22"/>
  <c r="N249" i="22" s="1"/>
  <c r="K247" i="22"/>
  <c r="J247" i="22"/>
  <c r="J249" i="22" s="1"/>
  <c r="I247" i="22"/>
  <c r="H247" i="22"/>
  <c r="H249" i="22" s="1"/>
  <c r="G247" i="22"/>
  <c r="F247" i="22"/>
  <c r="F249" i="22" s="1"/>
  <c r="E246" i="22"/>
  <c r="V245" i="22"/>
  <c r="S245" i="22"/>
  <c r="T245" i="22" s="1"/>
  <c r="L245" i="22"/>
  <c r="M245" i="22" s="1"/>
  <c r="T244" i="22"/>
  <c r="L244" i="22"/>
  <c r="M244" i="22" s="1"/>
  <c r="T243" i="22"/>
  <c r="L243" i="22"/>
  <c r="M243" i="22" s="1"/>
  <c r="X242" i="22"/>
  <c r="V242" i="22"/>
  <c r="V247" i="22" s="1"/>
  <c r="V246" i="22" s="1"/>
  <c r="S242" i="22"/>
  <c r="N242" i="22"/>
  <c r="K242" i="22"/>
  <c r="J242" i="22"/>
  <c r="I242" i="22"/>
  <c r="H242" i="22"/>
  <c r="G242" i="22"/>
  <c r="F242" i="22"/>
  <c r="T240" i="22"/>
  <c r="L240" i="22"/>
  <c r="M240" i="22" s="1"/>
  <c r="T239" i="22"/>
  <c r="L239" i="22"/>
  <c r="M239" i="22" s="1"/>
  <c r="T238" i="22"/>
  <c r="L238" i="22"/>
  <c r="M238" i="22" s="1"/>
  <c r="S235" i="22"/>
  <c r="N235" i="22"/>
  <c r="K235" i="22"/>
  <c r="J235" i="22"/>
  <c r="I235" i="22"/>
  <c r="H235" i="22"/>
  <c r="G235" i="22"/>
  <c r="F235" i="22"/>
  <c r="V234" i="22"/>
  <c r="V233" i="22"/>
  <c r="T233" i="22"/>
  <c r="L233" i="22"/>
  <c r="M233" i="22" s="1"/>
  <c r="N232" i="22"/>
  <c r="N234" i="22" s="1"/>
  <c r="K232" i="22"/>
  <c r="J232" i="22"/>
  <c r="J234" i="22" s="1"/>
  <c r="I232" i="22"/>
  <c r="H232" i="22"/>
  <c r="H234" i="22" s="1"/>
  <c r="G232" i="22"/>
  <c r="F232" i="22"/>
  <c r="F234" i="22" s="1"/>
  <c r="E231" i="22"/>
  <c r="V230" i="22"/>
  <c r="S230" i="22"/>
  <c r="L230" i="22"/>
  <c r="M230" i="22" s="1"/>
  <c r="T229" i="22"/>
  <c r="L229" i="22"/>
  <c r="M229" i="22" s="1"/>
  <c r="T228" i="22"/>
  <c r="L228" i="22"/>
  <c r="M228" i="22" s="1"/>
  <c r="X227" i="22"/>
  <c r="V227" i="22"/>
  <c r="V232" i="22" s="1"/>
  <c r="S227" i="22"/>
  <c r="N227" i="22"/>
  <c r="K227" i="22"/>
  <c r="J227" i="22"/>
  <c r="I227" i="22"/>
  <c r="H227" i="22"/>
  <c r="G227" i="22"/>
  <c r="F227" i="22"/>
  <c r="T225" i="22"/>
  <c r="L225" i="22"/>
  <c r="M225" i="22" s="1"/>
  <c r="T224" i="22"/>
  <c r="L224" i="22"/>
  <c r="M224" i="22" s="1"/>
  <c r="T223" i="22"/>
  <c r="L223" i="22"/>
  <c r="M223" i="22" s="1"/>
  <c r="V219" i="22"/>
  <c r="S218" i="22"/>
  <c r="N218" i="22"/>
  <c r="K218" i="22"/>
  <c r="J218" i="22"/>
  <c r="I218" i="22"/>
  <c r="H218" i="22"/>
  <c r="G218" i="22"/>
  <c r="F218" i="22"/>
  <c r="E217" i="22"/>
  <c r="N215" i="22"/>
  <c r="K215" i="22"/>
  <c r="J215" i="22"/>
  <c r="I215" i="22"/>
  <c r="H215" i="22"/>
  <c r="G215" i="22"/>
  <c r="F215" i="22"/>
  <c r="E215" i="22"/>
  <c r="V214" i="22"/>
  <c r="S214" i="22"/>
  <c r="N214" i="22"/>
  <c r="K214" i="22"/>
  <c r="K220" i="22" s="1"/>
  <c r="J214" i="22"/>
  <c r="J220" i="22" s="1"/>
  <c r="I214" i="22"/>
  <c r="I220" i="22" s="1"/>
  <c r="H214" i="22"/>
  <c r="H220" i="22" s="1"/>
  <c r="G214" i="22"/>
  <c r="G220" i="22" s="1"/>
  <c r="F214" i="22"/>
  <c r="V213" i="22"/>
  <c r="S213" i="22"/>
  <c r="N213" i="22"/>
  <c r="K213" i="22"/>
  <c r="J213" i="22"/>
  <c r="I213" i="22"/>
  <c r="H213" i="22"/>
  <c r="G213" i="22"/>
  <c r="F213" i="22"/>
  <c r="V210" i="22"/>
  <c r="S210" i="22"/>
  <c r="N210" i="22"/>
  <c r="K210" i="22"/>
  <c r="J210" i="22"/>
  <c r="I210" i="22"/>
  <c r="H210" i="22"/>
  <c r="G210" i="22"/>
  <c r="F210" i="22"/>
  <c r="V209" i="22"/>
  <c r="S209" i="22"/>
  <c r="N209" i="22"/>
  <c r="K209" i="22"/>
  <c r="J209" i="22"/>
  <c r="I209" i="22"/>
  <c r="H209" i="22"/>
  <c r="G209" i="22"/>
  <c r="F209" i="22"/>
  <c r="V208" i="22"/>
  <c r="S208" i="22"/>
  <c r="N208" i="22"/>
  <c r="K208" i="22"/>
  <c r="J208" i="22"/>
  <c r="I208" i="22"/>
  <c r="H208" i="22"/>
  <c r="G208" i="22"/>
  <c r="F208" i="22"/>
  <c r="S205" i="22"/>
  <c r="N205" i="22"/>
  <c r="K205" i="22"/>
  <c r="J205" i="22"/>
  <c r="I205" i="22"/>
  <c r="H205" i="22"/>
  <c r="G205" i="22"/>
  <c r="F205" i="22"/>
  <c r="V204" i="22"/>
  <c r="V203" i="22"/>
  <c r="T203" i="22"/>
  <c r="L203" i="22"/>
  <c r="M203" i="22" s="1"/>
  <c r="N202" i="22"/>
  <c r="K202" i="22"/>
  <c r="K204" i="22" s="1"/>
  <c r="J202" i="22"/>
  <c r="I202" i="22"/>
  <c r="I204" i="22" s="1"/>
  <c r="H202" i="22"/>
  <c r="G202" i="22"/>
  <c r="G204" i="22" s="1"/>
  <c r="F202" i="22"/>
  <c r="E201" i="22"/>
  <c r="V200" i="22"/>
  <c r="S200" i="22"/>
  <c r="S202" i="22" s="1"/>
  <c r="S204" i="22" s="1"/>
  <c r="L200" i="22"/>
  <c r="M200" i="22" s="1"/>
  <c r="T199" i="22"/>
  <c r="L199" i="22"/>
  <c r="M199" i="22" s="1"/>
  <c r="T198" i="22"/>
  <c r="L198" i="22"/>
  <c r="M198" i="22" s="1"/>
  <c r="X197" i="22"/>
  <c r="V197" i="22"/>
  <c r="S197" i="22"/>
  <c r="N197" i="22"/>
  <c r="K197" i="22"/>
  <c r="J197" i="22"/>
  <c r="I197" i="22"/>
  <c r="H197" i="22"/>
  <c r="G197" i="22"/>
  <c r="F197" i="22"/>
  <c r="T195" i="22"/>
  <c r="L195" i="22"/>
  <c r="M195" i="22" s="1"/>
  <c r="T194" i="22"/>
  <c r="L194" i="22"/>
  <c r="M194" i="22" s="1"/>
  <c r="T193" i="22"/>
  <c r="L193" i="22"/>
  <c r="M193" i="22" s="1"/>
  <c r="S190" i="22"/>
  <c r="N190" i="22"/>
  <c r="K190" i="22"/>
  <c r="J190" i="22"/>
  <c r="I190" i="22"/>
  <c r="H190" i="22"/>
  <c r="G190" i="22"/>
  <c r="F190" i="22"/>
  <c r="V189" i="22"/>
  <c r="V188" i="22"/>
  <c r="T188" i="22"/>
  <c r="L188" i="22"/>
  <c r="M188" i="22" s="1"/>
  <c r="N187" i="22"/>
  <c r="N189" i="22" s="1"/>
  <c r="K187" i="22"/>
  <c r="J187" i="22"/>
  <c r="J189" i="22" s="1"/>
  <c r="I187" i="22"/>
  <c r="H187" i="22"/>
  <c r="H189" i="22" s="1"/>
  <c r="G187" i="22"/>
  <c r="F187" i="22"/>
  <c r="E186" i="22"/>
  <c r="V185" i="22"/>
  <c r="S185" i="22"/>
  <c r="T185" i="22" s="1"/>
  <c r="L185" i="22"/>
  <c r="M185" i="22" s="1"/>
  <c r="T184" i="22"/>
  <c r="L184" i="22"/>
  <c r="M184" i="22" s="1"/>
  <c r="T183" i="22"/>
  <c r="L183" i="22"/>
  <c r="M183" i="22" s="1"/>
  <c r="V182" i="22"/>
  <c r="V187" i="22" s="1"/>
  <c r="S182" i="22"/>
  <c r="S167" i="22" s="1"/>
  <c r="N182" i="22"/>
  <c r="N167" i="22" s="1"/>
  <c r="K182" i="22"/>
  <c r="J182" i="22"/>
  <c r="I182" i="22"/>
  <c r="I167" i="22" s="1"/>
  <c r="H182" i="22"/>
  <c r="H167" i="22" s="1"/>
  <c r="G182" i="22"/>
  <c r="F182" i="22"/>
  <c r="T180" i="22"/>
  <c r="L180" i="22"/>
  <c r="M180" i="22" s="1"/>
  <c r="T179" i="22"/>
  <c r="L179" i="22"/>
  <c r="M179" i="22" s="1"/>
  <c r="T178" i="22"/>
  <c r="L178" i="22"/>
  <c r="M178" i="22" s="1"/>
  <c r="S173" i="22"/>
  <c r="N173" i="22"/>
  <c r="K173" i="22"/>
  <c r="J173" i="22"/>
  <c r="I173" i="22"/>
  <c r="H173" i="22"/>
  <c r="G173" i="22"/>
  <c r="F173" i="22"/>
  <c r="E172" i="22"/>
  <c r="N170" i="22"/>
  <c r="K170" i="22"/>
  <c r="J170" i="22"/>
  <c r="I170" i="22"/>
  <c r="H170" i="22"/>
  <c r="G170" i="22"/>
  <c r="F170" i="22"/>
  <c r="E170" i="22"/>
  <c r="V169" i="22"/>
  <c r="S169" i="22"/>
  <c r="N169" i="22"/>
  <c r="K169" i="22"/>
  <c r="J169" i="22"/>
  <c r="I169" i="22"/>
  <c r="H169" i="22"/>
  <c r="G169" i="22"/>
  <c r="F169" i="22"/>
  <c r="V168" i="22"/>
  <c r="S168" i="22"/>
  <c r="N168" i="22"/>
  <c r="K168" i="22"/>
  <c r="J168" i="22"/>
  <c r="I168" i="22"/>
  <c r="H168" i="22"/>
  <c r="G168" i="22"/>
  <c r="F168" i="22"/>
  <c r="X167" i="22"/>
  <c r="G167" i="22"/>
  <c r="S145" i="22"/>
  <c r="N145" i="22"/>
  <c r="N146" i="22" s="1"/>
  <c r="K145" i="22"/>
  <c r="J145" i="22"/>
  <c r="J146" i="22" s="1"/>
  <c r="I145" i="22"/>
  <c r="I146" i="22" s="1"/>
  <c r="F145" i="22"/>
  <c r="F146" i="22" s="1"/>
  <c r="F147" i="22" s="1"/>
  <c r="V144" i="22"/>
  <c r="J144" i="22"/>
  <c r="I144" i="22"/>
  <c r="H144" i="22"/>
  <c r="G144" i="22"/>
  <c r="F144" i="22"/>
  <c r="V143" i="22"/>
  <c r="T143" i="22"/>
  <c r="L143" i="22"/>
  <c r="M143" i="22" s="1"/>
  <c r="E141" i="22"/>
  <c r="V140" i="22"/>
  <c r="T139" i="22"/>
  <c r="H145" i="22"/>
  <c r="H146" i="22" s="1"/>
  <c r="T138" i="22"/>
  <c r="L138" i="22"/>
  <c r="M138" i="22" s="1"/>
  <c r="V137" i="22"/>
  <c r="E136" i="22"/>
  <c r="T135" i="22"/>
  <c r="L135" i="22"/>
  <c r="M135" i="22" s="1"/>
  <c r="T134" i="22"/>
  <c r="L134" i="22"/>
  <c r="M134" i="22" s="1"/>
  <c r="T133" i="22"/>
  <c r="L133" i="22"/>
  <c r="M133" i="22" s="1"/>
  <c r="N100" i="22"/>
  <c r="N101" i="22" s="1"/>
  <c r="K100" i="22"/>
  <c r="K101" i="22" s="1"/>
  <c r="J100" i="22"/>
  <c r="F100" i="22"/>
  <c r="F101" i="22" s="1"/>
  <c r="F102" i="22" s="1"/>
  <c r="V99" i="22"/>
  <c r="N99" i="22"/>
  <c r="K99" i="22"/>
  <c r="I99" i="22"/>
  <c r="H99" i="22"/>
  <c r="G99" i="22"/>
  <c r="F99" i="22"/>
  <c r="V98" i="22"/>
  <c r="T98" i="22"/>
  <c r="L98" i="22"/>
  <c r="M98" i="22" s="1"/>
  <c r="E96" i="22"/>
  <c r="V95" i="22"/>
  <c r="V65" i="22" s="1"/>
  <c r="V48" i="22" s="1"/>
  <c r="L95" i="22"/>
  <c r="M95" i="22" s="1"/>
  <c r="T94" i="22"/>
  <c r="T93" i="22"/>
  <c r="L93" i="22"/>
  <c r="M93" i="22" s="1"/>
  <c r="V92" i="22"/>
  <c r="V60" i="22" s="1"/>
  <c r="L92" i="22"/>
  <c r="L90" i="22"/>
  <c r="M90" i="22" s="1"/>
  <c r="T89" i="22"/>
  <c r="L89" i="22"/>
  <c r="M89" i="22" s="1"/>
  <c r="T88" i="22"/>
  <c r="V351" i="22" l="1"/>
  <c r="S356" i="22"/>
  <c r="T356" i="22" s="1"/>
  <c r="U356" i="22" s="1"/>
  <c r="X356" i="22" s="1"/>
  <c r="S324" i="23"/>
  <c r="V82" i="22"/>
  <c r="V562" i="22"/>
  <c r="F540" i="22"/>
  <c r="G610" i="22"/>
  <c r="G561" i="22"/>
  <c r="I610" i="22"/>
  <c r="I561" i="22"/>
  <c r="K610" i="22"/>
  <c r="K561" i="22"/>
  <c r="S610" i="22"/>
  <c r="S561" i="22"/>
  <c r="M634" i="22"/>
  <c r="U634" i="22"/>
  <c r="W634" i="22" s="1"/>
  <c r="V647" i="22"/>
  <c r="V631" i="22"/>
  <c r="V633" i="22" s="1"/>
  <c r="N563" i="22"/>
  <c r="H608" i="22"/>
  <c r="H563" i="22" s="1"/>
  <c r="H561" i="22"/>
  <c r="N608" i="22"/>
  <c r="N561" i="22"/>
  <c r="V24" i="22"/>
  <c r="V576" i="22"/>
  <c r="V554" i="22"/>
  <c r="V537" i="22" s="1"/>
  <c r="G534" i="22"/>
  <c r="G517" i="22" s="1"/>
  <c r="F30" i="22"/>
  <c r="H533" i="22"/>
  <c r="H516" i="22" s="1"/>
  <c r="F535" i="22"/>
  <c r="H535" i="22"/>
  <c r="V559" i="22"/>
  <c r="G638" i="22"/>
  <c r="G637" i="22" s="1"/>
  <c r="V266" i="22"/>
  <c r="V356" i="22"/>
  <c r="V535" i="22"/>
  <c r="N541" i="22"/>
  <c r="N547" i="22" s="1"/>
  <c r="T492" i="23"/>
  <c r="L65" i="22"/>
  <c r="M65" i="22" s="1"/>
  <c r="L130" i="22"/>
  <c r="M130" i="22" s="1"/>
  <c r="G535" i="22"/>
  <c r="G518" i="22" s="1"/>
  <c r="I535" i="22"/>
  <c r="I518" i="22" s="1"/>
  <c r="K535" i="22"/>
  <c r="K518" i="22" s="1"/>
  <c r="L122" i="23"/>
  <c r="S61" i="23"/>
  <c r="S44" i="23" s="1"/>
  <c r="H67" i="22"/>
  <c r="H66" i="22" s="1"/>
  <c r="T122" i="23"/>
  <c r="I67" i="22"/>
  <c r="I66" i="22" s="1"/>
  <c r="S131" i="23"/>
  <c r="F46" i="22"/>
  <c r="F29" i="22"/>
  <c r="H46" i="22"/>
  <c r="H29" i="22"/>
  <c r="H17" i="22" s="1"/>
  <c r="J46" i="22"/>
  <c r="J29" i="22"/>
  <c r="N46" i="22"/>
  <c r="N29" i="22"/>
  <c r="V46" i="22"/>
  <c r="V29" i="22"/>
  <c r="G47" i="22"/>
  <c r="G53" i="22" s="1"/>
  <c r="G30" i="22"/>
  <c r="G36" i="22" s="1"/>
  <c r="I47" i="22"/>
  <c r="I53" i="22" s="1"/>
  <c r="I30" i="22"/>
  <c r="I36" i="22" s="1"/>
  <c r="K47" i="22"/>
  <c r="K53" i="22" s="1"/>
  <c r="K30" i="22"/>
  <c r="K36" i="22" s="1"/>
  <c r="S47" i="22"/>
  <c r="S30" i="22"/>
  <c r="E48" i="22"/>
  <c r="E31" i="22"/>
  <c r="E50" i="22"/>
  <c r="E49" i="22" s="1"/>
  <c r="E33" i="22"/>
  <c r="G51" i="22"/>
  <c r="G34" i="22"/>
  <c r="G20" i="22" s="1"/>
  <c r="I51" i="22"/>
  <c r="I34" i="22"/>
  <c r="I20" i="22" s="1"/>
  <c r="K51" i="22"/>
  <c r="K34" i="22"/>
  <c r="K20" i="22" s="1"/>
  <c r="S51" i="22"/>
  <c r="S34" i="22"/>
  <c r="S20" i="22" s="1"/>
  <c r="V359" i="22"/>
  <c r="W359" i="22" s="1"/>
  <c r="V413" i="22"/>
  <c r="V415" i="22" s="1"/>
  <c r="V421" i="22"/>
  <c r="W421" i="22" s="1"/>
  <c r="N423" i="22"/>
  <c r="K540" i="22"/>
  <c r="K523" i="22" s="1"/>
  <c r="V335" i="22"/>
  <c r="V40" i="22"/>
  <c r="V23" i="22"/>
  <c r="N40" i="22"/>
  <c r="N23" i="22"/>
  <c r="J40" i="22"/>
  <c r="J23" i="22"/>
  <c r="H40" i="22"/>
  <c r="H23" i="22"/>
  <c r="F40" i="22"/>
  <c r="F23" i="22"/>
  <c r="S39" i="22"/>
  <c r="S22" i="22"/>
  <c r="K39" i="22"/>
  <c r="K22" i="22"/>
  <c r="I39" i="22"/>
  <c r="I22" i="22"/>
  <c r="G39" i="22"/>
  <c r="G22" i="22"/>
  <c r="F61" i="22"/>
  <c r="F44" i="22"/>
  <c r="H61" i="22"/>
  <c r="H62" i="22" s="1"/>
  <c r="H44" i="22"/>
  <c r="H27" i="22" s="1"/>
  <c r="N61" i="22"/>
  <c r="N44" i="22"/>
  <c r="V61" i="22"/>
  <c r="V44" i="22" s="1"/>
  <c r="V27" i="22" s="1"/>
  <c r="V69" i="22"/>
  <c r="V59" i="22"/>
  <c r="G46" i="22"/>
  <c r="G29" i="22"/>
  <c r="G17" i="22" s="1"/>
  <c r="I46" i="22"/>
  <c r="I29" i="22"/>
  <c r="I17" i="22" s="1"/>
  <c r="K46" i="22"/>
  <c r="K29" i="22"/>
  <c r="S46" i="22"/>
  <c r="S29" i="22"/>
  <c r="S17" i="22" s="1"/>
  <c r="F47" i="22"/>
  <c r="H47" i="22"/>
  <c r="H53" i="22" s="1"/>
  <c r="H30" i="22"/>
  <c r="H36" i="22" s="1"/>
  <c r="J47" i="22"/>
  <c r="J53" i="22" s="1"/>
  <c r="J30" i="22"/>
  <c r="J36" i="22" s="1"/>
  <c r="N47" i="22"/>
  <c r="N30" i="22"/>
  <c r="V47" i="22"/>
  <c r="V30" i="22"/>
  <c r="F51" i="22"/>
  <c r="F34" i="22"/>
  <c r="H51" i="22"/>
  <c r="H34" i="22"/>
  <c r="J51" i="22"/>
  <c r="J34" i="22"/>
  <c r="N51" i="22"/>
  <c r="N34" i="22"/>
  <c r="S212" i="22"/>
  <c r="S211" i="22" s="1"/>
  <c r="V418" i="22"/>
  <c r="V422" i="22"/>
  <c r="V343" i="22" s="1"/>
  <c r="S552" i="22"/>
  <c r="N27" i="22"/>
  <c r="V41" i="22"/>
  <c r="S40" i="22"/>
  <c r="S23" i="22"/>
  <c r="K40" i="22"/>
  <c r="K23" i="22"/>
  <c r="I40" i="22"/>
  <c r="I23" i="22"/>
  <c r="G40" i="22"/>
  <c r="G23" i="22"/>
  <c r="V39" i="22"/>
  <c r="V22" i="22"/>
  <c r="N39" i="22"/>
  <c r="N22" i="22"/>
  <c r="J39" i="22"/>
  <c r="J22" i="22"/>
  <c r="H39" i="22"/>
  <c r="H22" i="22"/>
  <c r="F39" i="22"/>
  <c r="F22" i="22"/>
  <c r="G44" i="22"/>
  <c r="G27" i="22" s="1"/>
  <c r="G61" i="22"/>
  <c r="G62" i="22" s="1"/>
  <c r="S44" i="22"/>
  <c r="S27" i="22" s="1"/>
  <c r="S61" i="22"/>
  <c r="V68" i="22"/>
  <c r="N358" i="22"/>
  <c r="N357" i="22" s="1"/>
  <c r="L91" i="22"/>
  <c r="S423" i="22"/>
  <c r="T423" i="22" s="1"/>
  <c r="U423" i="22" s="1"/>
  <c r="W423" i="22" s="1"/>
  <c r="N533" i="22"/>
  <c r="N516" i="22" s="1"/>
  <c r="T516" i="22" s="1"/>
  <c r="F533" i="22"/>
  <c r="F516" i="22" s="1"/>
  <c r="K534" i="22"/>
  <c r="K517" i="22" s="1"/>
  <c r="G413" i="22"/>
  <c r="G412" i="22" s="1"/>
  <c r="I413" i="22"/>
  <c r="I412" i="22" s="1"/>
  <c r="K413" i="22"/>
  <c r="K415" i="22" s="1"/>
  <c r="S413" i="22"/>
  <c r="T413" i="22" s="1"/>
  <c r="L414" i="22"/>
  <c r="M414" i="22" s="1"/>
  <c r="T414" i="22"/>
  <c r="F415" i="22"/>
  <c r="F412" i="22"/>
  <c r="H415" i="22"/>
  <c r="H412" i="22"/>
  <c r="J415" i="22"/>
  <c r="J412" i="22"/>
  <c r="N415" i="22"/>
  <c r="N412" i="22"/>
  <c r="V412" i="22"/>
  <c r="T418" i="22"/>
  <c r="U418" i="22" s="1"/>
  <c r="S339" i="22"/>
  <c r="T339" i="22" s="1"/>
  <c r="U339" i="22" s="1"/>
  <c r="X339" i="22" s="1"/>
  <c r="G419" i="22"/>
  <c r="G424" i="22"/>
  <c r="I419" i="22"/>
  <c r="I424" i="22"/>
  <c r="K419" i="22"/>
  <c r="K424" i="22"/>
  <c r="S415" i="22"/>
  <c r="F419" i="22"/>
  <c r="F424" i="22"/>
  <c r="F425" i="22" s="1"/>
  <c r="L420" i="22"/>
  <c r="H419" i="22"/>
  <c r="H424" i="22"/>
  <c r="J419" i="22"/>
  <c r="J424" i="22"/>
  <c r="F482" i="22"/>
  <c r="W265" i="22"/>
  <c r="T258" i="22"/>
  <c r="V262" i="22"/>
  <c r="F264" i="22"/>
  <c r="F268" i="22" s="1"/>
  <c r="F269" i="22" s="1"/>
  <c r="H264" i="22"/>
  <c r="J264" i="22"/>
  <c r="J263" i="22" s="1"/>
  <c r="N264" i="22"/>
  <c r="N268" i="22" s="1"/>
  <c r="F352" i="22"/>
  <c r="F351" i="22"/>
  <c r="H352" i="22"/>
  <c r="H335" i="22" s="1"/>
  <c r="H351" i="22"/>
  <c r="J352" i="22"/>
  <c r="J335" i="22" s="1"/>
  <c r="J351" i="22"/>
  <c r="N352" i="22"/>
  <c r="N351" i="22"/>
  <c r="F362" i="22"/>
  <c r="F363" i="22" s="1"/>
  <c r="L358" i="22"/>
  <c r="F357" i="22"/>
  <c r="F341" i="22"/>
  <c r="H341" i="22"/>
  <c r="H362" i="22"/>
  <c r="H357" i="22"/>
  <c r="J362" i="22"/>
  <c r="J357" i="22"/>
  <c r="J341" i="22"/>
  <c r="G352" i="22"/>
  <c r="G335" i="22" s="1"/>
  <c r="G351" i="22"/>
  <c r="I352" i="22"/>
  <c r="I335" i="22" s="1"/>
  <c r="I351" i="22"/>
  <c r="K352" i="22"/>
  <c r="K335" i="22" s="1"/>
  <c r="K351" i="22"/>
  <c r="S352" i="22"/>
  <c r="S335" i="22" s="1"/>
  <c r="S351" i="22"/>
  <c r="G341" i="22"/>
  <c r="G362" i="22"/>
  <c r="G357" i="22"/>
  <c r="I341" i="22"/>
  <c r="I357" i="22"/>
  <c r="I362" i="22"/>
  <c r="K341" i="22"/>
  <c r="K362" i="22"/>
  <c r="K357" i="22"/>
  <c r="V350" i="22"/>
  <c r="V353" i="22"/>
  <c r="V142" i="22"/>
  <c r="V145" i="22" s="1"/>
  <c r="V76" i="22"/>
  <c r="K264" i="22"/>
  <c r="V170" i="22"/>
  <c r="V174" i="22"/>
  <c r="J257" i="22"/>
  <c r="J259" i="22" s="1"/>
  <c r="N257" i="22"/>
  <c r="V257" i="22"/>
  <c r="V256" i="22" s="1"/>
  <c r="F474" i="22"/>
  <c r="F523" i="22"/>
  <c r="H523" i="22"/>
  <c r="N523" i="22"/>
  <c r="T523" i="22" s="1"/>
  <c r="F528" i="22"/>
  <c r="H528" i="22"/>
  <c r="N528" i="22"/>
  <c r="T528" i="22" s="1"/>
  <c r="I523" i="22"/>
  <c r="F547" i="22"/>
  <c r="F631" i="22"/>
  <c r="F633" i="22" s="1"/>
  <c r="L633" i="22" s="1"/>
  <c r="M633" i="22" s="1"/>
  <c r="V524" i="22"/>
  <c r="K525" i="22"/>
  <c r="S535" i="22"/>
  <c r="H524" i="22"/>
  <c r="K638" i="22"/>
  <c r="K637" i="22" s="1"/>
  <c r="U644" i="22"/>
  <c r="W644" i="22" s="1"/>
  <c r="U646" i="22"/>
  <c r="W646" i="22" s="1"/>
  <c r="I630" i="22"/>
  <c r="K630" i="22"/>
  <c r="S630" i="22"/>
  <c r="V639" i="22"/>
  <c r="V545" i="22" s="1"/>
  <c r="F641" i="22"/>
  <c r="H641" i="22"/>
  <c r="J641" i="22"/>
  <c r="N641" i="22"/>
  <c r="T641" i="22" s="1"/>
  <c r="T111" i="22"/>
  <c r="I482" i="22"/>
  <c r="E543" i="22"/>
  <c r="U603" i="22"/>
  <c r="W603" i="22" s="1"/>
  <c r="U148" i="22"/>
  <c r="S547" i="22"/>
  <c r="S524" i="22"/>
  <c r="K167" i="22"/>
  <c r="H259" i="22"/>
  <c r="H256" i="22"/>
  <c r="N259" i="22"/>
  <c r="N256" i="22"/>
  <c r="F263" i="22"/>
  <c r="J268" i="22"/>
  <c r="V677" i="22"/>
  <c r="T686" i="22"/>
  <c r="V444" i="22"/>
  <c r="I259" i="22"/>
  <c r="I256" i="22"/>
  <c r="S259" i="22"/>
  <c r="S256" i="22"/>
  <c r="T262" i="22"/>
  <c r="U262" i="22" s="1"/>
  <c r="G263" i="22"/>
  <c r="G268" i="22"/>
  <c r="K263" i="22"/>
  <c r="K268" i="22"/>
  <c r="F259" i="22"/>
  <c r="F256" i="22"/>
  <c r="H268" i="22"/>
  <c r="U607" i="22"/>
  <c r="W607" i="22" s="1"/>
  <c r="L686" i="22"/>
  <c r="M686" i="22" s="1"/>
  <c r="V112" i="22"/>
  <c r="F167" i="22"/>
  <c r="F166" i="22" s="1"/>
  <c r="J167" i="22"/>
  <c r="G259" i="22"/>
  <c r="G256" i="22"/>
  <c r="K257" i="22"/>
  <c r="I263" i="22"/>
  <c r="I268" i="22"/>
  <c r="V529" i="22"/>
  <c r="I638" i="22"/>
  <c r="S638" i="22"/>
  <c r="S637" i="22" s="1"/>
  <c r="V382" i="22"/>
  <c r="L258" i="22"/>
  <c r="M258" i="22" s="1"/>
  <c r="U149" i="22"/>
  <c r="V106" i="22"/>
  <c r="T130" i="22"/>
  <c r="N483" i="22"/>
  <c r="K483" i="22"/>
  <c r="V97" i="22"/>
  <c r="V100" i="22" s="1"/>
  <c r="H100" i="22"/>
  <c r="H101" i="22" s="1"/>
  <c r="L501" i="22"/>
  <c r="U501" i="22" s="1"/>
  <c r="G579" i="22"/>
  <c r="G580" i="22" s="1"/>
  <c r="U74" i="22"/>
  <c r="G100" i="22"/>
  <c r="G101" i="22" s="1"/>
  <c r="G102" i="22" s="1"/>
  <c r="I100" i="22"/>
  <c r="I101" i="22" s="1"/>
  <c r="L365" i="22"/>
  <c r="M365" i="22" s="1"/>
  <c r="F376" i="22"/>
  <c r="F377" i="22" s="1"/>
  <c r="F378" i="22" s="1"/>
  <c r="J376" i="22"/>
  <c r="L486" i="22"/>
  <c r="M486" i="22" s="1"/>
  <c r="T567" i="22"/>
  <c r="H579" i="22"/>
  <c r="H580" i="22" s="1"/>
  <c r="N579" i="22"/>
  <c r="N564" i="22" s="1"/>
  <c r="V96" i="22"/>
  <c r="G175" i="22"/>
  <c r="I175" i="22"/>
  <c r="K175" i="22"/>
  <c r="V367" i="22"/>
  <c r="S403" i="22"/>
  <c r="S358" i="22" s="1"/>
  <c r="L165" i="22"/>
  <c r="M165" i="22" s="1"/>
  <c r="L163" i="22"/>
  <c r="M163" i="22" s="1"/>
  <c r="U384" i="22"/>
  <c r="W384" i="22" s="1"/>
  <c r="L391" i="22"/>
  <c r="M391" i="22" s="1"/>
  <c r="T391" i="22"/>
  <c r="V318" i="22"/>
  <c r="U285" i="22"/>
  <c r="W285" i="22" s="1"/>
  <c r="U287" i="22"/>
  <c r="W287" i="22" s="1"/>
  <c r="U73" i="22"/>
  <c r="F175" i="22"/>
  <c r="H175" i="22"/>
  <c r="J175" i="22"/>
  <c r="T164" i="22"/>
  <c r="U78" i="22"/>
  <c r="W78" i="22" s="1"/>
  <c r="U447" i="22"/>
  <c r="L453" i="22"/>
  <c r="M453" i="22" s="1"/>
  <c r="T453" i="22"/>
  <c r="F129" i="22"/>
  <c r="F129" i="23" s="1"/>
  <c r="H129" i="22"/>
  <c r="H129" i="23" s="1"/>
  <c r="N129" i="22"/>
  <c r="N129" i="23" s="1"/>
  <c r="V127" i="22"/>
  <c r="G129" i="22"/>
  <c r="G129" i="23" s="1"/>
  <c r="I129" i="22"/>
  <c r="I129" i="23" s="1"/>
  <c r="S129" i="22"/>
  <c r="S129" i="23" s="1"/>
  <c r="L106" i="22"/>
  <c r="U107" i="22"/>
  <c r="T76" i="22"/>
  <c r="U77" i="22"/>
  <c r="W77" i="22" s="1"/>
  <c r="N131" i="22"/>
  <c r="F131" i="22"/>
  <c r="F132" i="22" s="1"/>
  <c r="H131" i="22"/>
  <c r="J131" i="22"/>
  <c r="J281" i="22"/>
  <c r="G296" i="22"/>
  <c r="I296" i="22"/>
  <c r="K296" i="22"/>
  <c r="S296" i="22"/>
  <c r="U286" i="22"/>
  <c r="W286" i="22" s="1"/>
  <c r="S279" i="22"/>
  <c r="S264" i="22" s="1"/>
  <c r="G281" i="22"/>
  <c r="G266" i="22" s="1"/>
  <c r="I281" i="22"/>
  <c r="I266" i="22" s="1"/>
  <c r="K281" i="22"/>
  <c r="K266" i="22" s="1"/>
  <c r="V294" i="22"/>
  <c r="V297" i="22" s="1"/>
  <c r="F298" i="22"/>
  <c r="F299" i="22" s="1"/>
  <c r="H298" i="22"/>
  <c r="J298" i="22"/>
  <c r="N298" i="22"/>
  <c r="V459" i="22"/>
  <c r="U446" i="22"/>
  <c r="W446" i="22" s="1"/>
  <c r="V450" i="22"/>
  <c r="V449" i="22" s="1"/>
  <c r="U456" i="22"/>
  <c r="W456" i="22" s="1"/>
  <c r="U458" i="22"/>
  <c r="F467" i="22"/>
  <c r="H467" i="22"/>
  <c r="J467" i="22"/>
  <c r="N467" i="22"/>
  <c r="K437" i="22"/>
  <c r="S437" i="22"/>
  <c r="U432" i="22"/>
  <c r="W432" i="22" s="1"/>
  <c r="U436" i="22"/>
  <c r="W436" i="22" s="1"/>
  <c r="G452" i="22"/>
  <c r="I452" i="22"/>
  <c r="K452" i="22"/>
  <c r="G390" i="22"/>
  <c r="G360" i="22" s="1"/>
  <c r="I390" i="22"/>
  <c r="I360" i="22" s="1"/>
  <c r="K390" i="22"/>
  <c r="K360" i="22" s="1"/>
  <c r="U79" i="22"/>
  <c r="W79" i="22" s="1"/>
  <c r="U83" i="22"/>
  <c r="G236" i="22"/>
  <c r="I236" i="22"/>
  <c r="K236" i="22"/>
  <c r="U270" i="22"/>
  <c r="W270" i="22" s="1"/>
  <c r="U272" i="22"/>
  <c r="W272" i="22" s="1"/>
  <c r="U275" i="22"/>
  <c r="W275" i="22" s="1"/>
  <c r="U103" i="22"/>
  <c r="U104" i="22"/>
  <c r="T106" i="22"/>
  <c r="U108" i="22"/>
  <c r="U118" i="22"/>
  <c r="U119" i="22"/>
  <c r="U120" i="22"/>
  <c r="W120" i="22" s="1"/>
  <c r="L122" i="22"/>
  <c r="L121" i="22" s="1"/>
  <c r="T122" i="22"/>
  <c r="T121" i="22" s="1"/>
  <c r="U123" i="22"/>
  <c r="W123" i="22" s="1"/>
  <c r="U124" i="22"/>
  <c r="W124" i="22" s="1"/>
  <c r="U125" i="22"/>
  <c r="W125" i="22" s="1"/>
  <c r="U128" i="22"/>
  <c r="W128" i="22" s="1"/>
  <c r="V85" i="22"/>
  <c r="G87" i="22"/>
  <c r="H87" i="22" s="1"/>
  <c r="I87" i="22" s="1"/>
  <c r="J87" i="22" s="1"/>
  <c r="K87" i="22" s="1"/>
  <c r="U75" i="22"/>
  <c r="X80" i="22" s="1"/>
  <c r="L85" i="22"/>
  <c r="M85" i="22" s="1"/>
  <c r="T85" i="22"/>
  <c r="V130" i="22"/>
  <c r="V126" i="22"/>
  <c r="T165" i="22"/>
  <c r="T163" i="22"/>
  <c r="G131" i="22"/>
  <c r="I131" i="22"/>
  <c r="K131" i="22"/>
  <c r="S131" i="22"/>
  <c r="T277" i="22"/>
  <c r="U277" i="22" s="1"/>
  <c r="U310" i="22"/>
  <c r="W310" i="22" s="1"/>
  <c r="U364" i="22"/>
  <c r="U399" i="22"/>
  <c r="W399" i="22" s="1"/>
  <c r="V475" i="22"/>
  <c r="V474" i="22" s="1"/>
  <c r="U491" i="22"/>
  <c r="W491" i="22" s="1"/>
  <c r="S478" i="22"/>
  <c r="T478" i="22" s="1"/>
  <c r="V481" i="22"/>
  <c r="G482" i="22"/>
  <c r="V482" i="22"/>
  <c r="L289" i="22"/>
  <c r="M289" i="22" s="1"/>
  <c r="M288" i="22" s="1"/>
  <c r="T289" i="22"/>
  <c r="L297" i="22"/>
  <c r="M297" i="22" s="1"/>
  <c r="T297" i="22"/>
  <c r="L164" i="22"/>
  <c r="M164" i="22" s="1"/>
  <c r="U109" i="22"/>
  <c r="U110" i="22"/>
  <c r="W110" i="22" s="1"/>
  <c r="U113" i="22"/>
  <c r="W113" i="22" s="1"/>
  <c r="U130" i="22"/>
  <c r="L127" i="22"/>
  <c r="T127" i="22"/>
  <c r="L115" i="22"/>
  <c r="M115" i="22" s="1"/>
  <c r="T115" i="22"/>
  <c r="M105" i="22"/>
  <c r="M106" i="22" s="1"/>
  <c r="U105" i="22"/>
  <c r="U133" i="22"/>
  <c r="U134" i="22"/>
  <c r="U135" i="22"/>
  <c r="W135" i="22" s="1"/>
  <c r="S175" i="22"/>
  <c r="N175" i="22"/>
  <c r="J172" i="22"/>
  <c r="U203" i="22"/>
  <c r="W203" i="22" s="1"/>
  <c r="U244" i="22"/>
  <c r="W244" i="22" s="1"/>
  <c r="H477" i="22"/>
  <c r="H483" i="22" s="1"/>
  <c r="J483" i="22"/>
  <c r="S475" i="22"/>
  <c r="S474" i="22" s="1"/>
  <c r="F524" i="22"/>
  <c r="U572" i="22"/>
  <c r="S564" i="22"/>
  <c r="V288" i="22"/>
  <c r="U290" i="22"/>
  <c r="U292" i="22"/>
  <c r="W292" i="22" s="1"/>
  <c r="L173" i="22"/>
  <c r="M173" i="22" s="1"/>
  <c r="U178" i="22"/>
  <c r="W178" i="22" s="1"/>
  <c r="U180" i="22"/>
  <c r="W180" i="22" s="1"/>
  <c r="H212" i="22"/>
  <c r="H43" i="22" s="1"/>
  <c r="J212" i="22"/>
  <c r="N212" i="22"/>
  <c r="V215" i="22"/>
  <c r="T235" i="22"/>
  <c r="V241" i="22"/>
  <c r="G212" i="22"/>
  <c r="G43" i="22" s="1"/>
  <c r="G45" i="22" s="1"/>
  <c r="I212" i="22"/>
  <c r="I211" i="22" s="1"/>
  <c r="K212" i="22"/>
  <c r="K211" i="22" s="1"/>
  <c r="U245" i="22"/>
  <c r="W245" i="22" s="1"/>
  <c r="G251" i="22"/>
  <c r="I251" i="22"/>
  <c r="K251" i="22"/>
  <c r="J251" i="22"/>
  <c r="U300" i="22"/>
  <c r="U301" i="22"/>
  <c r="U302" i="22"/>
  <c r="W302" i="22" s="1"/>
  <c r="U404" i="22"/>
  <c r="W404" i="22" s="1"/>
  <c r="U426" i="22"/>
  <c r="U427" i="22"/>
  <c r="U428" i="22"/>
  <c r="W428" i="22" s="1"/>
  <c r="U506" i="22"/>
  <c r="W506" i="22" s="1"/>
  <c r="H560" i="22"/>
  <c r="V533" i="22"/>
  <c r="V516" i="22" s="1"/>
  <c r="I534" i="22"/>
  <c r="I517" i="22" s="1"/>
  <c r="S534" i="22"/>
  <c r="S517" i="22" s="1"/>
  <c r="F518" i="22"/>
  <c r="H518" i="22"/>
  <c r="N535" i="22"/>
  <c r="N518" i="22" s="1"/>
  <c r="U315" i="22"/>
  <c r="W315" i="22" s="1"/>
  <c r="U317" i="22"/>
  <c r="X322" i="22" s="1"/>
  <c r="L327" i="22"/>
  <c r="M327" i="22" s="1"/>
  <c r="T327" i="22"/>
  <c r="U291" i="22"/>
  <c r="U295" i="22"/>
  <c r="W291" i="22"/>
  <c r="T288" i="22"/>
  <c r="W290" i="22"/>
  <c r="L294" i="22"/>
  <c r="T294" i="22"/>
  <c r="F296" i="22"/>
  <c r="H296" i="22"/>
  <c r="J296" i="22"/>
  <c r="N296" i="22"/>
  <c r="G298" i="22"/>
  <c r="I298" i="22"/>
  <c r="K298" i="22"/>
  <c r="S298" i="22"/>
  <c r="J99" i="22"/>
  <c r="J69" i="22" s="1"/>
  <c r="F189" i="22"/>
  <c r="F172" i="22"/>
  <c r="F171" i="22" s="1"/>
  <c r="F217" i="22"/>
  <c r="F216" i="22" s="1"/>
  <c r="L227" i="22"/>
  <c r="L226" i="22" s="1"/>
  <c r="F212" i="22"/>
  <c r="U184" i="22"/>
  <c r="W184" i="22" s="1"/>
  <c r="I479" i="22"/>
  <c r="U143" i="22"/>
  <c r="W143" i="22" s="1"/>
  <c r="U183" i="22"/>
  <c r="W183" i="22" s="1"/>
  <c r="U185" i="22"/>
  <c r="W185" i="22" s="1"/>
  <c r="G191" i="22"/>
  <c r="I191" i="22"/>
  <c r="K191" i="22"/>
  <c r="F191" i="22"/>
  <c r="F192" i="22" s="1"/>
  <c r="H191" i="22"/>
  <c r="J191" i="22"/>
  <c r="N191" i="22"/>
  <c r="L197" i="22"/>
  <c r="L196" i="22" s="1"/>
  <c r="T197" i="22"/>
  <c r="F206" i="22"/>
  <c r="F207" i="22" s="1"/>
  <c r="H206" i="22"/>
  <c r="J206" i="22"/>
  <c r="N206" i="22"/>
  <c r="G206" i="22"/>
  <c r="G207" i="22" s="1"/>
  <c r="K206" i="22"/>
  <c r="L218" i="22"/>
  <c r="M218" i="22" s="1"/>
  <c r="T218" i="22"/>
  <c r="U224" i="22"/>
  <c r="W224" i="22" s="1"/>
  <c r="L309" i="22"/>
  <c r="L308" i="22" s="1"/>
  <c r="L311" i="22"/>
  <c r="M311" i="22" s="1"/>
  <c r="U374" i="22"/>
  <c r="W374" i="22" s="1"/>
  <c r="U394" i="22"/>
  <c r="U396" i="22"/>
  <c r="L398" i="22"/>
  <c r="L397" i="22" s="1"/>
  <c r="V402" i="22"/>
  <c r="T401" i="22"/>
  <c r="U401" i="22" s="1"/>
  <c r="U462" i="22"/>
  <c r="W462" i="22" s="1"/>
  <c r="F471" i="22"/>
  <c r="L471" i="22" s="1"/>
  <c r="M471" i="22" s="1"/>
  <c r="T471" i="22"/>
  <c r="L476" i="22"/>
  <c r="M476" i="22" s="1"/>
  <c r="T476" i="22"/>
  <c r="G484" i="22"/>
  <c r="I484" i="22"/>
  <c r="S483" i="22"/>
  <c r="U496" i="22"/>
  <c r="W496" i="22" s="1"/>
  <c r="U503" i="22"/>
  <c r="W503" i="22" s="1"/>
  <c r="E525" i="22"/>
  <c r="G525" i="22"/>
  <c r="F525" i="22"/>
  <c r="H525" i="22"/>
  <c r="N560" i="22"/>
  <c r="L601" i="22"/>
  <c r="M601" i="22" s="1"/>
  <c r="M600" i="22" s="1"/>
  <c r="T601" i="22"/>
  <c r="T600" i="22" s="1"/>
  <c r="U602" i="22"/>
  <c r="W602" i="22" s="1"/>
  <c r="U650" i="22"/>
  <c r="U654" i="22"/>
  <c r="W654" i="22" s="1"/>
  <c r="F454" i="22"/>
  <c r="F455" i="22" s="1"/>
  <c r="H454" i="22"/>
  <c r="J454" i="22"/>
  <c r="N454" i="22"/>
  <c r="U379" i="22"/>
  <c r="U381" i="22"/>
  <c r="W381" i="22" s="1"/>
  <c r="F392" i="22"/>
  <c r="F393" i="22" s="1"/>
  <c r="H392" i="22"/>
  <c r="J392" i="22"/>
  <c r="N392" i="22"/>
  <c r="U389" i="22"/>
  <c r="W389" i="22" s="1"/>
  <c r="U316" i="22"/>
  <c r="W316" i="22" s="1"/>
  <c r="M318" i="22"/>
  <c r="T318" i="22"/>
  <c r="V327" i="22"/>
  <c r="W317" i="22"/>
  <c r="G328" i="22"/>
  <c r="G329" i="22" s="1"/>
  <c r="H329" i="22" s="1"/>
  <c r="I328" i="22"/>
  <c r="K328" i="22"/>
  <c r="S328" i="22"/>
  <c r="U89" i="22"/>
  <c r="V91" i="22"/>
  <c r="E171" i="22"/>
  <c r="U179" i="22"/>
  <c r="W179" i="22" s="1"/>
  <c r="U195" i="22"/>
  <c r="W195" i="22" s="1"/>
  <c r="U198" i="22"/>
  <c r="X203" i="22" s="1"/>
  <c r="T208" i="22"/>
  <c r="L213" i="22"/>
  <c r="M213" i="22" s="1"/>
  <c r="N220" i="22"/>
  <c r="J217" i="22"/>
  <c r="J221" i="22" s="1"/>
  <c r="U225" i="22"/>
  <c r="W225" i="22" s="1"/>
  <c r="U229" i="22"/>
  <c r="W229" i="22" s="1"/>
  <c r="U239" i="22"/>
  <c r="W239" i="22" s="1"/>
  <c r="U280" i="22"/>
  <c r="W280" i="22" s="1"/>
  <c r="L282" i="22"/>
  <c r="M282" i="22" s="1"/>
  <c r="U306" i="22"/>
  <c r="W306" i="22" s="1"/>
  <c r="L368" i="22"/>
  <c r="L367" i="22" s="1"/>
  <c r="U371" i="22"/>
  <c r="W371" i="22" s="1"/>
  <c r="J407" i="22"/>
  <c r="N407" i="22"/>
  <c r="T430" i="22"/>
  <c r="T429" i="22" s="1"/>
  <c r="U431" i="22"/>
  <c r="X436" i="22" s="1"/>
  <c r="L460" i="22"/>
  <c r="M460" i="22" s="1"/>
  <c r="G469" i="22"/>
  <c r="I469" i="22"/>
  <c r="K469" i="22"/>
  <c r="J469" i="22"/>
  <c r="E479" i="22"/>
  <c r="G479" i="22"/>
  <c r="T481" i="22"/>
  <c r="T505" i="22"/>
  <c r="T504" i="22" s="1"/>
  <c r="U507" i="22"/>
  <c r="W507" i="22" s="1"/>
  <c r="T508" i="22"/>
  <c r="U508" i="22" s="1"/>
  <c r="G515" i="22"/>
  <c r="T558" i="22"/>
  <c r="T569" i="22"/>
  <c r="V570" i="22"/>
  <c r="U597" i="22"/>
  <c r="U598" i="22"/>
  <c r="U599" i="22"/>
  <c r="W599" i="22" s="1"/>
  <c r="V630" i="22"/>
  <c r="L635" i="22"/>
  <c r="M635" i="22" s="1"/>
  <c r="T635" i="22"/>
  <c r="L639" i="22"/>
  <c r="M639" i="22" s="1"/>
  <c r="T639" i="22"/>
  <c r="U442" i="22"/>
  <c r="W442" i="22" s="1"/>
  <c r="U380" i="22"/>
  <c r="L383" i="22"/>
  <c r="M383" i="22" s="1"/>
  <c r="M382" i="22" s="1"/>
  <c r="T383" i="22"/>
  <c r="T382" i="22" s="1"/>
  <c r="G392" i="22"/>
  <c r="I392" i="22"/>
  <c r="K392" i="22"/>
  <c r="K146" i="22"/>
  <c r="G166" i="22"/>
  <c r="I655" i="22"/>
  <c r="I640" i="22" s="1"/>
  <c r="S655" i="22"/>
  <c r="U385" i="22"/>
  <c r="W385" i="22" s="1"/>
  <c r="T386" i="22"/>
  <c r="U386" i="22" s="1"/>
  <c r="W386" i="22" s="1"/>
  <c r="S390" i="22"/>
  <c r="S392" i="22"/>
  <c r="L388" i="22"/>
  <c r="T388" i="22"/>
  <c r="V388" i="22"/>
  <c r="F390" i="22"/>
  <c r="F360" i="22" s="1"/>
  <c r="H390" i="22"/>
  <c r="H360" i="22" s="1"/>
  <c r="J390" i="22"/>
  <c r="N390" i="22"/>
  <c r="L88" i="22"/>
  <c r="M88" i="22" s="1"/>
  <c r="L139" i="22"/>
  <c r="U139" i="22" s="1"/>
  <c r="W139" i="22" s="1"/>
  <c r="G145" i="22"/>
  <c r="G146" i="22" s="1"/>
  <c r="G147" i="22" s="1"/>
  <c r="H147" i="22" s="1"/>
  <c r="I147" i="22" s="1"/>
  <c r="J147" i="22" s="1"/>
  <c r="K144" i="22"/>
  <c r="K69" i="22" s="1"/>
  <c r="L142" i="22"/>
  <c r="L141" i="22" s="1"/>
  <c r="N499" i="22"/>
  <c r="U93" i="22"/>
  <c r="W93" i="22" s="1"/>
  <c r="U98" i="22"/>
  <c r="W98" i="22" s="1"/>
  <c r="T173" i="22"/>
  <c r="F204" i="22"/>
  <c r="S206" i="22"/>
  <c r="F236" i="22"/>
  <c r="F237" i="22" s="1"/>
  <c r="H236" i="22"/>
  <c r="J236" i="22"/>
  <c r="N236" i="22"/>
  <c r="I283" i="22"/>
  <c r="S377" i="22"/>
  <c r="G408" i="22"/>
  <c r="H408" i="22" s="1"/>
  <c r="I408" i="22" s="1"/>
  <c r="K407" i="22"/>
  <c r="S407" i="22"/>
  <c r="L438" i="22"/>
  <c r="M438" i="22" s="1"/>
  <c r="U457" i="22"/>
  <c r="W457" i="22" s="1"/>
  <c r="M458" i="22"/>
  <c r="U466" i="22"/>
  <c r="W466" i="22" s="1"/>
  <c r="I467" i="22"/>
  <c r="L468" i="22"/>
  <c r="M468" i="22" s="1"/>
  <c r="H469" i="22"/>
  <c r="N469" i="22"/>
  <c r="F469" i="22"/>
  <c r="F470" i="22" s="1"/>
  <c r="T472" i="22"/>
  <c r="T473" i="22"/>
  <c r="H474" i="22"/>
  <c r="U487" i="22"/>
  <c r="L492" i="22"/>
  <c r="M492" i="22" s="1"/>
  <c r="G498" i="22"/>
  <c r="G499" i="22" s="1"/>
  <c r="G500" i="22" s="1"/>
  <c r="U502" i="22"/>
  <c r="V504" i="22"/>
  <c r="T513" i="22"/>
  <c r="K514" i="22"/>
  <c r="T540" i="22"/>
  <c r="T573" i="22"/>
  <c r="I608" i="22"/>
  <c r="I563" i="22" s="1"/>
  <c r="I546" i="22" s="1"/>
  <c r="S608" i="22"/>
  <c r="F564" i="22"/>
  <c r="T609" i="22"/>
  <c r="N610" i="22"/>
  <c r="L627" i="22"/>
  <c r="M627" i="22" s="1"/>
  <c r="T627" i="22"/>
  <c r="L629" i="22"/>
  <c r="M629" i="22" s="1"/>
  <c r="H630" i="22"/>
  <c r="J630" i="22"/>
  <c r="N630" i="22"/>
  <c r="U645" i="22"/>
  <c r="W645" i="22" s="1"/>
  <c r="L648" i="22"/>
  <c r="M648" i="22" s="1"/>
  <c r="M647" i="22" s="1"/>
  <c r="T648" i="22"/>
  <c r="T647" i="22" s="1"/>
  <c r="U649" i="22"/>
  <c r="W649" i="22" s="1"/>
  <c r="U651" i="22"/>
  <c r="G655" i="22"/>
  <c r="G640" i="22" s="1"/>
  <c r="K655" i="22"/>
  <c r="K640" i="22" s="1"/>
  <c r="U675" i="22"/>
  <c r="W675" i="22" s="1"/>
  <c r="U679" i="22"/>
  <c r="W679" i="22" s="1"/>
  <c r="U681" i="22"/>
  <c r="W681" i="22" s="1"/>
  <c r="U441" i="22"/>
  <c r="W441" i="22" s="1"/>
  <c r="U443" i="22"/>
  <c r="W443" i="22" s="1"/>
  <c r="L445" i="22"/>
  <c r="L444" i="22" s="1"/>
  <c r="T445" i="22"/>
  <c r="T444" i="22" s="1"/>
  <c r="U451" i="22"/>
  <c r="W451" i="22" s="1"/>
  <c r="L137" i="22"/>
  <c r="L136" i="22" s="1"/>
  <c r="U138" i="22"/>
  <c r="L168" i="22"/>
  <c r="M168" i="22" s="1"/>
  <c r="T168" i="22"/>
  <c r="S170" i="22"/>
  <c r="T170" i="22" s="1"/>
  <c r="H172" i="22"/>
  <c r="H171" i="22" s="1"/>
  <c r="N172" i="22"/>
  <c r="V181" i="22"/>
  <c r="U188" i="22"/>
  <c r="W188" i="22" s="1"/>
  <c r="U193" i="22"/>
  <c r="W193" i="22" s="1"/>
  <c r="T200" i="22"/>
  <c r="U200" i="22" s="1"/>
  <c r="W200" i="22" s="1"/>
  <c r="J204" i="22"/>
  <c r="J174" i="22" s="1"/>
  <c r="L205" i="22"/>
  <c r="M205" i="22" s="1"/>
  <c r="I206" i="22"/>
  <c r="T209" i="22"/>
  <c r="V212" i="22"/>
  <c r="V211" i="22" s="1"/>
  <c r="L214" i="22"/>
  <c r="M214" i="22" s="1"/>
  <c r="L215" i="22"/>
  <c r="M215" i="22" s="1"/>
  <c r="E216" i="22"/>
  <c r="H217" i="22"/>
  <c r="H221" i="22" s="1"/>
  <c r="N217" i="22"/>
  <c r="F220" i="22"/>
  <c r="V226" i="22"/>
  <c r="U228" i="22"/>
  <c r="W228" i="22" s="1"/>
  <c r="U238" i="22"/>
  <c r="W238" i="22" s="1"/>
  <c r="T242" i="22"/>
  <c r="T241" i="22" s="1"/>
  <c r="U248" i="22"/>
  <c r="W248" i="22" s="1"/>
  <c r="I249" i="22"/>
  <c r="L250" i="22"/>
  <c r="M250" i="22" s="1"/>
  <c r="H251" i="22"/>
  <c r="N251" i="22"/>
  <c r="F251" i="22"/>
  <c r="F252" i="22" s="1"/>
  <c r="L274" i="22"/>
  <c r="L273" i="22" s="1"/>
  <c r="T274" i="22"/>
  <c r="T273" i="22" s="1"/>
  <c r="F283" i="22"/>
  <c r="F284" i="22" s="1"/>
  <c r="H283" i="22"/>
  <c r="J283" i="22"/>
  <c r="N283" i="22"/>
  <c r="F281" i="22"/>
  <c r="F266" i="22" s="1"/>
  <c r="G283" i="22"/>
  <c r="K283" i="22"/>
  <c r="L304" i="22"/>
  <c r="M304" i="22" s="1"/>
  <c r="M303" i="22" s="1"/>
  <c r="T304" i="22"/>
  <c r="T303" i="22" s="1"/>
  <c r="U305" i="22"/>
  <c r="X310" i="22" s="1"/>
  <c r="N313" i="22"/>
  <c r="N311" i="22"/>
  <c r="T311" i="22" s="1"/>
  <c r="G314" i="22"/>
  <c r="H314" i="22" s="1"/>
  <c r="I314" i="22" s="1"/>
  <c r="J314" i="22" s="1"/>
  <c r="K313" i="22"/>
  <c r="S313" i="22"/>
  <c r="K377" i="22"/>
  <c r="V397" i="22"/>
  <c r="J405" i="22"/>
  <c r="L405" i="22" s="1"/>
  <c r="M405" i="22" s="1"/>
  <c r="K439" i="22"/>
  <c r="G608" i="22"/>
  <c r="G563" i="22" s="1"/>
  <c r="G546" i="22" s="1"/>
  <c r="K608" i="22"/>
  <c r="F534" i="22"/>
  <c r="H534" i="22"/>
  <c r="H517" i="22" s="1"/>
  <c r="M445" i="22"/>
  <c r="M444" i="22" s="1"/>
  <c r="V453" i="22"/>
  <c r="S452" i="22"/>
  <c r="S454" i="22"/>
  <c r="W447" i="22"/>
  <c r="T448" i="22"/>
  <c r="U448" i="22" s="1"/>
  <c r="W448" i="22" s="1"/>
  <c r="L450" i="22"/>
  <c r="T450" i="22"/>
  <c r="F452" i="22"/>
  <c r="H452" i="22"/>
  <c r="J452" i="22"/>
  <c r="N452" i="22"/>
  <c r="G454" i="22"/>
  <c r="G455" i="22" s="1"/>
  <c r="I454" i="22"/>
  <c r="K454" i="22"/>
  <c r="T628" i="22"/>
  <c r="F630" i="22"/>
  <c r="L636" i="22"/>
  <c r="M636" i="22" s="1"/>
  <c r="T636" i="22"/>
  <c r="U674" i="22"/>
  <c r="W674" i="22" s="1"/>
  <c r="U676" i="22"/>
  <c r="L678" i="22"/>
  <c r="L677" i="22" s="1"/>
  <c r="T678" i="22"/>
  <c r="T677" i="22" s="1"/>
  <c r="U680" i="22"/>
  <c r="W680" i="22" s="1"/>
  <c r="U684" i="22"/>
  <c r="W684" i="22" s="1"/>
  <c r="F685" i="22"/>
  <c r="F640" i="22" s="1"/>
  <c r="J685" i="22"/>
  <c r="J640" i="22" s="1"/>
  <c r="E526" i="22"/>
  <c r="L641" i="22"/>
  <c r="M641" i="22" s="1"/>
  <c r="H685" i="22"/>
  <c r="H640" i="22" s="1"/>
  <c r="N685" i="22"/>
  <c r="N640" i="22" s="1"/>
  <c r="M92" i="22"/>
  <c r="M91" i="22" s="1"/>
  <c r="V141" i="22"/>
  <c r="J101" i="22"/>
  <c r="L97" i="22"/>
  <c r="L96" i="22" s="1"/>
  <c r="T167" i="22"/>
  <c r="V186" i="22"/>
  <c r="V190" i="22"/>
  <c r="T196" i="22"/>
  <c r="T90" i="22"/>
  <c r="U90" i="22" s="1"/>
  <c r="L94" i="22"/>
  <c r="M94" i="22" s="1"/>
  <c r="S95" i="22"/>
  <c r="V136" i="22"/>
  <c r="N144" i="22"/>
  <c r="T145" i="22"/>
  <c r="L169" i="22"/>
  <c r="M169" i="22" s="1"/>
  <c r="L170" i="22"/>
  <c r="M170" i="22" s="1"/>
  <c r="T140" i="22"/>
  <c r="U140" i="22" s="1"/>
  <c r="W140" i="22" s="1"/>
  <c r="S100" i="22"/>
  <c r="T100" i="22" s="1"/>
  <c r="T169" i="22"/>
  <c r="V231" i="22"/>
  <c r="V217" i="22"/>
  <c r="N219" i="22"/>
  <c r="M309" i="22"/>
  <c r="M308" i="22" s="1"/>
  <c r="V406" i="22"/>
  <c r="V429" i="22"/>
  <c r="F439" i="22"/>
  <c r="F440" i="22" s="1"/>
  <c r="J439" i="22"/>
  <c r="T463" i="22"/>
  <c r="U463" i="22" s="1"/>
  <c r="W463" i="22" s="1"/>
  <c r="V483" i="22"/>
  <c r="G475" i="22"/>
  <c r="V518" i="22"/>
  <c r="N517" i="22"/>
  <c r="S518" i="22"/>
  <c r="G564" i="22"/>
  <c r="V600" i="22"/>
  <c r="V606" i="22"/>
  <c r="V686" i="22"/>
  <c r="V682" i="22"/>
  <c r="L182" i="22"/>
  <c r="T182" i="22"/>
  <c r="S187" i="22"/>
  <c r="T187" i="22" s="1"/>
  <c r="G189" i="22"/>
  <c r="G174" i="22" s="1"/>
  <c r="I189" i="22"/>
  <c r="I174" i="22" s="1"/>
  <c r="K189" i="22"/>
  <c r="K174" i="22" s="1"/>
  <c r="L190" i="22"/>
  <c r="M190" i="22" s="1"/>
  <c r="T190" i="22"/>
  <c r="V202" i="22"/>
  <c r="N204" i="22"/>
  <c r="N174" i="22" s="1"/>
  <c r="S220" i="22"/>
  <c r="G234" i="22"/>
  <c r="K234" i="22"/>
  <c r="L235" i="22"/>
  <c r="M235" i="22" s="1"/>
  <c r="V235" i="22"/>
  <c r="S247" i="22"/>
  <c r="T247" i="22" s="1"/>
  <c r="T250" i="22"/>
  <c r="V279" i="22"/>
  <c r="N281" i="22"/>
  <c r="V309" i="22"/>
  <c r="T368" i="22"/>
  <c r="L370" i="22"/>
  <c r="M370" i="22" s="1"/>
  <c r="T373" i="22"/>
  <c r="I376" i="22"/>
  <c r="I377" i="22" s="1"/>
  <c r="N405" i="22"/>
  <c r="J437" i="22"/>
  <c r="S439" i="22"/>
  <c r="T460" i="22"/>
  <c r="S465" i="22"/>
  <c r="S420" i="22" s="1"/>
  <c r="S424" i="22" s="1"/>
  <c r="T468" i="22"/>
  <c r="T492" i="22"/>
  <c r="T551" i="22"/>
  <c r="T230" i="22"/>
  <c r="U230" i="22" s="1"/>
  <c r="W230" i="22" s="1"/>
  <c r="S215" i="22"/>
  <c r="T215" i="22" s="1"/>
  <c r="F219" i="22"/>
  <c r="N376" i="22"/>
  <c r="N361" i="22" s="1"/>
  <c r="T370" i="22"/>
  <c r="S405" i="22"/>
  <c r="V495" i="22"/>
  <c r="V489" i="22"/>
  <c r="K497" i="22"/>
  <c r="K482" i="22" s="1"/>
  <c r="K480" i="22"/>
  <c r="K499" i="22"/>
  <c r="S512" i="22"/>
  <c r="S514" i="22"/>
  <c r="V478" i="22"/>
  <c r="H547" i="22"/>
  <c r="N542" i="22"/>
  <c r="L145" i="22"/>
  <c r="M145" i="22" s="1"/>
  <c r="V167" i="22"/>
  <c r="G172" i="22"/>
  <c r="I172" i="22"/>
  <c r="K172" i="22"/>
  <c r="V173" i="22"/>
  <c r="L187" i="22"/>
  <c r="U194" i="22"/>
  <c r="W194" i="22" s="1"/>
  <c r="V196" i="22"/>
  <c r="U199" i="22"/>
  <c r="L202" i="22"/>
  <c r="T202" i="22"/>
  <c r="H204" i="22"/>
  <c r="H174" i="22" s="1"/>
  <c r="T205" i="22"/>
  <c r="L208" i="22"/>
  <c r="M208" i="22" s="1"/>
  <c r="L209" i="22"/>
  <c r="M209" i="22" s="1"/>
  <c r="T213" i="22"/>
  <c r="T214" i="22"/>
  <c r="G217" i="22"/>
  <c r="I217" i="22"/>
  <c r="K217" i="22"/>
  <c r="V218" i="22"/>
  <c r="U223" i="22"/>
  <c r="W223" i="22" s="1"/>
  <c r="T227" i="22"/>
  <c r="H219" i="22"/>
  <c r="J219" i="22"/>
  <c r="S232" i="22"/>
  <c r="T232" i="22" s="1"/>
  <c r="U233" i="22"/>
  <c r="W233" i="22" s="1"/>
  <c r="I234" i="22"/>
  <c r="U240" i="22"/>
  <c r="L242" i="22"/>
  <c r="U243" i="22"/>
  <c r="G249" i="22"/>
  <c r="K249" i="22"/>
  <c r="V250" i="22"/>
  <c r="U271" i="22"/>
  <c r="W271" i="22" s="1"/>
  <c r="V273" i="22"/>
  <c r="U276" i="22"/>
  <c r="L279" i="22"/>
  <c r="H281" i="22"/>
  <c r="T282" i="22"/>
  <c r="V303" i="22"/>
  <c r="U307" i="22"/>
  <c r="W307" i="22" s="1"/>
  <c r="T309" i="22"/>
  <c r="T312" i="22"/>
  <c r="U365" i="22"/>
  <c r="U366" i="22"/>
  <c r="U369" i="22"/>
  <c r="V373" i="22"/>
  <c r="V358" i="22" s="1"/>
  <c r="N375" i="22"/>
  <c r="G376" i="22"/>
  <c r="G377" i="22" s="1"/>
  <c r="U395" i="22"/>
  <c r="T398" i="22"/>
  <c r="U400" i="22"/>
  <c r="W401" i="22"/>
  <c r="L403" i="22"/>
  <c r="T403" i="22"/>
  <c r="T406" i="22"/>
  <c r="V435" i="22"/>
  <c r="F437" i="22"/>
  <c r="L609" i="22"/>
  <c r="M609" i="22" s="1"/>
  <c r="W458" i="22"/>
  <c r="V465" i="22"/>
  <c r="F484" i="22"/>
  <c r="F485" i="22" s="1"/>
  <c r="F479" i="22"/>
  <c r="L488" i="22"/>
  <c r="I473" i="22"/>
  <c r="I474" i="22" s="1"/>
  <c r="T493" i="22"/>
  <c r="J499" i="22"/>
  <c r="V513" i="22"/>
  <c r="V509" i="22"/>
  <c r="F560" i="22"/>
  <c r="F608" i="22"/>
  <c r="F563" i="22" s="1"/>
  <c r="F546" i="22" s="1"/>
  <c r="F610" i="22"/>
  <c r="J608" i="22"/>
  <c r="J610" i="22"/>
  <c r="F517" i="22"/>
  <c r="L210" i="22"/>
  <c r="M210" i="22" s="1"/>
  <c r="T210" i="22"/>
  <c r="L232" i="22"/>
  <c r="L247" i="22"/>
  <c r="L312" i="22"/>
  <c r="M312" i="22" s="1"/>
  <c r="L406" i="22"/>
  <c r="M406" i="22" s="1"/>
  <c r="U433" i="22"/>
  <c r="T438" i="22"/>
  <c r="U461" i="22"/>
  <c r="G467" i="22"/>
  <c r="K467" i="22"/>
  <c r="L472" i="22"/>
  <c r="M472" i="22" s="1"/>
  <c r="J497" i="22"/>
  <c r="N497" i="22"/>
  <c r="L505" i="22"/>
  <c r="L606" i="22"/>
  <c r="H610" i="22"/>
  <c r="L628" i="22"/>
  <c r="M628" i="22" s="1"/>
  <c r="T629" i="22"/>
  <c r="T574" i="22"/>
  <c r="U574" i="22" s="1"/>
  <c r="W574" i="22" s="1"/>
  <c r="S559" i="22"/>
  <c r="S542" i="22" s="1"/>
  <c r="S525" i="22" s="1"/>
  <c r="L573" i="22"/>
  <c r="M573" i="22" s="1"/>
  <c r="G541" i="22"/>
  <c r="I579" i="22"/>
  <c r="I541" i="22"/>
  <c r="K578" i="22"/>
  <c r="K563" i="22" s="1"/>
  <c r="K546" i="22" s="1"/>
  <c r="L465" i="22"/>
  <c r="T550" i="22"/>
  <c r="T552" i="22"/>
  <c r="T562" i="22"/>
  <c r="K579" i="22"/>
  <c r="K564" i="22" s="1"/>
  <c r="V579" i="22"/>
  <c r="T655" i="22"/>
  <c r="J580" i="22"/>
  <c r="U577" i="22"/>
  <c r="W577" i="22" s="1"/>
  <c r="U604" i="22"/>
  <c r="T606" i="22"/>
  <c r="S640" i="22"/>
  <c r="L576" i="22"/>
  <c r="L653" i="22"/>
  <c r="T653" i="22"/>
  <c r="V653" i="22"/>
  <c r="L656" i="22"/>
  <c r="M656" i="22" s="1"/>
  <c r="T656" i="22"/>
  <c r="F657" i="22"/>
  <c r="H657" i="22"/>
  <c r="J657" i="22"/>
  <c r="N657" i="22"/>
  <c r="G687" i="22"/>
  <c r="G688" i="22" s="1"/>
  <c r="H688" i="22" s="1"/>
  <c r="I687" i="22"/>
  <c r="K687" i="22"/>
  <c r="S687" i="22"/>
  <c r="V636" i="22"/>
  <c r="F638" i="22"/>
  <c r="F544" i="22" s="1"/>
  <c r="H638" i="22"/>
  <c r="J638" i="22"/>
  <c r="N638" i="22"/>
  <c r="W650" i="22"/>
  <c r="L683" i="22"/>
  <c r="T683" i="22"/>
  <c r="W356" i="22" l="1"/>
  <c r="V561" i="22"/>
  <c r="S65" i="22"/>
  <c r="S48" i="22" s="1"/>
  <c r="S31" i="22" s="1"/>
  <c r="S97" i="22"/>
  <c r="S97" i="23" s="1"/>
  <c r="S95" i="23"/>
  <c r="W572" i="22"/>
  <c r="X577" i="22"/>
  <c r="V115" i="22"/>
  <c r="H546" i="22"/>
  <c r="G544" i="22"/>
  <c r="V81" i="22"/>
  <c r="F18" i="22"/>
  <c r="H544" i="22"/>
  <c r="U633" i="22"/>
  <c r="W633" i="22" s="1"/>
  <c r="N544" i="22"/>
  <c r="N546" i="22"/>
  <c r="S544" i="22"/>
  <c r="K544" i="22"/>
  <c r="I544" i="22"/>
  <c r="U218" i="22"/>
  <c r="H266" i="22"/>
  <c r="G237" i="22"/>
  <c r="X295" i="22"/>
  <c r="S27" i="23"/>
  <c r="V575" i="22"/>
  <c r="V520" i="22"/>
  <c r="V522" i="22" s="1"/>
  <c r="V539" i="22"/>
  <c r="T576" i="22"/>
  <c r="T575" i="22" s="1"/>
  <c r="S553" i="22"/>
  <c r="T545" i="22"/>
  <c r="T533" i="22"/>
  <c r="L39" i="22"/>
  <c r="M39" i="22" s="1"/>
  <c r="T39" i="22"/>
  <c r="U169" i="22"/>
  <c r="N221" i="22"/>
  <c r="U163" i="22"/>
  <c r="W163" i="22" s="1"/>
  <c r="L22" i="22"/>
  <c r="M22" i="22" s="1"/>
  <c r="T22" i="22"/>
  <c r="M678" i="22"/>
  <c r="M677" i="22" s="1"/>
  <c r="N524" i="22"/>
  <c r="N18" i="22" s="1"/>
  <c r="T475" i="23"/>
  <c r="G393" i="22"/>
  <c r="G415" i="22"/>
  <c r="F27" i="22"/>
  <c r="S67" i="22"/>
  <c r="V339" i="22"/>
  <c r="T541" i="22"/>
  <c r="V334" i="22"/>
  <c r="V333" i="22" s="1"/>
  <c r="G485" i="22"/>
  <c r="U471" i="22"/>
  <c r="L647" i="22"/>
  <c r="T517" i="22"/>
  <c r="G529" i="22"/>
  <c r="U311" i="22"/>
  <c r="W311" i="22" s="1"/>
  <c r="X143" i="22"/>
  <c r="H393" i="22"/>
  <c r="X508" i="22"/>
  <c r="G269" i="22"/>
  <c r="I415" i="22"/>
  <c r="T51" i="22"/>
  <c r="K17" i="22"/>
  <c r="V35" i="22"/>
  <c r="U391" i="22"/>
  <c r="L167" i="22"/>
  <c r="U167" i="22" s="1"/>
  <c r="W167" i="22" s="1"/>
  <c r="K412" i="22"/>
  <c r="L382" i="22"/>
  <c r="F174" i="22"/>
  <c r="L174" i="22" s="1"/>
  <c r="M174" i="22" s="1"/>
  <c r="L175" i="22"/>
  <c r="M175" i="22" s="1"/>
  <c r="L498" i="22"/>
  <c r="M498" i="22" s="1"/>
  <c r="N360" i="22"/>
  <c r="V43" i="22"/>
  <c r="V42" i="22" s="1"/>
  <c r="W508" i="22"/>
  <c r="X404" i="22"/>
  <c r="S281" i="22"/>
  <c r="S266" i="22" s="1"/>
  <c r="W198" i="22"/>
  <c r="M398" i="22"/>
  <c r="M397" i="22" s="1"/>
  <c r="M227" i="22"/>
  <c r="M226" i="22" s="1"/>
  <c r="W431" i="22"/>
  <c r="F176" i="22"/>
  <c r="F177" i="22" s="1"/>
  <c r="M197" i="22"/>
  <c r="M196" i="22" s="1"/>
  <c r="X651" i="22"/>
  <c r="H564" i="22"/>
  <c r="U486" i="22"/>
  <c r="N211" i="22"/>
  <c r="L631" i="22"/>
  <c r="M631" i="22" s="1"/>
  <c r="V293" i="22"/>
  <c r="V111" i="22"/>
  <c r="U165" i="22"/>
  <c r="W165" i="22" s="1"/>
  <c r="V67" i="22"/>
  <c r="V342" i="22"/>
  <c r="W342" i="22" s="1"/>
  <c r="V62" i="22"/>
  <c r="V45" i="22" s="1"/>
  <c r="V28" i="22" s="1"/>
  <c r="K147" i="22"/>
  <c r="N147" i="22" s="1"/>
  <c r="O147" i="22" s="1"/>
  <c r="P147" i="22" s="1"/>
  <c r="Q147" i="22" s="1"/>
  <c r="R147" i="22" s="1"/>
  <c r="H71" i="22"/>
  <c r="J33" i="22"/>
  <c r="J37" i="22" s="1"/>
  <c r="U453" i="22"/>
  <c r="F26" i="22"/>
  <c r="F25" i="22" s="1"/>
  <c r="G543" i="22"/>
  <c r="H26" i="22"/>
  <c r="H25" i="22" s="1"/>
  <c r="I43" i="22"/>
  <c r="I45" i="22" s="1"/>
  <c r="J26" i="22"/>
  <c r="J25" i="22" s="1"/>
  <c r="I560" i="22"/>
  <c r="I527" i="22"/>
  <c r="I526" i="22" s="1"/>
  <c r="I26" i="22"/>
  <c r="I25" i="22" s="1"/>
  <c r="G26" i="22"/>
  <c r="G25" i="22" s="1"/>
  <c r="L99" i="22"/>
  <c r="M99" i="22" s="1"/>
  <c r="L24" i="22"/>
  <c r="M24" i="22" s="1"/>
  <c r="L41" i="22"/>
  <c r="M41" i="22" s="1"/>
  <c r="I71" i="22"/>
  <c r="V420" i="22"/>
  <c r="V419" i="22" s="1"/>
  <c r="I50" i="22"/>
  <c r="I49" i="22" s="1"/>
  <c r="I69" i="22"/>
  <c r="H69" i="22"/>
  <c r="H52" i="22" s="1"/>
  <c r="T127" i="23"/>
  <c r="N131" i="23"/>
  <c r="H131" i="23"/>
  <c r="L127" i="23"/>
  <c r="F131" i="23"/>
  <c r="F132" i="23" s="1"/>
  <c r="L121" i="23"/>
  <c r="M122" i="23"/>
  <c r="M121" i="23" s="1"/>
  <c r="K50" i="22"/>
  <c r="K54" i="22" s="1"/>
  <c r="T129" i="23"/>
  <c r="V21" i="22"/>
  <c r="U414" i="22"/>
  <c r="W414" i="22" s="1"/>
  <c r="I131" i="23"/>
  <c r="G131" i="23"/>
  <c r="T121" i="23"/>
  <c r="U122" i="23"/>
  <c r="T48" i="22"/>
  <c r="J43" i="22"/>
  <c r="J28" i="22"/>
  <c r="K43" i="22"/>
  <c r="K45" i="22" s="1"/>
  <c r="T547" i="22"/>
  <c r="K33" i="22"/>
  <c r="K37" i="22" s="1"/>
  <c r="L413" i="22"/>
  <c r="M413" i="22" s="1"/>
  <c r="M412" i="22" s="1"/>
  <c r="H50" i="22"/>
  <c r="H42" i="22"/>
  <c r="T41" i="22"/>
  <c r="T27" i="22"/>
  <c r="L27" i="22"/>
  <c r="M27" i="22" s="1"/>
  <c r="L51" i="22"/>
  <c r="M51" i="22" s="1"/>
  <c r="L48" i="22"/>
  <c r="M48" i="22" s="1"/>
  <c r="V53" i="22"/>
  <c r="N53" i="22"/>
  <c r="T47" i="22"/>
  <c r="F53" i="22"/>
  <c r="L53" i="22" s="1"/>
  <c r="M53" i="22" s="1"/>
  <c r="L47" i="22"/>
  <c r="M47" i="22" s="1"/>
  <c r="S60" i="22"/>
  <c r="S59" i="22" s="1"/>
  <c r="S43" i="22"/>
  <c r="S45" i="22" s="1"/>
  <c r="T61" i="22"/>
  <c r="L61" i="22"/>
  <c r="M61" i="22" s="1"/>
  <c r="F62" i="22"/>
  <c r="L40" i="22"/>
  <c r="M40" i="22" s="1"/>
  <c r="T40" i="22"/>
  <c r="G42" i="22"/>
  <c r="I33" i="22"/>
  <c r="S53" i="22"/>
  <c r="T46" i="22"/>
  <c r="L46" i="22"/>
  <c r="M46" i="22" s="1"/>
  <c r="J52" i="22"/>
  <c r="J50" i="22"/>
  <c r="K26" i="22"/>
  <c r="K25" i="22" s="1"/>
  <c r="G28" i="22"/>
  <c r="F43" i="22"/>
  <c r="F45" i="22" s="1"/>
  <c r="I28" i="22"/>
  <c r="H28" i="22"/>
  <c r="V26" i="22"/>
  <c r="V25" i="22" s="1"/>
  <c r="H33" i="22"/>
  <c r="H32" i="22" s="1"/>
  <c r="W68" i="22"/>
  <c r="V51" i="22"/>
  <c r="V66" i="22"/>
  <c r="V31" i="22"/>
  <c r="N20" i="22"/>
  <c r="T20" i="22" s="1"/>
  <c r="T34" i="22"/>
  <c r="H20" i="22"/>
  <c r="F20" i="22"/>
  <c r="L34" i="22"/>
  <c r="M34" i="22" s="1"/>
  <c r="L31" i="22"/>
  <c r="M31" i="22" s="1"/>
  <c r="V18" i="22"/>
  <c r="T30" i="22"/>
  <c r="N36" i="22"/>
  <c r="L30" i="22"/>
  <c r="M30" i="22" s="1"/>
  <c r="F36" i="22"/>
  <c r="L36" i="22" s="1"/>
  <c r="M36" i="22" s="1"/>
  <c r="T58" i="22"/>
  <c r="U58" i="22" s="1"/>
  <c r="T24" i="22"/>
  <c r="V52" i="22"/>
  <c r="T44" i="22"/>
  <c r="H45" i="22"/>
  <c r="L44" i="22"/>
  <c r="M44" i="22" s="1"/>
  <c r="L23" i="22"/>
  <c r="M23" i="22" s="1"/>
  <c r="T23" i="22"/>
  <c r="V34" i="22"/>
  <c r="E19" i="22"/>
  <c r="E32" i="22"/>
  <c r="S36" i="22"/>
  <c r="V17" i="22"/>
  <c r="T29" i="22"/>
  <c r="N17" i="22"/>
  <c r="N3" i="22" s="1"/>
  <c r="F17" i="22"/>
  <c r="L29" i="22"/>
  <c r="M29" i="22" s="1"/>
  <c r="S357" i="22"/>
  <c r="S362" i="22"/>
  <c r="T358" i="22"/>
  <c r="U358" i="22" s="1"/>
  <c r="U357" i="22" s="1"/>
  <c r="S360" i="22"/>
  <c r="G363" i="22"/>
  <c r="H363" i="22" s="1"/>
  <c r="I363" i="22" s="1"/>
  <c r="J363" i="22" s="1"/>
  <c r="K363" i="22" s="1"/>
  <c r="H102" i="22"/>
  <c r="I102" i="22" s="1"/>
  <c r="J102" i="22" s="1"/>
  <c r="K102" i="22" s="1"/>
  <c r="N102" i="22" s="1"/>
  <c r="O102" i="22" s="1"/>
  <c r="P102" i="22" s="1"/>
  <c r="Q102" i="22" s="1"/>
  <c r="R102" i="22" s="1"/>
  <c r="W339" i="22"/>
  <c r="S530" i="22"/>
  <c r="S18" i="22"/>
  <c r="S3" i="22" s="1"/>
  <c r="N530" i="22"/>
  <c r="T530" i="22" s="1"/>
  <c r="F530" i="22"/>
  <c r="H530" i="22"/>
  <c r="H18" i="22"/>
  <c r="H3" i="22" s="1"/>
  <c r="L579" i="22"/>
  <c r="M579" i="22" s="1"/>
  <c r="G560" i="22"/>
  <c r="T483" i="22"/>
  <c r="K422" i="22"/>
  <c r="K343" i="22" s="1"/>
  <c r="J422" i="22"/>
  <c r="F422" i="22"/>
  <c r="F343" i="22" s="1"/>
  <c r="S412" i="22"/>
  <c r="T415" i="22"/>
  <c r="L419" i="22"/>
  <c r="M420" i="22"/>
  <c r="M419" i="22" s="1"/>
  <c r="W418" i="22"/>
  <c r="X418" i="22"/>
  <c r="T465" i="22"/>
  <c r="T412" i="22"/>
  <c r="S341" i="22"/>
  <c r="S340" i="22" s="1"/>
  <c r="G425" i="22"/>
  <c r="H425" i="22" s="1"/>
  <c r="I425" i="22" s="1"/>
  <c r="J425" i="22" s="1"/>
  <c r="K425" i="22" s="1"/>
  <c r="S419" i="22"/>
  <c r="S268" i="22"/>
  <c r="L257" i="22"/>
  <c r="M257" i="22" s="1"/>
  <c r="M256" i="22" s="1"/>
  <c r="U282" i="22"/>
  <c r="N266" i="22"/>
  <c r="G299" i="22"/>
  <c r="H299" i="22" s="1"/>
  <c r="I299" i="22" s="1"/>
  <c r="J299" i="22" s="1"/>
  <c r="K299" i="22" s="1"/>
  <c r="N263" i="22"/>
  <c r="H263" i="22"/>
  <c r="J256" i="22"/>
  <c r="L264" i="22"/>
  <c r="L263" i="22" s="1"/>
  <c r="U438" i="22"/>
  <c r="I345" i="22"/>
  <c r="I340" i="22"/>
  <c r="S353" i="22"/>
  <c r="S334" i="22"/>
  <c r="S350" i="22"/>
  <c r="K353" i="22"/>
  <c r="K334" i="22"/>
  <c r="K350" i="22"/>
  <c r="I353" i="22"/>
  <c r="I334" i="22"/>
  <c r="I350" i="22"/>
  <c r="G353" i="22"/>
  <c r="G334" i="22"/>
  <c r="G350" i="22"/>
  <c r="H345" i="22"/>
  <c r="H340" i="22"/>
  <c r="N335" i="22"/>
  <c r="T335" i="22" s="1"/>
  <c r="T352" i="22"/>
  <c r="F335" i="22"/>
  <c r="L335" i="22" s="1"/>
  <c r="M335" i="22" s="1"/>
  <c r="L352" i="22"/>
  <c r="M352" i="22" s="1"/>
  <c r="K340" i="22"/>
  <c r="K345" i="22"/>
  <c r="G345" i="22"/>
  <c r="G340" i="22"/>
  <c r="J340" i="22"/>
  <c r="J345" i="22"/>
  <c r="F345" i="22"/>
  <c r="F346" i="22" s="1"/>
  <c r="L341" i="22"/>
  <c r="F340" i="22"/>
  <c r="L357" i="22"/>
  <c r="M358" i="22"/>
  <c r="M357" i="22" s="1"/>
  <c r="N334" i="22"/>
  <c r="N350" i="22"/>
  <c r="T351" i="22"/>
  <c r="N353" i="22"/>
  <c r="T353" i="22" s="1"/>
  <c r="J350" i="22"/>
  <c r="J353" i="22"/>
  <c r="H350" i="22"/>
  <c r="H353" i="22"/>
  <c r="F334" i="22"/>
  <c r="F350" i="22"/>
  <c r="L351" i="22"/>
  <c r="F353" i="22"/>
  <c r="V341" i="22"/>
  <c r="V357" i="22"/>
  <c r="V336" i="22"/>
  <c r="T361" i="22"/>
  <c r="U361" i="22" s="1"/>
  <c r="W361" i="22" s="1"/>
  <c r="N362" i="22"/>
  <c r="F221" i="22"/>
  <c r="F222" i="22" s="1"/>
  <c r="G211" i="22"/>
  <c r="V264" i="22"/>
  <c r="V263" i="22" s="1"/>
  <c r="U609" i="22"/>
  <c r="M630" i="22"/>
  <c r="X401" i="22"/>
  <c r="W130" i="22"/>
  <c r="U686" i="22"/>
  <c r="X433" i="22"/>
  <c r="T279" i="22"/>
  <c r="S283" i="22"/>
  <c r="L100" i="22"/>
  <c r="M100" i="22" s="1"/>
  <c r="W651" i="22"/>
  <c r="T608" i="22"/>
  <c r="T535" i="22"/>
  <c r="L600" i="22"/>
  <c r="X681" i="22"/>
  <c r="I637" i="22"/>
  <c r="T631" i="22"/>
  <c r="T630" i="22" s="1"/>
  <c r="G630" i="22"/>
  <c r="X451" i="22"/>
  <c r="T579" i="22"/>
  <c r="T564" i="22"/>
  <c r="N580" i="22"/>
  <c r="N565" i="22" s="1"/>
  <c r="T264" i="22"/>
  <c r="T263" i="22" s="1"/>
  <c r="L256" i="22"/>
  <c r="U258" i="22"/>
  <c r="W258" i="22" s="1"/>
  <c r="W262" i="22"/>
  <c r="X262" i="22"/>
  <c r="K259" i="22"/>
  <c r="K28" i="22" s="1"/>
  <c r="K256" i="22"/>
  <c r="S263" i="22"/>
  <c r="T257" i="22"/>
  <c r="X277" i="22"/>
  <c r="J266" i="22"/>
  <c r="J35" i="22" s="1"/>
  <c r="I543" i="22"/>
  <c r="H269" i="22"/>
  <c r="I269" i="22" s="1"/>
  <c r="J269" i="22" s="1"/>
  <c r="K269" i="22" s="1"/>
  <c r="N269" i="22" s="1"/>
  <c r="M264" i="22"/>
  <c r="M263" i="22" s="1"/>
  <c r="U492" i="22"/>
  <c r="W492" i="22" s="1"/>
  <c r="X155" i="22"/>
  <c r="U656" i="22"/>
  <c r="U641" i="22"/>
  <c r="U327" i="22"/>
  <c r="W327" i="22" s="1"/>
  <c r="X159" i="22"/>
  <c r="J176" i="22"/>
  <c r="W109" i="22"/>
  <c r="W108" i="22"/>
  <c r="X113" i="22"/>
  <c r="M142" i="22"/>
  <c r="M141" i="22" s="1"/>
  <c r="U168" i="22"/>
  <c r="W168" i="22" s="1"/>
  <c r="J211" i="22"/>
  <c r="U297" i="22"/>
  <c r="W297" i="22" s="1"/>
  <c r="L288" i="22"/>
  <c r="G252" i="22"/>
  <c r="H252" i="22" s="1"/>
  <c r="X110" i="22"/>
  <c r="M122" i="22"/>
  <c r="M121" i="22" s="1"/>
  <c r="G132" i="22"/>
  <c r="H132" i="22" s="1"/>
  <c r="I132" i="22" s="1"/>
  <c r="J132" i="22" s="1"/>
  <c r="K132" i="22" s="1"/>
  <c r="N132" i="22" s="1"/>
  <c r="U85" i="22"/>
  <c r="W85" i="22" s="1"/>
  <c r="U122" i="22"/>
  <c r="W122" i="22" s="1"/>
  <c r="W121" i="22" s="1"/>
  <c r="W107" i="22"/>
  <c r="X128" i="22"/>
  <c r="X158" i="22"/>
  <c r="X157" i="22"/>
  <c r="J408" i="22"/>
  <c r="W83" i="22"/>
  <c r="X83" i="22"/>
  <c r="M76" i="22"/>
  <c r="U205" i="22"/>
  <c r="U250" i="22"/>
  <c r="W250" i="22" s="1"/>
  <c r="H211" i="22"/>
  <c r="T175" i="22"/>
  <c r="U175" i="22" s="1"/>
  <c r="F211" i="22"/>
  <c r="H207" i="22"/>
  <c r="I207" i="22" s="1"/>
  <c r="J207" i="22" s="1"/>
  <c r="K207" i="22" s="1"/>
  <c r="N207" i="22" s="1"/>
  <c r="U197" i="22"/>
  <c r="W197" i="22" s="1"/>
  <c r="W196" i="22" s="1"/>
  <c r="X188" i="22"/>
  <c r="L212" i="22"/>
  <c r="L211" i="22" s="1"/>
  <c r="W295" i="22"/>
  <c r="H455" i="22"/>
  <c r="I455" i="22" s="1"/>
  <c r="J455" i="22" s="1"/>
  <c r="K455" i="22" s="1"/>
  <c r="N455" i="22" s="1"/>
  <c r="L483" i="22"/>
  <c r="M483" i="22" s="1"/>
  <c r="U635" i="22"/>
  <c r="W635" i="22" s="1"/>
  <c r="W305" i="22"/>
  <c r="I252" i="22"/>
  <c r="J252" i="22" s="1"/>
  <c r="K252" i="22" s="1"/>
  <c r="N252" i="22" s="1"/>
  <c r="O252" i="22" s="1"/>
  <c r="P252" i="22" s="1"/>
  <c r="Q252" i="22" s="1"/>
  <c r="R252" i="22" s="1"/>
  <c r="W218" i="22"/>
  <c r="U214" i="22"/>
  <c r="W214" i="22" s="1"/>
  <c r="T212" i="22"/>
  <c r="T211" i="22" s="1"/>
  <c r="J171" i="22"/>
  <c r="X496" i="22"/>
  <c r="W277" i="22"/>
  <c r="L685" i="22"/>
  <c r="M685" i="22" s="1"/>
  <c r="L477" i="22"/>
  <c r="M477" i="22" s="1"/>
  <c r="U468" i="22"/>
  <c r="H237" i="22"/>
  <c r="I237" i="22" s="1"/>
  <c r="J237" i="22" s="1"/>
  <c r="K237" i="22" s="1"/>
  <c r="N237" i="22" s="1"/>
  <c r="O237" i="22" s="1"/>
  <c r="P237" i="22" s="1"/>
  <c r="Q237" i="22" s="1"/>
  <c r="R237" i="22" s="1"/>
  <c r="L220" i="22"/>
  <c r="M220" i="22" s="1"/>
  <c r="W676" i="22"/>
  <c r="U601" i="22"/>
  <c r="W601" i="22" s="1"/>
  <c r="T534" i="22"/>
  <c r="M139" i="22"/>
  <c r="L303" i="22"/>
  <c r="M274" i="22"/>
  <c r="M273" i="22" s="1"/>
  <c r="W138" i="22"/>
  <c r="M368" i="22"/>
  <c r="M367" i="22" s="1"/>
  <c r="M137" i="22"/>
  <c r="M136" i="22" s="1"/>
  <c r="U476" i="22"/>
  <c r="W476" i="22" s="1"/>
  <c r="U173" i="22"/>
  <c r="U289" i="22"/>
  <c r="W289" i="22" s="1"/>
  <c r="W288" i="22" s="1"/>
  <c r="X292" i="22"/>
  <c r="U164" i="22"/>
  <c r="W164" i="22" s="1"/>
  <c r="W76" i="22"/>
  <c r="U76" i="22"/>
  <c r="X386" i="22"/>
  <c r="I393" i="22"/>
  <c r="J393" i="22" s="1"/>
  <c r="K393" i="22" s="1"/>
  <c r="N393" i="22" s="1"/>
  <c r="O393" i="22" s="1"/>
  <c r="P393" i="22" s="1"/>
  <c r="Q393" i="22" s="1"/>
  <c r="R393" i="22" s="1"/>
  <c r="M127" i="22"/>
  <c r="M126" i="22" s="1"/>
  <c r="L126" i="22"/>
  <c r="U127" i="22"/>
  <c r="T126" i="22"/>
  <c r="U121" i="22"/>
  <c r="L129" i="22"/>
  <c r="M129" i="22" s="1"/>
  <c r="T129" i="22"/>
  <c r="U115" i="22"/>
  <c r="W115" i="22" s="1"/>
  <c r="U106" i="22"/>
  <c r="W105" i="22"/>
  <c r="U678" i="22"/>
  <c r="U677" i="22" s="1"/>
  <c r="U636" i="22"/>
  <c r="W636" i="22" s="1"/>
  <c r="U445" i="22"/>
  <c r="W445" i="22" s="1"/>
  <c r="W444" i="22" s="1"/>
  <c r="U88" i="22"/>
  <c r="L318" i="22"/>
  <c r="N299" i="22"/>
  <c r="G378" i="22"/>
  <c r="H378" i="22" s="1"/>
  <c r="I378" i="22" s="1"/>
  <c r="L249" i="22"/>
  <c r="M249" i="22" s="1"/>
  <c r="K314" i="22"/>
  <c r="N314" i="22" s="1"/>
  <c r="U304" i="22"/>
  <c r="W304" i="22" s="1"/>
  <c r="W303" i="22" s="1"/>
  <c r="U274" i="22"/>
  <c r="W274" i="22" s="1"/>
  <c r="W273" i="22" s="1"/>
  <c r="G470" i="22"/>
  <c r="H470" i="22" s="1"/>
  <c r="I470" i="22" s="1"/>
  <c r="J470" i="22" s="1"/>
  <c r="K470" i="22" s="1"/>
  <c r="N470" i="22" s="1"/>
  <c r="O470" i="22" s="1"/>
  <c r="P470" i="22" s="1"/>
  <c r="Q470" i="22" s="1"/>
  <c r="R470" i="22" s="1"/>
  <c r="U383" i="22"/>
  <c r="W383" i="22" s="1"/>
  <c r="W382" i="22" s="1"/>
  <c r="U631" i="22"/>
  <c r="W631" i="22" s="1"/>
  <c r="M294" i="22"/>
  <c r="M293" i="22" s="1"/>
  <c r="L293" i="22"/>
  <c r="L296" i="22"/>
  <c r="M296" i="22" s="1"/>
  <c r="U294" i="22"/>
  <c r="T293" i="22"/>
  <c r="T296" i="22"/>
  <c r="I329" i="22"/>
  <c r="J329" i="22" s="1"/>
  <c r="K329" i="22" s="1"/>
  <c r="N329" i="22" s="1"/>
  <c r="W318" i="22"/>
  <c r="G192" i="22"/>
  <c r="H192" i="22" s="1"/>
  <c r="I192" i="22" s="1"/>
  <c r="J192" i="22" s="1"/>
  <c r="K192" i="22" s="1"/>
  <c r="N192" i="22" s="1"/>
  <c r="O192" i="22" s="1"/>
  <c r="P192" i="22" s="1"/>
  <c r="Q192" i="22" s="1"/>
  <c r="R192" i="22" s="1"/>
  <c r="X389" i="22"/>
  <c r="X185" i="22"/>
  <c r="K547" i="22"/>
  <c r="K524" i="22"/>
  <c r="K18" i="22" s="1"/>
  <c r="K3" i="22" s="1"/>
  <c r="U170" i="22"/>
  <c r="W170" i="22" s="1"/>
  <c r="I529" i="22"/>
  <c r="M459" i="22"/>
  <c r="U318" i="22"/>
  <c r="J216" i="22"/>
  <c r="U639" i="22"/>
  <c r="W639" i="22" s="1"/>
  <c r="X604" i="22"/>
  <c r="L655" i="22"/>
  <c r="M655" i="22" s="1"/>
  <c r="L630" i="22"/>
  <c r="U629" i="22"/>
  <c r="W629" i="22" s="1"/>
  <c r="X463" i="22"/>
  <c r="I219" i="22"/>
  <c r="U213" i="22"/>
  <c r="X218" i="22" s="1"/>
  <c r="N171" i="22"/>
  <c r="U370" i="22"/>
  <c r="W370" i="22" s="1"/>
  <c r="X280" i="22"/>
  <c r="U215" i="22"/>
  <c r="W215" i="22" s="1"/>
  <c r="K408" i="22"/>
  <c r="N408" i="22" s="1"/>
  <c r="N216" i="22"/>
  <c r="X200" i="22"/>
  <c r="U648" i="22"/>
  <c r="W648" i="22" s="1"/>
  <c r="W647" i="22" s="1"/>
  <c r="N176" i="22"/>
  <c r="H529" i="22"/>
  <c r="U627" i="22"/>
  <c r="W627" i="22" s="1"/>
  <c r="L144" i="22"/>
  <c r="M144" i="22" s="1"/>
  <c r="L459" i="22"/>
  <c r="V391" i="22"/>
  <c r="W391" i="22" s="1"/>
  <c r="V387" i="22"/>
  <c r="M388" i="22"/>
  <c r="M387" i="22" s="1"/>
  <c r="L387" i="22"/>
  <c r="U388" i="22"/>
  <c r="U387" i="22" s="1"/>
  <c r="T387" i="22"/>
  <c r="T390" i="22"/>
  <c r="L390" i="22"/>
  <c r="M390" i="22" s="1"/>
  <c r="S393" i="22"/>
  <c r="T498" i="22"/>
  <c r="U628" i="22"/>
  <c r="W628" i="22" s="1"/>
  <c r="G284" i="22"/>
  <c r="H284" i="22" s="1"/>
  <c r="I284" i="22" s="1"/>
  <c r="J284" i="22" s="1"/>
  <c r="K284" i="22" s="1"/>
  <c r="N284" i="22" s="1"/>
  <c r="O284" i="22" s="1"/>
  <c r="P284" i="22" s="1"/>
  <c r="Q284" i="22" s="1"/>
  <c r="R284" i="22" s="1"/>
  <c r="H216" i="22"/>
  <c r="X98" i="22"/>
  <c r="H176" i="22"/>
  <c r="X307" i="22"/>
  <c r="L217" i="22"/>
  <c r="L216" i="22" s="1"/>
  <c r="U450" i="22"/>
  <c r="T449" i="22"/>
  <c r="T452" i="22"/>
  <c r="W453" i="22"/>
  <c r="M450" i="22"/>
  <c r="M449" i="22" s="1"/>
  <c r="L449" i="22"/>
  <c r="L452" i="22"/>
  <c r="M452" i="22" s="1"/>
  <c r="X448" i="22"/>
  <c r="T685" i="22"/>
  <c r="U685" i="22" s="1"/>
  <c r="X685" i="22" s="1"/>
  <c r="I688" i="22"/>
  <c r="J688" i="22" s="1"/>
  <c r="K688" i="22" s="1"/>
  <c r="N688" i="22" s="1"/>
  <c r="O688" i="22" s="1"/>
  <c r="P688" i="22" s="1"/>
  <c r="Q688" i="22" s="1"/>
  <c r="R688" i="22" s="1"/>
  <c r="X311" i="22"/>
  <c r="T682" i="22"/>
  <c r="U683" i="22"/>
  <c r="J637" i="22"/>
  <c r="L638" i="22"/>
  <c r="F637" i="22"/>
  <c r="J642" i="22"/>
  <c r="F642" i="22"/>
  <c r="F658" i="22"/>
  <c r="U653" i="22"/>
  <c r="U652" i="22" s="1"/>
  <c r="T652" i="22"/>
  <c r="U606" i="22"/>
  <c r="U605" i="22" s="1"/>
  <c r="T605" i="22"/>
  <c r="L464" i="22"/>
  <c r="M465" i="22"/>
  <c r="M464" i="22" s="1"/>
  <c r="I547" i="22"/>
  <c r="I548" i="22" s="1"/>
  <c r="I524" i="22"/>
  <c r="I18" i="22" s="1"/>
  <c r="I3" i="22" s="1"/>
  <c r="H565" i="22"/>
  <c r="M606" i="22"/>
  <c r="M605" i="22" s="1"/>
  <c r="L605" i="22"/>
  <c r="L504" i="22"/>
  <c r="M505" i="22"/>
  <c r="M504" i="22" s="1"/>
  <c r="T246" i="22"/>
  <c r="U247" i="22"/>
  <c r="T231" i="22"/>
  <c r="U232" i="22"/>
  <c r="F611" i="22"/>
  <c r="F565" i="22"/>
  <c r="S497" i="22"/>
  <c r="S482" i="22" s="1"/>
  <c r="S480" i="22"/>
  <c r="S499" i="22"/>
  <c r="U488" i="22"/>
  <c r="M488" i="22"/>
  <c r="J478" i="22"/>
  <c r="L493" i="22"/>
  <c r="M493" i="22" s="1"/>
  <c r="V464" i="22"/>
  <c r="V468" i="22"/>
  <c r="W468" i="22" s="1"/>
  <c r="V438" i="22"/>
  <c r="V434" i="22"/>
  <c r="M403" i="22"/>
  <c r="M402" i="22" s="1"/>
  <c r="L402" i="22"/>
  <c r="T397" i="22"/>
  <c r="U398" i="22"/>
  <c r="X374" i="22"/>
  <c r="W369" i="22"/>
  <c r="X371" i="22"/>
  <c r="W366" i="22"/>
  <c r="U279" i="22"/>
  <c r="U278" i="22" s="1"/>
  <c r="T278" i="22"/>
  <c r="W276" i="22"/>
  <c r="L241" i="22"/>
  <c r="M242" i="22"/>
  <c r="M241" i="22" s="1"/>
  <c r="S236" i="22"/>
  <c r="S234" i="22"/>
  <c r="T234" i="22" s="1"/>
  <c r="S217" i="22"/>
  <c r="T226" i="22"/>
  <c r="U227" i="22"/>
  <c r="I221" i="22"/>
  <c r="I216" i="22"/>
  <c r="U202" i="22"/>
  <c r="U201" i="22" s="1"/>
  <c r="T201" i="22"/>
  <c r="T186" i="22"/>
  <c r="U187" i="22"/>
  <c r="K176" i="22"/>
  <c r="K171" i="22"/>
  <c r="G176" i="22"/>
  <c r="G171" i="22"/>
  <c r="T542" i="22"/>
  <c r="N525" i="22"/>
  <c r="T525" i="22" s="1"/>
  <c r="K479" i="22"/>
  <c r="K484" i="22"/>
  <c r="T376" i="22"/>
  <c r="U460" i="22"/>
  <c r="T459" i="22"/>
  <c r="U368" i="22"/>
  <c r="T367" i="22"/>
  <c r="T281" i="22"/>
  <c r="S251" i="22"/>
  <c r="S249" i="22"/>
  <c r="T249" i="22" s="1"/>
  <c r="V205" i="22"/>
  <c r="V175" i="22" s="1"/>
  <c r="V201" i="22"/>
  <c r="U182" i="22"/>
  <c r="T181" i="22"/>
  <c r="V605" i="22"/>
  <c r="V609" i="22"/>
  <c r="U600" i="22"/>
  <c r="G581" i="22"/>
  <c r="G565" i="22"/>
  <c r="V216" i="22"/>
  <c r="T95" i="22"/>
  <c r="U95" i="22" s="1"/>
  <c r="W95" i="22" s="1"/>
  <c r="T166" i="22"/>
  <c r="L166" i="22"/>
  <c r="M97" i="22"/>
  <c r="M96" i="22" s="1"/>
  <c r="K580" i="22"/>
  <c r="U573" i="22"/>
  <c r="U210" i="22"/>
  <c r="V542" i="22"/>
  <c r="T495" i="22"/>
  <c r="U312" i="22"/>
  <c r="L234" i="22"/>
  <c r="M234" i="22" s="1"/>
  <c r="T405" i="22"/>
  <c r="U405" i="22" s="1"/>
  <c r="W405" i="22" s="1"/>
  <c r="N377" i="22"/>
  <c r="U242" i="22"/>
  <c r="G219" i="22"/>
  <c r="X230" i="22"/>
  <c r="U190" i="22"/>
  <c r="W190" i="22" s="1"/>
  <c r="W686" i="22"/>
  <c r="W600" i="22"/>
  <c r="X233" i="22"/>
  <c r="U235" i="22"/>
  <c r="W235" i="22" s="1"/>
  <c r="L204" i="22"/>
  <c r="M204" i="22" s="1"/>
  <c r="U145" i="22"/>
  <c r="W145" i="22" s="1"/>
  <c r="L682" i="22"/>
  <c r="M683" i="22"/>
  <c r="M682" i="22" s="1"/>
  <c r="T638" i="22"/>
  <c r="N637" i="22"/>
  <c r="H637" i="22"/>
  <c r="N642" i="22"/>
  <c r="H642" i="22"/>
  <c r="V638" i="22"/>
  <c r="V656" i="22"/>
  <c r="V652" i="22"/>
  <c r="M653" i="22"/>
  <c r="M652" i="22" s="1"/>
  <c r="L652" i="22"/>
  <c r="L575" i="22"/>
  <c r="M576" i="22"/>
  <c r="M575" i="22" s="1"/>
  <c r="T640" i="22"/>
  <c r="T464" i="22"/>
  <c r="U465" i="22"/>
  <c r="U464" i="22" s="1"/>
  <c r="K560" i="22"/>
  <c r="K529" i="22"/>
  <c r="L578" i="22"/>
  <c r="M578" i="22" s="1"/>
  <c r="I564" i="22"/>
  <c r="I580" i="22"/>
  <c r="S578" i="22"/>
  <c r="S563" i="22" s="1"/>
  <c r="S546" i="22" s="1"/>
  <c r="S580" i="22"/>
  <c r="X466" i="22"/>
  <c r="W461" i="22"/>
  <c r="L246" i="22"/>
  <c r="M247" i="22"/>
  <c r="M246" i="22" s="1"/>
  <c r="L231" i="22"/>
  <c r="M232" i="22"/>
  <c r="M231" i="22" s="1"/>
  <c r="L608" i="22"/>
  <c r="M608" i="22" s="1"/>
  <c r="U403" i="22"/>
  <c r="T402" i="22"/>
  <c r="W400" i="22"/>
  <c r="T375" i="22"/>
  <c r="V376" i="22"/>
  <c r="V372" i="22"/>
  <c r="U309" i="22"/>
  <c r="U308" i="22" s="1"/>
  <c r="T308" i="22"/>
  <c r="M279" i="22"/>
  <c r="M278" i="22" s="1"/>
  <c r="L278" i="22"/>
  <c r="X248" i="22"/>
  <c r="W243" i="22"/>
  <c r="X245" i="22"/>
  <c r="W240" i="22"/>
  <c r="K221" i="22"/>
  <c r="K216" i="22"/>
  <c r="G221" i="22"/>
  <c r="G222" i="22" s="1"/>
  <c r="H222" i="22" s="1"/>
  <c r="G216" i="22"/>
  <c r="M202" i="22"/>
  <c r="M201" i="22" s="1"/>
  <c r="L201" i="22"/>
  <c r="W199" i="22"/>
  <c r="L186" i="22"/>
  <c r="M187" i="22"/>
  <c r="M186" i="22" s="1"/>
  <c r="I176" i="22"/>
  <c r="I171" i="22"/>
  <c r="V166" i="22"/>
  <c r="V523" i="22"/>
  <c r="T518" i="22"/>
  <c r="V498" i="22"/>
  <c r="V494" i="22"/>
  <c r="V480" i="22"/>
  <c r="S469" i="22"/>
  <c r="S467" i="22"/>
  <c r="S422" i="22" s="1"/>
  <c r="T372" i="22"/>
  <c r="V312" i="22"/>
  <c r="W312" i="22" s="1"/>
  <c r="V308" i="22"/>
  <c r="V282" i="22"/>
  <c r="V267" i="22" s="1"/>
  <c r="V278" i="22"/>
  <c r="V220" i="22"/>
  <c r="S191" i="22"/>
  <c r="S172" i="22"/>
  <c r="T172" i="22" s="1"/>
  <c r="S189" i="22"/>
  <c r="S174" i="22" s="1"/>
  <c r="T174" i="22" s="1"/>
  <c r="M182" i="22"/>
  <c r="M181" i="22" s="1"/>
  <c r="L181" i="22"/>
  <c r="W678" i="22"/>
  <c r="V553" i="22"/>
  <c r="V530" i="22"/>
  <c r="G474" i="22"/>
  <c r="S144" i="22"/>
  <c r="S146" i="22"/>
  <c r="T142" i="22"/>
  <c r="W90" i="22"/>
  <c r="L640" i="22"/>
  <c r="M640" i="22" s="1"/>
  <c r="W604" i="22"/>
  <c r="L473" i="22"/>
  <c r="W433" i="22"/>
  <c r="U406" i="22"/>
  <c r="W406" i="22" s="1"/>
  <c r="T559" i="22"/>
  <c r="L376" i="22"/>
  <c r="M376" i="22" s="1"/>
  <c r="U505" i="22"/>
  <c r="L467" i="22"/>
  <c r="M467" i="22" s="1"/>
  <c r="K219" i="22"/>
  <c r="K52" i="22" s="1"/>
  <c r="T220" i="22"/>
  <c r="T204" i="22"/>
  <c r="L172" i="22"/>
  <c r="S642" i="22"/>
  <c r="K642" i="22"/>
  <c r="I642" i="22"/>
  <c r="G642" i="22"/>
  <c r="U472" i="22"/>
  <c r="L281" i="22"/>
  <c r="M281" i="22" s="1"/>
  <c r="U209" i="22"/>
  <c r="W209" i="22" s="1"/>
  <c r="L189" i="22"/>
  <c r="M189" i="22" s="1"/>
  <c r="U208" i="22"/>
  <c r="W208" i="22" s="1"/>
  <c r="W169" i="22"/>
  <c r="V172" i="22"/>
  <c r="U94" i="22"/>
  <c r="S96" i="23" l="1"/>
  <c r="W438" i="22"/>
  <c r="U39" i="22"/>
  <c r="F3" i="22"/>
  <c r="V544" i="22"/>
  <c r="U22" i="22"/>
  <c r="V16" i="22"/>
  <c r="U3" i="22" s="1"/>
  <c r="U576" i="22"/>
  <c r="W576" i="22" s="1"/>
  <c r="W575" i="22" s="1"/>
  <c r="S458" i="23"/>
  <c r="S441" i="23" s="1"/>
  <c r="S537" i="22"/>
  <c r="L412" i="22"/>
  <c r="U220" i="22"/>
  <c r="W220" i="22" s="1"/>
  <c r="M167" i="22"/>
  <c r="M166" i="22" s="1"/>
  <c r="W175" i="22"/>
  <c r="G177" i="22"/>
  <c r="T524" i="22"/>
  <c r="I42" i="22"/>
  <c r="U413" i="22"/>
  <c r="U412" i="22" s="1"/>
  <c r="L415" i="22"/>
  <c r="M415" i="22" s="1"/>
  <c r="L129" i="23"/>
  <c r="M129" i="23" s="1"/>
  <c r="U630" i="22"/>
  <c r="M212" i="22"/>
  <c r="M211" i="22" s="1"/>
  <c r="S252" i="22"/>
  <c r="X636" i="22"/>
  <c r="U444" i="22"/>
  <c r="K32" i="22"/>
  <c r="L62" i="22"/>
  <c r="M62" i="22" s="1"/>
  <c r="F28" i="22"/>
  <c r="U498" i="22"/>
  <c r="T357" i="22"/>
  <c r="U579" i="22"/>
  <c r="W579" i="22" s="1"/>
  <c r="U100" i="22"/>
  <c r="W100" i="22" s="1"/>
  <c r="T17" i="22"/>
  <c r="U303" i="22"/>
  <c r="S192" i="22"/>
  <c r="W609" i="22"/>
  <c r="U647" i="22"/>
  <c r="W205" i="22"/>
  <c r="U249" i="22"/>
  <c r="S237" i="22"/>
  <c r="K42" i="22"/>
  <c r="K49" i="22"/>
  <c r="V50" i="22"/>
  <c r="V49" i="22" s="1"/>
  <c r="S345" i="22"/>
  <c r="T18" i="22"/>
  <c r="G132" i="23"/>
  <c r="H132" i="23" s="1"/>
  <c r="I132" i="23" s="1"/>
  <c r="J132" i="23" s="1"/>
  <c r="K132" i="23" s="1"/>
  <c r="N132" i="23" s="1"/>
  <c r="O132" i="23" s="1"/>
  <c r="P132" i="23" s="1"/>
  <c r="Q132" i="23" s="1"/>
  <c r="R132" i="23" s="1"/>
  <c r="S132" i="23" s="1"/>
  <c r="U382" i="22"/>
  <c r="T360" i="22"/>
  <c r="G527" i="22"/>
  <c r="I19" i="22"/>
  <c r="I12" i="22" s="1"/>
  <c r="I35" i="22"/>
  <c r="H35" i="22"/>
  <c r="J32" i="22"/>
  <c r="U41" i="22"/>
  <c r="W41" i="22" s="1"/>
  <c r="U24" i="22"/>
  <c r="W24" i="22" s="1"/>
  <c r="H37" i="22"/>
  <c r="I54" i="22"/>
  <c r="L26" i="22"/>
  <c r="L25" i="22" s="1"/>
  <c r="U46" i="22"/>
  <c r="W46" i="22" s="1"/>
  <c r="T126" i="23"/>
  <c r="U127" i="23"/>
  <c r="U126" i="23" s="1"/>
  <c r="U121" i="23"/>
  <c r="L126" i="23"/>
  <c r="M127" i="23"/>
  <c r="M126" i="23" s="1"/>
  <c r="U23" i="22"/>
  <c r="U27" i="22"/>
  <c r="V36" i="22"/>
  <c r="W30" i="22"/>
  <c r="W29" i="22"/>
  <c r="V33" i="22"/>
  <c r="V32" i="22" s="1"/>
  <c r="U30" i="22"/>
  <c r="S33" i="22"/>
  <c r="J54" i="22"/>
  <c r="J49" i="22"/>
  <c r="S62" i="22"/>
  <c r="S28" i="22" s="1"/>
  <c r="S26" i="22"/>
  <c r="U47" i="22"/>
  <c r="W47" i="22" s="1"/>
  <c r="H54" i="22"/>
  <c r="H49" i="22"/>
  <c r="K35" i="22"/>
  <c r="K21" i="22" s="1"/>
  <c r="S50" i="22"/>
  <c r="S54" i="22" s="1"/>
  <c r="S71" i="22"/>
  <c r="S66" i="22"/>
  <c r="I52" i="22"/>
  <c r="W630" i="22"/>
  <c r="U264" i="22"/>
  <c r="U263" i="22" s="1"/>
  <c r="U29" i="22"/>
  <c r="U44" i="22"/>
  <c r="W44" i="22" s="1"/>
  <c r="W58" i="22"/>
  <c r="T36" i="22"/>
  <c r="U36" i="22" s="1"/>
  <c r="U34" i="22"/>
  <c r="W34" i="22" s="1"/>
  <c r="L43" i="22"/>
  <c r="F42" i="22"/>
  <c r="I37" i="22"/>
  <c r="I32" i="22"/>
  <c r="U40" i="22"/>
  <c r="U61" i="22"/>
  <c r="W61" i="22" s="1"/>
  <c r="S42" i="22"/>
  <c r="T53" i="22"/>
  <c r="U53" i="22" s="1"/>
  <c r="W53" i="22" s="1"/>
  <c r="U48" i="22"/>
  <c r="W48" i="22" s="1"/>
  <c r="U51" i="22"/>
  <c r="J45" i="22"/>
  <c r="J42" i="22"/>
  <c r="T65" i="22"/>
  <c r="U65" i="22" s="1"/>
  <c r="W65" i="22" s="1"/>
  <c r="W31" i="22" s="1"/>
  <c r="T31" i="22"/>
  <c r="U31" i="22" s="1"/>
  <c r="X31" i="22" s="1"/>
  <c r="U493" i="22"/>
  <c r="W493" i="22" s="1"/>
  <c r="W358" i="22"/>
  <c r="W357" i="22" s="1"/>
  <c r="N363" i="22"/>
  <c r="O363" i="22" s="1"/>
  <c r="P363" i="22" s="1"/>
  <c r="Q363" i="22" s="1"/>
  <c r="R363" i="22" s="1"/>
  <c r="S363" i="22" s="1"/>
  <c r="U415" i="22"/>
  <c r="W415" i="22" s="1"/>
  <c r="S343" i="22"/>
  <c r="L259" i="22"/>
  <c r="M259" i="22" s="1"/>
  <c r="W267" i="22"/>
  <c r="U273" i="22"/>
  <c r="G336" i="22"/>
  <c r="G333" i="22"/>
  <c r="K336" i="22"/>
  <c r="K333" i="22"/>
  <c r="L353" i="22"/>
  <c r="M353" i="22" s="1"/>
  <c r="G346" i="22"/>
  <c r="H346" i="22" s="1"/>
  <c r="I346" i="22" s="1"/>
  <c r="J346" i="22" s="1"/>
  <c r="K346" i="22" s="1"/>
  <c r="U352" i="22"/>
  <c r="W352" i="22" s="1"/>
  <c r="L350" i="22"/>
  <c r="M351" i="22"/>
  <c r="M350" i="22" s="1"/>
  <c r="F336" i="22"/>
  <c r="F333" i="22"/>
  <c r="U351" i="22"/>
  <c r="T350" i="22"/>
  <c r="T334" i="22"/>
  <c r="N336" i="22"/>
  <c r="N333" i="22"/>
  <c r="M341" i="22"/>
  <c r="M340" i="22" s="1"/>
  <c r="L340" i="22"/>
  <c r="I336" i="22"/>
  <c r="I333" i="22"/>
  <c r="S336" i="22"/>
  <c r="S333" i="22"/>
  <c r="U335" i="22"/>
  <c r="W335" i="22" s="1"/>
  <c r="V340" i="22"/>
  <c r="T144" i="22"/>
  <c r="U144" i="22" s="1"/>
  <c r="W144" i="22" s="1"/>
  <c r="U212" i="22"/>
  <c r="U211" i="22" s="1"/>
  <c r="O455" i="22"/>
  <c r="P455" i="22" s="1"/>
  <c r="Q455" i="22" s="1"/>
  <c r="R455" i="22" s="1"/>
  <c r="S455" i="22" s="1"/>
  <c r="O299" i="22"/>
  <c r="P299" i="22" s="1"/>
  <c r="Q299" i="22" s="1"/>
  <c r="R299" i="22" s="1"/>
  <c r="S299" i="22" s="1"/>
  <c r="O132" i="22"/>
  <c r="P132" i="22" s="1"/>
  <c r="Q132" i="22" s="1"/>
  <c r="R132" i="22" s="1"/>
  <c r="S132" i="22" s="1"/>
  <c r="U608" i="22"/>
  <c r="X608" i="22" s="1"/>
  <c r="O408" i="22"/>
  <c r="P408" i="22" s="1"/>
  <c r="Q408" i="22" s="1"/>
  <c r="R408" i="22" s="1"/>
  <c r="S408" i="22" s="1"/>
  <c r="O329" i="22"/>
  <c r="P329" i="22" s="1"/>
  <c r="Q329" i="22" s="1"/>
  <c r="R329" i="22" s="1"/>
  <c r="S329" i="22" s="1"/>
  <c r="O314" i="22"/>
  <c r="P314" i="22" s="1"/>
  <c r="Q314" i="22" s="1"/>
  <c r="R314" i="22" s="1"/>
  <c r="S314" i="22" s="1"/>
  <c r="O207" i="22"/>
  <c r="P207" i="22" s="1"/>
  <c r="Q207" i="22" s="1"/>
  <c r="R207" i="22" s="1"/>
  <c r="S207" i="22" s="1"/>
  <c r="O269" i="22"/>
  <c r="P269" i="22" s="1"/>
  <c r="Q269" i="22" s="1"/>
  <c r="R269" i="22" s="1"/>
  <c r="S269" i="22" s="1"/>
  <c r="X279" i="22"/>
  <c r="U196" i="22"/>
  <c r="X683" i="22"/>
  <c r="S284" i="22"/>
  <c r="X127" i="22"/>
  <c r="S688" i="22"/>
  <c r="S520" i="22"/>
  <c r="S522" i="22" s="1"/>
  <c r="W677" i="22"/>
  <c r="W106" i="22"/>
  <c r="X173" i="22"/>
  <c r="X202" i="22"/>
  <c r="X294" i="22"/>
  <c r="L266" i="22"/>
  <c r="M266" i="22" s="1"/>
  <c r="U257" i="22"/>
  <c r="T256" i="22"/>
  <c r="T259" i="22"/>
  <c r="T266" i="22"/>
  <c r="U483" i="22"/>
  <c r="W483" i="22" s="1"/>
  <c r="W279" i="22"/>
  <c r="W278" i="22" s="1"/>
  <c r="X309" i="22"/>
  <c r="M217" i="22"/>
  <c r="M216" i="22" s="1"/>
  <c r="X95" i="22"/>
  <c r="W173" i="22"/>
  <c r="W213" i="22"/>
  <c r="U288" i="22"/>
  <c r="X450" i="22"/>
  <c r="S147" i="22"/>
  <c r="W202" i="22"/>
  <c r="W201" i="22" s="1"/>
  <c r="W606" i="22"/>
  <c r="W605" i="22" s="1"/>
  <c r="U129" i="22"/>
  <c r="X129" i="22" s="1"/>
  <c r="U126" i="22"/>
  <c r="W127" i="22"/>
  <c r="W126" i="22" s="1"/>
  <c r="U296" i="22"/>
  <c r="W296" i="22" s="1"/>
  <c r="H166" i="22"/>
  <c r="U293" i="22"/>
  <c r="W294" i="22"/>
  <c r="W293" i="22" s="1"/>
  <c r="K530" i="22"/>
  <c r="X388" i="22"/>
  <c r="U655" i="22"/>
  <c r="U234" i="22"/>
  <c r="W234" i="22" s="1"/>
  <c r="T189" i="22"/>
  <c r="U189" i="22" s="1"/>
  <c r="W685" i="22"/>
  <c r="X405" i="22"/>
  <c r="U390" i="22"/>
  <c r="W388" i="22"/>
  <c r="W387" i="22" s="1"/>
  <c r="U204" i="22"/>
  <c r="W204" i="22" s="1"/>
  <c r="U174" i="22"/>
  <c r="X174" i="22" s="1"/>
  <c r="S470" i="22"/>
  <c r="W498" i="22"/>
  <c r="W653" i="22"/>
  <c r="W652" i="22" s="1"/>
  <c r="H177" i="22"/>
  <c r="I177" i="22" s="1"/>
  <c r="J177" i="22" s="1"/>
  <c r="K177" i="22" s="1"/>
  <c r="N177" i="22" s="1"/>
  <c r="O177" i="22" s="1"/>
  <c r="P177" i="22" s="1"/>
  <c r="Q177" i="22" s="1"/>
  <c r="R177" i="22" s="1"/>
  <c r="U449" i="22"/>
  <c r="W450" i="22"/>
  <c r="W449" i="22" s="1"/>
  <c r="U452" i="22"/>
  <c r="U172" i="22"/>
  <c r="U171" i="22" s="1"/>
  <c r="T171" i="22"/>
  <c r="W172" i="22"/>
  <c r="W171" i="22" s="1"/>
  <c r="V171" i="22"/>
  <c r="U504" i="22"/>
  <c r="W505" i="22"/>
  <c r="W504" i="22" s="1"/>
  <c r="M473" i="22"/>
  <c r="U473" i="22"/>
  <c r="W94" i="22"/>
  <c r="M172" i="22"/>
  <c r="M171" i="22" s="1"/>
  <c r="L171" i="22"/>
  <c r="W249" i="22"/>
  <c r="X249" i="22"/>
  <c r="W608" i="22"/>
  <c r="U142" i="22"/>
  <c r="T141" i="22"/>
  <c r="W282" i="22"/>
  <c r="V479" i="22"/>
  <c r="S560" i="22"/>
  <c r="T544" i="22"/>
  <c r="T561" i="22"/>
  <c r="I565" i="22"/>
  <c r="K548" i="22"/>
  <c r="K527" i="22"/>
  <c r="K19" i="22" s="1"/>
  <c r="K12" i="22" s="1"/>
  <c r="K543" i="22"/>
  <c r="N529" i="22"/>
  <c r="V637" i="22"/>
  <c r="H548" i="22"/>
  <c r="H543" i="22"/>
  <c r="H527" i="22"/>
  <c r="N548" i="22"/>
  <c r="N543" i="22"/>
  <c r="N527" i="22"/>
  <c r="T637" i="22"/>
  <c r="U638" i="22"/>
  <c r="W638" i="22" s="1"/>
  <c r="W637" i="22" s="1"/>
  <c r="X170" i="22"/>
  <c r="W166" i="22"/>
  <c r="T494" i="22"/>
  <c r="V525" i="22"/>
  <c r="W573" i="22"/>
  <c r="V560" i="22"/>
  <c r="U367" i="22"/>
  <c r="W368" i="22"/>
  <c r="W367" i="22" s="1"/>
  <c r="X465" i="22"/>
  <c r="U459" i="22"/>
  <c r="W460" i="22"/>
  <c r="W459" i="22" s="1"/>
  <c r="U186" i="22"/>
  <c r="W187" i="22"/>
  <c r="W186" i="22" s="1"/>
  <c r="X232" i="22"/>
  <c r="W227" i="22"/>
  <c r="W226" i="22" s="1"/>
  <c r="U226" i="22"/>
  <c r="S221" i="22"/>
  <c r="S216" i="22"/>
  <c r="T217" i="22"/>
  <c r="X403" i="22"/>
  <c r="W398" i="22"/>
  <c r="W397" i="22" s="1"/>
  <c r="U397" i="22"/>
  <c r="L478" i="22"/>
  <c r="W488" i="22"/>
  <c r="S484" i="22"/>
  <c r="S479" i="22"/>
  <c r="U231" i="22"/>
  <c r="W232" i="22"/>
  <c r="W231" i="22" s="1"/>
  <c r="W247" i="22"/>
  <c r="W246" i="22" s="1"/>
  <c r="U246" i="22"/>
  <c r="I530" i="22"/>
  <c r="I531" i="22" s="1"/>
  <c r="U575" i="22"/>
  <c r="F643" i="22"/>
  <c r="G658" i="22"/>
  <c r="F548" i="22"/>
  <c r="F549" i="22" s="1"/>
  <c r="F543" i="22"/>
  <c r="F527" i="22"/>
  <c r="L637" i="22"/>
  <c r="M638" i="22"/>
  <c r="M637" i="22" s="1"/>
  <c r="L219" i="22"/>
  <c r="M219" i="22" s="1"/>
  <c r="W309" i="22"/>
  <c r="W308" i="22" s="1"/>
  <c r="X606" i="22"/>
  <c r="X653" i="22"/>
  <c r="U281" i="22"/>
  <c r="U376" i="22"/>
  <c r="W376" i="22" s="1"/>
  <c r="W465" i="22"/>
  <c r="W464" i="22" s="1"/>
  <c r="T497" i="22"/>
  <c r="V564" i="22"/>
  <c r="V528" i="22"/>
  <c r="V536" i="22"/>
  <c r="S176" i="22"/>
  <c r="S171" i="22"/>
  <c r="T467" i="22"/>
  <c r="U467" i="22" s="1"/>
  <c r="U402" i="22"/>
  <c r="W403" i="22"/>
  <c r="W402" i="22" s="1"/>
  <c r="S565" i="22"/>
  <c r="T578" i="22"/>
  <c r="U578" i="22" s="1"/>
  <c r="W578" i="22" s="1"/>
  <c r="W656" i="22"/>
  <c r="V641" i="22"/>
  <c r="W641" i="22" s="1"/>
  <c r="X247" i="22"/>
  <c r="W242" i="22"/>
  <c r="W241" i="22" s="1"/>
  <c r="U241" i="22"/>
  <c r="X215" i="22"/>
  <c r="W210" i="22"/>
  <c r="K565" i="22"/>
  <c r="U166" i="22"/>
  <c r="H581" i="22"/>
  <c r="X187" i="22"/>
  <c r="U181" i="22"/>
  <c r="W182" i="22"/>
  <c r="W181" i="22" s="1"/>
  <c r="F566" i="22"/>
  <c r="G611" i="22"/>
  <c r="H611" i="22" s="1"/>
  <c r="I611" i="22" s="1"/>
  <c r="J611" i="22" s="1"/>
  <c r="K611" i="22" s="1"/>
  <c r="N611" i="22" s="1"/>
  <c r="O611" i="22" s="1"/>
  <c r="P611" i="22" s="1"/>
  <c r="Q611" i="22" s="1"/>
  <c r="R611" i="22" s="1"/>
  <c r="G547" i="22"/>
  <c r="G524" i="22"/>
  <c r="G18" i="22" s="1"/>
  <c r="G3" i="22" s="1"/>
  <c r="U682" i="22"/>
  <c r="W683" i="22"/>
  <c r="W682" i="22" s="1"/>
  <c r="U640" i="22"/>
  <c r="I222" i="22"/>
  <c r="J222" i="22" s="1"/>
  <c r="K222" i="22" s="1"/>
  <c r="N222" i="22" s="1"/>
  <c r="O222" i="22" s="1"/>
  <c r="P222" i="22" s="1"/>
  <c r="Q222" i="22" s="1"/>
  <c r="R222" i="22" s="1"/>
  <c r="S219" i="22"/>
  <c r="T219" i="22" s="1"/>
  <c r="X578" i="22" l="1"/>
  <c r="X65" i="22"/>
  <c r="L28" i="22"/>
  <c r="M28" i="22" s="1"/>
  <c r="S16" i="22"/>
  <c r="S536" i="22"/>
  <c r="S539" i="22"/>
  <c r="T458" i="23"/>
  <c r="W413" i="22"/>
  <c r="W412" i="22" s="1"/>
  <c r="X51" i="22"/>
  <c r="W212" i="22"/>
  <c r="W211" i="22" s="1"/>
  <c r="W264" i="22"/>
  <c r="W263" i="22" s="1"/>
  <c r="U129" i="23"/>
  <c r="X129" i="23" s="1"/>
  <c r="X127" i="23"/>
  <c r="U259" i="22"/>
  <c r="W259" i="22" s="1"/>
  <c r="U266" i="22"/>
  <c r="W266" i="22" s="1"/>
  <c r="G526" i="22"/>
  <c r="X493" i="22"/>
  <c r="M26" i="22"/>
  <c r="M25" i="22" s="1"/>
  <c r="X48" i="22"/>
  <c r="W27" i="22"/>
  <c r="V20" i="22"/>
  <c r="L45" i="22"/>
  <c r="M45" i="22" s="1"/>
  <c r="W51" i="22"/>
  <c r="S49" i="22"/>
  <c r="S37" i="22"/>
  <c r="S32" i="22"/>
  <c r="L42" i="22"/>
  <c r="M43" i="22"/>
  <c r="M42" i="22" s="1"/>
  <c r="X34" i="22"/>
  <c r="S25" i="22"/>
  <c r="W36" i="22"/>
  <c r="S519" i="22"/>
  <c r="T333" i="22"/>
  <c r="U350" i="22"/>
  <c r="X358" i="22"/>
  <c r="W351" i="22"/>
  <c r="W350" i="22" s="1"/>
  <c r="U353" i="22"/>
  <c r="W353" i="22" s="1"/>
  <c r="T336" i="22"/>
  <c r="X144" i="22"/>
  <c r="U256" i="22"/>
  <c r="W257" i="22"/>
  <c r="X204" i="22"/>
  <c r="X296" i="22"/>
  <c r="W174" i="22"/>
  <c r="W129" i="22"/>
  <c r="X234" i="22"/>
  <c r="I166" i="22"/>
  <c r="W655" i="22"/>
  <c r="X655" i="22"/>
  <c r="X172" i="22"/>
  <c r="X390" i="22"/>
  <c r="W390" i="22"/>
  <c r="U219" i="22"/>
  <c r="X219" i="22" s="1"/>
  <c r="X452" i="22"/>
  <c r="W452" i="22"/>
  <c r="W640" i="22"/>
  <c r="X640" i="22"/>
  <c r="F529" i="22"/>
  <c r="G530" i="22"/>
  <c r="G548" i="22"/>
  <c r="G549" i="22" s="1"/>
  <c r="H549" i="22" s="1"/>
  <c r="I549" i="22" s="1"/>
  <c r="T563" i="22"/>
  <c r="W467" i="22"/>
  <c r="X467" i="22"/>
  <c r="V519" i="22"/>
  <c r="W281" i="22"/>
  <c r="X281" i="22"/>
  <c r="W189" i="22"/>
  <c r="X189" i="22"/>
  <c r="F526" i="22"/>
  <c r="F531" i="22"/>
  <c r="F532" i="22" s="1"/>
  <c r="G643" i="22"/>
  <c r="H658" i="22"/>
  <c r="V543" i="22"/>
  <c r="V527" i="22"/>
  <c r="V19" i="22" s="1"/>
  <c r="T543" i="22"/>
  <c r="S548" i="22"/>
  <c r="S527" i="22"/>
  <c r="T527" i="22" s="1"/>
  <c r="S543" i="22"/>
  <c r="W473" i="22"/>
  <c r="H566" i="22"/>
  <c r="M478" i="22"/>
  <c r="U478" i="22"/>
  <c r="W478" i="22" s="1"/>
  <c r="U217" i="22"/>
  <c r="T216" i="22"/>
  <c r="U637" i="22"/>
  <c r="X638" i="22"/>
  <c r="N531" i="22"/>
  <c r="N526" i="22"/>
  <c r="H531" i="22"/>
  <c r="H526" i="22"/>
  <c r="K531" i="22"/>
  <c r="K526" i="22"/>
  <c r="T560" i="22"/>
  <c r="U141" i="22"/>
  <c r="W142" i="22"/>
  <c r="W141" i="22" s="1"/>
  <c r="G566" i="22"/>
  <c r="S177" i="22"/>
  <c r="S222" i="22"/>
  <c r="I581" i="22"/>
  <c r="X264" i="22" l="1"/>
  <c r="X266" i="22"/>
  <c r="S19" i="22"/>
  <c r="S12" i="22" s="1"/>
  <c r="W256" i="22"/>
  <c r="W219" i="22"/>
  <c r="J166" i="22"/>
  <c r="I566" i="22"/>
  <c r="J581" i="22"/>
  <c r="T526" i="22"/>
  <c r="U216" i="22"/>
  <c r="W217" i="22"/>
  <c r="W216" i="22" s="1"/>
  <c r="X217" i="22"/>
  <c r="S531" i="22"/>
  <c r="S526" i="22"/>
  <c r="H643" i="22"/>
  <c r="I658" i="22"/>
  <c r="X478" i="22"/>
  <c r="V526" i="22"/>
  <c r="S529" i="22"/>
  <c r="T529" i="22" s="1"/>
  <c r="T546" i="22"/>
  <c r="G531" i="22"/>
  <c r="G532" i="22" s="1"/>
  <c r="H532" i="22" s="1"/>
  <c r="I532" i="22" s="1"/>
  <c r="S611" i="22" l="1"/>
  <c r="K166" i="22"/>
  <c r="I643" i="22"/>
  <c r="J658" i="22"/>
  <c r="K581" i="22"/>
  <c r="N166" i="22" l="1"/>
  <c r="J643" i="22"/>
  <c r="K658" i="22"/>
  <c r="K566" i="22"/>
  <c r="N581" i="22"/>
  <c r="O581" i="22" s="1"/>
  <c r="O566" i="22" l="1"/>
  <c r="P581" i="22"/>
  <c r="K643" i="22"/>
  <c r="N658" i="22"/>
  <c r="O658" i="22" s="1"/>
  <c r="N566" i="22"/>
  <c r="O643" i="22" l="1"/>
  <c r="P658" i="22"/>
  <c r="Q581" i="22"/>
  <c r="P566" i="22"/>
  <c r="N643" i="22"/>
  <c r="Q566" i="22" l="1"/>
  <c r="R581" i="22"/>
  <c r="R566" i="22" s="1"/>
  <c r="P643" i="22"/>
  <c r="Q658" i="22"/>
  <c r="S166" i="22"/>
  <c r="S581" i="22" l="1"/>
  <c r="S566" i="22" s="1"/>
  <c r="Q643" i="22"/>
  <c r="R658" i="22"/>
  <c r="R643" i="22" s="1"/>
  <c r="S658" i="22" l="1"/>
  <c r="S643" i="22" s="1"/>
  <c r="S453" i="19"/>
  <c r="R453" i="19"/>
  <c r="Q453" i="19"/>
  <c r="P453" i="19"/>
  <c r="O453" i="19"/>
  <c r="N453" i="19"/>
  <c r="K453" i="19"/>
  <c r="J453" i="19"/>
  <c r="I453" i="19"/>
  <c r="H453" i="19"/>
  <c r="G453" i="19"/>
  <c r="F453" i="19"/>
  <c r="V452" i="19"/>
  <c r="V451" i="19"/>
  <c r="T451" i="19"/>
  <c r="L451" i="19"/>
  <c r="M451" i="19" s="1"/>
  <c r="R450" i="19"/>
  <c r="Q450" i="19"/>
  <c r="P450" i="19"/>
  <c r="O450" i="19"/>
  <c r="N450" i="19"/>
  <c r="K450" i="19"/>
  <c r="J450" i="19"/>
  <c r="I450" i="19"/>
  <c r="H450" i="19"/>
  <c r="G450" i="19"/>
  <c r="F450" i="19"/>
  <c r="E449" i="19"/>
  <c r="V448" i="19"/>
  <c r="S450" i="19"/>
  <c r="L448" i="19"/>
  <c r="M448" i="19" s="1"/>
  <c r="T447" i="19"/>
  <c r="L447" i="19"/>
  <c r="T446" i="19"/>
  <c r="L446" i="19"/>
  <c r="M446" i="19" s="1"/>
  <c r="X445" i="19"/>
  <c r="V445" i="19"/>
  <c r="V414" i="19" s="1"/>
  <c r="S445" i="19"/>
  <c r="S414" i="19" s="1"/>
  <c r="R445" i="19"/>
  <c r="R414" i="19" s="1"/>
  <c r="Q445" i="19"/>
  <c r="P445" i="19"/>
  <c r="O445" i="19"/>
  <c r="N445" i="19"/>
  <c r="K445" i="19"/>
  <c r="J445" i="19"/>
  <c r="I445" i="19"/>
  <c r="H445" i="19"/>
  <c r="G445" i="19"/>
  <c r="F445" i="19"/>
  <c r="T443" i="19"/>
  <c r="L443" i="19"/>
  <c r="M443" i="19" s="1"/>
  <c r="T442" i="19"/>
  <c r="L442" i="19"/>
  <c r="M442" i="19" s="1"/>
  <c r="T441" i="19"/>
  <c r="L441" i="19"/>
  <c r="M441" i="19" s="1"/>
  <c r="S391" i="19"/>
  <c r="R391" i="19"/>
  <c r="Q391" i="19"/>
  <c r="P391" i="19"/>
  <c r="O391" i="19"/>
  <c r="N391" i="19"/>
  <c r="K391" i="19"/>
  <c r="J391" i="19"/>
  <c r="I391" i="19"/>
  <c r="H391" i="19"/>
  <c r="G391" i="19"/>
  <c r="F391" i="19"/>
  <c r="V390" i="19"/>
  <c r="V389" i="19"/>
  <c r="T389" i="19"/>
  <c r="L389" i="19"/>
  <c r="M389" i="19" s="1"/>
  <c r="R388" i="19"/>
  <c r="Q388" i="19"/>
  <c r="P388" i="19"/>
  <c r="O388" i="19"/>
  <c r="N388" i="19"/>
  <c r="K388" i="19"/>
  <c r="J388" i="19"/>
  <c r="I388" i="19"/>
  <c r="H388" i="19"/>
  <c r="G388" i="19"/>
  <c r="F388" i="19"/>
  <c r="E387" i="19"/>
  <c r="V386" i="19"/>
  <c r="S386" i="19"/>
  <c r="L386" i="19"/>
  <c r="M386" i="19" s="1"/>
  <c r="T385" i="19"/>
  <c r="L385" i="19"/>
  <c r="M385" i="19" s="1"/>
  <c r="T384" i="19"/>
  <c r="L384" i="19"/>
  <c r="M384" i="19" s="1"/>
  <c r="X383" i="19"/>
  <c r="V383" i="19"/>
  <c r="V352" i="19" s="1"/>
  <c r="S383" i="19"/>
  <c r="S352" i="19" s="1"/>
  <c r="S335" i="19" s="1"/>
  <c r="R383" i="19"/>
  <c r="Q383" i="19"/>
  <c r="P383" i="19"/>
  <c r="O383" i="19"/>
  <c r="N383" i="19"/>
  <c r="K383" i="19"/>
  <c r="J383" i="19"/>
  <c r="I383" i="19"/>
  <c r="H383" i="19"/>
  <c r="G383" i="19"/>
  <c r="F383" i="19"/>
  <c r="T381" i="19"/>
  <c r="L381" i="19"/>
  <c r="M381" i="19" s="1"/>
  <c r="T380" i="19"/>
  <c r="L380" i="19"/>
  <c r="M380" i="19" s="1"/>
  <c r="T379" i="19"/>
  <c r="L379" i="19"/>
  <c r="M379" i="19" s="1"/>
  <c r="S453" i="18"/>
  <c r="R453" i="18"/>
  <c r="N453" i="18"/>
  <c r="K453" i="18"/>
  <c r="J453" i="18"/>
  <c r="I453" i="18"/>
  <c r="H453" i="18"/>
  <c r="G453" i="18"/>
  <c r="F453" i="18"/>
  <c r="V452" i="18"/>
  <c r="V451" i="18"/>
  <c r="T451" i="18"/>
  <c r="L451" i="18"/>
  <c r="M451" i="18" s="1"/>
  <c r="R450" i="18"/>
  <c r="N450" i="18"/>
  <c r="K450" i="18"/>
  <c r="J450" i="18"/>
  <c r="I450" i="18"/>
  <c r="H450" i="18"/>
  <c r="G450" i="18"/>
  <c r="F450" i="18"/>
  <c r="E449" i="18"/>
  <c r="V448" i="18"/>
  <c r="S450" i="18"/>
  <c r="L448" i="18"/>
  <c r="M448" i="18" s="1"/>
  <c r="T447" i="18"/>
  <c r="L447" i="18"/>
  <c r="M447" i="18" s="1"/>
  <c r="T446" i="18"/>
  <c r="L446" i="18"/>
  <c r="M446" i="18" s="1"/>
  <c r="X445" i="18"/>
  <c r="V445" i="18"/>
  <c r="V414" i="18" s="1"/>
  <c r="S445" i="18"/>
  <c r="R445" i="18"/>
  <c r="N445" i="18"/>
  <c r="K445" i="18"/>
  <c r="J445" i="18"/>
  <c r="I445" i="18"/>
  <c r="H445" i="18"/>
  <c r="G445" i="18"/>
  <c r="F445" i="18"/>
  <c r="T443" i="18"/>
  <c r="L443" i="18"/>
  <c r="M443" i="18" s="1"/>
  <c r="T442" i="18"/>
  <c r="L442" i="18"/>
  <c r="M442" i="18" s="1"/>
  <c r="T441" i="18"/>
  <c r="L441" i="18"/>
  <c r="M441" i="18" s="1"/>
  <c r="S391" i="18"/>
  <c r="R391" i="18"/>
  <c r="N391" i="18"/>
  <c r="K391" i="18"/>
  <c r="J391" i="18"/>
  <c r="I391" i="18"/>
  <c r="H391" i="18"/>
  <c r="G391" i="18"/>
  <c r="F391" i="18"/>
  <c r="V390" i="18"/>
  <c r="V389" i="18"/>
  <c r="T389" i="18"/>
  <c r="L389" i="18"/>
  <c r="M389" i="18" s="1"/>
  <c r="R388" i="18"/>
  <c r="N388" i="18"/>
  <c r="K388" i="18"/>
  <c r="J388" i="18"/>
  <c r="I388" i="18"/>
  <c r="H388" i="18"/>
  <c r="G388" i="18"/>
  <c r="F388" i="18"/>
  <c r="E387" i="18"/>
  <c r="V386" i="18"/>
  <c r="S388" i="18"/>
  <c r="L386" i="18"/>
  <c r="M386" i="18" s="1"/>
  <c r="T385" i="18"/>
  <c r="L385" i="18"/>
  <c r="M385" i="18" s="1"/>
  <c r="T384" i="18"/>
  <c r="L384" i="18"/>
  <c r="M384" i="18" s="1"/>
  <c r="X383" i="18"/>
  <c r="V383" i="18"/>
  <c r="S383" i="18"/>
  <c r="R383" i="18"/>
  <c r="N383" i="18"/>
  <c r="K383" i="18"/>
  <c r="J383" i="18"/>
  <c r="I383" i="18"/>
  <c r="H383" i="18"/>
  <c r="G383" i="18"/>
  <c r="F383" i="18"/>
  <c r="T381" i="18"/>
  <c r="L381" i="18"/>
  <c r="M381" i="18" s="1"/>
  <c r="S282" i="19"/>
  <c r="R282" i="19"/>
  <c r="Q282" i="19"/>
  <c r="P282" i="19"/>
  <c r="O282" i="19"/>
  <c r="N282" i="19"/>
  <c r="K282" i="19"/>
  <c r="J282" i="19"/>
  <c r="I282" i="19"/>
  <c r="H282" i="19"/>
  <c r="G282" i="19"/>
  <c r="F282" i="19"/>
  <c r="V281" i="19"/>
  <c r="V280" i="19"/>
  <c r="T280" i="19"/>
  <c r="L280" i="19"/>
  <c r="M280" i="19" s="1"/>
  <c r="R279" i="19"/>
  <c r="Q279" i="19"/>
  <c r="P279" i="19"/>
  <c r="O279" i="19"/>
  <c r="N279" i="19"/>
  <c r="K279" i="19"/>
  <c r="J279" i="19"/>
  <c r="I279" i="19"/>
  <c r="H279" i="19"/>
  <c r="G279" i="19"/>
  <c r="F279" i="19"/>
  <c r="E278" i="19"/>
  <c r="V277" i="19"/>
  <c r="S279" i="19"/>
  <c r="L277" i="19"/>
  <c r="M277" i="19" s="1"/>
  <c r="T276" i="19"/>
  <c r="L276" i="19"/>
  <c r="M276" i="19" s="1"/>
  <c r="T275" i="19"/>
  <c r="L275" i="19"/>
  <c r="M275" i="19" s="1"/>
  <c r="X274" i="19"/>
  <c r="V274" i="19"/>
  <c r="S274" i="19"/>
  <c r="R274" i="19"/>
  <c r="Q274" i="19"/>
  <c r="P274" i="19"/>
  <c r="O274" i="19"/>
  <c r="N274" i="19"/>
  <c r="K274" i="19"/>
  <c r="J274" i="19"/>
  <c r="I274" i="19"/>
  <c r="H274" i="19"/>
  <c r="G274" i="19"/>
  <c r="F274" i="19"/>
  <c r="T272" i="19"/>
  <c r="L272" i="19"/>
  <c r="M272" i="19" s="1"/>
  <c r="T271" i="19"/>
  <c r="L271" i="19"/>
  <c r="T270" i="19"/>
  <c r="L270" i="19"/>
  <c r="M270" i="19" s="1"/>
  <c r="S327" i="19"/>
  <c r="R327" i="19"/>
  <c r="Q327" i="19"/>
  <c r="P327" i="19"/>
  <c r="O327" i="19"/>
  <c r="N327" i="19"/>
  <c r="K327" i="19"/>
  <c r="J327" i="19"/>
  <c r="I327" i="19"/>
  <c r="H327" i="19"/>
  <c r="G327" i="19"/>
  <c r="F327" i="19"/>
  <c r="V326" i="19"/>
  <c r="V325" i="19"/>
  <c r="T325" i="19"/>
  <c r="L325" i="19"/>
  <c r="M325" i="19" s="1"/>
  <c r="R324" i="19"/>
  <c r="Q324" i="19"/>
  <c r="P324" i="19"/>
  <c r="O324" i="19"/>
  <c r="N324" i="19"/>
  <c r="K324" i="19"/>
  <c r="J324" i="19"/>
  <c r="I324" i="19"/>
  <c r="H324" i="19"/>
  <c r="G324" i="19"/>
  <c r="F324" i="19"/>
  <c r="E323" i="19"/>
  <c r="V322" i="19"/>
  <c r="S324" i="19"/>
  <c r="L322" i="19"/>
  <c r="M322" i="19" s="1"/>
  <c r="T321" i="19"/>
  <c r="L321" i="19"/>
  <c r="M321" i="19" s="1"/>
  <c r="T320" i="19"/>
  <c r="L320" i="19"/>
  <c r="M320" i="19" s="1"/>
  <c r="X319" i="19"/>
  <c r="V319" i="19"/>
  <c r="S319" i="19"/>
  <c r="R319" i="19"/>
  <c r="Q319" i="19"/>
  <c r="P319" i="19"/>
  <c r="O319" i="19"/>
  <c r="N319" i="19"/>
  <c r="K319" i="19"/>
  <c r="J319" i="19"/>
  <c r="I319" i="19"/>
  <c r="H319" i="19"/>
  <c r="G319" i="19"/>
  <c r="F319" i="19"/>
  <c r="T317" i="19"/>
  <c r="L317" i="19"/>
  <c r="M317" i="19" s="1"/>
  <c r="T316" i="19"/>
  <c r="L316" i="19"/>
  <c r="M316" i="19" s="1"/>
  <c r="T315" i="19"/>
  <c r="L315" i="19"/>
  <c r="M315" i="19" s="1"/>
  <c r="S297" i="18"/>
  <c r="R297" i="18"/>
  <c r="N297" i="18"/>
  <c r="K297" i="18"/>
  <c r="J297" i="18"/>
  <c r="I297" i="18"/>
  <c r="H297" i="18"/>
  <c r="G297" i="18"/>
  <c r="F297" i="18"/>
  <c r="V296" i="18"/>
  <c r="V295" i="18"/>
  <c r="T295" i="18"/>
  <c r="L295" i="18"/>
  <c r="M295" i="18" s="1"/>
  <c r="R294" i="18"/>
  <c r="R298" i="18" s="1"/>
  <c r="N294" i="18"/>
  <c r="N298" i="18" s="1"/>
  <c r="K294" i="18"/>
  <c r="K296" i="18" s="1"/>
  <c r="J294" i="18"/>
  <c r="J298" i="18" s="1"/>
  <c r="I294" i="18"/>
  <c r="I296" i="18" s="1"/>
  <c r="H294" i="18"/>
  <c r="H298" i="18" s="1"/>
  <c r="G294" i="18"/>
  <c r="G296" i="18" s="1"/>
  <c r="F294" i="18"/>
  <c r="F298" i="18" s="1"/>
  <c r="F299" i="18" s="1"/>
  <c r="E293" i="18"/>
  <c r="V292" i="18"/>
  <c r="S292" i="18"/>
  <c r="L292" i="18"/>
  <c r="M292" i="18" s="1"/>
  <c r="T291" i="18"/>
  <c r="L291" i="18"/>
  <c r="M291" i="18" s="1"/>
  <c r="T290" i="18"/>
  <c r="L290" i="18"/>
  <c r="M290" i="18" s="1"/>
  <c r="X289" i="18"/>
  <c r="V289" i="18"/>
  <c r="S289" i="18"/>
  <c r="R289" i="18"/>
  <c r="N289" i="18"/>
  <c r="K289" i="18"/>
  <c r="J289" i="18"/>
  <c r="I289" i="18"/>
  <c r="H289" i="18"/>
  <c r="G289" i="18"/>
  <c r="F289" i="18"/>
  <c r="T287" i="18"/>
  <c r="L287" i="18"/>
  <c r="M287" i="18" s="1"/>
  <c r="T286" i="18"/>
  <c r="L286" i="18"/>
  <c r="M286" i="18" s="1"/>
  <c r="T285" i="18"/>
  <c r="L285" i="18"/>
  <c r="M285" i="18" s="1"/>
  <c r="S327" i="18"/>
  <c r="R327" i="18"/>
  <c r="N327" i="18"/>
  <c r="K327" i="18"/>
  <c r="J327" i="18"/>
  <c r="I327" i="18"/>
  <c r="H327" i="18"/>
  <c r="G327" i="18"/>
  <c r="F327" i="18"/>
  <c r="V326" i="18"/>
  <c r="V325" i="18"/>
  <c r="T325" i="18"/>
  <c r="L325" i="18"/>
  <c r="M325" i="18" s="1"/>
  <c r="R324" i="18"/>
  <c r="R326" i="18" s="1"/>
  <c r="N324" i="18"/>
  <c r="N326" i="18" s="1"/>
  <c r="K324" i="18"/>
  <c r="K326" i="18" s="1"/>
  <c r="J324" i="18"/>
  <c r="J326" i="18" s="1"/>
  <c r="I324" i="18"/>
  <c r="I326" i="18" s="1"/>
  <c r="H324" i="18"/>
  <c r="H326" i="18" s="1"/>
  <c r="G324" i="18"/>
  <c r="G326" i="18" s="1"/>
  <c r="F324" i="18"/>
  <c r="F326" i="18" s="1"/>
  <c r="E323" i="18"/>
  <c r="V322" i="18"/>
  <c r="S322" i="18"/>
  <c r="L322" i="18"/>
  <c r="M322" i="18" s="1"/>
  <c r="T321" i="18"/>
  <c r="L321" i="18"/>
  <c r="M321" i="18" s="1"/>
  <c r="T320" i="18"/>
  <c r="L320" i="18"/>
  <c r="M320" i="18" s="1"/>
  <c r="X319" i="18"/>
  <c r="V319" i="18"/>
  <c r="V324" i="18" s="1"/>
  <c r="S319" i="18"/>
  <c r="R319" i="18"/>
  <c r="N319" i="18"/>
  <c r="K319" i="18"/>
  <c r="J319" i="18"/>
  <c r="I319" i="18"/>
  <c r="H319" i="18"/>
  <c r="G319" i="18"/>
  <c r="F319" i="18"/>
  <c r="T317" i="18"/>
  <c r="L317" i="18"/>
  <c r="M317" i="18" s="1"/>
  <c r="T316" i="18"/>
  <c r="L316" i="18"/>
  <c r="M316" i="18" s="1"/>
  <c r="T315" i="18"/>
  <c r="L315" i="18"/>
  <c r="M315" i="18" s="1"/>
  <c r="S160" i="19"/>
  <c r="S161" i="19" s="1"/>
  <c r="R160" i="19"/>
  <c r="R161" i="19" s="1"/>
  <c r="Q160" i="19"/>
  <c r="Q161" i="19" s="1"/>
  <c r="P160" i="19"/>
  <c r="P161" i="19" s="1"/>
  <c r="O160" i="19"/>
  <c r="O161" i="19" s="1"/>
  <c r="N160" i="19"/>
  <c r="N161" i="19" s="1"/>
  <c r="K160" i="19"/>
  <c r="K161" i="19" s="1"/>
  <c r="J160" i="19"/>
  <c r="J161" i="19" s="1"/>
  <c r="I160" i="19"/>
  <c r="I161" i="19" s="1"/>
  <c r="H160" i="19"/>
  <c r="H161" i="19" s="1"/>
  <c r="G160" i="19"/>
  <c r="G161" i="19" s="1"/>
  <c r="F160" i="19"/>
  <c r="F161" i="19" s="1"/>
  <c r="F162" i="19" s="1"/>
  <c r="V159" i="19"/>
  <c r="T159" i="19"/>
  <c r="L159" i="19"/>
  <c r="M159" i="19" s="1"/>
  <c r="V158" i="19"/>
  <c r="T158" i="19"/>
  <c r="L158" i="19"/>
  <c r="T157" i="19"/>
  <c r="L157" i="19"/>
  <c r="M157" i="19" s="1"/>
  <c r="E156" i="19"/>
  <c r="V155" i="19"/>
  <c r="T155" i="19"/>
  <c r="T156" i="19" s="1"/>
  <c r="L155" i="19"/>
  <c r="L156" i="19" s="1"/>
  <c r="T154" i="19"/>
  <c r="L154" i="19"/>
  <c r="M154" i="19" s="1"/>
  <c r="T153" i="19"/>
  <c r="L153" i="19"/>
  <c r="M153" i="19" s="1"/>
  <c r="V152" i="19"/>
  <c r="T152" i="19"/>
  <c r="L152" i="19"/>
  <c r="M152" i="19" s="1"/>
  <c r="T150" i="19"/>
  <c r="L150" i="19"/>
  <c r="M150" i="19" s="1"/>
  <c r="T149" i="19"/>
  <c r="L149" i="19"/>
  <c r="M149" i="19" s="1"/>
  <c r="T148" i="19"/>
  <c r="L148" i="19"/>
  <c r="M148" i="19" s="1"/>
  <c r="S160" i="18"/>
  <c r="S161" i="18" s="1"/>
  <c r="R160" i="18"/>
  <c r="R161" i="18" s="1"/>
  <c r="N160" i="18"/>
  <c r="N161" i="18" s="1"/>
  <c r="K160" i="18"/>
  <c r="K161" i="18" s="1"/>
  <c r="J160" i="18"/>
  <c r="J161" i="18" s="1"/>
  <c r="I160" i="18"/>
  <c r="I161" i="18" s="1"/>
  <c r="H160" i="18"/>
  <c r="H161" i="18" s="1"/>
  <c r="G160" i="18"/>
  <c r="G161" i="18" s="1"/>
  <c r="F160" i="18"/>
  <c r="F161" i="18" s="1"/>
  <c r="F162" i="18" s="1"/>
  <c r="T149" i="18"/>
  <c r="L149" i="18"/>
  <c r="M149" i="18" s="1"/>
  <c r="T148" i="18"/>
  <c r="L148" i="18"/>
  <c r="M148" i="18" s="1"/>
  <c r="S130" i="19"/>
  <c r="S131" i="19" s="1"/>
  <c r="R130" i="19"/>
  <c r="R131" i="19" s="1"/>
  <c r="Q130" i="19"/>
  <c r="Q131" i="19" s="1"/>
  <c r="P130" i="19"/>
  <c r="P131" i="19" s="1"/>
  <c r="O130" i="19"/>
  <c r="O131" i="19" s="1"/>
  <c r="N130" i="19"/>
  <c r="N131" i="19" s="1"/>
  <c r="K130" i="19"/>
  <c r="K131" i="19" s="1"/>
  <c r="J130" i="19"/>
  <c r="J131" i="19" s="1"/>
  <c r="I130" i="19"/>
  <c r="I131" i="19" s="1"/>
  <c r="H130" i="19"/>
  <c r="H131" i="19" s="1"/>
  <c r="G130" i="19"/>
  <c r="G131" i="19" s="1"/>
  <c r="F130" i="19"/>
  <c r="F131" i="19" s="1"/>
  <c r="F132" i="19" s="1"/>
  <c r="V129" i="19"/>
  <c r="T129" i="19"/>
  <c r="L129" i="19"/>
  <c r="M129" i="19" s="1"/>
  <c r="V128" i="19"/>
  <c r="T128" i="19"/>
  <c r="L128" i="19"/>
  <c r="M128" i="19" s="1"/>
  <c r="T127" i="19"/>
  <c r="L127" i="19"/>
  <c r="M127" i="19" s="1"/>
  <c r="E126" i="19"/>
  <c r="V125" i="19"/>
  <c r="T125" i="19"/>
  <c r="L125" i="19"/>
  <c r="L126" i="19" s="1"/>
  <c r="T124" i="19"/>
  <c r="L124" i="19"/>
  <c r="M124" i="19" s="1"/>
  <c r="T123" i="19"/>
  <c r="L123" i="19"/>
  <c r="M123" i="19" s="1"/>
  <c r="V122" i="19"/>
  <c r="T122" i="19"/>
  <c r="L122" i="19"/>
  <c r="M122" i="19" s="1"/>
  <c r="T120" i="19"/>
  <c r="L120" i="19"/>
  <c r="M120" i="19" s="1"/>
  <c r="T119" i="19"/>
  <c r="L119" i="19"/>
  <c r="M119" i="19" s="1"/>
  <c r="T118" i="19"/>
  <c r="L118" i="19"/>
  <c r="M118" i="19" s="1"/>
  <c r="S115" i="19"/>
  <c r="S116" i="19" s="1"/>
  <c r="R115" i="19"/>
  <c r="R116" i="19" s="1"/>
  <c r="Q115" i="19"/>
  <c r="Q116" i="19" s="1"/>
  <c r="P115" i="19"/>
  <c r="P116" i="19" s="1"/>
  <c r="O115" i="19"/>
  <c r="O116" i="19" s="1"/>
  <c r="N115" i="19"/>
  <c r="N116" i="19" s="1"/>
  <c r="K115" i="19"/>
  <c r="K116" i="19" s="1"/>
  <c r="J115" i="19"/>
  <c r="J116" i="19" s="1"/>
  <c r="I115" i="19"/>
  <c r="I116" i="19" s="1"/>
  <c r="H115" i="19"/>
  <c r="H116" i="19" s="1"/>
  <c r="G115" i="19"/>
  <c r="G116" i="19" s="1"/>
  <c r="F115" i="19"/>
  <c r="F116" i="19" s="1"/>
  <c r="F117" i="19" s="1"/>
  <c r="V114" i="19"/>
  <c r="T114" i="19"/>
  <c r="L114" i="19"/>
  <c r="M114" i="19" s="1"/>
  <c r="V113" i="19"/>
  <c r="T113" i="19"/>
  <c r="L113" i="19"/>
  <c r="M113" i="19" s="1"/>
  <c r="T112" i="19"/>
  <c r="L112" i="19"/>
  <c r="M112" i="19" s="1"/>
  <c r="E111" i="19"/>
  <c r="V110" i="19"/>
  <c r="T110" i="19"/>
  <c r="L110" i="19"/>
  <c r="L111" i="19" s="1"/>
  <c r="T109" i="19"/>
  <c r="L109" i="19"/>
  <c r="M109" i="19" s="1"/>
  <c r="T108" i="19"/>
  <c r="L108" i="19"/>
  <c r="M108" i="19" s="1"/>
  <c r="V107" i="19"/>
  <c r="T107" i="19"/>
  <c r="L107" i="19"/>
  <c r="M107" i="19" s="1"/>
  <c r="T105" i="19"/>
  <c r="T106" i="19" s="1"/>
  <c r="L105" i="19"/>
  <c r="M105" i="19" s="1"/>
  <c r="T104" i="19"/>
  <c r="L104" i="19"/>
  <c r="M104" i="19" s="1"/>
  <c r="T103" i="19"/>
  <c r="L103" i="19"/>
  <c r="M103" i="19" s="1"/>
  <c r="L133" i="19"/>
  <c r="M133" i="19" s="1"/>
  <c r="T133" i="19"/>
  <c r="L134" i="19"/>
  <c r="M134" i="19" s="1"/>
  <c r="T134" i="19"/>
  <c r="L135" i="19"/>
  <c r="M135" i="19" s="1"/>
  <c r="T135" i="19"/>
  <c r="F137" i="19"/>
  <c r="G137" i="19"/>
  <c r="H137" i="19"/>
  <c r="I137" i="19"/>
  <c r="J137" i="19"/>
  <c r="K137" i="19"/>
  <c r="N137" i="19"/>
  <c r="O137" i="19"/>
  <c r="P137" i="19"/>
  <c r="Q137" i="19"/>
  <c r="R137" i="19"/>
  <c r="S137" i="19"/>
  <c r="V137" i="19"/>
  <c r="L138" i="19"/>
  <c r="M138" i="19" s="1"/>
  <c r="T138" i="19"/>
  <c r="L139" i="19"/>
  <c r="M139" i="19" s="1"/>
  <c r="T139" i="19"/>
  <c r="S130" i="18"/>
  <c r="S131" i="18" s="1"/>
  <c r="R130" i="18"/>
  <c r="R131" i="18" s="1"/>
  <c r="N130" i="18"/>
  <c r="N131" i="18" s="1"/>
  <c r="K130" i="18"/>
  <c r="K131" i="18" s="1"/>
  <c r="J130" i="18"/>
  <c r="J131" i="18" s="1"/>
  <c r="I130" i="18"/>
  <c r="I131" i="18" s="1"/>
  <c r="H130" i="18"/>
  <c r="H131" i="18" s="1"/>
  <c r="G130" i="18"/>
  <c r="G131" i="18" s="1"/>
  <c r="F130" i="18"/>
  <c r="F131" i="18" s="1"/>
  <c r="F132" i="18" s="1"/>
  <c r="V129" i="18"/>
  <c r="T129" i="18"/>
  <c r="L129" i="18"/>
  <c r="M129" i="18" s="1"/>
  <c r="V128" i="18"/>
  <c r="T128" i="18"/>
  <c r="L128" i="18"/>
  <c r="M128" i="18" s="1"/>
  <c r="T127" i="18"/>
  <c r="L127" i="18"/>
  <c r="M127" i="18" s="1"/>
  <c r="E126" i="18"/>
  <c r="V125" i="18"/>
  <c r="T125" i="18"/>
  <c r="T126" i="18" s="1"/>
  <c r="L125" i="18"/>
  <c r="L126" i="18" s="1"/>
  <c r="T124" i="18"/>
  <c r="L124" i="18"/>
  <c r="M124" i="18" s="1"/>
  <c r="T123" i="18"/>
  <c r="L123" i="18"/>
  <c r="M123" i="18" s="1"/>
  <c r="V122" i="18"/>
  <c r="V127" i="18" s="1"/>
  <c r="T122" i="18"/>
  <c r="L122" i="18"/>
  <c r="M122" i="18" s="1"/>
  <c r="T120" i="18"/>
  <c r="L120" i="18"/>
  <c r="T119" i="18"/>
  <c r="L119" i="18"/>
  <c r="T118" i="18"/>
  <c r="L118" i="18"/>
  <c r="M118" i="18" s="1"/>
  <c r="S115" i="18"/>
  <c r="S116" i="18" s="1"/>
  <c r="R115" i="18"/>
  <c r="R116" i="18" s="1"/>
  <c r="N115" i="18"/>
  <c r="N116" i="18" s="1"/>
  <c r="K115" i="18"/>
  <c r="K116" i="18" s="1"/>
  <c r="J115" i="18"/>
  <c r="J116" i="18" s="1"/>
  <c r="I115" i="18"/>
  <c r="I116" i="18" s="1"/>
  <c r="H115" i="18"/>
  <c r="H116" i="18" s="1"/>
  <c r="G115" i="18"/>
  <c r="G116" i="18" s="1"/>
  <c r="F115" i="18"/>
  <c r="F116" i="18" s="1"/>
  <c r="F117" i="18" s="1"/>
  <c r="V114" i="18"/>
  <c r="T114" i="18"/>
  <c r="L114" i="18"/>
  <c r="M114" i="18" s="1"/>
  <c r="V113" i="18"/>
  <c r="T113" i="18"/>
  <c r="L113" i="18"/>
  <c r="M113" i="18" s="1"/>
  <c r="T112" i="18"/>
  <c r="L112" i="18"/>
  <c r="M112" i="18" s="1"/>
  <c r="E111" i="18"/>
  <c r="V110" i="18"/>
  <c r="T110" i="18"/>
  <c r="T111" i="18" s="1"/>
  <c r="L110" i="18"/>
  <c r="L111" i="18" s="1"/>
  <c r="T109" i="18"/>
  <c r="L109" i="18"/>
  <c r="M109" i="18" s="1"/>
  <c r="T108" i="18"/>
  <c r="L108" i="18"/>
  <c r="M108" i="18" s="1"/>
  <c r="V107" i="18"/>
  <c r="V61" i="18" s="1"/>
  <c r="V44" i="18" s="1"/>
  <c r="T107" i="18"/>
  <c r="L107" i="18"/>
  <c r="M107" i="18" s="1"/>
  <c r="T105" i="18"/>
  <c r="L105" i="18"/>
  <c r="L106" i="18" s="1"/>
  <c r="T104" i="18"/>
  <c r="L104" i="18"/>
  <c r="M104" i="18" s="1"/>
  <c r="T103" i="18"/>
  <c r="L103" i="18"/>
  <c r="M103" i="18" s="1"/>
  <c r="S85" i="19"/>
  <c r="S86" i="19" s="1"/>
  <c r="R85" i="19"/>
  <c r="R86" i="19" s="1"/>
  <c r="Q85" i="19"/>
  <c r="Q86" i="19" s="1"/>
  <c r="P85" i="19"/>
  <c r="P86" i="19" s="1"/>
  <c r="O85" i="19"/>
  <c r="O86" i="19" s="1"/>
  <c r="N85" i="19"/>
  <c r="N86" i="19" s="1"/>
  <c r="K85" i="19"/>
  <c r="K86" i="19" s="1"/>
  <c r="J85" i="19"/>
  <c r="J86" i="19" s="1"/>
  <c r="I85" i="19"/>
  <c r="I86" i="19" s="1"/>
  <c r="H85" i="19"/>
  <c r="H86" i="19" s="1"/>
  <c r="G85" i="19"/>
  <c r="G86" i="19" s="1"/>
  <c r="F85" i="19"/>
  <c r="F86" i="19" s="1"/>
  <c r="F87" i="19" s="1"/>
  <c r="V84" i="19"/>
  <c r="T84" i="19"/>
  <c r="L84" i="19"/>
  <c r="M84" i="19" s="1"/>
  <c r="V83" i="19"/>
  <c r="T83" i="19"/>
  <c r="L83" i="19"/>
  <c r="M83" i="19" s="1"/>
  <c r="T82" i="19"/>
  <c r="L82" i="19"/>
  <c r="M82" i="19" s="1"/>
  <c r="E81" i="19"/>
  <c r="V80" i="19"/>
  <c r="T80" i="19"/>
  <c r="T81" i="19" s="1"/>
  <c r="L80" i="19"/>
  <c r="L81" i="19" s="1"/>
  <c r="T79" i="19"/>
  <c r="L79" i="19"/>
  <c r="M79" i="19" s="1"/>
  <c r="T78" i="19"/>
  <c r="L78" i="19"/>
  <c r="M78" i="19" s="1"/>
  <c r="V77" i="19"/>
  <c r="T77" i="19"/>
  <c r="L77" i="19"/>
  <c r="T75" i="19"/>
  <c r="T76" i="19" s="1"/>
  <c r="L75" i="19"/>
  <c r="T74" i="19"/>
  <c r="L74" i="19"/>
  <c r="M74" i="19" s="1"/>
  <c r="T73" i="19"/>
  <c r="L73" i="19"/>
  <c r="M73" i="19" s="1"/>
  <c r="S85" i="18"/>
  <c r="S86" i="18" s="1"/>
  <c r="R85" i="18"/>
  <c r="R86" i="18" s="1"/>
  <c r="N85" i="18"/>
  <c r="N86" i="18" s="1"/>
  <c r="K85" i="18"/>
  <c r="K86" i="18" s="1"/>
  <c r="J85" i="18"/>
  <c r="J86" i="18" s="1"/>
  <c r="I85" i="18"/>
  <c r="H85" i="18"/>
  <c r="G85" i="18"/>
  <c r="G86" i="18" s="1"/>
  <c r="F85" i="18"/>
  <c r="F86" i="18" s="1"/>
  <c r="F87" i="18" s="1"/>
  <c r="V83" i="18"/>
  <c r="T83" i="18"/>
  <c r="L83" i="18"/>
  <c r="M83" i="18" s="1"/>
  <c r="T82" i="18"/>
  <c r="E81" i="18"/>
  <c r="V80" i="18"/>
  <c r="T80" i="18"/>
  <c r="L80" i="18"/>
  <c r="M80" i="18" s="1"/>
  <c r="T79" i="18"/>
  <c r="L79" i="18"/>
  <c r="M79" i="18" s="1"/>
  <c r="T78" i="18"/>
  <c r="L78" i="18"/>
  <c r="M78" i="18" s="1"/>
  <c r="T77" i="18"/>
  <c r="T75" i="18"/>
  <c r="L75" i="18"/>
  <c r="T74" i="18"/>
  <c r="L74" i="18"/>
  <c r="M74" i="18" s="1"/>
  <c r="T73" i="18"/>
  <c r="L73" i="18"/>
  <c r="M73" i="18" s="1"/>
  <c r="S391" i="15"/>
  <c r="R391" i="15"/>
  <c r="Q391" i="15"/>
  <c r="O391" i="15"/>
  <c r="N391" i="15"/>
  <c r="K391" i="15"/>
  <c r="J391" i="15"/>
  <c r="I391" i="15"/>
  <c r="H391" i="15"/>
  <c r="G391" i="15"/>
  <c r="F391" i="15"/>
  <c r="V390" i="15"/>
  <c r="V389" i="15"/>
  <c r="T389" i="15"/>
  <c r="L389" i="15"/>
  <c r="M389" i="15" s="1"/>
  <c r="R388" i="15"/>
  <c r="Q388" i="15"/>
  <c r="O388" i="15"/>
  <c r="N388" i="15"/>
  <c r="K388" i="15"/>
  <c r="J388" i="15"/>
  <c r="I388" i="15"/>
  <c r="H388" i="15"/>
  <c r="G388" i="15"/>
  <c r="F388" i="15"/>
  <c r="E387" i="15"/>
  <c r="V386" i="15"/>
  <c r="S388" i="15"/>
  <c r="L386" i="15"/>
  <c r="M386" i="15" s="1"/>
  <c r="T385" i="15"/>
  <c r="L385" i="15"/>
  <c r="M385" i="15" s="1"/>
  <c r="T384" i="15"/>
  <c r="L384" i="15"/>
  <c r="M384" i="15" s="1"/>
  <c r="X383" i="15"/>
  <c r="V383" i="15"/>
  <c r="S383" i="15"/>
  <c r="R383" i="15"/>
  <c r="Q383" i="15"/>
  <c r="O383" i="15"/>
  <c r="N383" i="15"/>
  <c r="K383" i="15"/>
  <c r="J383" i="15"/>
  <c r="I383" i="15"/>
  <c r="H383" i="15"/>
  <c r="G383" i="15"/>
  <c r="F383" i="15"/>
  <c r="V382" i="15"/>
  <c r="T381" i="15"/>
  <c r="L381" i="15"/>
  <c r="M381" i="15" s="1"/>
  <c r="S453" i="15"/>
  <c r="R453" i="15"/>
  <c r="Q453" i="15"/>
  <c r="O453" i="15"/>
  <c r="N453" i="15"/>
  <c r="K453" i="15"/>
  <c r="J453" i="15"/>
  <c r="I453" i="15"/>
  <c r="H453" i="15"/>
  <c r="G453" i="15"/>
  <c r="F453" i="15"/>
  <c r="V452" i="15"/>
  <c r="V451" i="15"/>
  <c r="T451" i="15"/>
  <c r="L451" i="15"/>
  <c r="M451" i="15" s="1"/>
  <c r="R450" i="15"/>
  <c r="Q450" i="15"/>
  <c r="Q452" i="15" s="1"/>
  <c r="O450" i="15"/>
  <c r="O452" i="15" s="1"/>
  <c r="N450" i="15"/>
  <c r="K450" i="15"/>
  <c r="K452" i="15" s="1"/>
  <c r="J450" i="15"/>
  <c r="I450" i="15"/>
  <c r="I452" i="15" s="1"/>
  <c r="H450" i="15"/>
  <c r="G450" i="15"/>
  <c r="G452" i="15" s="1"/>
  <c r="F450" i="15"/>
  <c r="E449" i="15"/>
  <c r="V448" i="15"/>
  <c r="S450" i="15"/>
  <c r="L448" i="15"/>
  <c r="M448" i="15" s="1"/>
  <c r="T447" i="15"/>
  <c r="L447" i="15"/>
  <c r="M447" i="15" s="1"/>
  <c r="T446" i="15"/>
  <c r="L446" i="15"/>
  <c r="M446" i="15" s="1"/>
  <c r="X445" i="15"/>
  <c r="V445" i="15"/>
  <c r="V415" i="15" s="1"/>
  <c r="S445" i="15"/>
  <c r="S415" i="15" s="1"/>
  <c r="R445" i="15"/>
  <c r="R415" i="15" s="1"/>
  <c r="Q445" i="15"/>
  <c r="Q415" i="15" s="1"/>
  <c r="O445" i="15"/>
  <c r="O415" i="15" s="1"/>
  <c r="N445" i="15"/>
  <c r="K445" i="15"/>
  <c r="K415" i="15" s="1"/>
  <c r="J445" i="15"/>
  <c r="J415" i="15" s="1"/>
  <c r="I445" i="15"/>
  <c r="I415" i="15" s="1"/>
  <c r="H445" i="15"/>
  <c r="H415" i="15" s="1"/>
  <c r="G445" i="15"/>
  <c r="G415" i="15" s="1"/>
  <c r="F445" i="15"/>
  <c r="V444" i="15"/>
  <c r="T443" i="15"/>
  <c r="L443" i="15"/>
  <c r="T442" i="15"/>
  <c r="L442" i="15"/>
  <c r="M442" i="15" s="1"/>
  <c r="T441" i="15"/>
  <c r="L441" i="15"/>
  <c r="M441" i="15" s="1"/>
  <c r="F327" i="15"/>
  <c r="S327" i="15"/>
  <c r="R327" i="15"/>
  <c r="Q327" i="15"/>
  <c r="O327" i="15"/>
  <c r="N327" i="15"/>
  <c r="K327" i="15"/>
  <c r="J327" i="15"/>
  <c r="I327" i="15"/>
  <c r="H327" i="15"/>
  <c r="G327" i="15"/>
  <c r="S297" i="15"/>
  <c r="R297" i="15"/>
  <c r="Q297" i="15"/>
  <c r="O297" i="15"/>
  <c r="N297" i="15"/>
  <c r="K297" i="15"/>
  <c r="J297" i="15"/>
  <c r="I297" i="15"/>
  <c r="H297" i="15"/>
  <c r="G297" i="15"/>
  <c r="F297" i="15"/>
  <c r="V326" i="15"/>
  <c r="V325" i="15"/>
  <c r="T325" i="15"/>
  <c r="L325" i="15"/>
  <c r="M325" i="15" s="1"/>
  <c r="R324" i="15"/>
  <c r="R326" i="15" s="1"/>
  <c r="Q324" i="15"/>
  <c r="Q326" i="15" s="1"/>
  <c r="O324" i="15"/>
  <c r="O326" i="15" s="1"/>
  <c r="N324" i="15"/>
  <c r="N326" i="15" s="1"/>
  <c r="K324" i="15"/>
  <c r="K326" i="15" s="1"/>
  <c r="J324" i="15"/>
  <c r="J326" i="15" s="1"/>
  <c r="I324" i="15"/>
  <c r="I326" i="15" s="1"/>
  <c r="H324" i="15"/>
  <c r="H326" i="15" s="1"/>
  <c r="G324" i="15"/>
  <c r="G326" i="15" s="1"/>
  <c r="F324" i="15"/>
  <c r="F326" i="15" s="1"/>
  <c r="E323" i="15"/>
  <c r="V322" i="15"/>
  <c r="S324" i="15"/>
  <c r="S326" i="15" s="1"/>
  <c r="L322" i="15"/>
  <c r="M322" i="15" s="1"/>
  <c r="T321" i="15"/>
  <c r="L321" i="15"/>
  <c r="M321" i="15" s="1"/>
  <c r="T320" i="15"/>
  <c r="L320" i="15"/>
  <c r="M320" i="15" s="1"/>
  <c r="X319" i="15"/>
  <c r="V319" i="15"/>
  <c r="V324" i="15" s="1"/>
  <c r="V327" i="15" s="1"/>
  <c r="S319" i="15"/>
  <c r="R319" i="15"/>
  <c r="Q319" i="15"/>
  <c r="O319" i="15"/>
  <c r="N319" i="15"/>
  <c r="K319" i="15"/>
  <c r="J319" i="15"/>
  <c r="I319" i="15"/>
  <c r="H319" i="15"/>
  <c r="G319" i="15"/>
  <c r="F319" i="15"/>
  <c r="T317" i="15"/>
  <c r="L317" i="15"/>
  <c r="M317" i="15" s="1"/>
  <c r="T316" i="15"/>
  <c r="L316" i="15"/>
  <c r="T315" i="15"/>
  <c r="L315" i="15"/>
  <c r="M315" i="15" s="1"/>
  <c r="V296" i="15"/>
  <c r="V295" i="15"/>
  <c r="T295" i="15"/>
  <c r="L295" i="15"/>
  <c r="M295" i="15" s="1"/>
  <c r="R294" i="15"/>
  <c r="R296" i="15" s="1"/>
  <c r="Q294" i="15"/>
  <c r="Q296" i="15" s="1"/>
  <c r="O294" i="15"/>
  <c r="O296" i="15" s="1"/>
  <c r="N294" i="15"/>
  <c r="N296" i="15" s="1"/>
  <c r="K294" i="15"/>
  <c r="K296" i="15" s="1"/>
  <c r="J294" i="15"/>
  <c r="J296" i="15" s="1"/>
  <c r="I294" i="15"/>
  <c r="I296" i="15" s="1"/>
  <c r="H294" i="15"/>
  <c r="H296" i="15" s="1"/>
  <c r="G294" i="15"/>
  <c r="G296" i="15" s="1"/>
  <c r="F294" i="15"/>
  <c r="F296" i="15" s="1"/>
  <c r="E293" i="15"/>
  <c r="V292" i="15"/>
  <c r="S294" i="15"/>
  <c r="S296" i="15" s="1"/>
  <c r="L292" i="15"/>
  <c r="M292" i="15" s="1"/>
  <c r="T291" i="15"/>
  <c r="L291" i="15"/>
  <c r="M291" i="15" s="1"/>
  <c r="T290" i="15"/>
  <c r="L290" i="15"/>
  <c r="M290" i="15" s="1"/>
  <c r="X289" i="15"/>
  <c r="V289" i="15"/>
  <c r="S289" i="15"/>
  <c r="R289" i="15"/>
  <c r="Q289" i="15"/>
  <c r="O289" i="15"/>
  <c r="N289" i="15"/>
  <c r="K289" i="15"/>
  <c r="J289" i="15"/>
  <c r="I289" i="15"/>
  <c r="H289" i="15"/>
  <c r="G289" i="15"/>
  <c r="F289" i="15"/>
  <c r="T287" i="15"/>
  <c r="L287" i="15"/>
  <c r="M287" i="15" s="1"/>
  <c r="T286" i="15"/>
  <c r="L286" i="15"/>
  <c r="M286" i="15" s="1"/>
  <c r="T285" i="15"/>
  <c r="L285" i="15"/>
  <c r="M285" i="15" s="1"/>
  <c r="S160" i="15"/>
  <c r="S161" i="15" s="1"/>
  <c r="R160" i="15"/>
  <c r="R161" i="15" s="1"/>
  <c r="Q160" i="15"/>
  <c r="Q161" i="15" s="1"/>
  <c r="O160" i="15"/>
  <c r="O161" i="15" s="1"/>
  <c r="N160" i="15"/>
  <c r="N161" i="15" s="1"/>
  <c r="K160" i="15"/>
  <c r="K161" i="15" s="1"/>
  <c r="J160" i="15"/>
  <c r="J161" i="15" s="1"/>
  <c r="I160" i="15"/>
  <c r="I161" i="15" s="1"/>
  <c r="H160" i="15"/>
  <c r="H161" i="15" s="1"/>
  <c r="G160" i="15"/>
  <c r="G161" i="15" s="1"/>
  <c r="F160" i="15"/>
  <c r="F161" i="15" s="1"/>
  <c r="F162" i="15" s="1"/>
  <c r="V159" i="15"/>
  <c r="T159" i="15"/>
  <c r="L159" i="15"/>
  <c r="M159" i="15" s="1"/>
  <c r="V158" i="15"/>
  <c r="T158" i="15"/>
  <c r="L158" i="15"/>
  <c r="M158" i="15" s="1"/>
  <c r="T157" i="15"/>
  <c r="L157" i="15"/>
  <c r="M157" i="15" s="1"/>
  <c r="E156" i="15"/>
  <c r="V155" i="15"/>
  <c r="T155" i="15"/>
  <c r="T156" i="15" s="1"/>
  <c r="L155" i="15"/>
  <c r="M155" i="15" s="1"/>
  <c r="T154" i="15"/>
  <c r="L154" i="15"/>
  <c r="M154" i="15" s="1"/>
  <c r="T153" i="15"/>
  <c r="L153" i="15"/>
  <c r="M153" i="15" s="1"/>
  <c r="V152" i="15"/>
  <c r="T152" i="15"/>
  <c r="L152" i="15"/>
  <c r="M152" i="15" s="1"/>
  <c r="T150" i="15"/>
  <c r="L150" i="15"/>
  <c r="T149" i="15"/>
  <c r="L149" i="15"/>
  <c r="M149" i="15" s="1"/>
  <c r="T148" i="15"/>
  <c r="L148" i="15"/>
  <c r="M148" i="15" s="1"/>
  <c r="S130" i="15"/>
  <c r="S131" i="15" s="1"/>
  <c r="R130" i="15"/>
  <c r="R131" i="15" s="1"/>
  <c r="Q130" i="15"/>
  <c r="Q131" i="15" s="1"/>
  <c r="O130" i="15"/>
  <c r="O131" i="15" s="1"/>
  <c r="N130" i="15"/>
  <c r="N131" i="15" s="1"/>
  <c r="K130" i="15"/>
  <c r="K131" i="15" s="1"/>
  <c r="J130" i="15"/>
  <c r="J131" i="15" s="1"/>
  <c r="I130" i="15"/>
  <c r="I131" i="15" s="1"/>
  <c r="H130" i="15"/>
  <c r="H131" i="15" s="1"/>
  <c r="G130" i="15"/>
  <c r="G131" i="15" s="1"/>
  <c r="F130" i="15"/>
  <c r="F131" i="15" s="1"/>
  <c r="F132" i="15" s="1"/>
  <c r="V129" i="15"/>
  <c r="T129" i="15"/>
  <c r="L129" i="15"/>
  <c r="M129" i="15" s="1"/>
  <c r="V128" i="15"/>
  <c r="T128" i="15"/>
  <c r="L128" i="15"/>
  <c r="M128" i="15" s="1"/>
  <c r="T127" i="15"/>
  <c r="L127" i="15"/>
  <c r="M127" i="15" s="1"/>
  <c r="E126" i="15"/>
  <c r="V125" i="15"/>
  <c r="T125" i="15"/>
  <c r="T126" i="15" s="1"/>
  <c r="L125" i="15"/>
  <c r="L126" i="15" s="1"/>
  <c r="T124" i="15"/>
  <c r="L124" i="15"/>
  <c r="M124" i="15" s="1"/>
  <c r="T123" i="15"/>
  <c r="L123" i="15"/>
  <c r="M123" i="15" s="1"/>
  <c r="V122" i="15"/>
  <c r="T122" i="15"/>
  <c r="L122" i="15"/>
  <c r="M122" i="15" s="1"/>
  <c r="T120" i="15"/>
  <c r="T121" i="15" s="1"/>
  <c r="L120" i="15"/>
  <c r="T119" i="15"/>
  <c r="L119" i="15"/>
  <c r="M119" i="15" s="1"/>
  <c r="T118" i="15"/>
  <c r="L118" i="15"/>
  <c r="M118" i="15" s="1"/>
  <c r="S115" i="15"/>
  <c r="S116" i="15" s="1"/>
  <c r="R115" i="15"/>
  <c r="R116" i="15" s="1"/>
  <c r="Q115" i="15"/>
  <c r="Q116" i="15" s="1"/>
  <c r="O115" i="15"/>
  <c r="O116" i="15" s="1"/>
  <c r="N115" i="15"/>
  <c r="N116" i="15" s="1"/>
  <c r="K115" i="15"/>
  <c r="K116" i="15" s="1"/>
  <c r="J115" i="15"/>
  <c r="J116" i="15" s="1"/>
  <c r="I115" i="15"/>
  <c r="I116" i="15" s="1"/>
  <c r="H115" i="15"/>
  <c r="H116" i="15" s="1"/>
  <c r="G115" i="15"/>
  <c r="G116" i="15" s="1"/>
  <c r="F115" i="15"/>
  <c r="F116" i="15" s="1"/>
  <c r="F117" i="15" s="1"/>
  <c r="T104" i="15"/>
  <c r="L104" i="15"/>
  <c r="M104" i="15" s="1"/>
  <c r="T103" i="15"/>
  <c r="L103" i="15"/>
  <c r="M103" i="15" s="1"/>
  <c r="S85" i="15"/>
  <c r="S86" i="15" s="1"/>
  <c r="R85" i="15"/>
  <c r="R86" i="15" s="1"/>
  <c r="Q85" i="15"/>
  <c r="Q86" i="15" s="1"/>
  <c r="O85" i="15"/>
  <c r="O86" i="15" s="1"/>
  <c r="N85" i="15"/>
  <c r="N86" i="15" s="1"/>
  <c r="K85" i="15"/>
  <c r="K86" i="15" s="1"/>
  <c r="J85" i="15"/>
  <c r="J86" i="15" s="1"/>
  <c r="I85" i="15"/>
  <c r="I86" i="15" s="1"/>
  <c r="H85" i="15"/>
  <c r="H86" i="15" s="1"/>
  <c r="G85" i="15"/>
  <c r="G86" i="15" s="1"/>
  <c r="F85" i="15"/>
  <c r="F86" i="15" s="1"/>
  <c r="F87" i="15" s="1"/>
  <c r="V84" i="15"/>
  <c r="T84" i="15"/>
  <c r="L84" i="15"/>
  <c r="M84" i="15" s="1"/>
  <c r="V83" i="15"/>
  <c r="T83" i="15"/>
  <c r="L83" i="15"/>
  <c r="M83" i="15" s="1"/>
  <c r="T82" i="15"/>
  <c r="L82" i="15"/>
  <c r="M82" i="15" s="1"/>
  <c r="E81" i="15"/>
  <c r="V80" i="15"/>
  <c r="L80" i="15"/>
  <c r="T79" i="15"/>
  <c r="L79" i="15"/>
  <c r="M79" i="15" s="1"/>
  <c r="T78" i="15"/>
  <c r="L78" i="15"/>
  <c r="M78" i="15" s="1"/>
  <c r="V61" i="15"/>
  <c r="T77" i="15"/>
  <c r="L77" i="15"/>
  <c r="M77" i="15" s="1"/>
  <c r="T75" i="15"/>
  <c r="L75" i="15"/>
  <c r="T74" i="15"/>
  <c r="L74" i="15"/>
  <c r="M74" i="15" s="1"/>
  <c r="T73" i="15"/>
  <c r="L73" i="15"/>
  <c r="M73" i="15" s="1"/>
  <c r="S391" i="13"/>
  <c r="R391" i="13"/>
  <c r="Q391" i="13"/>
  <c r="N391" i="13"/>
  <c r="K391" i="13"/>
  <c r="J391" i="13"/>
  <c r="I391" i="13"/>
  <c r="H391" i="13"/>
  <c r="G391" i="13"/>
  <c r="F391" i="13"/>
  <c r="V390" i="13"/>
  <c r="V389" i="13"/>
  <c r="T389" i="13"/>
  <c r="L389" i="13"/>
  <c r="M389" i="13" s="1"/>
  <c r="R388" i="13"/>
  <c r="Q388" i="13"/>
  <c r="N388" i="13"/>
  <c r="K388" i="13"/>
  <c r="J388" i="13"/>
  <c r="I388" i="13"/>
  <c r="H388" i="13"/>
  <c r="G388" i="13"/>
  <c r="F388" i="13"/>
  <c r="E387" i="13"/>
  <c r="V386" i="13"/>
  <c r="S386" i="13"/>
  <c r="L386" i="13"/>
  <c r="M386" i="13" s="1"/>
  <c r="T385" i="13"/>
  <c r="L385" i="13"/>
  <c r="M385" i="13" s="1"/>
  <c r="T384" i="13"/>
  <c r="L384" i="13"/>
  <c r="M384" i="13" s="1"/>
  <c r="V383" i="13"/>
  <c r="S383" i="13"/>
  <c r="R383" i="13"/>
  <c r="R352" i="13" s="1"/>
  <c r="Q383" i="13"/>
  <c r="N383" i="13"/>
  <c r="K383" i="13"/>
  <c r="J383" i="13"/>
  <c r="I383" i="13"/>
  <c r="H383" i="13"/>
  <c r="G383" i="13"/>
  <c r="F383" i="13"/>
  <c r="T381" i="13"/>
  <c r="L381" i="13"/>
  <c r="M381" i="13" s="1"/>
  <c r="T380" i="13"/>
  <c r="L380" i="13"/>
  <c r="M380" i="13" s="1"/>
  <c r="T379" i="13"/>
  <c r="L379" i="13"/>
  <c r="M379" i="13" s="1"/>
  <c r="S453" i="13"/>
  <c r="R453" i="13"/>
  <c r="Q453" i="13"/>
  <c r="N453" i="13"/>
  <c r="K453" i="13"/>
  <c r="J453" i="13"/>
  <c r="I453" i="13"/>
  <c r="H453" i="13"/>
  <c r="G453" i="13"/>
  <c r="F453" i="13"/>
  <c r="V452" i="13"/>
  <c r="V451" i="13"/>
  <c r="T451" i="13"/>
  <c r="L451" i="13"/>
  <c r="M451" i="13" s="1"/>
  <c r="R450" i="13"/>
  <c r="Q450" i="13"/>
  <c r="N450" i="13"/>
  <c r="K450" i="13"/>
  <c r="J450" i="13"/>
  <c r="I450" i="13"/>
  <c r="H450" i="13"/>
  <c r="G450" i="13"/>
  <c r="F450" i="13"/>
  <c r="E449" i="13"/>
  <c r="V448" i="13"/>
  <c r="S448" i="13"/>
  <c r="L448" i="13"/>
  <c r="M448" i="13" s="1"/>
  <c r="T447" i="13"/>
  <c r="L447" i="13"/>
  <c r="M447" i="13" s="1"/>
  <c r="T446" i="13"/>
  <c r="L446" i="13"/>
  <c r="M446" i="13" s="1"/>
  <c r="V445" i="13"/>
  <c r="S445" i="13"/>
  <c r="R445" i="13"/>
  <c r="Q445" i="13"/>
  <c r="N445" i="13"/>
  <c r="K445" i="13"/>
  <c r="J445" i="13"/>
  <c r="I445" i="13"/>
  <c r="H445" i="13"/>
  <c r="G445" i="13"/>
  <c r="F445" i="13"/>
  <c r="T443" i="13"/>
  <c r="L443" i="13"/>
  <c r="M443" i="13" s="1"/>
  <c r="T442" i="13"/>
  <c r="L442" i="13"/>
  <c r="M442" i="13" s="1"/>
  <c r="T441" i="13"/>
  <c r="L441" i="13"/>
  <c r="M441" i="13" s="1"/>
  <c r="S297" i="13"/>
  <c r="R297" i="13"/>
  <c r="Q297" i="13"/>
  <c r="N297" i="13"/>
  <c r="K297" i="13"/>
  <c r="J297" i="13"/>
  <c r="I297" i="13"/>
  <c r="H297" i="13"/>
  <c r="G297" i="13"/>
  <c r="F297" i="13"/>
  <c r="V296" i="13"/>
  <c r="V295" i="13"/>
  <c r="T295" i="13"/>
  <c r="L295" i="13"/>
  <c r="M295" i="13" s="1"/>
  <c r="R294" i="13"/>
  <c r="Q294" i="13"/>
  <c r="N294" i="13"/>
  <c r="K294" i="13"/>
  <c r="J294" i="13"/>
  <c r="I294" i="13"/>
  <c r="H294" i="13"/>
  <c r="G294" i="13"/>
  <c r="F294" i="13"/>
  <c r="E293" i="13"/>
  <c r="V292" i="13"/>
  <c r="S292" i="13"/>
  <c r="S294" i="13" s="1"/>
  <c r="L292" i="13"/>
  <c r="M292" i="13" s="1"/>
  <c r="T291" i="13"/>
  <c r="L291" i="13"/>
  <c r="T290" i="13"/>
  <c r="L290" i="13"/>
  <c r="M290" i="13" s="1"/>
  <c r="V289" i="13"/>
  <c r="S289" i="13"/>
  <c r="R289" i="13"/>
  <c r="Q289" i="13"/>
  <c r="N289" i="13"/>
  <c r="K289" i="13"/>
  <c r="J289" i="13"/>
  <c r="I289" i="13"/>
  <c r="H289" i="13"/>
  <c r="G289" i="13"/>
  <c r="F289" i="13"/>
  <c r="T287" i="13"/>
  <c r="L287" i="13"/>
  <c r="M287" i="13" s="1"/>
  <c r="T286" i="13"/>
  <c r="L286" i="13"/>
  <c r="M286" i="13" s="1"/>
  <c r="T285" i="13"/>
  <c r="L285" i="13"/>
  <c r="M285" i="13" s="1"/>
  <c r="S327" i="13"/>
  <c r="R327" i="13"/>
  <c r="Q327" i="13"/>
  <c r="N327" i="13"/>
  <c r="K327" i="13"/>
  <c r="J327" i="13"/>
  <c r="I327" i="13"/>
  <c r="H327" i="13"/>
  <c r="G327" i="13"/>
  <c r="F327" i="13"/>
  <c r="V326" i="13"/>
  <c r="V325" i="13"/>
  <c r="T325" i="13"/>
  <c r="L325" i="13"/>
  <c r="M325" i="13" s="1"/>
  <c r="R324" i="13"/>
  <c r="Q324" i="13"/>
  <c r="N324" i="13"/>
  <c r="K324" i="13"/>
  <c r="J324" i="13"/>
  <c r="I324" i="13"/>
  <c r="H324" i="13"/>
  <c r="G324" i="13"/>
  <c r="F324" i="13"/>
  <c r="E323" i="13"/>
  <c r="V322" i="13"/>
  <c r="S324" i="13"/>
  <c r="L322" i="13"/>
  <c r="M322" i="13" s="1"/>
  <c r="T321" i="13"/>
  <c r="L321" i="13"/>
  <c r="M321" i="13" s="1"/>
  <c r="T320" i="13"/>
  <c r="L320" i="13"/>
  <c r="M320" i="13" s="1"/>
  <c r="V319" i="13"/>
  <c r="V324" i="13" s="1"/>
  <c r="S319" i="13"/>
  <c r="R319" i="13"/>
  <c r="Q319" i="13"/>
  <c r="N319" i="13"/>
  <c r="K319" i="13"/>
  <c r="J319" i="13"/>
  <c r="I319" i="13"/>
  <c r="H319" i="13"/>
  <c r="G319" i="13"/>
  <c r="F319" i="13"/>
  <c r="T317" i="13"/>
  <c r="L317" i="13"/>
  <c r="M317" i="13" s="1"/>
  <c r="T316" i="13"/>
  <c r="L316" i="13"/>
  <c r="M316" i="13" s="1"/>
  <c r="T315" i="13"/>
  <c r="L315" i="13"/>
  <c r="M315" i="13" s="1"/>
  <c r="S160" i="13"/>
  <c r="S161" i="13" s="1"/>
  <c r="R160" i="13"/>
  <c r="R161" i="13" s="1"/>
  <c r="Q160" i="13"/>
  <c r="Q161" i="13" s="1"/>
  <c r="N160" i="13"/>
  <c r="N161" i="13" s="1"/>
  <c r="K160" i="13"/>
  <c r="K161" i="13" s="1"/>
  <c r="J160" i="13"/>
  <c r="J161" i="13" s="1"/>
  <c r="I160" i="13"/>
  <c r="I161" i="13" s="1"/>
  <c r="H160" i="13"/>
  <c r="H161" i="13" s="1"/>
  <c r="G160" i="13"/>
  <c r="G161" i="13" s="1"/>
  <c r="F160" i="13"/>
  <c r="F161" i="13" s="1"/>
  <c r="F162" i="13" s="1"/>
  <c r="T149" i="13"/>
  <c r="L149" i="13"/>
  <c r="M149" i="13" s="1"/>
  <c r="T148" i="13"/>
  <c r="L148" i="13"/>
  <c r="M148" i="13" s="1"/>
  <c r="S130" i="13"/>
  <c r="S131" i="13" s="1"/>
  <c r="R130" i="13"/>
  <c r="R131" i="13" s="1"/>
  <c r="Q130" i="13"/>
  <c r="Q131" i="13" s="1"/>
  <c r="N130" i="13"/>
  <c r="N131" i="13" s="1"/>
  <c r="K130" i="13"/>
  <c r="K131" i="13" s="1"/>
  <c r="J130" i="13"/>
  <c r="J131" i="13" s="1"/>
  <c r="I130" i="13"/>
  <c r="I131" i="13" s="1"/>
  <c r="H130" i="13"/>
  <c r="H131" i="13" s="1"/>
  <c r="G130" i="13"/>
  <c r="G131" i="13" s="1"/>
  <c r="F130" i="13"/>
  <c r="F131" i="13" s="1"/>
  <c r="F132" i="13" s="1"/>
  <c r="V129" i="13"/>
  <c r="T129" i="13"/>
  <c r="L129" i="13"/>
  <c r="M129" i="13" s="1"/>
  <c r="V128" i="13"/>
  <c r="T128" i="13"/>
  <c r="L128" i="13"/>
  <c r="M128" i="13" s="1"/>
  <c r="T127" i="13"/>
  <c r="L127" i="13"/>
  <c r="M127" i="13" s="1"/>
  <c r="E126" i="13"/>
  <c r="V125" i="13"/>
  <c r="T125" i="13"/>
  <c r="T126" i="13" s="1"/>
  <c r="L125" i="13"/>
  <c r="L126" i="13" s="1"/>
  <c r="T124" i="13"/>
  <c r="L124" i="13"/>
  <c r="M124" i="13" s="1"/>
  <c r="T123" i="13"/>
  <c r="L123" i="13"/>
  <c r="M123" i="13" s="1"/>
  <c r="V122" i="13"/>
  <c r="V121" i="13" s="1"/>
  <c r="T122" i="13"/>
  <c r="L122" i="13"/>
  <c r="M122" i="13" s="1"/>
  <c r="T120" i="13"/>
  <c r="T121" i="13" s="1"/>
  <c r="L120" i="13"/>
  <c r="T119" i="13"/>
  <c r="L119" i="13"/>
  <c r="M119" i="13" s="1"/>
  <c r="T118" i="13"/>
  <c r="L118" i="13"/>
  <c r="M118" i="13" s="1"/>
  <c r="S115" i="13"/>
  <c r="S116" i="13" s="1"/>
  <c r="R115" i="13"/>
  <c r="R116" i="13" s="1"/>
  <c r="Q115" i="13"/>
  <c r="Q116" i="13" s="1"/>
  <c r="N115" i="13"/>
  <c r="N116" i="13" s="1"/>
  <c r="K115" i="13"/>
  <c r="K116" i="13" s="1"/>
  <c r="J115" i="13"/>
  <c r="J116" i="13" s="1"/>
  <c r="I115" i="13"/>
  <c r="I116" i="13" s="1"/>
  <c r="H115" i="13"/>
  <c r="H116" i="13" s="1"/>
  <c r="G115" i="13"/>
  <c r="G116" i="13" s="1"/>
  <c r="F115" i="13"/>
  <c r="F116" i="13" s="1"/>
  <c r="F117" i="13" s="1"/>
  <c r="T104" i="13"/>
  <c r="L104" i="13"/>
  <c r="M104" i="13" s="1"/>
  <c r="T103" i="13"/>
  <c r="L103" i="13"/>
  <c r="M103" i="13" s="1"/>
  <c r="S85" i="13"/>
  <c r="S86" i="13" s="1"/>
  <c r="R85" i="13"/>
  <c r="R86" i="13" s="1"/>
  <c r="Q85" i="13"/>
  <c r="N85" i="13"/>
  <c r="N86" i="13" s="1"/>
  <c r="K86" i="13"/>
  <c r="J86" i="13"/>
  <c r="I86" i="13"/>
  <c r="H86" i="13"/>
  <c r="G86" i="13"/>
  <c r="F86" i="13"/>
  <c r="F87" i="13" s="1"/>
  <c r="V84" i="13"/>
  <c r="L84" i="13"/>
  <c r="M84" i="13" s="1"/>
  <c r="V83" i="13"/>
  <c r="T83" i="13"/>
  <c r="L83" i="13"/>
  <c r="M83" i="13" s="1"/>
  <c r="L82" i="13"/>
  <c r="M82" i="13" s="1"/>
  <c r="E81" i="13"/>
  <c r="V80" i="13"/>
  <c r="T80" i="13"/>
  <c r="L80" i="13"/>
  <c r="L81" i="13" s="1"/>
  <c r="T79" i="13"/>
  <c r="L79" i="13"/>
  <c r="M79" i="13" s="1"/>
  <c r="T78" i="13"/>
  <c r="L78" i="13"/>
  <c r="M78" i="13" s="1"/>
  <c r="V77" i="13"/>
  <c r="V77" i="23" s="1"/>
  <c r="T77" i="13"/>
  <c r="T75" i="13"/>
  <c r="L75" i="13"/>
  <c r="T74" i="13"/>
  <c r="L74" i="13"/>
  <c r="M74" i="13" s="1"/>
  <c r="T73" i="13"/>
  <c r="L73" i="13"/>
  <c r="M73" i="13" s="1"/>
  <c r="S453" i="11"/>
  <c r="R453" i="11"/>
  <c r="Q453" i="11"/>
  <c r="O453" i="11"/>
  <c r="N453" i="11"/>
  <c r="K453" i="11"/>
  <c r="J453" i="11"/>
  <c r="I453" i="11"/>
  <c r="H453" i="11"/>
  <c r="G453" i="11"/>
  <c r="F453" i="11"/>
  <c r="V452" i="11"/>
  <c r="V451" i="11"/>
  <c r="T451" i="11"/>
  <c r="L451" i="11"/>
  <c r="M451" i="11" s="1"/>
  <c r="R450" i="11"/>
  <c r="Q450" i="11"/>
  <c r="Q454" i="11" s="1"/>
  <c r="O450" i="11"/>
  <c r="O454" i="11" s="1"/>
  <c r="N450" i="11"/>
  <c r="K450" i="11"/>
  <c r="K454" i="11" s="1"/>
  <c r="J450" i="11"/>
  <c r="I450" i="11"/>
  <c r="I454" i="11" s="1"/>
  <c r="H450" i="11"/>
  <c r="G450" i="11"/>
  <c r="G454" i="11" s="1"/>
  <c r="F450" i="11"/>
  <c r="E449" i="11"/>
  <c r="V448" i="11"/>
  <c r="S448" i="11"/>
  <c r="L448" i="11"/>
  <c r="M448" i="11" s="1"/>
  <c r="T447" i="11"/>
  <c r="L447" i="11"/>
  <c r="M447" i="11" s="1"/>
  <c r="T446" i="11"/>
  <c r="L446" i="11"/>
  <c r="M446" i="11" s="1"/>
  <c r="V445" i="11"/>
  <c r="S445" i="11"/>
  <c r="S414" i="11" s="1"/>
  <c r="R445" i="11"/>
  <c r="Q445" i="11"/>
  <c r="Q414" i="11" s="1"/>
  <c r="O445" i="11"/>
  <c r="O414" i="11" s="1"/>
  <c r="N445" i="11"/>
  <c r="N414" i="11" s="1"/>
  <c r="K445" i="11"/>
  <c r="K414" i="11" s="1"/>
  <c r="J445" i="11"/>
  <c r="I445" i="11"/>
  <c r="I414" i="11" s="1"/>
  <c r="H445" i="11"/>
  <c r="G445" i="11"/>
  <c r="G414" i="11" s="1"/>
  <c r="F445" i="11"/>
  <c r="F414" i="11" s="1"/>
  <c r="T443" i="11"/>
  <c r="L443" i="11"/>
  <c r="M443" i="11" s="1"/>
  <c r="T442" i="11"/>
  <c r="L442" i="11"/>
  <c r="M442" i="11" s="1"/>
  <c r="T441" i="11"/>
  <c r="L441" i="11"/>
  <c r="M441" i="11" s="1"/>
  <c r="L456" i="11"/>
  <c r="M456" i="11" s="1"/>
  <c r="T456" i="11"/>
  <c r="S391" i="11"/>
  <c r="R391" i="11"/>
  <c r="Q391" i="11"/>
  <c r="O391" i="11"/>
  <c r="N391" i="11"/>
  <c r="K391" i="11"/>
  <c r="J391" i="11"/>
  <c r="I391" i="11"/>
  <c r="H391" i="11"/>
  <c r="G391" i="11"/>
  <c r="F391" i="11"/>
  <c r="V390" i="11"/>
  <c r="V389" i="11"/>
  <c r="T389" i="11"/>
  <c r="L389" i="11"/>
  <c r="M389" i="11" s="1"/>
  <c r="R388" i="11"/>
  <c r="Q388" i="11"/>
  <c r="O388" i="11"/>
  <c r="N388" i="11"/>
  <c r="K388" i="11"/>
  <c r="J388" i="11"/>
  <c r="I388" i="11"/>
  <c r="H388" i="11"/>
  <c r="G388" i="11"/>
  <c r="F388" i="11"/>
  <c r="E387" i="11"/>
  <c r="V386" i="11"/>
  <c r="S388" i="11"/>
  <c r="L386" i="11"/>
  <c r="M386" i="11" s="1"/>
  <c r="T385" i="11"/>
  <c r="L385" i="11"/>
  <c r="M385" i="11" s="1"/>
  <c r="T384" i="11"/>
  <c r="L384" i="11"/>
  <c r="M384" i="11" s="1"/>
  <c r="V383" i="11"/>
  <c r="V352" i="11" s="1"/>
  <c r="S383" i="11"/>
  <c r="R383" i="11"/>
  <c r="Q383" i="11"/>
  <c r="O383" i="11"/>
  <c r="N383" i="11"/>
  <c r="K383" i="11"/>
  <c r="J383" i="11"/>
  <c r="I383" i="11"/>
  <c r="H383" i="11"/>
  <c r="G383" i="11"/>
  <c r="F383" i="11"/>
  <c r="T381" i="11"/>
  <c r="L381" i="11"/>
  <c r="M381" i="11" s="1"/>
  <c r="T380" i="11"/>
  <c r="L380" i="11"/>
  <c r="M380" i="11" s="1"/>
  <c r="T379" i="11"/>
  <c r="L379" i="11"/>
  <c r="M379" i="11" s="1"/>
  <c r="S327" i="11"/>
  <c r="R327" i="11"/>
  <c r="Q327" i="11"/>
  <c r="O327" i="11"/>
  <c r="N327" i="11"/>
  <c r="K327" i="11"/>
  <c r="J327" i="11"/>
  <c r="I327" i="11"/>
  <c r="H327" i="11"/>
  <c r="G327" i="11"/>
  <c r="F327" i="11"/>
  <c r="V326" i="11"/>
  <c r="V325" i="11"/>
  <c r="T325" i="11"/>
  <c r="L325" i="11"/>
  <c r="M325" i="11" s="1"/>
  <c r="R324" i="11"/>
  <c r="R328" i="11" s="1"/>
  <c r="Q324" i="11"/>
  <c r="O324" i="11"/>
  <c r="N324" i="11"/>
  <c r="N328" i="11" s="1"/>
  <c r="K324" i="11"/>
  <c r="J324" i="11"/>
  <c r="I324" i="11"/>
  <c r="H324" i="11"/>
  <c r="H328" i="11" s="1"/>
  <c r="G324" i="11"/>
  <c r="F324" i="11"/>
  <c r="E323" i="11"/>
  <c r="V322" i="11"/>
  <c r="S322" i="11"/>
  <c r="S324" i="11" s="1"/>
  <c r="L322" i="11"/>
  <c r="M322" i="11" s="1"/>
  <c r="T321" i="11"/>
  <c r="L321" i="11"/>
  <c r="M321" i="11" s="1"/>
  <c r="T320" i="11"/>
  <c r="L320" i="11"/>
  <c r="M320" i="11" s="1"/>
  <c r="V319" i="11"/>
  <c r="V324" i="11" s="1"/>
  <c r="S319" i="11"/>
  <c r="R319" i="11"/>
  <c r="Q319" i="11"/>
  <c r="O319" i="11"/>
  <c r="N319" i="11"/>
  <c r="K319" i="11"/>
  <c r="J319" i="11"/>
  <c r="I319" i="11"/>
  <c r="H319" i="11"/>
  <c r="G319" i="11"/>
  <c r="F319" i="11"/>
  <c r="V318" i="11"/>
  <c r="T317" i="11"/>
  <c r="L317" i="11"/>
  <c r="M317" i="11" s="1"/>
  <c r="T316" i="11"/>
  <c r="L316" i="11"/>
  <c r="T315" i="11"/>
  <c r="L315" i="11"/>
  <c r="M315" i="11" s="1"/>
  <c r="S297" i="11"/>
  <c r="R297" i="11"/>
  <c r="Q297" i="11"/>
  <c r="O297" i="11"/>
  <c r="N297" i="11"/>
  <c r="K297" i="11"/>
  <c r="J297" i="11"/>
  <c r="I297" i="11"/>
  <c r="H297" i="11"/>
  <c r="G297" i="11"/>
  <c r="F297" i="11"/>
  <c r="V296" i="11"/>
  <c r="V295" i="11"/>
  <c r="T295" i="11"/>
  <c r="L295" i="11"/>
  <c r="R294" i="11"/>
  <c r="Q294" i="11"/>
  <c r="Q298" i="11" s="1"/>
  <c r="O294" i="11"/>
  <c r="N294" i="11"/>
  <c r="K294" i="11"/>
  <c r="K298" i="11" s="1"/>
  <c r="J294" i="11"/>
  <c r="I294" i="11"/>
  <c r="H294" i="11"/>
  <c r="G294" i="11"/>
  <c r="G298" i="11" s="1"/>
  <c r="F294" i="11"/>
  <c r="E293" i="11"/>
  <c r="V292" i="11"/>
  <c r="S294" i="11"/>
  <c r="L292" i="11"/>
  <c r="M292" i="11" s="1"/>
  <c r="T291" i="11"/>
  <c r="L291" i="11"/>
  <c r="M291" i="11" s="1"/>
  <c r="T290" i="11"/>
  <c r="L290" i="11"/>
  <c r="M290" i="11" s="1"/>
  <c r="V289" i="11"/>
  <c r="S289" i="11"/>
  <c r="S258" i="11" s="1"/>
  <c r="S27" i="11" s="1"/>
  <c r="R289" i="11"/>
  <c r="R258" i="11" s="1"/>
  <c r="R27" i="11" s="1"/>
  <c r="Q289" i="11"/>
  <c r="Q258" i="11" s="1"/>
  <c r="Q27" i="11" s="1"/>
  <c r="O289" i="11"/>
  <c r="O258" i="11" s="1"/>
  <c r="O27" i="11" s="1"/>
  <c r="N289" i="11"/>
  <c r="N258" i="11" s="1"/>
  <c r="N27" i="11" s="1"/>
  <c r="K289" i="11"/>
  <c r="K258" i="11" s="1"/>
  <c r="K27" i="11" s="1"/>
  <c r="J289" i="11"/>
  <c r="I289" i="11"/>
  <c r="I258" i="11" s="1"/>
  <c r="I27" i="11" s="1"/>
  <c r="H289" i="11"/>
  <c r="H258" i="11" s="1"/>
  <c r="H27" i="11" s="1"/>
  <c r="G289" i="11"/>
  <c r="G258" i="11" s="1"/>
  <c r="G27" i="11" s="1"/>
  <c r="F289" i="11"/>
  <c r="T287" i="11"/>
  <c r="L287" i="11"/>
  <c r="M287" i="11" s="1"/>
  <c r="T286" i="11"/>
  <c r="L286" i="11"/>
  <c r="M286" i="11" s="1"/>
  <c r="T285" i="11"/>
  <c r="L285" i="11"/>
  <c r="M285" i="11" s="1"/>
  <c r="S160" i="11"/>
  <c r="S161" i="11" s="1"/>
  <c r="R160" i="11"/>
  <c r="R161" i="11" s="1"/>
  <c r="Q160" i="11"/>
  <c r="Q161" i="11" s="1"/>
  <c r="O160" i="11"/>
  <c r="O161" i="11" s="1"/>
  <c r="N160" i="11"/>
  <c r="N161" i="11" s="1"/>
  <c r="K160" i="11"/>
  <c r="K161" i="11" s="1"/>
  <c r="J160" i="11"/>
  <c r="J161" i="11" s="1"/>
  <c r="I160" i="11"/>
  <c r="I161" i="11" s="1"/>
  <c r="H160" i="11"/>
  <c r="H161" i="11" s="1"/>
  <c r="G160" i="11"/>
  <c r="G161" i="11" s="1"/>
  <c r="F160" i="11"/>
  <c r="F161" i="11" s="1"/>
  <c r="F162" i="11" s="1"/>
  <c r="V159" i="11"/>
  <c r="T159" i="11"/>
  <c r="L159" i="11"/>
  <c r="M159" i="11" s="1"/>
  <c r="V158" i="11"/>
  <c r="T158" i="11"/>
  <c r="L158" i="11"/>
  <c r="M158" i="11" s="1"/>
  <c r="T157" i="11"/>
  <c r="L157" i="11"/>
  <c r="M157" i="11" s="1"/>
  <c r="E156" i="11"/>
  <c r="V155" i="11"/>
  <c r="T155" i="11"/>
  <c r="T156" i="11" s="1"/>
  <c r="L155" i="11"/>
  <c r="T154" i="11"/>
  <c r="L154" i="11"/>
  <c r="M154" i="11" s="1"/>
  <c r="T153" i="11"/>
  <c r="L153" i="11"/>
  <c r="M153" i="11" s="1"/>
  <c r="V152" i="11"/>
  <c r="T152" i="11"/>
  <c r="L152" i="11"/>
  <c r="M152" i="11" s="1"/>
  <c r="T150" i="11"/>
  <c r="T151" i="11" s="1"/>
  <c r="L150" i="11"/>
  <c r="T149" i="11"/>
  <c r="L149" i="11"/>
  <c r="M149" i="11" s="1"/>
  <c r="T148" i="11"/>
  <c r="L148" i="11"/>
  <c r="M148" i="11" s="1"/>
  <c r="S130" i="11"/>
  <c r="S131" i="11" s="1"/>
  <c r="R130" i="11"/>
  <c r="R131" i="11" s="1"/>
  <c r="Q130" i="11"/>
  <c r="Q131" i="11" s="1"/>
  <c r="O130" i="11"/>
  <c r="O131" i="11" s="1"/>
  <c r="N130" i="11"/>
  <c r="N131" i="11" s="1"/>
  <c r="K130" i="11"/>
  <c r="K131" i="11" s="1"/>
  <c r="J130" i="11"/>
  <c r="J131" i="11" s="1"/>
  <c r="I130" i="11"/>
  <c r="I131" i="11" s="1"/>
  <c r="H130" i="11"/>
  <c r="H131" i="11" s="1"/>
  <c r="G130" i="11"/>
  <c r="G131" i="11" s="1"/>
  <c r="F130" i="11"/>
  <c r="F131" i="11" s="1"/>
  <c r="F132" i="11" s="1"/>
  <c r="V129" i="11"/>
  <c r="T129" i="11"/>
  <c r="L129" i="11"/>
  <c r="M129" i="11" s="1"/>
  <c r="V128" i="11"/>
  <c r="T128" i="11"/>
  <c r="L128" i="11"/>
  <c r="M128" i="11" s="1"/>
  <c r="T127" i="11"/>
  <c r="L127" i="11"/>
  <c r="M127" i="11" s="1"/>
  <c r="E126" i="11"/>
  <c r="V125" i="11"/>
  <c r="T125" i="11"/>
  <c r="T126" i="11" s="1"/>
  <c r="L125" i="11"/>
  <c r="L126" i="11" s="1"/>
  <c r="T124" i="11"/>
  <c r="L124" i="11"/>
  <c r="M124" i="11" s="1"/>
  <c r="T123" i="11"/>
  <c r="L123" i="11"/>
  <c r="M123" i="11" s="1"/>
  <c r="V122" i="11"/>
  <c r="T122" i="11"/>
  <c r="L122" i="11"/>
  <c r="M122" i="11" s="1"/>
  <c r="T120" i="11"/>
  <c r="L120" i="11"/>
  <c r="M120" i="11" s="1"/>
  <c r="T119" i="11"/>
  <c r="L119" i="11"/>
  <c r="M119" i="11" s="1"/>
  <c r="T118" i="11"/>
  <c r="L118" i="11"/>
  <c r="M118" i="11" s="1"/>
  <c r="S115" i="11"/>
  <c r="S116" i="11" s="1"/>
  <c r="R115" i="11"/>
  <c r="R116" i="11" s="1"/>
  <c r="Q115" i="11"/>
  <c r="Q116" i="11" s="1"/>
  <c r="O115" i="11"/>
  <c r="O116" i="11" s="1"/>
  <c r="N115" i="11"/>
  <c r="N116" i="11" s="1"/>
  <c r="K115" i="11"/>
  <c r="K116" i="11" s="1"/>
  <c r="J115" i="11"/>
  <c r="J116" i="11" s="1"/>
  <c r="I115" i="11"/>
  <c r="I116" i="11" s="1"/>
  <c r="H115" i="11"/>
  <c r="H116" i="11" s="1"/>
  <c r="G115" i="11"/>
  <c r="G116" i="11" s="1"/>
  <c r="F115" i="11"/>
  <c r="F116" i="11" s="1"/>
  <c r="F117" i="11" s="1"/>
  <c r="T104" i="11"/>
  <c r="L104" i="11"/>
  <c r="M104" i="11" s="1"/>
  <c r="T103" i="11"/>
  <c r="L103" i="11"/>
  <c r="M103" i="11" s="1"/>
  <c r="S86" i="11"/>
  <c r="R85" i="11"/>
  <c r="R86" i="11" s="1"/>
  <c r="Q85" i="11"/>
  <c r="Q86" i="11" s="1"/>
  <c r="O85" i="11"/>
  <c r="O86" i="11" s="1"/>
  <c r="N85" i="11"/>
  <c r="N86" i="11" s="1"/>
  <c r="J85" i="11"/>
  <c r="J86" i="11" s="1"/>
  <c r="I85" i="11"/>
  <c r="I86" i="11" s="1"/>
  <c r="H85" i="11"/>
  <c r="H86" i="11" s="1"/>
  <c r="G85" i="11"/>
  <c r="G86" i="11" s="1"/>
  <c r="F85" i="11"/>
  <c r="F86" i="11" s="1"/>
  <c r="F87" i="11" s="1"/>
  <c r="V84" i="11"/>
  <c r="T84" i="11"/>
  <c r="V83" i="11"/>
  <c r="T83" i="11"/>
  <c r="L83" i="11"/>
  <c r="M83" i="11" s="1"/>
  <c r="T82" i="11"/>
  <c r="E81" i="11"/>
  <c r="V80" i="11"/>
  <c r="T80" i="11"/>
  <c r="L80" i="11"/>
  <c r="T79" i="11"/>
  <c r="L79" i="11"/>
  <c r="M79" i="11" s="1"/>
  <c r="T78" i="11"/>
  <c r="L78" i="11"/>
  <c r="M78" i="11" s="1"/>
  <c r="V61" i="11"/>
  <c r="L77" i="11"/>
  <c r="M77" i="11" s="1"/>
  <c r="T75" i="11"/>
  <c r="L75" i="11"/>
  <c r="T74" i="11"/>
  <c r="L74" i="11"/>
  <c r="M74" i="11" s="1"/>
  <c r="T73" i="11"/>
  <c r="L73" i="11"/>
  <c r="M73" i="11" s="1"/>
  <c r="S453" i="9"/>
  <c r="R453" i="9"/>
  <c r="Q453" i="9"/>
  <c r="O453" i="9"/>
  <c r="N453" i="9"/>
  <c r="K453" i="9"/>
  <c r="J453" i="9"/>
  <c r="I453" i="9"/>
  <c r="H453" i="9"/>
  <c r="G453" i="9"/>
  <c r="F453" i="9"/>
  <c r="V452" i="9"/>
  <c r="V451" i="9"/>
  <c r="T451" i="9"/>
  <c r="L451" i="9"/>
  <c r="M451" i="9" s="1"/>
  <c r="R450" i="9"/>
  <c r="Q450" i="9"/>
  <c r="O450" i="9"/>
  <c r="N450" i="9"/>
  <c r="K450" i="9"/>
  <c r="J450" i="9"/>
  <c r="I450" i="9"/>
  <c r="H450" i="9"/>
  <c r="G450" i="9"/>
  <c r="F450" i="9"/>
  <c r="E449" i="9"/>
  <c r="V448" i="9"/>
  <c r="S448" i="9"/>
  <c r="L448" i="9"/>
  <c r="M448" i="9" s="1"/>
  <c r="T447" i="9"/>
  <c r="L447" i="9"/>
  <c r="T446" i="9"/>
  <c r="L446" i="9"/>
  <c r="M446" i="9" s="1"/>
  <c r="V445" i="9"/>
  <c r="V414" i="9" s="1"/>
  <c r="S445" i="9"/>
  <c r="R445" i="9"/>
  <c r="Q445" i="9"/>
  <c r="O445" i="9"/>
  <c r="N445" i="9"/>
  <c r="K445" i="9"/>
  <c r="J445" i="9"/>
  <c r="I445" i="9"/>
  <c r="H445" i="9"/>
  <c r="G445" i="9"/>
  <c r="F445" i="9"/>
  <c r="T443" i="9"/>
  <c r="U443" i="9" s="1"/>
  <c r="W443" i="9" s="1"/>
  <c r="L443" i="9"/>
  <c r="M443" i="9" s="1"/>
  <c r="T442" i="9"/>
  <c r="L442" i="9"/>
  <c r="M442" i="9" s="1"/>
  <c r="T441" i="9"/>
  <c r="L441" i="9"/>
  <c r="M441" i="9" s="1"/>
  <c r="S391" i="9"/>
  <c r="R391" i="9"/>
  <c r="Q391" i="9"/>
  <c r="O391" i="9"/>
  <c r="N391" i="9"/>
  <c r="K391" i="9"/>
  <c r="J391" i="9"/>
  <c r="I391" i="9"/>
  <c r="H391" i="9"/>
  <c r="G391" i="9"/>
  <c r="F391" i="9"/>
  <c r="V390" i="9"/>
  <c r="V389" i="9"/>
  <c r="T389" i="9"/>
  <c r="L389" i="9"/>
  <c r="M389" i="9" s="1"/>
  <c r="R388" i="9"/>
  <c r="Q388" i="9"/>
  <c r="O388" i="9"/>
  <c r="N388" i="9"/>
  <c r="K388" i="9"/>
  <c r="J388" i="9"/>
  <c r="I388" i="9"/>
  <c r="H388" i="9"/>
  <c r="G388" i="9"/>
  <c r="F388" i="9"/>
  <c r="E387" i="9"/>
  <c r="V386" i="9"/>
  <c r="S386" i="9"/>
  <c r="S356" i="9" s="1"/>
  <c r="L386" i="9"/>
  <c r="M386" i="9" s="1"/>
  <c r="T385" i="9"/>
  <c r="L385" i="9"/>
  <c r="M385" i="9" s="1"/>
  <c r="T384" i="9"/>
  <c r="L384" i="9"/>
  <c r="M384" i="9" s="1"/>
  <c r="V383" i="9"/>
  <c r="S383" i="9"/>
  <c r="R383" i="9"/>
  <c r="R352" i="9" s="1"/>
  <c r="Q383" i="9"/>
  <c r="O383" i="9"/>
  <c r="N383" i="9"/>
  <c r="K383" i="9"/>
  <c r="J383" i="9"/>
  <c r="I383" i="9"/>
  <c r="H383" i="9"/>
  <c r="G383" i="9"/>
  <c r="F383" i="9"/>
  <c r="T381" i="9"/>
  <c r="L381" i="9"/>
  <c r="M381" i="9" s="1"/>
  <c r="T380" i="9"/>
  <c r="L380" i="9"/>
  <c r="M380" i="9" s="1"/>
  <c r="T379" i="9"/>
  <c r="L379" i="9"/>
  <c r="M379" i="9" s="1"/>
  <c r="S327" i="9"/>
  <c r="R327" i="9"/>
  <c r="Q327" i="9"/>
  <c r="O327" i="9"/>
  <c r="N327" i="9"/>
  <c r="K327" i="9"/>
  <c r="J327" i="9"/>
  <c r="I327" i="9"/>
  <c r="H327" i="9"/>
  <c r="G327" i="9"/>
  <c r="F327" i="9"/>
  <c r="V326" i="9"/>
  <c r="V325" i="9"/>
  <c r="T325" i="9"/>
  <c r="L325" i="9"/>
  <c r="M325" i="9" s="1"/>
  <c r="R324" i="9"/>
  <c r="Q324" i="9"/>
  <c r="O324" i="9"/>
  <c r="N324" i="9"/>
  <c r="K324" i="9"/>
  <c r="J324" i="9"/>
  <c r="I324" i="9"/>
  <c r="H324" i="9"/>
  <c r="G324" i="9"/>
  <c r="F324" i="9"/>
  <c r="E323" i="9"/>
  <c r="V322" i="9"/>
  <c r="S324" i="9"/>
  <c r="L322" i="9"/>
  <c r="M322" i="9" s="1"/>
  <c r="T321" i="9"/>
  <c r="L321" i="9"/>
  <c r="M321" i="9" s="1"/>
  <c r="T320" i="9"/>
  <c r="L320" i="9"/>
  <c r="M320" i="9" s="1"/>
  <c r="V319" i="9"/>
  <c r="V324" i="9" s="1"/>
  <c r="S319" i="9"/>
  <c r="R319" i="9"/>
  <c r="Q319" i="9"/>
  <c r="O319" i="9"/>
  <c r="N319" i="9"/>
  <c r="K319" i="9"/>
  <c r="J319" i="9"/>
  <c r="I319" i="9"/>
  <c r="H319" i="9"/>
  <c r="G319" i="9"/>
  <c r="F319" i="9"/>
  <c r="T317" i="9"/>
  <c r="L317" i="9"/>
  <c r="M317" i="9" s="1"/>
  <c r="T316" i="9"/>
  <c r="L316" i="9"/>
  <c r="M316" i="9" s="1"/>
  <c r="T315" i="9"/>
  <c r="L315" i="9"/>
  <c r="M315" i="9" s="1"/>
  <c r="S312" i="9"/>
  <c r="R312" i="9"/>
  <c r="Q312" i="9"/>
  <c r="O312" i="9"/>
  <c r="N312" i="9"/>
  <c r="K312" i="9"/>
  <c r="J312" i="9"/>
  <c r="I312" i="9"/>
  <c r="H312" i="9"/>
  <c r="G312" i="9"/>
  <c r="F312" i="9"/>
  <c r="V311" i="9"/>
  <c r="V310" i="9"/>
  <c r="T310" i="9"/>
  <c r="L310" i="9"/>
  <c r="M310" i="9" s="1"/>
  <c r="R309" i="9"/>
  <c r="R311" i="9" s="1"/>
  <c r="Q309" i="9"/>
  <c r="O309" i="9"/>
  <c r="N309" i="9"/>
  <c r="N311" i="9" s="1"/>
  <c r="K309" i="9"/>
  <c r="J309" i="9"/>
  <c r="J311" i="9" s="1"/>
  <c r="I309" i="9"/>
  <c r="H309" i="9"/>
  <c r="H311" i="9" s="1"/>
  <c r="G309" i="9"/>
  <c r="F309" i="9"/>
  <c r="F311" i="9" s="1"/>
  <c r="E308" i="9"/>
  <c r="V307" i="9"/>
  <c r="S307" i="9"/>
  <c r="T307" i="9" s="1"/>
  <c r="L307" i="9"/>
  <c r="M307" i="9" s="1"/>
  <c r="T306" i="9"/>
  <c r="L306" i="9"/>
  <c r="M306" i="9" s="1"/>
  <c r="T305" i="9"/>
  <c r="L305" i="9"/>
  <c r="M305" i="9" s="1"/>
  <c r="V304" i="9"/>
  <c r="V309" i="9" s="1"/>
  <c r="S304" i="9"/>
  <c r="R304" i="9"/>
  <c r="Q304" i="9"/>
  <c r="O304" i="9"/>
  <c r="N304" i="9"/>
  <c r="K304" i="9"/>
  <c r="J304" i="9"/>
  <c r="I304" i="9"/>
  <c r="H304" i="9"/>
  <c r="G304" i="9"/>
  <c r="F304" i="9"/>
  <c r="T302" i="9"/>
  <c r="L302" i="9"/>
  <c r="M302" i="9" s="1"/>
  <c r="T301" i="9"/>
  <c r="L301" i="9"/>
  <c r="M301" i="9" s="1"/>
  <c r="T300" i="9"/>
  <c r="L300" i="9"/>
  <c r="M300" i="9" s="1"/>
  <c r="S297" i="9"/>
  <c r="R297" i="9"/>
  <c r="Q297" i="9"/>
  <c r="O297" i="9"/>
  <c r="N297" i="9"/>
  <c r="K297" i="9"/>
  <c r="J297" i="9"/>
  <c r="I297" i="9"/>
  <c r="H297" i="9"/>
  <c r="G297" i="9"/>
  <c r="F297" i="9"/>
  <c r="V296" i="9"/>
  <c r="V295" i="9"/>
  <c r="T295" i="9"/>
  <c r="L295" i="9"/>
  <c r="M295" i="9" s="1"/>
  <c r="R294" i="9"/>
  <c r="Q294" i="9"/>
  <c r="O294" i="9"/>
  <c r="N294" i="9"/>
  <c r="K294" i="9"/>
  <c r="J294" i="9"/>
  <c r="I294" i="9"/>
  <c r="H294" i="9"/>
  <c r="G294" i="9"/>
  <c r="F294" i="9"/>
  <c r="E293" i="9"/>
  <c r="V292" i="9"/>
  <c r="S294" i="9"/>
  <c r="L292" i="9"/>
  <c r="M292" i="9" s="1"/>
  <c r="T291" i="9"/>
  <c r="L291" i="9"/>
  <c r="M291" i="9" s="1"/>
  <c r="T290" i="9"/>
  <c r="L290" i="9"/>
  <c r="M290" i="9" s="1"/>
  <c r="V289" i="9"/>
  <c r="S289" i="9"/>
  <c r="S258" i="9" s="1"/>
  <c r="S27" i="9" s="1"/>
  <c r="R289" i="9"/>
  <c r="R258" i="9" s="1"/>
  <c r="R27" i="9" s="1"/>
  <c r="Q289" i="9"/>
  <c r="Q258" i="9" s="1"/>
  <c r="Q27" i="9" s="1"/>
  <c r="O289" i="9"/>
  <c r="O258" i="9" s="1"/>
  <c r="O27" i="9" s="1"/>
  <c r="N289" i="9"/>
  <c r="N258" i="9" s="1"/>
  <c r="N27" i="9" s="1"/>
  <c r="K289" i="9"/>
  <c r="K258" i="9" s="1"/>
  <c r="J289" i="9"/>
  <c r="J258" i="9" s="1"/>
  <c r="J27" i="9" s="1"/>
  <c r="I289" i="9"/>
  <c r="I258" i="9" s="1"/>
  <c r="I27" i="9" s="1"/>
  <c r="H289" i="9"/>
  <c r="H258" i="9" s="1"/>
  <c r="G289" i="9"/>
  <c r="G258" i="9" s="1"/>
  <c r="G27" i="9" s="1"/>
  <c r="F289" i="9"/>
  <c r="F258" i="9" s="1"/>
  <c r="T287" i="9"/>
  <c r="L287" i="9"/>
  <c r="M287" i="9" s="1"/>
  <c r="T286" i="9"/>
  <c r="L286" i="9"/>
  <c r="M286" i="9" s="1"/>
  <c r="T285" i="9"/>
  <c r="L285" i="9"/>
  <c r="M285" i="9" s="1"/>
  <c r="S282" i="9"/>
  <c r="R282" i="9"/>
  <c r="Q282" i="9"/>
  <c r="O282" i="9"/>
  <c r="N282" i="9"/>
  <c r="K282" i="9"/>
  <c r="J282" i="9"/>
  <c r="I282" i="9"/>
  <c r="H282" i="9"/>
  <c r="G282" i="9"/>
  <c r="F282" i="9"/>
  <c r="V281" i="9"/>
  <c r="V280" i="9"/>
  <c r="V265" i="9" s="1"/>
  <c r="W265" i="9" s="1"/>
  <c r="T280" i="9"/>
  <c r="L280" i="9"/>
  <c r="M280" i="9" s="1"/>
  <c r="R279" i="9"/>
  <c r="Q279" i="9"/>
  <c r="Q264" i="9" s="1"/>
  <c r="O279" i="9"/>
  <c r="N279" i="9"/>
  <c r="K279" i="9"/>
  <c r="J279" i="9"/>
  <c r="I279" i="9"/>
  <c r="H279" i="9"/>
  <c r="G279" i="9"/>
  <c r="F279" i="9"/>
  <c r="E278" i="9"/>
  <c r="V277" i="9"/>
  <c r="S277" i="9"/>
  <c r="L277" i="9"/>
  <c r="M277" i="9" s="1"/>
  <c r="T276" i="9"/>
  <c r="L276" i="9"/>
  <c r="M276" i="9" s="1"/>
  <c r="T275" i="9"/>
  <c r="L275" i="9"/>
  <c r="M275" i="9" s="1"/>
  <c r="X274" i="9"/>
  <c r="V274" i="9"/>
  <c r="S274" i="9"/>
  <c r="R274" i="9"/>
  <c r="R257" i="9" s="1"/>
  <c r="Q274" i="9"/>
  <c r="O274" i="9"/>
  <c r="N274" i="9"/>
  <c r="K274" i="9"/>
  <c r="J274" i="9"/>
  <c r="I274" i="9"/>
  <c r="H274" i="9"/>
  <c r="G274" i="9"/>
  <c r="F274" i="9"/>
  <c r="T272" i="9"/>
  <c r="L272" i="9"/>
  <c r="M272" i="9" s="1"/>
  <c r="T271" i="9"/>
  <c r="L271" i="9"/>
  <c r="M271" i="9" s="1"/>
  <c r="T270" i="9"/>
  <c r="L270" i="9"/>
  <c r="M270" i="9" s="1"/>
  <c r="S160" i="9"/>
  <c r="S161" i="9" s="1"/>
  <c r="R160" i="9"/>
  <c r="R161" i="9" s="1"/>
  <c r="Q160" i="9"/>
  <c r="Q161" i="9" s="1"/>
  <c r="O160" i="9"/>
  <c r="O161" i="9" s="1"/>
  <c r="N160" i="9"/>
  <c r="N161" i="9" s="1"/>
  <c r="K160" i="9"/>
  <c r="K161" i="9" s="1"/>
  <c r="J160" i="9"/>
  <c r="J161" i="9" s="1"/>
  <c r="I160" i="9"/>
  <c r="I161" i="9" s="1"/>
  <c r="H160" i="9"/>
  <c r="H161" i="9" s="1"/>
  <c r="G160" i="9"/>
  <c r="G161" i="9" s="1"/>
  <c r="F160" i="9"/>
  <c r="F161" i="9" s="1"/>
  <c r="F162" i="9" s="1"/>
  <c r="V159" i="9"/>
  <c r="V159" i="23" s="1"/>
  <c r="W159" i="23" s="1"/>
  <c r="T159" i="9"/>
  <c r="L159" i="9"/>
  <c r="M159" i="9" s="1"/>
  <c r="V158" i="9"/>
  <c r="V158" i="23" s="1"/>
  <c r="W158" i="23" s="1"/>
  <c r="T158" i="9"/>
  <c r="L158" i="9"/>
  <c r="M158" i="9" s="1"/>
  <c r="T157" i="9"/>
  <c r="M157" i="9"/>
  <c r="E156" i="9"/>
  <c r="W155" i="23"/>
  <c r="T155" i="9"/>
  <c r="L156" i="9"/>
  <c r="T154" i="9"/>
  <c r="L154" i="9"/>
  <c r="M154" i="9" s="1"/>
  <c r="T153" i="9"/>
  <c r="L153" i="9"/>
  <c r="M153" i="9" s="1"/>
  <c r="V152" i="9"/>
  <c r="V152" i="23" s="1"/>
  <c r="V151" i="23" s="1"/>
  <c r="T152" i="9"/>
  <c r="T150" i="9"/>
  <c r="L150" i="9"/>
  <c r="T149" i="9"/>
  <c r="L149" i="9"/>
  <c r="M149" i="9" s="1"/>
  <c r="T148" i="9"/>
  <c r="L148" i="9"/>
  <c r="M148" i="9" s="1"/>
  <c r="S130" i="9"/>
  <c r="S131" i="9" s="1"/>
  <c r="R130" i="9"/>
  <c r="R131" i="9" s="1"/>
  <c r="Q130" i="9"/>
  <c r="Q131" i="9" s="1"/>
  <c r="O130" i="9"/>
  <c r="O131" i="9" s="1"/>
  <c r="N130" i="9"/>
  <c r="N131" i="9" s="1"/>
  <c r="K130" i="9"/>
  <c r="K131" i="9" s="1"/>
  <c r="J130" i="9"/>
  <c r="J131" i="9" s="1"/>
  <c r="I130" i="9"/>
  <c r="I131" i="9" s="1"/>
  <c r="H130" i="9"/>
  <c r="H131" i="9" s="1"/>
  <c r="G130" i="9"/>
  <c r="G131" i="9" s="1"/>
  <c r="F130" i="9"/>
  <c r="F131" i="9" s="1"/>
  <c r="F132" i="9" s="1"/>
  <c r="T120" i="9"/>
  <c r="T121" i="9" s="1"/>
  <c r="L120" i="9"/>
  <c r="M120" i="9" s="1"/>
  <c r="T119" i="9"/>
  <c r="L119" i="9"/>
  <c r="M119" i="9" s="1"/>
  <c r="T118" i="9"/>
  <c r="L118" i="9"/>
  <c r="M118" i="9" s="1"/>
  <c r="S115" i="9"/>
  <c r="S116" i="9" s="1"/>
  <c r="R115" i="9"/>
  <c r="R116" i="9" s="1"/>
  <c r="Q115" i="9"/>
  <c r="Q116" i="9" s="1"/>
  <c r="O115" i="9"/>
  <c r="O116" i="9" s="1"/>
  <c r="N115" i="9"/>
  <c r="N116" i="9" s="1"/>
  <c r="K115" i="9"/>
  <c r="K116" i="9" s="1"/>
  <c r="J115" i="9"/>
  <c r="J116" i="9" s="1"/>
  <c r="I115" i="9"/>
  <c r="I116" i="9" s="1"/>
  <c r="H115" i="9"/>
  <c r="H116" i="9" s="1"/>
  <c r="G115" i="9"/>
  <c r="G116" i="9" s="1"/>
  <c r="F115" i="9"/>
  <c r="F116" i="9" s="1"/>
  <c r="F117" i="9" s="1"/>
  <c r="V114" i="9"/>
  <c r="V114" i="23" s="1"/>
  <c r="T114" i="9"/>
  <c r="L114" i="9"/>
  <c r="M114" i="9" s="1"/>
  <c r="V113" i="9"/>
  <c r="V113" i="23" s="1"/>
  <c r="W113" i="23" s="1"/>
  <c r="T113" i="9"/>
  <c r="L113" i="9"/>
  <c r="M113" i="9" s="1"/>
  <c r="T112" i="9"/>
  <c r="L112" i="9"/>
  <c r="M112" i="9" s="1"/>
  <c r="E111" i="9"/>
  <c r="V110" i="9"/>
  <c r="V110" i="23" s="1"/>
  <c r="T110" i="9"/>
  <c r="L111" i="9"/>
  <c r="T109" i="9"/>
  <c r="L109" i="9"/>
  <c r="M109" i="9" s="1"/>
  <c r="T108" i="9"/>
  <c r="L108" i="9"/>
  <c r="M108" i="9" s="1"/>
  <c r="V107" i="9"/>
  <c r="T107" i="9"/>
  <c r="L107" i="9"/>
  <c r="T105" i="9"/>
  <c r="T104" i="9"/>
  <c r="L104" i="9"/>
  <c r="M104" i="9" s="1"/>
  <c r="T103" i="9"/>
  <c r="L103" i="9"/>
  <c r="M103" i="9" s="1"/>
  <c r="S85" i="9"/>
  <c r="S86" i="9" s="1"/>
  <c r="R85" i="9"/>
  <c r="R86" i="9" s="1"/>
  <c r="Q85" i="9"/>
  <c r="Q86" i="9" s="1"/>
  <c r="O85" i="9"/>
  <c r="O86" i="9" s="1"/>
  <c r="N85" i="9"/>
  <c r="N86" i="9" s="1"/>
  <c r="K85" i="9"/>
  <c r="K86" i="9" s="1"/>
  <c r="J85" i="9"/>
  <c r="J86" i="9" s="1"/>
  <c r="I85" i="9"/>
  <c r="I86" i="9" s="1"/>
  <c r="H85" i="9"/>
  <c r="H86" i="9" s="1"/>
  <c r="G85" i="9"/>
  <c r="G86" i="9" s="1"/>
  <c r="F85" i="9"/>
  <c r="F86" i="9" s="1"/>
  <c r="F87" i="9" s="1"/>
  <c r="V84" i="9"/>
  <c r="T84" i="9"/>
  <c r="L84" i="9"/>
  <c r="M84" i="9" s="1"/>
  <c r="V83" i="9"/>
  <c r="T83" i="9"/>
  <c r="L83" i="9"/>
  <c r="M83" i="9" s="1"/>
  <c r="T82" i="9"/>
  <c r="L82" i="9"/>
  <c r="M82" i="9" s="1"/>
  <c r="E81" i="9"/>
  <c r="V80" i="9"/>
  <c r="T80" i="9"/>
  <c r="L80" i="9"/>
  <c r="T79" i="9"/>
  <c r="L79" i="9"/>
  <c r="M79" i="9" s="1"/>
  <c r="T78" i="9"/>
  <c r="L78" i="9"/>
  <c r="M78" i="9" s="1"/>
  <c r="T77" i="9"/>
  <c r="L75" i="9"/>
  <c r="M75" i="9" s="1"/>
  <c r="T74" i="9"/>
  <c r="L74" i="9"/>
  <c r="M74" i="9" s="1"/>
  <c r="T73" i="9"/>
  <c r="L73" i="9"/>
  <c r="M73" i="9" s="1"/>
  <c r="L88" i="9"/>
  <c r="M88" i="9" s="1"/>
  <c r="T88" i="9"/>
  <c r="L89" i="9"/>
  <c r="M89" i="9" s="1"/>
  <c r="T89" i="9"/>
  <c r="M90" i="9"/>
  <c r="T90" i="9"/>
  <c r="S453" i="8"/>
  <c r="R453" i="8"/>
  <c r="P453" i="8"/>
  <c r="O453" i="8"/>
  <c r="N453" i="8"/>
  <c r="K453" i="8"/>
  <c r="J453" i="8"/>
  <c r="I453" i="8"/>
  <c r="H453" i="8"/>
  <c r="G453" i="8"/>
  <c r="F453" i="8"/>
  <c r="V452" i="8"/>
  <c r="V451" i="8"/>
  <c r="T451" i="8"/>
  <c r="L451" i="8"/>
  <c r="M451" i="8" s="1"/>
  <c r="R450" i="8"/>
  <c r="P450" i="8"/>
  <c r="O450" i="8"/>
  <c r="N450" i="8"/>
  <c r="K450" i="8"/>
  <c r="J450" i="8"/>
  <c r="I450" i="8"/>
  <c r="H450" i="8"/>
  <c r="G450" i="8"/>
  <c r="F450" i="8"/>
  <c r="E449" i="8"/>
  <c r="V448" i="8"/>
  <c r="S448" i="8"/>
  <c r="L448" i="8"/>
  <c r="M448" i="8" s="1"/>
  <c r="T447" i="8"/>
  <c r="L447" i="8"/>
  <c r="M447" i="8" s="1"/>
  <c r="T446" i="8"/>
  <c r="L446" i="8"/>
  <c r="M446" i="8" s="1"/>
  <c r="V445" i="8"/>
  <c r="S445" i="8"/>
  <c r="S414" i="8" s="1"/>
  <c r="R445" i="8"/>
  <c r="R414" i="8" s="1"/>
  <c r="P445" i="8"/>
  <c r="P414" i="8" s="1"/>
  <c r="O445" i="8"/>
  <c r="O414" i="8" s="1"/>
  <c r="N445" i="8"/>
  <c r="N414" i="8" s="1"/>
  <c r="K445" i="8"/>
  <c r="K414" i="8" s="1"/>
  <c r="J445" i="8"/>
  <c r="J414" i="8" s="1"/>
  <c r="I445" i="8"/>
  <c r="I414" i="8" s="1"/>
  <c r="H445" i="8"/>
  <c r="H414" i="8" s="1"/>
  <c r="G445" i="8"/>
  <c r="G414" i="8" s="1"/>
  <c r="F445" i="8"/>
  <c r="F414" i="8" s="1"/>
  <c r="T443" i="8"/>
  <c r="L443" i="8"/>
  <c r="M443" i="8" s="1"/>
  <c r="T442" i="8"/>
  <c r="L442" i="8"/>
  <c r="M442" i="8" s="1"/>
  <c r="T441" i="8"/>
  <c r="L441" i="8"/>
  <c r="M441" i="8" s="1"/>
  <c r="S391" i="8"/>
  <c r="R391" i="8"/>
  <c r="P391" i="8"/>
  <c r="O391" i="8"/>
  <c r="N391" i="8"/>
  <c r="K391" i="8"/>
  <c r="J391" i="8"/>
  <c r="I391" i="8"/>
  <c r="H391" i="8"/>
  <c r="G391" i="8"/>
  <c r="F391" i="8"/>
  <c r="V390" i="8"/>
  <c r="V389" i="8"/>
  <c r="T389" i="8"/>
  <c r="L389" i="8"/>
  <c r="M389" i="8" s="1"/>
  <c r="R388" i="8"/>
  <c r="P388" i="8"/>
  <c r="O388" i="8"/>
  <c r="N388" i="8"/>
  <c r="K388" i="8"/>
  <c r="J388" i="8"/>
  <c r="I388" i="8"/>
  <c r="H388" i="8"/>
  <c r="G388" i="8"/>
  <c r="F388" i="8"/>
  <c r="E387" i="8"/>
  <c r="V386" i="8"/>
  <c r="S386" i="8"/>
  <c r="S388" i="8" s="1"/>
  <c r="L386" i="8"/>
  <c r="M386" i="8" s="1"/>
  <c r="T385" i="8"/>
  <c r="L385" i="8"/>
  <c r="M385" i="8" s="1"/>
  <c r="T384" i="8"/>
  <c r="L384" i="8"/>
  <c r="M384" i="8" s="1"/>
  <c r="V383" i="8"/>
  <c r="V352" i="8" s="1"/>
  <c r="S383" i="8"/>
  <c r="S352" i="8" s="1"/>
  <c r="R383" i="8"/>
  <c r="R352" i="8" s="1"/>
  <c r="P383" i="8"/>
  <c r="P352" i="8" s="1"/>
  <c r="O383" i="8"/>
  <c r="O352" i="8" s="1"/>
  <c r="N383" i="8"/>
  <c r="N352" i="8" s="1"/>
  <c r="K383" i="8"/>
  <c r="K352" i="8" s="1"/>
  <c r="J383" i="8"/>
  <c r="I383" i="8"/>
  <c r="H383" i="8"/>
  <c r="G383" i="8"/>
  <c r="F383" i="8"/>
  <c r="T381" i="8"/>
  <c r="L381" i="8"/>
  <c r="M381" i="8" s="1"/>
  <c r="T380" i="8"/>
  <c r="L380" i="8"/>
  <c r="M380" i="8" s="1"/>
  <c r="T379" i="8"/>
  <c r="L379" i="8"/>
  <c r="M379" i="8" s="1"/>
  <c r="S327" i="8"/>
  <c r="R327" i="8"/>
  <c r="P327" i="8"/>
  <c r="O327" i="8"/>
  <c r="N327" i="8"/>
  <c r="K327" i="8"/>
  <c r="J327" i="8"/>
  <c r="I327" i="8"/>
  <c r="H327" i="8"/>
  <c r="G327" i="8"/>
  <c r="F327" i="8"/>
  <c r="V326" i="8"/>
  <c r="V325" i="8"/>
  <c r="T325" i="8"/>
  <c r="L325" i="8"/>
  <c r="M325" i="8" s="1"/>
  <c r="R324" i="8"/>
  <c r="P324" i="8"/>
  <c r="O324" i="8"/>
  <c r="N324" i="8"/>
  <c r="K324" i="8"/>
  <c r="J324" i="8"/>
  <c r="I324" i="8"/>
  <c r="H324" i="8"/>
  <c r="G324" i="8"/>
  <c r="F324" i="8"/>
  <c r="E323" i="8"/>
  <c r="V322" i="8"/>
  <c r="S322" i="8"/>
  <c r="L322" i="8"/>
  <c r="M322" i="8" s="1"/>
  <c r="T321" i="8"/>
  <c r="L321" i="8"/>
  <c r="M321" i="8" s="1"/>
  <c r="T320" i="8"/>
  <c r="L320" i="8"/>
  <c r="M320" i="8" s="1"/>
  <c r="V319" i="8"/>
  <c r="V324" i="8" s="1"/>
  <c r="S319" i="8"/>
  <c r="R319" i="8"/>
  <c r="P319" i="8"/>
  <c r="O319" i="8"/>
  <c r="N319" i="8"/>
  <c r="K319" i="8"/>
  <c r="J319" i="8"/>
  <c r="I319" i="8"/>
  <c r="H319" i="8"/>
  <c r="G319" i="8"/>
  <c r="F319" i="8"/>
  <c r="T317" i="8"/>
  <c r="L317" i="8"/>
  <c r="M317" i="8" s="1"/>
  <c r="T316" i="8"/>
  <c r="L316" i="8"/>
  <c r="M316" i="8" s="1"/>
  <c r="T315" i="8"/>
  <c r="L315" i="8"/>
  <c r="M315" i="8" s="1"/>
  <c r="S312" i="8"/>
  <c r="R312" i="8"/>
  <c r="P312" i="8"/>
  <c r="O312" i="8"/>
  <c r="N312" i="8"/>
  <c r="K312" i="8"/>
  <c r="J312" i="8"/>
  <c r="I312" i="8"/>
  <c r="H312" i="8"/>
  <c r="G312" i="8"/>
  <c r="F312" i="8"/>
  <c r="V311" i="8"/>
  <c r="V310" i="8"/>
  <c r="T310" i="8"/>
  <c r="L310" i="8"/>
  <c r="M310" i="8" s="1"/>
  <c r="R309" i="8"/>
  <c r="P309" i="8"/>
  <c r="O309" i="8"/>
  <c r="N309" i="8"/>
  <c r="K309" i="8"/>
  <c r="J309" i="8"/>
  <c r="I309" i="8"/>
  <c r="H309" i="8"/>
  <c r="G309" i="8"/>
  <c r="F309" i="8"/>
  <c r="E308" i="8"/>
  <c r="V307" i="8"/>
  <c r="S307" i="8"/>
  <c r="S309" i="8" s="1"/>
  <c r="L307" i="8"/>
  <c r="M307" i="8" s="1"/>
  <c r="T306" i="8"/>
  <c r="L306" i="8"/>
  <c r="M306" i="8" s="1"/>
  <c r="T305" i="8"/>
  <c r="L305" i="8"/>
  <c r="M305" i="8" s="1"/>
  <c r="V304" i="8"/>
  <c r="V309" i="8" s="1"/>
  <c r="S304" i="8"/>
  <c r="R304" i="8"/>
  <c r="P304" i="8"/>
  <c r="O304" i="8"/>
  <c r="N304" i="8"/>
  <c r="K304" i="8"/>
  <c r="J304" i="8"/>
  <c r="I304" i="8"/>
  <c r="H304" i="8"/>
  <c r="G304" i="8"/>
  <c r="F304" i="8"/>
  <c r="T302" i="8"/>
  <c r="L302" i="8"/>
  <c r="M302" i="8" s="1"/>
  <c r="T301" i="8"/>
  <c r="L301" i="8"/>
  <c r="M301" i="8" s="1"/>
  <c r="T300" i="8"/>
  <c r="L300" i="8"/>
  <c r="M300" i="8" s="1"/>
  <c r="S297" i="8"/>
  <c r="R297" i="8"/>
  <c r="P297" i="8"/>
  <c r="O297" i="8"/>
  <c r="N297" i="8"/>
  <c r="K297" i="8"/>
  <c r="J297" i="8"/>
  <c r="I297" i="8"/>
  <c r="H297" i="8"/>
  <c r="G297" i="8"/>
  <c r="F297" i="8"/>
  <c r="V296" i="8"/>
  <c r="V295" i="8"/>
  <c r="T295" i="8"/>
  <c r="L295" i="8"/>
  <c r="M295" i="8" s="1"/>
  <c r="R294" i="8"/>
  <c r="P294" i="8"/>
  <c r="O294" i="8"/>
  <c r="N294" i="8"/>
  <c r="K294" i="8"/>
  <c r="J294" i="8"/>
  <c r="I294" i="8"/>
  <c r="H294" i="8"/>
  <c r="G294" i="8"/>
  <c r="F294" i="8"/>
  <c r="E293" i="8"/>
  <c r="V292" i="8"/>
  <c r="S292" i="8"/>
  <c r="L292" i="8"/>
  <c r="M292" i="8" s="1"/>
  <c r="T291" i="8"/>
  <c r="L291" i="8"/>
  <c r="M291" i="8" s="1"/>
  <c r="T290" i="8"/>
  <c r="L290" i="8"/>
  <c r="M290" i="8" s="1"/>
  <c r="V289" i="8"/>
  <c r="S289" i="8"/>
  <c r="S258" i="8" s="1"/>
  <c r="S27" i="8" s="1"/>
  <c r="R289" i="8"/>
  <c r="R258" i="8" s="1"/>
  <c r="R27" i="8" s="1"/>
  <c r="P289" i="8"/>
  <c r="P258" i="8" s="1"/>
  <c r="P27" i="8" s="1"/>
  <c r="O289" i="8"/>
  <c r="O258" i="8" s="1"/>
  <c r="O27" i="8" s="1"/>
  <c r="N289" i="8"/>
  <c r="N258" i="8" s="1"/>
  <c r="K289" i="8"/>
  <c r="K258" i="8" s="1"/>
  <c r="K27" i="8" s="1"/>
  <c r="J289" i="8"/>
  <c r="J258" i="8" s="1"/>
  <c r="J27" i="8" s="1"/>
  <c r="I289" i="8"/>
  <c r="I258" i="8" s="1"/>
  <c r="I27" i="8" s="1"/>
  <c r="H289" i="8"/>
  <c r="H258" i="8" s="1"/>
  <c r="H27" i="8" s="1"/>
  <c r="G289" i="8"/>
  <c r="G258" i="8" s="1"/>
  <c r="G27" i="8" s="1"/>
  <c r="F289" i="8"/>
  <c r="F258" i="8" s="1"/>
  <c r="F27" i="8" s="1"/>
  <c r="T287" i="8"/>
  <c r="L287" i="8"/>
  <c r="M287" i="8" s="1"/>
  <c r="T286" i="8"/>
  <c r="L286" i="8"/>
  <c r="M286" i="8" s="1"/>
  <c r="T285" i="8"/>
  <c r="L285" i="8"/>
  <c r="M285" i="8" s="1"/>
  <c r="S282" i="8"/>
  <c r="R282" i="8"/>
  <c r="P282" i="8"/>
  <c r="O282" i="8"/>
  <c r="N282" i="8"/>
  <c r="K282" i="8"/>
  <c r="J282" i="8"/>
  <c r="I282" i="8"/>
  <c r="H282" i="8"/>
  <c r="G282" i="8"/>
  <c r="F282" i="8"/>
  <c r="V281" i="8"/>
  <c r="V280" i="8"/>
  <c r="T280" i="8"/>
  <c r="L280" i="8"/>
  <c r="M280" i="8" s="1"/>
  <c r="R279" i="8"/>
  <c r="P279" i="8"/>
  <c r="O279" i="8"/>
  <c r="N279" i="8"/>
  <c r="K279" i="8"/>
  <c r="J279" i="8"/>
  <c r="I279" i="8"/>
  <c r="H279" i="8"/>
  <c r="G279" i="8"/>
  <c r="F279" i="8"/>
  <c r="E278" i="8"/>
  <c r="V277" i="8"/>
  <c r="S277" i="8"/>
  <c r="L277" i="8"/>
  <c r="M277" i="8" s="1"/>
  <c r="T276" i="8"/>
  <c r="L276" i="8"/>
  <c r="M276" i="8" s="1"/>
  <c r="T275" i="8"/>
  <c r="L275" i="8"/>
  <c r="M275" i="8" s="1"/>
  <c r="V274" i="8"/>
  <c r="S274" i="8"/>
  <c r="S257" i="8" s="1"/>
  <c r="R274" i="8"/>
  <c r="R257" i="8" s="1"/>
  <c r="P274" i="8"/>
  <c r="P257" i="8" s="1"/>
  <c r="O274" i="8"/>
  <c r="O257" i="8" s="1"/>
  <c r="N274" i="8"/>
  <c r="N257" i="8" s="1"/>
  <c r="K274" i="8"/>
  <c r="K257" i="8" s="1"/>
  <c r="J274" i="8"/>
  <c r="J257" i="8" s="1"/>
  <c r="I274" i="8"/>
  <c r="I257" i="8" s="1"/>
  <c r="H274" i="8"/>
  <c r="H257" i="8" s="1"/>
  <c r="G274" i="8"/>
  <c r="G257" i="8" s="1"/>
  <c r="F274" i="8"/>
  <c r="F257" i="8" s="1"/>
  <c r="T272" i="8"/>
  <c r="L272" i="8"/>
  <c r="M272" i="8" s="1"/>
  <c r="T271" i="8"/>
  <c r="L271" i="8"/>
  <c r="M271" i="8" s="1"/>
  <c r="T270" i="8"/>
  <c r="L270" i="8"/>
  <c r="M270" i="8" s="1"/>
  <c r="S130" i="8"/>
  <c r="S131" i="8" s="1"/>
  <c r="R130" i="8"/>
  <c r="R131" i="8" s="1"/>
  <c r="P130" i="8"/>
  <c r="P131" i="8" s="1"/>
  <c r="O130" i="8"/>
  <c r="O131" i="8" s="1"/>
  <c r="N130" i="8"/>
  <c r="N131" i="8" s="1"/>
  <c r="K130" i="8"/>
  <c r="K131" i="8" s="1"/>
  <c r="J130" i="8"/>
  <c r="J131" i="8" s="1"/>
  <c r="I130" i="8"/>
  <c r="I131" i="8" s="1"/>
  <c r="H130" i="8"/>
  <c r="H131" i="8" s="1"/>
  <c r="G130" i="8"/>
  <c r="G131" i="8" s="1"/>
  <c r="F130" i="8"/>
  <c r="F131" i="8" s="1"/>
  <c r="F132" i="8" s="1"/>
  <c r="V129" i="8"/>
  <c r="V129" i="23" s="1"/>
  <c r="W129" i="23" s="1"/>
  <c r="T129" i="8"/>
  <c r="L129" i="8"/>
  <c r="M129" i="8" s="1"/>
  <c r="V128" i="8"/>
  <c r="V128" i="23" s="1"/>
  <c r="W128" i="23" s="1"/>
  <c r="T128" i="8"/>
  <c r="L128" i="8"/>
  <c r="M128" i="8" s="1"/>
  <c r="T127" i="8"/>
  <c r="L127" i="8"/>
  <c r="M127" i="8" s="1"/>
  <c r="E126" i="8"/>
  <c r="V125" i="8"/>
  <c r="V125" i="23" s="1"/>
  <c r="T125" i="8"/>
  <c r="T126" i="8" s="1"/>
  <c r="L125" i="8"/>
  <c r="L126" i="8" s="1"/>
  <c r="T124" i="8"/>
  <c r="L124" i="8"/>
  <c r="T123" i="8"/>
  <c r="L123" i="8"/>
  <c r="M123" i="8" s="1"/>
  <c r="V122" i="8"/>
  <c r="T122" i="8"/>
  <c r="L122" i="8"/>
  <c r="M122" i="8" s="1"/>
  <c r="T120" i="8"/>
  <c r="T121" i="8" s="1"/>
  <c r="L120" i="8"/>
  <c r="M120" i="8" s="1"/>
  <c r="T119" i="8"/>
  <c r="L119" i="8"/>
  <c r="M119" i="8" s="1"/>
  <c r="T118" i="8"/>
  <c r="L118" i="8"/>
  <c r="S115" i="8"/>
  <c r="S116" i="8" s="1"/>
  <c r="R115" i="8"/>
  <c r="R116" i="8" s="1"/>
  <c r="P115" i="8"/>
  <c r="P116" i="8" s="1"/>
  <c r="O115" i="8"/>
  <c r="O116" i="8" s="1"/>
  <c r="N115" i="8"/>
  <c r="N116" i="8" s="1"/>
  <c r="K115" i="8"/>
  <c r="K116" i="8" s="1"/>
  <c r="J115" i="8"/>
  <c r="J116" i="8" s="1"/>
  <c r="I115" i="8"/>
  <c r="I116" i="8" s="1"/>
  <c r="H115" i="8"/>
  <c r="H116" i="8" s="1"/>
  <c r="G115" i="8"/>
  <c r="G116" i="8" s="1"/>
  <c r="F115" i="8"/>
  <c r="F116" i="8" s="1"/>
  <c r="F117" i="8" s="1"/>
  <c r="T105" i="8"/>
  <c r="T106" i="8" s="1"/>
  <c r="L105" i="8"/>
  <c r="M105" i="8" s="1"/>
  <c r="T104" i="8"/>
  <c r="L104" i="8"/>
  <c r="M104" i="8" s="1"/>
  <c r="T103" i="8"/>
  <c r="L103" i="8"/>
  <c r="M103" i="8" s="1"/>
  <c r="S85" i="8"/>
  <c r="S86" i="8" s="1"/>
  <c r="R85" i="8"/>
  <c r="R86" i="8" s="1"/>
  <c r="P85" i="8"/>
  <c r="P86" i="8" s="1"/>
  <c r="O85" i="8"/>
  <c r="O86" i="8" s="1"/>
  <c r="N85" i="8"/>
  <c r="N86" i="8" s="1"/>
  <c r="K85" i="8"/>
  <c r="K86" i="8" s="1"/>
  <c r="J85" i="8"/>
  <c r="J86" i="8" s="1"/>
  <c r="I85" i="8"/>
  <c r="I86" i="8" s="1"/>
  <c r="H85" i="8"/>
  <c r="H86" i="8" s="1"/>
  <c r="G85" i="8"/>
  <c r="G86" i="8" s="1"/>
  <c r="F85" i="8"/>
  <c r="F86" i="8" s="1"/>
  <c r="F87" i="8" s="1"/>
  <c r="V84" i="8"/>
  <c r="T84" i="8"/>
  <c r="L84" i="8"/>
  <c r="M84" i="8" s="1"/>
  <c r="V83" i="8"/>
  <c r="V83" i="23" s="1"/>
  <c r="T83" i="8"/>
  <c r="L83" i="8"/>
  <c r="M83" i="8" s="1"/>
  <c r="T82" i="8"/>
  <c r="L82" i="8"/>
  <c r="M82" i="8" s="1"/>
  <c r="E81" i="8"/>
  <c r="T80" i="8"/>
  <c r="L80" i="8"/>
  <c r="T79" i="8"/>
  <c r="L79" i="8"/>
  <c r="M79" i="8" s="1"/>
  <c r="T78" i="8"/>
  <c r="L78" i="8"/>
  <c r="M78" i="8" s="1"/>
  <c r="L77" i="8"/>
  <c r="M77" i="8" s="1"/>
  <c r="T75" i="8"/>
  <c r="L75" i="8"/>
  <c r="T74" i="8"/>
  <c r="L74" i="8"/>
  <c r="M74" i="8" s="1"/>
  <c r="T73" i="8"/>
  <c r="L73" i="8"/>
  <c r="M73" i="8" s="1"/>
  <c r="F163" i="8"/>
  <c r="G163" i="8"/>
  <c r="H163" i="8"/>
  <c r="I163" i="8"/>
  <c r="J163" i="8"/>
  <c r="K163" i="8"/>
  <c r="N163" i="8"/>
  <c r="O163" i="8"/>
  <c r="P163" i="8"/>
  <c r="R163" i="8"/>
  <c r="S163" i="8"/>
  <c r="V163" i="8"/>
  <c r="F164" i="8"/>
  <c r="G164" i="8"/>
  <c r="H164" i="8"/>
  <c r="I164" i="8"/>
  <c r="J164" i="8"/>
  <c r="K164" i="8"/>
  <c r="N164" i="8"/>
  <c r="O164" i="8"/>
  <c r="P164" i="8"/>
  <c r="R164" i="8"/>
  <c r="S164" i="8"/>
  <c r="V164" i="8"/>
  <c r="F165" i="8"/>
  <c r="G165" i="8"/>
  <c r="H165" i="8"/>
  <c r="I165" i="8"/>
  <c r="J165" i="8"/>
  <c r="K165" i="8"/>
  <c r="N165" i="8"/>
  <c r="O165" i="8"/>
  <c r="P165" i="8"/>
  <c r="R165" i="8"/>
  <c r="S165" i="8"/>
  <c r="V165" i="8"/>
  <c r="X167" i="8"/>
  <c r="F168" i="8"/>
  <c r="G168" i="8"/>
  <c r="H168" i="8"/>
  <c r="I168" i="8"/>
  <c r="J168" i="8"/>
  <c r="K168" i="8"/>
  <c r="N168" i="8"/>
  <c r="O168" i="8"/>
  <c r="P168" i="8"/>
  <c r="R168" i="8"/>
  <c r="S168" i="8"/>
  <c r="V168" i="8"/>
  <c r="F169" i="8"/>
  <c r="F175" i="8" s="1"/>
  <c r="G169" i="8"/>
  <c r="H169" i="8"/>
  <c r="I169" i="8"/>
  <c r="J169" i="8"/>
  <c r="J175" i="8" s="1"/>
  <c r="K169" i="8"/>
  <c r="K175" i="8" s="1"/>
  <c r="N169" i="8"/>
  <c r="O169" i="8"/>
  <c r="P169" i="8"/>
  <c r="R169" i="8"/>
  <c r="S169" i="8"/>
  <c r="V169" i="8"/>
  <c r="E170" i="8"/>
  <c r="F170" i="8"/>
  <c r="G170" i="8"/>
  <c r="H170" i="8"/>
  <c r="I170" i="8"/>
  <c r="J170" i="8"/>
  <c r="K170" i="8"/>
  <c r="N170" i="8"/>
  <c r="O170" i="8"/>
  <c r="P170" i="8"/>
  <c r="R170" i="8"/>
  <c r="E172" i="8"/>
  <c r="F173" i="8"/>
  <c r="G173" i="8"/>
  <c r="H173" i="8"/>
  <c r="I173" i="8"/>
  <c r="J173" i="8"/>
  <c r="K173" i="8"/>
  <c r="N173" i="8"/>
  <c r="O173" i="8"/>
  <c r="P173" i="8"/>
  <c r="R173" i="8"/>
  <c r="S173" i="8"/>
  <c r="G175" i="8"/>
  <c r="V80" i="23" l="1"/>
  <c r="V61" i="9"/>
  <c r="V44" i="9"/>
  <c r="V107" i="23"/>
  <c r="V106" i="23" s="1"/>
  <c r="V84" i="23"/>
  <c r="W83" i="23"/>
  <c r="V127" i="8"/>
  <c r="V127" i="23" s="1"/>
  <c r="V126" i="23" s="1"/>
  <c r="V122" i="23"/>
  <c r="V121" i="23" s="1"/>
  <c r="S371" i="23"/>
  <c r="T371" i="23" s="1"/>
  <c r="U371" i="23" s="1"/>
  <c r="X371" i="23" s="1"/>
  <c r="V352" i="13"/>
  <c r="G87" i="8"/>
  <c r="H87" i="8" s="1"/>
  <c r="I87" i="8" s="1"/>
  <c r="J87" i="8" s="1"/>
  <c r="K87" i="8" s="1"/>
  <c r="T151" i="9"/>
  <c r="U80" i="13"/>
  <c r="W80" i="13" s="1"/>
  <c r="T156" i="9"/>
  <c r="T106" i="9"/>
  <c r="G264" i="8"/>
  <c r="G268" i="8" s="1"/>
  <c r="K264" i="8"/>
  <c r="K268" i="8" s="1"/>
  <c r="K335" i="8"/>
  <c r="R335" i="8"/>
  <c r="N257" i="9"/>
  <c r="N259" i="9" s="1"/>
  <c r="G264" i="9"/>
  <c r="G268" i="9" s="1"/>
  <c r="K264" i="9"/>
  <c r="K268" i="9" s="1"/>
  <c r="V61" i="13"/>
  <c r="V44" i="13" s="1"/>
  <c r="H258" i="15"/>
  <c r="H27" i="15" s="1"/>
  <c r="N258" i="15"/>
  <c r="N27" i="15" s="1"/>
  <c r="Q258" i="15"/>
  <c r="Q27" i="15" s="1"/>
  <c r="S258" i="15"/>
  <c r="S27" i="15" s="1"/>
  <c r="V61" i="19"/>
  <c r="W61" i="19" s="1"/>
  <c r="F264" i="8"/>
  <c r="F268" i="8" s="1"/>
  <c r="F269" i="8" s="1"/>
  <c r="J264" i="8"/>
  <c r="J263" i="8" s="1"/>
  <c r="P264" i="8"/>
  <c r="P268" i="8" s="1"/>
  <c r="V265" i="8"/>
  <c r="W265" i="8" s="1"/>
  <c r="T76" i="18"/>
  <c r="T27" i="9"/>
  <c r="T81" i="8"/>
  <c r="T453" i="9"/>
  <c r="T391" i="19"/>
  <c r="U381" i="18"/>
  <c r="W381" i="18" s="1"/>
  <c r="L81" i="9"/>
  <c r="S294" i="8"/>
  <c r="S296" i="8" s="1"/>
  <c r="S324" i="8"/>
  <c r="T453" i="11"/>
  <c r="L414" i="8"/>
  <c r="M414" i="8" s="1"/>
  <c r="H175" i="8"/>
  <c r="V40" i="8"/>
  <c r="V39" i="8"/>
  <c r="V61" i="8"/>
  <c r="V44" i="8"/>
  <c r="G352" i="9"/>
  <c r="I352" i="9"/>
  <c r="K352" i="9"/>
  <c r="O352" i="9"/>
  <c r="V382" i="9"/>
  <c r="V352" i="9"/>
  <c r="T356" i="9"/>
  <c r="U356" i="9" s="1"/>
  <c r="F414" i="9"/>
  <c r="H414" i="9"/>
  <c r="J414" i="9"/>
  <c r="N414" i="9"/>
  <c r="Q414" i="9"/>
  <c r="S414" i="9"/>
  <c r="Q454" i="9"/>
  <c r="F352" i="11"/>
  <c r="H352" i="11"/>
  <c r="J352" i="11"/>
  <c r="N352" i="11"/>
  <c r="Q352" i="11"/>
  <c r="Q335" i="11" s="1"/>
  <c r="S352" i="11"/>
  <c r="S335" i="11" s="1"/>
  <c r="F414" i="13"/>
  <c r="H414" i="13"/>
  <c r="J414" i="13"/>
  <c r="N414" i="13"/>
  <c r="R414" i="13"/>
  <c r="V414" i="13"/>
  <c r="F352" i="13"/>
  <c r="H352" i="13"/>
  <c r="H335" i="13" s="1"/>
  <c r="J352" i="13"/>
  <c r="J335" i="13" s="1"/>
  <c r="N352" i="13"/>
  <c r="R335" i="13"/>
  <c r="V335" i="13"/>
  <c r="U384" i="13"/>
  <c r="W384" i="13" s="1"/>
  <c r="U385" i="13"/>
  <c r="W385" i="13" s="1"/>
  <c r="Q392" i="13"/>
  <c r="F352" i="15"/>
  <c r="H352" i="15"/>
  <c r="H335" i="15" s="1"/>
  <c r="J352" i="15"/>
  <c r="J335" i="15" s="1"/>
  <c r="N352" i="15"/>
  <c r="Q352" i="15"/>
  <c r="Q335" i="15" s="1"/>
  <c r="S352" i="15"/>
  <c r="S335" i="15" s="1"/>
  <c r="K390" i="15"/>
  <c r="O390" i="15"/>
  <c r="G352" i="18"/>
  <c r="I352" i="18"/>
  <c r="K352" i="18"/>
  <c r="R352" i="18"/>
  <c r="V352" i="18"/>
  <c r="V335" i="18" s="1"/>
  <c r="G414" i="18"/>
  <c r="I414" i="18"/>
  <c r="K414" i="18"/>
  <c r="R414" i="18"/>
  <c r="N454" i="18"/>
  <c r="G352" i="19"/>
  <c r="I352" i="19"/>
  <c r="K352" i="19"/>
  <c r="O352" i="19"/>
  <c r="Q352" i="19"/>
  <c r="I175" i="8"/>
  <c r="L175" i="8" s="1"/>
  <c r="M175" i="8" s="1"/>
  <c r="F352" i="9"/>
  <c r="H352" i="9"/>
  <c r="J352" i="9"/>
  <c r="N352" i="9"/>
  <c r="Q352" i="9"/>
  <c r="S352" i="9"/>
  <c r="G414" i="9"/>
  <c r="I414" i="9"/>
  <c r="K414" i="9"/>
  <c r="O414" i="9"/>
  <c r="O335" i="9" s="1"/>
  <c r="R414" i="9"/>
  <c r="V44" i="11"/>
  <c r="G352" i="11"/>
  <c r="G335" i="11" s="1"/>
  <c r="I352" i="11"/>
  <c r="I335" i="11" s="1"/>
  <c r="K352" i="11"/>
  <c r="K335" i="11" s="1"/>
  <c r="O352" i="11"/>
  <c r="O335" i="11" s="1"/>
  <c r="R352" i="11"/>
  <c r="G414" i="13"/>
  <c r="I414" i="13"/>
  <c r="K414" i="13"/>
  <c r="Q414" i="13"/>
  <c r="S414" i="13"/>
  <c r="G352" i="13"/>
  <c r="I352" i="13"/>
  <c r="K352" i="13"/>
  <c r="Q352" i="13"/>
  <c r="S352" i="13"/>
  <c r="G258" i="15"/>
  <c r="G27" i="15" s="1"/>
  <c r="I258" i="15"/>
  <c r="I27" i="15" s="1"/>
  <c r="K258" i="15"/>
  <c r="K27" i="15" s="1"/>
  <c r="O258" i="15"/>
  <c r="O27" i="15" s="1"/>
  <c r="R258" i="15"/>
  <c r="R27" i="15" s="1"/>
  <c r="G352" i="15"/>
  <c r="G335" i="15" s="1"/>
  <c r="I352" i="15"/>
  <c r="I335" i="15" s="1"/>
  <c r="K352" i="15"/>
  <c r="K335" i="15" s="1"/>
  <c r="O352" i="15"/>
  <c r="O335" i="15" s="1"/>
  <c r="R352" i="15"/>
  <c r="R335" i="15" s="1"/>
  <c r="V352" i="15"/>
  <c r="V335" i="15" s="1"/>
  <c r="Q390" i="15"/>
  <c r="F352" i="18"/>
  <c r="H352" i="18"/>
  <c r="J352" i="18"/>
  <c r="N352" i="18"/>
  <c r="S352" i="18"/>
  <c r="F414" i="18"/>
  <c r="H414" i="18"/>
  <c r="H335" i="18" s="1"/>
  <c r="J414" i="18"/>
  <c r="N414" i="18"/>
  <c r="N335" i="18" s="1"/>
  <c r="S414" i="18"/>
  <c r="K452" i="18"/>
  <c r="R454" i="18"/>
  <c r="F352" i="19"/>
  <c r="H352" i="19"/>
  <c r="J352" i="19"/>
  <c r="N352" i="19"/>
  <c r="P352" i="19"/>
  <c r="R352" i="19"/>
  <c r="R335" i="19" s="1"/>
  <c r="V335" i="19"/>
  <c r="L81" i="15"/>
  <c r="V44" i="19"/>
  <c r="G414" i="19"/>
  <c r="I414" i="19"/>
  <c r="K414" i="19"/>
  <c r="O414" i="19"/>
  <c r="Q414" i="19"/>
  <c r="T453" i="19"/>
  <c r="F414" i="19"/>
  <c r="H414" i="19"/>
  <c r="J414" i="19"/>
  <c r="N414" i="19"/>
  <c r="P414" i="19"/>
  <c r="K390" i="18"/>
  <c r="R392" i="18"/>
  <c r="N392" i="18"/>
  <c r="V121" i="18"/>
  <c r="U285" i="15"/>
  <c r="W285" i="15" s="1"/>
  <c r="U287" i="15"/>
  <c r="W287" i="15" s="1"/>
  <c r="V44" i="15"/>
  <c r="W61" i="15"/>
  <c r="F257" i="9"/>
  <c r="H257" i="9"/>
  <c r="H256" i="9" s="1"/>
  <c r="J257" i="9"/>
  <c r="S298" i="11"/>
  <c r="U107" i="18"/>
  <c r="W107" i="18" s="1"/>
  <c r="U114" i="18"/>
  <c r="W114" i="18" s="1"/>
  <c r="M107" i="9"/>
  <c r="U107" i="9"/>
  <c r="W107" i="9" s="1"/>
  <c r="U119" i="18"/>
  <c r="U447" i="19"/>
  <c r="W447" i="19" s="1"/>
  <c r="N392" i="9"/>
  <c r="R392" i="9"/>
  <c r="I257" i="9"/>
  <c r="I259" i="9" s="1"/>
  <c r="O257" i="9"/>
  <c r="O259" i="9" s="1"/>
  <c r="S257" i="9"/>
  <c r="S256" i="9" s="1"/>
  <c r="U275" i="9"/>
  <c r="W275" i="9" s="1"/>
  <c r="U447" i="13"/>
  <c r="W447" i="13" s="1"/>
  <c r="U290" i="13"/>
  <c r="W290" i="13" s="1"/>
  <c r="G298" i="13"/>
  <c r="I298" i="13"/>
  <c r="K298" i="13"/>
  <c r="Q298" i="13"/>
  <c r="F454" i="15"/>
  <c r="F455" i="15" s="1"/>
  <c r="J454" i="15"/>
  <c r="U380" i="11"/>
  <c r="W380" i="11" s="1"/>
  <c r="F392" i="11"/>
  <c r="F393" i="11" s="1"/>
  <c r="J392" i="11"/>
  <c r="I258" i="13"/>
  <c r="I27" i="13" s="1"/>
  <c r="S258" i="13"/>
  <c r="S27" i="13" s="1"/>
  <c r="U321" i="18"/>
  <c r="U380" i="19"/>
  <c r="W380" i="19" s="1"/>
  <c r="U441" i="9"/>
  <c r="W441" i="9" s="1"/>
  <c r="F258" i="13"/>
  <c r="F27" i="13" s="1"/>
  <c r="J258" i="13"/>
  <c r="J27" i="13" s="1"/>
  <c r="V258" i="13"/>
  <c r="U442" i="18"/>
  <c r="W442" i="18" s="1"/>
  <c r="N259" i="8"/>
  <c r="N256" i="8"/>
  <c r="T257" i="8"/>
  <c r="F259" i="8"/>
  <c r="F256" i="8"/>
  <c r="L257" i="8"/>
  <c r="J259" i="8"/>
  <c r="J256" i="8"/>
  <c r="P259" i="8"/>
  <c r="P256" i="8"/>
  <c r="V279" i="8"/>
  <c r="V282" i="8" s="1"/>
  <c r="V257" i="8"/>
  <c r="I264" i="8"/>
  <c r="O264" i="8"/>
  <c r="T258" i="8"/>
  <c r="F352" i="8"/>
  <c r="J352" i="8"/>
  <c r="J335" i="8" s="1"/>
  <c r="P335" i="8"/>
  <c r="V388" i="8"/>
  <c r="V391" i="8" s="1"/>
  <c r="T414" i="8"/>
  <c r="S450" i="8"/>
  <c r="S452" i="8" s="1"/>
  <c r="V157" i="9"/>
  <c r="G257" i="9"/>
  <c r="K257" i="9"/>
  <c r="Q257" i="9"/>
  <c r="I264" i="9"/>
  <c r="O264" i="9"/>
  <c r="T258" i="9"/>
  <c r="S335" i="9"/>
  <c r="H392" i="9"/>
  <c r="T121" i="11"/>
  <c r="U456" i="11"/>
  <c r="W456" i="11" s="1"/>
  <c r="J414" i="11"/>
  <c r="V444" i="11"/>
  <c r="V414" i="11"/>
  <c r="V335" i="11" s="1"/>
  <c r="L453" i="11"/>
  <c r="M453" i="11" s="1"/>
  <c r="H258" i="13"/>
  <c r="H27" i="13" s="1"/>
  <c r="N258" i="13"/>
  <c r="N27" i="13" s="1"/>
  <c r="R258" i="13"/>
  <c r="R27" i="13" s="1"/>
  <c r="L391" i="13"/>
  <c r="M391" i="13" s="1"/>
  <c r="U286" i="15"/>
  <c r="W286" i="15" s="1"/>
  <c r="U443" i="15"/>
  <c r="W443" i="15" s="1"/>
  <c r="I390" i="15"/>
  <c r="F258" i="18"/>
  <c r="J258" i="18"/>
  <c r="J27" i="18" s="1"/>
  <c r="V288" i="18"/>
  <c r="V258" i="18"/>
  <c r="G390" i="18"/>
  <c r="L445" i="18"/>
  <c r="M445" i="18" s="1"/>
  <c r="M444" i="18" s="1"/>
  <c r="V450" i="18"/>
  <c r="V449" i="18" s="1"/>
  <c r="H454" i="18"/>
  <c r="L391" i="19"/>
  <c r="M391" i="19" s="1"/>
  <c r="G259" i="8"/>
  <c r="G256" i="8"/>
  <c r="K259" i="8"/>
  <c r="K256" i="8"/>
  <c r="F263" i="8"/>
  <c r="J268" i="8"/>
  <c r="G352" i="8"/>
  <c r="G335" i="8" s="1"/>
  <c r="V112" i="9"/>
  <c r="V112" i="23" s="1"/>
  <c r="V111" i="23" s="1"/>
  <c r="H259" i="9"/>
  <c r="N256" i="9"/>
  <c r="R259" i="9"/>
  <c r="R256" i="9"/>
  <c r="F281" i="9"/>
  <c r="F264" i="9"/>
  <c r="J281" i="9"/>
  <c r="J264" i="9"/>
  <c r="V388" i="9"/>
  <c r="T445" i="9"/>
  <c r="T444" i="9" s="1"/>
  <c r="S450" i="9"/>
  <c r="G454" i="9"/>
  <c r="K454" i="9"/>
  <c r="T445" i="15"/>
  <c r="N415" i="15"/>
  <c r="T415" i="15" s="1"/>
  <c r="F392" i="15"/>
  <c r="F393" i="15" s="1"/>
  <c r="J392" i="15"/>
  <c r="G258" i="18"/>
  <c r="K258" i="18"/>
  <c r="K27" i="18" s="1"/>
  <c r="L383" i="18"/>
  <c r="V388" i="18"/>
  <c r="V387" i="18" s="1"/>
  <c r="H392" i="18"/>
  <c r="G335" i="18"/>
  <c r="I452" i="18"/>
  <c r="H259" i="8"/>
  <c r="H256" i="8"/>
  <c r="G263" i="8"/>
  <c r="V294" i="8"/>
  <c r="V258" i="8"/>
  <c r="H352" i="8"/>
  <c r="H335" i="8" s="1"/>
  <c r="T352" i="8"/>
  <c r="N335" i="8"/>
  <c r="V450" i="8"/>
  <c r="V449" i="8" s="1"/>
  <c r="V414" i="8"/>
  <c r="S279" i="9"/>
  <c r="S283" i="9" s="1"/>
  <c r="S262" i="9"/>
  <c r="T262" i="9" s="1"/>
  <c r="U262" i="9" s="1"/>
  <c r="G263" i="9"/>
  <c r="K263" i="9"/>
  <c r="Q263" i="9"/>
  <c r="Q268" i="9"/>
  <c r="L258" i="9"/>
  <c r="M258" i="9" s="1"/>
  <c r="V294" i="9"/>
  <c r="V297" i="9" s="1"/>
  <c r="V258" i="9"/>
  <c r="F392" i="9"/>
  <c r="F393" i="9" s="1"/>
  <c r="J392" i="9"/>
  <c r="H414" i="11"/>
  <c r="L414" i="11" s="1"/>
  <c r="M414" i="11" s="1"/>
  <c r="R414" i="11"/>
  <c r="T414" i="11" s="1"/>
  <c r="V157" i="15"/>
  <c r="G390" i="15"/>
  <c r="T106" i="18"/>
  <c r="V112" i="18"/>
  <c r="V115" i="18" s="1"/>
  <c r="H258" i="18"/>
  <c r="H27" i="18" s="1"/>
  <c r="N258" i="18"/>
  <c r="N27" i="18" s="1"/>
  <c r="R258" i="18"/>
  <c r="R27" i="18" s="1"/>
  <c r="I390" i="18"/>
  <c r="F454" i="18"/>
  <c r="F455" i="18" s="1"/>
  <c r="J454" i="18"/>
  <c r="V444" i="19"/>
  <c r="R259" i="8"/>
  <c r="R256" i="8"/>
  <c r="S279" i="8"/>
  <c r="S264" i="8" s="1"/>
  <c r="S268" i="8" s="1"/>
  <c r="S262" i="8"/>
  <c r="K263" i="8"/>
  <c r="L258" i="8"/>
  <c r="M258" i="8" s="1"/>
  <c r="E171" i="8"/>
  <c r="I259" i="8"/>
  <c r="I256" i="8"/>
  <c r="O259" i="8"/>
  <c r="O256" i="8"/>
  <c r="S259" i="8"/>
  <c r="S256" i="8"/>
  <c r="V262" i="8"/>
  <c r="H264" i="8"/>
  <c r="N264" i="8"/>
  <c r="R264" i="8"/>
  <c r="V266" i="8"/>
  <c r="I352" i="8"/>
  <c r="I335" i="8" s="1"/>
  <c r="O335" i="8"/>
  <c r="S335" i="8"/>
  <c r="F259" i="9"/>
  <c r="F256" i="9"/>
  <c r="J259" i="9"/>
  <c r="J256" i="9"/>
  <c r="V279" i="9"/>
  <c r="V257" i="9"/>
  <c r="V262" i="9"/>
  <c r="H281" i="9"/>
  <c r="H264" i="9"/>
  <c r="N281" i="9"/>
  <c r="N264" i="9"/>
  <c r="R281" i="9"/>
  <c r="R264" i="9"/>
  <c r="V266" i="9"/>
  <c r="R335" i="9"/>
  <c r="S388" i="9"/>
  <c r="L445" i="9"/>
  <c r="L444" i="9" s="1"/>
  <c r="V450" i="9"/>
  <c r="I454" i="9"/>
  <c r="O454" i="9"/>
  <c r="L453" i="9"/>
  <c r="M453" i="9" s="1"/>
  <c r="F258" i="11"/>
  <c r="F27" i="11" s="1"/>
  <c r="J258" i="11"/>
  <c r="J27" i="11" s="1"/>
  <c r="V258" i="11"/>
  <c r="I298" i="11"/>
  <c r="O298" i="11"/>
  <c r="F328" i="11"/>
  <c r="F329" i="11" s="1"/>
  <c r="J328" i="11"/>
  <c r="H392" i="11"/>
  <c r="N392" i="11"/>
  <c r="R392" i="11"/>
  <c r="G258" i="13"/>
  <c r="G27" i="13" s="1"/>
  <c r="K258" i="13"/>
  <c r="K27" i="13" s="1"/>
  <c r="Q258" i="13"/>
  <c r="Q27" i="13" s="1"/>
  <c r="T151" i="15"/>
  <c r="F258" i="15"/>
  <c r="F27" i="15" s="1"/>
  <c r="J258" i="15"/>
  <c r="J27" i="15" s="1"/>
  <c r="V258" i="15"/>
  <c r="U441" i="15"/>
  <c r="W441" i="15" s="1"/>
  <c r="L445" i="15"/>
  <c r="L444" i="15" s="1"/>
  <c r="F415" i="15"/>
  <c r="L415" i="15" s="1"/>
  <c r="M415" i="15" s="1"/>
  <c r="H454" i="15"/>
  <c r="N454" i="15"/>
  <c r="R454" i="15"/>
  <c r="V388" i="15"/>
  <c r="V391" i="15" s="1"/>
  <c r="H392" i="15"/>
  <c r="N392" i="15"/>
  <c r="R392" i="15"/>
  <c r="V106" i="18"/>
  <c r="L121" i="18"/>
  <c r="T151" i="19"/>
  <c r="I258" i="18"/>
  <c r="I27" i="18" s="1"/>
  <c r="S258" i="18"/>
  <c r="S27" i="18" s="1"/>
  <c r="T383" i="18"/>
  <c r="T382" i="18" s="1"/>
  <c r="F392" i="18"/>
  <c r="F393" i="18" s="1"/>
  <c r="J392" i="18"/>
  <c r="U389" i="18"/>
  <c r="I335" i="18"/>
  <c r="G452" i="18"/>
  <c r="L453" i="19"/>
  <c r="M453" i="19" s="1"/>
  <c r="V82" i="15"/>
  <c r="V85" i="15" s="1"/>
  <c r="V294" i="15"/>
  <c r="V297" i="15" s="1"/>
  <c r="V450" i="13"/>
  <c r="V449" i="13" s="1"/>
  <c r="S450" i="13"/>
  <c r="L383" i="13"/>
  <c r="L382" i="13" s="1"/>
  <c r="T383" i="13"/>
  <c r="V388" i="13"/>
  <c r="V391" i="13" s="1"/>
  <c r="S388" i="13"/>
  <c r="G392" i="13"/>
  <c r="I392" i="13"/>
  <c r="K392" i="13"/>
  <c r="V388" i="11"/>
  <c r="G328" i="11"/>
  <c r="G329" i="11" s="1"/>
  <c r="H329" i="11" s="1"/>
  <c r="I328" i="11"/>
  <c r="U384" i="11"/>
  <c r="W384" i="11" s="1"/>
  <c r="S392" i="11"/>
  <c r="G392" i="11"/>
  <c r="G393" i="11" s="1"/>
  <c r="H393" i="11" s="1"/>
  <c r="I392" i="11"/>
  <c r="K392" i="11"/>
  <c r="O392" i="11"/>
  <c r="Q392" i="11"/>
  <c r="L391" i="11"/>
  <c r="M391" i="11" s="1"/>
  <c r="T391" i="11"/>
  <c r="F454" i="11"/>
  <c r="F455" i="11" s="1"/>
  <c r="G455" i="11" s="1"/>
  <c r="H454" i="11"/>
  <c r="J454" i="11"/>
  <c r="N454" i="11"/>
  <c r="R454" i="11"/>
  <c r="L156" i="11"/>
  <c r="L289" i="13"/>
  <c r="T289" i="13"/>
  <c r="T288" i="13" s="1"/>
  <c r="V294" i="13"/>
  <c r="V450" i="11"/>
  <c r="V453" i="11" s="1"/>
  <c r="S450" i="11"/>
  <c r="V294" i="11"/>
  <c r="V293" i="11" s="1"/>
  <c r="V157" i="11"/>
  <c r="V160" i="11" s="1"/>
  <c r="U441" i="18"/>
  <c r="W441" i="18" s="1"/>
  <c r="U443" i="18"/>
  <c r="U442" i="15"/>
  <c r="W442" i="15" s="1"/>
  <c r="M443" i="15"/>
  <c r="U385" i="15"/>
  <c r="L391" i="15"/>
  <c r="M391" i="15" s="1"/>
  <c r="T391" i="15"/>
  <c r="V82" i="13"/>
  <c r="V85" i="13" s="1"/>
  <c r="T391" i="13"/>
  <c r="U441" i="13"/>
  <c r="W441" i="13" s="1"/>
  <c r="U443" i="13"/>
  <c r="W443" i="13" s="1"/>
  <c r="U379" i="13"/>
  <c r="W379" i="13" s="1"/>
  <c r="U381" i="13"/>
  <c r="W381" i="13" s="1"/>
  <c r="U103" i="11"/>
  <c r="U104" i="11"/>
  <c r="V288" i="11"/>
  <c r="F298" i="11"/>
  <c r="F299" i="11" s="1"/>
  <c r="H298" i="11"/>
  <c r="J298" i="11"/>
  <c r="N298" i="11"/>
  <c r="R298" i="11"/>
  <c r="K328" i="11"/>
  <c r="O328" i="11"/>
  <c r="Q328" i="11"/>
  <c r="V382" i="11"/>
  <c r="V82" i="11"/>
  <c r="V81" i="11" s="1"/>
  <c r="V82" i="9"/>
  <c r="V85" i="9" s="1"/>
  <c r="U148" i="9"/>
  <c r="U149" i="9"/>
  <c r="V273" i="9"/>
  <c r="U276" i="9"/>
  <c r="W276" i="9" s="1"/>
  <c r="T277" i="9"/>
  <c r="U277" i="9" s="1"/>
  <c r="W277" i="9" s="1"/>
  <c r="G283" i="9"/>
  <c r="I283" i="9"/>
  <c r="K283" i="9"/>
  <c r="O283" i="9"/>
  <c r="Q283" i="9"/>
  <c r="L282" i="9"/>
  <c r="M282" i="9" s="1"/>
  <c r="V288" i="9"/>
  <c r="F298" i="9"/>
  <c r="F299" i="9" s="1"/>
  <c r="H298" i="9"/>
  <c r="J298" i="9"/>
  <c r="N298" i="9"/>
  <c r="R298" i="9"/>
  <c r="V303" i="9"/>
  <c r="F328" i="9"/>
  <c r="F329" i="9" s="1"/>
  <c r="H328" i="9"/>
  <c r="J328" i="9"/>
  <c r="N328" i="9"/>
  <c r="R328" i="9"/>
  <c r="U380" i="9"/>
  <c r="W380" i="9" s="1"/>
  <c r="U384" i="9"/>
  <c r="G392" i="9"/>
  <c r="I392" i="9"/>
  <c r="K392" i="9"/>
  <c r="O392" i="9"/>
  <c r="Q392" i="9"/>
  <c r="L391" i="9"/>
  <c r="M391" i="9" s="1"/>
  <c r="T391" i="9"/>
  <c r="V444" i="9"/>
  <c r="F454" i="9"/>
  <c r="F455" i="9" s="1"/>
  <c r="H454" i="9"/>
  <c r="J454" i="9"/>
  <c r="N454" i="9"/>
  <c r="R454" i="9"/>
  <c r="U305" i="8"/>
  <c r="W305" i="8" s="1"/>
  <c r="S313" i="8"/>
  <c r="U385" i="8"/>
  <c r="W385" i="8" s="1"/>
  <c r="G392" i="8"/>
  <c r="I392" i="8"/>
  <c r="K392" i="8"/>
  <c r="O392" i="8"/>
  <c r="V444" i="8"/>
  <c r="F454" i="8"/>
  <c r="F455" i="8" s="1"/>
  <c r="H454" i="8"/>
  <c r="J454" i="8"/>
  <c r="N454" i="8"/>
  <c r="P454" i="8"/>
  <c r="R454" i="8"/>
  <c r="U379" i="8"/>
  <c r="W379" i="8" s="1"/>
  <c r="U381" i="8"/>
  <c r="W381" i="8" s="1"/>
  <c r="V82" i="8"/>
  <c r="U441" i="8"/>
  <c r="W441" i="8" s="1"/>
  <c r="U443" i="8"/>
  <c r="W443" i="8" s="1"/>
  <c r="U447" i="8"/>
  <c r="W447" i="8" s="1"/>
  <c r="O175" i="8"/>
  <c r="S175" i="8"/>
  <c r="U275" i="8"/>
  <c r="W275" i="8" s="1"/>
  <c r="L304" i="8"/>
  <c r="M304" i="8" s="1"/>
  <c r="M303" i="8" s="1"/>
  <c r="T304" i="8"/>
  <c r="U306" i="8"/>
  <c r="W306" i="8" s="1"/>
  <c r="T307" i="8"/>
  <c r="U307" i="8" s="1"/>
  <c r="W307" i="8" s="1"/>
  <c r="G313" i="8"/>
  <c r="I313" i="8"/>
  <c r="K313" i="8"/>
  <c r="O313" i="8"/>
  <c r="V318" i="8"/>
  <c r="F328" i="8"/>
  <c r="F329" i="8" s="1"/>
  <c r="H328" i="8"/>
  <c r="J328" i="8"/>
  <c r="N328" i="8"/>
  <c r="P328" i="8"/>
  <c r="R328" i="8"/>
  <c r="T319" i="9"/>
  <c r="T318" i="9" s="1"/>
  <c r="U320" i="9"/>
  <c r="W320" i="9" s="1"/>
  <c r="U321" i="9"/>
  <c r="W321" i="9" s="1"/>
  <c r="G328" i="9"/>
  <c r="I328" i="9"/>
  <c r="K328" i="9"/>
  <c r="O328" i="9"/>
  <c r="Q328" i="9"/>
  <c r="L327" i="9"/>
  <c r="M327" i="9" s="1"/>
  <c r="L319" i="9"/>
  <c r="M319" i="9" s="1"/>
  <c r="M318" i="9" s="1"/>
  <c r="T448" i="11"/>
  <c r="U448" i="11" s="1"/>
  <c r="W448" i="11" s="1"/>
  <c r="U446" i="11"/>
  <c r="W446" i="11" s="1"/>
  <c r="U286" i="11"/>
  <c r="W286" i="11" s="1"/>
  <c r="V127" i="11"/>
  <c r="V126" i="11" s="1"/>
  <c r="T81" i="11"/>
  <c r="V318" i="13"/>
  <c r="F328" i="13"/>
  <c r="F329" i="13" s="1"/>
  <c r="H328" i="13"/>
  <c r="J328" i="13"/>
  <c r="N328" i="13"/>
  <c r="R328" i="13"/>
  <c r="U285" i="13"/>
  <c r="W285" i="13" s="1"/>
  <c r="U287" i="13"/>
  <c r="W287" i="13" s="1"/>
  <c r="U451" i="15"/>
  <c r="W451" i="15" s="1"/>
  <c r="V121" i="15"/>
  <c r="L319" i="15"/>
  <c r="M319" i="15" s="1"/>
  <c r="M318" i="15" s="1"/>
  <c r="S294" i="18"/>
  <c r="S298" i="18" s="1"/>
  <c r="U290" i="18"/>
  <c r="W290" i="18" s="1"/>
  <c r="S324" i="18"/>
  <c r="S326" i="18" s="1"/>
  <c r="T326" i="18" s="1"/>
  <c r="V82" i="18"/>
  <c r="V85" i="18" s="1"/>
  <c r="U379" i="19"/>
  <c r="W379" i="19" s="1"/>
  <c r="U381" i="19"/>
  <c r="W381" i="19" s="1"/>
  <c r="L383" i="19"/>
  <c r="L382" i="19" s="1"/>
  <c r="V388" i="19"/>
  <c r="V387" i="19" s="1"/>
  <c r="F392" i="19"/>
  <c r="F393" i="19" s="1"/>
  <c r="H392" i="19"/>
  <c r="J392" i="19"/>
  <c r="N392" i="19"/>
  <c r="P392" i="19"/>
  <c r="R392" i="19"/>
  <c r="S388" i="19"/>
  <c r="S390" i="19" s="1"/>
  <c r="G390" i="19"/>
  <c r="I390" i="19"/>
  <c r="K390" i="19"/>
  <c r="O390" i="19"/>
  <c r="Q390" i="19"/>
  <c r="U446" i="19"/>
  <c r="W446" i="19" s="1"/>
  <c r="M447" i="19"/>
  <c r="V450" i="19"/>
  <c r="V453" i="19" s="1"/>
  <c r="N454" i="19"/>
  <c r="P454" i="19"/>
  <c r="R454" i="19"/>
  <c r="O452" i="19"/>
  <c r="Q452" i="19"/>
  <c r="F454" i="19"/>
  <c r="F455" i="19" s="1"/>
  <c r="H454" i="19"/>
  <c r="J454" i="19"/>
  <c r="G452" i="19"/>
  <c r="I452" i="19"/>
  <c r="K452" i="19"/>
  <c r="V324" i="19"/>
  <c r="V323" i="19" s="1"/>
  <c r="F328" i="19"/>
  <c r="F329" i="19" s="1"/>
  <c r="H328" i="19"/>
  <c r="J328" i="19"/>
  <c r="N328" i="19"/>
  <c r="P328" i="19"/>
  <c r="R328" i="19"/>
  <c r="G326" i="19"/>
  <c r="I326" i="19"/>
  <c r="K326" i="19"/>
  <c r="O326" i="19"/>
  <c r="Q326" i="19"/>
  <c r="V279" i="19"/>
  <c r="V282" i="19" s="1"/>
  <c r="O281" i="19"/>
  <c r="Q281" i="19"/>
  <c r="N283" i="19"/>
  <c r="P283" i="19"/>
  <c r="R283" i="19"/>
  <c r="G281" i="19"/>
  <c r="I281" i="19"/>
  <c r="K281" i="19"/>
  <c r="F283" i="19"/>
  <c r="F284" i="19" s="1"/>
  <c r="H283" i="19"/>
  <c r="J283" i="19"/>
  <c r="V112" i="19"/>
  <c r="V115" i="19" s="1"/>
  <c r="V82" i="19"/>
  <c r="V85" i="19" s="1"/>
  <c r="V136" i="19"/>
  <c r="V127" i="19"/>
  <c r="V130" i="19" s="1"/>
  <c r="V157" i="19"/>
  <c r="V160" i="19" s="1"/>
  <c r="U154" i="19"/>
  <c r="W154" i="19" s="1"/>
  <c r="V318" i="18"/>
  <c r="U320" i="18"/>
  <c r="W320" i="18" s="1"/>
  <c r="U291" i="18"/>
  <c r="W291" i="18" s="1"/>
  <c r="T292" i="18"/>
  <c r="U292" i="18" s="1"/>
  <c r="L297" i="18"/>
  <c r="M297" i="18" s="1"/>
  <c r="T297" i="18"/>
  <c r="V382" i="18"/>
  <c r="U385" i="18"/>
  <c r="W385" i="18" s="1"/>
  <c r="V444" i="18"/>
  <c r="U446" i="18"/>
  <c r="W446" i="18" s="1"/>
  <c r="U447" i="18"/>
  <c r="W447" i="18" s="1"/>
  <c r="L453" i="18"/>
  <c r="M453" i="18" s="1"/>
  <c r="T453" i="18"/>
  <c r="U148" i="18"/>
  <c r="U149" i="18"/>
  <c r="T445" i="18"/>
  <c r="T444" i="18" s="1"/>
  <c r="U451" i="18"/>
  <c r="W451" i="18" s="1"/>
  <c r="U384" i="18"/>
  <c r="W384" i="18" s="1"/>
  <c r="W389" i="18"/>
  <c r="L391" i="18"/>
  <c r="M391" i="18" s="1"/>
  <c r="T391" i="18"/>
  <c r="U442" i="19"/>
  <c r="W442" i="19" s="1"/>
  <c r="U109" i="19"/>
  <c r="W109" i="19" s="1"/>
  <c r="U112" i="19"/>
  <c r="U113" i="19"/>
  <c r="W113" i="19" s="1"/>
  <c r="U118" i="19"/>
  <c r="U119" i="19"/>
  <c r="U120" i="19"/>
  <c r="W120" i="19" s="1"/>
  <c r="V318" i="19"/>
  <c r="U321" i="19"/>
  <c r="W321" i="19" s="1"/>
  <c r="U271" i="19"/>
  <c r="W271" i="19" s="1"/>
  <c r="V273" i="19"/>
  <c r="U275" i="19"/>
  <c r="W275" i="19" s="1"/>
  <c r="U276" i="19"/>
  <c r="W276" i="19" s="1"/>
  <c r="L282" i="19"/>
  <c r="M282" i="19" s="1"/>
  <c r="T282" i="19"/>
  <c r="V382" i="19"/>
  <c r="U385" i="19"/>
  <c r="W385" i="19" s="1"/>
  <c r="T383" i="19"/>
  <c r="U383" i="19" s="1"/>
  <c r="U389" i="19"/>
  <c r="U441" i="19"/>
  <c r="W441" i="19" s="1"/>
  <c r="U443" i="19"/>
  <c r="W443" i="19" s="1"/>
  <c r="L445" i="19"/>
  <c r="M445" i="19" s="1"/>
  <c r="M444" i="19" s="1"/>
  <c r="T445" i="19"/>
  <c r="T444" i="19" s="1"/>
  <c r="U451" i="19"/>
  <c r="X451" i="19" s="1"/>
  <c r="U108" i="19"/>
  <c r="W108" i="19" s="1"/>
  <c r="T111" i="19"/>
  <c r="U148" i="19"/>
  <c r="U384" i="19"/>
  <c r="W389" i="19"/>
  <c r="L444" i="19"/>
  <c r="S452" i="19"/>
  <c r="S454" i="19"/>
  <c r="U453" i="19"/>
  <c r="T448" i="19"/>
  <c r="U448" i="19" s="1"/>
  <c r="W448" i="19" s="1"/>
  <c r="L450" i="19"/>
  <c r="T450" i="19"/>
  <c r="F452" i="19"/>
  <c r="H452" i="19"/>
  <c r="J452" i="19"/>
  <c r="N452" i="19"/>
  <c r="P452" i="19"/>
  <c r="R452" i="19"/>
  <c r="G454" i="19"/>
  <c r="I454" i="19"/>
  <c r="K454" i="19"/>
  <c r="O454" i="19"/>
  <c r="Q454" i="19"/>
  <c r="M383" i="19"/>
  <c r="M382" i="19" s="1"/>
  <c r="V391" i="19"/>
  <c r="S392" i="19"/>
  <c r="T386" i="19"/>
  <c r="U386" i="19" s="1"/>
  <c r="W386" i="19" s="1"/>
  <c r="L388" i="19"/>
  <c r="T388" i="19"/>
  <c r="F390" i="19"/>
  <c r="H390" i="19"/>
  <c r="J390" i="19"/>
  <c r="N390" i="19"/>
  <c r="P390" i="19"/>
  <c r="R390" i="19"/>
  <c r="G392" i="19"/>
  <c r="I392" i="19"/>
  <c r="K392" i="19"/>
  <c r="O392" i="19"/>
  <c r="Q392" i="19"/>
  <c r="W443" i="18"/>
  <c r="S452" i="18"/>
  <c r="S454" i="18"/>
  <c r="T448" i="18"/>
  <c r="U448" i="18" s="1"/>
  <c r="W448" i="18" s="1"/>
  <c r="L450" i="18"/>
  <c r="T450" i="18"/>
  <c r="F452" i="18"/>
  <c r="H452" i="18"/>
  <c r="J452" i="18"/>
  <c r="N452" i="18"/>
  <c r="R452" i="18"/>
  <c r="G454" i="18"/>
  <c r="G455" i="18" s="1"/>
  <c r="H455" i="18" s="1"/>
  <c r="I454" i="18"/>
  <c r="K454" i="18"/>
  <c r="M383" i="18"/>
  <c r="M382" i="18" s="1"/>
  <c r="L382" i="18"/>
  <c r="S390" i="18"/>
  <c r="S392" i="18"/>
  <c r="T386" i="18"/>
  <c r="U386" i="18" s="1"/>
  <c r="W386" i="18" s="1"/>
  <c r="L388" i="18"/>
  <c r="T388" i="18"/>
  <c r="F390" i="18"/>
  <c r="H390" i="18"/>
  <c r="J390" i="18"/>
  <c r="N390" i="18"/>
  <c r="R390" i="18"/>
  <c r="G392" i="18"/>
  <c r="G393" i="18" s="1"/>
  <c r="H393" i="18" s="1"/>
  <c r="I392" i="18"/>
  <c r="K392" i="18"/>
  <c r="U103" i="19"/>
  <c r="U104" i="19"/>
  <c r="U124" i="19"/>
  <c r="W124" i="19" s="1"/>
  <c r="U127" i="19"/>
  <c r="U128" i="19"/>
  <c r="W128" i="19" s="1"/>
  <c r="U157" i="19"/>
  <c r="U316" i="19"/>
  <c r="W316" i="19" s="1"/>
  <c r="U317" i="19"/>
  <c r="W317" i="19" s="1"/>
  <c r="L319" i="19"/>
  <c r="M319" i="19" s="1"/>
  <c r="M318" i="19" s="1"/>
  <c r="T319" i="19"/>
  <c r="T318" i="19" s="1"/>
  <c r="U270" i="19"/>
  <c r="W270" i="19" s="1"/>
  <c r="U272" i="19"/>
  <c r="L274" i="19"/>
  <c r="M274" i="19" s="1"/>
  <c r="M273" i="19" s="1"/>
  <c r="U149" i="19"/>
  <c r="U158" i="19"/>
  <c r="W158" i="19" s="1"/>
  <c r="U150" i="19"/>
  <c r="W150" i="19" s="1"/>
  <c r="U153" i="19"/>
  <c r="W153" i="19" s="1"/>
  <c r="M158" i="19"/>
  <c r="U315" i="19"/>
  <c r="W315" i="19" s="1"/>
  <c r="U325" i="19"/>
  <c r="W325" i="19" s="1"/>
  <c r="M271" i="19"/>
  <c r="T274" i="19"/>
  <c r="T273" i="19" s="1"/>
  <c r="U280" i="19"/>
  <c r="W280" i="19" s="1"/>
  <c r="L76" i="19"/>
  <c r="V76" i="19"/>
  <c r="U138" i="19"/>
  <c r="W138" i="19" s="1"/>
  <c r="U105" i="19"/>
  <c r="W105" i="19" s="1"/>
  <c r="T121" i="19"/>
  <c r="U123" i="19"/>
  <c r="W123" i="19" s="1"/>
  <c r="T126" i="19"/>
  <c r="U159" i="19"/>
  <c r="W159" i="19" s="1"/>
  <c r="U320" i="19"/>
  <c r="X325" i="19" s="1"/>
  <c r="L327" i="19"/>
  <c r="M327" i="19" s="1"/>
  <c r="T327" i="19"/>
  <c r="U316" i="18"/>
  <c r="W316" i="18" s="1"/>
  <c r="U285" i="18"/>
  <c r="W285" i="18" s="1"/>
  <c r="U287" i="18"/>
  <c r="W287" i="18" s="1"/>
  <c r="U315" i="18"/>
  <c r="W315" i="18" s="1"/>
  <c r="U317" i="18"/>
  <c r="W317" i="18" s="1"/>
  <c r="L319" i="18"/>
  <c r="L318" i="18" s="1"/>
  <c r="T319" i="18"/>
  <c r="T318" i="18" s="1"/>
  <c r="U325" i="18"/>
  <c r="W325" i="18" s="1"/>
  <c r="U286" i="18"/>
  <c r="W286" i="18" s="1"/>
  <c r="L289" i="18"/>
  <c r="L288" i="18" s="1"/>
  <c r="T289" i="18"/>
  <c r="U295" i="18"/>
  <c r="W295" i="18" s="1"/>
  <c r="F328" i="18"/>
  <c r="F329" i="18" s="1"/>
  <c r="H328" i="18"/>
  <c r="J328" i="18"/>
  <c r="N328" i="18"/>
  <c r="R328" i="18"/>
  <c r="W272" i="19"/>
  <c r="L273" i="19"/>
  <c r="S281" i="19"/>
  <c r="S283" i="19"/>
  <c r="U282" i="19"/>
  <c r="T277" i="19"/>
  <c r="U277" i="19" s="1"/>
  <c r="W277" i="19" s="1"/>
  <c r="L279" i="19"/>
  <c r="T279" i="19"/>
  <c r="F281" i="19"/>
  <c r="H281" i="19"/>
  <c r="J281" i="19"/>
  <c r="N281" i="19"/>
  <c r="P281" i="19"/>
  <c r="R281" i="19"/>
  <c r="G283" i="19"/>
  <c r="G284" i="19" s="1"/>
  <c r="I283" i="19"/>
  <c r="K283" i="19"/>
  <c r="O283" i="19"/>
  <c r="Q283" i="19"/>
  <c r="V327" i="19"/>
  <c r="S326" i="19"/>
  <c r="S328" i="19"/>
  <c r="T322" i="19"/>
  <c r="U322" i="19" s="1"/>
  <c r="W322" i="19" s="1"/>
  <c r="L324" i="19"/>
  <c r="T324" i="19"/>
  <c r="F326" i="19"/>
  <c r="H326" i="19"/>
  <c r="J326" i="19"/>
  <c r="N326" i="19"/>
  <c r="P326" i="19"/>
  <c r="R326" i="19"/>
  <c r="G328" i="19"/>
  <c r="I328" i="19"/>
  <c r="K328" i="19"/>
  <c r="O328" i="19"/>
  <c r="Q328" i="19"/>
  <c r="M289" i="18"/>
  <c r="M288" i="18" s="1"/>
  <c r="T288" i="18"/>
  <c r="W292" i="18"/>
  <c r="L294" i="18"/>
  <c r="V294" i="18"/>
  <c r="F296" i="18"/>
  <c r="H296" i="18"/>
  <c r="J296" i="18"/>
  <c r="N296" i="18"/>
  <c r="R296" i="18"/>
  <c r="G298" i="18"/>
  <c r="G299" i="18" s="1"/>
  <c r="H299" i="18" s="1"/>
  <c r="I298" i="18"/>
  <c r="K298" i="18"/>
  <c r="S328" i="18"/>
  <c r="V327" i="18"/>
  <c r="V323" i="18"/>
  <c r="L326" i="18"/>
  <c r="M326" i="18" s="1"/>
  <c r="W321" i="18"/>
  <c r="T322" i="18"/>
  <c r="U322" i="18" s="1"/>
  <c r="W322" i="18" s="1"/>
  <c r="L324" i="18"/>
  <c r="G328" i="18"/>
  <c r="I328" i="18"/>
  <c r="K328" i="18"/>
  <c r="L327" i="18"/>
  <c r="M327" i="18" s="1"/>
  <c r="T327" i="18"/>
  <c r="V76" i="18"/>
  <c r="U108" i="18"/>
  <c r="W108" i="18" s="1"/>
  <c r="T121" i="18"/>
  <c r="U123" i="18"/>
  <c r="U124" i="18"/>
  <c r="U127" i="18"/>
  <c r="W127" i="18" s="1"/>
  <c r="U128" i="18"/>
  <c r="W128" i="18" s="1"/>
  <c r="U77" i="19"/>
  <c r="W77" i="19" s="1"/>
  <c r="M151" i="19"/>
  <c r="U114" i="19"/>
  <c r="W114" i="19" s="1"/>
  <c r="U129" i="19"/>
  <c r="W129" i="19" s="1"/>
  <c r="L151" i="19"/>
  <c r="V151" i="19"/>
  <c r="U152" i="19"/>
  <c r="V156" i="19"/>
  <c r="G162" i="19"/>
  <c r="H162" i="19" s="1"/>
  <c r="I162" i="19" s="1"/>
  <c r="J162" i="19" s="1"/>
  <c r="K162" i="19" s="1"/>
  <c r="N162" i="19" s="1"/>
  <c r="O162" i="19" s="1"/>
  <c r="P162" i="19" s="1"/>
  <c r="Q162" i="19" s="1"/>
  <c r="R162" i="19" s="1"/>
  <c r="S162" i="19" s="1"/>
  <c r="M155" i="19"/>
  <c r="M156" i="19" s="1"/>
  <c r="U155" i="19"/>
  <c r="L160" i="19"/>
  <c r="M160" i="19" s="1"/>
  <c r="T160" i="19"/>
  <c r="V160" i="18"/>
  <c r="G162" i="18"/>
  <c r="H162" i="18" s="1"/>
  <c r="I162" i="18" s="1"/>
  <c r="J162" i="18" s="1"/>
  <c r="K162" i="18" s="1"/>
  <c r="N162" i="18" s="1"/>
  <c r="L160" i="18"/>
  <c r="M160" i="18" s="1"/>
  <c r="T160" i="18"/>
  <c r="U78" i="18"/>
  <c r="U80" i="18"/>
  <c r="W80" i="18" s="1"/>
  <c r="U103" i="18"/>
  <c r="U104" i="18"/>
  <c r="U109" i="18"/>
  <c r="W109" i="18" s="1"/>
  <c r="M110" i="18"/>
  <c r="M111" i="18" s="1"/>
  <c r="U110" i="18"/>
  <c r="W110" i="18" s="1"/>
  <c r="U112" i="18"/>
  <c r="W112" i="18" s="1"/>
  <c r="U113" i="18"/>
  <c r="W113" i="18" s="1"/>
  <c r="G117" i="18"/>
  <c r="H117" i="18" s="1"/>
  <c r="I117" i="18" s="1"/>
  <c r="J117" i="18" s="1"/>
  <c r="K117" i="18" s="1"/>
  <c r="N117" i="18" s="1"/>
  <c r="U118" i="18"/>
  <c r="M120" i="18"/>
  <c r="M121" i="18" s="1"/>
  <c r="U122" i="18"/>
  <c r="U129" i="18"/>
  <c r="W129" i="18" s="1"/>
  <c r="M125" i="18"/>
  <c r="M126" i="18" s="1"/>
  <c r="U125" i="18"/>
  <c r="W125" i="18" s="1"/>
  <c r="M77" i="19"/>
  <c r="U78" i="19"/>
  <c r="W78" i="19" s="1"/>
  <c r="U82" i="19"/>
  <c r="W82" i="19" s="1"/>
  <c r="U139" i="19"/>
  <c r="W139" i="19" s="1"/>
  <c r="M106" i="19"/>
  <c r="M121" i="19"/>
  <c r="U84" i="19"/>
  <c r="W84" i="19" s="1"/>
  <c r="T137" i="19"/>
  <c r="T136" i="19" s="1"/>
  <c r="L137" i="19"/>
  <c r="U135" i="19"/>
  <c r="W135" i="19" s="1"/>
  <c r="U134" i="19"/>
  <c r="U133" i="19"/>
  <c r="L106" i="19"/>
  <c r="V106" i="19"/>
  <c r="U107" i="19"/>
  <c r="U106" i="19" s="1"/>
  <c r="L121" i="19"/>
  <c r="V121" i="19"/>
  <c r="U122" i="19"/>
  <c r="V111" i="19"/>
  <c r="V126" i="19"/>
  <c r="G117" i="19"/>
  <c r="H117" i="19" s="1"/>
  <c r="I117" i="19" s="1"/>
  <c r="J117" i="19" s="1"/>
  <c r="K117" i="19" s="1"/>
  <c r="N117" i="19" s="1"/>
  <c r="O117" i="19" s="1"/>
  <c r="P117" i="19" s="1"/>
  <c r="Q117" i="19" s="1"/>
  <c r="R117" i="19" s="1"/>
  <c r="S117" i="19" s="1"/>
  <c r="G132" i="19"/>
  <c r="H132" i="19" s="1"/>
  <c r="I132" i="19" s="1"/>
  <c r="J132" i="19" s="1"/>
  <c r="K132" i="19" s="1"/>
  <c r="N132" i="19" s="1"/>
  <c r="O132" i="19" s="1"/>
  <c r="P132" i="19" s="1"/>
  <c r="Q132" i="19" s="1"/>
  <c r="R132" i="19" s="1"/>
  <c r="S132" i="19" s="1"/>
  <c r="W107" i="19"/>
  <c r="W106" i="19" s="1"/>
  <c r="M110" i="19"/>
  <c r="M111" i="19" s="1"/>
  <c r="U110" i="19"/>
  <c r="U111" i="19" s="1"/>
  <c r="L115" i="19"/>
  <c r="M115" i="19" s="1"/>
  <c r="T115" i="19"/>
  <c r="W122" i="19"/>
  <c r="M125" i="19"/>
  <c r="M126" i="19" s="1"/>
  <c r="U125" i="19"/>
  <c r="L130" i="19"/>
  <c r="M130" i="19" s="1"/>
  <c r="T130" i="19"/>
  <c r="V130" i="18"/>
  <c r="V126" i="18"/>
  <c r="G132" i="18"/>
  <c r="H132" i="18" s="1"/>
  <c r="I132" i="18" s="1"/>
  <c r="J132" i="18" s="1"/>
  <c r="K132" i="18" s="1"/>
  <c r="N132" i="18" s="1"/>
  <c r="M105" i="18"/>
  <c r="M106" i="18" s="1"/>
  <c r="U105" i="18"/>
  <c r="M119" i="18"/>
  <c r="U120" i="18"/>
  <c r="L115" i="18"/>
  <c r="M115" i="18" s="1"/>
  <c r="T115" i="18"/>
  <c r="L130" i="18"/>
  <c r="M130" i="18" s="1"/>
  <c r="T130" i="18"/>
  <c r="U73" i="18"/>
  <c r="U74" i="18"/>
  <c r="U79" i="18"/>
  <c r="W79" i="18" s="1"/>
  <c r="T81" i="18"/>
  <c r="U83" i="18"/>
  <c r="W83" i="18" s="1"/>
  <c r="V81" i="19"/>
  <c r="U73" i="19"/>
  <c r="U74" i="19"/>
  <c r="U79" i="19"/>
  <c r="W79" i="19" s="1"/>
  <c r="M80" i="19"/>
  <c r="U80" i="19"/>
  <c r="W80" i="19" s="1"/>
  <c r="M81" i="19"/>
  <c r="U83" i="19"/>
  <c r="W83" i="19" s="1"/>
  <c r="G87" i="19"/>
  <c r="H87" i="19" s="1"/>
  <c r="I87" i="19" s="1"/>
  <c r="J87" i="19" s="1"/>
  <c r="K87" i="19" s="1"/>
  <c r="N87" i="19" s="1"/>
  <c r="O87" i="19" s="1"/>
  <c r="P87" i="19" s="1"/>
  <c r="Q87" i="19" s="1"/>
  <c r="R87" i="19" s="1"/>
  <c r="S87" i="19" s="1"/>
  <c r="M75" i="19"/>
  <c r="U75" i="19"/>
  <c r="L85" i="19"/>
  <c r="M85" i="19" s="1"/>
  <c r="T85" i="19"/>
  <c r="G87" i="18"/>
  <c r="M75" i="18"/>
  <c r="U75" i="18"/>
  <c r="L85" i="18"/>
  <c r="M85" i="18" s="1"/>
  <c r="T85" i="18"/>
  <c r="U381" i="15"/>
  <c r="W381" i="15" s="1"/>
  <c r="L383" i="15"/>
  <c r="M383" i="15" s="1"/>
  <c r="M382" i="15" s="1"/>
  <c r="T383" i="15"/>
  <c r="T382" i="15" s="1"/>
  <c r="U447" i="15"/>
  <c r="W447" i="15" s="1"/>
  <c r="G328" i="15"/>
  <c r="I328" i="15"/>
  <c r="K328" i="15"/>
  <c r="O328" i="15"/>
  <c r="Q328" i="15"/>
  <c r="S328" i="15"/>
  <c r="U389" i="15"/>
  <c r="W389" i="15" s="1"/>
  <c r="F328" i="15"/>
  <c r="F329" i="15" s="1"/>
  <c r="H328" i="15"/>
  <c r="J328" i="15"/>
  <c r="N328" i="15"/>
  <c r="R328" i="15"/>
  <c r="U446" i="15"/>
  <c r="W446" i="15" s="1"/>
  <c r="L453" i="15"/>
  <c r="M453" i="15" s="1"/>
  <c r="T453" i="15"/>
  <c r="U384" i="15"/>
  <c r="W384" i="15" s="1"/>
  <c r="V387" i="15"/>
  <c r="S390" i="15"/>
  <c r="S392" i="15"/>
  <c r="W385" i="15"/>
  <c r="T386" i="15"/>
  <c r="U386" i="15" s="1"/>
  <c r="W386" i="15" s="1"/>
  <c r="L388" i="15"/>
  <c r="T388" i="15"/>
  <c r="F390" i="15"/>
  <c r="H390" i="15"/>
  <c r="J390" i="15"/>
  <c r="N390" i="15"/>
  <c r="R390" i="15"/>
  <c r="G392" i="15"/>
  <c r="G393" i="15" s="1"/>
  <c r="I392" i="15"/>
  <c r="K392" i="15"/>
  <c r="O392" i="15"/>
  <c r="Q392" i="15"/>
  <c r="M445" i="15"/>
  <c r="T444" i="15"/>
  <c r="S452" i="15"/>
  <c r="S454" i="15"/>
  <c r="T448" i="15"/>
  <c r="U448" i="15" s="1"/>
  <c r="W448" i="15" s="1"/>
  <c r="L450" i="15"/>
  <c r="T450" i="15"/>
  <c r="V450" i="15"/>
  <c r="F452" i="15"/>
  <c r="H452" i="15"/>
  <c r="J452" i="15"/>
  <c r="N452" i="15"/>
  <c r="R452" i="15"/>
  <c r="G454" i="15"/>
  <c r="I454" i="15"/>
  <c r="K454" i="15"/>
  <c r="O454" i="15"/>
  <c r="Q454" i="15"/>
  <c r="L327" i="15"/>
  <c r="M327" i="15" s="1"/>
  <c r="T327" i="15"/>
  <c r="L289" i="15"/>
  <c r="M289" i="15" s="1"/>
  <c r="M288" i="15" s="1"/>
  <c r="T289" i="15"/>
  <c r="T288" i="15" s="1"/>
  <c r="U315" i="15"/>
  <c r="W315" i="15" s="1"/>
  <c r="U317" i="15"/>
  <c r="W317" i="15" s="1"/>
  <c r="F298" i="15"/>
  <c r="F299" i="15" s="1"/>
  <c r="H298" i="15"/>
  <c r="J298" i="15"/>
  <c r="N298" i="15"/>
  <c r="R298" i="15"/>
  <c r="G298" i="15"/>
  <c r="I298" i="15"/>
  <c r="K298" i="15"/>
  <c r="O298" i="15"/>
  <c r="Q298" i="15"/>
  <c r="S298" i="15"/>
  <c r="L297" i="15"/>
  <c r="M297" i="15" s="1"/>
  <c r="T297" i="15"/>
  <c r="V288" i="15"/>
  <c r="U291" i="15"/>
  <c r="W291" i="15" s="1"/>
  <c r="U316" i="15"/>
  <c r="W316" i="15" s="1"/>
  <c r="V318" i="15"/>
  <c r="U320" i="15"/>
  <c r="W320" i="15" s="1"/>
  <c r="U321" i="15"/>
  <c r="W321" i="15" s="1"/>
  <c r="U153" i="15"/>
  <c r="W153" i="15" s="1"/>
  <c r="U295" i="15"/>
  <c r="W295" i="15" s="1"/>
  <c r="M316" i="15"/>
  <c r="T319" i="15"/>
  <c r="T318" i="15" s="1"/>
  <c r="U325" i="15"/>
  <c r="W325" i="15" s="1"/>
  <c r="U290" i="15"/>
  <c r="X295" i="15" s="1"/>
  <c r="V323" i="15"/>
  <c r="L326" i="15"/>
  <c r="M326" i="15" s="1"/>
  <c r="T326" i="15"/>
  <c r="T322" i="15"/>
  <c r="U322" i="15" s="1"/>
  <c r="W322" i="15" s="1"/>
  <c r="L324" i="15"/>
  <c r="T324" i="15"/>
  <c r="V293" i="15"/>
  <c r="L296" i="15"/>
  <c r="M296" i="15" s="1"/>
  <c r="T296" i="15"/>
  <c r="T292" i="15"/>
  <c r="U292" i="15" s="1"/>
  <c r="W292" i="15" s="1"/>
  <c r="L294" i="15"/>
  <c r="T294" i="15"/>
  <c r="U73" i="15"/>
  <c r="U74" i="15"/>
  <c r="U75" i="15"/>
  <c r="W75" i="15" s="1"/>
  <c r="U118" i="15"/>
  <c r="U119" i="15"/>
  <c r="U122" i="15"/>
  <c r="W122" i="15" s="1"/>
  <c r="U154" i="15"/>
  <c r="W154" i="15" s="1"/>
  <c r="U155" i="15"/>
  <c r="W155" i="15" s="1"/>
  <c r="U79" i="15"/>
  <c r="W79" i="15" s="1"/>
  <c r="U103" i="15"/>
  <c r="U104" i="15"/>
  <c r="U123" i="15"/>
  <c r="W123" i="15" s="1"/>
  <c r="U127" i="15"/>
  <c r="U148" i="15"/>
  <c r="U149" i="15"/>
  <c r="U152" i="15"/>
  <c r="W152" i="15" s="1"/>
  <c r="L156" i="15"/>
  <c r="U157" i="15"/>
  <c r="W157" i="15" s="1"/>
  <c r="U158" i="15"/>
  <c r="L76" i="15"/>
  <c r="V76" i="15"/>
  <c r="U124" i="15"/>
  <c r="W124" i="15" s="1"/>
  <c r="M125" i="15"/>
  <c r="M126" i="15" s="1"/>
  <c r="L151" i="15"/>
  <c r="V151" i="15"/>
  <c r="M156" i="15"/>
  <c r="W158" i="15"/>
  <c r="U159" i="15"/>
  <c r="W159" i="15" s="1"/>
  <c r="V160" i="15"/>
  <c r="V156" i="15"/>
  <c r="G162" i="15"/>
  <c r="H162" i="15" s="1"/>
  <c r="I162" i="15" s="1"/>
  <c r="J162" i="15" s="1"/>
  <c r="K162" i="15" s="1"/>
  <c r="N162" i="15" s="1"/>
  <c r="O162" i="15" s="1"/>
  <c r="M150" i="15"/>
  <c r="M151" i="15" s="1"/>
  <c r="U150" i="15"/>
  <c r="L160" i="15"/>
  <c r="M160" i="15" s="1"/>
  <c r="T160" i="15"/>
  <c r="T76" i="15"/>
  <c r="U125" i="15"/>
  <c r="W125" i="15" s="1"/>
  <c r="V127" i="15"/>
  <c r="U128" i="15"/>
  <c r="W128" i="15" s="1"/>
  <c r="M75" i="15"/>
  <c r="M76" i="15" s="1"/>
  <c r="U84" i="15"/>
  <c r="L121" i="15"/>
  <c r="U126" i="15"/>
  <c r="U129" i="15"/>
  <c r="W129" i="15" s="1"/>
  <c r="G132" i="15"/>
  <c r="H132" i="15" s="1"/>
  <c r="I132" i="15" s="1"/>
  <c r="J132" i="15" s="1"/>
  <c r="K132" i="15" s="1"/>
  <c r="N132" i="15" s="1"/>
  <c r="O132" i="15" s="1"/>
  <c r="M120" i="15"/>
  <c r="M121" i="15" s="1"/>
  <c r="U120" i="15"/>
  <c r="L130" i="15"/>
  <c r="M130" i="15" s="1"/>
  <c r="T130" i="15"/>
  <c r="G117" i="15"/>
  <c r="H117" i="15" s="1"/>
  <c r="I117" i="15" s="1"/>
  <c r="J117" i="15" s="1"/>
  <c r="K117" i="15" s="1"/>
  <c r="N117" i="15" s="1"/>
  <c r="O117" i="15" s="1"/>
  <c r="L115" i="15"/>
  <c r="M115" i="15" s="1"/>
  <c r="T115" i="15"/>
  <c r="U78" i="15"/>
  <c r="W78" i="15" s="1"/>
  <c r="U82" i="15"/>
  <c r="U83" i="15"/>
  <c r="X83" i="15" s="1"/>
  <c r="U77" i="15"/>
  <c r="V81" i="15"/>
  <c r="G87" i="15"/>
  <c r="H87" i="15" s="1"/>
  <c r="I87" i="15" s="1"/>
  <c r="J87" i="15" s="1"/>
  <c r="K87" i="15" s="1"/>
  <c r="N87" i="15" s="1"/>
  <c r="O87" i="15" s="1"/>
  <c r="M80" i="15"/>
  <c r="M81" i="15" s="1"/>
  <c r="L85" i="15"/>
  <c r="M85" i="15" s="1"/>
  <c r="T85" i="15"/>
  <c r="L297" i="13"/>
  <c r="M297" i="13" s="1"/>
  <c r="T297" i="13"/>
  <c r="V444" i="13"/>
  <c r="F454" i="13"/>
  <c r="F455" i="13" s="1"/>
  <c r="H454" i="13"/>
  <c r="J454" i="13"/>
  <c r="N454" i="13"/>
  <c r="R454" i="13"/>
  <c r="U451" i="13"/>
  <c r="W451" i="13" s="1"/>
  <c r="U380" i="13"/>
  <c r="W380" i="13" s="1"/>
  <c r="U286" i="13"/>
  <c r="W286" i="13" s="1"/>
  <c r="U315" i="13"/>
  <c r="W315" i="13" s="1"/>
  <c r="U317" i="13"/>
  <c r="W317" i="13" s="1"/>
  <c r="G328" i="13"/>
  <c r="I328" i="13"/>
  <c r="K328" i="13"/>
  <c r="Q328" i="13"/>
  <c r="V288" i="13"/>
  <c r="F298" i="13"/>
  <c r="F299" i="13" s="1"/>
  <c r="H298" i="13"/>
  <c r="J298" i="13"/>
  <c r="N298" i="13"/>
  <c r="R298" i="13"/>
  <c r="U442" i="13"/>
  <c r="W442" i="13" s="1"/>
  <c r="L445" i="13"/>
  <c r="M445" i="13" s="1"/>
  <c r="M444" i="13" s="1"/>
  <c r="T445" i="13"/>
  <c r="U446" i="13"/>
  <c r="W446" i="13" s="1"/>
  <c r="G454" i="13"/>
  <c r="I454" i="13"/>
  <c r="K454" i="13"/>
  <c r="Q454" i="13"/>
  <c r="L453" i="13"/>
  <c r="M453" i="13" s="1"/>
  <c r="T453" i="13"/>
  <c r="V382" i="13"/>
  <c r="F392" i="13"/>
  <c r="F393" i="13" s="1"/>
  <c r="H392" i="13"/>
  <c r="J392" i="13"/>
  <c r="N392" i="13"/>
  <c r="R392" i="13"/>
  <c r="U389" i="13"/>
  <c r="W389" i="13" s="1"/>
  <c r="G393" i="13"/>
  <c r="T382" i="13"/>
  <c r="V387" i="13"/>
  <c r="S392" i="13"/>
  <c r="S390" i="13"/>
  <c r="T386" i="13"/>
  <c r="U386" i="13" s="1"/>
  <c r="W386" i="13" s="1"/>
  <c r="G390" i="13"/>
  <c r="I390" i="13"/>
  <c r="K390" i="13"/>
  <c r="Q390" i="13"/>
  <c r="L388" i="13"/>
  <c r="T388" i="13"/>
  <c r="F390" i="13"/>
  <c r="H390" i="13"/>
  <c r="J390" i="13"/>
  <c r="N390" i="13"/>
  <c r="R390" i="13"/>
  <c r="T444" i="13"/>
  <c r="V453" i="13"/>
  <c r="S454" i="13"/>
  <c r="S452" i="13"/>
  <c r="T448" i="13"/>
  <c r="U448" i="13" s="1"/>
  <c r="W448" i="13" s="1"/>
  <c r="G452" i="13"/>
  <c r="I452" i="13"/>
  <c r="K452" i="13"/>
  <c r="Q452" i="13"/>
  <c r="L450" i="13"/>
  <c r="T450" i="13"/>
  <c r="F452" i="13"/>
  <c r="H452" i="13"/>
  <c r="J452" i="13"/>
  <c r="N452" i="13"/>
  <c r="R452" i="13"/>
  <c r="U316" i="13"/>
  <c r="W316" i="13" s="1"/>
  <c r="L319" i="13"/>
  <c r="L318" i="13" s="1"/>
  <c r="T319" i="13"/>
  <c r="T318" i="13" s="1"/>
  <c r="U321" i="13"/>
  <c r="W321" i="13" s="1"/>
  <c r="U291" i="13"/>
  <c r="W291" i="13" s="1"/>
  <c r="U123" i="13"/>
  <c r="W123" i="13" s="1"/>
  <c r="U127" i="13"/>
  <c r="U148" i="13"/>
  <c r="U149" i="13"/>
  <c r="U320" i="13"/>
  <c r="W320" i="13" s="1"/>
  <c r="L327" i="13"/>
  <c r="M327" i="13" s="1"/>
  <c r="T327" i="13"/>
  <c r="U295" i="13"/>
  <c r="U118" i="13"/>
  <c r="U119" i="13"/>
  <c r="U122" i="13"/>
  <c r="W122" i="13" s="1"/>
  <c r="U325" i="13"/>
  <c r="W325" i="13" s="1"/>
  <c r="M291" i="13"/>
  <c r="W295" i="13"/>
  <c r="L288" i="13"/>
  <c r="M289" i="13"/>
  <c r="M288" i="13" s="1"/>
  <c r="V297" i="13"/>
  <c r="V293" i="13"/>
  <c r="S298" i="13"/>
  <c r="S296" i="13"/>
  <c r="T292" i="13"/>
  <c r="U292" i="13" s="1"/>
  <c r="W292" i="13" s="1"/>
  <c r="G296" i="13"/>
  <c r="I296" i="13"/>
  <c r="K296" i="13"/>
  <c r="Q296" i="13"/>
  <c r="L294" i="13"/>
  <c r="T294" i="13"/>
  <c r="F296" i="13"/>
  <c r="H296" i="13"/>
  <c r="J296" i="13"/>
  <c r="N296" i="13"/>
  <c r="R296" i="13"/>
  <c r="V327" i="13"/>
  <c r="V323" i="13"/>
  <c r="S328" i="13"/>
  <c r="S326" i="13"/>
  <c r="T322" i="13"/>
  <c r="U322" i="13" s="1"/>
  <c r="W322" i="13" s="1"/>
  <c r="G326" i="13"/>
  <c r="I326" i="13"/>
  <c r="K326" i="13"/>
  <c r="Q326" i="13"/>
  <c r="L324" i="13"/>
  <c r="T324" i="13"/>
  <c r="F326" i="13"/>
  <c r="H326" i="13"/>
  <c r="J326" i="13"/>
  <c r="N326" i="13"/>
  <c r="R326" i="13"/>
  <c r="L76" i="13"/>
  <c r="V76" i="13"/>
  <c r="U77" i="13"/>
  <c r="U124" i="13"/>
  <c r="W124" i="13" s="1"/>
  <c r="M125" i="13"/>
  <c r="M126" i="13" s="1"/>
  <c r="V160" i="13"/>
  <c r="G162" i="13"/>
  <c r="H162" i="13" s="1"/>
  <c r="I162" i="13" s="1"/>
  <c r="J162" i="13" s="1"/>
  <c r="K162" i="13" s="1"/>
  <c r="N162" i="13" s="1"/>
  <c r="L160" i="13"/>
  <c r="M160" i="13" s="1"/>
  <c r="T160" i="13"/>
  <c r="U125" i="13"/>
  <c r="W125" i="13" s="1"/>
  <c r="V127" i="13"/>
  <c r="V126" i="13" s="1"/>
  <c r="U128" i="13"/>
  <c r="W128" i="13" s="1"/>
  <c r="L121" i="13"/>
  <c r="U126" i="13"/>
  <c r="U129" i="13"/>
  <c r="W129" i="13" s="1"/>
  <c r="G132" i="13"/>
  <c r="H132" i="13" s="1"/>
  <c r="I132" i="13" s="1"/>
  <c r="J132" i="13" s="1"/>
  <c r="K132" i="13" s="1"/>
  <c r="N132" i="13" s="1"/>
  <c r="L130" i="13"/>
  <c r="M130" i="13" s="1"/>
  <c r="T130" i="13"/>
  <c r="M120" i="13"/>
  <c r="M121" i="13" s="1"/>
  <c r="U120" i="13"/>
  <c r="V115" i="13"/>
  <c r="T76" i="13"/>
  <c r="U78" i="13"/>
  <c r="W78" i="13" s="1"/>
  <c r="U103" i="13"/>
  <c r="U104" i="13"/>
  <c r="G117" i="13"/>
  <c r="H117" i="13" s="1"/>
  <c r="I117" i="13" s="1"/>
  <c r="J117" i="13" s="1"/>
  <c r="K117" i="13" s="1"/>
  <c r="N117" i="13" s="1"/>
  <c r="L115" i="13"/>
  <c r="M115" i="13" s="1"/>
  <c r="T115" i="13"/>
  <c r="U73" i="13"/>
  <c r="U74" i="13"/>
  <c r="U79" i="13"/>
  <c r="W79" i="13" s="1"/>
  <c r="M80" i="13"/>
  <c r="M81" i="13" s="1"/>
  <c r="U83" i="13"/>
  <c r="G87" i="13"/>
  <c r="H87" i="13" s="1"/>
  <c r="I87" i="13" s="1"/>
  <c r="J87" i="13" s="1"/>
  <c r="K87" i="13" s="1"/>
  <c r="N87" i="13" s="1"/>
  <c r="M75" i="13"/>
  <c r="M76" i="13" s="1"/>
  <c r="U75" i="13"/>
  <c r="L85" i="13"/>
  <c r="M85" i="13" s="1"/>
  <c r="T85" i="13"/>
  <c r="U123" i="11"/>
  <c r="W123" i="11" s="1"/>
  <c r="U124" i="11"/>
  <c r="W124" i="11" s="1"/>
  <c r="U127" i="11"/>
  <c r="U128" i="11"/>
  <c r="W128" i="11" s="1"/>
  <c r="U315" i="11"/>
  <c r="W315" i="11" s="1"/>
  <c r="U317" i="11"/>
  <c r="W317" i="11" s="1"/>
  <c r="L319" i="11"/>
  <c r="L318" i="11" s="1"/>
  <c r="T319" i="11"/>
  <c r="T318" i="11" s="1"/>
  <c r="L327" i="11"/>
  <c r="M327" i="11" s="1"/>
  <c r="T327" i="11"/>
  <c r="U389" i="11"/>
  <c r="W389" i="11" s="1"/>
  <c r="U441" i="11"/>
  <c r="W441" i="11" s="1"/>
  <c r="U442" i="11"/>
  <c r="W442" i="11" s="1"/>
  <c r="U443" i="11"/>
  <c r="W443" i="11" s="1"/>
  <c r="L445" i="11"/>
  <c r="M445" i="11" s="1"/>
  <c r="M444" i="11" s="1"/>
  <c r="T445" i="11"/>
  <c r="T444" i="11" s="1"/>
  <c r="U447" i="11"/>
  <c r="W447" i="11" s="1"/>
  <c r="U451" i="11"/>
  <c r="W451" i="11"/>
  <c r="V449" i="11"/>
  <c r="S454" i="11"/>
  <c r="S452" i="11"/>
  <c r="G452" i="11"/>
  <c r="I452" i="11"/>
  <c r="K452" i="11"/>
  <c r="O452" i="11"/>
  <c r="Q452" i="11"/>
  <c r="L450" i="11"/>
  <c r="T450" i="11"/>
  <c r="F452" i="11"/>
  <c r="H452" i="11"/>
  <c r="J452" i="11"/>
  <c r="N452" i="11"/>
  <c r="R452" i="11"/>
  <c r="U285" i="11"/>
  <c r="W285" i="11" s="1"/>
  <c r="U287" i="11"/>
  <c r="W287" i="11" s="1"/>
  <c r="L289" i="11"/>
  <c r="M289" i="11" s="1"/>
  <c r="M288" i="11" s="1"/>
  <c r="T289" i="11"/>
  <c r="T288" i="11" s="1"/>
  <c r="U290" i="11"/>
  <c r="W290" i="11" s="1"/>
  <c r="U295" i="11"/>
  <c r="W295" i="11" s="1"/>
  <c r="U379" i="11"/>
  <c r="W379" i="11" s="1"/>
  <c r="U381" i="11"/>
  <c r="W381" i="11" s="1"/>
  <c r="L383" i="11"/>
  <c r="L382" i="11" s="1"/>
  <c r="T383" i="11"/>
  <c r="T382" i="11" s="1"/>
  <c r="U385" i="11"/>
  <c r="W385" i="11" s="1"/>
  <c r="T386" i="11"/>
  <c r="U386" i="11" s="1"/>
  <c r="W386" i="11" s="1"/>
  <c r="V391" i="11"/>
  <c r="V387" i="11"/>
  <c r="G390" i="11"/>
  <c r="I390" i="11"/>
  <c r="K390" i="11"/>
  <c r="O390" i="11"/>
  <c r="Q390" i="11"/>
  <c r="S390" i="11"/>
  <c r="L388" i="11"/>
  <c r="T388" i="11"/>
  <c r="F390" i="11"/>
  <c r="H390" i="11"/>
  <c r="J390" i="11"/>
  <c r="N390" i="11"/>
  <c r="R390" i="11"/>
  <c r="U118" i="11"/>
  <c r="U119" i="11"/>
  <c r="L151" i="11"/>
  <c r="V151" i="11"/>
  <c r="U120" i="11"/>
  <c r="W120" i="11" s="1"/>
  <c r="U152" i="11"/>
  <c r="W152" i="11" s="1"/>
  <c r="U159" i="11"/>
  <c r="W159" i="11" s="1"/>
  <c r="L297" i="11"/>
  <c r="M297" i="11" s="1"/>
  <c r="T297" i="11"/>
  <c r="U316" i="11"/>
  <c r="W316" i="11" s="1"/>
  <c r="U325" i="11"/>
  <c r="W325" i="11" s="1"/>
  <c r="U153" i="11"/>
  <c r="W153" i="11" s="1"/>
  <c r="U291" i="11"/>
  <c r="W291" i="11" s="1"/>
  <c r="T292" i="11"/>
  <c r="U292" i="11" s="1"/>
  <c r="W292" i="11" s="1"/>
  <c r="G299" i="11"/>
  <c r="M295" i="11"/>
  <c r="U320" i="11"/>
  <c r="W320" i="11" s="1"/>
  <c r="U321" i="11"/>
  <c r="W321" i="11" s="1"/>
  <c r="M319" i="11"/>
  <c r="M318" i="11" s="1"/>
  <c r="V327" i="11"/>
  <c r="V323" i="11"/>
  <c r="S328" i="11"/>
  <c r="S326" i="11"/>
  <c r="M316" i="11"/>
  <c r="T322" i="11"/>
  <c r="U322" i="11" s="1"/>
  <c r="W322" i="11" s="1"/>
  <c r="G326" i="11"/>
  <c r="I326" i="11"/>
  <c r="K326" i="11"/>
  <c r="O326" i="11"/>
  <c r="Q326" i="11"/>
  <c r="L324" i="11"/>
  <c r="T324" i="11"/>
  <c r="F326" i="11"/>
  <c r="H326" i="11"/>
  <c r="J326" i="11"/>
  <c r="N326" i="11"/>
  <c r="R326" i="11"/>
  <c r="G296" i="11"/>
  <c r="I296" i="11"/>
  <c r="K296" i="11"/>
  <c r="O296" i="11"/>
  <c r="Q296" i="11"/>
  <c r="S296" i="11"/>
  <c r="L294" i="11"/>
  <c r="T294" i="11"/>
  <c r="F296" i="11"/>
  <c r="H296" i="11"/>
  <c r="J296" i="11"/>
  <c r="N296" i="11"/>
  <c r="R296" i="11"/>
  <c r="U78" i="11"/>
  <c r="W78" i="11" s="1"/>
  <c r="U148" i="11"/>
  <c r="U149" i="11"/>
  <c r="U154" i="11"/>
  <c r="W154" i="11" s="1"/>
  <c r="M155" i="11"/>
  <c r="U155" i="11"/>
  <c r="W155" i="11" s="1"/>
  <c r="U157" i="11"/>
  <c r="U158" i="11"/>
  <c r="W158" i="11" s="1"/>
  <c r="M156" i="11"/>
  <c r="V156" i="11"/>
  <c r="G162" i="11"/>
  <c r="H162" i="11" s="1"/>
  <c r="I162" i="11" s="1"/>
  <c r="J162" i="11" s="1"/>
  <c r="K162" i="11" s="1"/>
  <c r="N162" i="11" s="1"/>
  <c r="O162" i="11" s="1"/>
  <c r="M150" i="11"/>
  <c r="M151" i="11" s="1"/>
  <c r="U150" i="11"/>
  <c r="L160" i="11"/>
  <c r="M160" i="11" s="1"/>
  <c r="T160" i="11"/>
  <c r="M121" i="11"/>
  <c r="L76" i="11"/>
  <c r="V76" i="11"/>
  <c r="L121" i="11"/>
  <c r="V121" i="11"/>
  <c r="U122" i="11"/>
  <c r="U129" i="11"/>
  <c r="W129" i="11" s="1"/>
  <c r="G132" i="11"/>
  <c r="H132" i="11" s="1"/>
  <c r="I132" i="11" s="1"/>
  <c r="J132" i="11" s="1"/>
  <c r="K132" i="11" s="1"/>
  <c r="N132" i="11" s="1"/>
  <c r="O132" i="11" s="1"/>
  <c r="M125" i="11"/>
  <c r="M126" i="11" s="1"/>
  <c r="U125" i="11"/>
  <c r="W125" i="11" s="1"/>
  <c r="L130" i="11"/>
  <c r="M130" i="11" s="1"/>
  <c r="T130" i="11"/>
  <c r="V115" i="11"/>
  <c r="G117" i="11"/>
  <c r="H117" i="11" s="1"/>
  <c r="I117" i="11" s="1"/>
  <c r="J117" i="11" s="1"/>
  <c r="K117" i="11" s="1"/>
  <c r="N117" i="11" s="1"/>
  <c r="O117" i="11" s="1"/>
  <c r="L115" i="11"/>
  <c r="M115" i="11" s="1"/>
  <c r="T115" i="11"/>
  <c r="U73" i="11"/>
  <c r="U74" i="11"/>
  <c r="U79" i="11"/>
  <c r="W79" i="11" s="1"/>
  <c r="M80" i="11"/>
  <c r="U80" i="11"/>
  <c r="W80" i="11" s="1"/>
  <c r="U83" i="11"/>
  <c r="G87" i="11"/>
  <c r="H87" i="11" s="1"/>
  <c r="I87" i="11" s="1"/>
  <c r="J87" i="11" s="1"/>
  <c r="M75" i="11"/>
  <c r="M76" i="11" s="1"/>
  <c r="U75" i="11"/>
  <c r="L85" i="11"/>
  <c r="M85" i="11" s="1"/>
  <c r="T85" i="11"/>
  <c r="U315" i="9"/>
  <c r="W315" i="9" s="1"/>
  <c r="U317" i="9"/>
  <c r="W317" i="9" s="1"/>
  <c r="T282" i="9"/>
  <c r="U282" i="9" s="1"/>
  <c r="T327" i="9"/>
  <c r="U310" i="9"/>
  <c r="W310" i="9" s="1"/>
  <c r="U316" i="9"/>
  <c r="W316" i="9" s="1"/>
  <c r="U379" i="9"/>
  <c r="W379" i="9" s="1"/>
  <c r="U381" i="9"/>
  <c r="L383" i="9"/>
  <c r="L382" i="9" s="1"/>
  <c r="T383" i="9"/>
  <c r="U385" i="9"/>
  <c r="T386" i="9"/>
  <c r="U386" i="9" s="1"/>
  <c r="W386" i="9" s="1"/>
  <c r="U447" i="9"/>
  <c r="W447" i="9" s="1"/>
  <c r="U451" i="9"/>
  <c r="W451" i="9" s="1"/>
  <c r="U389" i="9"/>
  <c r="W389" i="9" s="1"/>
  <c r="U442" i="9"/>
  <c r="W442" i="9" s="1"/>
  <c r="U446" i="9"/>
  <c r="W446" i="9" s="1"/>
  <c r="V453" i="9"/>
  <c r="V449" i="9"/>
  <c r="S454" i="9"/>
  <c r="S452" i="9"/>
  <c r="U453" i="9"/>
  <c r="T448" i="9"/>
  <c r="U448" i="9" s="1"/>
  <c r="W448" i="9" s="1"/>
  <c r="G452" i="9"/>
  <c r="I452" i="9"/>
  <c r="K452" i="9"/>
  <c r="O452" i="9"/>
  <c r="Q452" i="9"/>
  <c r="M447" i="9"/>
  <c r="L450" i="9"/>
  <c r="T450" i="9"/>
  <c r="F452" i="9"/>
  <c r="H452" i="9"/>
  <c r="J452" i="9"/>
  <c r="N452" i="9"/>
  <c r="R452" i="9"/>
  <c r="S392" i="9"/>
  <c r="S390" i="9"/>
  <c r="V391" i="9"/>
  <c r="V387" i="9"/>
  <c r="G390" i="9"/>
  <c r="I390" i="9"/>
  <c r="K390" i="9"/>
  <c r="O390" i="9"/>
  <c r="Q390" i="9"/>
  <c r="L388" i="9"/>
  <c r="T388" i="9"/>
  <c r="F390" i="9"/>
  <c r="H390" i="9"/>
  <c r="J390" i="9"/>
  <c r="N390" i="9"/>
  <c r="R390" i="9"/>
  <c r="G313" i="9"/>
  <c r="I313" i="9"/>
  <c r="K313" i="9"/>
  <c r="O313" i="9"/>
  <c r="V318" i="9"/>
  <c r="U300" i="9"/>
  <c r="W300" i="9" s="1"/>
  <c r="U302" i="9"/>
  <c r="W302" i="9" s="1"/>
  <c r="U306" i="9"/>
  <c r="W306" i="9" s="1"/>
  <c r="Q313" i="9"/>
  <c r="U153" i="9"/>
  <c r="W153" i="9" s="1"/>
  <c r="U270" i="9"/>
  <c r="W270" i="9" s="1"/>
  <c r="U272" i="9"/>
  <c r="U286" i="9"/>
  <c r="W286" i="9" s="1"/>
  <c r="U290" i="9"/>
  <c r="W290" i="9" s="1"/>
  <c r="U301" i="9"/>
  <c r="W301" i="9" s="1"/>
  <c r="L304" i="9"/>
  <c r="M304" i="9" s="1"/>
  <c r="M303" i="9" s="1"/>
  <c r="T304" i="9"/>
  <c r="T303" i="9" s="1"/>
  <c r="U305" i="9"/>
  <c r="W305" i="9" s="1"/>
  <c r="U307" i="9"/>
  <c r="W307" i="9" s="1"/>
  <c r="L312" i="9"/>
  <c r="M312" i="9" s="1"/>
  <c r="T312" i="9"/>
  <c r="U325" i="9"/>
  <c r="U295" i="9"/>
  <c r="W295" i="9" s="1"/>
  <c r="W325" i="9"/>
  <c r="V308" i="9"/>
  <c r="V312" i="9"/>
  <c r="V327" i="9"/>
  <c r="V323" i="9"/>
  <c r="S328" i="9"/>
  <c r="S326" i="9"/>
  <c r="S309" i="9"/>
  <c r="T309" i="9" s="1"/>
  <c r="G311" i="9"/>
  <c r="I311" i="9"/>
  <c r="K311" i="9"/>
  <c r="O311" i="9"/>
  <c r="Q311" i="9"/>
  <c r="F313" i="9"/>
  <c r="F314" i="9" s="1"/>
  <c r="H313" i="9"/>
  <c r="J313" i="9"/>
  <c r="N313" i="9"/>
  <c r="R313" i="9"/>
  <c r="T322" i="9"/>
  <c r="U322" i="9" s="1"/>
  <c r="W322" i="9" s="1"/>
  <c r="G326" i="9"/>
  <c r="I326" i="9"/>
  <c r="K326" i="9"/>
  <c r="O326" i="9"/>
  <c r="Q326" i="9"/>
  <c r="L309" i="9"/>
  <c r="L324" i="9"/>
  <c r="T324" i="9"/>
  <c r="F326" i="9"/>
  <c r="H326" i="9"/>
  <c r="J326" i="9"/>
  <c r="N326" i="9"/>
  <c r="R326" i="9"/>
  <c r="U73" i="9"/>
  <c r="U74" i="9"/>
  <c r="U84" i="9"/>
  <c r="U118" i="9"/>
  <c r="U119" i="9"/>
  <c r="U154" i="9"/>
  <c r="W154" i="9" s="1"/>
  <c r="U157" i="9"/>
  <c r="U158" i="9"/>
  <c r="W158" i="9" s="1"/>
  <c r="G162" i="9"/>
  <c r="H162" i="9" s="1"/>
  <c r="I162" i="9" s="1"/>
  <c r="J162" i="9" s="1"/>
  <c r="K162" i="9" s="1"/>
  <c r="N162" i="9" s="1"/>
  <c r="O162" i="9" s="1"/>
  <c r="U271" i="9"/>
  <c r="W271" i="9" s="1"/>
  <c r="L274" i="9"/>
  <c r="M274" i="9" s="1"/>
  <c r="M273" i="9" s="1"/>
  <c r="T274" i="9"/>
  <c r="T273" i="9" s="1"/>
  <c r="U280" i="9"/>
  <c r="W280" i="9" s="1"/>
  <c r="U285" i="9"/>
  <c r="W285" i="9" s="1"/>
  <c r="U287" i="9"/>
  <c r="W287" i="9" s="1"/>
  <c r="L289" i="9"/>
  <c r="L288" i="9" s="1"/>
  <c r="T289" i="9"/>
  <c r="T288" i="9" s="1"/>
  <c r="U291" i="9"/>
  <c r="W291" i="9" s="1"/>
  <c r="T292" i="9"/>
  <c r="U292" i="9" s="1"/>
  <c r="W292" i="9" s="1"/>
  <c r="G298" i="9"/>
  <c r="I298" i="9"/>
  <c r="K298" i="9"/>
  <c r="O298" i="9"/>
  <c r="Q298" i="9"/>
  <c r="L297" i="9"/>
  <c r="M297" i="9" s="1"/>
  <c r="T297" i="9"/>
  <c r="V282" i="9"/>
  <c r="S298" i="9"/>
  <c r="S296" i="9"/>
  <c r="G281" i="9"/>
  <c r="I281" i="9"/>
  <c r="K281" i="9"/>
  <c r="O281" i="9"/>
  <c r="Q281" i="9"/>
  <c r="F283" i="9"/>
  <c r="F284" i="9" s="1"/>
  <c r="H283" i="9"/>
  <c r="J283" i="9"/>
  <c r="N283" i="9"/>
  <c r="R283" i="9"/>
  <c r="G296" i="9"/>
  <c r="I296" i="9"/>
  <c r="K296" i="9"/>
  <c r="O296" i="9"/>
  <c r="Q296" i="9"/>
  <c r="L279" i="9"/>
  <c r="L294" i="9"/>
  <c r="T294" i="9"/>
  <c r="F296" i="9"/>
  <c r="H296" i="9"/>
  <c r="J296" i="9"/>
  <c r="N296" i="9"/>
  <c r="R296" i="9"/>
  <c r="U108" i="9"/>
  <c r="U110" i="9"/>
  <c r="W110" i="9" s="1"/>
  <c r="U112" i="9"/>
  <c r="W112" i="9" s="1"/>
  <c r="U120" i="9"/>
  <c r="X125" i="9" s="1"/>
  <c r="M155" i="9"/>
  <c r="M156" i="9" s="1"/>
  <c r="U155" i="9"/>
  <c r="W155" i="9" s="1"/>
  <c r="U88" i="9"/>
  <c r="V151" i="9"/>
  <c r="U159" i="9"/>
  <c r="V156" i="9"/>
  <c r="M150" i="9"/>
  <c r="U150" i="9"/>
  <c r="L160" i="9"/>
  <c r="M160" i="9" s="1"/>
  <c r="T160" i="9"/>
  <c r="U90" i="9"/>
  <c r="W90" i="9" s="1"/>
  <c r="U89" i="9"/>
  <c r="U79" i="9"/>
  <c r="W79" i="9" s="1"/>
  <c r="U82" i="9"/>
  <c r="U83" i="9"/>
  <c r="M121" i="9"/>
  <c r="L106" i="9"/>
  <c r="V106" i="9"/>
  <c r="U114" i="9"/>
  <c r="W114" i="9" s="1"/>
  <c r="L121" i="9"/>
  <c r="V121" i="9"/>
  <c r="V130" i="9"/>
  <c r="G132" i="9"/>
  <c r="H132" i="9" s="1"/>
  <c r="I132" i="9" s="1"/>
  <c r="J132" i="9" s="1"/>
  <c r="K132" i="9" s="1"/>
  <c r="N132" i="9" s="1"/>
  <c r="O132" i="9" s="1"/>
  <c r="L130" i="9"/>
  <c r="M130" i="9" s="1"/>
  <c r="T130" i="9"/>
  <c r="V115" i="9"/>
  <c r="V111" i="9"/>
  <c r="U78" i="9"/>
  <c r="W78" i="9" s="1"/>
  <c r="T81" i="9"/>
  <c r="U103" i="9"/>
  <c r="U104" i="9"/>
  <c r="U109" i="9"/>
  <c r="M110" i="9"/>
  <c r="T111" i="9"/>
  <c r="M111" i="9"/>
  <c r="U113" i="9"/>
  <c r="W113" i="9" s="1"/>
  <c r="G117" i="9"/>
  <c r="H117" i="9" s="1"/>
  <c r="I117" i="9" s="1"/>
  <c r="J117" i="9" s="1"/>
  <c r="K117" i="9" s="1"/>
  <c r="N117" i="9" s="1"/>
  <c r="O117" i="9" s="1"/>
  <c r="M105" i="9"/>
  <c r="U105" i="9"/>
  <c r="L115" i="9"/>
  <c r="M115" i="9" s="1"/>
  <c r="T115" i="9"/>
  <c r="G87" i="9"/>
  <c r="H87" i="9" s="1"/>
  <c r="I87" i="9" s="1"/>
  <c r="J87" i="9" s="1"/>
  <c r="K87" i="9" s="1"/>
  <c r="N87" i="9" s="1"/>
  <c r="O87" i="9" s="1"/>
  <c r="V76" i="9"/>
  <c r="V81" i="9"/>
  <c r="M80" i="9"/>
  <c r="M81" i="9" s="1"/>
  <c r="U80" i="9"/>
  <c r="L85" i="9"/>
  <c r="M85" i="9" s="1"/>
  <c r="T85" i="9"/>
  <c r="U118" i="8"/>
  <c r="L274" i="8"/>
  <c r="L273" i="8" s="1"/>
  <c r="T274" i="8"/>
  <c r="U276" i="8"/>
  <c r="W276" i="8" s="1"/>
  <c r="T277" i="8"/>
  <c r="U277" i="8" s="1"/>
  <c r="W277" i="8" s="1"/>
  <c r="G283" i="8"/>
  <c r="I283" i="8"/>
  <c r="K283" i="8"/>
  <c r="O283" i="8"/>
  <c r="V288" i="8"/>
  <c r="F298" i="8"/>
  <c r="F299" i="8" s="1"/>
  <c r="H298" i="8"/>
  <c r="J298" i="8"/>
  <c r="N298" i="8"/>
  <c r="P298" i="8"/>
  <c r="R298" i="8"/>
  <c r="U301" i="8"/>
  <c r="W301" i="8" s="1"/>
  <c r="V382" i="8"/>
  <c r="F392" i="8"/>
  <c r="F393" i="8" s="1"/>
  <c r="H392" i="8"/>
  <c r="J392" i="8"/>
  <c r="N392" i="8"/>
  <c r="P392" i="8"/>
  <c r="R392" i="8"/>
  <c r="U389" i="8"/>
  <c r="W389" i="8" s="1"/>
  <c r="U442" i="8"/>
  <c r="W442" i="8" s="1"/>
  <c r="L445" i="8"/>
  <c r="M445" i="8" s="1"/>
  <c r="M444" i="8" s="1"/>
  <c r="T445" i="8"/>
  <c r="T444" i="8" s="1"/>
  <c r="U446" i="8"/>
  <c r="W446" i="8" s="1"/>
  <c r="G454" i="8"/>
  <c r="I454" i="8"/>
  <c r="K454" i="8"/>
  <c r="O454" i="8"/>
  <c r="L453" i="8"/>
  <c r="M453" i="8" s="1"/>
  <c r="T453" i="8"/>
  <c r="U271" i="8"/>
  <c r="W271" i="8" s="1"/>
  <c r="U280" i="8"/>
  <c r="W280" i="8" s="1"/>
  <c r="U285" i="8"/>
  <c r="W285" i="8" s="1"/>
  <c r="U287" i="8"/>
  <c r="W287" i="8" s="1"/>
  <c r="U380" i="8"/>
  <c r="W380" i="8" s="1"/>
  <c r="L383" i="8"/>
  <c r="L382" i="8" s="1"/>
  <c r="T383" i="8"/>
  <c r="T382" i="8" s="1"/>
  <c r="U384" i="8"/>
  <c r="W384" i="8" s="1"/>
  <c r="L391" i="8"/>
  <c r="M391" i="8" s="1"/>
  <c r="T391" i="8"/>
  <c r="U451" i="8"/>
  <c r="U295" i="8"/>
  <c r="W295" i="8" s="1"/>
  <c r="U300" i="8"/>
  <c r="W300" i="8" s="1"/>
  <c r="U302" i="8"/>
  <c r="W302" i="8" s="1"/>
  <c r="U310" i="8"/>
  <c r="W310" i="8" s="1"/>
  <c r="U315" i="8"/>
  <c r="W315" i="8" s="1"/>
  <c r="U317" i="8"/>
  <c r="W317" i="8" s="1"/>
  <c r="U321" i="8"/>
  <c r="W321" i="8" s="1"/>
  <c r="W451" i="8"/>
  <c r="S454" i="8"/>
  <c r="T448" i="8"/>
  <c r="U448" i="8" s="1"/>
  <c r="W448" i="8" s="1"/>
  <c r="G452" i="8"/>
  <c r="I452" i="8"/>
  <c r="K452" i="8"/>
  <c r="O452" i="8"/>
  <c r="L450" i="8"/>
  <c r="T450" i="8"/>
  <c r="F452" i="8"/>
  <c r="H452" i="8"/>
  <c r="J452" i="8"/>
  <c r="N452" i="8"/>
  <c r="P452" i="8"/>
  <c r="R452" i="8"/>
  <c r="S392" i="8"/>
  <c r="S390" i="8"/>
  <c r="T386" i="8"/>
  <c r="U386" i="8" s="1"/>
  <c r="W386" i="8" s="1"/>
  <c r="G390" i="8"/>
  <c r="I390" i="8"/>
  <c r="K390" i="8"/>
  <c r="O390" i="8"/>
  <c r="L388" i="8"/>
  <c r="T388" i="8"/>
  <c r="F390" i="8"/>
  <c r="H390" i="8"/>
  <c r="J390" i="8"/>
  <c r="N390" i="8"/>
  <c r="P390" i="8"/>
  <c r="R390" i="8"/>
  <c r="U119" i="8"/>
  <c r="U124" i="8"/>
  <c r="U270" i="8"/>
  <c r="W270" i="8" s="1"/>
  <c r="U272" i="8"/>
  <c r="W272" i="8" s="1"/>
  <c r="F283" i="8"/>
  <c r="F284" i="8" s="1"/>
  <c r="H283" i="8"/>
  <c r="J283" i="8"/>
  <c r="N283" i="8"/>
  <c r="P283" i="8"/>
  <c r="R283" i="8"/>
  <c r="U286" i="8"/>
  <c r="W286" i="8" s="1"/>
  <c r="L289" i="8"/>
  <c r="M289" i="8" s="1"/>
  <c r="M288" i="8" s="1"/>
  <c r="T289" i="8"/>
  <c r="T288" i="8" s="1"/>
  <c r="U291" i="8"/>
  <c r="W291" i="8" s="1"/>
  <c r="G298" i="8"/>
  <c r="I298" i="8"/>
  <c r="K298" i="8"/>
  <c r="O298" i="8"/>
  <c r="V303" i="8"/>
  <c r="F313" i="8"/>
  <c r="F314" i="8" s="1"/>
  <c r="H313" i="8"/>
  <c r="J313" i="8"/>
  <c r="N313" i="8"/>
  <c r="P313" i="8"/>
  <c r="R313" i="8"/>
  <c r="U316" i="8"/>
  <c r="W316" i="8" s="1"/>
  <c r="L319" i="8"/>
  <c r="M319" i="8" s="1"/>
  <c r="M318" i="8" s="1"/>
  <c r="T319" i="8"/>
  <c r="T318" i="8" s="1"/>
  <c r="U320" i="8"/>
  <c r="W320" i="8" s="1"/>
  <c r="G328" i="8"/>
  <c r="G329" i="8" s="1"/>
  <c r="I328" i="8"/>
  <c r="K328" i="8"/>
  <c r="O328" i="8"/>
  <c r="L327" i="8"/>
  <c r="M327" i="8" s="1"/>
  <c r="T327" i="8"/>
  <c r="U103" i="8"/>
  <c r="U104" i="8"/>
  <c r="U290" i="8"/>
  <c r="W290" i="8" s="1"/>
  <c r="L297" i="8"/>
  <c r="M297" i="8" s="1"/>
  <c r="T297" i="8"/>
  <c r="L312" i="8"/>
  <c r="M312" i="8" s="1"/>
  <c r="T312" i="8"/>
  <c r="U325" i="8"/>
  <c r="W325" i="8" s="1"/>
  <c r="U120" i="8"/>
  <c r="U129" i="8"/>
  <c r="W129" i="8" s="1"/>
  <c r="V273" i="8"/>
  <c r="L282" i="8"/>
  <c r="M282" i="8" s="1"/>
  <c r="T282" i="8"/>
  <c r="L303" i="8"/>
  <c r="V312" i="8"/>
  <c r="V308" i="8"/>
  <c r="V327" i="8"/>
  <c r="V323" i="8"/>
  <c r="T303" i="8"/>
  <c r="S328" i="8"/>
  <c r="S326" i="8"/>
  <c r="L309" i="8"/>
  <c r="T309" i="8"/>
  <c r="F311" i="8"/>
  <c r="H311" i="8"/>
  <c r="J311" i="8"/>
  <c r="N311" i="8"/>
  <c r="P311" i="8"/>
  <c r="R311" i="8"/>
  <c r="T322" i="8"/>
  <c r="U322" i="8" s="1"/>
  <c r="W322" i="8" s="1"/>
  <c r="G326" i="8"/>
  <c r="I326" i="8"/>
  <c r="K326" i="8"/>
  <c r="O326" i="8"/>
  <c r="G311" i="8"/>
  <c r="I311" i="8"/>
  <c r="K311" i="8"/>
  <c r="O311" i="8"/>
  <c r="S311" i="8"/>
  <c r="L324" i="8"/>
  <c r="T324" i="8"/>
  <c r="F326" i="8"/>
  <c r="H326" i="8"/>
  <c r="J326" i="8"/>
  <c r="N326" i="8"/>
  <c r="P326" i="8"/>
  <c r="R326" i="8"/>
  <c r="V297" i="8"/>
  <c r="V293" i="8"/>
  <c r="S298" i="8"/>
  <c r="T273" i="8"/>
  <c r="V278" i="8"/>
  <c r="L279" i="8"/>
  <c r="T279" i="8"/>
  <c r="F281" i="8"/>
  <c r="H281" i="8"/>
  <c r="J281" i="8"/>
  <c r="N281" i="8"/>
  <c r="P281" i="8"/>
  <c r="R281" i="8"/>
  <c r="T292" i="8"/>
  <c r="U292" i="8" s="1"/>
  <c r="W292" i="8" s="1"/>
  <c r="G296" i="8"/>
  <c r="I296" i="8"/>
  <c r="K296" i="8"/>
  <c r="O296" i="8"/>
  <c r="G281" i="8"/>
  <c r="I281" i="8"/>
  <c r="K281" i="8"/>
  <c r="O281" i="8"/>
  <c r="S281" i="8"/>
  <c r="L294" i="8"/>
  <c r="T294" i="8"/>
  <c r="F296" i="8"/>
  <c r="H296" i="8"/>
  <c r="J296" i="8"/>
  <c r="N296" i="8"/>
  <c r="P296" i="8"/>
  <c r="R296" i="8"/>
  <c r="U123" i="8"/>
  <c r="M124" i="8"/>
  <c r="U105" i="8"/>
  <c r="X110" i="8" s="1"/>
  <c r="U78" i="8"/>
  <c r="W78" i="8" s="1"/>
  <c r="M118" i="8"/>
  <c r="M121" i="8"/>
  <c r="R175" i="8"/>
  <c r="P175" i="8"/>
  <c r="N175" i="8"/>
  <c r="U82" i="8"/>
  <c r="L121" i="8"/>
  <c r="V121" i="8"/>
  <c r="U122" i="8"/>
  <c r="W122" i="8" s="1"/>
  <c r="U127" i="8"/>
  <c r="W127" i="8" s="1"/>
  <c r="U128" i="8"/>
  <c r="W128" i="8" s="1"/>
  <c r="G132" i="8"/>
  <c r="H132" i="8" s="1"/>
  <c r="I132" i="8" s="1"/>
  <c r="J132" i="8" s="1"/>
  <c r="K132" i="8" s="1"/>
  <c r="N132" i="8" s="1"/>
  <c r="O132" i="8" s="1"/>
  <c r="P132" i="8" s="1"/>
  <c r="V130" i="8"/>
  <c r="V126" i="8"/>
  <c r="M125" i="8"/>
  <c r="M126" i="8" s="1"/>
  <c r="U125" i="8"/>
  <c r="L130" i="8"/>
  <c r="M130" i="8" s="1"/>
  <c r="T130" i="8"/>
  <c r="L169" i="8"/>
  <c r="M169" i="8" s="1"/>
  <c r="U83" i="8"/>
  <c r="M106" i="8"/>
  <c r="T168" i="8"/>
  <c r="L76" i="8"/>
  <c r="V76" i="8"/>
  <c r="L81" i="8"/>
  <c r="U84" i="8"/>
  <c r="L106" i="8"/>
  <c r="V106" i="8"/>
  <c r="G117" i="8"/>
  <c r="H117" i="8" s="1"/>
  <c r="I117" i="8" s="1"/>
  <c r="J117" i="8" s="1"/>
  <c r="K117" i="8" s="1"/>
  <c r="N117" i="8" s="1"/>
  <c r="O117" i="8" s="1"/>
  <c r="P117" i="8" s="1"/>
  <c r="V115" i="8"/>
  <c r="L115" i="8"/>
  <c r="M115" i="8" s="1"/>
  <c r="T115" i="8"/>
  <c r="L168" i="8"/>
  <c r="M168" i="8" s="1"/>
  <c r="T169" i="8"/>
  <c r="U73" i="8"/>
  <c r="W73" i="8" s="1"/>
  <c r="U74" i="8"/>
  <c r="W74" i="8" s="1"/>
  <c r="U79" i="8"/>
  <c r="W79" i="8" s="1"/>
  <c r="M80" i="8"/>
  <c r="M81" i="8" s="1"/>
  <c r="U80" i="8"/>
  <c r="N87" i="8"/>
  <c r="O87" i="8" s="1"/>
  <c r="P87" i="8" s="1"/>
  <c r="M75" i="8"/>
  <c r="M76" i="8" s="1"/>
  <c r="U75" i="8"/>
  <c r="L85" i="8"/>
  <c r="M85" i="8" s="1"/>
  <c r="T85" i="8"/>
  <c r="T164" i="8"/>
  <c r="L164" i="8"/>
  <c r="M164" i="8" s="1"/>
  <c r="T173" i="8"/>
  <c r="L173" i="8"/>
  <c r="M173" i="8" s="1"/>
  <c r="L170" i="8"/>
  <c r="M170" i="8" s="1"/>
  <c r="T165" i="8"/>
  <c r="L165" i="8"/>
  <c r="M165" i="8" s="1"/>
  <c r="T163" i="8"/>
  <c r="L163" i="8"/>
  <c r="M163" i="8" s="1"/>
  <c r="S453" i="7"/>
  <c r="R453" i="7"/>
  <c r="Q453" i="7"/>
  <c r="P453" i="7"/>
  <c r="O453" i="7"/>
  <c r="N453" i="7"/>
  <c r="K453" i="7"/>
  <c r="J453" i="7"/>
  <c r="I453" i="7"/>
  <c r="H453" i="7"/>
  <c r="G453" i="7"/>
  <c r="F453" i="7"/>
  <c r="V452" i="7"/>
  <c r="V375" i="23" s="1"/>
  <c r="V451" i="7"/>
  <c r="V374" i="23" s="1"/>
  <c r="W374" i="23" s="1"/>
  <c r="T451" i="7"/>
  <c r="L451" i="7"/>
  <c r="M451" i="7" s="1"/>
  <c r="R450" i="7"/>
  <c r="R373" i="23" s="1"/>
  <c r="Q450" i="7"/>
  <c r="Q373" i="23" s="1"/>
  <c r="P450" i="7"/>
  <c r="P373" i="23" s="1"/>
  <c r="O450" i="7"/>
  <c r="O373" i="23" s="1"/>
  <c r="N450" i="7"/>
  <c r="N373" i="23" s="1"/>
  <c r="K450" i="7"/>
  <c r="K373" i="23" s="1"/>
  <c r="J450" i="7"/>
  <c r="J373" i="23" s="1"/>
  <c r="I450" i="7"/>
  <c r="I373" i="23" s="1"/>
  <c r="H450" i="7"/>
  <c r="H373" i="23" s="1"/>
  <c r="G450" i="7"/>
  <c r="G373" i="23" s="1"/>
  <c r="F450" i="7"/>
  <c r="F373" i="23" s="1"/>
  <c r="E449" i="7"/>
  <c r="V448" i="7"/>
  <c r="S450" i="7"/>
  <c r="S373" i="23" s="1"/>
  <c r="L448" i="7"/>
  <c r="M448" i="7" s="1"/>
  <c r="T447" i="7"/>
  <c r="L447" i="7"/>
  <c r="T446" i="7"/>
  <c r="L446" i="7"/>
  <c r="M446" i="7" s="1"/>
  <c r="V445" i="7"/>
  <c r="V368" i="23" s="1"/>
  <c r="V367" i="23" s="1"/>
  <c r="S445" i="7"/>
  <c r="S368" i="23" s="1"/>
  <c r="R445" i="7"/>
  <c r="R368" i="23" s="1"/>
  <c r="Q445" i="7"/>
  <c r="Q368" i="23" s="1"/>
  <c r="P445" i="7"/>
  <c r="P368" i="23" s="1"/>
  <c r="O445" i="7"/>
  <c r="O368" i="23" s="1"/>
  <c r="N445" i="7"/>
  <c r="N368" i="23" s="1"/>
  <c r="K445" i="7"/>
  <c r="K368" i="23" s="1"/>
  <c r="J445" i="7"/>
  <c r="J368" i="23" s="1"/>
  <c r="I445" i="7"/>
  <c r="I368" i="23" s="1"/>
  <c r="H445" i="7"/>
  <c r="H368" i="23" s="1"/>
  <c r="G445" i="7"/>
  <c r="G368" i="23" s="1"/>
  <c r="F445" i="7"/>
  <c r="F368" i="23" s="1"/>
  <c r="T443" i="7"/>
  <c r="L443" i="7"/>
  <c r="T442" i="7"/>
  <c r="L442" i="7"/>
  <c r="M442" i="7" s="1"/>
  <c r="T441" i="7"/>
  <c r="L441" i="7"/>
  <c r="M441" i="7" s="1"/>
  <c r="S391" i="7"/>
  <c r="R391" i="7"/>
  <c r="Q391" i="7"/>
  <c r="P391" i="7"/>
  <c r="O391" i="7"/>
  <c r="N391" i="7"/>
  <c r="K391" i="7"/>
  <c r="J391" i="7"/>
  <c r="I391" i="7"/>
  <c r="H391" i="7"/>
  <c r="G391" i="7"/>
  <c r="F391" i="7"/>
  <c r="V390" i="7"/>
  <c r="V313" i="23" s="1"/>
  <c r="V389" i="7"/>
  <c r="V312" i="23" s="1"/>
  <c r="W312" i="23" s="1"/>
  <c r="T389" i="7"/>
  <c r="L389" i="7"/>
  <c r="M389" i="7" s="1"/>
  <c r="R388" i="7"/>
  <c r="R311" i="23" s="1"/>
  <c r="Q388" i="7"/>
  <c r="Q311" i="23" s="1"/>
  <c r="P388" i="7"/>
  <c r="P311" i="23" s="1"/>
  <c r="O388" i="7"/>
  <c r="O311" i="23" s="1"/>
  <c r="N388" i="7"/>
  <c r="N311" i="23" s="1"/>
  <c r="K388" i="7"/>
  <c r="K311" i="23" s="1"/>
  <c r="J388" i="7"/>
  <c r="J311" i="23" s="1"/>
  <c r="I388" i="7"/>
  <c r="I311" i="23" s="1"/>
  <c r="H388" i="7"/>
  <c r="H311" i="23" s="1"/>
  <c r="G388" i="7"/>
  <c r="G311" i="23" s="1"/>
  <c r="F388" i="7"/>
  <c r="F311" i="23" s="1"/>
  <c r="E387" i="7"/>
  <c r="V386" i="7"/>
  <c r="V309" i="23" s="1"/>
  <c r="S386" i="7"/>
  <c r="S309" i="23" s="1"/>
  <c r="L386" i="7"/>
  <c r="M386" i="7" s="1"/>
  <c r="T385" i="7"/>
  <c r="L385" i="7"/>
  <c r="M385" i="7" s="1"/>
  <c r="T384" i="7"/>
  <c r="L384" i="7"/>
  <c r="M384" i="7" s="1"/>
  <c r="V383" i="7"/>
  <c r="V306" i="23" s="1"/>
  <c r="V305" i="23" s="1"/>
  <c r="S383" i="7"/>
  <c r="S306" i="23" s="1"/>
  <c r="R383" i="7"/>
  <c r="R306" i="23" s="1"/>
  <c r="Q383" i="7"/>
  <c r="Q306" i="23" s="1"/>
  <c r="P383" i="7"/>
  <c r="P306" i="23" s="1"/>
  <c r="O383" i="7"/>
  <c r="O306" i="23" s="1"/>
  <c r="N383" i="7"/>
  <c r="N306" i="23" s="1"/>
  <c r="K383" i="7"/>
  <c r="K306" i="23" s="1"/>
  <c r="J383" i="7"/>
  <c r="J306" i="23" s="1"/>
  <c r="I383" i="7"/>
  <c r="I306" i="23" s="1"/>
  <c r="H383" i="7"/>
  <c r="H306" i="23" s="1"/>
  <c r="G383" i="7"/>
  <c r="G306" i="23" s="1"/>
  <c r="F383" i="7"/>
  <c r="F306" i="23" s="1"/>
  <c r="T381" i="7"/>
  <c r="L381" i="7"/>
  <c r="M381" i="7" s="1"/>
  <c r="T380" i="7"/>
  <c r="L380" i="7"/>
  <c r="M380" i="7" s="1"/>
  <c r="T379" i="7"/>
  <c r="L379" i="7"/>
  <c r="M379" i="7" s="1"/>
  <c r="S327" i="7"/>
  <c r="R327" i="7"/>
  <c r="Q327" i="7"/>
  <c r="P327" i="7"/>
  <c r="O327" i="7"/>
  <c r="N327" i="7"/>
  <c r="K327" i="7"/>
  <c r="J327" i="7"/>
  <c r="I327" i="7"/>
  <c r="H327" i="7"/>
  <c r="G327" i="7"/>
  <c r="F327" i="7"/>
  <c r="V326" i="7"/>
  <c r="V325" i="7"/>
  <c r="T325" i="7"/>
  <c r="L325" i="7"/>
  <c r="M325" i="7" s="1"/>
  <c r="R324" i="7"/>
  <c r="Q324" i="7"/>
  <c r="P324" i="7"/>
  <c r="O324" i="7"/>
  <c r="N324" i="7"/>
  <c r="K324" i="7"/>
  <c r="J324" i="7"/>
  <c r="I324" i="7"/>
  <c r="H324" i="7"/>
  <c r="G324" i="7"/>
  <c r="F324" i="7"/>
  <c r="E323" i="7"/>
  <c r="V322" i="7"/>
  <c r="S324" i="7"/>
  <c r="L322" i="7"/>
  <c r="M322" i="7" s="1"/>
  <c r="T321" i="7"/>
  <c r="L321" i="7"/>
  <c r="M321" i="7" s="1"/>
  <c r="T320" i="7"/>
  <c r="L320" i="7"/>
  <c r="M320" i="7" s="1"/>
  <c r="V319" i="7"/>
  <c r="S319" i="7"/>
  <c r="R319" i="7"/>
  <c r="Q319" i="7"/>
  <c r="P319" i="7"/>
  <c r="O319" i="7"/>
  <c r="N319" i="7"/>
  <c r="K319" i="7"/>
  <c r="J319" i="7"/>
  <c r="I319" i="7"/>
  <c r="H319" i="7"/>
  <c r="G319" i="7"/>
  <c r="F319" i="7"/>
  <c r="T317" i="7"/>
  <c r="L317" i="7"/>
  <c r="M317" i="7" s="1"/>
  <c r="T316" i="7"/>
  <c r="L316" i="7"/>
  <c r="M316" i="7" s="1"/>
  <c r="T315" i="7"/>
  <c r="L315" i="7"/>
  <c r="M315" i="7" s="1"/>
  <c r="S297" i="7"/>
  <c r="R297" i="7"/>
  <c r="Q297" i="7"/>
  <c r="P297" i="7"/>
  <c r="O297" i="7"/>
  <c r="N297" i="7"/>
  <c r="K297" i="7"/>
  <c r="J297" i="7"/>
  <c r="I297" i="7"/>
  <c r="H297" i="7"/>
  <c r="G297" i="7"/>
  <c r="F297" i="7"/>
  <c r="V296" i="7"/>
  <c r="V295" i="7"/>
  <c r="T295" i="7"/>
  <c r="L295" i="7"/>
  <c r="M295" i="7" s="1"/>
  <c r="R294" i="7"/>
  <c r="Q294" i="7"/>
  <c r="P294" i="7"/>
  <c r="O294" i="7"/>
  <c r="N294" i="7"/>
  <c r="K294" i="7"/>
  <c r="J294" i="7"/>
  <c r="I294" i="7"/>
  <c r="H294" i="7"/>
  <c r="G294" i="7"/>
  <c r="F294" i="7"/>
  <c r="E293" i="7"/>
  <c r="V292" i="7"/>
  <c r="S294" i="7"/>
  <c r="L292" i="7"/>
  <c r="M292" i="7" s="1"/>
  <c r="T291" i="7"/>
  <c r="L291" i="7"/>
  <c r="M291" i="7" s="1"/>
  <c r="T290" i="7"/>
  <c r="L290" i="7"/>
  <c r="M290" i="7" s="1"/>
  <c r="V289" i="7"/>
  <c r="S289" i="7"/>
  <c r="R289" i="7"/>
  <c r="Q289" i="7"/>
  <c r="P289" i="7"/>
  <c r="O289" i="7"/>
  <c r="N289" i="7"/>
  <c r="K289" i="7"/>
  <c r="J289" i="7"/>
  <c r="I289" i="7"/>
  <c r="H289" i="7"/>
  <c r="G289" i="7"/>
  <c r="F289" i="7"/>
  <c r="T287" i="7"/>
  <c r="L287" i="7"/>
  <c r="M287" i="7" s="1"/>
  <c r="T286" i="7"/>
  <c r="L286" i="7"/>
  <c r="M286" i="7" s="1"/>
  <c r="T285" i="7"/>
  <c r="L285" i="7"/>
  <c r="M285" i="7" s="1"/>
  <c r="L300" i="7"/>
  <c r="M300" i="7" s="1"/>
  <c r="T300" i="7"/>
  <c r="L301" i="7"/>
  <c r="M301" i="7" s="1"/>
  <c r="T301" i="7"/>
  <c r="V160" i="9" l="1"/>
  <c r="V157" i="23"/>
  <c r="V156" i="23" s="1"/>
  <c r="V85" i="8"/>
  <c r="V82" i="23"/>
  <c r="V371" i="23"/>
  <c r="W371" i="23" s="1"/>
  <c r="J335" i="18"/>
  <c r="W82" i="9"/>
  <c r="P263" i="8"/>
  <c r="W61" i="13"/>
  <c r="V387" i="8"/>
  <c r="V453" i="8"/>
  <c r="U391" i="15"/>
  <c r="U391" i="11"/>
  <c r="I329" i="11"/>
  <c r="J329" i="11" s="1"/>
  <c r="K329" i="11" s="1"/>
  <c r="N329" i="11" s="1"/>
  <c r="O329" i="11" s="1"/>
  <c r="P329" i="11" s="1"/>
  <c r="Q329" i="11" s="1"/>
  <c r="R329" i="11" s="1"/>
  <c r="S329" i="11" s="1"/>
  <c r="G393" i="9"/>
  <c r="H393" i="9" s="1"/>
  <c r="N335" i="9"/>
  <c r="H335" i="9"/>
  <c r="X83" i="13"/>
  <c r="W82" i="15"/>
  <c r="G335" i="9"/>
  <c r="S372" i="23"/>
  <c r="G314" i="8"/>
  <c r="G455" i="8"/>
  <c r="H455" i="8" s="1"/>
  <c r="V293" i="9"/>
  <c r="M445" i="9"/>
  <c r="M444" i="9" s="1"/>
  <c r="W127" i="11"/>
  <c r="L444" i="11"/>
  <c r="U383" i="13"/>
  <c r="U382" i="13" s="1"/>
  <c r="M383" i="13"/>
  <c r="M382" i="13" s="1"/>
  <c r="G455" i="15"/>
  <c r="X451" i="15"/>
  <c r="U445" i="15"/>
  <c r="W445" i="15" s="1"/>
  <c r="W444" i="15" s="1"/>
  <c r="X389" i="15"/>
  <c r="V111" i="18"/>
  <c r="U126" i="19"/>
  <c r="W121" i="19"/>
  <c r="W127" i="19"/>
  <c r="U121" i="19"/>
  <c r="G329" i="19"/>
  <c r="V391" i="18"/>
  <c r="S283" i="8"/>
  <c r="U391" i="19"/>
  <c r="G269" i="8"/>
  <c r="U169" i="8"/>
  <c r="W169" i="8" s="1"/>
  <c r="S281" i="9"/>
  <c r="G299" i="9"/>
  <c r="H299" i="9" s="1"/>
  <c r="X277" i="9"/>
  <c r="U327" i="9"/>
  <c r="V297" i="11"/>
  <c r="H299" i="11"/>
  <c r="I299" i="11" s="1"/>
  <c r="J299" i="11" s="1"/>
  <c r="K299" i="11" s="1"/>
  <c r="N299" i="11" s="1"/>
  <c r="O299" i="11" s="1"/>
  <c r="U453" i="11"/>
  <c r="W83" i="13"/>
  <c r="U289" i="13"/>
  <c r="U288" i="13" s="1"/>
  <c r="G329" i="13"/>
  <c r="H329" i="13" s="1"/>
  <c r="H393" i="15"/>
  <c r="M76" i="19"/>
  <c r="T294" i="18"/>
  <c r="U297" i="18"/>
  <c r="S296" i="18"/>
  <c r="L318" i="19"/>
  <c r="V278" i="19"/>
  <c r="V453" i="18"/>
  <c r="L444" i="18"/>
  <c r="V449" i="19"/>
  <c r="G455" i="9"/>
  <c r="U391" i="13"/>
  <c r="H455" i="11"/>
  <c r="I455" i="11" s="1"/>
  <c r="S259" i="9"/>
  <c r="U414" i="8"/>
  <c r="S335" i="18"/>
  <c r="F335" i="18"/>
  <c r="S335" i="13"/>
  <c r="K335" i="13"/>
  <c r="G335" i="13"/>
  <c r="K335" i="18"/>
  <c r="W157" i="9"/>
  <c r="W156" i="9" s="1"/>
  <c r="G393" i="8"/>
  <c r="M444" i="15"/>
  <c r="W112" i="19"/>
  <c r="W157" i="19"/>
  <c r="T324" i="18"/>
  <c r="W320" i="19"/>
  <c r="G393" i="19"/>
  <c r="H393" i="19" s="1"/>
  <c r="G455" i="19"/>
  <c r="H455" i="19" s="1"/>
  <c r="U445" i="18"/>
  <c r="I256" i="9"/>
  <c r="V81" i="18"/>
  <c r="V81" i="13"/>
  <c r="X80" i="18"/>
  <c r="L444" i="8"/>
  <c r="T27" i="15"/>
  <c r="L382" i="15"/>
  <c r="J455" i="11"/>
  <c r="K455" i="11" s="1"/>
  <c r="N455" i="11" s="1"/>
  <c r="O455" i="11" s="1"/>
  <c r="U453" i="8"/>
  <c r="M383" i="9"/>
  <c r="M382" i="9" s="1"/>
  <c r="X83" i="11"/>
  <c r="U156" i="19"/>
  <c r="U151" i="19"/>
  <c r="M319" i="18"/>
  <c r="M318" i="18" s="1"/>
  <c r="U391" i="18"/>
  <c r="I393" i="11"/>
  <c r="J393" i="11" s="1"/>
  <c r="U383" i="18"/>
  <c r="V264" i="9"/>
  <c r="V263" i="9" s="1"/>
  <c r="Q335" i="9"/>
  <c r="L27" i="15"/>
  <c r="M27" i="15" s="1"/>
  <c r="X80" i="11"/>
  <c r="Q335" i="13"/>
  <c r="I335" i="13"/>
  <c r="R335" i="18"/>
  <c r="G258" i="7"/>
  <c r="G27" i="7" s="1"/>
  <c r="K258" i="7"/>
  <c r="K27" i="7" s="1"/>
  <c r="Q258" i="7"/>
  <c r="Q27" i="7" s="1"/>
  <c r="G275" i="23"/>
  <c r="G305" i="23"/>
  <c r="I275" i="23"/>
  <c r="I305" i="23"/>
  <c r="K275" i="23"/>
  <c r="K305" i="23"/>
  <c r="O275" i="23"/>
  <c r="O305" i="23"/>
  <c r="Q275" i="23"/>
  <c r="Q305" i="23"/>
  <c r="S275" i="23"/>
  <c r="S305" i="23"/>
  <c r="F310" i="23"/>
  <c r="L311" i="23"/>
  <c r="F315" i="23"/>
  <c r="F316" i="23" s="1"/>
  <c r="H310" i="23"/>
  <c r="H315" i="23"/>
  <c r="J310" i="23"/>
  <c r="J315" i="23"/>
  <c r="N310" i="23"/>
  <c r="N315" i="23"/>
  <c r="P310" i="23"/>
  <c r="P315" i="23"/>
  <c r="R310" i="23"/>
  <c r="R315" i="23"/>
  <c r="G367" i="23"/>
  <c r="G337" i="23"/>
  <c r="I367" i="23"/>
  <c r="I337" i="23"/>
  <c r="I258" i="23" s="1"/>
  <c r="K414" i="7"/>
  <c r="L368" i="23"/>
  <c r="O414" i="7"/>
  <c r="Q414" i="7"/>
  <c r="S414" i="7"/>
  <c r="F372" i="23"/>
  <c r="L373" i="23"/>
  <c r="F377" i="23"/>
  <c r="F378" i="23" s="1"/>
  <c r="H372" i="23"/>
  <c r="H377" i="23"/>
  <c r="J372" i="23"/>
  <c r="J377" i="23"/>
  <c r="N372" i="23"/>
  <c r="N377" i="23"/>
  <c r="P372" i="23"/>
  <c r="P377" i="23"/>
  <c r="R372" i="23"/>
  <c r="R377" i="23"/>
  <c r="W78" i="18"/>
  <c r="X83" i="18"/>
  <c r="V160" i="23"/>
  <c r="W160" i="23" s="1"/>
  <c r="W157" i="23"/>
  <c r="W156" i="23" s="1"/>
  <c r="H258" i="7"/>
  <c r="H27" i="7" s="1"/>
  <c r="N258" i="7"/>
  <c r="N27" i="7" s="1"/>
  <c r="R258" i="7"/>
  <c r="R27" i="7" s="1"/>
  <c r="V324" i="7"/>
  <c r="F275" i="23"/>
  <c r="L306" i="23"/>
  <c r="F305" i="23"/>
  <c r="H275" i="23"/>
  <c r="H305" i="23"/>
  <c r="J275" i="23"/>
  <c r="J305" i="23"/>
  <c r="N352" i="7"/>
  <c r="P275" i="23"/>
  <c r="P305" i="23"/>
  <c r="R275" i="23"/>
  <c r="R305" i="23"/>
  <c r="V275" i="23"/>
  <c r="S388" i="7"/>
  <c r="S311" i="23" s="1"/>
  <c r="G310" i="23"/>
  <c r="G315" i="23"/>
  <c r="I310" i="23"/>
  <c r="I315" i="23"/>
  <c r="K310" i="23"/>
  <c r="K315" i="23"/>
  <c r="O310" i="23"/>
  <c r="O315" i="23"/>
  <c r="Q310" i="23"/>
  <c r="Q315" i="23"/>
  <c r="F337" i="23"/>
  <c r="F367" i="23"/>
  <c r="H337" i="23"/>
  <c r="H367" i="23"/>
  <c r="J337" i="23"/>
  <c r="J367" i="23"/>
  <c r="N414" i="7"/>
  <c r="P414" i="7"/>
  <c r="R414" i="7"/>
  <c r="V414" i="7"/>
  <c r="G372" i="23"/>
  <c r="G377" i="23"/>
  <c r="I372" i="23"/>
  <c r="I377" i="23"/>
  <c r="K372" i="23"/>
  <c r="K377" i="23"/>
  <c r="O372" i="23"/>
  <c r="O377" i="23"/>
  <c r="Q372" i="23"/>
  <c r="Q377" i="23"/>
  <c r="K335" i="9"/>
  <c r="P455" i="11"/>
  <c r="Q455" i="11" s="1"/>
  <c r="R455" i="11" s="1"/>
  <c r="S455" i="11" s="1"/>
  <c r="V81" i="8"/>
  <c r="L27" i="11"/>
  <c r="T352" i="18"/>
  <c r="L352" i="18"/>
  <c r="M352" i="18" s="1"/>
  <c r="T352" i="9"/>
  <c r="L352" i="9"/>
  <c r="M352" i="9" s="1"/>
  <c r="G335" i="19"/>
  <c r="T352" i="15"/>
  <c r="N335" i="15"/>
  <c r="T335" i="15" s="1"/>
  <c r="L352" i="15"/>
  <c r="M352" i="15" s="1"/>
  <c r="F335" i="15"/>
  <c r="L335" i="15" s="1"/>
  <c r="M335" i="15" s="1"/>
  <c r="T352" i="13"/>
  <c r="N335" i="13"/>
  <c r="L352" i="13"/>
  <c r="M352" i="13" s="1"/>
  <c r="F335" i="13"/>
  <c r="N335" i="11"/>
  <c r="T352" i="11"/>
  <c r="J335" i="11"/>
  <c r="H335" i="11"/>
  <c r="F335" i="11"/>
  <c r="L352" i="11"/>
  <c r="M352" i="11" s="1"/>
  <c r="T414" i="9"/>
  <c r="L414" i="9"/>
  <c r="M414" i="9" s="1"/>
  <c r="V382" i="7"/>
  <c r="V352" i="7"/>
  <c r="P132" i="9"/>
  <c r="Q132" i="9" s="1"/>
  <c r="R132" i="9" s="1"/>
  <c r="S132" i="9" s="1"/>
  <c r="K393" i="11"/>
  <c r="N393" i="11" s="1"/>
  <c r="O393" i="11" s="1"/>
  <c r="T27" i="18"/>
  <c r="T27" i="13"/>
  <c r="L27" i="13"/>
  <c r="M27" i="13" s="1"/>
  <c r="T335" i="18"/>
  <c r="P335" i="19"/>
  <c r="T352" i="19"/>
  <c r="N335" i="19"/>
  <c r="J335" i="19"/>
  <c r="H335" i="19"/>
  <c r="L352" i="19"/>
  <c r="M352" i="19" s="1"/>
  <c r="F335" i="19"/>
  <c r="T414" i="18"/>
  <c r="L414" i="18"/>
  <c r="M414" i="18" s="1"/>
  <c r="R335" i="11"/>
  <c r="V27" i="11"/>
  <c r="Q335" i="19"/>
  <c r="O335" i="19"/>
  <c r="K335" i="19"/>
  <c r="I335" i="19"/>
  <c r="T414" i="13"/>
  <c r="L414" i="13"/>
  <c r="M414" i="13" s="1"/>
  <c r="V27" i="8"/>
  <c r="W44" i="19"/>
  <c r="X280" i="19"/>
  <c r="T414" i="19"/>
  <c r="L414" i="19"/>
  <c r="M414" i="19" s="1"/>
  <c r="L335" i="18"/>
  <c r="M335" i="18" s="1"/>
  <c r="U453" i="18"/>
  <c r="V27" i="18"/>
  <c r="V27" i="15"/>
  <c r="W44" i="15"/>
  <c r="P87" i="15"/>
  <c r="Q87" i="15" s="1"/>
  <c r="R87" i="15" s="1"/>
  <c r="S87" i="15" s="1"/>
  <c r="V27" i="13"/>
  <c r="W44" i="13"/>
  <c r="V85" i="11"/>
  <c r="U445" i="9"/>
  <c r="U444" i="9" s="1"/>
  <c r="H455" i="9"/>
  <c r="I455" i="9" s="1"/>
  <c r="P162" i="9"/>
  <c r="Q162" i="9" s="1"/>
  <c r="R162" i="9" s="1"/>
  <c r="S162" i="9" s="1"/>
  <c r="V27" i="9"/>
  <c r="Q117" i="8"/>
  <c r="R117" i="8" s="1"/>
  <c r="S117" i="8" s="1"/>
  <c r="Q132" i="8"/>
  <c r="R132" i="8" s="1"/>
  <c r="S132" i="8" s="1"/>
  <c r="W82" i="8"/>
  <c r="Q87" i="8"/>
  <c r="R87" i="8" s="1"/>
  <c r="S87" i="8" s="1"/>
  <c r="T257" i="9"/>
  <c r="T256" i="9" s="1"/>
  <c r="L257" i="9"/>
  <c r="L256" i="9" s="1"/>
  <c r="P299" i="11"/>
  <c r="Q299" i="11" s="1"/>
  <c r="R299" i="11" s="1"/>
  <c r="S299" i="11" s="1"/>
  <c r="P117" i="11"/>
  <c r="Q117" i="11" s="1"/>
  <c r="R117" i="11" s="1"/>
  <c r="S117" i="11" s="1"/>
  <c r="P132" i="11"/>
  <c r="Q132" i="11" s="1"/>
  <c r="R132" i="11" s="1"/>
  <c r="S132" i="11" s="1"/>
  <c r="P162" i="11"/>
  <c r="Q162" i="11" s="1"/>
  <c r="R162" i="11" s="1"/>
  <c r="S162" i="11" s="1"/>
  <c r="V130" i="11"/>
  <c r="U121" i="11"/>
  <c r="P132" i="15"/>
  <c r="Q132" i="15" s="1"/>
  <c r="R132" i="15" s="1"/>
  <c r="S132" i="15" s="1"/>
  <c r="P162" i="15"/>
  <c r="Q162" i="15" s="1"/>
  <c r="R162" i="15" s="1"/>
  <c r="S162" i="15" s="1"/>
  <c r="P117" i="15"/>
  <c r="Q117" i="15" s="1"/>
  <c r="R117" i="15" s="1"/>
  <c r="S117" i="15" s="1"/>
  <c r="M137" i="19"/>
  <c r="M136" i="19" s="1"/>
  <c r="L136" i="19"/>
  <c r="O87" i="13"/>
  <c r="O117" i="13"/>
  <c r="P117" i="13" s="1"/>
  <c r="Q117" i="13" s="1"/>
  <c r="R117" i="13" s="1"/>
  <c r="S117" i="13" s="1"/>
  <c r="O132" i="13"/>
  <c r="P132" i="13" s="1"/>
  <c r="Q132" i="13" s="1"/>
  <c r="R132" i="13" s="1"/>
  <c r="S132" i="13" s="1"/>
  <c r="O162" i="13"/>
  <c r="P162" i="13" s="1"/>
  <c r="Q162" i="13" s="1"/>
  <c r="R162" i="13" s="1"/>
  <c r="S162" i="13" s="1"/>
  <c r="G299" i="13"/>
  <c r="P87" i="9"/>
  <c r="Q87" i="9" s="1"/>
  <c r="R87" i="9" s="1"/>
  <c r="S87" i="9" s="1"/>
  <c r="X110" i="9"/>
  <c r="M106" i="9"/>
  <c r="P117" i="9"/>
  <c r="Q117" i="9" s="1"/>
  <c r="R117" i="9" s="1"/>
  <c r="S117" i="9" s="1"/>
  <c r="O132" i="18"/>
  <c r="P132" i="18" s="1"/>
  <c r="Q132" i="18" s="1"/>
  <c r="R132" i="18" s="1"/>
  <c r="S132" i="18" s="1"/>
  <c r="O117" i="18"/>
  <c r="P117" i="18" s="1"/>
  <c r="Q117" i="18" s="1"/>
  <c r="R117" i="18" s="1"/>
  <c r="S117" i="18" s="1"/>
  <c r="O162" i="18"/>
  <c r="P162" i="18" s="1"/>
  <c r="Q162" i="18" s="1"/>
  <c r="R162" i="18" s="1"/>
  <c r="S162" i="18" s="1"/>
  <c r="X389" i="18"/>
  <c r="X292" i="18"/>
  <c r="X325" i="18"/>
  <c r="X389" i="19"/>
  <c r="H329" i="19"/>
  <c r="I329" i="19" s="1"/>
  <c r="J329" i="19" s="1"/>
  <c r="K329" i="19" s="1"/>
  <c r="N329" i="19" s="1"/>
  <c r="O329" i="19" s="1"/>
  <c r="P329" i="19" s="1"/>
  <c r="Q329" i="19" s="1"/>
  <c r="R329" i="19" s="1"/>
  <c r="S329" i="19" s="1"/>
  <c r="H284" i="19"/>
  <c r="U383" i="8"/>
  <c r="U382" i="8" s="1"/>
  <c r="I393" i="9"/>
  <c r="J393" i="9" s="1"/>
  <c r="K393" i="9" s="1"/>
  <c r="N393" i="9" s="1"/>
  <c r="O393" i="9" s="1"/>
  <c r="U391" i="9"/>
  <c r="T279" i="9"/>
  <c r="G284" i="9"/>
  <c r="H284" i="9" s="1"/>
  <c r="I284" i="9" s="1"/>
  <c r="J284" i="9" s="1"/>
  <c r="K284" i="9" s="1"/>
  <c r="N284" i="9" s="1"/>
  <c r="O284" i="9" s="1"/>
  <c r="V278" i="9"/>
  <c r="O256" i="9"/>
  <c r="W157" i="11"/>
  <c r="U297" i="13"/>
  <c r="W297" i="13" s="1"/>
  <c r="H455" i="15"/>
  <c r="O266" i="8"/>
  <c r="U319" i="19"/>
  <c r="U443" i="7"/>
  <c r="W443" i="7" s="1"/>
  <c r="V444" i="7"/>
  <c r="K266" i="8"/>
  <c r="M383" i="8"/>
  <c r="M382" i="8" s="1"/>
  <c r="U391" i="8"/>
  <c r="H393" i="8"/>
  <c r="I393" i="8" s="1"/>
  <c r="J393" i="8" s="1"/>
  <c r="K393" i="8" s="1"/>
  <c r="N393" i="8" s="1"/>
  <c r="O393" i="8" s="1"/>
  <c r="P393" i="8" s="1"/>
  <c r="Q266" i="9"/>
  <c r="G266" i="9"/>
  <c r="X280" i="9"/>
  <c r="V267" i="9"/>
  <c r="W267" i="9" s="1"/>
  <c r="W122" i="11"/>
  <c r="W121" i="11" s="1"/>
  <c r="L444" i="13"/>
  <c r="U414" i="11"/>
  <c r="P392" i="7"/>
  <c r="U300" i="7"/>
  <c r="W300" i="7" s="1"/>
  <c r="F258" i="7"/>
  <c r="F27" i="7" s="1"/>
  <c r="J258" i="7"/>
  <c r="J27" i="7" s="1"/>
  <c r="P258" i="7"/>
  <c r="P27" i="7" s="1"/>
  <c r="V258" i="7"/>
  <c r="N392" i="7"/>
  <c r="R392" i="7"/>
  <c r="F414" i="7"/>
  <c r="J414" i="7"/>
  <c r="G266" i="8"/>
  <c r="P266" i="8"/>
  <c r="F266" i="8"/>
  <c r="V267" i="8"/>
  <c r="W267" i="8" s="1"/>
  <c r="M274" i="8"/>
  <c r="M273" i="8" s="1"/>
  <c r="K266" i="9"/>
  <c r="X80" i="13"/>
  <c r="W83" i="15"/>
  <c r="L288" i="15"/>
  <c r="W384" i="19"/>
  <c r="J455" i="9"/>
  <c r="K455" i="9" s="1"/>
  <c r="N455" i="9" s="1"/>
  <c r="O455" i="9" s="1"/>
  <c r="L258" i="15"/>
  <c r="M258" i="15" s="1"/>
  <c r="R266" i="9"/>
  <c r="H266" i="9"/>
  <c r="N263" i="8"/>
  <c r="T264" i="8"/>
  <c r="N268" i="8"/>
  <c r="W262" i="9"/>
  <c r="X262" i="9"/>
  <c r="T335" i="8"/>
  <c r="F263" i="9"/>
  <c r="F268" i="9"/>
  <c r="F269" i="9" s="1"/>
  <c r="G269" i="9" s="1"/>
  <c r="L264" i="9"/>
  <c r="L258" i="18"/>
  <c r="M258" i="18" s="1"/>
  <c r="T258" i="13"/>
  <c r="Q259" i="9"/>
  <c r="Q256" i="9"/>
  <c r="V256" i="8"/>
  <c r="L259" i="8"/>
  <c r="M259" i="8" s="1"/>
  <c r="G414" i="7"/>
  <c r="N266" i="8"/>
  <c r="I266" i="9"/>
  <c r="U383" i="9"/>
  <c r="U382" i="9" s="1"/>
  <c r="N263" i="9"/>
  <c r="N268" i="9"/>
  <c r="H263" i="8"/>
  <c r="H268" i="8"/>
  <c r="H269" i="8" s="1"/>
  <c r="S263" i="8"/>
  <c r="T262" i="8"/>
  <c r="U262" i="8" s="1"/>
  <c r="S264" i="9"/>
  <c r="J335" i="9"/>
  <c r="F266" i="9"/>
  <c r="U258" i="9"/>
  <c r="W258" i="9" s="1"/>
  <c r="K259" i="9"/>
  <c r="K256" i="9"/>
  <c r="V335" i="8"/>
  <c r="U258" i="8"/>
  <c r="W258" i="8" s="1"/>
  <c r="V264" i="8"/>
  <c r="V263" i="8" s="1"/>
  <c r="T256" i="8"/>
  <c r="U257" i="8"/>
  <c r="U256" i="8" s="1"/>
  <c r="J266" i="8"/>
  <c r="L258" i="11"/>
  <c r="M258" i="11" s="1"/>
  <c r="N266" i="9"/>
  <c r="V256" i="9"/>
  <c r="T258" i="15"/>
  <c r="T258" i="11"/>
  <c r="V335" i="9"/>
  <c r="J263" i="9"/>
  <c r="J268" i="9"/>
  <c r="T259" i="9"/>
  <c r="O263" i="9"/>
  <c r="O268" i="9"/>
  <c r="G259" i="9"/>
  <c r="G256" i="9"/>
  <c r="O263" i="8"/>
  <c r="O268" i="8"/>
  <c r="M257" i="8"/>
  <c r="M256" i="8" s="1"/>
  <c r="L256" i="8"/>
  <c r="U441" i="7"/>
  <c r="W441" i="7" s="1"/>
  <c r="H414" i="7"/>
  <c r="I258" i="7"/>
  <c r="I27" i="7" s="1"/>
  <c r="O258" i="7"/>
  <c r="O27" i="7" s="1"/>
  <c r="S258" i="7"/>
  <c r="S27" i="7" s="1"/>
  <c r="I414" i="7"/>
  <c r="S266" i="8"/>
  <c r="I266" i="8"/>
  <c r="R266" i="8"/>
  <c r="H266" i="8"/>
  <c r="O266" i="9"/>
  <c r="W83" i="11"/>
  <c r="U445" i="11"/>
  <c r="W445" i="11" s="1"/>
  <c r="W444" i="11" s="1"/>
  <c r="G299" i="15"/>
  <c r="R263" i="9"/>
  <c r="R268" i="9"/>
  <c r="H263" i="9"/>
  <c r="H268" i="9"/>
  <c r="R263" i="8"/>
  <c r="R268" i="8"/>
  <c r="T258" i="18"/>
  <c r="L258" i="13"/>
  <c r="M258" i="13" s="1"/>
  <c r="U415" i="15"/>
  <c r="W415" i="15" s="1"/>
  <c r="F335" i="9"/>
  <c r="J266" i="9"/>
  <c r="L264" i="8"/>
  <c r="I335" i="9"/>
  <c r="I268" i="9"/>
  <c r="I263" i="9"/>
  <c r="L352" i="8"/>
  <c r="M352" i="8" s="1"/>
  <c r="F335" i="8"/>
  <c r="L335" i="8" s="1"/>
  <c r="M335" i="8" s="1"/>
  <c r="I263" i="8"/>
  <c r="I268" i="8"/>
  <c r="T259" i="8"/>
  <c r="U259" i="8" s="1"/>
  <c r="X155" i="9"/>
  <c r="U442" i="7"/>
  <c r="W442" i="7" s="1"/>
  <c r="M443" i="7"/>
  <c r="U447" i="7"/>
  <c r="W447" i="7" s="1"/>
  <c r="L318" i="15"/>
  <c r="H393" i="13"/>
  <c r="I393" i="13" s="1"/>
  <c r="J393" i="13" s="1"/>
  <c r="K393" i="13" s="1"/>
  <c r="N393" i="13" s="1"/>
  <c r="U453" i="13"/>
  <c r="W453" i="13" s="1"/>
  <c r="V294" i="7"/>
  <c r="V297" i="7" s="1"/>
  <c r="G352" i="7"/>
  <c r="I352" i="7"/>
  <c r="K352" i="7"/>
  <c r="K335" i="7" s="1"/>
  <c r="O352" i="7"/>
  <c r="Q352" i="7"/>
  <c r="S352" i="7"/>
  <c r="F392" i="7"/>
  <c r="F393" i="7" s="1"/>
  <c r="H392" i="7"/>
  <c r="J392" i="7"/>
  <c r="F352" i="7"/>
  <c r="H352" i="7"/>
  <c r="J352" i="7"/>
  <c r="P352" i="7"/>
  <c r="R352" i="7"/>
  <c r="V388" i="7"/>
  <c r="G454" i="7"/>
  <c r="I454" i="7"/>
  <c r="K454" i="7"/>
  <c r="U301" i="7"/>
  <c r="W301" i="7" s="1"/>
  <c r="V288" i="7"/>
  <c r="F298" i="7"/>
  <c r="F299" i="7" s="1"/>
  <c r="H298" i="7"/>
  <c r="J298" i="7"/>
  <c r="N298" i="7"/>
  <c r="P298" i="7"/>
  <c r="R298" i="7"/>
  <c r="F328" i="7"/>
  <c r="F329" i="7" s="1"/>
  <c r="H328" i="7"/>
  <c r="J328" i="7"/>
  <c r="N328" i="7"/>
  <c r="P328" i="7"/>
  <c r="R328" i="7"/>
  <c r="U380" i="7"/>
  <c r="W380" i="7" s="1"/>
  <c r="O454" i="7"/>
  <c r="Q454" i="7"/>
  <c r="L453" i="7"/>
  <c r="M453" i="7" s="1"/>
  <c r="T453" i="7"/>
  <c r="W81" i="19"/>
  <c r="W120" i="18"/>
  <c r="X125" i="18"/>
  <c r="W122" i="18"/>
  <c r="X127" i="18"/>
  <c r="W124" i="18"/>
  <c r="X129" i="18"/>
  <c r="W123" i="18"/>
  <c r="X128" i="18"/>
  <c r="X451" i="18"/>
  <c r="W290" i="15"/>
  <c r="U327" i="11"/>
  <c r="U319" i="11"/>
  <c r="U318" i="11" s="1"/>
  <c r="W120" i="9"/>
  <c r="W121" i="9" s="1"/>
  <c r="W381" i="9"/>
  <c r="X386" i="9"/>
  <c r="U121" i="9"/>
  <c r="W385" i="9"/>
  <c r="W384" i="9"/>
  <c r="X389" i="9"/>
  <c r="X112" i="9"/>
  <c r="W272" i="9"/>
  <c r="X158" i="9"/>
  <c r="X310" i="9"/>
  <c r="T382" i="9"/>
  <c r="G329" i="9"/>
  <c r="H329" i="9" s="1"/>
  <c r="I329" i="9" s="1"/>
  <c r="J329" i="9" s="1"/>
  <c r="W120" i="8"/>
  <c r="X125" i="8"/>
  <c r="W124" i="8"/>
  <c r="X129" i="8"/>
  <c r="G299" i="8"/>
  <c r="H299" i="8" s="1"/>
  <c r="I299" i="8" s="1"/>
  <c r="J299" i="8" s="1"/>
  <c r="K299" i="8" s="1"/>
  <c r="N299" i="8" s="1"/>
  <c r="O299" i="8" s="1"/>
  <c r="P299" i="8" s="1"/>
  <c r="U121" i="8"/>
  <c r="X127" i="8"/>
  <c r="W105" i="8"/>
  <c r="W123" i="8"/>
  <c r="X128" i="8"/>
  <c r="W121" i="8"/>
  <c r="U304" i="8"/>
  <c r="U303" i="8" s="1"/>
  <c r="G298" i="7"/>
  <c r="I298" i="7"/>
  <c r="K298" i="7"/>
  <c r="O298" i="7"/>
  <c r="Q298" i="7"/>
  <c r="S328" i="7"/>
  <c r="G328" i="7"/>
  <c r="I328" i="7"/>
  <c r="K328" i="7"/>
  <c r="O328" i="7"/>
  <c r="Q328" i="7"/>
  <c r="L327" i="7"/>
  <c r="M327" i="7" s="1"/>
  <c r="T327" i="7"/>
  <c r="U379" i="7"/>
  <c r="W379" i="7" s="1"/>
  <c r="U381" i="7"/>
  <c r="L383" i="7"/>
  <c r="M383" i="7" s="1"/>
  <c r="M382" i="7" s="1"/>
  <c r="T383" i="7"/>
  <c r="S392" i="7"/>
  <c r="G392" i="7"/>
  <c r="I392" i="7"/>
  <c r="K392" i="7"/>
  <c r="O392" i="7"/>
  <c r="Q392" i="7"/>
  <c r="L391" i="7"/>
  <c r="M391" i="7" s="1"/>
  <c r="T391" i="7"/>
  <c r="T445" i="7"/>
  <c r="T444" i="7" s="1"/>
  <c r="U446" i="7"/>
  <c r="M447" i="7"/>
  <c r="F454" i="7"/>
  <c r="F455" i="7" s="1"/>
  <c r="H454" i="7"/>
  <c r="J454" i="7"/>
  <c r="N454" i="7"/>
  <c r="P454" i="7"/>
  <c r="R454" i="7"/>
  <c r="I299" i="9"/>
  <c r="J299" i="9" s="1"/>
  <c r="K299" i="9" s="1"/>
  <c r="N299" i="9" s="1"/>
  <c r="O299" i="9" s="1"/>
  <c r="K329" i="9"/>
  <c r="N329" i="9" s="1"/>
  <c r="O329" i="9" s="1"/>
  <c r="W159" i="9"/>
  <c r="X159" i="9"/>
  <c r="W77" i="13"/>
  <c r="U274" i="8"/>
  <c r="U327" i="8"/>
  <c r="W327" i="8" s="1"/>
  <c r="H329" i="8"/>
  <c r="G284" i="8"/>
  <c r="W84" i="8"/>
  <c r="X84" i="8"/>
  <c r="W83" i="8"/>
  <c r="X83" i="8"/>
  <c r="W84" i="15"/>
  <c r="X84" i="15"/>
  <c r="U76" i="15"/>
  <c r="W109" i="9"/>
  <c r="X114" i="9"/>
  <c r="W108" i="9"/>
  <c r="X113" i="9"/>
  <c r="W84" i="9"/>
  <c r="X84" i="9"/>
  <c r="W83" i="9"/>
  <c r="X83" i="9"/>
  <c r="L445" i="7"/>
  <c r="M445" i="7" s="1"/>
  <c r="M444" i="7" s="1"/>
  <c r="L297" i="7"/>
  <c r="M297" i="7" s="1"/>
  <c r="V318" i="7"/>
  <c r="X80" i="8"/>
  <c r="L318" i="9"/>
  <c r="U319" i="9"/>
  <c r="U318" i="9" s="1"/>
  <c r="H299" i="13"/>
  <c r="I299" i="13" s="1"/>
  <c r="J299" i="13" s="1"/>
  <c r="K299" i="13" s="1"/>
  <c r="N299" i="13" s="1"/>
  <c r="M319" i="13"/>
  <c r="M318" i="13" s="1"/>
  <c r="U453" i="15"/>
  <c r="U383" i="15"/>
  <c r="U382" i="15" s="1"/>
  <c r="U319" i="15"/>
  <c r="W319" i="15" s="1"/>
  <c r="W318" i="15" s="1"/>
  <c r="U274" i="19"/>
  <c r="W274" i="19" s="1"/>
  <c r="W273" i="19" s="1"/>
  <c r="T382" i="19"/>
  <c r="X295" i="18"/>
  <c r="X386" i="18"/>
  <c r="U327" i="19"/>
  <c r="W451" i="19"/>
  <c r="U445" i="19"/>
  <c r="W445" i="19" s="1"/>
  <c r="W444" i="19" s="1"/>
  <c r="I393" i="19"/>
  <c r="J393" i="19" s="1"/>
  <c r="X448" i="19"/>
  <c r="U450" i="19"/>
  <c r="T449" i="19"/>
  <c r="I455" i="19"/>
  <c r="J455" i="19" s="1"/>
  <c r="K455" i="19" s="1"/>
  <c r="N455" i="19" s="1"/>
  <c r="O455" i="19" s="1"/>
  <c r="P455" i="19" s="1"/>
  <c r="Q455" i="19" s="1"/>
  <c r="R455" i="19" s="1"/>
  <c r="S455" i="19" s="1"/>
  <c r="T452" i="19"/>
  <c r="W453" i="19"/>
  <c r="M450" i="19"/>
  <c r="M449" i="19" s="1"/>
  <c r="L449" i="19"/>
  <c r="L452" i="19"/>
  <c r="M452" i="19" s="1"/>
  <c r="M388" i="19"/>
  <c r="M387" i="19" s="1"/>
  <c r="L387" i="19"/>
  <c r="W383" i="19"/>
  <c r="W382" i="19" s="1"/>
  <c r="U382" i="19"/>
  <c r="K393" i="19"/>
  <c r="N393" i="19" s="1"/>
  <c r="O393" i="19" s="1"/>
  <c r="P393" i="19" s="1"/>
  <c r="Q393" i="19" s="1"/>
  <c r="R393" i="19" s="1"/>
  <c r="S393" i="19" s="1"/>
  <c r="L390" i="19"/>
  <c r="M390" i="19" s="1"/>
  <c r="W391" i="19"/>
  <c r="U388" i="19"/>
  <c r="X388" i="19" s="1"/>
  <c r="T387" i="19"/>
  <c r="T390" i="19"/>
  <c r="X386" i="19"/>
  <c r="U450" i="18"/>
  <c r="T449" i="18"/>
  <c r="W445" i="18"/>
  <c r="W444" i="18" s="1"/>
  <c r="U444" i="18"/>
  <c r="X450" i="18"/>
  <c r="M450" i="18"/>
  <c r="M449" i="18" s="1"/>
  <c r="L449" i="18"/>
  <c r="I455" i="18"/>
  <c r="J455" i="18" s="1"/>
  <c r="K455" i="18" s="1"/>
  <c r="N455" i="18" s="1"/>
  <c r="T452" i="18"/>
  <c r="W453" i="18"/>
  <c r="L452" i="18"/>
  <c r="M452" i="18" s="1"/>
  <c r="X448" i="18"/>
  <c r="M388" i="18"/>
  <c r="M387" i="18" s="1"/>
  <c r="L387" i="18"/>
  <c r="W383" i="18"/>
  <c r="W382" i="18" s="1"/>
  <c r="U382" i="18"/>
  <c r="L390" i="18"/>
  <c r="M390" i="18" s="1"/>
  <c r="W391" i="18"/>
  <c r="U388" i="18"/>
  <c r="T387" i="18"/>
  <c r="I393" i="18"/>
  <c r="J393" i="18" s="1"/>
  <c r="K393" i="18" s="1"/>
  <c r="N393" i="18" s="1"/>
  <c r="T390" i="18"/>
  <c r="U130" i="19"/>
  <c r="W130" i="19" s="1"/>
  <c r="U137" i="19"/>
  <c r="U136" i="19" s="1"/>
  <c r="T281" i="19"/>
  <c r="G329" i="18"/>
  <c r="H329" i="18" s="1"/>
  <c r="I329" i="18" s="1"/>
  <c r="J329" i="18" s="1"/>
  <c r="K329" i="18" s="1"/>
  <c r="N329" i="18" s="1"/>
  <c r="U289" i="18"/>
  <c r="W289" i="18" s="1"/>
  <c r="W288" i="18" s="1"/>
  <c r="U319" i="18"/>
  <c r="W319" i="18" s="1"/>
  <c r="W318" i="18" s="1"/>
  <c r="W126" i="18"/>
  <c r="U327" i="18"/>
  <c r="W327" i="18" s="1"/>
  <c r="X322" i="18"/>
  <c r="U279" i="19"/>
  <c r="T278" i="19"/>
  <c r="I284" i="19"/>
  <c r="J284" i="19" s="1"/>
  <c r="K284" i="19" s="1"/>
  <c r="N284" i="19" s="1"/>
  <c r="O284" i="19" s="1"/>
  <c r="P284" i="19" s="1"/>
  <c r="Q284" i="19" s="1"/>
  <c r="R284" i="19" s="1"/>
  <c r="S284" i="19" s="1"/>
  <c r="W282" i="19"/>
  <c r="M279" i="19"/>
  <c r="M278" i="19" s="1"/>
  <c r="L278" i="19"/>
  <c r="L281" i="19"/>
  <c r="M281" i="19" s="1"/>
  <c r="X277" i="19"/>
  <c r="M324" i="19"/>
  <c r="M323" i="19" s="1"/>
  <c r="L323" i="19"/>
  <c r="W319" i="19"/>
  <c r="W318" i="19" s="1"/>
  <c r="U318" i="19"/>
  <c r="L326" i="19"/>
  <c r="M326" i="19" s="1"/>
  <c r="W327" i="19"/>
  <c r="U324" i="19"/>
  <c r="X324" i="19" s="1"/>
  <c r="T323" i="19"/>
  <c r="T326" i="19"/>
  <c r="X322" i="19"/>
  <c r="V297" i="18"/>
  <c r="W297" i="18" s="1"/>
  <c r="V293" i="18"/>
  <c r="M294" i="18"/>
  <c r="M293" i="18" s="1"/>
  <c r="L293" i="18"/>
  <c r="I299" i="18"/>
  <c r="J299" i="18" s="1"/>
  <c r="T296" i="18"/>
  <c r="U294" i="18"/>
  <c r="U293" i="18" s="1"/>
  <c r="T293" i="18"/>
  <c r="K299" i="18"/>
  <c r="N299" i="18" s="1"/>
  <c r="L296" i="18"/>
  <c r="M296" i="18" s="1"/>
  <c r="U324" i="18"/>
  <c r="T323" i="18"/>
  <c r="U326" i="18"/>
  <c r="M324" i="18"/>
  <c r="M323" i="18" s="1"/>
  <c r="L323" i="18"/>
  <c r="U126" i="18"/>
  <c r="U160" i="18"/>
  <c r="W160" i="18" s="1"/>
  <c r="W152" i="19"/>
  <c r="W151" i="19" s="1"/>
  <c r="U160" i="19"/>
  <c r="W160" i="19" s="1"/>
  <c r="W155" i="19"/>
  <c r="W156" i="19" s="1"/>
  <c r="U85" i="18"/>
  <c r="W85" i="18" s="1"/>
  <c r="U130" i="18"/>
  <c r="W130" i="18" s="1"/>
  <c r="W121" i="18"/>
  <c r="W111" i="18"/>
  <c r="U111" i="18"/>
  <c r="U121" i="18"/>
  <c r="U115" i="19"/>
  <c r="W115" i="19" s="1"/>
  <c r="W125" i="19"/>
  <c r="W126" i="19" s="1"/>
  <c r="W110" i="19"/>
  <c r="W111" i="19" s="1"/>
  <c r="W137" i="19"/>
  <c r="W136" i="19" s="1"/>
  <c r="U106" i="18"/>
  <c r="W105" i="18"/>
  <c r="W106" i="18" s="1"/>
  <c r="U115" i="18"/>
  <c r="W115" i="18" s="1"/>
  <c r="U81" i="19"/>
  <c r="U85" i="19"/>
  <c r="W85" i="19" s="1"/>
  <c r="U76" i="19"/>
  <c r="W75" i="19"/>
  <c r="W76" i="19" s="1"/>
  <c r="W75" i="18"/>
  <c r="W127" i="15"/>
  <c r="W126" i="15" s="1"/>
  <c r="W156" i="15"/>
  <c r="U289" i="15"/>
  <c r="W289" i="15" s="1"/>
  <c r="W288" i="15" s="1"/>
  <c r="H299" i="15"/>
  <c r="I299" i="15" s="1"/>
  <c r="J299" i="15" s="1"/>
  <c r="K299" i="15" s="1"/>
  <c r="N299" i="15" s="1"/>
  <c r="O299" i="15" s="1"/>
  <c r="I455" i="15"/>
  <c r="J455" i="15" s="1"/>
  <c r="K455" i="15" s="1"/>
  <c r="N455" i="15" s="1"/>
  <c r="O455" i="15" s="1"/>
  <c r="G329" i="15"/>
  <c r="H329" i="15" s="1"/>
  <c r="I329" i="15" s="1"/>
  <c r="J329" i="15" s="1"/>
  <c r="K329" i="15" s="1"/>
  <c r="N329" i="15" s="1"/>
  <c r="O329" i="15" s="1"/>
  <c r="X325" i="15"/>
  <c r="I393" i="15"/>
  <c r="J393" i="15" s="1"/>
  <c r="K393" i="15" s="1"/>
  <c r="N393" i="15" s="1"/>
  <c r="O393" i="15" s="1"/>
  <c r="M388" i="15"/>
  <c r="M387" i="15" s="1"/>
  <c r="L387" i="15"/>
  <c r="W383" i="15"/>
  <c r="W382" i="15" s="1"/>
  <c r="L390" i="15"/>
  <c r="M390" i="15" s="1"/>
  <c r="W391" i="15"/>
  <c r="U388" i="15"/>
  <c r="X388" i="15" s="1"/>
  <c r="T387" i="15"/>
  <c r="T390" i="15"/>
  <c r="X386" i="15"/>
  <c r="U450" i="15"/>
  <c r="U449" i="15" s="1"/>
  <c r="T449" i="15"/>
  <c r="U444" i="15"/>
  <c r="L452" i="15"/>
  <c r="M452" i="15" s="1"/>
  <c r="X448" i="15"/>
  <c r="V453" i="15"/>
  <c r="V449" i="15"/>
  <c r="M450" i="15"/>
  <c r="M449" i="15" s="1"/>
  <c r="L449" i="15"/>
  <c r="T452" i="15"/>
  <c r="U452" i="15" s="1"/>
  <c r="U327" i="15"/>
  <c r="W327" i="15" s="1"/>
  <c r="U297" i="15"/>
  <c r="W297" i="15" s="1"/>
  <c r="X292" i="15"/>
  <c r="U326" i="15"/>
  <c r="W326" i="15" s="1"/>
  <c r="U156" i="15"/>
  <c r="U296" i="15"/>
  <c r="W296" i="15" s="1"/>
  <c r="X322" i="15"/>
  <c r="U324" i="15"/>
  <c r="T323" i="15"/>
  <c r="U318" i="15"/>
  <c r="M324" i="15"/>
  <c r="M323" i="15" s="1"/>
  <c r="L323" i="15"/>
  <c r="U294" i="15"/>
  <c r="T293" i="15"/>
  <c r="U288" i="15"/>
  <c r="M294" i="15"/>
  <c r="M293" i="15" s="1"/>
  <c r="L293" i="15"/>
  <c r="U160" i="15"/>
  <c r="W160" i="15" s="1"/>
  <c r="W77" i="15"/>
  <c r="U151" i="15"/>
  <c r="W150" i="15"/>
  <c r="W151" i="15" s="1"/>
  <c r="V115" i="15"/>
  <c r="V130" i="15"/>
  <c r="V126" i="15"/>
  <c r="U130" i="15"/>
  <c r="U121" i="15"/>
  <c r="W120" i="15"/>
  <c r="W121" i="15" s="1"/>
  <c r="U115" i="15"/>
  <c r="U85" i="15"/>
  <c r="W85" i="15" s="1"/>
  <c r="U319" i="13"/>
  <c r="U318" i="13" s="1"/>
  <c r="I329" i="13"/>
  <c r="J329" i="13" s="1"/>
  <c r="K329" i="13" s="1"/>
  <c r="N329" i="13" s="1"/>
  <c r="G455" i="13"/>
  <c r="H455" i="13" s="1"/>
  <c r="I455" i="13" s="1"/>
  <c r="J455" i="13" s="1"/>
  <c r="K455" i="13" s="1"/>
  <c r="N455" i="13" s="1"/>
  <c r="U327" i="13"/>
  <c r="W327" i="13" s="1"/>
  <c r="U445" i="13"/>
  <c r="U444" i="13" s="1"/>
  <c r="T387" i="13"/>
  <c r="U388" i="13"/>
  <c r="T390" i="13"/>
  <c r="W383" i="13"/>
  <c r="W382" i="13" s="1"/>
  <c r="W391" i="13"/>
  <c r="L387" i="13"/>
  <c r="M388" i="13"/>
  <c r="M387" i="13" s="1"/>
  <c r="L390" i="13"/>
  <c r="M390" i="13" s="1"/>
  <c r="T449" i="13"/>
  <c r="U450" i="13"/>
  <c r="T452" i="13"/>
  <c r="L449" i="13"/>
  <c r="M450" i="13"/>
  <c r="M449" i="13" s="1"/>
  <c r="L452" i="13"/>
  <c r="M452" i="13" s="1"/>
  <c r="U160" i="13"/>
  <c r="W160" i="13" s="1"/>
  <c r="T293" i="13"/>
  <c r="U294" i="13"/>
  <c r="T296" i="13"/>
  <c r="W289" i="13"/>
  <c r="W288" i="13" s="1"/>
  <c r="L293" i="13"/>
  <c r="M294" i="13"/>
  <c r="M293" i="13" s="1"/>
  <c r="L296" i="13"/>
  <c r="M296" i="13" s="1"/>
  <c r="T323" i="13"/>
  <c r="U324" i="13"/>
  <c r="T326" i="13"/>
  <c r="L323" i="13"/>
  <c r="M324" i="13"/>
  <c r="M323" i="13" s="1"/>
  <c r="L326" i="13"/>
  <c r="M326" i="13" s="1"/>
  <c r="U115" i="13"/>
  <c r="W115" i="13" s="1"/>
  <c r="U130" i="13"/>
  <c r="V130" i="13"/>
  <c r="W127" i="13"/>
  <c r="W126" i="13" s="1"/>
  <c r="U121" i="13"/>
  <c r="W120" i="13"/>
  <c r="W121" i="13" s="1"/>
  <c r="U85" i="13"/>
  <c r="W85" i="13" s="1"/>
  <c r="U76" i="13"/>
  <c r="L288" i="11"/>
  <c r="U383" i="11"/>
  <c r="W383" i="11" s="1"/>
  <c r="W382" i="11" s="1"/>
  <c r="M383" i="11"/>
  <c r="M382" i="11" s="1"/>
  <c r="L449" i="11"/>
  <c r="M450" i="11"/>
  <c r="M449" i="11" s="1"/>
  <c r="L452" i="11"/>
  <c r="M452" i="11" s="1"/>
  <c r="W453" i="11"/>
  <c r="T449" i="11"/>
  <c r="U450" i="11"/>
  <c r="U444" i="11"/>
  <c r="T452" i="11"/>
  <c r="U452" i="11" s="1"/>
  <c r="W452" i="11" s="1"/>
  <c r="U289" i="11"/>
  <c r="W289" i="11" s="1"/>
  <c r="W288" i="11" s="1"/>
  <c r="T387" i="11"/>
  <c r="U388" i="11"/>
  <c r="T390" i="11"/>
  <c r="W391" i="11"/>
  <c r="L387" i="11"/>
  <c r="M388" i="11"/>
  <c r="M387" i="11" s="1"/>
  <c r="U382" i="11"/>
  <c r="L390" i="11"/>
  <c r="M390" i="11" s="1"/>
  <c r="U160" i="11"/>
  <c r="W160" i="11" s="1"/>
  <c r="W156" i="11"/>
  <c r="U297" i="11"/>
  <c r="W297" i="11" s="1"/>
  <c r="L323" i="11"/>
  <c r="M324" i="11"/>
  <c r="M323" i="11" s="1"/>
  <c r="T323" i="11"/>
  <c r="U324" i="11"/>
  <c r="L326" i="11"/>
  <c r="M326" i="11" s="1"/>
  <c r="T326" i="11"/>
  <c r="W319" i="11"/>
  <c r="W318" i="11" s="1"/>
  <c r="W327" i="11"/>
  <c r="T293" i="11"/>
  <c r="U294" i="11"/>
  <c r="L293" i="11"/>
  <c r="M294" i="11"/>
  <c r="M293" i="11" s="1"/>
  <c r="T296" i="11"/>
  <c r="L296" i="11"/>
  <c r="M296" i="11" s="1"/>
  <c r="U115" i="11"/>
  <c r="W115" i="11" s="1"/>
  <c r="U130" i="11"/>
  <c r="W130" i="11" s="1"/>
  <c r="U156" i="11"/>
  <c r="U151" i="11"/>
  <c r="W150" i="11"/>
  <c r="W151" i="11" s="1"/>
  <c r="W126" i="11"/>
  <c r="U126" i="11"/>
  <c r="U85" i="11"/>
  <c r="W75" i="11"/>
  <c r="L273" i="9"/>
  <c r="L303" i="9"/>
  <c r="G314" i="9"/>
  <c r="H314" i="9" s="1"/>
  <c r="I314" i="9" s="1"/>
  <c r="J314" i="9" s="1"/>
  <c r="K314" i="9" s="1"/>
  <c r="N314" i="9" s="1"/>
  <c r="O314" i="9" s="1"/>
  <c r="L449" i="9"/>
  <c r="M450" i="9"/>
  <c r="M449" i="9" s="1"/>
  <c r="L452" i="9"/>
  <c r="M452" i="9" s="1"/>
  <c r="W445" i="9"/>
  <c r="W444" i="9" s="1"/>
  <c r="W453" i="9"/>
  <c r="T449" i="9"/>
  <c r="U450" i="9"/>
  <c r="T452" i="9"/>
  <c r="T387" i="9"/>
  <c r="U388" i="9"/>
  <c r="X388" i="9" s="1"/>
  <c r="T390" i="9"/>
  <c r="W391" i="9"/>
  <c r="L387" i="9"/>
  <c r="M388" i="9"/>
  <c r="M387" i="9" s="1"/>
  <c r="W383" i="9"/>
  <c r="W382" i="9" s="1"/>
  <c r="L390" i="9"/>
  <c r="M390" i="9" s="1"/>
  <c r="M289" i="9"/>
  <c r="M288" i="9" s="1"/>
  <c r="U304" i="9"/>
  <c r="W304" i="9" s="1"/>
  <c r="W303" i="9" s="1"/>
  <c r="U312" i="9"/>
  <c r="W312" i="9" s="1"/>
  <c r="W111" i="9"/>
  <c r="U111" i="9"/>
  <c r="U297" i="9"/>
  <c r="W297" i="9" s="1"/>
  <c r="U289" i="9"/>
  <c r="W289" i="9" s="1"/>
  <c r="W288" i="9" s="1"/>
  <c r="U274" i="9"/>
  <c r="W274" i="9" s="1"/>
  <c r="L311" i="9"/>
  <c r="M311" i="9" s="1"/>
  <c r="X307" i="9"/>
  <c r="U160" i="9"/>
  <c r="W160" i="9" s="1"/>
  <c r="T281" i="9"/>
  <c r="L281" i="9"/>
  <c r="M281" i="9" s="1"/>
  <c r="W319" i="9"/>
  <c r="W318" i="9" s="1"/>
  <c r="L323" i="9"/>
  <c r="M324" i="9"/>
  <c r="M323" i="9" s="1"/>
  <c r="L308" i="9"/>
  <c r="M309" i="9"/>
  <c r="M308" i="9" s="1"/>
  <c r="S313" i="9"/>
  <c r="S311" i="9"/>
  <c r="T311" i="9" s="1"/>
  <c r="L326" i="9"/>
  <c r="M326" i="9" s="1"/>
  <c r="T323" i="9"/>
  <c r="U324" i="9"/>
  <c r="T308" i="9"/>
  <c r="U309" i="9"/>
  <c r="T326" i="9"/>
  <c r="W327" i="9"/>
  <c r="W282" i="9"/>
  <c r="L293" i="9"/>
  <c r="M294" i="9"/>
  <c r="M293" i="9" s="1"/>
  <c r="L278" i="9"/>
  <c r="M279" i="9"/>
  <c r="M278" i="9" s="1"/>
  <c r="L296" i="9"/>
  <c r="M296" i="9" s="1"/>
  <c r="T293" i="9"/>
  <c r="U294" i="9"/>
  <c r="T278" i="9"/>
  <c r="U279" i="9"/>
  <c r="T296" i="9"/>
  <c r="U156" i="9"/>
  <c r="W150" i="9"/>
  <c r="U81" i="9"/>
  <c r="U130" i="9"/>
  <c r="W130" i="9" s="1"/>
  <c r="U85" i="9"/>
  <c r="W85" i="9" s="1"/>
  <c r="U115" i="9"/>
  <c r="W115" i="9" s="1"/>
  <c r="U106" i="9"/>
  <c r="W105" i="9"/>
  <c r="W106" i="9" s="1"/>
  <c r="W80" i="9"/>
  <c r="U445" i="8"/>
  <c r="U444" i="8" s="1"/>
  <c r="I455" i="8"/>
  <c r="J455" i="8" s="1"/>
  <c r="K455" i="8" s="1"/>
  <c r="N455" i="8" s="1"/>
  <c r="O455" i="8" s="1"/>
  <c r="P455" i="8" s="1"/>
  <c r="I329" i="8"/>
  <c r="J329" i="8" s="1"/>
  <c r="K329" i="8" s="1"/>
  <c r="N329" i="8" s="1"/>
  <c r="O329" i="8" s="1"/>
  <c r="P329" i="8" s="1"/>
  <c r="U319" i="8"/>
  <c r="U318" i="8" s="1"/>
  <c r="U289" i="8"/>
  <c r="U288" i="8" s="1"/>
  <c r="H284" i="8"/>
  <c r="I284" i="8" s="1"/>
  <c r="J284" i="8" s="1"/>
  <c r="K284" i="8" s="1"/>
  <c r="N284" i="8" s="1"/>
  <c r="O284" i="8" s="1"/>
  <c r="P284" i="8" s="1"/>
  <c r="T449" i="8"/>
  <c r="U450" i="8"/>
  <c r="T452" i="8"/>
  <c r="W453" i="8"/>
  <c r="L449" i="8"/>
  <c r="M450" i="8"/>
  <c r="M449" i="8" s="1"/>
  <c r="L452" i="8"/>
  <c r="M452" i="8" s="1"/>
  <c r="T387" i="8"/>
  <c r="U388" i="8"/>
  <c r="T390" i="8"/>
  <c r="W383" i="8"/>
  <c r="W382" i="8" s="1"/>
  <c r="W391" i="8"/>
  <c r="L387" i="8"/>
  <c r="M388" i="8"/>
  <c r="M387" i="8" s="1"/>
  <c r="L390" i="8"/>
  <c r="M390" i="8" s="1"/>
  <c r="H314" i="8"/>
  <c r="I314" i="8" s="1"/>
  <c r="J314" i="8" s="1"/>
  <c r="K314" i="8" s="1"/>
  <c r="N314" i="8" s="1"/>
  <c r="O314" i="8" s="1"/>
  <c r="P314" i="8" s="1"/>
  <c r="U168" i="8"/>
  <c r="W168" i="8" s="1"/>
  <c r="W106" i="8"/>
  <c r="U106" i="8"/>
  <c r="L288" i="8"/>
  <c r="L318" i="8"/>
  <c r="U297" i="8"/>
  <c r="W297" i="8" s="1"/>
  <c r="U282" i="8"/>
  <c r="W282" i="8" s="1"/>
  <c r="U312" i="8"/>
  <c r="W312" i="8" s="1"/>
  <c r="L323" i="8"/>
  <c r="M324" i="8"/>
  <c r="M323" i="8" s="1"/>
  <c r="U309" i="8"/>
  <c r="T308" i="8"/>
  <c r="L326" i="8"/>
  <c r="M326" i="8" s="1"/>
  <c r="T311" i="8"/>
  <c r="T323" i="8"/>
  <c r="U324" i="8"/>
  <c r="M309" i="8"/>
  <c r="M308" i="8" s="1"/>
  <c r="L308" i="8"/>
  <c r="W304" i="8"/>
  <c r="W303" i="8" s="1"/>
  <c r="T326" i="8"/>
  <c r="L311" i="8"/>
  <c r="M311" i="8" s="1"/>
  <c r="L293" i="8"/>
  <c r="M294" i="8"/>
  <c r="M293" i="8" s="1"/>
  <c r="U279" i="8"/>
  <c r="T278" i="8"/>
  <c r="L296" i="8"/>
  <c r="M296" i="8" s="1"/>
  <c r="T281" i="8"/>
  <c r="T293" i="8"/>
  <c r="U294" i="8"/>
  <c r="M279" i="8"/>
  <c r="M278" i="8" s="1"/>
  <c r="L278" i="8"/>
  <c r="W274" i="8"/>
  <c r="W273" i="8" s="1"/>
  <c r="U273" i="8"/>
  <c r="T296" i="8"/>
  <c r="U296" i="8" s="1"/>
  <c r="W296" i="8" s="1"/>
  <c r="L281" i="8"/>
  <c r="M281" i="8" s="1"/>
  <c r="U81" i="8"/>
  <c r="U126" i="8"/>
  <c r="T175" i="8"/>
  <c r="U175" i="8" s="1"/>
  <c r="W125" i="8"/>
  <c r="W126" i="8" s="1"/>
  <c r="U130" i="8"/>
  <c r="W130" i="8" s="1"/>
  <c r="U85" i="8"/>
  <c r="W85" i="8" s="1"/>
  <c r="W80" i="8"/>
  <c r="U115" i="8"/>
  <c r="W115" i="8" s="1"/>
  <c r="U163" i="8"/>
  <c r="W163" i="8" s="1"/>
  <c r="U165" i="8"/>
  <c r="W165" i="8" s="1"/>
  <c r="W75" i="8"/>
  <c r="U173" i="8"/>
  <c r="U164" i="8"/>
  <c r="W164" i="8" s="1"/>
  <c r="U316" i="7"/>
  <c r="W316" i="7" s="1"/>
  <c r="U384" i="7"/>
  <c r="U451" i="7"/>
  <c r="W451" i="7" s="1"/>
  <c r="U389" i="7"/>
  <c r="W389" i="7" s="1"/>
  <c r="L444" i="7"/>
  <c r="S454" i="7"/>
  <c r="S452" i="7"/>
  <c r="S375" i="23" s="1"/>
  <c r="L450" i="7"/>
  <c r="T450" i="7"/>
  <c r="V450" i="7"/>
  <c r="V373" i="23" s="1"/>
  <c r="V372" i="23" s="1"/>
  <c r="F452" i="7"/>
  <c r="F375" i="23" s="1"/>
  <c r="H452" i="7"/>
  <c r="H375" i="23" s="1"/>
  <c r="J452" i="7"/>
  <c r="J375" i="23" s="1"/>
  <c r="N452" i="7"/>
  <c r="N375" i="23" s="1"/>
  <c r="P452" i="7"/>
  <c r="P375" i="23" s="1"/>
  <c r="R452" i="7"/>
  <c r="R375" i="23" s="1"/>
  <c r="T448" i="7"/>
  <c r="U448" i="7" s="1"/>
  <c r="G452" i="7"/>
  <c r="G375" i="23" s="1"/>
  <c r="I452" i="7"/>
  <c r="I375" i="23" s="1"/>
  <c r="K452" i="7"/>
  <c r="K375" i="23" s="1"/>
  <c r="O452" i="7"/>
  <c r="O375" i="23" s="1"/>
  <c r="Q452" i="7"/>
  <c r="Q375" i="23" s="1"/>
  <c r="U315" i="7"/>
  <c r="W315" i="7" s="1"/>
  <c r="U317" i="7"/>
  <c r="L319" i="7"/>
  <c r="L318" i="7" s="1"/>
  <c r="U320" i="7"/>
  <c r="U385" i="7"/>
  <c r="T386" i="7"/>
  <c r="U386" i="7" s="1"/>
  <c r="W386" i="7" s="1"/>
  <c r="U325" i="7"/>
  <c r="W325" i="7" s="1"/>
  <c r="T382" i="7"/>
  <c r="V387" i="7"/>
  <c r="G390" i="7"/>
  <c r="G313" i="23" s="1"/>
  <c r="I390" i="7"/>
  <c r="I313" i="23" s="1"/>
  <c r="K390" i="7"/>
  <c r="K313" i="23" s="1"/>
  <c r="O390" i="7"/>
  <c r="O313" i="23" s="1"/>
  <c r="Q390" i="7"/>
  <c r="Q313" i="23" s="1"/>
  <c r="S390" i="7"/>
  <c r="S313" i="23" s="1"/>
  <c r="L388" i="7"/>
  <c r="T388" i="7"/>
  <c r="F390" i="7"/>
  <c r="F313" i="23" s="1"/>
  <c r="H390" i="7"/>
  <c r="H313" i="23" s="1"/>
  <c r="J390" i="7"/>
  <c r="J313" i="23" s="1"/>
  <c r="N390" i="7"/>
  <c r="N313" i="23" s="1"/>
  <c r="P390" i="7"/>
  <c r="P313" i="23" s="1"/>
  <c r="R390" i="7"/>
  <c r="R313" i="23" s="1"/>
  <c r="T319" i="7"/>
  <c r="T318" i="7" s="1"/>
  <c r="U321" i="7"/>
  <c r="T322" i="7"/>
  <c r="U322" i="7" s="1"/>
  <c r="W322" i="7" s="1"/>
  <c r="G299" i="7"/>
  <c r="V327" i="7"/>
  <c r="V323" i="7"/>
  <c r="G329" i="7"/>
  <c r="G326" i="7"/>
  <c r="I326" i="7"/>
  <c r="K326" i="7"/>
  <c r="O326" i="7"/>
  <c r="Q326" i="7"/>
  <c r="S326" i="7"/>
  <c r="L324" i="7"/>
  <c r="T324" i="7"/>
  <c r="F326" i="7"/>
  <c r="H326" i="7"/>
  <c r="J326" i="7"/>
  <c r="N326" i="7"/>
  <c r="P326" i="7"/>
  <c r="R326" i="7"/>
  <c r="U295" i="7"/>
  <c r="W295" i="7" s="1"/>
  <c r="U285" i="7"/>
  <c r="W285" i="7" s="1"/>
  <c r="U286" i="7"/>
  <c r="W286" i="7" s="1"/>
  <c r="U287" i="7"/>
  <c r="L289" i="7"/>
  <c r="L288" i="7" s="1"/>
  <c r="T289" i="7"/>
  <c r="T288" i="7" s="1"/>
  <c r="U290" i="7"/>
  <c r="U291" i="7"/>
  <c r="T292" i="7"/>
  <c r="U292" i="7" s="1"/>
  <c r="W292" i="7" s="1"/>
  <c r="T297" i="7"/>
  <c r="V293" i="7"/>
  <c r="S298" i="7"/>
  <c r="S296" i="7"/>
  <c r="G296" i="7"/>
  <c r="I296" i="7"/>
  <c r="K296" i="7"/>
  <c r="O296" i="7"/>
  <c r="Q296" i="7"/>
  <c r="L294" i="7"/>
  <c r="T294" i="7"/>
  <c r="F296" i="7"/>
  <c r="H296" i="7"/>
  <c r="J296" i="7"/>
  <c r="N296" i="7"/>
  <c r="P296" i="7"/>
  <c r="R296" i="7"/>
  <c r="V81" i="23" l="1"/>
  <c r="V85" i="23"/>
  <c r="W81" i="9"/>
  <c r="U453" i="7"/>
  <c r="P335" i="7"/>
  <c r="H335" i="7"/>
  <c r="Q335" i="7"/>
  <c r="G335" i="7"/>
  <c r="V335" i="7"/>
  <c r="V391" i="7"/>
  <c r="V311" i="23"/>
  <c r="V310" i="23" s="1"/>
  <c r="M319" i="7"/>
  <c r="M318" i="7" s="1"/>
  <c r="U273" i="19"/>
  <c r="U258" i="18"/>
  <c r="W258" i="18" s="1"/>
  <c r="U445" i="7"/>
  <c r="F335" i="7"/>
  <c r="L335" i="13"/>
  <c r="M335" i="13" s="1"/>
  <c r="T335" i="13"/>
  <c r="T335" i="9"/>
  <c r="S377" i="23"/>
  <c r="T373" i="23"/>
  <c r="U373" i="23" s="1"/>
  <c r="U372" i="23" s="1"/>
  <c r="U288" i="9"/>
  <c r="G316" i="23"/>
  <c r="H316" i="23" s="1"/>
  <c r="I316" i="23" s="1"/>
  <c r="J316" i="23" s="1"/>
  <c r="K316" i="23" s="1"/>
  <c r="N316" i="23" s="1"/>
  <c r="O316" i="23" s="1"/>
  <c r="P316" i="23" s="1"/>
  <c r="Q316" i="23" s="1"/>
  <c r="R316" i="23" s="1"/>
  <c r="U326" i="8"/>
  <c r="W326" i="8" s="1"/>
  <c r="G393" i="7"/>
  <c r="H393" i="7" s="1"/>
  <c r="I393" i="7" s="1"/>
  <c r="J393" i="7" s="1"/>
  <c r="K393" i="7" s="1"/>
  <c r="N393" i="7" s="1"/>
  <c r="O393" i="7" s="1"/>
  <c r="P393" i="7" s="1"/>
  <c r="Q393" i="7" s="1"/>
  <c r="R393" i="7" s="1"/>
  <c r="S393" i="7" s="1"/>
  <c r="U335" i="18"/>
  <c r="W335" i="18" s="1"/>
  <c r="T414" i="7"/>
  <c r="G455" i="7"/>
  <c r="H455" i="7" s="1"/>
  <c r="I455" i="7" s="1"/>
  <c r="J455" i="7" s="1"/>
  <c r="K455" i="7" s="1"/>
  <c r="N455" i="7" s="1"/>
  <c r="O455" i="7" s="1"/>
  <c r="P455" i="7" s="1"/>
  <c r="Q455" i="7" s="1"/>
  <c r="R455" i="7" s="1"/>
  <c r="U27" i="15"/>
  <c r="U297" i="7"/>
  <c r="L382" i="7"/>
  <c r="W273" i="9"/>
  <c r="X324" i="15"/>
  <c r="W453" i="15"/>
  <c r="R335" i="7"/>
  <c r="J335" i="7"/>
  <c r="S335" i="7"/>
  <c r="O335" i="7"/>
  <c r="I335" i="7"/>
  <c r="N335" i="7"/>
  <c r="U257" i="9"/>
  <c r="U256" i="9" s="1"/>
  <c r="M257" i="9"/>
  <c r="M256" i="9" s="1"/>
  <c r="G378" i="23"/>
  <c r="H378" i="23" s="1"/>
  <c r="I378" i="23" s="1"/>
  <c r="J378" i="23" s="1"/>
  <c r="K378" i="23" s="1"/>
  <c r="N378" i="23" s="1"/>
  <c r="O378" i="23" s="1"/>
  <c r="P378" i="23" s="1"/>
  <c r="Q378" i="23" s="1"/>
  <c r="R378" i="23" s="1"/>
  <c r="W85" i="11"/>
  <c r="U258" i="11"/>
  <c r="W258" i="11" s="1"/>
  <c r="I269" i="8"/>
  <c r="J269" i="8" s="1"/>
  <c r="K269" i="8" s="1"/>
  <c r="N269" i="8" s="1"/>
  <c r="O269" i="8" s="1"/>
  <c r="P269" i="8" s="1"/>
  <c r="Q269" i="8" s="1"/>
  <c r="R269" i="8" s="1"/>
  <c r="S269" i="8" s="1"/>
  <c r="H269" i="9"/>
  <c r="I269" i="9" s="1"/>
  <c r="J269" i="9" s="1"/>
  <c r="K269" i="9" s="1"/>
  <c r="N269" i="9" s="1"/>
  <c r="O269" i="9" s="1"/>
  <c r="U414" i="13"/>
  <c r="W414" i="13" s="1"/>
  <c r="U326" i="11"/>
  <c r="W326" i="11" s="1"/>
  <c r="T313" i="23"/>
  <c r="T375" i="23"/>
  <c r="V337" i="23"/>
  <c r="V258" i="23" s="1"/>
  <c r="R337" i="23"/>
  <c r="R258" i="23" s="1"/>
  <c r="R367" i="23"/>
  <c r="P337" i="23"/>
  <c r="P258" i="23" s="1"/>
  <c r="P367" i="23"/>
  <c r="N337" i="23"/>
  <c r="T368" i="23"/>
  <c r="N367" i="23"/>
  <c r="L367" i="23"/>
  <c r="M368" i="23"/>
  <c r="M367" i="23" s="1"/>
  <c r="T309" i="23"/>
  <c r="U309" i="23" s="1"/>
  <c r="V314" i="23"/>
  <c r="W314" i="23" s="1"/>
  <c r="N275" i="23"/>
  <c r="N305" i="23"/>
  <c r="T306" i="23"/>
  <c r="F258" i="23"/>
  <c r="L275" i="23"/>
  <c r="M275" i="23" s="1"/>
  <c r="L372" i="23"/>
  <c r="M373" i="23"/>
  <c r="M372" i="23" s="1"/>
  <c r="S367" i="23"/>
  <c r="S337" i="23"/>
  <c r="S258" i="23" s="1"/>
  <c r="Q367" i="23"/>
  <c r="Q337" i="23"/>
  <c r="Q258" i="23" s="1"/>
  <c r="O367" i="23"/>
  <c r="O337" i="23"/>
  <c r="O258" i="23" s="1"/>
  <c r="K367" i="23"/>
  <c r="K337" i="23"/>
  <c r="K258" i="23" s="1"/>
  <c r="L310" i="23"/>
  <c r="M311" i="23"/>
  <c r="M310" i="23" s="1"/>
  <c r="L313" i="23"/>
  <c r="M313" i="23" s="1"/>
  <c r="L375" i="23"/>
  <c r="M375" i="23" s="1"/>
  <c r="U352" i="9"/>
  <c r="W352" i="9" s="1"/>
  <c r="S310" i="23"/>
  <c r="S315" i="23"/>
  <c r="J258" i="23"/>
  <c r="H258" i="23"/>
  <c r="L305" i="23"/>
  <c r="M306" i="23"/>
  <c r="M305" i="23" s="1"/>
  <c r="T311" i="23"/>
  <c r="G258" i="23"/>
  <c r="U27" i="13"/>
  <c r="T27" i="7"/>
  <c r="Q455" i="8"/>
  <c r="R455" i="8" s="1"/>
  <c r="S455" i="8" s="1"/>
  <c r="P393" i="15"/>
  <c r="Q393" i="15" s="1"/>
  <c r="R393" i="15" s="1"/>
  <c r="S393" i="15" s="1"/>
  <c r="P329" i="9"/>
  <c r="Q329" i="9" s="1"/>
  <c r="R329" i="9" s="1"/>
  <c r="S329" i="9" s="1"/>
  <c r="P393" i="9"/>
  <c r="Q393" i="9" s="1"/>
  <c r="R393" i="9" s="1"/>
  <c r="S393" i="9" s="1"/>
  <c r="U414" i="19"/>
  <c r="W414" i="19" s="1"/>
  <c r="U414" i="18"/>
  <c r="W414" i="18" s="1"/>
  <c r="U352" i="19"/>
  <c r="W352" i="19" s="1"/>
  <c r="P393" i="11"/>
  <c r="Q393" i="11" s="1"/>
  <c r="R393" i="11" s="1"/>
  <c r="S393" i="11" s="1"/>
  <c r="U414" i="9"/>
  <c r="W414" i="9" s="1"/>
  <c r="L335" i="11"/>
  <c r="M335" i="11" s="1"/>
  <c r="T335" i="11"/>
  <c r="U352" i="15"/>
  <c r="W352" i="15" s="1"/>
  <c r="U352" i="18"/>
  <c r="W352" i="18" s="1"/>
  <c r="M27" i="11"/>
  <c r="Q329" i="8"/>
  <c r="R329" i="8" s="1"/>
  <c r="S329" i="8" s="1"/>
  <c r="P455" i="15"/>
  <c r="Q455" i="15" s="1"/>
  <c r="R455" i="15" s="1"/>
  <c r="S455" i="15" s="1"/>
  <c r="P299" i="9"/>
  <c r="Q299" i="9" s="1"/>
  <c r="R299" i="9" s="1"/>
  <c r="S299" i="9" s="1"/>
  <c r="Q299" i="8"/>
  <c r="R299" i="8" s="1"/>
  <c r="S299" i="8" s="1"/>
  <c r="L27" i="7"/>
  <c r="M27" i="7" s="1"/>
  <c r="Q393" i="8"/>
  <c r="R393" i="8" s="1"/>
  <c r="S393" i="8" s="1"/>
  <c r="L335" i="19"/>
  <c r="M335" i="19" s="1"/>
  <c r="T335" i="19"/>
  <c r="U352" i="11"/>
  <c r="W352" i="11" s="1"/>
  <c r="U352" i="13"/>
  <c r="W352" i="13" s="1"/>
  <c r="U335" i="15"/>
  <c r="W335" i="15" s="1"/>
  <c r="H299" i="7"/>
  <c r="I299" i="7" s="1"/>
  <c r="J299" i="7" s="1"/>
  <c r="K299" i="7" s="1"/>
  <c r="N299" i="7" s="1"/>
  <c r="O299" i="7" s="1"/>
  <c r="P299" i="7" s="1"/>
  <c r="Q299" i="7" s="1"/>
  <c r="R299" i="7" s="1"/>
  <c r="U258" i="15"/>
  <c r="W258" i="15" s="1"/>
  <c r="P455" i="9"/>
  <c r="Q455" i="9" s="1"/>
  <c r="R455" i="9" s="1"/>
  <c r="S455" i="9" s="1"/>
  <c r="W81" i="8"/>
  <c r="H329" i="7"/>
  <c r="I329" i="7" s="1"/>
  <c r="J329" i="7" s="1"/>
  <c r="K329" i="7" s="1"/>
  <c r="N329" i="7" s="1"/>
  <c r="O329" i="7" s="1"/>
  <c r="P329" i="7" s="1"/>
  <c r="Q329" i="7" s="1"/>
  <c r="R329" i="7" s="1"/>
  <c r="S329" i="7" s="1"/>
  <c r="P314" i="9"/>
  <c r="Q314" i="9" s="1"/>
  <c r="R314" i="9" s="1"/>
  <c r="S314" i="9" s="1"/>
  <c r="Q314" i="8"/>
  <c r="R314" i="8" s="1"/>
  <c r="S314" i="8" s="1"/>
  <c r="Q284" i="8"/>
  <c r="R284" i="8" s="1"/>
  <c r="S284" i="8" s="1"/>
  <c r="P284" i="9"/>
  <c r="Q284" i="9" s="1"/>
  <c r="R284" i="9" s="1"/>
  <c r="S284" i="9" s="1"/>
  <c r="U273" i="9"/>
  <c r="P329" i="15"/>
  <c r="Q329" i="15" s="1"/>
  <c r="R329" i="15" s="1"/>
  <c r="S329" i="15" s="1"/>
  <c r="P299" i="15"/>
  <c r="Q299" i="15" s="1"/>
  <c r="R299" i="15" s="1"/>
  <c r="S299" i="15" s="1"/>
  <c r="O329" i="13"/>
  <c r="P329" i="13" s="1"/>
  <c r="Q329" i="13" s="1"/>
  <c r="R329" i="13" s="1"/>
  <c r="S329" i="13" s="1"/>
  <c r="O393" i="13"/>
  <c r="P393" i="13" s="1"/>
  <c r="Q393" i="13" s="1"/>
  <c r="R393" i="13" s="1"/>
  <c r="S393" i="13" s="1"/>
  <c r="O455" i="13"/>
  <c r="P455" i="13" s="1"/>
  <c r="Q455" i="13" s="1"/>
  <c r="R455" i="13" s="1"/>
  <c r="S455" i="13" s="1"/>
  <c r="O299" i="13"/>
  <c r="P299" i="13" s="1"/>
  <c r="Q299" i="13" s="1"/>
  <c r="R299" i="13" s="1"/>
  <c r="S299" i="13" s="1"/>
  <c r="O299" i="18"/>
  <c r="P299" i="18" s="1"/>
  <c r="Q299" i="18" s="1"/>
  <c r="R299" i="18" s="1"/>
  <c r="S299" i="18" s="1"/>
  <c r="O329" i="18"/>
  <c r="P329" i="18" s="1"/>
  <c r="Q329" i="18" s="1"/>
  <c r="R329" i="18" s="1"/>
  <c r="S329" i="18" s="1"/>
  <c r="O393" i="18"/>
  <c r="P393" i="18" s="1"/>
  <c r="Q393" i="18" s="1"/>
  <c r="R393" i="18" s="1"/>
  <c r="S393" i="18" s="1"/>
  <c r="O455" i="18"/>
  <c r="P455" i="18" s="1"/>
  <c r="Q455" i="18" s="1"/>
  <c r="R455" i="18" s="1"/>
  <c r="S455" i="18" s="1"/>
  <c r="W76" i="13"/>
  <c r="X279" i="19"/>
  <c r="L259" i="9"/>
  <c r="M259" i="9" s="1"/>
  <c r="W445" i="13"/>
  <c r="W444" i="13" s="1"/>
  <c r="W319" i="13"/>
  <c r="W318" i="13" s="1"/>
  <c r="W289" i="8"/>
  <c r="W288" i="8" s="1"/>
  <c r="W445" i="8"/>
  <c r="W444" i="8" s="1"/>
  <c r="U444" i="19"/>
  <c r="L335" i="7"/>
  <c r="M335" i="7" s="1"/>
  <c r="W259" i="8"/>
  <c r="M264" i="8"/>
  <c r="M263" i="8" s="1"/>
  <c r="L263" i="8"/>
  <c r="S266" i="9"/>
  <c r="T266" i="9" s="1"/>
  <c r="L266" i="9"/>
  <c r="M266" i="9" s="1"/>
  <c r="S268" i="9"/>
  <c r="S263" i="9"/>
  <c r="W262" i="8"/>
  <c r="X262" i="8"/>
  <c r="L258" i="7"/>
  <c r="M258" i="7" s="1"/>
  <c r="T258" i="7"/>
  <c r="U258" i="13"/>
  <c r="W258" i="13" s="1"/>
  <c r="L414" i="7"/>
  <c r="M414" i="7" s="1"/>
  <c r="U352" i="8"/>
  <c r="W352" i="8" s="1"/>
  <c r="T264" i="9"/>
  <c r="M264" i="9"/>
  <c r="M263" i="9" s="1"/>
  <c r="L263" i="9"/>
  <c r="U335" i="8"/>
  <c r="W335" i="8" s="1"/>
  <c r="U264" i="8"/>
  <c r="U263" i="8" s="1"/>
  <c r="T263" i="8"/>
  <c r="U303" i="9"/>
  <c r="L335" i="9"/>
  <c r="T266" i="8"/>
  <c r="W257" i="8"/>
  <c r="W256" i="8" s="1"/>
  <c r="L266" i="8"/>
  <c r="M266" i="8" s="1"/>
  <c r="W115" i="15"/>
  <c r="W76" i="15"/>
  <c r="L352" i="7"/>
  <c r="M352" i="7" s="1"/>
  <c r="U327" i="7"/>
  <c r="W327" i="7" s="1"/>
  <c r="U391" i="7"/>
  <c r="W391" i="7" s="1"/>
  <c r="U383" i="7"/>
  <c r="W383" i="7" s="1"/>
  <c r="T352" i="7"/>
  <c r="W384" i="7"/>
  <c r="X389" i="7"/>
  <c r="W385" i="7"/>
  <c r="W446" i="7"/>
  <c r="X451" i="7"/>
  <c r="W381" i="7"/>
  <c r="X386" i="7"/>
  <c r="M289" i="7"/>
  <c r="M288" i="7" s="1"/>
  <c r="U296" i="9"/>
  <c r="W296" i="9" s="1"/>
  <c r="U281" i="9"/>
  <c r="X281" i="9" s="1"/>
  <c r="W319" i="8"/>
  <c r="W318" i="8" s="1"/>
  <c r="W448" i="7"/>
  <c r="X448" i="7"/>
  <c r="U444" i="7"/>
  <c r="W290" i="7"/>
  <c r="X295" i="7"/>
  <c r="W321" i="7"/>
  <c r="W320" i="7"/>
  <c r="X325" i="7"/>
  <c r="W317" i="7"/>
  <c r="X322" i="7"/>
  <c r="W291" i="7"/>
  <c r="W287" i="7"/>
  <c r="X292" i="7"/>
  <c r="W450" i="15"/>
  <c r="W449" i="15" s="1"/>
  <c r="X450" i="19"/>
  <c r="U288" i="18"/>
  <c r="U318" i="18"/>
  <c r="U449" i="19"/>
  <c r="W450" i="19"/>
  <c r="W449" i="19" s="1"/>
  <c r="U452" i="19"/>
  <c r="U390" i="19"/>
  <c r="U387" i="19"/>
  <c r="W388" i="19"/>
  <c r="W387" i="19" s="1"/>
  <c r="U449" i="18"/>
  <c r="W450" i="18"/>
  <c r="W449" i="18" s="1"/>
  <c r="U452" i="18"/>
  <c r="U387" i="18"/>
  <c r="W388" i="18"/>
  <c r="W387" i="18" s="1"/>
  <c r="U390" i="18"/>
  <c r="X388" i="18"/>
  <c r="U281" i="19"/>
  <c r="X281" i="19" s="1"/>
  <c r="X324" i="18"/>
  <c r="U296" i="18"/>
  <c r="X296" i="18" s="1"/>
  <c r="W294" i="18"/>
  <c r="W293" i="18" s="1"/>
  <c r="U278" i="19"/>
  <c r="W279" i="19"/>
  <c r="W278" i="19" s="1"/>
  <c r="U326" i="19"/>
  <c r="U323" i="19"/>
  <c r="W324" i="19"/>
  <c r="W323" i="19" s="1"/>
  <c r="X294" i="18"/>
  <c r="W296" i="18"/>
  <c r="U323" i="18"/>
  <c r="W324" i="18"/>
  <c r="W323" i="18" s="1"/>
  <c r="W326" i="18"/>
  <c r="X326" i="18"/>
  <c r="X294" i="15"/>
  <c r="X450" i="15"/>
  <c r="U390" i="15"/>
  <c r="U387" i="15"/>
  <c r="W388" i="15"/>
  <c r="W387" i="15" s="1"/>
  <c r="W452" i="15"/>
  <c r="X452" i="15"/>
  <c r="X326" i="15"/>
  <c r="W130" i="15"/>
  <c r="X296" i="15"/>
  <c r="U323" i="15"/>
  <c r="W324" i="15"/>
  <c r="W323" i="15" s="1"/>
  <c r="U293" i="15"/>
  <c r="W294" i="15"/>
  <c r="W293" i="15" s="1"/>
  <c r="U390" i="13"/>
  <c r="W390" i="13" s="1"/>
  <c r="U387" i="13"/>
  <c r="W388" i="13"/>
  <c r="W387" i="13" s="1"/>
  <c r="U449" i="13"/>
  <c r="W450" i="13"/>
  <c r="W449" i="13" s="1"/>
  <c r="U452" i="13"/>
  <c r="W452" i="13" s="1"/>
  <c r="W130" i="13"/>
  <c r="U296" i="13"/>
  <c r="W296" i="13" s="1"/>
  <c r="U293" i="13"/>
  <c r="W294" i="13"/>
  <c r="W293" i="13" s="1"/>
  <c r="U323" i="13"/>
  <c r="W324" i="13"/>
  <c r="W323" i="13" s="1"/>
  <c r="U326" i="13"/>
  <c r="W326" i="13" s="1"/>
  <c r="U288" i="11"/>
  <c r="U449" i="11"/>
  <c r="W450" i="11"/>
  <c r="W449" i="11" s="1"/>
  <c r="U387" i="11"/>
  <c r="W388" i="11"/>
  <c r="W387" i="11" s="1"/>
  <c r="U390" i="11"/>
  <c r="W390" i="11" s="1"/>
  <c r="U323" i="11"/>
  <c r="W324" i="11"/>
  <c r="W323" i="11" s="1"/>
  <c r="U293" i="11"/>
  <c r="W294" i="11"/>
  <c r="W293" i="11" s="1"/>
  <c r="U296" i="11"/>
  <c r="W296" i="11" s="1"/>
  <c r="U452" i="9"/>
  <c r="W452" i="9" s="1"/>
  <c r="U449" i="9"/>
  <c r="W450" i="9"/>
  <c r="W449" i="9" s="1"/>
  <c r="U390" i="9"/>
  <c r="U387" i="9"/>
  <c r="W388" i="9"/>
  <c r="W387" i="9" s="1"/>
  <c r="U311" i="9"/>
  <c r="X311" i="9" s="1"/>
  <c r="U326" i="9"/>
  <c r="W326" i="9" s="1"/>
  <c r="U308" i="9"/>
  <c r="W309" i="9"/>
  <c r="W308" i="9" s="1"/>
  <c r="U323" i="9"/>
  <c r="W324" i="9"/>
  <c r="W323" i="9" s="1"/>
  <c r="X309" i="9"/>
  <c r="U278" i="9"/>
  <c r="W279" i="9"/>
  <c r="W278" i="9" s="1"/>
  <c r="U293" i="9"/>
  <c r="W294" i="9"/>
  <c r="W293" i="9" s="1"/>
  <c r="X279" i="9"/>
  <c r="U449" i="8"/>
  <c r="W450" i="8"/>
  <c r="W449" i="8" s="1"/>
  <c r="U452" i="8"/>
  <c r="W452" i="8" s="1"/>
  <c r="U387" i="8"/>
  <c r="W388" i="8"/>
  <c r="W387" i="8" s="1"/>
  <c r="U390" i="8"/>
  <c r="W390" i="8" s="1"/>
  <c r="U281" i="8"/>
  <c r="W281" i="8" s="1"/>
  <c r="U323" i="8"/>
  <c r="W324" i="8"/>
  <c r="W323" i="8" s="1"/>
  <c r="U308" i="8"/>
  <c r="W309" i="8"/>
  <c r="W308" i="8" s="1"/>
  <c r="U311" i="8"/>
  <c r="W311" i="8" s="1"/>
  <c r="U293" i="8"/>
  <c r="W294" i="8"/>
  <c r="W293" i="8" s="1"/>
  <c r="U278" i="8"/>
  <c r="W279" i="8"/>
  <c r="W278" i="8" s="1"/>
  <c r="X173" i="8"/>
  <c r="U289" i="7"/>
  <c r="U319" i="7"/>
  <c r="W445" i="7"/>
  <c r="W444" i="7" s="1"/>
  <c r="V453" i="7"/>
  <c r="W453" i="7" s="1"/>
  <c r="V449" i="7"/>
  <c r="M450" i="7"/>
  <c r="M449" i="7" s="1"/>
  <c r="L449" i="7"/>
  <c r="U450" i="7"/>
  <c r="U449" i="7" s="1"/>
  <c r="T449" i="7"/>
  <c r="T452" i="7"/>
  <c r="S455" i="7"/>
  <c r="L452" i="7"/>
  <c r="M452" i="7" s="1"/>
  <c r="L387" i="7"/>
  <c r="M388" i="7"/>
  <c r="M387" i="7" s="1"/>
  <c r="T387" i="7"/>
  <c r="U388" i="7"/>
  <c r="T390" i="7"/>
  <c r="U382" i="7"/>
  <c r="L390" i="7"/>
  <c r="M390" i="7" s="1"/>
  <c r="T323" i="7"/>
  <c r="U324" i="7"/>
  <c r="L323" i="7"/>
  <c r="M324" i="7"/>
  <c r="M323" i="7" s="1"/>
  <c r="T326" i="7"/>
  <c r="L326" i="7"/>
  <c r="M326" i="7" s="1"/>
  <c r="L293" i="7"/>
  <c r="M294" i="7"/>
  <c r="M293" i="7" s="1"/>
  <c r="T293" i="7"/>
  <c r="U294" i="7"/>
  <c r="L296" i="7"/>
  <c r="M296" i="7" s="1"/>
  <c r="S299" i="7"/>
  <c r="T296" i="7"/>
  <c r="W297" i="7"/>
  <c r="T372" i="23" l="1"/>
  <c r="T335" i="7"/>
  <c r="U335" i="7" s="1"/>
  <c r="W335" i="7" s="1"/>
  <c r="U335" i="13"/>
  <c r="W335" i="13" s="1"/>
  <c r="S378" i="23"/>
  <c r="U259" i="9"/>
  <c r="W259" i="9" s="1"/>
  <c r="W257" i="9"/>
  <c r="W256" i="9" s="1"/>
  <c r="U296" i="7"/>
  <c r="W296" i="7" s="1"/>
  <c r="W382" i="7"/>
  <c r="X388" i="7"/>
  <c r="U258" i="7"/>
  <c r="W258" i="7" s="1"/>
  <c r="U335" i="19"/>
  <c r="W335" i="19" s="1"/>
  <c r="T337" i="23"/>
  <c r="T310" i="23"/>
  <c r="U311" i="23"/>
  <c r="U306" i="23"/>
  <c r="T305" i="23"/>
  <c r="N258" i="23"/>
  <c r="T258" i="23" s="1"/>
  <c r="T275" i="23"/>
  <c r="U275" i="23" s="1"/>
  <c r="W275" i="23" s="1"/>
  <c r="S316" i="23"/>
  <c r="T367" i="23"/>
  <c r="U368" i="23"/>
  <c r="V376" i="23"/>
  <c r="W376" i="23" s="1"/>
  <c r="W373" i="23"/>
  <c r="W372" i="23" s="1"/>
  <c r="U313" i="23"/>
  <c r="U335" i="11"/>
  <c r="W335" i="11" s="1"/>
  <c r="L337" i="23"/>
  <c r="M337" i="23" s="1"/>
  <c r="L258" i="23"/>
  <c r="M258" i="23" s="1"/>
  <c r="W309" i="23"/>
  <c r="X309" i="23"/>
  <c r="U375" i="23"/>
  <c r="U27" i="7"/>
  <c r="P269" i="9"/>
  <c r="Q269" i="9" s="1"/>
  <c r="R269" i="9" s="1"/>
  <c r="S269" i="9" s="1"/>
  <c r="U266" i="9"/>
  <c r="X266" i="9" s="1"/>
  <c r="W281" i="19"/>
  <c r="W266" i="9"/>
  <c r="M335" i="9"/>
  <c r="U335" i="9"/>
  <c r="W335" i="9" s="1"/>
  <c r="U264" i="9"/>
  <c r="T263" i="9"/>
  <c r="U414" i="7"/>
  <c r="W414" i="7" s="1"/>
  <c r="U266" i="8"/>
  <c r="W264" i="8"/>
  <c r="W263" i="8" s="1"/>
  <c r="X264" i="8"/>
  <c r="U352" i="7"/>
  <c r="W352" i="7" s="1"/>
  <c r="W390" i="9"/>
  <c r="X390" i="9"/>
  <c r="W281" i="9"/>
  <c r="X450" i="7"/>
  <c r="U318" i="7"/>
  <c r="X324" i="7"/>
  <c r="X296" i="7"/>
  <c r="U288" i="7"/>
  <c r="X294" i="7"/>
  <c r="W319" i="7"/>
  <c r="W318" i="7" s="1"/>
  <c r="W289" i="7"/>
  <c r="W288" i="7" s="1"/>
  <c r="W452" i="19"/>
  <c r="X452" i="19"/>
  <c r="W390" i="19"/>
  <c r="X390" i="19"/>
  <c r="W452" i="18"/>
  <c r="X452" i="18"/>
  <c r="X390" i="18"/>
  <c r="W390" i="18"/>
  <c r="W326" i="19"/>
  <c r="X326" i="19"/>
  <c r="W390" i="15"/>
  <c r="X390" i="15"/>
  <c r="W311" i="9"/>
  <c r="W450" i="7"/>
  <c r="W449" i="7" s="1"/>
  <c r="U452" i="7"/>
  <c r="U390" i="7"/>
  <c r="U387" i="7"/>
  <c r="W388" i="7"/>
  <c r="W387" i="7" s="1"/>
  <c r="U323" i="7"/>
  <c r="W324" i="7"/>
  <c r="W323" i="7" s="1"/>
  <c r="U326" i="7"/>
  <c r="U293" i="7"/>
  <c r="W294" i="7"/>
  <c r="W293" i="7" s="1"/>
  <c r="X375" i="23" l="1"/>
  <c r="W375" i="23"/>
  <c r="U337" i="23"/>
  <c r="W337" i="23" s="1"/>
  <c r="U258" i="23"/>
  <c r="W258" i="23" s="1"/>
  <c r="W313" i="23"/>
  <c r="X313" i="23"/>
  <c r="U367" i="23"/>
  <c r="X373" i="23"/>
  <c r="W368" i="23"/>
  <c r="W367" i="23" s="1"/>
  <c r="U305" i="23"/>
  <c r="X311" i="23"/>
  <c r="W306" i="23"/>
  <c r="W305" i="23" s="1"/>
  <c r="U310" i="23"/>
  <c r="W311" i="23"/>
  <c r="W310" i="23" s="1"/>
  <c r="U263" i="9"/>
  <c r="W264" i="9"/>
  <c r="W263" i="9" s="1"/>
  <c r="X264" i="9"/>
  <c r="W266" i="8"/>
  <c r="X266" i="8"/>
  <c r="W390" i="7"/>
  <c r="X390" i="7"/>
  <c r="W452" i="7"/>
  <c r="X452" i="7"/>
  <c r="W326" i="7"/>
  <c r="X326" i="7"/>
  <c r="S130" i="7"/>
  <c r="S131" i="7" s="1"/>
  <c r="R130" i="7"/>
  <c r="R131" i="7" s="1"/>
  <c r="Q130" i="7"/>
  <c r="Q131" i="7" s="1"/>
  <c r="P130" i="7"/>
  <c r="P131" i="7" s="1"/>
  <c r="O130" i="7"/>
  <c r="O131" i="7" s="1"/>
  <c r="N130" i="7"/>
  <c r="N131" i="7" s="1"/>
  <c r="K130" i="7"/>
  <c r="K131" i="7" s="1"/>
  <c r="J130" i="7"/>
  <c r="J131" i="7" s="1"/>
  <c r="I130" i="7"/>
  <c r="I131" i="7" s="1"/>
  <c r="H130" i="7"/>
  <c r="H131" i="7" s="1"/>
  <c r="G130" i="7"/>
  <c r="G131" i="7" s="1"/>
  <c r="F130" i="7"/>
  <c r="F131" i="7" s="1"/>
  <c r="F132" i="7" s="1"/>
  <c r="V129" i="7"/>
  <c r="T129" i="7"/>
  <c r="L129" i="7"/>
  <c r="M129" i="7" s="1"/>
  <c r="V128" i="7"/>
  <c r="T128" i="7"/>
  <c r="L128" i="7"/>
  <c r="M128" i="7" s="1"/>
  <c r="T127" i="7"/>
  <c r="L127" i="7"/>
  <c r="M127" i="7" s="1"/>
  <c r="E126" i="7"/>
  <c r="V125" i="7"/>
  <c r="W125" i="23" s="1"/>
  <c r="T125" i="7"/>
  <c r="L125" i="7"/>
  <c r="T124" i="7"/>
  <c r="L124" i="7"/>
  <c r="T123" i="7"/>
  <c r="L123" i="7"/>
  <c r="M123" i="7" s="1"/>
  <c r="V122" i="7"/>
  <c r="T122" i="7"/>
  <c r="L122" i="7"/>
  <c r="M122" i="7" s="1"/>
  <c r="T120" i="7"/>
  <c r="L120" i="7"/>
  <c r="M120" i="7" s="1"/>
  <c r="T119" i="7"/>
  <c r="L119" i="7"/>
  <c r="M119" i="7" s="1"/>
  <c r="T118" i="7"/>
  <c r="L118" i="7"/>
  <c r="M118" i="7" s="1"/>
  <c r="S115" i="7"/>
  <c r="S116" i="7" s="1"/>
  <c r="R115" i="7"/>
  <c r="R116" i="7" s="1"/>
  <c r="Q115" i="7"/>
  <c r="Q116" i="7" s="1"/>
  <c r="P115" i="7"/>
  <c r="P116" i="7" s="1"/>
  <c r="O115" i="7"/>
  <c r="O116" i="7" s="1"/>
  <c r="N115" i="7"/>
  <c r="N116" i="7" s="1"/>
  <c r="K115" i="7"/>
  <c r="K116" i="7" s="1"/>
  <c r="J115" i="7"/>
  <c r="J116" i="7" s="1"/>
  <c r="I115" i="7"/>
  <c r="I116" i="7" s="1"/>
  <c r="H115" i="7"/>
  <c r="H116" i="7" s="1"/>
  <c r="G115" i="7"/>
  <c r="G116" i="7" s="1"/>
  <c r="F115" i="7"/>
  <c r="F116" i="7" s="1"/>
  <c r="F117" i="7" s="1"/>
  <c r="V114" i="7"/>
  <c r="T114" i="7"/>
  <c r="L114" i="7"/>
  <c r="M114" i="7" s="1"/>
  <c r="V113" i="7"/>
  <c r="T113" i="7"/>
  <c r="L113" i="7"/>
  <c r="M113" i="7" s="1"/>
  <c r="T112" i="7"/>
  <c r="L112" i="7"/>
  <c r="M112" i="7" s="1"/>
  <c r="E111" i="7"/>
  <c r="V110" i="7"/>
  <c r="W110" i="23" s="1"/>
  <c r="T110" i="7"/>
  <c r="L110" i="7"/>
  <c r="T109" i="7"/>
  <c r="L109" i="7"/>
  <c r="M109" i="7" s="1"/>
  <c r="T108" i="7"/>
  <c r="L108" i="7"/>
  <c r="M108" i="7" s="1"/>
  <c r="V107" i="7"/>
  <c r="T107" i="7"/>
  <c r="L107" i="7"/>
  <c r="M107" i="7" s="1"/>
  <c r="T105" i="7"/>
  <c r="L105" i="7"/>
  <c r="T104" i="7"/>
  <c r="L104" i="7"/>
  <c r="M104" i="7" s="1"/>
  <c r="T103" i="7"/>
  <c r="L103" i="7"/>
  <c r="M103" i="7" s="1"/>
  <c r="W122" i="23" l="1"/>
  <c r="W121" i="23" s="1"/>
  <c r="W107" i="23"/>
  <c r="W106" i="23" s="1"/>
  <c r="T121" i="7"/>
  <c r="V112" i="7"/>
  <c r="V127" i="7"/>
  <c r="V126" i="7" s="1"/>
  <c r="L106" i="7"/>
  <c r="V106" i="7"/>
  <c r="L111" i="7"/>
  <c r="L126" i="7"/>
  <c r="U118" i="7"/>
  <c r="U119" i="7"/>
  <c r="U124" i="7"/>
  <c r="W124" i="7" s="1"/>
  <c r="U103" i="7"/>
  <c r="U104" i="7"/>
  <c r="T106" i="7"/>
  <c r="T111" i="7"/>
  <c r="T126" i="7"/>
  <c r="U123" i="7"/>
  <c r="W123" i="7" s="1"/>
  <c r="M124" i="7"/>
  <c r="U120" i="7"/>
  <c r="U129" i="7"/>
  <c r="U108" i="7"/>
  <c r="W108" i="7" s="1"/>
  <c r="U109" i="7"/>
  <c r="W109" i="7" s="1"/>
  <c r="U114" i="7"/>
  <c r="L121" i="7"/>
  <c r="V121" i="7"/>
  <c r="U122" i="7"/>
  <c r="W122" i="7" s="1"/>
  <c r="U127" i="7"/>
  <c r="U128" i="7"/>
  <c r="W128" i="7" s="1"/>
  <c r="M121" i="7"/>
  <c r="G132" i="7"/>
  <c r="H132" i="7" s="1"/>
  <c r="I132" i="7" s="1"/>
  <c r="J132" i="7" s="1"/>
  <c r="K132" i="7" s="1"/>
  <c r="N132" i="7" s="1"/>
  <c r="O132" i="7" s="1"/>
  <c r="P132" i="7" s="1"/>
  <c r="Q132" i="7" s="1"/>
  <c r="R132" i="7" s="1"/>
  <c r="S132" i="7" s="1"/>
  <c r="M125" i="7"/>
  <c r="M126" i="7" s="1"/>
  <c r="U125" i="7"/>
  <c r="L130" i="7"/>
  <c r="M130" i="7" s="1"/>
  <c r="T130" i="7"/>
  <c r="U107" i="7"/>
  <c r="U112" i="7"/>
  <c r="U113" i="7"/>
  <c r="G117" i="7"/>
  <c r="H117" i="7" s="1"/>
  <c r="I117" i="7" s="1"/>
  <c r="J117" i="7" s="1"/>
  <c r="K117" i="7" s="1"/>
  <c r="N117" i="7" s="1"/>
  <c r="O117" i="7" s="1"/>
  <c r="P117" i="7" s="1"/>
  <c r="Q117" i="7" s="1"/>
  <c r="R117" i="7" s="1"/>
  <c r="S117" i="7" s="1"/>
  <c r="V115" i="7"/>
  <c r="M110" i="7"/>
  <c r="M111" i="7" s="1"/>
  <c r="U110" i="7"/>
  <c r="W110" i="7" s="1"/>
  <c r="M105" i="7"/>
  <c r="M106" i="7" s="1"/>
  <c r="U105" i="7"/>
  <c r="L115" i="7"/>
  <c r="M115" i="7" s="1"/>
  <c r="T115" i="7"/>
  <c r="W127" i="7" l="1"/>
  <c r="V130" i="7"/>
  <c r="V130" i="23"/>
  <c r="W130" i="23" s="1"/>
  <c r="W127" i="23"/>
  <c r="W126" i="23" s="1"/>
  <c r="V115" i="23"/>
  <c r="W115" i="23" s="1"/>
  <c r="V111" i="7"/>
  <c r="W112" i="7"/>
  <c r="W111" i="7" s="1"/>
  <c r="X128" i="7"/>
  <c r="X129" i="7"/>
  <c r="W105" i="7"/>
  <c r="X110" i="7"/>
  <c r="W120" i="7"/>
  <c r="W121" i="7" s="1"/>
  <c r="X125" i="7"/>
  <c r="W129" i="7"/>
  <c r="X127" i="7"/>
  <c r="W107" i="7"/>
  <c r="X112" i="7"/>
  <c r="W113" i="7"/>
  <c r="X113" i="7"/>
  <c r="W114" i="7"/>
  <c r="X114" i="7"/>
  <c r="U121" i="7"/>
  <c r="U126" i="7"/>
  <c r="W125" i="7"/>
  <c r="W126" i="7" s="1"/>
  <c r="U130" i="7"/>
  <c r="W130" i="7" s="1"/>
  <c r="U106" i="7"/>
  <c r="U111" i="7"/>
  <c r="U115" i="7"/>
  <c r="W115" i="7" s="1"/>
  <c r="W106" i="7" l="1"/>
  <c r="R85" i="7"/>
  <c r="R86" i="7" s="1"/>
  <c r="Q85" i="7"/>
  <c r="Q86" i="7" s="1"/>
  <c r="P85" i="7"/>
  <c r="O85" i="7"/>
  <c r="O86" i="7" s="1"/>
  <c r="N85" i="7"/>
  <c r="N86" i="7" s="1"/>
  <c r="K85" i="7"/>
  <c r="K86" i="7" s="1"/>
  <c r="J85" i="7"/>
  <c r="F85" i="7"/>
  <c r="V83" i="7"/>
  <c r="T83" i="7"/>
  <c r="L83" i="7"/>
  <c r="M83" i="7" s="1"/>
  <c r="E81" i="7"/>
  <c r="V80" i="7"/>
  <c r="T80" i="7"/>
  <c r="S85" i="7"/>
  <c r="I85" i="7"/>
  <c r="H85" i="7"/>
  <c r="G85" i="7"/>
  <c r="T78" i="7"/>
  <c r="L78" i="7"/>
  <c r="M78" i="7" s="1"/>
  <c r="T77" i="7"/>
  <c r="L77" i="7"/>
  <c r="M77" i="7" s="1"/>
  <c r="T75" i="7"/>
  <c r="L75" i="7"/>
  <c r="M75" i="7" s="1"/>
  <c r="T74" i="7"/>
  <c r="L74" i="7"/>
  <c r="M74" i="7" s="1"/>
  <c r="T73" i="7"/>
  <c r="L73" i="7"/>
  <c r="M73" i="7" s="1"/>
  <c r="T76" i="7" l="1"/>
  <c r="V76" i="23"/>
  <c r="V61" i="23"/>
  <c r="W80" i="23"/>
  <c r="V61" i="7"/>
  <c r="V44" i="7"/>
  <c r="V85" i="7"/>
  <c r="U75" i="7"/>
  <c r="U83" i="7"/>
  <c r="W83" i="7" s="1"/>
  <c r="U78" i="7"/>
  <c r="W78" i="7" s="1"/>
  <c r="U73" i="7"/>
  <c r="U74" i="7"/>
  <c r="U77" i="7"/>
  <c r="S86" i="7"/>
  <c r="M76" i="7"/>
  <c r="L76" i="7"/>
  <c r="V76" i="7"/>
  <c r="T79" i="7"/>
  <c r="M80" i="7"/>
  <c r="L79" i="7"/>
  <c r="M79" i="7" s="1"/>
  <c r="L85" i="7"/>
  <c r="M85" i="7" s="1"/>
  <c r="T85" i="7"/>
  <c r="W61" i="7" l="1"/>
  <c r="J65" i="23"/>
  <c r="J48" i="23" s="1"/>
  <c r="J31" i="23" s="1"/>
  <c r="V81" i="7"/>
  <c r="L95" i="23"/>
  <c r="M95" i="23" s="1"/>
  <c r="V44" i="23"/>
  <c r="V27" i="23" s="1"/>
  <c r="W85" i="23"/>
  <c r="V27" i="7"/>
  <c r="W44" i="7"/>
  <c r="J67" i="8"/>
  <c r="L65" i="8"/>
  <c r="M65" i="8" s="1"/>
  <c r="X83" i="7"/>
  <c r="W75" i="7"/>
  <c r="U76" i="7"/>
  <c r="U85" i="7"/>
  <c r="W85" i="7" s="1"/>
  <c r="U79" i="7"/>
  <c r="W79" i="7" s="1"/>
  <c r="W77" i="7"/>
  <c r="U80" i="7"/>
  <c r="W80" i="7" s="1"/>
  <c r="L48" i="23" l="1"/>
  <c r="M48" i="23" s="1"/>
  <c r="L65" i="23"/>
  <c r="M65" i="23" s="1"/>
  <c r="X80" i="7"/>
  <c r="L31" i="23"/>
  <c r="M31" i="23" s="1"/>
  <c r="J66" i="8"/>
  <c r="J71" i="8"/>
  <c r="W76" i="7"/>
  <c r="J338" i="13" l="1"/>
  <c r="J344" i="13" s="1"/>
  <c r="J355" i="8"/>
  <c r="R338" i="18" l="1"/>
  <c r="R344" i="18" s="1"/>
  <c r="J338" i="8"/>
  <c r="J344" i="8" s="1"/>
  <c r="J361" i="8"/>
  <c r="T355" i="8"/>
  <c r="S338" i="18"/>
  <c r="S344" i="18" s="1"/>
  <c r="T344" i="18" l="1"/>
  <c r="T338" i="18"/>
  <c r="J338" i="18"/>
  <c r="J344" i="18" s="1"/>
  <c r="T338" i="8"/>
  <c r="T344" i="8"/>
  <c r="X356" i="9" l="1"/>
  <c r="L339" i="9"/>
  <c r="M339" i="9" s="1"/>
  <c r="S58" i="23" l="1"/>
  <c r="S41" i="23" s="1"/>
  <c r="S24" i="23" s="1"/>
  <c r="L507" i="19"/>
  <c r="M507" i="19" s="1"/>
  <c r="I498" i="11"/>
  <c r="I338" i="18"/>
  <c r="I344" i="18" s="1"/>
  <c r="H499" i="18"/>
  <c r="H99" i="7"/>
  <c r="G99" i="7"/>
  <c r="S716" i="19"/>
  <c r="R716" i="19"/>
  <c r="Q716" i="19"/>
  <c r="P716" i="19"/>
  <c r="O716" i="19"/>
  <c r="N716" i="19"/>
  <c r="K716" i="19"/>
  <c r="J716" i="19"/>
  <c r="I716" i="19"/>
  <c r="H716" i="19"/>
  <c r="G716" i="19"/>
  <c r="F716" i="19"/>
  <c r="T714" i="19"/>
  <c r="L714" i="19"/>
  <c r="M714" i="19" s="1"/>
  <c r="S717" i="19"/>
  <c r="R717" i="19"/>
  <c r="Q717" i="19"/>
  <c r="P717" i="19"/>
  <c r="O717" i="19"/>
  <c r="N717" i="19"/>
  <c r="E712" i="19"/>
  <c r="T711" i="19"/>
  <c r="L711" i="19"/>
  <c r="M711" i="19" s="1"/>
  <c r="T710" i="19"/>
  <c r="L710" i="19"/>
  <c r="M710" i="19" s="1"/>
  <c r="T709" i="19"/>
  <c r="L709" i="19"/>
  <c r="T706" i="19"/>
  <c r="L706" i="19"/>
  <c r="M706" i="19" s="1"/>
  <c r="T705" i="19"/>
  <c r="L705" i="19"/>
  <c r="M705" i="19" s="1"/>
  <c r="T704" i="19"/>
  <c r="L704" i="19"/>
  <c r="M704" i="19" s="1"/>
  <c r="S686" i="19"/>
  <c r="R686" i="19"/>
  <c r="Q686" i="19"/>
  <c r="P686" i="19"/>
  <c r="O686" i="19"/>
  <c r="N686" i="19"/>
  <c r="K686" i="19"/>
  <c r="J686" i="19"/>
  <c r="I686" i="19"/>
  <c r="H686" i="19"/>
  <c r="G686" i="19"/>
  <c r="F686" i="19"/>
  <c r="V685" i="19"/>
  <c r="V684" i="19"/>
  <c r="T684" i="19"/>
  <c r="L684" i="19"/>
  <c r="M684" i="19" s="1"/>
  <c r="S683" i="19"/>
  <c r="S685" i="19" s="1"/>
  <c r="R683" i="19"/>
  <c r="R685" i="19" s="1"/>
  <c r="Q683" i="19"/>
  <c r="Q685" i="19" s="1"/>
  <c r="P683" i="19"/>
  <c r="P685" i="19" s="1"/>
  <c r="O683" i="19"/>
  <c r="O685" i="19" s="1"/>
  <c r="N683" i="19"/>
  <c r="N685" i="19" s="1"/>
  <c r="K683" i="19"/>
  <c r="K685" i="19" s="1"/>
  <c r="J683" i="19"/>
  <c r="J685" i="19" s="1"/>
  <c r="I683" i="19"/>
  <c r="I685" i="19" s="1"/>
  <c r="H683" i="19"/>
  <c r="H685" i="19" s="1"/>
  <c r="G683" i="19"/>
  <c r="G685" i="19" s="1"/>
  <c r="F683" i="19"/>
  <c r="F685" i="19" s="1"/>
  <c r="E682" i="19"/>
  <c r="V681" i="19"/>
  <c r="T681" i="19"/>
  <c r="L681" i="19"/>
  <c r="M681" i="19" s="1"/>
  <c r="T680" i="19"/>
  <c r="L680" i="19"/>
  <c r="M680" i="19" s="1"/>
  <c r="T679" i="19"/>
  <c r="L679" i="19"/>
  <c r="M679" i="19" s="1"/>
  <c r="V678" i="19"/>
  <c r="V683" i="19" s="1"/>
  <c r="S678" i="19"/>
  <c r="R678" i="19"/>
  <c r="Q678" i="19"/>
  <c r="P678" i="19"/>
  <c r="O678" i="19"/>
  <c r="N678" i="19"/>
  <c r="K678" i="19"/>
  <c r="J678" i="19"/>
  <c r="I678" i="19"/>
  <c r="H678" i="19"/>
  <c r="G678" i="19"/>
  <c r="F678" i="19"/>
  <c r="T676" i="19"/>
  <c r="L676" i="19"/>
  <c r="M676" i="19" s="1"/>
  <c r="T675" i="19"/>
  <c r="L675" i="19"/>
  <c r="M675" i="19" s="1"/>
  <c r="T674" i="19"/>
  <c r="L674" i="19"/>
  <c r="S656" i="19"/>
  <c r="R656" i="19"/>
  <c r="Q656" i="19"/>
  <c r="P656" i="19"/>
  <c r="O656" i="19"/>
  <c r="N656" i="19"/>
  <c r="K656" i="19"/>
  <c r="J656" i="19"/>
  <c r="I656" i="19"/>
  <c r="H656" i="19"/>
  <c r="G656" i="19"/>
  <c r="F656" i="19"/>
  <c r="V655" i="19"/>
  <c r="V654" i="19"/>
  <c r="T654" i="19"/>
  <c r="L654" i="19"/>
  <c r="M654" i="19" s="1"/>
  <c r="S653" i="19"/>
  <c r="S655" i="19" s="1"/>
  <c r="R653" i="19"/>
  <c r="R655" i="19" s="1"/>
  <c r="Q653" i="19"/>
  <c r="Q655" i="19" s="1"/>
  <c r="P653" i="19"/>
  <c r="P655" i="19" s="1"/>
  <c r="O653" i="19"/>
  <c r="O655" i="19" s="1"/>
  <c r="N653" i="19"/>
  <c r="N655" i="19" s="1"/>
  <c r="K653" i="19"/>
  <c r="K655" i="19" s="1"/>
  <c r="J653" i="19"/>
  <c r="J655" i="19" s="1"/>
  <c r="I653" i="19"/>
  <c r="I657" i="19" s="1"/>
  <c r="H653" i="19"/>
  <c r="H655" i="19" s="1"/>
  <c r="G653" i="19"/>
  <c r="G655" i="19" s="1"/>
  <c r="F653" i="19"/>
  <c r="F655" i="19" s="1"/>
  <c r="E652" i="19"/>
  <c r="V651" i="19"/>
  <c r="T651" i="19"/>
  <c r="L651" i="19"/>
  <c r="M651" i="19" s="1"/>
  <c r="T650" i="19"/>
  <c r="L650" i="19"/>
  <c r="M650" i="19" s="1"/>
  <c r="T649" i="19"/>
  <c r="L649" i="19"/>
  <c r="V648" i="19"/>
  <c r="S648" i="19"/>
  <c r="R648" i="19"/>
  <c r="Q648" i="19"/>
  <c r="P648" i="19"/>
  <c r="O648" i="19"/>
  <c r="N648" i="19"/>
  <c r="K648" i="19"/>
  <c r="J648" i="19"/>
  <c r="I648" i="19"/>
  <c r="H648" i="19"/>
  <c r="G648" i="19"/>
  <c r="F648" i="19"/>
  <c r="T646" i="19"/>
  <c r="L646" i="19"/>
  <c r="M646" i="19" s="1"/>
  <c r="T645" i="19"/>
  <c r="L645" i="19"/>
  <c r="T644" i="19"/>
  <c r="L644" i="19"/>
  <c r="M644" i="19" s="1"/>
  <c r="S639" i="19"/>
  <c r="R639" i="19"/>
  <c r="Q639" i="19"/>
  <c r="P639" i="19"/>
  <c r="O639" i="19"/>
  <c r="N639" i="19"/>
  <c r="K639" i="19"/>
  <c r="J639" i="19"/>
  <c r="J545" i="19" s="1"/>
  <c r="J528" i="19" s="1"/>
  <c r="I639" i="19"/>
  <c r="H639" i="19"/>
  <c r="G639" i="19"/>
  <c r="F639" i="19"/>
  <c r="E637" i="19"/>
  <c r="S636" i="19"/>
  <c r="R636" i="19"/>
  <c r="Q636" i="19"/>
  <c r="P636" i="19"/>
  <c r="O636" i="19"/>
  <c r="N636" i="19"/>
  <c r="K636" i="19"/>
  <c r="J636" i="19"/>
  <c r="J542" i="19" s="1"/>
  <c r="J525" i="19" s="1"/>
  <c r="I636" i="19"/>
  <c r="H636" i="19"/>
  <c r="G636" i="19"/>
  <c r="F636" i="19"/>
  <c r="F634" i="19"/>
  <c r="L634" i="19" s="1"/>
  <c r="V629" i="19"/>
  <c r="S629" i="19"/>
  <c r="R629" i="19"/>
  <c r="Q629" i="19"/>
  <c r="P629" i="19"/>
  <c r="O629" i="19"/>
  <c r="N629" i="19"/>
  <c r="K629" i="19"/>
  <c r="J629" i="19"/>
  <c r="J535" i="19" s="1"/>
  <c r="J518" i="19" s="1"/>
  <c r="I629" i="19"/>
  <c r="H629" i="19"/>
  <c r="G629" i="19"/>
  <c r="F629" i="19"/>
  <c r="V628" i="19"/>
  <c r="S628" i="19"/>
  <c r="R628" i="19"/>
  <c r="Q628" i="19"/>
  <c r="P628" i="19"/>
  <c r="O628" i="19"/>
  <c r="N628" i="19"/>
  <c r="K628" i="19"/>
  <c r="J628" i="19"/>
  <c r="J534" i="19" s="1"/>
  <c r="J517" i="19" s="1"/>
  <c r="I628" i="19"/>
  <c r="H628" i="19"/>
  <c r="G628" i="19"/>
  <c r="F628" i="19"/>
  <c r="V627" i="19"/>
  <c r="S627" i="19"/>
  <c r="R627" i="19"/>
  <c r="Q627" i="19"/>
  <c r="P627" i="19"/>
  <c r="O627" i="19"/>
  <c r="N627" i="19"/>
  <c r="K627" i="19"/>
  <c r="J627" i="19"/>
  <c r="J533" i="19" s="1"/>
  <c r="J516" i="19" s="1"/>
  <c r="I627" i="19"/>
  <c r="H627" i="19"/>
  <c r="G627" i="19"/>
  <c r="F627" i="19"/>
  <c r="S609" i="19"/>
  <c r="R609" i="19"/>
  <c r="Q609" i="19"/>
  <c r="P609" i="19"/>
  <c r="O609" i="19"/>
  <c r="O610" i="19" s="1"/>
  <c r="N609" i="19"/>
  <c r="K609" i="19"/>
  <c r="K610" i="19" s="1"/>
  <c r="J609" i="19"/>
  <c r="I609" i="19"/>
  <c r="F609" i="19"/>
  <c r="F610" i="19" s="1"/>
  <c r="V608" i="19"/>
  <c r="H608" i="19"/>
  <c r="G608" i="19"/>
  <c r="F608" i="19"/>
  <c r="V607" i="19"/>
  <c r="T607" i="19"/>
  <c r="L607" i="19"/>
  <c r="M607" i="19" s="1"/>
  <c r="R608" i="19"/>
  <c r="Q608" i="19"/>
  <c r="P608" i="19"/>
  <c r="O608" i="19"/>
  <c r="N608" i="19"/>
  <c r="K608" i="19"/>
  <c r="J608" i="19"/>
  <c r="E605" i="19"/>
  <c r="V604" i="19"/>
  <c r="S604" i="19"/>
  <c r="L604" i="19"/>
  <c r="M604" i="19" s="1"/>
  <c r="I608" i="19"/>
  <c r="T603" i="19"/>
  <c r="T602" i="19"/>
  <c r="L602" i="19"/>
  <c r="M602" i="19" s="1"/>
  <c r="V601" i="19"/>
  <c r="E600" i="19"/>
  <c r="T599" i="19"/>
  <c r="L599" i="19"/>
  <c r="M599" i="19" s="1"/>
  <c r="T598" i="19"/>
  <c r="L598" i="19"/>
  <c r="M598" i="19" s="1"/>
  <c r="T597" i="19"/>
  <c r="L597" i="19"/>
  <c r="M597" i="19" s="1"/>
  <c r="S579" i="19"/>
  <c r="R579" i="19"/>
  <c r="Q579" i="19"/>
  <c r="P579" i="19"/>
  <c r="O579" i="19"/>
  <c r="N579" i="19"/>
  <c r="K579" i="19"/>
  <c r="K580" i="19" s="1"/>
  <c r="J579" i="19"/>
  <c r="I579" i="19"/>
  <c r="F579" i="19"/>
  <c r="F580" i="19" s="1"/>
  <c r="F581" i="19" s="1"/>
  <c r="V578" i="19"/>
  <c r="V563" i="19" s="1"/>
  <c r="J578" i="19"/>
  <c r="J563" i="19" s="1"/>
  <c r="H578" i="19"/>
  <c r="G578" i="19"/>
  <c r="F578" i="19"/>
  <c r="V577" i="19"/>
  <c r="T577" i="19"/>
  <c r="L577" i="19"/>
  <c r="M577" i="19" s="1"/>
  <c r="R578" i="19"/>
  <c r="Q578" i="19"/>
  <c r="O578" i="19"/>
  <c r="O563" i="19" s="1"/>
  <c r="N578" i="19"/>
  <c r="N563" i="19" s="1"/>
  <c r="E575" i="19"/>
  <c r="L574" i="19"/>
  <c r="M574" i="19" s="1"/>
  <c r="T573" i="19"/>
  <c r="H579" i="19"/>
  <c r="G579" i="19"/>
  <c r="T572" i="19"/>
  <c r="L572" i="19"/>
  <c r="M572" i="19" s="1"/>
  <c r="V571" i="19"/>
  <c r="E570" i="19"/>
  <c r="T569" i="19"/>
  <c r="T568" i="19"/>
  <c r="T567" i="19"/>
  <c r="Q564" i="19"/>
  <c r="R545" i="19"/>
  <c r="R528" i="19" s="1"/>
  <c r="P545" i="19"/>
  <c r="P528" i="19" s="1"/>
  <c r="N545" i="19"/>
  <c r="N528" i="19" s="1"/>
  <c r="H545" i="19"/>
  <c r="H528" i="19" s="1"/>
  <c r="F545" i="19"/>
  <c r="E560" i="19"/>
  <c r="R559" i="19"/>
  <c r="Q559" i="19"/>
  <c r="P559" i="19"/>
  <c r="O559" i="19"/>
  <c r="O542" i="19" s="1"/>
  <c r="O525" i="19" s="1"/>
  <c r="N559" i="19"/>
  <c r="K559" i="19"/>
  <c r="I559" i="19"/>
  <c r="I542" i="19" s="1"/>
  <c r="H559" i="19"/>
  <c r="G559" i="19"/>
  <c r="F559" i="19"/>
  <c r="F557" i="19"/>
  <c r="F554" i="19"/>
  <c r="F556" i="19" s="1"/>
  <c r="L556" i="19" s="1"/>
  <c r="E553" i="19"/>
  <c r="V535" i="19"/>
  <c r="V518" i="19" s="1"/>
  <c r="H535" i="19"/>
  <c r="V551" i="19"/>
  <c r="S551" i="19"/>
  <c r="S534" i="19" s="1"/>
  <c r="S517" i="19" s="1"/>
  <c r="R551" i="19"/>
  <c r="Q551" i="19"/>
  <c r="Q534" i="19" s="1"/>
  <c r="Q517" i="19" s="1"/>
  <c r="P551" i="19"/>
  <c r="O551" i="19"/>
  <c r="O534" i="19" s="1"/>
  <c r="O517" i="19" s="1"/>
  <c r="N551" i="19"/>
  <c r="K551" i="19"/>
  <c r="K534" i="19" s="1"/>
  <c r="K517" i="19" s="1"/>
  <c r="I551" i="19"/>
  <c r="I534" i="19" s="1"/>
  <c r="I517" i="19" s="1"/>
  <c r="H551" i="19"/>
  <c r="G551" i="19"/>
  <c r="G534" i="19" s="1"/>
  <c r="G517" i="19" s="1"/>
  <c r="F551" i="19"/>
  <c r="V550" i="19"/>
  <c r="V533" i="19" s="1"/>
  <c r="V516" i="19" s="1"/>
  <c r="S550" i="19"/>
  <c r="R550" i="19"/>
  <c r="R533" i="19" s="1"/>
  <c r="R516" i="19" s="1"/>
  <c r="Q550" i="19"/>
  <c r="P550" i="19"/>
  <c r="P533" i="19" s="1"/>
  <c r="P516" i="19" s="1"/>
  <c r="O550" i="19"/>
  <c r="N550" i="19"/>
  <c r="N533" i="19" s="1"/>
  <c r="K550" i="19"/>
  <c r="I550" i="19"/>
  <c r="I533" i="19" s="1"/>
  <c r="I516" i="19" s="1"/>
  <c r="H550" i="19"/>
  <c r="H533" i="19" s="1"/>
  <c r="H516" i="19" s="1"/>
  <c r="G550" i="19"/>
  <c r="F550" i="19"/>
  <c r="E544" i="19"/>
  <c r="E527" i="19" s="1"/>
  <c r="E542" i="19"/>
  <c r="E525" i="19" s="1"/>
  <c r="V547" i="19"/>
  <c r="E536" i="19"/>
  <c r="E519" i="19"/>
  <c r="AB515" i="19"/>
  <c r="S513" i="19"/>
  <c r="S514" i="19" s="1"/>
  <c r="Q513" i="19"/>
  <c r="Q514" i="19" s="1"/>
  <c r="P513" i="19"/>
  <c r="O513" i="19"/>
  <c r="N513" i="19"/>
  <c r="K513" i="19"/>
  <c r="I513" i="19"/>
  <c r="H513" i="19"/>
  <c r="H514" i="19" s="1"/>
  <c r="G513" i="19"/>
  <c r="G514" i="19" s="1"/>
  <c r="F513" i="19"/>
  <c r="F514" i="19" s="1"/>
  <c r="F515" i="19" s="1"/>
  <c r="V512" i="19"/>
  <c r="H512" i="19"/>
  <c r="G512" i="19"/>
  <c r="F512" i="19"/>
  <c r="V511" i="19"/>
  <c r="T511" i="19"/>
  <c r="P512" i="19"/>
  <c r="N512" i="19"/>
  <c r="E509" i="19"/>
  <c r="V508" i="19"/>
  <c r="T506" i="19"/>
  <c r="L506" i="19"/>
  <c r="M506" i="19" s="1"/>
  <c r="V510" i="19"/>
  <c r="E504" i="19"/>
  <c r="T503" i="19"/>
  <c r="L503" i="19"/>
  <c r="M503" i="19" s="1"/>
  <c r="T502" i="19"/>
  <c r="L502" i="19"/>
  <c r="M502" i="19" s="1"/>
  <c r="T501" i="19"/>
  <c r="L501" i="19"/>
  <c r="M501" i="19" s="1"/>
  <c r="S498" i="19"/>
  <c r="R498" i="19"/>
  <c r="Q498" i="19"/>
  <c r="P498" i="19"/>
  <c r="O498" i="19"/>
  <c r="N498" i="19"/>
  <c r="K498" i="19"/>
  <c r="J498" i="19"/>
  <c r="I498" i="19"/>
  <c r="I499" i="19" s="1"/>
  <c r="H498" i="19"/>
  <c r="H499" i="19" s="1"/>
  <c r="G498" i="19"/>
  <c r="G499" i="19" s="1"/>
  <c r="F498" i="19"/>
  <c r="F499" i="19" s="1"/>
  <c r="F500" i="19" s="1"/>
  <c r="V497" i="19"/>
  <c r="V482" i="19" s="1"/>
  <c r="I497" i="19"/>
  <c r="H497" i="19"/>
  <c r="G497" i="19"/>
  <c r="F497" i="19"/>
  <c r="V496" i="19"/>
  <c r="T496" i="19"/>
  <c r="L496" i="19"/>
  <c r="M496" i="19" s="1"/>
  <c r="E494" i="19"/>
  <c r="V493" i="19"/>
  <c r="V478" i="19" s="1"/>
  <c r="T492" i="19"/>
  <c r="T491" i="19"/>
  <c r="L491" i="19"/>
  <c r="M491" i="19" s="1"/>
  <c r="V490" i="19"/>
  <c r="E489" i="19"/>
  <c r="T488" i="19"/>
  <c r="L488" i="19"/>
  <c r="M488" i="19" s="1"/>
  <c r="T487" i="19"/>
  <c r="L487" i="19"/>
  <c r="M487" i="19" s="1"/>
  <c r="T486" i="19"/>
  <c r="L486" i="19"/>
  <c r="M486" i="19" s="1"/>
  <c r="S481" i="19"/>
  <c r="R481" i="19"/>
  <c r="Q481" i="19"/>
  <c r="P481" i="19"/>
  <c r="O481" i="19"/>
  <c r="N481" i="19"/>
  <c r="K481" i="19"/>
  <c r="I481" i="19"/>
  <c r="H481" i="19"/>
  <c r="G481" i="19"/>
  <c r="F481" i="19"/>
  <c r="H480" i="19"/>
  <c r="G480" i="19"/>
  <c r="F480" i="19"/>
  <c r="E480" i="19"/>
  <c r="R478" i="19"/>
  <c r="Q478" i="19"/>
  <c r="P478" i="19"/>
  <c r="O478" i="19"/>
  <c r="N478" i="19"/>
  <c r="K478" i="19"/>
  <c r="J478" i="19"/>
  <c r="I478" i="19"/>
  <c r="H478" i="19"/>
  <c r="G478" i="19"/>
  <c r="F478" i="19"/>
  <c r="E478" i="19"/>
  <c r="S477" i="19"/>
  <c r="R477" i="19"/>
  <c r="R18" i="19" s="1"/>
  <c r="R3" i="19" s="1"/>
  <c r="Q477" i="19"/>
  <c r="Q18" i="19" s="1"/>
  <c r="Q3" i="19" s="1"/>
  <c r="P477" i="19"/>
  <c r="O477" i="19"/>
  <c r="O18" i="19" s="1"/>
  <c r="O3" i="19" s="1"/>
  <c r="N477" i="19"/>
  <c r="N18" i="19" s="1"/>
  <c r="N3" i="19" s="1"/>
  <c r="K477" i="19"/>
  <c r="J477" i="19"/>
  <c r="J483" i="19" s="1"/>
  <c r="I483" i="19"/>
  <c r="H477" i="19"/>
  <c r="H483" i="19" s="1"/>
  <c r="G477" i="19"/>
  <c r="G483" i="19" s="1"/>
  <c r="F477" i="19"/>
  <c r="F483" i="19" s="1"/>
  <c r="V476" i="19"/>
  <c r="S476" i="19"/>
  <c r="R476" i="19"/>
  <c r="Q476" i="19"/>
  <c r="P476" i="19"/>
  <c r="O476" i="19"/>
  <c r="N476" i="19"/>
  <c r="K476" i="19"/>
  <c r="J476" i="19"/>
  <c r="I476" i="19"/>
  <c r="H476" i="19"/>
  <c r="G476" i="19"/>
  <c r="F476" i="19"/>
  <c r="G475" i="19"/>
  <c r="E474" i="19"/>
  <c r="V473" i="19"/>
  <c r="S473" i="19"/>
  <c r="R473" i="19"/>
  <c r="Q473" i="19"/>
  <c r="P473" i="19"/>
  <c r="O473" i="19"/>
  <c r="N473" i="19"/>
  <c r="K473" i="19"/>
  <c r="J473" i="19"/>
  <c r="I473" i="19"/>
  <c r="H473" i="19"/>
  <c r="G473" i="19"/>
  <c r="F473" i="19"/>
  <c r="V472" i="19"/>
  <c r="S472" i="19"/>
  <c r="R472" i="19"/>
  <c r="Q472" i="19"/>
  <c r="P472" i="19"/>
  <c r="N472" i="19"/>
  <c r="K472" i="19"/>
  <c r="J472" i="19"/>
  <c r="I472" i="19"/>
  <c r="H472" i="19"/>
  <c r="G472" i="19"/>
  <c r="F472" i="19"/>
  <c r="V471" i="19"/>
  <c r="S471" i="19"/>
  <c r="R471" i="19"/>
  <c r="Q471" i="19"/>
  <c r="P471" i="19"/>
  <c r="O471" i="19"/>
  <c r="N471" i="19"/>
  <c r="K471" i="19"/>
  <c r="J471" i="19"/>
  <c r="I471" i="19"/>
  <c r="H471" i="19"/>
  <c r="G471" i="19"/>
  <c r="F471" i="19"/>
  <c r="S468" i="19"/>
  <c r="R468" i="19"/>
  <c r="Q468" i="19"/>
  <c r="P468" i="19"/>
  <c r="O468" i="19"/>
  <c r="N468" i="19"/>
  <c r="K468" i="19"/>
  <c r="J468" i="19"/>
  <c r="I468" i="19"/>
  <c r="H468" i="19"/>
  <c r="G468" i="19"/>
  <c r="F468" i="19"/>
  <c r="V467" i="19"/>
  <c r="V466" i="19"/>
  <c r="T466" i="19"/>
  <c r="L466" i="19"/>
  <c r="M466" i="19" s="1"/>
  <c r="R465" i="19"/>
  <c r="Q465" i="19"/>
  <c r="Q420" i="19" s="1"/>
  <c r="P465" i="19"/>
  <c r="O465" i="19"/>
  <c r="N465" i="19"/>
  <c r="N420" i="19" s="1"/>
  <c r="K465" i="19"/>
  <c r="K420" i="19" s="1"/>
  <c r="J465" i="19"/>
  <c r="J420" i="19" s="1"/>
  <c r="I465" i="19"/>
  <c r="I420" i="19" s="1"/>
  <c r="H465" i="19"/>
  <c r="H420" i="19" s="1"/>
  <c r="G465" i="19"/>
  <c r="G420" i="19" s="1"/>
  <c r="F465" i="19"/>
  <c r="F420" i="19" s="1"/>
  <c r="E464" i="19"/>
  <c r="V463" i="19"/>
  <c r="S463" i="19"/>
  <c r="L463" i="19"/>
  <c r="M463" i="19" s="1"/>
  <c r="T462" i="19"/>
  <c r="L462" i="19"/>
  <c r="M462" i="19" s="1"/>
  <c r="T461" i="19"/>
  <c r="L461" i="19"/>
  <c r="M461" i="19" s="1"/>
  <c r="V460" i="19"/>
  <c r="S460" i="19"/>
  <c r="R460" i="19"/>
  <c r="Q460" i="19"/>
  <c r="Q413" i="19" s="1"/>
  <c r="P460" i="19"/>
  <c r="P413" i="19" s="1"/>
  <c r="O460" i="19"/>
  <c r="O413" i="19" s="1"/>
  <c r="N460" i="19"/>
  <c r="N413" i="19" s="1"/>
  <c r="K460" i="19"/>
  <c r="J460" i="19"/>
  <c r="I460" i="19"/>
  <c r="H460" i="19"/>
  <c r="G460" i="19"/>
  <c r="F460" i="19"/>
  <c r="F413" i="19" s="1"/>
  <c r="T458" i="19"/>
  <c r="L458" i="19"/>
  <c r="M458" i="19" s="1"/>
  <c r="T457" i="19"/>
  <c r="L457" i="19"/>
  <c r="M457" i="19" s="1"/>
  <c r="T456" i="19"/>
  <c r="L456" i="19"/>
  <c r="M456" i="19" s="1"/>
  <c r="S438" i="19"/>
  <c r="S423" i="19" s="1"/>
  <c r="R438" i="19"/>
  <c r="R423" i="19" s="1"/>
  <c r="Q438" i="19"/>
  <c r="Q423" i="19" s="1"/>
  <c r="P438" i="19"/>
  <c r="P423" i="19" s="1"/>
  <c r="O438" i="19"/>
  <c r="O423" i="19" s="1"/>
  <c r="N438" i="19"/>
  <c r="N423" i="19" s="1"/>
  <c r="K438" i="19"/>
  <c r="J438" i="19"/>
  <c r="J439" i="19" s="1"/>
  <c r="I438" i="19"/>
  <c r="I439" i="19" s="1"/>
  <c r="F438" i="19"/>
  <c r="F439" i="19" s="1"/>
  <c r="F440" i="19" s="1"/>
  <c r="V437" i="19"/>
  <c r="V422" i="19" s="1"/>
  <c r="H437" i="19"/>
  <c r="G437" i="19"/>
  <c r="F437" i="19"/>
  <c r="V436" i="19"/>
  <c r="T436" i="19"/>
  <c r="L436" i="19"/>
  <c r="M436" i="19" s="1"/>
  <c r="E434" i="19"/>
  <c r="V433" i="19"/>
  <c r="V418" i="19" s="1"/>
  <c r="L433" i="19"/>
  <c r="M433" i="19" s="1"/>
  <c r="T432" i="19"/>
  <c r="H417" i="19"/>
  <c r="H338" i="19" s="1"/>
  <c r="H344" i="19" s="1"/>
  <c r="G417" i="19"/>
  <c r="G338" i="19" s="1"/>
  <c r="T431" i="19"/>
  <c r="L431" i="19"/>
  <c r="M431" i="19" s="1"/>
  <c r="V430" i="19"/>
  <c r="V413" i="19" s="1"/>
  <c r="S413" i="19"/>
  <c r="R413" i="19"/>
  <c r="E429" i="19"/>
  <c r="T428" i="19"/>
  <c r="T427" i="19"/>
  <c r="J410" i="19"/>
  <c r="J331" i="19" s="1"/>
  <c r="L331" i="19" s="1"/>
  <c r="T426" i="19"/>
  <c r="L426" i="19"/>
  <c r="M426" i="19" s="1"/>
  <c r="S406" i="19"/>
  <c r="R406" i="19"/>
  <c r="Q406" i="19"/>
  <c r="P406" i="19"/>
  <c r="O406" i="19"/>
  <c r="N406" i="19"/>
  <c r="K406" i="19"/>
  <c r="J406" i="19"/>
  <c r="I406" i="19"/>
  <c r="H406" i="19"/>
  <c r="G406" i="19"/>
  <c r="F406" i="19"/>
  <c r="V405" i="19"/>
  <c r="V404" i="19"/>
  <c r="T404" i="19"/>
  <c r="L404" i="19"/>
  <c r="M404" i="19" s="1"/>
  <c r="R403" i="19"/>
  <c r="R358" i="19" s="1"/>
  <c r="Q403" i="19"/>
  <c r="Q358" i="19" s="1"/>
  <c r="P403" i="19"/>
  <c r="P358" i="19" s="1"/>
  <c r="O403" i="19"/>
  <c r="O358" i="19" s="1"/>
  <c r="N403" i="19"/>
  <c r="N358" i="19" s="1"/>
  <c r="K403" i="19"/>
  <c r="K358" i="19" s="1"/>
  <c r="J403" i="19"/>
  <c r="J358" i="19" s="1"/>
  <c r="I403" i="19"/>
  <c r="I358" i="19" s="1"/>
  <c r="H403" i="19"/>
  <c r="H358" i="19" s="1"/>
  <c r="G403" i="19"/>
  <c r="G358" i="19" s="1"/>
  <c r="F403" i="19"/>
  <c r="F358" i="19" s="1"/>
  <c r="E402" i="19"/>
  <c r="V401" i="19"/>
  <c r="S401" i="19"/>
  <c r="S356" i="19" s="1"/>
  <c r="L401" i="19"/>
  <c r="M401" i="19" s="1"/>
  <c r="T400" i="19"/>
  <c r="L400" i="19"/>
  <c r="M400" i="19" s="1"/>
  <c r="T399" i="19"/>
  <c r="L399" i="19"/>
  <c r="M399" i="19" s="1"/>
  <c r="V398" i="19"/>
  <c r="S398" i="19"/>
  <c r="R398" i="19"/>
  <c r="R351" i="19" s="1"/>
  <c r="Q398" i="19"/>
  <c r="Q351" i="19" s="1"/>
  <c r="P398" i="19"/>
  <c r="P351" i="19" s="1"/>
  <c r="O398" i="19"/>
  <c r="O351" i="19" s="1"/>
  <c r="N398" i="19"/>
  <c r="N351" i="19" s="1"/>
  <c r="K398" i="19"/>
  <c r="J398" i="19"/>
  <c r="I398" i="19"/>
  <c r="H398" i="19"/>
  <c r="G398" i="19"/>
  <c r="F398" i="19"/>
  <c r="F351" i="19" s="1"/>
  <c r="T396" i="19"/>
  <c r="L396" i="19"/>
  <c r="M396" i="19" s="1"/>
  <c r="T395" i="19"/>
  <c r="L395" i="19"/>
  <c r="T394" i="19"/>
  <c r="L394" i="19"/>
  <c r="M394" i="19" s="1"/>
  <c r="S376" i="19"/>
  <c r="S361" i="19" s="1"/>
  <c r="R376" i="19"/>
  <c r="R361" i="19" s="1"/>
  <c r="Q376" i="19"/>
  <c r="Q361" i="19" s="1"/>
  <c r="P376" i="19"/>
  <c r="P361" i="19" s="1"/>
  <c r="O376" i="19"/>
  <c r="O361" i="19" s="1"/>
  <c r="N376" i="19"/>
  <c r="N361" i="19" s="1"/>
  <c r="K376" i="19"/>
  <c r="J376" i="19"/>
  <c r="I376" i="19"/>
  <c r="I377" i="19" s="1"/>
  <c r="H376" i="19"/>
  <c r="H377" i="19" s="1"/>
  <c r="G376" i="19"/>
  <c r="G377" i="19" s="1"/>
  <c r="F376" i="19"/>
  <c r="F377" i="19" s="1"/>
  <c r="F378" i="19" s="1"/>
  <c r="V375" i="19"/>
  <c r="V360" i="19" s="1"/>
  <c r="I375" i="19"/>
  <c r="H375" i="19"/>
  <c r="G375" i="19"/>
  <c r="F375" i="19"/>
  <c r="V374" i="19"/>
  <c r="V359" i="19" s="1"/>
  <c r="T374" i="19"/>
  <c r="L374" i="19"/>
  <c r="M374" i="19" s="1"/>
  <c r="E372" i="19"/>
  <c r="L371" i="19"/>
  <c r="M371" i="19" s="1"/>
  <c r="T370" i="19"/>
  <c r="L370" i="19"/>
  <c r="M370" i="19" s="1"/>
  <c r="T369" i="19"/>
  <c r="L369" i="19"/>
  <c r="M369" i="19" s="1"/>
  <c r="V368" i="19"/>
  <c r="V351" i="19" s="1"/>
  <c r="S351" i="19"/>
  <c r="E367" i="19"/>
  <c r="T366" i="19"/>
  <c r="L366" i="19"/>
  <c r="M366" i="19" s="1"/>
  <c r="T365" i="19"/>
  <c r="L365" i="19"/>
  <c r="M365" i="19" s="1"/>
  <c r="T364" i="19"/>
  <c r="L364" i="19"/>
  <c r="M364" i="19" s="1"/>
  <c r="S312" i="19"/>
  <c r="R312" i="19"/>
  <c r="Q312" i="19"/>
  <c r="P312" i="19"/>
  <c r="O312" i="19"/>
  <c r="N312" i="19"/>
  <c r="K312" i="19"/>
  <c r="J312" i="19"/>
  <c r="I312" i="19"/>
  <c r="H312" i="19"/>
  <c r="G312" i="19"/>
  <c r="F312" i="19"/>
  <c r="V311" i="19"/>
  <c r="V310" i="19"/>
  <c r="T310" i="19"/>
  <c r="L310" i="19"/>
  <c r="M310" i="19" s="1"/>
  <c r="R309" i="19"/>
  <c r="Q309" i="19"/>
  <c r="P309" i="19"/>
  <c r="O309" i="19"/>
  <c r="N309" i="19"/>
  <c r="K309" i="19"/>
  <c r="J309" i="19"/>
  <c r="I309" i="19"/>
  <c r="H309" i="19"/>
  <c r="G309" i="19"/>
  <c r="F309" i="19"/>
  <c r="E308" i="19"/>
  <c r="V307" i="19"/>
  <c r="L307" i="19"/>
  <c r="M307" i="19" s="1"/>
  <c r="T306" i="19"/>
  <c r="L306" i="19"/>
  <c r="M306" i="19" s="1"/>
  <c r="T305" i="19"/>
  <c r="L305" i="19"/>
  <c r="M305" i="19" s="1"/>
  <c r="V304" i="19"/>
  <c r="S304" i="19"/>
  <c r="S257" i="19" s="1"/>
  <c r="R304" i="19"/>
  <c r="R257" i="19" s="1"/>
  <c r="Q304" i="19"/>
  <c r="Q257" i="19" s="1"/>
  <c r="P304" i="19"/>
  <c r="P257" i="19" s="1"/>
  <c r="O304" i="19"/>
  <c r="O257" i="19" s="1"/>
  <c r="N304" i="19"/>
  <c r="N257" i="19" s="1"/>
  <c r="K304" i="19"/>
  <c r="K257" i="19" s="1"/>
  <c r="J304" i="19"/>
  <c r="J257" i="19" s="1"/>
  <c r="I304" i="19"/>
  <c r="I257" i="19" s="1"/>
  <c r="H304" i="19"/>
  <c r="H257" i="19" s="1"/>
  <c r="G304" i="19"/>
  <c r="G257" i="19" s="1"/>
  <c r="F304" i="19"/>
  <c r="F257" i="19" s="1"/>
  <c r="T302" i="19"/>
  <c r="L302" i="19"/>
  <c r="M302" i="19" s="1"/>
  <c r="T301" i="19"/>
  <c r="L301" i="19"/>
  <c r="M301" i="19" s="1"/>
  <c r="T300" i="19"/>
  <c r="L300" i="19"/>
  <c r="M300" i="19" s="1"/>
  <c r="S297" i="19"/>
  <c r="R297" i="19"/>
  <c r="Q297" i="19"/>
  <c r="P297" i="19"/>
  <c r="O297" i="19"/>
  <c r="N297" i="19"/>
  <c r="K297" i="19"/>
  <c r="J297" i="19"/>
  <c r="I297" i="19"/>
  <c r="H297" i="19"/>
  <c r="G297" i="19"/>
  <c r="F297" i="19"/>
  <c r="V296" i="19"/>
  <c r="V295" i="19"/>
  <c r="T295" i="19"/>
  <c r="L295" i="19"/>
  <c r="M295" i="19" s="1"/>
  <c r="R294" i="19"/>
  <c r="Q294" i="19"/>
  <c r="P294" i="19"/>
  <c r="O294" i="19"/>
  <c r="N294" i="19"/>
  <c r="K294" i="19"/>
  <c r="J294" i="19"/>
  <c r="I294" i="19"/>
  <c r="H294" i="19"/>
  <c r="G294" i="19"/>
  <c r="F294" i="19"/>
  <c r="E293" i="19"/>
  <c r="V292" i="19"/>
  <c r="S294" i="19"/>
  <c r="L292" i="19"/>
  <c r="M292" i="19" s="1"/>
  <c r="T291" i="19"/>
  <c r="L291" i="19"/>
  <c r="M291" i="19" s="1"/>
  <c r="T290" i="19"/>
  <c r="L290" i="19"/>
  <c r="M290" i="19" s="1"/>
  <c r="X289" i="19"/>
  <c r="V289" i="19"/>
  <c r="S289" i="19"/>
  <c r="R289" i="19"/>
  <c r="Q289" i="19"/>
  <c r="P289" i="19"/>
  <c r="O289" i="19"/>
  <c r="N289" i="19"/>
  <c r="K289" i="19"/>
  <c r="J289" i="19"/>
  <c r="I289" i="19"/>
  <c r="H289" i="19"/>
  <c r="G289" i="19"/>
  <c r="F289" i="19"/>
  <c r="T287" i="19"/>
  <c r="L287" i="19"/>
  <c r="M287" i="19" s="1"/>
  <c r="T286" i="19"/>
  <c r="L286" i="19"/>
  <c r="M286" i="19" s="1"/>
  <c r="T285" i="19"/>
  <c r="L285" i="19"/>
  <c r="M285" i="19" s="1"/>
  <c r="S250" i="19"/>
  <c r="R250" i="19"/>
  <c r="Q250" i="19"/>
  <c r="P250" i="19"/>
  <c r="O250" i="19"/>
  <c r="N250" i="19"/>
  <c r="K250" i="19"/>
  <c r="J250" i="19"/>
  <c r="I250" i="19"/>
  <c r="H250" i="19"/>
  <c r="G250" i="19"/>
  <c r="F250" i="19"/>
  <c r="V249" i="19"/>
  <c r="V248" i="19"/>
  <c r="T248" i="19"/>
  <c r="L248" i="19"/>
  <c r="M248" i="19" s="1"/>
  <c r="R247" i="19"/>
  <c r="R249" i="19" s="1"/>
  <c r="Q247" i="19"/>
  <c r="Q249" i="19" s="1"/>
  <c r="P247" i="19"/>
  <c r="P249" i="19" s="1"/>
  <c r="O247" i="19"/>
  <c r="N247" i="19"/>
  <c r="N249" i="19" s="1"/>
  <c r="K247" i="19"/>
  <c r="J247" i="19"/>
  <c r="J249" i="19" s="1"/>
  <c r="I247" i="19"/>
  <c r="I249" i="19" s="1"/>
  <c r="H247" i="19"/>
  <c r="H249" i="19" s="1"/>
  <c r="G247" i="19"/>
  <c r="F247" i="19"/>
  <c r="F249" i="19" s="1"/>
  <c r="E246" i="19"/>
  <c r="V245" i="19"/>
  <c r="S245" i="19"/>
  <c r="T245" i="19" s="1"/>
  <c r="L245" i="19"/>
  <c r="M245" i="19" s="1"/>
  <c r="T244" i="19"/>
  <c r="L244" i="19"/>
  <c r="M244" i="19" s="1"/>
  <c r="T243" i="19"/>
  <c r="L243" i="19"/>
  <c r="M243" i="19" s="1"/>
  <c r="X242" i="19"/>
  <c r="V242" i="19"/>
  <c r="V247" i="19" s="1"/>
  <c r="S242" i="19"/>
  <c r="R242" i="19"/>
  <c r="Q242" i="19"/>
  <c r="P242" i="19"/>
  <c r="O242" i="19"/>
  <c r="N242" i="19"/>
  <c r="K242" i="19"/>
  <c r="J242" i="19"/>
  <c r="I242" i="19"/>
  <c r="H242" i="19"/>
  <c r="G242" i="19"/>
  <c r="F242" i="19"/>
  <c r="T240" i="19"/>
  <c r="L240" i="19"/>
  <c r="M240" i="19" s="1"/>
  <c r="T239" i="19"/>
  <c r="L239" i="19"/>
  <c r="M239" i="19" s="1"/>
  <c r="T238" i="19"/>
  <c r="L238" i="19"/>
  <c r="M238" i="19" s="1"/>
  <c r="S235" i="19"/>
  <c r="R235" i="19"/>
  <c r="Q235" i="19"/>
  <c r="P235" i="19"/>
  <c r="O235" i="19"/>
  <c r="N235" i="19"/>
  <c r="K235" i="19"/>
  <c r="J235" i="19"/>
  <c r="I235" i="19"/>
  <c r="H235" i="19"/>
  <c r="G235" i="19"/>
  <c r="F235" i="19"/>
  <c r="V234" i="19"/>
  <c r="V233" i="19"/>
  <c r="T233" i="19"/>
  <c r="L233" i="19"/>
  <c r="M233" i="19" s="1"/>
  <c r="R232" i="19"/>
  <c r="R234" i="19" s="1"/>
  <c r="Q232" i="19"/>
  <c r="P232" i="19"/>
  <c r="O232" i="19"/>
  <c r="N232" i="19"/>
  <c r="K232" i="19"/>
  <c r="J232" i="19"/>
  <c r="I232" i="19"/>
  <c r="H232" i="19"/>
  <c r="G232" i="19"/>
  <c r="F232" i="19"/>
  <c r="E231" i="19"/>
  <c r="V230" i="19"/>
  <c r="S230" i="19"/>
  <c r="T230" i="19" s="1"/>
  <c r="L230" i="19"/>
  <c r="M230" i="19" s="1"/>
  <c r="T229" i="19"/>
  <c r="L229" i="19"/>
  <c r="M229" i="19" s="1"/>
  <c r="T228" i="19"/>
  <c r="L228" i="19"/>
  <c r="M228" i="19" s="1"/>
  <c r="X227" i="19"/>
  <c r="V227" i="19"/>
  <c r="V226" i="19" s="1"/>
  <c r="S227" i="19"/>
  <c r="R227" i="19"/>
  <c r="Q227" i="19"/>
  <c r="P227" i="19"/>
  <c r="O227" i="19"/>
  <c r="N227" i="19"/>
  <c r="K227" i="19"/>
  <c r="J227" i="19"/>
  <c r="I227" i="19"/>
  <c r="H227" i="19"/>
  <c r="G227" i="19"/>
  <c r="F227" i="19"/>
  <c r="T225" i="19"/>
  <c r="L225" i="19"/>
  <c r="M225" i="19" s="1"/>
  <c r="T224" i="19"/>
  <c r="L224" i="19"/>
  <c r="M224" i="19" s="1"/>
  <c r="T223" i="19"/>
  <c r="L223" i="19"/>
  <c r="M223" i="19" s="1"/>
  <c r="S218" i="19"/>
  <c r="R218" i="19"/>
  <c r="Q218" i="19"/>
  <c r="P218" i="19"/>
  <c r="O218" i="19"/>
  <c r="N218" i="19"/>
  <c r="K218" i="19"/>
  <c r="J218" i="19"/>
  <c r="I218" i="19"/>
  <c r="H218" i="19"/>
  <c r="G218" i="19"/>
  <c r="F218" i="19"/>
  <c r="E217" i="19"/>
  <c r="R215" i="19"/>
  <c r="Q215" i="19"/>
  <c r="P215" i="19"/>
  <c r="O215" i="19"/>
  <c r="N215" i="19"/>
  <c r="K215" i="19"/>
  <c r="J215" i="19"/>
  <c r="I215" i="19"/>
  <c r="H215" i="19"/>
  <c r="G215" i="19"/>
  <c r="F215" i="19"/>
  <c r="E215" i="19"/>
  <c r="V214" i="19"/>
  <c r="S214" i="19"/>
  <c r="R214" i="19"/>
  <c r="Q214" i="19"/>
  <c r="P214" i="19"/>
  <c r="O214" i="19"/>
  <c r="N214" i="19"/>
  <c r="K214" i="19"/>
  <c r="J214" i="19"/>
  <c r="I214" i="19"/>
  <c r="H214" i="19"/>
  <c r="G214" i="19"/>
  <c r="F214" i="19"/>
  <c r="V213" i="19"/>
  <c r="S213" i="19"/>
  <c r="R213" i="19"/>
  <c r="Q213" i="19"/>
  <c r="P213" i="19"/>
  <c r="O213" i="19"/>
  <c r="N213" i="19"/>
  <c r="K213" i="19"/>
  <c r="J213" i="19"/>
  <c r="I213" i="19"/>
  <c r="H213" i="19"/>
  <c r="G213" i="19"/>
  <c r="F213" i="19"/>
  <c r="V210" i="19"/>
  <c r="S210" i="19"/>
  <c r="R210" i="19"/>
  <c r="Q210" i="19"/>
  <c r="P210" i="19"/>
  <c r="O210" i="19"/>
  <c r="N210" i="19"/>
  <c r="K210" i="19"/>
  <c r="J210" i="19"/>
  <c r="I210" i="19"/>
  <c r="H210" i="19"/>
  <c r="G210" i="19"/>
  <c r="F210" i="19"/>
  <c r="V209" i="19"/>
  <c r="V23" i="19" s="1"/>
  <c r="S209" i="19"/>
  <c r="R209" i="19"/>
  <c r="Q209" i="19"/>
  <c r="P209" i="19"/>
  <c r="O209" i="19"/>
  <c r="N209" i="19"/>
  <c r="K209" i="19"/>
  <c r="J209" i="19"/>
  <c r="I209" i="19"/>
  <c r="H209" i="19"/>
  <c r="G209" i="19"/>
  <c r="F209" i="19"/>
  <c r="V208" i="19"/>
  <c r="V22" i="19" s="1"/>
  <c r="S208" i="19"/>
  <c r="R208" i="19"/>
  <c r="Q208" i="19"/>
  <c r="P208" i="19"/>
  <c r="O208" i="19"/>
  <c r="N208" i="19"/>
  <c r="K208" i="19"/>
  <c r="J208" i="19"/>
  <c r="I208" i="19"/>
  <c r="H208" i="19"/>
  <c r="G208" i="19"/>
  <c r="F208" i="19"/>
  <c r="S205" i="19"/>
  <c r="R205" i="19"/>
  <c r="Q205" i="19"/>
  <c r="P205" i="19"/>
  <c r="O205" i="19"/>
  <c r="N205" i="19"/>
  <c r="K205" i="19"/>
  <c r="J205" i="19"/>
  <c r="I205" i="19"/>
  <c r="H205" i="19"/>
  <c r="G205" i="19"/>
  <c r="F205" i="19"/>
  <c r="V204" i="19"/>
  <c r="V203" i="19"/>
  <c r="T203" i="19"/>
  <c r="L203" i="19"/>
  <c r="M203" i="19" s="1"/>
  <c r="R204" i="19"/>
  <c r="Q204" i="19"/>
  <c r="P204" i="19"/>
  <c r="N204" i="19"/>
  <c r="E201" i="19"/>
  <c r="V200" i="19"/>
  <c r="S200" i="19"/>
  <c r="L200" i="19"/>
  <c r="M200" i="19" s="1"/>
  <c r="T199" i="19"/>
  <c r="L199" i="19"/>
  <c r="M199" i="19" s="1"/>
  <c r="T198" i="19"/>
  <c r="L198" i="19"/>
  <c r="M198" i="19" s="1"/>
  <c r="X197" i="19"/>
  <c r="V197" i="19"/>
  <c r="V202" i="19" s="1"/>
  <c r="E196" i="19"/>
  <c r="T195" i="19"/>
  <c r="L195" i="19"/>
  <c r="T194" i="19"/>
  <c r="L194" i="19"/>
  <c r="M194" i="19" s="1"/>
  <c r="T193" i="19"/>
  <c r="L193" i="19"/>
  <c r="M193" i="19" s="1"/>
  <c r="S190" i="19"/>
  <c r="R190" i="19"/>
  <c r="Q190" i="19"/>
  <c r="P190" i="19"/>
  <c r="O190" i="19"/>
  <c r="N190" i="19"/>
  <c r="K190" i="19"/>
  <c r="J190" i="19"/>
  <c r="I190" i="19"/>
  <c r="I191" i="19" s="1"/>
  <c r="F190" i="19"/>
  <c r="F191" i="19" s="1"/>
  <c r="F192" i="19" s="1"/>
  <c r="V189" i="19"/>
  <c r="I189" i="19"/>
  <c r="H189" i="19"/>
  <c r="G189" i="19"/>
  <c r="F189" i="19"/>
  <c r="V188" i="19"/>
  <c r="T188" i="19"/>
  <c r="L188" i="19"/>
  <c r="M188" i="19" s="1"/>
  <c r="R189" i="19"/>
  <c r="Q189" i="19"/>
  <c r="P189" i="19"/>
  <c r="N189" i="19"/>
  <c r="K189" i="19"/>
  <c r="J189" i="19"/>
  <c r="E186" i="19"/>
  <c r="V185" i="19"/>
  <c r="I170" i="19"/>
  <c r="T184" i="19"/>
  <c r="T183" i="19"/>
  <c r="L183" i="19"/>
  <c r="M183" i="19" s="1"/>
  <c r="V182" i="19"/>
  <c r="V187" i="19" s="1"/>
  <c r="T180" i="19"/>
  <c r="L180" i="19"/>
  <c r="T179" i="19"/>
  <c r="L179" i="19"/>
  <c r="M179" i="19" s="1"/>
  <c r="T178" i="19"/>
  <c r="L178" i="19"/>
  <c r="M178" i="19" s="1"/>
  <c r="S173" i="19"/>
  <c r="R173" i="19"/>
  <c r="Q173" i="19"/>
  <c r="P173" i="19"/>
  <c r="O173" i="19"/>
  <c r="N173" i="19"/>
  <c r="K173" i="19"/>
  <c r="J173" i="19"/>
  <c r="I173" i="19"/>
  <c r="H173" i="19"/>
  <c r="G173" i="19"/>
  <c r="F173" i="19"/>
  <c r="E172" i="19"/>
  <c r="R170" i="19"/>
  <c r="Q170" i="19"/>
  <c r="P170" i="19"/>
  <c r="O170" i="19"/>
  <c r="N170" i="19"/>
  <c r="K170" i="19"/>
  <c r="J170" i="19"/>
  <c r="H170" i="19"/>
  <c r="G170" i="19"/>
  <c r="F170" i="19"/>
  <c r="E170" i="19"/>
  <c r="V169" i="19"/>
  <c r="S169" i="19"/>
  <c r="R169" i="19"/>
  <c r="Q169" i="19"/>
  <c r="P169" i="19"/>
  <c r="O169" i="19"/>
  <c r="N169" i="19"/>
  <c r="K169" i="19"/>
  <c r="J169" i="19"/>
  <c r="I169" i="19"/>
  <c r="F169" i="19"/>
  <c r="V168" i="19"/>
  <c r="S168" i="19"/>
  <c r="R168" i="19"/>
  <c r="Q168" i="19"/>
  <c r="P168" i="19"/>
  <c r="O168" i="19"/>
  <c r="N168" i="19"/>
  <c r="K168" i="19"/>
  <c r="J168" i="19"/>
  <c r="I168" i="19"/>
  <c r="H168" i="19"/>
  <c r="G168" i="19"/>
  <c r="F168" i="19"/>
  <c r="X167" i="19"/>
  <c r="V165" i="19"/>
  <c r="S165" i="19"/>
  <c r="R165" i="19"/>
  <c r="Q165" i="19"/>
  <c r="P165" i="19"/>
  <c r="O165" i="19"/>
  <c r="N165" i="19"/>
  <c r="K165" i="19"/>
  <c r="J165" i="19"/>
  <c r="S164" i="19"/>
  <c r="R164" i="19"/>
  <c r="Q164" i="19"/>
  <c r="P164" i="19"/>
  <c r="O164" i="19"/>
  <c r="N164" i="19"/>
  <c r="K164" i="19"/>
  <c r="J164" i="19"/>
  <c r="I164" i="19"/>
  <c r="H164" i="19"/>
  <c r="G164" i="19"/>
  <c r="F164" i="19"/>
  <c r="S163" i="19"/>
  <c r="R163" i="19"/>
  <c r="Q163" i="19"/>
  <c r="P163" i="19"/>
  <c r="O163" i="19"/>
  <c r="N163" i="19"/>
  <c r="K163" i="19"/>
  <c r="J163" i="19"/>
  <c r="I163" i="19"/>
  <c r="H163" i="19"/>
  <c r="G163" i="19"/>
  <c r="F163" i="19"/>
  <c r="S145" i="19"/>
  <c r="R145" i="19"/>
  <c r="Q145" i="19"/>
  <c r="P145" i="19"/>
  <c r="O145" i="19"/>
  <c r="N145" i="19"/>
  <c r="K145" i="19"/>
  <c r="J145" i="19"/>
  <c r="I145" i="19"/>
  <c r="H145" i="19"/>
  <c r="G145" i="19"/>
  <c r="F145" i="19"/>
  <c r="V144" i="19"/>
  <c r="V143" i="19"/>
  <c r="T143" i="19"/>
  <c r="L143" i="19"/>
  <c r="M143" i="19" s="1"/>
  <c r="S142" i="19"/>
  <c r="R142" i="19"/>
  <c r="Q142" i="19"/>
  <c r="P142" i="19"/>
  <c r="O142" i="19"/>
  <c r="N142" i="19"/>
  <c r="K142" i="19"/>
  <c r="J142" i="19"/>
  <c r="I142" i="19"/>
  <c r="H142" i="19"/>
  <c r="G142" i="19"/>
  <c r="F142" i="19"/>
  <c r="E141" i="19"/>
  <c r="V140" i="19"/>
  <c r="T140" i="19"/>
  <c r="L140" i="19"/>
  <c r="M140" i="19" s="1"/>
  <c r="V142" i="19"/>
  <c r="V145" i="19" s="1"/>
  <c r="S100" i="19"/>
  <c r="R100" i="19"/>
  <c r="Q100" i="19"/>
  <c r="P100" i="19"/>
  <c r="O100" i="19"/>
  <c r="N100" i="19"/>
  <c r="K100" i="19"/>
  <c r="J100" i="19"/>
  <c r="I100" i="19"/>
  <c r="H100" i="19"/>
  <c r="G100" i="19"/>
  <c r="F100" i="19"/>
  <c r="V99" i="19"/>
  <c r="V98" i="19"/>
  <c r="T98" i="19"/>
  <c r="L98" i="19"/>
  <c r="M98" i="19" s="1"/>
  <c r="S97" i="19"/>
  <c r="R97" i="19"/>
  <c r="Q97" i="19"/>
  <c r="P97" i="19"/>
  <c r="O97" i="19"/>
  <c r="N97" i="19"/>
  <c r="K97" i="19"/>
  <c r="J97" i="19"/>
  <c r="I97" i="19"/>
  <c r="H97" i="19"/>
  <c r="G97" i="19"/>
  <c r="F97" i="19"/>
  <c r="E96" i="19"/>
  <c r="V95" i="19"/>
  <c r="T95" i="19"/>
  <c r="L95" i="19"/>
  <c r="M95" i="19" s="1"/>
  <c r="T94" i="19"/>
  <c r="L94" i="19"/>
  <c r="M94" i="19" s="1"/>
  <c r="T93" i="19"/>
  <c r="L93" i="19"/>
  <c r="M93" i="19" s="1"/>
  <c r="V92" i="19"/>
  <c r="V60" i="19" s="1"/>
  <c r="S92" i="19"/>
  <c r="S60" i="19" s="1"/>
  <c r="R92" i="19"/>
  <c r="R60" i="19" s="1"/>
  <c r="Q92" i="19"/>
  <c r="P92" i="19"/>
  <c r="O92" i="19"/>
  <c r="N92" i="19"/>
  <c r="N60" i="19" s="1"/>
  <c r="K92" i="19"/>
  <c r="K60" i="19" s="1"/>
  <c r="J92" i="19"/>
  <c r="J60" i="19" s="1"/>
  <c r="I92" i="19"/>
  <c r="I60" i="19" s="1"/>
  <c r="H92" i="19"/>
  <c r="H60" i="19" s="1"/>
  <c r="G92" i="19"/>
  <c r="G60" i="19" s="1"/>
  <c r="F92" i="19"/>
  <c r="T90" i="19"/>
  <c r="L90" i="19"/>
  <c r="M90" i="19" s="1"/>
  <c r="T89" i="19"/>
  <c r="L89" i="19"/>
  <c r="M89" i="19" s="1"/>
  <c r="T88" i="19"/>
  <c r="L88" i="19"/>
  <c r="M88" i="19" s="1"/>
  <c r="S716" i="18"/>
  <c r="R716" i="18"/>
  <c r="N716" i="18"/>
  <c r="K716" i="18"/>
  <c r="J716" i="18"/>
  <c r="I716" i="18"/>
  <c r="H716" i="18"/>
  <c r="G716" i="18"/>
  <c r="F716" i="18"/>
  <c r="T714" i="18"/>
  <c r="L714" i="18"/>
  <c r="M714" i="18" s="1"/>
  <c r="E712" i="18"/>
  <c r="V711" i="18"/>
  <c r="T711" i="18"/>
  <c r="L711" i="18"/>
  <c r="M711" i="18" s="1"/>
  <c r="T710" i="18"/>
  <c r="L710" i="18"/>
  <c r="M710" i="18" s="1"/>
  <c r="T709" i="18"/>
  <c r="L709" i="18"/>
  <c r="M709" i="18" s="1"/>
  <c r="T706" i="18"/>
  <c r="L706" i="18"/>
  <c r="M706" i="18" s="1"/>
  <c r="T705" i="18"/>
  <c r="L705" i="18"/>
  <c r="M705" i="18" s="1"/>
  <c r="T704" i="18"/>
  <c r="L704" i="18"/>
  <c r="M704" i="18" s="1"/>
  <c r="S686" i="18"/>
  <c r="R686" i="18"/>
  <c r="N686" i="18"/>
  <c r="K686" i="18"/>
  <c r="J686" i="18"/>
  <c r="I686" i="18"/>
  <c r="H686" i="18"/>
  <c r="G686" i="18"/>
  <c r="F686" i="18"/>
  <c r="V685" i="18"/>
  <c r="V684" i="18"/>
  <c r="T684" i="18"/>
  <c r="L684" i="18"/>
  <c r="M684" i="18" s="1"/>
  <c r="K685" i="18"/>
  <c r="G685" i="18"/>
  <c r="E682" i="18"/>
  <c r="V681" i="18"/>
  <c r="T681" i="18"/>
  <c r="L681" i="18"/>
  <c r="M681" i="18" s="1"/>
  <c r="T680" i="18"/>
  <c r="L680" i="18"/>
  <c r="M680" i="18" s="1"/>
  <c r="T679" i="18"/>
  <c r="L679" i="18"/>
  <c r="M679" i="18" s="1"/>
  <c r="V678" i="18"/>
  <c r="V683" i="18" s="1"/>
  <c r="T676" i="18"/>
  <c r="L676" i="18"/>
  <c r="M676" i="18" s="1"/>
  <c r="T675" i="18"/>
  <c r="L675" i="18"/>
  <c r="M675" i="18" s="1"/>
  <c r="T674" i="18"/>
  <c r="L674" i="18"/>
  <c r="M674" i="18" s="1"/>
  <c r="S656" i="18"/>
  <c r="R656" i="18"/>
  <c r="N656" i="18"/>
  <c r="K656" i="18"/>
  <c r="J656" i="18"/>
  <c r="I656" i="18"/>
  <c r="H656" i="18"/>
  <c r="G656" i="18"/>
  <c r="F656" i="18"/>
  <c r="V655" i="18"/>
  <c r="V654" i="18"/>
  <c r="V639" i="18" s="1"/>
  <c r="T654" i="18"/>
  <c r="L654" i="18"/>
  <c r="M654" i="18" s="1"/>
  <c r="S653" i="18"/>
  <c r="R653" i="18"/>
  <c r="R655" i="18" s="1"/>
  <c r="N653" i="18"/>
  <c r="N655" i="18" s="1"/>
  <c r="K653" i="18"/>
  <c r="J653" i="18"/>
  <c r="J655" i="18" s="1"/>
  <c r="I653" i="18"/>
  <c r="H653" i="18"/>
  <c r="H655" i="18" s="1"/>
  <c r="G653" i="18"/>
  <c r="F653" i="18"/>
  <c r="F655" i="18" s="1"/>
  <c r="E652" i="18"/>
  <c r="V651" i="18"/>
  <c r="T651" i="18"/>
  <c r="L651" i="18"/>
  <c r="M651" i="18" s="1"/>
  <c r="T650" i="18"/>
  <c r="L650" i="18"/>
  <c r="M650" i="18" s="1"/>
  <c r="T649" i="18"/>
  <c r="L649" i="18"/>
  <c r="M649" i="18" s="1"/>
  <c r="V648" i="18"/>
  <c r="S648" i="18"/>
  <c r="R648" i="18"/>
  <c r="N648" i="18"/>
  <c r="K648" i="18"/>
  <c r="J648" i="18"/>
  <c r="I648" i="18"/>
  <c r="H648" i="18"/>
  <c r="G648" i="18"/>
  <c r="F648" i="18"/>
  <c r="T646" i="18"/>
  <c r="L646" i="18"/>
  <c r="M646" i="18" s="1"/>
  <c r="T645" i="18"/>
  <c r="L645" i="18"/>
  <c r="M645" i="18" s="1"/>
  <c r="T644" i="18"/>
  <c r="L644" i="18"/>
  <c r="M644" i="18" s="1"/>
  <c r="S639" i="18"/>
  <c r="R639" i="18"/>
  <c r="N639" i="18"/>
  <c r="K639" i="18"/>
  <c r="J639" i="18"/>
  <c r="I639" i="18"/>
  <c r="H639" i="18"/>
  <c r="G639" i="18"/>
  <c r="F639" i="18"/>
  <c r="E637" i="18"/>
  <c r="S636" i="18"/>
  <c r="R636" i="18"/>
  <c r="N636" i="18"/>
  <c r="K636" i="18"/>
  <c r="J636" i="18"/>
  <c r="I636" i="18"/>
  <c r="H636" i="18"/>
  <c r="G636" i="18"/>
  <c r="F636" i="18"/>
  <c r="F634" i="18"/>
  <c r="L634" i="18" s="1"/>
  <c r="M634" i="18" s="1"/>
  <c r="H631" i="18"/>
  <c r="H633" i="18" s="1"/>
  <c r="V629" i="18"/>
  <c r="S629" i="18"/>
  <c r="R629" i="18"/>
  <c r="N629" i="18"/>
  <c r="K629" i="18"/>
  <c r="J629" i="18"/>
  <c r="I629" i="18"/>
  <c r="H629" i="18"/>
  <c r="G629" i="18"/>
  <c r="F629" i="18"/>
  <c r="V628" i="18"/>
  <c r="S628" i="18"/>
  <c r="R628" i="18"/>
  <c r="N628" i="18"/>
  <c r="K628" i="18"/>
  <c r="J628" i="18"/>
  <c r="I628" i="18"/>
  <c r="H628" i="18"/>
  <c r="G628" i="18"/>
  <c r="F628" i="18"/>
  <c r="V627" i="18"/>
  <c r="S627" i="18"/>
  <c r="R627" i="18"/>
  <c r="N627" i="18"/>
  <c r="K627" i="18"/>
  <c r="J627" i="18"/>
  <c r="I627" i="18"/>
  <c r="H627" i="18"/>
  <c r="G627" i="18"/>
  <c r="F627" i="18"/>
  <c r="R610" i="18"/>
  <c r="I610" i="18"/>
  <c r="H610" i="18"/>
  <c r="G610" i="18"/>
  <c r="F610" i="18"/>
  <c r="F611" i="18" s="1"/>
  <c r="V608" i="18"/>
  <c r="I608" i="18"/>
  <c r="H608" i="18"/>
  <c r="G608" i="18"/>
  <c r="F608" i="18"/>
  <c r="V607" i="18"/>
  <c r="T607" i="18"/>
  <c r="L607" i="18"/>
  <c r="M607" i="18" s="1"/>
  <c r="E605" i="18"/>
  <c r="V604" i="18"/>
  <c r="L604" i="18"/>
  <c r="M604" i="18" s="1"/>
  <c r="T603" i="18"/>
  <c r="L603" i="18"/>
  <c r="M603" i="18" s="1"/>
  <c r="T602" i="18"/>
  <c r="L602" i="18"/>
  <c r="M602" i="18" s="1"/>
  <c r="V601" i="18"/>
  <c r="E600" i="18"/>
  <c r="T599" i="18"/>
  <c r="L599" i="18"/>
  <c r="M599" i="18" s="1"/>
  <c r="T598" i="18"/>
  <c r="L598" i="18"/>
  <c r="M598" i="18" s="1"/>
  <c r="T597" i="18"/>
  <c r="L597" i="18"/>
  <c r="M597" i="18" s="1"/>
  <c r="H580" i="18"/>
  <c r="H565" i="18" s="1"/>
  <c r="G580" i="18"/>
  <c r="G565" i="18" s="1"/>
  <c r="F565" i="18"/>
  <c r="V578" i="18"/>
  <c r="V563" i="18" s="1"/>
  <c r="H578" i="18"/>
  <c r="H563" i="18" s="1"/>
  <c r="G578" i="18"/>
  <c r="G563" i="18" s="1"/>
  <c r="F578" i="18"/>
  <c r="F563" i="18" s="1"/>
  <c r="V577" i="18"/>
  <c r="T577" i="18"/>
  <c r="L577" i="18"/>
  <c r="M577" i="18" s="1"/>
  <c r="N580" i="18"/>
  <c r="E575" i="18"/>
  <c r="V574" i="18"/>
  <c r="L574" i="18"/>
  <c r="M574" i="18" s="1"/>
  <c r="T573" i="18"/>
  <c r="L573" i="18"/>
  <c r="M573" i="18" s="1"/>
  <c r="T572" i="18"/>
  <c r="L572" i="18"/>
  <c r="M572" i="18" s="1"/>
  <c r="V571" i="18"/>
  <c r="E570" i="18"/>
  <c r="T569" i="18"/>
  <c r="L569" i="18"/>
  <c r="M569" i="18" s="1"/>
  <c r="T568" i="18"/>
  <c r="L568" i="18"/>
  <c r="M568" i="18" s="1"/>
  <c r="T567" i="18"/>
  <c r="L567" i="18"/>
  <c r="M567" i="18" s="1"/>
  <c r="R545" i="18"/>
  <c r="R528" i="18" s="1"/>
  <c r="E560" i="18"/>
  <c r="R559" i="18"/>
  <c r="N559" i="18"/>
  <c r="K559" i="18"/>
  <c r="J559" i="18"/>
  <c r="I559" i="18"/>
  <c r="H559" i="18"/>
  <c r="G559" i="18"/>
  <c r="F559" i="18"/>
  <c r="H541" i="18"/>
  <c r="V564" i="18"/>
  <c r="S564" i="18"/>
  <c r="R564" i="18"/>
  <c r="N564" i="18"/>
  <c r="K564" i="18"/>
  <c r="J564" i="18"/>
  <c r="I564" i="18"/>
  <c r="H564" i="18"/>
  <c r="G564" i="18"/>
  <c r="F557" i="18"/>
  <c r="F564" i="18" s="1"/>
  <c r="F554" i="18"/>
  <c r="F556" i="18" s="1"/>
  <c r="E553" i="18"/>
  <c r="V552" i="18"/>
  <c r="S552" i="18"/>
  <c r="R552" i="18"/>
  <c r="N552" i="18"/>
  <c r="K552" i="18"/>
  <c r="J552" i="18"/>
  <c r="I552" i="18"/>
  <c r="I535" i="18" s="1"/>
  <c r="I518" i="18" s="1"/>
  <c r="H552" i="18"/>
  <c r="G552" i="18"/>
  <c r="F552" i="18"/>
  <c r="S551" i="18"/>
  <c r="R551" i="18"/>
  <c r="N551" i="18"/>
  <c r="K551" i="18"/>
  <c r="J551" i="18"/>
  <c r="I551" i="18"/>
  <c r="I534" i="18" s="1"/>
  <c r="I517" i="18" s="1"/>
  <c r="H551" i="18"/>
  <c r="G551" i="18"/>
  <c r="F551" i="18"/>
  <c r="S550" i="18"/>
  <c r="R550" i="18"/>
  <c r="N550" i="18"/>
  <c r="K550" i="18"/>
  <c r="K533" i="18" s="1"/>
  <c r="K516" i="18" s="1"/>
  <c r="J550" i="18"/>
  <c r="I550" i="18"/>
  <c r="I533" i="18" s="1"/>
  <c r="I516" i="18" s="1"/>
  <c r="H550" i="18"/>
  <c r="G550" i="18"/>
  <c r="G533" i="18" s="1"/>
  <c r="G516" i="18" s="1"/>
  <c r="F550" i="18"/>
  <c r="H545" i="18"/>
  <c r="H528" i="18" s="1"/>
  <c r="E544" i="18"/>
  <c r="E527" i="18" s="1"/>
  <c r="E542" i="18"/>
  <c r="E525" i="18" s="1"/>
  <c r="E536" i="18"/>
  <c r="E519" i="18"/>
  <c r="AB515" i="18"/>
  <c r="J514" i="18"/>
  <c r="I514" i="18"/>
  <c r="H514" i="18"/>
  <c r="F514" i="18"/>
  <c r="F515" i="18" s="1"/>
  <c r="V512" i="18"/>
  <c r="I512" i="18"/>
  <c r="H512" i="18"/>
  <c r="F512" i="18"/>
  <c r="V511" i="18"/>
  <c r="T511" i="18"/>
  <c r="L511" i="18"/>
  <c r="M511" i="18" s="1"/>
  <c r="E509" i="18"/>
  <c r="V508" i="18"/>
  <c r="L508" i="18"/>
  <c r="M508" i="18" s="1"/>
  <c r="T507" i="18"/>
  <c r="L507" i="18"/>
  <c r="M507" i="18" s="1"/>
  <c r="T506" i="18"/>
  <c r="L506" i="18"/>
  <c r="M506" i="18" s="1"/>
  <c r="V504" i="18"/>
  <c r="E504" i="18"/>
  <c r="T502" i="18"/>
  <c r="L502" i="18"/>
  <c r="T501" i="18"/>
  <c r="N499" i="18"/>
  <c r="J499" i="18"/>
  <c r="I499" i="18"/>
  <c r="F499" i="18"/>
  <c r="F500" i="18" s="1"/>
  <c r="V497" i="18"/>
  <c r="I497" i="18"/>
  <c r="H497" i="18"/>
  <c r="G497" i="18"/>
  <c r="F497" i="18"/>
  <c r="V496" i="18"/>
  <c r="T496" i="18"/>
  <c r="L496" i="18"/>
  <c r="M496" i="18" s="1"/>
  <c r="R497" i="18"/>
  <c r="N497" i="18"/>
  <c r="E494" i="18"/>
  <c r="V493" i="18"/>
  <c r="V478" i="18" s="1"/>
  <c r="L493" i="18"/>
  <c r="M493" i="18" s="1"/>
  <c r="T492" i="18"/>
  <c r="T491" i="18"/>
  <c r="L491" i="18"/>
  <c r="M491" i="18" s="1"/>
  <c r="V490" i="18"/>
  <c r="E489" i="18"/>
  <c r="T488" i="18"/>
  <c r="L487" i="18"/>
  <c r="M487" i="18" s="1"/>
  <c r="T486" i="18"/>
  <c r="L486" i="18"/>
  <c r="M486" i="18" s="1"/>
  <c r="S481" i="18"/>
  <c r="R481" i="18"/>
  <c r="N481" i="18"/>
  <c r="K481" i="18"/>
  <c r="J481" i="18"/>
  <c r="I481" i="18"/>
  <c r="H481" i="18"/>
  <c r="G481" i="18"/>
  <c r="F481" i="18"/>
  <c r="K480" i="18"/>
  <c r="I480" i="18"/>
  <c r="H480" i="18"/>
  <c r="F480" i="18"/>
  <c r="E480" i="18"/>
  <c r="R478" i="18"/>
  <c r="N478" i="18"/>
  <c r="K478" i="18"/>
  <c r="J478" i="18"/>
  <c r="I478" i="18"/>
  <c r="H478" i="18"/>
  <c r="G478" i="18"/>
  <c r="F478" i="18"/>
  <c r="F479" i="18" s="1"/>
  <c r="E478" i="18"/>
  <c r="S477" i="18"/>
  <c r="R477" i="18"/>
  <c r="N477" i="18"/>
  <c r="K477" i="18"/>
  <c r="J477" i="18"/>
  <c r="I477" i="18"/>
  <c r="F477" i="18"/>
  <c r="F483" i="18" s="1"/>
  <c r="S476" i="18"/>
  <c r="R476" i="18"/>
  <c r="N476" i="18"/>
  <c r="K476" i="18"/>
  <c r="J476" i="18"/>
  <c r="I476" i="18"/>
  <c r="H476" i="18"/>
  <c r="G476" i="18"/>
  <c r="G483" i="18" s="1"/>
  <c r="H475" i="18"/>
  <c r="G475" i="18"/>
  <c r="F475" i="18"/>
  <c r="E474" i="18"/>
  <c r="V473" i="18"/>
  <c r="R473" i="18"/>
  <c r="N473" i="18"/>
  <c r="K473" i="18"/>
  <c r="I473" i="18"/>
  <c r="H473" i="18"/>
  <c r="G473" i="18"/>
  <c r="F473" i="18"/>
  <c r="V472" i="18"/>
  <c r="N472" i="18"/>
  <c r="K472" i="18"/>
  <c r="J472" i="18"/>
  <c r="I472" i="18"/>
  <c r="H472" i="18"/>
  <c r="G472" i="18"/>
  <c r="F472" i="18"/>
  <c r="V471" i="18"/>
  <c r="S471" i="18"/>
  <c r="R471" i="18"/>
  <c r="N471" i="18"/>
  <c r="K471" i="18"/>
  <c r="J471" i="18"/>
  <c r="I471" i="18"/>
  <c r="F471" i="18"/>
  <c r="S468" i="18"/>
  <c r="R468" i="18"/>
  <c r="N468" i="18"/>
  <c r="K468" i="18"/>
  <c r="J468" i="18"/>
  <c r="I468" i="18"/>
  <c r="H468" i="18"/>
  <c r="G468" i="18"/>
  <c r="F468" i="18"/>
  <c r="V467" i="18"/>
  <c r="V466" i="18"/>
  <c r="V421" i="18" s="1"/>
  <c r="W421" i="18" s="1"/>
  <c r="T466" i="18"/>
  <c r="L466" i="18"/>
  <c r="M466" i="18" s="1"/>
  <c r="R465" i="18"/>
  <c r="N465" i="18"/>
  <c r="K465" i="18"/>
  <c r="K420" i="18" s="1"/>
  <c r="J465" i="18"/>
  <c r="J420" i="18" s="1"/>
  <c r="I465" i="18"/>
  <c r="I420" i="18" s="1"/>
  <c r="H465" i="18"/>
  <c r="H420" i="18" s="1"/>
  <c r="G465" i="18"/>
  <c r="G420" i="18" s="1"/>
  <c r="F465" i="18"/>
  <c r="F420" i="18" s="1"/>
  <c r="E464" i="18"/>
  <c r="V463" i="18"/>
  <c r="T463" i="18"/>
  <c r="L463" i="18"/>
  <c r="M463" i="18" s="1"/>
  <c r="T462" i="18"/>
  <c r="L462" i="18"/>
  <c r="M462" i="18" s="1"/>
  <c r="T461" i="18"/>
  <c r="L461" i="18"/>
  <c r="M461" i="18" s="1"/>
  <c r="V460" i="18"/>
  <c r="V465" i="18" s="1"/>
  <c r="S460" i="18"/>
  <c r="S413" i="18" s="1"/>
  <c r="R460" i="18"/>
  <c r="N460" i="18"/>
  <c r="N413" i="18" s="1"/>
  <c r="K460" i="18"/>
  <c r="K413" i="18" s="1"/>
  <c r="J460" i="18"/>
  <c r="I460" i="18"/>
  <c r="H460" i="18"/>
  <c r="G460" i="18"/>
  <c r="F460" i="18"/>
  <c r="T458" i="18"/>
  <c r="L458" i="18"/>
  <c r="M458" i="18" s="1"/>
  <c r="T457" i="18"/>
  <c r="L457" i="18"/>
  <c r="M457" i="18" s="1"/>
  <c r="T456" i="18"/>
  <c r="L456" i="18"/>
  <c r="M456" i="18" s="1"/>
  <c r="S438" i="18"/>
  <c r="R438" i="18"/>
  <c r="N438" i="18"/>
  <c r="K438" i="18"/>
  <c r="K439" i="18" s="1"/>
  <c r="J438" i="18"/>
  <c r="H438" i="18"/>
  <c r="H439" i="18" s="1"/>
  <c r="V437" i="18"/>
  <c r="V422" i="18" s="1"/>
  <c r="H437" i="18"/>
  <c r="G437" i="18"/>
  <c r="F437" i="18"/>
  <c r="T436" i="18"/>
  <c r="L436" i="18"/>
  <c r="M436" i="18" s="1"/>
  <c r="J437" i="18"/>
  <c r="E434" i="18"/>
  <c r="V433" i="18"/>
  <c r="T433" i="18"/>
  <c r="L433" i="18"/>
  <c r="M433" i="18" s="1"/>
  <c r="F338" i="18"/>
  <c r="F344" i="18" s="1"/>
  <c r="T431" i="18"/>
  <c r="L431" i="18"/>
  <c r="M431" i="18" s="1"/>
  <c r="V430" i="18"/>
  <c r="V413" i="18" s="1"/>
  <c r="E429" i="18"/>
  <c r="T428" i="18"/>
  <c r="L428" i="18"/>
  <c r="M428" i="18" s="1"/>
  <c r="T427" i="18"/>
  <c r="T426" i="18"/>
  <c r="L426" i="18"/>
  <c r="M426" i="18" s="1"/>
  <c r="S406" i="18"/>
  <c r="R406" i="18"/>
  <c r="N406" i="18"/>
  <c r="T361" i="18" s="1"/>
  <c r="U361" i="18" s="1"/>
  <c r="W361" i="18" s="1"/>
  <c r="K406" i="18"/>
  <c r="J406" i="18"/>
  <c r="I406" i="18"/>
  <c r="H406" i="18"/>
  <c r="G406" i="18"/>
  <c r="F406" i="18"/>
  <c r="V405" i="18"/>
  <c r="V360" i="18" s="1"/>
  <c r="V404" i="18"/>
  <c r="V359" i="18" s="1"/>
  <c r="W359" i="18" s="1"/>
  <c r="T404" i="18"/>
  <c r="L404" i="18"/>
  <c r="M404" i="18" s="1"/>
  <c r="R403" i="18"/>
  <c r="R358" i="18" s="1"/>
  <c r="N403" i="18"/>
  <c r="N358" i="18" s="1"/>
  <c r="K403" i="18"/>
  <c r="K358" i="18" s="1"/>
  <c r="J403" i="18"/>
  <c r="J358" i="18" s="1"/>
  <c r="I403" i="18"/>
  <c r="I358" i="18" s="1"/>
  <c r="H403" i="18"/>
  <c r="H358" i="18" s="1"/>
  <c r="G403" i="18"/>
  <c r="G358" i="18" s="1"/>
  <c r="F403" i="18"/>
  <c r="F358" i="18" s="1"/>
  <c r="E402" i="18"/>
  <c r="V401" i="18"/>
  <c r="V356" i="18" s="1"/>
  <c r="S401" i="18"/>
  <c r="S356" i="18" s="1"/>
  <c r="L401" i="18"/>
  <c r="M401" i="18" s="1"/>
  <c r="T400" i="18"/>
  <c r="L400" i="18"/>
  <c r="M400" i="18" s="1"/>
  <c r="T399" i="18"/>
  <c r="L399" i="18"/>
  <c r="M399" i="18" s="1"/>
  <c r="V398" i="18"/>
  <c r="V351" i="18" s="1"/>
  <c r="S398" i="18"/>
  <c r="S351" i="18" s="1"/>
  <c r="R398" i="18"/>
  <c r="R351" i="18" s="1"/>
  <c r="N398" i="18"/>
  <c r="N351" i="18" s="1"/>
  <c r="K398" i="18"/>
  <c r="K351" i="18" s="1"/>
  <c r="J398" i="18"/>
  <c r="J351" i="18" s="1"/>
  <c r="I398" i="18"/>
  <c r="I351" i="18" s="1"/>
  <c r="H398" i="18"/>
  <c r="G398" i="18"/>
  <c r="G351" i="18" s="1"/>
  <c r="F398" i="18"/>
  <c r="F351" i="18" s="1"/>
  <c r="T396" i="18"/>
  <c r="L396" i="18"/>
  <c r="M396" i="18" s="1"/>
  <c r="T395" i="18"/>
  <c r="L395" i="18"/>
  <c r="M395" i="18" s="1"/>
  <c r="T394" i="18"/>
  <c r="L394" i="18"/>
  <c r="M394" i="18" s="1"/>
  <c r="S312" i="18"/>
  <c r="R312" i="18"/>
  <c r="N312" i="18"/>
  <c r="K312" i="18"/>
  <c r="J312" i="18"/>
  <c r="I312" i="18"/>
  <c r="H312" i="18"/>
  <c r="G312" i="18"/>
  <c r="F312" i="18"/>
  <c r="V311" i="18"/>
  <c r="V310" i="18"/>
  <c r="T310" i="18"/>
  <c r="L310" i="18"/>
  <c r="M310" i="18" s="1"/>
  <c r="R309" i="18"/>
  <c r="N309" i="18"/>
  <c r="K309" i="18"/>
  <c r="J309" i="18"/>
  <c r="I309" i="18"/>
  <c r="H309" i="18"/>
  <c r="G309" i="18"/>
  <c r="G311" i="18" s="1"/>
  <c r="F309" i="18"/>
  <c r="E308" i="18"/>
  <c r="V307" i="18"/>
  <c r="S307" i="18"/>
  <c r="L307" i="18"/>
  <c r="M307" i="18" s="1"/>
  <c r="T306" i="18"/>
  <c r="L306" i="18"/>
  <c r="M306" i="18" s="1"/>
  <c r="T305" i="18"/>
  <c r="L305" i="18"/>
  <c r="M305" i="18" s="1"/>
  <c r="V304" i="18"/>
  <c r="V309" i="18" s="1"/>
  <c r="V312" i="18" s="1"/>
  <c r="S304" i="18"/>
  <c r="R304" i="18"/>
  <c r="N304" i="18"/>
  <c r="K304" i="18"/>
  <c r="J304" i="18"/>
  <c r="I304" i="18"/>
  <c r="H304" i="18"/>
  <c r="G304" i="18"/>
  <c r="F304" i="18"/>
  <c r="T302" i="18"/>
  <c r="L302" i="18"/>
  <c r="M302" i="18" s="1"/>
  <c r="T301" i="18"/>
  <c r="L301" i="18"/>
  <c r="M301" i="18" s="1"/>
  <c r="T300" i="18"/>
  <c r="L300" i="18"/>
  <c r="M300" i="18" s="1"/>
  <c r="S282" i="18"/>
  <c r="R282" i="18"/>
  <c r="N282" i="18"/>
  <c r="K282" i="18"/>
  <c r="J282" i="18"/>
  <c r="I282" i="18"/>
  <c r="H282" i="18"/>
  <c r="G282" i="18"/>
  <c r="F282" i="18"/>
  <c r="V281" i="18"/>
  <c r="V280" i="18"/>
  <c r="T280" i="18"/>
  <c r="L280" i="18"/>
  <c r="M280" i="18" s="1"/>
  <c r="R279" i="18"/>
  <c r="N279" i="18"/>
  <c r="N264" i="18" s="1"/>
  <c r="K279" i="18"/>
  <c r="J279" i="18"/>
  <c r="I279" i="18"/>
  <c r="H279" i="18"/>
  <c r="H264" i="18" s="1"/>
  <c r="G279" i="18"/>
  <c r="F279" i="18"/>
  <c r="E278" i="18"/>
  <c r="V277" i="18"/>
  <c r="V262" i="18" s="1"/>
  <c r="S277" i="18"/>
  <c r="L277" i="18"/>
  <c r="M277" i="18" s="1"/>
  <c r="T276" i="18"/>
  <c r="L276" i="18"/>
  <c r="M276" i="18" s="1"/>
  <c r="T275" i="18"/>
  <c r="L275" i="18"/>
  <c r="M275" i="18" s="1"/>
  <c r="X274" i="18"/>
  <c r="V274" i="18"/>
  <c r="V257" i="18" s="1"/>
  <c r="S274" i="18"/>
  <c r="S257" i="18" s="1"/>
  <c r="R274" i="18"/>
  <c r="N274" i="18"/>
  <c r="K274" i="18"/>
  <c r="J274" i="18"/>
  <c r="J257" i="18" s="1"/>
  <c r="I274" i="18"/>
  <c r="I257" i="18" s="1"/>
  <c r="H274" i="18"/>
  <c r="G274" i="18"/>
  <c r="F274" i="18"/>
  <c r="F257" i="18" s="1"/>
  <c r="T272" i="18"/>
  <c r="L272" i="18"/>
  <c r="M272" i="18" s="1"/>
  <c r="T271" i="18"/>
  <c r="L271" i="18"/>
  <c r="M271" i="18" s="1"/>
  <c r="T270" i="18"/>
  <c r="L270" i="18"/>
  <c r="M270" i="18" s="1"/>
  <c r="S250" i="18"/>
  <c r="R250" i="18"/>
  <c r="N250" i="18"/>
  <c r="K250" i="18"/>
  <c r="J250" i="18"/>
  <c r="J251" i="18" s="1"/>
  <c r="I250" i="18"/>
  <c r="H250" i="18"/>
  <c r="G250" i="18"/>
  <c r="F250" i="18"/>
  <c r="F251" i="18" s="1"/>
  <c r="F252" i="18" s="1"/>
  <c r="V249" i="18"/>
  <c r="V248" i="18"/>
  <c r="T248" i="18"/>
  <c r="L248" i="18"/>
  <c r="M248" i="18" s="1"/>
  <c r="R247" i="18"/>
  <c r="R249" i="18" s="1"/>
  <c r="J249" i="18"/>
  <c r="H249" i="18"/>
  <c r="F249" i="18"/>
  <c r="E246" i="18"/>
  <c r="V245" i="18"/>
  <c r="S245" i="18"/>
  <c r="T245" i="18" s="1"/>
  <c r="L245" i="18"/>
  <c r="M245" i="18" s="1"/>
  <c r="T244" i="18"/>
  <c r="L244" i="18"/>
  <c r="M244" i="18" s="1"/>
  <c r="T243" i="18"/>
  <c r="L243" i="18"/>
  <c r="M243" i="18" s="1"/>
  <c r="X242" i="18"/>
  <c r="V242" i="18"/>
  <c r="V247" i="18" s="1"/>
  <c r="V250" i="18" s="1"/>
  <c r="S242" i="18"/>
  <c r="R242" i="18"/>
  <c r="E241" i="18"/>
  <c r="T240" i="18"/>
  <c r="L240" i="18"/>
  <c r="M240" i="18" s="1"/>
  <c r="T239" i="18"/>
  <c r="L239" i="18"/>
  <c r="M239" i="18" s="1"/>
  <c r="T238" i="18"/>
  <c r="L238" i="18"/>
  <c r="M238" i="18" s="1"/>
  <c r="S235" i="18"/>
  <c r="R235" i="18"/>
  <c r="N235" i="18"/>
  <c r="K235" i="18"/>
  <c r="J235" i="18"/>
  <c r="I235" i="18"/>
  <c r="I236" i="18" s="1"/>
  <c r="F235" i="18"/>
  <c r="F236" i="18" s="1"/>
  <c r="F237" i="18" s="1"/>
  <c r="V234" i="18"/>
  <c r="V219" i="18" s="1"/>
  <c r="I234" i="18"/>
  <c r="H234" i="18"/>
  <c r="G234" i="18"/>
  <c r="F234" i="18"/>
  <c r="V233" i="18"/>
  <c r="T233" i="18"/>
  <c r="L233" i="18"/>
  <c r="M233" i="18" s="1"/>
  <c r="E231" i="18"/>
  <c r="V230" i="18"/>
  <c r="T232" i="18"/>
  <c r="L230" i="18"/>
  <c r="M230" i="18" s="1"/>
  <c r="T229" i="18"/>
  <c r="T228" i="18"/>
  <c r="L228" i="18"/>
  <c r="M228" i="18" s="1"/>
  <c r="X227" i="18"/>
  <c r="V232" i="18"/>
  <c r="V235" i="18" s="1"/>
  <c r="V220" i="18" s="1"/>
  <c r="S212" i="18"/>
  <c r="K212" i="18"/>
  <c r="E226" i="18"/>
  <c r="T225" i="18"/>
  <c r="L225" i="18"/>
  <c r="T224" i="18"/>
  <c r="L224" i="18"/>
  <c r="M224" i="18" s="1"/>
  <c r="T223" i="18"/>
  <c r="L223" i="18"/>
  <c r="M223" i="18" s="1"/>
  <c r="S218" i="18"/>
  <c r="R218" i="18"/>
  <c r="N218" i="18"/>
  <c r="K218" i="18"/>
  <c r="J218" i="18"/>
  <c r="I218" i="18"/>
  <c r="H218" i="18"/>
  <c r="G218" i="18"/>
  <c r="F218" i="18"/>
  <c r="H217" i="18"/>
  <c r="F217" i="18"/>
  <c r="E217" i="18"/>
  <c r="R215" i="18"/>
  <c r="N215" i="18"/>
  <c r="K215" i="18"/>
  <c r="J215" i="18"/>
  <c r="I215" i="18"/>
  <c r="H215" i="18"/>
  <c r="G215" i="18"/>
  <c r="F215" i="18"/>
  <c r="E215" i="18"/>
  <c r="V214" i="18"/>
  <c r="S214" i="18"/>
  <c r="R214" i="18"/>
  <c r="N214" i="18"/>
  <c r="K214" i="18"/>
  <c r="J214" i="18"/>
  <c r="I214" i="18"/>
  <c r="F214" i="18"/>
  <c r="V213" i="18"/>
  <c r="S213" i="18"/>
  <c r="R213" i="18"/>
  <c r="N213" i="18"/>
  <c r="K213" i="18"/>
  <c r="J213" i="18"/>
  <c r="I213" i="18"/>
  <c r="H213" i="18"/>
  <c r="G213" i="18"/>
  <c r="F213" i="18"/>
  <c r="I212" i="18"/>
  <c r="H212" i="18"/>
  <c r="G212" i="18"/>
  <c r="F212" i="18"/>
  <c r="E211" i="18"/>
  <c r="V210" i="18"/>
  <c r="S210" i="18"/>
  <c r="R210" i="18"/>
  <c r="N210" i="18"/>
  <c r="K210" i="18"/>
  <c r="J210" i="18"/>
  <c r="I210" i="18"/>
  <c r="H210" i="18"/>
  <c r="G210" i="18"/>
  <c r="F210" i="18"/>
  <c r="V209" i="18"/>
  <c r="S209" i="18"/>
  <c r="R209" i="18"/>
  <c r="N209" i="18"/>
  <c r="K209" i="18"/>
  <c r="J209" i="18"/>
  <c r="I209" i="18"/>
  <c r="H209" i="18"/>
  <c r="G209" i="18"/>
  <c r="F209" i="18"/>
  <c r="V208" i="18"/>
  <c r="S208" i="18"/>
  <c r="R208" i="18"/>
  <c r="N208" i="18"/>
  <c r="K208" i="18"/>
  <c r="J208" i="18"/>
  <c r="I208" i="18"/>
  <c r="H208" i="18"/>
  <c r="G208" i="18"/>
  <c r="F208" i="18"/>
  <c r="S205" i="18"/>
  <c r="R205" i="18"/>
  <c r="N205" i="18"/>
  <c r="K205" i="18"/>
  <c r="J205" i="18"/>
  <c r="I205" i="18"/>
  <c r="H205" i="18"/>
  <c r="G205" i="18"/>
  <c r="F205" i="18"/>
  <c r="V204" i="18"/>
  <c r="V203" i="18"/>
  <c r="T203" i="18"/>
  <c r="L203" i="18"/>
  <c r="M203" i="18" s="1"/>
  <c r="R202" i="18"/>
  <c r="N202" i="18"/>
  <c r="N204" i="18" s="1"/>
  <c r="K202" i="18"/>
  <c r="J202" i="18"/>
  <c r="J204" i="18" s="1"/>
  <c r="I202" i="18"/>
  <c r="I204" i="18" s="1"/>
  <c r="H202" i="18"/>
  <c r="G202" i="18"/>
  <c r="F202" i="18"/>
  <c r="E201" i="18"/>
  <c r="V200" i="18"/>
  <c r="S200" i="18"/>
  <c r="L200" i="18"/>
  <c r="M200" i="18" s="1"/>
  <c r="T199" i="18"/>
  <c r="L199" i="18"/>
  <c r="M199" i="18" s="1"/>
  <c r="T198" i="18"/>
  <c r="L198" i="18"/>
  <c r="M198" i="18" s="1"/>
  <c r="X197" i="18"/>
  <c r="V197" i="18"/>
  <c r="V202" i="18" s="1"/>
  <c r="S197" i="18"/>
  <c r="R197" i="18"/>
  <c r="N197" i="18"/>
  <c r="K197" i="18"/>
  <c r="J197" i="18"/>
  <c r="I197" i="18"/>
  <c r="H197" i="18"/>
  <c r="G197" i="18"/>
  <c r="F197" i="18"/>
  <c r="T195" i="18"/>
  <c r="L195" i="18"/>
  <c r="M195" i="18" s="1"/>
  <c r="T194" i="18"/>
  <c r="L194" i="18"/>
  <c r="M194" i="18" s="1"/>
  <c r="T193" i="18"/>
  <c r="L193" i="18"/>
  <c r="M193" i="18" s="1"/>
  <c r="S190" i="18"/>
  <c r="R190" i="18"/>
  <c r="N190" i="18"/>
  <c r="K190" i="18"/>
  <c r="J190" i="18"/>
  <c r="I190" i="18"/>
  <c r="H190" i="18"/>
  <c r="G190" i="18"/>
  <c r="F190" i="18"/>
  <c r="V189" i="18"/>
  <c r="V188" i="18"/>
  <c r="T188" i="18"/>
  <c r="L188" i="18"/>
  <c r="M188" i="18" s="1"/>
  <c r="R187" i="18"/>
  <c r="R189" i="18" s="1"/>
  <c r="N187" i="18"/>
  <c r="K187" i="18"/>
  <c r="K189" i="18" s="1"/>
  <c r="J187" i="18"/>
  <c r="I187" i="18"/>
  <c r="I191" i="18" s="1"/>
  <c r="H187" i="18"/>
  <c r="G187" i="18"/>
  <c r="G191" i="18" s="1"/>
  <c r="F187" i="18"/>
  <c r="E186" i="18"/>
  <c r="V185" i="18"/>
  <c r="S185" i="18"/>
  <c r="T185" i="18" s="1"/>
  <c r="L185" i="18"/>
  <c r="M185" i="18" s="1"/>
  <c r="T184" i="18"/>
  <c r="L184" i="18"/>
  <c r="M184" i="18" s="1"/>
  <c r="T183" i="18"/>
  <c r="L183" i="18"/>
  <c r="M183" i="18" s="1"/>
  <c r="V182" i="18"/>
  <c r="S182" i="18"/>
  <c r="S167" i="18" s="1"/>
  <c r="R182" i="18"/>
  <c r="N182" i="18"/>
  <c r="K182" i="18"/>
  <c r="J182" i="18"/>
  <c r="I182" i="18"/>
  <c r="H182" i="18"/>
  <c r="G182" i="18"/>
  <c r="F182" i="18"/>
  <c r="T180" i="18"/>
  <c r="L180" i="18"/>
  <c r="M180" i="18" s="1"/>
  <c r="T179" i="18"/>
  <c r="L179" i="18"/>
  <c r="M179" i="18" s="1"/>
  <c r="T178" i="18"/>
  <c r="L178" i="18"/>
  <c r="M178" i="18" s="1"/>
  <c r="S173" i="18"/>
  <c r="R173" i="18"/>
  <c r="N173" i="18"/>
  <c r="K173" i="18"/>
  <c r="J173" i="18"/>
  <c r="I173" i="18"/>
  <c r="H173" i="18"/>
  <c r="G173" i="18"/>
  <c r="F173" i="18"/>
  <c r="E172" i="18"/>
  <c r="R170" i="18"/>
  <c r="N170" i="18"/>
  <c r="K170" i="18"/>
  <c r="J170" i="18"/>
  <c r="I170" i="18"/>
  <c r="H170" i="18"/>
  <c r="G170" i="18"/>
  <c r="F170" i="18"/>
  <c r="E170" i="18"/>
  <c r="V169" i="18"/>
  <c r="V30" i="18" s="1"/>
  <c r="S169" i="18"/>
  <c r="R169" i="18"/>
  <c r="R47" i="18" s="1"/>
  <c r="N169" i="18"/>
  <c r="N47" i="18" s="1"/>
  <c r="K169" i="18"/>
  <c r="J169" i="18"/>
  <c r="J175" i="18" s="1"/>
  <c r="I169" i="18"/>
  <c r="H169" i="18"/>
  <c r="G169" i="18"/>
  <c r="F169" i="18"/>
  <c r="V168" i="18"/>
  <c r="S168" i="18"/>
  <c r="R168" i="18"/>
  <c r="N168" i="18"/>
  <c r="K168" i="18"/>
  <c r="J168" i="18"/>
  <c r="I168" i="18"/>
  <c r="H168" i="18"/>
  <c r="G168" i="18"/>
  <c r="F168" i="18"/>
  <c r="X167" i="18"/>
  <c r="V165" i="18"/>
  <c r="S165" i="18"/>
  <c r="R165" i="18"/>
  <c r="N165" i="18"/>
  <c r="K165" i="18"/>
  <c r="J165" i="18"/>
  <c r="I165" i="18"/>
  <c r="H165" i="18"/>
  <c r="G165" i="18"/>
  <c r="F165" i="18"/>
  <c r="V164" i="18"/>
  <c r="S164" i="18"/>
  <c r="R164" i="18"/>
  <c r="N164" i="18"/>
  <c r="K164" i="18"/>
  <c r="J164" i="18"/>
  <c r="I164" i="18"/>
  <c r="H164" i="18"/>
  <c r="G164" i="18"/>
  <c r="F164" i="18"/>
  <c r="V163" i="18"/>
  <c r="S163" i="18"/>
  <c r="R163" i="18"/>
  <c r="N163" i="18"/>
  <c r="K163" i="18"/>
  <c r="J163" i="18"/>
  <c r="I163" i="18"/>
  <c r="H163" i="18"/>
  <c r="G163" i="18"/>
  <c r="F163" i="18"/>
  <c r="E141" i="18"/>
  <c r="E136" i="18"/>
  <c r="R100" i="18"/>
  <c r="R101" i="18" s="1"/>
  <c r="N100" i="18"/>
  <c r="K100" i="18"/>
  <c r="F100" i="18"/>
  <c r="V98" i="18"/>
  <c r="V68" i="18" s="1"/>
  <c r="T98" i="18"/>
  <c r="L98" i="18"/>
  <c r="M98" i="18" s="1"/>
  <c r="E96" i="18"/>
  <c r="V95" i="18"/>
  <c r="V65" i="18" s="1"/>
  <c r="L95" i="18"/>
  <c r="M95" i="18" s="1"/>
  <c r="T93" i="18"/>
  <c r="L93" i="18"/>
  <c r="M93" i="18" s="1"/>
  <c r="V92" i="18"/>
  <c r="V60" i="18" s="1"/>
  <c r="F60" i="18"/>
  <c r="E91" i="18"/>
  <c r="T90" i="18"/>
  <c r="L90" i="18"/>
  <c r="M90" i="18" s="1"/>
  <c r="T89" i="18"/>
  <c r="L89" i="18"/>
  <c r="M89" i="18" s="1"/>
  <c r="T88" i="18"/>
  <c r="L88" i="18"/>
  <c r="M88" i="18" s="1"/>
  <c r="S716" i="15"/>
  <c r="R716" i="15"/>
  <c r="Q716" i="15"/>
  <c r="O716" i="15"/>
  <c r="N716" i="15"/>
  <c r="K716" i="15"/>
  <c r="J716" i="15"/>
  <c r="I716" i="15"/>
  <c r="H716" i="15"/>
  <c r="G716" i="15"/>
  <c r="F716" i="15"/>
  <c r="V715" i="15"/>
  <c r="V714" i="15"/>
  <c r="T714" i="15"/>
  <c r="L714" i="15"/>
  <c r="M714" i="15" s="1"/>
  <c r="S717" i="15"/>
  <c r="Q717" i="15"/>
  <c r="N717" i="15"/>
  <c r="J717" i="15"/>
  <c r="H717" i="15"/>
  <c r="E712" i="15"/>
  <c r="V711" i="15"/>
  <c r="T711" i="15"/>
  <c r="L711" i="15"/>
  <c r="M711" i="15" s="1"/>
  <c r="T710" i="15"/>
  <c r="L710" i="15"/>
  <c r="M710" i="15" s="1"/>
  <c r="T709" i="15"/>
  <c r="L709" i="15"/>
  <c r="M709" i="15" s="1"/>
  <c r="V713" i="15"/>
  <c r="T706" i="15"/>
  <c r="L706" i="15"/>
  <c r="M706" i="15" s="1"/>
  <c r="T705" i="15"/>
  <c r="L705" i="15"/>
  <c r="M705" i="15" s="1"/>
  <c r="T704" i="15"/>
  <c r="L704" i="15"/>
  <c r="M704" i="15" s="1"/>
  <c r="S686" i="15"/>
  <c r="R686" i="15"/>
  <c r="Q686" i="15"/>
  <c r="O686" i="15"/>
  <c r="N686" i="15"/>
  <c r="K686" i="15"/>
  <c r="J686" i="15"/>
  <c r="I686" i="15"/>
  <c r="H686" i="15"/>
  <c r="G686" i="15"/>
  <c r="F686" i="15"/>
  <c r="V685" i="15"/>
  <c r="V684" i="15"/>
  <c r="T684" i="15"/>
  <c r="L684" i="15"/>
  <c r="M684" i="15" s="1"/>
  <c r="S683" i="15"/>
  <c r="S685" i="15" s="1"/>
  <c r="R683" i="15"/>
  <c r="R685" i="15" s="1"/>
  <c r="Q683" i="15"/>
  <c r="Q685" i="15" s="1"/>
  <c r="O683" i="15"/>
  <c r="O685" i="15" s="1"/>
  <c r="N683" i="15"/>
  <c r="N685" i="15" s="1"/>
  <c r="K683" i="15"/>
  <c r="K685" i="15" s="1"/>
  <c r="J683" i="15"/>
  <c r="I683" i="15"/>
  <c r="H683" i="15"/>
  <c r="G683" i="15"/>
  <c r="F683" i="15"/>
  <c r="E682" i="15"/>
  <c r="V681" i="15"/>
  <c r="T681" i="15"/>
  <c r="L681" i="15"/>
  <c r="M681" i="15" s="1"/>
  <c r="T680" i="15"/>
  <c r="L680" i="15"/>
  <c r="M680" i="15" s="1"/>
  <c r="T679" i="15"/>
  <c r="L679" i="15"/>
  <c r="M679" i="15" s="1"/>
  <c r="V678" i="15"/>
  <c r="V683" i="15" s="1"/>
  <c r="S678" i="15"/>
  <c r="S631" i="15" s="1"/>
  <c r="S633" i="15" s="1"/>
  <c r="R678" i="15"/>
  <c r="Q678" i="15"/>
  <c r="O678" i="15"/>
  <c r="N678" i="15"/>
  <c r="N631" i="15" s="1"/>
  <c r="N633" i="15" s="1"/>
  <c r="K678" i="15"/>
  <c r="J678" i="15"/>
  <c r="J631" i="15" s="1"/>
  <c r="J633" i="15" s="1"/>
  <c r="I678" i="15"/>
  <c r="I631" i="15" s="1"/>
  <c r="I633" i="15" s="1"/>
  <c r="H678" i="15"/>
  <c r="H631" i="15" s="1"/>
  <c r="H633" i="15" s="1"/>
  <c r="G678" i="15"/>
  <c r="G631" i="15" s="1"/>
  <c r="G633" i="15" s="1"/>
  <c r="F678" i="15"/>
  <c r="F631" i="15" s="1"/>
  <c r="F633" i="15" s="1"/>
  <c r="T676" i="15"/>
  <c r="L676" i="15"/>
  <c r="M676" i="15" s="1"/>
  <c r="T675" i="15"/>
  <c r="L675" i="15"/>
  <c r="M675" i="15" s="1"/>
  <c r="T674" i="15"/>
  <c r="L674" i="15"/>
  <c r="M674" i="15" s="1"/>
  <c r="S656" i="15"/>
  <c r="S641" i="15" s="1"/>
  <c r="R656" i="15"/>
  <c r="Q656" i="15"/>
  <c r="Q657" i="15" s="1"/>
  <c r="O656" i="15"/>
  <c r="O641" i="15" s="1"/>
  <c r="N656" i="15"/>
  <c r="K656" i="15"/>
  <c r="K657" i="15" s="1"/>
  <c r="J656" i="15"/>
  <c r="J641" i="15" s="1"/>
  <c r="I656" i="15"/>
  <c r="I641" i="15" s="1"/>
  <c r="H656" i="15"/>
  <c r="H657" i="15" s="1"/>
  <c r="G656" i="15"/>
  <c r="G657" i="15" s="1"/>
  <c r="F656" i="15"/>
  <c r="F657" i="15" s="1"/>
  <c r="F658" i="15" s="1"/>
  <c r="V655" i="15"/>
  <c r="H655" i="15"/>
  <c r="G655" i="15"/>
  <c r="F655" i="15"/>
  <c r="V654" i="15"/>
  <c r="T654" i="15"/>
  <c r="L654" i="15"/>
  <c r="M654" i="15" s="1"/>
  <c r="R655" i="15"/>
  <c r="R640" i="15" s="1"/>
  <c r="N655" i="15"/>
  <c r="E652" i="15"/>
  <c r="V651" i="15"/>
  <c r="L651" i="15"/>
  <c r="M651" i="15" s="1"/>
  <c r="T650" i="15"/>
  <c r="L650" i="15"/>
  <c r="M650" i="15" s="1"/>
  <c r="T649" i="15"/>
  <c r="L649" i="15"/>
  <c r="M649" i="15" s="1"/>
  <c r="V648" i="15"/>
  <c r="O631" i="15"/>
  <c r="O633" i="15" s="1"/>
  <c r="E647" i="15"/>
  <c r="L646" i="15"/>
  <c r="M646" i="15" s="1"/>
  <c r="L645" i="15"/>
  <c r="M645" i="15" s="1"/>
  <c r="T644" i="15"/>
  <c r="L644" i="15"/>
  <c r="M644" i="15" s="1"/>
  <c r="H641" i="15"/>
  <c r="S639" i="15"/>
  <c r="R639" i="15"/>
  <c r="Q639" i="15"/>
  <c r="O639" i="15"/>
  <c r="N639" i="15"/>
  <c r="K639" i="15"/>
  <c r="J639" i="15"/>
  <c r="I639" i="15"/>
  <c r="H639" i="15"/>
  <c r="G639" i="15"/>
  <c r="F639" i="15"/>
  <c r="E637" i="15"/>
  <c r="V635" i="15"/>
  <c r="V541" i="15" s="1"/>
  <c r="V524" i="15" s="1"/>
  <c r="S635" i="15"/>
  <c r="R635" i="15"/>
  <c r="Q635" i="15"/>
  <c r="O635" i="15"/>
  <c r="N635" i="15"/>
  <c r="K635" i="15"/>
  <c r="J635" i="15"/>
  <c r="I635" i="15"/>
  <c r="H635" i="15"/>
  <c r="G635" i="15"/>
  <c r="F635" i="15"/>
  <c r="V634" i="15"/>
  <c r="S634" i="15"/>
  <c r="R634" i="15"/>
  <c r="Q634" i="15"/>
  <c r="O634" i="15"/>
  <c r="N634" i="15"/>
  <c r="K634" i="15"/>
  <c r="J634" i="15"/>
  <c r="I634" i="15"/>
  <c r="H634" i="15"/>
  <c r="G634" i="15"/>
  <c r="F634" i="15"/>
  <c r="K631" i="15"/>
  <c r="K633" i="15" s="1"/>
  <c r="V629" i="15"/>
  <c r="S628" i="15"/>
  <c r="R628" i="15"/>
  <c r="Q628" i="15"/>
  <c r="N628" i="15"/>
  <c r="K628" i="15"/>
  <c r="J628" i="15"/>
  <c r="I628" i="15"/>
  <c r="H628" i="15"/>
  <c r="G628" i="15"/>
  <c r="F628" i="15"/>
  <c r="S627" i="15"/>
  <c r="R627" i="15"/>
  <c r="Q627" i="15"/>
  <c r="O627" i="15"/>
  <c r="N627" i="15"/>
  <c r="K627" i="15"/>
  <c r="J627" i="15"/>
  <c r="I627" i="15"/>
  <c r="H627" i="15"/>
  <c r="G627" i="15"/>
  <c r="F627" i="15"/>
  <c r="S609" i="15"/>
  <c r="R609" i="15"/>
  <c r="Q609" i="15"/>
  <c r="O609" i="15"/>
  <c r="N609" i="15"/>
  <c r="K609" i="15"/>
  <c r="J609" i="15"/>
  <c r="I609" i="15"/>
  <c r="H609" i="15"/>
  <c r="G609" i="15"/>
  <c r="F609" i="15"/>
  <c r="V608" i="15"/>
  <c r="V607" i="15"/>
  <c r="V562" i="15" s="1"/>
  <c r="T607" i="15"/>
  <c r="L607" i="15"/>
  <c r="M607" i="15" s="1"/>
  <c r="S606" i="15"/>
  <c r="R606" i="15"/>
  <c r="R561" i="15" s="1"/>
  <c r="Q606" i="15"/>
  <c r="O606" i="15"/>
  <c r="N606" i="15"/>
  <c r="N561" i="15" s="1"/>
  <c r="K606" i="15"/>
  <c r="J606" i="15"/>
  <c r="J561" i="15" s="1"/>
  <c r="I606" i="15"/>
  <c r="H606" i="15"/>
  <c r="H561" i="15" s="1"/>
  <c r="G606" i="15"/>
  <c r="F606" i="15"/>
  <c r="F561" i="15" s="1"/>
  <c r="E605" i="15"/>
  <c r="V604" i="15"/>
  <c r="T604" i="15"/>
  <c r="L604" i="15"/>
  <c r="M604" i="15" s="1"/>
  <c r="T603" i="15"/>
  <c r="L603" i="15"/>
  <c r="M603" i="15" s="1"/>
  <c r="T602" i="15"/>
  <c r="L602" i="15"/>
  <c r="M602" i="15" s="1"/>
  <c r="V601" i="15"/>
  <c r="V606" i="15" s="1"/>
  <c r="S601" i="15"/>
  <c r="R601" i="15"/>
  <c r="Q601" i="15"/>
  <c r="O601" i="15"/>
  <c r="N601" i="15"/>
  <c r="K601" i="15"/>
  <c r="J601" i="15"/>
  <c r="I601" i="15"/>
  <c r="H601" i="15"/>
  <c r="G601" i="15"/>
  <c r="F601" i="15"/>
  <c r="T599" i="15"/>
  <c r="L599" i="15"/>
  <c r="M599" i="15" s="1"/>
  <c r="T598" i="15"/>
  <c r="L598" i="15"/>
  <c r="M598" i="15" s="1"/>
  <c r="T597" i="15"/>
  <c r="L597" i="15"/>
  <c r="M597" i="15" s="1"/>
  <c r="S579" i="15"/>
  <c r="R579" i="15"/>
  <c r="Q579" i="15"/>
  <c r="O579" i="15"/>
  <c r="N579" i="15"/>
  <c r="K579" i="15"/>
  <c r="J579" i="15"/>
  <c r="J564" i="15" s="1"/>
  <c r="I579" i="15"/>
  <c r="H579" i="15"/>
  <c r="G579" i="15"/>
  <c r="F579" i="15"/>
  <c r="F564" i="15" s="1"/>
  <c r="V578" i="15"/>
  <c r="V563" i="15" s="1"/>
  <c r="V577" i="15"/>
  <c r="T577" i="15"/>
  <c r="L577" i="15"/>
  <c r="M577" i="15" s="1"/>
  <c r="S578" i="15"/>
  <c r="Q578" i="15"/>
  <c r="N578" i="15"/>
  <c r="K578" i="15"/>
  <c r="G578" i="15"/>
  <c r="F578" i="15"/>
  <c r="E575" i="15"/>
  <c r="V574" i="15"/>
  <c r="T574" i="15"/>
  <c r="L574" i="15"/>
  <c r="M574" i="15" s="1"/>
  <c r="T573" i="15"/>
  <c r="L573" i="15"/>
  <c r="M573" i="15" s="1"/>
  <c r="T572" i="15"/>
  <c r="L572" i="15"/>
  <c r="M572" i="15" s="1"/>
  <c r="V571" i="15"/>
  <c r="K554" i="15"/>
  <c r="K556" i="15" s="1"/>
  <c r="G554" i="15"/>
  <c r="T569" i="15"/>
  <c r="L569" i="15"/>
  <c r="M569" i="15" s="1"/>
  <c r="T568" i="15"/>
  <c r="L568" i="15"/>
  <c r="M568" i="15" s="1"/>
  <c r="T567" i="15"/>
  <c r="L567" i="15"/>
  <c r="M567" i="15" s="1"/>
  <c r="Q564" i="15"/>
  <c r="R545" i="15"/>
  <c r="R528" i="15" s="1"/>
  <c r="K545" i="15"/>
  <c r="K528" i="15" s="1"/>
  <c r="I545" i="15"/>
  <c r="I528" i="15" s="1"/>
  <c r="G545" i="15"/>
  <c r="G528" i="15" s="1"/>
  <c r="E560" i="15"/>
  <c r="S559" i="15"/>
  <c r="R559" i="15"/>
  <c r="Q559" i="15"/>
  <c r="O559" i="15"/>
  <c r="N559" i="15"/>
  <c r="K559" i="15"/>
  <c r="J559" i="15"/>
  <c r="J542" i="15" s="1"/>
  <c r="I559" i="15"/>
  <c r="I542" i="15" s="1"/>
  <c r="H559" i="15"/>
  <c r="H542" i="15" s="1"/>
  <c r="G559" i="15"/>
  <c r="G542" i="15" s="1"/>
  <c r="F559" i="15"/>
  <c r="F542" i="15" s="1"/>
  <c r="K541" i="15"/>
  <c r="K524" i="15" s="1"/>
  <c r="K530" i="15" s="1"/>
  <c r="G541" i="15"/>
  <c r="V557" i="15"/>
  <c r="V540" i="15" s="1"/>
  <c r="V523" i="15" s="1"/>
  <c r="S557" i="15"/>
  <c r="R557" i="15"/>
  <c r="R540" i="15" s="1"/>
  <c r="R523" i="15" s="1"/>
  <c r="Q557" i="15"/>
  <c r="O557" i="15"/>
  <c r="N557" i="15"/>
  <c r="N540" i="15" s="1"/>
  <c r="K557" i="15"/>
  <c r="J557" i="15"/>
  <c r="I557" i="15"/>
  <c r="H557" i="15"/>
  <c r="H540" i="15" s="1"/>
  <c r="H523" i="15" s="1"/>
  <c r="G557" i="15"/>
  <c r="F557" i="15"/>
  <c r="V552" i="15"/>
  <c r="S552" i="15"/>
  <c r="R552" i="15"/>
  <c r="R535" i="15" s="1"/>
  <c r="R518" i="15" s="1"/>
  <c r="Q552" i="15"/>
  <c r="Q535" i="15" s="1"/>
  <c r="Q518" i="15" s="1"/>
  <c r="O552" i="15"/>
  <c r="N552" i="15"/>
  <c r="K552" i="15"/>
  <c r="K535" i="15" s="1"/>
  <c r="K518" i="15" s="1"/>
  <c r="J552" i="15"/>
  <c r="I552" i="15"/>
  <c r="H552" i="15"/>
  <c r="H535" i="15" s="1"/>
  <c r="G552" i="15"/>
  <c r="F552" i="15"/>
  <c r="F535" i="15" s="1"/>
  <c r="V551" i="15"/>
  <c r="V534" i="15" s="1"/>
  <c r="V517" i="15" s="1"/>
  <c r="S551" i="15"/>
  <c r="R551" i="15"/>
  <c r="R534" i="15" s="1"/>
  <c r="R517" i="15" s="1"/>
  <c r="Q551" i="15"/>
  <c r="O551" i="15"/>
  <c r="N551" i="15"/>
  <c r="N534" i="15" s="1"/>
  <c r="N517" i="15" s="1"/>
  <c r="K551" i="15"/>
  <c r="J551" i="15"/>
  <c r="I551" i="15"/>
  <c r="I534" i="15" s="1"/>
  <c r="I517" i="15" s="1"/>
  <c r="H551" i="15"/>
  <c r="H534" i="15" s="1"/>
  <c r="H517" i="15" s="1"/>
  <c r="G551" i="15"/>
  <c r="F551" i="15"/>
  <c r="V550" i="15"/>
  <c r="V533" i="15" s="1"/>
  <c r="V516" i="15" s="1"/>
  <c r="S550" i="15"/>
  <c r="R550" i="15"/>
  <c r="Q550" i="15"/>
  <c r="O550" i="15"/>
  <c r="O533" i="15" s="1"/>
  <c r="O516" i="15" s="1"/>
  <c r="N550" i="15"/>
  <c r="K550" i="15"/>
  <c r="J550" i="15"/>
  <c r="I550" i="15"/>
  <c r="I533" i="15" s="1"/>
  <c r="I516" i="15" s="1"/>
  <c r="H550" i="15"/>
  <c r="G550" i="15"/>
  <c r="F550" i="15"/>
  <c r="Q545" i="15"/>
  <c r="Q528" i="15" s="1"/>
  <c r="E544" i="15"/>
  <c r="E527" i="15" s="1"/>
  <c r="N542" i="15"/>
  <c r="N525" i="15" s="1"/>
  <c r="E542" i="15"/>
  <c r="E525" i="15" s="1"/>
  <c r="J540" i="15"/>
  <c r="J523" i="15" s="1"/>
  <c r="F540" i="15"/>
  <c r="O535" i="15"/>
  <c r="O518" i="15" s="1"/>
  <c r="F534" i="15"/>
  <c r="J533" i="15"/>
  <c r="J516" i="15" s="1"/>
  <c r="AB515" i="15"/>
  <c r="S513" i="15"/>
  <c r="R513" i="15"/>
  <c r="Q513" i="15"/>
  <c r="O513" i="15"/>
  <c r="O514" i="15" s="1"/>
  <c r="N513" i="15"/>
  <c r="K513" i="15"/>
  <c r="J513" i="15"/>
  <c r="I513" i="15"/>
  <c r="H513" i="15"/>
  <c r="G513" i="15"/>
  <c r="G514" i="15" s="1"/>
  <c r="F513" i="15"/>
  <c r="V512" i="15"/>
  <c r="V511" i="15"/>
  <c r="T511" i="15"/>
  <c r="L511" i="15"/>
  <c r="M511" i="15" s="1"/>
  <c r="R512" i="15"/>
  <c r="N514" i="15"/>
  <c r="K514" i="15"/>
  <c r="J512" i="15"/>
  <c r="I512" i="15"/>
  <c r="H512" i="15"/>
  <c r="E509" i="15"/>
  <c r="V508" i="15"/>
  <c r="T508" i="15"/>
  <c r="L508" i="15"/>
  <c r="M508" i="15" s="1"/>
  <c r="T507" i="15"/>
  <c r="L507" i="15"/>
  <c r="M507" i="15" s="1"/>
  <c r="T506" i="15"/>
  <c r="L506" i="15"/>
  <c r="M506" i="15" s="1"/>
  <c r="V505" i="15"/>
  <c r="V510" i="15" s="1"/>
  <c r="H475" i="15"/>
  <c r="G475" i="15"/>
  <c r="T503" i="15"/>
  <c r="L503" i="15"/>
  <c r="M503" i="15" s="1"/>
  <c r="T502" i="15"/>
  <c r="L502" i="15"/>
  <c r="M502" i="15" s="1"/>
  <c r="T501" i="15"/>
  <c r="L501" i="15"/>
  <c r="M501" i="15" s="1"/>
  <c r="S498" i="15"/>
  <c r="R498" i="15"/>
  <c r="R483" i="15" s="1"/>
  <c r="Q498" i="15"/>
  <c r="Q499" i="15" s="1"/>
  <c r="O498" i="15"/>
  <c r="O499" i="15" s="1"/>
  <c r="N498" i="15"/>
  <c r="N499" i="15" s="1"/>
  <c r="K498" i="15"/>
  <c r="J498" i="15"/>
  <c r="J499" i="15" s="1"/>
  <c r="I498" i="15"/>
  <c r="I499" i="15" s="1"/>
  <c r="F498" i="15"/>
  <c r="V497" i="15"/>
  <c r="H497" i="15"/>
  <c r="G497" i="15"/>
  <c r="V496" i="15"/>
  <c r="T496" i="15"/>
  <c r="L496" i="15"/>
  <c r="M496" i="15" s="1"/>
  <c r="R497" i="15"/>
  <c r="O497" i="15"/>
  <c r="N497" i="15"/>
  <c r="J497" i="15"/>
  <c r="E494" i="15"/>
  <c r="V493" i="15"/>
  <c r="L493" i="15"/>
  <c r="M493" i="15" s="1"/>
  <c r="T492" i="15"/>
  <c r="H498" i="15"/>
  <c r="H499" i="15" s="1"/>
  <c r="G498" i="15"/>
  <c r="G499" i="15" s="1"/>
  <c r="T491" i="15"/>
  <c r="L491" i="15"/>
  <c r="M491" i="15" s="1"/>
  <c r="V490" i="15"/>
  <c r="V495" i="15" s="1"/>
  <c r="R475" i="15"/>
  <c r="N475" i="15"/>
  <c r="L488" i="15"/>
  <c r="M488" i="15" s="1"/>
  <c r="L486" i="15"/>
  <c r="M486" i="15" s="1"/>
  <c r="S481" i="15"/>
  <c r="R481" i="15"/>
  <c r="Q481" i="15"/>
  <c r="O481" i="15"/>
  <c r="N481" i="15"/>
  <c r="K481" i="15"/>
  <c r="J481" i="15"/>
  <c r="I481" i="15"/>
  <c r="H481" i="15"/>
  <c r="G481" i="15"/>
  <c r="F481" i="15"/>
  <c r="R480" i="15"/>
  <c r="E480" i="15"/>
  <c r="R478" i="15"/>
  <c r="Q478" i="15"/>
  <c r="O478" i="15"/>
  <c r="N478" i="15"/>
  <c r="K478" i="15"/>
  <c r="J478" i="15"/>
  <c r="I478" i="15"/>
  <c r="H478" i="15"/>
  <c r="G478" i="15"/>
  <c r="F478" i="15"/>
  <c r="E478" i="15"/>
  <c r="V477" i="15"/>
  <c r="S477" i="15"/>
  <c r="R477" i="15"/>
  <c r="Q477" i="15"/>
  <c r="O477" i="15"/>
  <c r="N477" i="15"/>
  <c r="K477" i="15"/>
  <c r="J477" i="15"/>
  <c r="J483" i="15" s="1"/>
  <c r="I477" i="15"/>
  <c r="I483" i="15" s="1"/>
  <c r="G477" i="15"/>
  <c r="G483" i="15" s="1"/>
  <c r="F477" i="15"/>
  <c r="F483" i="15" s="1"/>
  <c r="V476" i="15"/>
  <c r="S476" i="15"/>
  <c r="R476" i="15"/>
  <c r="Q476" i="15"/>
  <c r="O476" i="15"/>
  <c r="N476" i="15"/>
  <c r="K476" i="15"/>
  <c r="J476" i="15"/>
  <c r="I476" i="15"/>
  <c r="H476" i="15"/>
  <c r="G476" i="15"/>
  <c r="F476" i="15"/>
  <c r="V473" i="15"/>
  <c r="R473" i="15"/>
  <c r="Q473" i="15"/>
  <c r="O473" i="15"/>
  <c r="N473" i="15"/>
  <c r="K473" i="15"/>
  <c r="J473" i="15"/>
  <c r="I473" i="15"/>
  <c r="H473" i="15"/>
  <c r="G473" i="15"/>
  <c r="F473" i="15"/>
  <c r="V472" i="15"/>
  <c r="V471" i="15"/>
  <c r="S468" i="15"/>
  <c r="R468" i="15"/>
  <c r="Q468" i="15"/>
  <c r="O468" i="15"/>
  <c r="N468" i="15"/>
  <c r="K468" i="15"/>
  <c r="J468" i="15"/>
  <c r="I468" i="15"/>
  <c r="H468" i="15"/>
  <c r="G468" i="15"/>
  <c r="F468" i="15"/>
  <c r="V467" i="15"/>
  <c r="V466" i="15"/>
  <c r="T466" i="15"/>
  <c r="L466" i="15"/>
  <c r="M466" i="15" s="1"/>
  <c r="R465" i="15"/>
  <c r="R467" i="15" s="1"/>
  <c r="Q465" i="15"/>
  <c r="O465" i="15"/>
  <c r="O467" i="15" s="1"/>
  <c r="N465" i="15"/>
  <c r="N467" i="15" s="1"/>
  <c r="K465" i="15"/>
  <c r="J465" i="15"/>
  <c r="I465" i="15"/>
  <c r="H465" i="15"/>
  <c r="H467" i="15" s="1"/>
  <c r="G465" i="15"/>
  <c r="F465" i="15"/>
  <c r="E464" i="15"/>
  <c r="V463" i="15"/>
  <c r="S463" i="15"/>
  <c r="S418" i="15" s="1"/>
  <c r="S339" i="15" s="1"/>
  <c r="L463" i="15"/>
  <c r="M463" i="15" s="1"/>
  <c r="T462" i="15"/>
  <c r="L462" i="15"/>
  <c r="M462" i="15" s="1"/>
  <c r="T461" i="15"/>
  <c r="L461" i="15"/>
  <c r="M461" i="15" s="1"/>
  <c r="V460" i="15"/>
  <c r="S460" i="15"/>
  <c r="R460" i="15"/>
  <c r="Q460" i="15"/>
  <c r="O460" i="15"/>
  <c r="N460" i="15"/>
  <c r="K460" i="15"/>
  <c r="J460" i="15"/>
  <c r="I460" i="15"/>
  <c r="H460" i="15"/>
  <c r="G460" i="15"/>
  <c r="F460" i="15"/>
  <c r="T458" i="15"/>
  <c r="L458" i="15"/>
  <c r="M458" i="15" s="1"/>
  <c r="T457" i="15"/>
  <c r="L457" i="15"/>
  <c r="M457" i="15" s="1"/>
  <c r="T456" i="15"/>
  <c r="L456" i="15"/>
  <c r="M456" i="15" s="1"/>
  <c r="S438" i="15"/>
  <c r="R438" i="15"/>
  <c r="Q438" i="15"/>
  <c r="Q423" i="15" s="1"/>
  <c r="O438" i="15"/>
  <c r="N438" i="15"/>
  <c r="K438" i="15"/>
  <c r="J438" i="15"/>
  <c r="I438" i="15"/>
  <c r="H438" i="15"/>
  <c r="G438" i="15"/>
  <c r="F438" i="15"/>
  <c r="V437" i="15"/>
  <c r="V436" i="15"/>
  <c r="T436" i="15"/>
  <c r="L436" i="15"/>
  <c r="M436" i="15" s="1"/>
  <c r="S435" i="15"/>
  <c r="R435" i="15"/>
  <c r="Q435" i="15"/>
  <c r="Q420" i="15" s="1"/>
  <c r="O435" i="15"/>
  <c r="O420" i="15" s="1"/>
  <c r="N435" i="15"/>
  <c r="K435" i="15"/>
  <c r="K420" i="15" s="1"/>
  <c r="J435" i="15"/>
  <c r="J420" i="15" s="1"/>
  <c r="I435" i="15"/>
  <c r="I420" i="15" s="1"/>
  <c r="H435" i="15"/>
  <c r="G435" i="15"/>
  <c r="G420" i="15" s="1"/>
  <c r="F435" i="15"/>
  <c r="F420" i="15" s="1"/>
  <c r="E434" i="15"/>
  <c r="V433" i="15"/>
  <c r="T433" i="15"/>
  <c r="L433" i="15"/>
  <c r="M433" i="15" s="1"/>
  <c r="T432" i="15"/>
  <c r="L432" i="15"/>
  <c r="M432" i="15" s="1"/>
  <c r="T431" i="15"/>
  <c r="L431" i="15"/>
  <c r="M431" i="15" s="1"/>
  <c r="V430" i="15"/>
  <c r="V413" i="15" s="1"/>
  <c r="V412" i="15" s="1"/>
  <c r="S430" i="15"/>
  <c r="R430" i="15"/>
  <c r="R413" i="15" s="1"/>
  <c r="R412" i="15" s="1"/>
  <c r="Q430" i="15"/>
  <c r="Q413" i="15" s="1"/>
  <c r="Q412" i="15" s="1"/>
  <c r="O430" i="15"/>
  <c r="N430" i="15"/>
  <c r="N413" i="15" s="1"/>
  <c r="K430" i="15"/>
  <c r="K413" i="15" s="1"/>
  <c r="K412" i="15" s="1"/>
  <c r="J430" i="15"/>
  <c r="J413" i="15" s="1"/>
  <c r="J412" i="15" s="1"/>
  <c r="I430" i="15"/>
  <c r="H430" i="15"/>
  <c r="H413" i="15" s="1"/>
  <c r="H412" i="15" s="1"/>
  <c r="G430" i="15"/>
  <c r="G413" i="15" s="1"/>
  <c r="G412" i="15" s="1"/>
  <c r="F430" i="15"/>
  <c r="F413" i="15" s="1"/>
  <c r="T428" i="15"/>
  <c r="L428" i="15"/>
  <c r="M428" i="15" s="1"/>
  <c r="T427" i="15"/>
  <c r="L427" i="15"/>
  <c r="M427" i="15" s="1"/>
  <c r="T426" i="15"/>
  <c r="L426" i="15"/>
  <c r="M426" i="15" s="1"/>
  <c r="S406" i="15"/>
  <c r="S361" i="15" s="1"/>
  <c r="R406" i="15"/>
  <c r="R361" i="15" s="1"/>
  <c r="Q406" i="15"/>
  <c r="Q361" i="15" s="1"/>
  <c r="O406" i="15"/>
  <c r="O361" i="15" s="1"/>
  <c r="N406" i="15"/>
  <c r="N361" i="15" s="1"/>
  <c r="K406" i="15"/>
  <c r="J406" i="15"/>
  <c r="I406" i="15"/>
  <c r="H406" i="15"/>
  <c r="G406" i="15"/>
  <c r="F406" i="15"/>
  <c r="V405" i="15"/>
  <c r="V360" i="15" s="1"/>
  <c r="V404" i="15"/>
  <c r="V359" i="15" s="1"/>
  <c r="T404" i="15"/>
  <c r="L404" i="15"/>
  <c r="M404" i="15" s="1"/>
  <c r="R403" i="15"/>
  <c r="R358" i="15" s="1"/>
  <c r="Q403" i="15"/>
  <c r="Q358" i="15" s="1"/>
  <c r="O403" i="15"/>
  <c r="O358" i="15" s="1"/>
  <c r="N403" i="15"/>
  <c r="N358" i="15" s="1"/>
  <c r="K403" i="15"/>
  <c r="K358" i="15" s="1"/>
  <c r="J403" i="15"/>
  <c r="J358" i="15" s="1"/>
  <c r="I403" i="15"/>
  <c r="I358" i="15" s="1"/>
  <c r="H403" i="15"/>
  <c r="G403" i="15"/>
  <c r="G358" i="15" s="1"/>
  <c r="F403" i="15"/>
  <c r="E402" i="15"/>
  <c r="V401" i="15"/>
  <c r="V356" i="15" s="1"/>
  <c r="T401" i="15"/>
  <c r="L401" i="15"/>
  <c r="M401" i="15" s="1"/>
  <c r="T400" i="15"/>
  <c r="L400" i="15"/>
  <c r="M400" i="15" s="1"/>
  <c r="T399" i="15"/>
  <c r="L399" i="15"/>
  <c r="M399" i="15" s="1"/>
  <c r="V398" i="15"/>
  <c r="V351" i="15" s="1"/>
  <c r="S398" i="15"/>
  <c r="S351" i="15" s="1"/>
  <c r="R398" i="15"/>
  <c r="R351" i="15" s="1"/>
  <c r="Q398" i="15"/>
  <c r="Q351" i="15" s="1"/>
  <c r="O398" i="15"/>
  <c r="O351" i="15" s="1"/>
  <c r="N398" i="15"/>
  <c r="N351" i="15" s="1"/>
  <c r="K398" i="15"/>
  <c r="K351" i="15" s="1"/>
  <c r="J398" i="15"/>
  <c r="J351" i="15" s="1"/>
  <c r="I398" i="15"/>
  <c r="H398" i="15"/>
  <c r="G398" i="15"/>
  <c r="G351" i="15" s="1"/>
  <c r="F398" i="15"/>
  <c r="F351" i="15" s="1"/>
  <c r="T396" i="15"/>
  <c r="L396" i="15"/>
  <c r="M396" i="15" s="1"/>
  <c r="T395" i="15"/>
  <c r="L395" i="15"/>
  <c r="M395" i="15" s="1"/>
  <c r="T394" i="15"/>
  <c r="L394" i="15"/>
  <c r="M394" i="15" s="1"/>
  <c r="S312" i="15"/>
  <c r="R312" i="15"/>
  <c r="Q312" i="15"/>
  <c r="O312" i="15"/>
  <c r="N312" i="15"/>
  <c r="K312" i="15"/>
  <c r="J312" i="15"/>
  <c r="I312" i="15"/>
  <c r="H312" i="15"/>
  <c r="G312" i="15"/>
  <c r="F312" i="15"/>
  <c r="V311" i="15"/>
  <c r="V310" i="15"/>
  <c r="T310" i="15"/>
  <c r="L310" i="15"/>
  <c r="M310" i="15" s="1"/>
  <c r="R309" i="15"/>
  <c r="Q309" i="15"/>
  <c r="Q311" i="15" s="1"/>
  <c r="O309" i="15"/>
  <c r="N309" i="15"/>
  <c r="K309" i="15"/>
  <c r="J309" i="15"/>
  <c r="I309" i="15"/>
  <c r="H309" i="15"/>
  <c r="H311" i="15" s="1"/>
  <c r="G309" i="15"/>
  <c r="F309" i="15"/>
  <c r="E308" i="15"/>
  <c r="V307" i="15"/>
  <c r="S307" i="15"/>
  <c r="S262" i="15" s="1"/>
  <c r="L307" i="15"/>
  <c r="M307" i="15" s="1"/>
  <c r="T306" i="15"/>
  <c r="L306" i="15"/>
  <c r="M306" i="15" s="1"/>
  <c r="T305" i="15"/>
  <c r="L305" i="15"/>
  <c r="M305" i="15" s="1"/>
  <c r="V304" i="15"/>
  <c r="V309" i="15" s="1"/>
  <c r="S304" i="15"/>
  <c r="R304" i="15"/>
  <c r="Q304" i="15"/>
  <c r="O304" i="15"/>
  <c r="N304" i="15"/>
  <c r="K304" i="15"/>
  <c r="J304" i="15"/>
  <c r="I304" i="15"/>
  <c r="H304" i="15"/>
  <c r="G304" i="15"/>
  <c r="F304" i="15"/>
  <c r="T302" i="15"/>
  <c r="L302" i="15"/>
  <c r="M302" i="15" s="1"/>
  <c r="T301" i="15"/>
  <c r="L301" i="15"/>
  <c r="M301" i="15" s="1"/>
  <c r="T300" i="15"/>
  <c r="L300" i="15"/>
  <c r="M300" i="15" s="1"/>
  <c r="S282" i="15"/>
  <c r="R282" i="15"/>
  <c r="Q282" i="15"/>
  <c r="O282" i="15"/>
  <c r="N282" i="15"/>
  <c r="K282" i="15"/>
  <c r="J282" i="15"/>
  <c r="I282" i="15"/>
  <c r="H282" i="15"/>
  <c r="G282" i="15"/>
  <c r="F282" i="15"/>
  <c r="V281" i="15"/>
  <c r="V280" i="15"/>
  <c r="V265" i="15" s="1"/>
  <c r="W265" i="15" s="1"/>
  <c r="T280" i="15"/>
  <c r="L280" i="15"/>
  <c r="M280" i="15" s="1"/>
  <c r="R279" i="15"/>
  <c r="Q279" i="15"/>
  <c r="Q264" i="15" s="1"/>
  <c r="O279" i="15"/>
  <c r="N279" i="15"/>
  <c r="N264" i="15" s="1"/>
  <c r="K279" i="15"/>
  <c r="J279" i="15"/>
  <c r="I279" i="15"/>
  <c r="H279" i="15"/>
  <c r="H264" i="15" s="1"/>
  <c r="G279" i="15"/>
  <c r="F279" i="15"/>
  <c r="E278" i="15"/>
  <c r="V277" i="15"/>
  <c r="V262" i="15" s="1"/>
  <c r="L277" i="15"/>
  <c r="M277" i="15" s="1"/>
  <c r="T276" i="15"/>
  <c r="L276" i="15"/>
  <c r="M276" i="15" s="1"/>
  <c r="T275" i="15"/>
  <c r="L275" i="15"/>
  <c r="M275" i="15" s="1"/>
  <c r="X274" i="15"/>
  <c r="V274" i="15"/>
  <c r="S274" i="15"/>
  <c r="S257" i="15" s="1"/>
  <c r="R274" i="15"/>
  <c r="Q274" i="15"/>
  <c r="O274" i="15"/>
  <c r="N274" i="15"/>
  <c r="N257" i="15" s="1"/>
  <c r="K274" i="15"/>
  <c r="J274" i="15"/>
  <c r="I274" i="15"/>
  <c r="H274" i="15"/>
  <c r="H257" i="15" s="1"/>
  <c r="G274" i="15"/>
  <c r="F274" i="15"/>
  <c r="T272" i="15"/>
  <c r="L272" i="15"/>
  <c r="M272" i="15" s="1"/>
  <c r="T271" i="15"/>
  <c r="L271" i="15"/>
  <c r="M271" i="15" s="1"/>
  <c r="T270" i="15"/>
  <c r="L270" i="15"/>
  <c r="M270" i="15" s="1"/>
  <c r="S250" i="15"/>
  <c r="R250" i="15"/>
  <c r="Q250" i="15"/>
  <c r="O250" i="15"/>
  <c r="N250" i="15"/>
  <c r="K250" i="15"/>
  <c r="J250" i="15"/>
  <c r="I250" i="15"/>
  <c r="H250" i="15"/>
  <c r="G250" i="15"/>
  <c r="F250" i="15"/>
  <c r="V249" i="15"/>
  <c r="V248" i="15"/>
  <c r="T248" i="15"/>
  <c r="L248" i="15"/>
  <c r="M248" i="15" s="1"/>
  <c r="R247" i="15"/>
  <c r="Q247" i="15"/>
  <c r="Q249" i="15" s="1"/>
  <c r="O247" i="15"/>
  <c r="N247" i="15"/>
  <c r="K247" i="15"/>
  <c r="K249" i="15" s="1"/>
  <c r="J247" i="15"/>
  <c r="I247" i="15"/>
  <c r="H247" i="15"/>
  <c r="G247" i="15"/>
  <c r="G249" i="15" s="1"/>
  <c r="F247" i="15"/>
  <c r="E246" i="15"/>
  <c r="V245" i="15"/>
  <c r="S245" i="15"/>
  <c r="S247" i="15" s="1"/>
  <c r="S251" i="15" s="1"/>
  <c r="L245" i="15"/>
  <c r="M245" i="15" s="1"/>
  <c r="T244" i="15"/>
  <c r="L244" i="15"/>
  <c r="M244" i="15" s="1"/>
  <c r="T243" i="15"/>
  <c r="L243" i="15"/>
  <c r="M243" i="15" s="1"/>
  <c r="X242" i="15"/>
  <c r="V242" i="15"/>
  <c r="V241" i="15" s="1"/>
  <c r="S242" i="15"/>
  <c r="R242" i="15"/>
  <c r="Q242" i="15"/>
  <c r="O242" i="15"/>
  <c r="N242" i="15"/>
  <c r="K242" i="15"/>
  <c r="J242" i="15"/>
  <c r="I242" i="15"/>
  <c r="H242" i="15"/>
  <c r="G242" i="15"/>
  <c r="F242" i="15"/>
  <c r="T240" i="15"/>
  <c r="L240" i="15"/>
  <c r="M240" i="15" s="1"/>
  <c r="T239" i="15"/>
  <c r="L239" i="15"/>
  <c r="M239" i="15" s="1"/>
  <c r="T238" i="15"/>
  <c r="L238" i="15"/>
  <c r="M238" i="15" s="1"/>
  <c r="S235" i="15"/>
  <c r="R235" i="15"/>
  <c r="Q235" i="15"/>
  <c r="O235" i="15"/>
  <c r="N235" i="15"/>
  <c r="K235" i="15"/>
  <c r="J235" i="15"/>
  <c r="I235" i="15"/>
  <c r="H235" i="15"/>
  <c r="G235" i="15"/>
  <c r="F235" i="15"/>
  <c r="V234" i="15"/>
  <c r="V233" i="15"/>
  <c r="T233" i="15"/>
  <c r="L233" i="15"/>
  <c r="M233" i="15" s="1"/>
  <c r="R232" i="15"/>
  <c r="Q232" i="15"/>
  <c r="O232" i="15"/>
  <c r="N232" i="15"/>
  <c r="N234" i="15" s="1"/>
  <c r="K232" i="15"/>
  <c r="K234" i="15" s="1"/>
  <c r="J232" i="15"/>
  <c r="J234" i="15" s="1"/>
  <c r="I232" i="15"/>
  <c r="I234" i="15" s="1"/>
  <c r="H232" i="15"/>
  <c r="G232" i="15"/>
  <c r="F232" i="15"/>
  <c r="F234" i="15" s="1"/>
  <c r="E231" i="15"/>
  <c r="V230" i="15"/>
  <c r="S230" i="15"/>
  <c r="T230" i="15" s="1"/>
  <c r="L230" i="15"/>
  <c r="M230" i="15" s="1"/>
  <c r="T229" i="15"/>
  <c r="L229" i="15"/>
  <c r="M229" i="15" s="1"/>
  <c r="T228" i="15"/>
  <c r="L228" i="15"/>
  <c r="M228" i="15" s="1"/>
  <c r="X227" i="15"/>
  <c r="V227" i="15"/>
  <c r="V232" i="15" s="1"/>
  <c r="V231" i="15" s="1"/>
  <c r="S227" i="15"/>
  <c r="R227" i="15"/>
  <c r="Q227" i="15"/>
  <c r="O227" i="15"/>
  <c r="N227" i="15"/>
  <c r="K227" i="15"/>
  <c r="K212" i="15" s="1"/>
  <c r="J227" i="15"/>
  <c r="I227" i="15"/>
  <c r="I212" i="15" s="1"/>
  <c r="H227" i="15"/>
  <c r="G227" i="15"/>
  <c r="G212" i="15" s="1"/>
  <c r="F227" i="15"/>
  <c r="T225" i="15"/>
  <c r="L225" i="15"/>
  <c r="M225" i="15" s="1"/>
  <c r="T224" i="15"/>
  <c r="L224" i="15"/>
  <c r="M224" i="15" s="1"/>
  <c r="T223" i="15"/>
  <c r="L223" i="15"/>
  <c r="M223" i="15" s="1"/>
  <c r="V218" i="15"/>
  <c r="S218" i="15"/>
  <c r="R218" i="15"/>
  <c r="Q218" i="15"/>
  <c r="O218" i="15"/>
  <c r="N218" i="15"/>
  <c r="K218" i="15"/>
  <c r="J218" i="15"/>
  <c r="I218" i="15"/>
  <c r="H218" i="15"/>
  <c r="G218" i="15"/>
  <c r="F218" i="15"/>
  <c r="E217" i="15"/>
  <c r="R215" i="15"/>
  <c r="Q215" i="15"/>
  <c r="O215" i="15"/>
  <c r="N215" i="15"/>
  <c r="K215" i="15"/>
  <c r="J215" i="15"/>
  <c r="I215" i="15"/>
  <c r="H215" i="15"/>
  <c r="G215" i="15"/>
  <c r="F215" i="15"/>
  <c r="E215" i="15"/>
  <c r="V214" i="15"/>
  <c r="S214" i="15"/>
  <c r="R214" i="15"/>
  <c r="Q214" i="15"/>
  <c r="O214" i="15"/>
  <c r="N214" i="15"/>
  <c r="K214" i="15"/>
  <c r="K220" i="15" s="1"/>
  <c r="J214" i="15"/>
  <c r="J220" i="15" s="1"/>
  <c r="I214" i="15"/>
  <c r="I220" i="15" s="1"/>
  <c r="H214" i="15"/>
  <c r="H220" i="15" s="1"/>
  <c r="G214" i="15"/>
  <c r="G220" i="15" s="1"/>
  <c r="F214" i="15"/>
  <c r="F220" i="15" s="1"/>
  <c r="V213" i="15"/>
  <c r="S213" i="15"/>
  <c r="R213" i="15"/>
  <c r="Q213" i="15"/>
  <c r="O213" i="15"/>
  <c r="N213" i="15"/>
  <c r="K213" i="15"/>
  <c r="J213" i="15"/>
  <c r="I213" i="15"/>
  <c r="H213" i="15"/>
  <c r="G213" i="15"/>
  <c r="F213" i="15"/>
  <c r="V210" i="15"/>
  <c r="S210" i="15"/>
  <c r="R210" i="15"/>
  <c r="Q210" i="15"/>
  <c r="O210" i="15"/>
  <c r="N210" i="15"/>
  <c r="K210" i="15"/>
  <c r="J210" i="15"/>
  <c r="I210" i="15"/>
  <c r="H210" i="15"/>
  <c r="G210" i="15"/>
  <c r="F210" i="15"/>
  <c r="V209" i="15"/>
  <c r="S209" i="15"/>
  <c r="R209" i="15"/>
  <c r="Q209" i="15"/>
  <c r="O209" i="15"/>
  <c r="N209" i="15"/>
  <c r="K209" i="15"/>
  <c r="J209" i="15"/>
  <c r="I209" i="15"/>
  <c r="H209" i="15"/>
  <c r="G209" i="15"/>
  <c r="F209" i="15"/>
  <c r="V208" i="15"/>
  <c r="S208" i="15"/>
  <c r="R208" i="15"/>
  <c r="Q208" i="15"/>
  <c r="O208" i="15"/>
  <c r="N208" i="15"/>
  <c r="K208" i="15"/>
  <c r="J208" i="15"/>
  <c r="I208" i="15"/>
  <c r="H208" i="15"/>
  <c r="G208" i="15"/>
  <c r="F208" i="15"/>
  <c r="S205" i="15"/>
  <c r="R205" i="15"/>
  <c r="Q205" i="15"/>
  <c r="O205" i="15"/>
  <c r="N205" i="15"/>
  <c r="K205" i="15"/>
  <c r="J205" i="15"/>
  <c r="I205" i="15"/>
  <c r="H205" i="15"/>
  <c r="G205" i="15"/>
  <c r="F205" i="15"/>
  <c r="V204" i="15"/>
  <c r="V203" i="15"/>
  <c r="T203" i="15"/>
  <c r="L203" i="15"/>
  <c r="M203" i="15" s="1"/>
  <c r="R202" i="15"/>
  <c r="Q202" i="15"/>
  <c r="O202" i="15"/>
  <c r="O204" i="15" s="1"/>
  <c r="N202" i="15"/>
  <c r="N204" i="15" s="1"/>
  <c r="K202" i="15"/>
  <c r="J202" i="15"/>
  <c r="J204" i="15" s="1"/>
  <c r="I202" i="15"/>
  <c r="I204" i="15" s="1"/>
  <c r="H202" i="15"/>
  <c r="G202" i="15"/>
  <c r="F202" i="15"/>
  <c r="E201" i="15"/>
  <c r="V200" i="15"/>
  <c r="S200" i="15"/>
  <c r="L200" i="15"/>
  <c r="M200" i="15" s="1"/>
  <c r="T199" i="15"/>
  <c r="L199" i="15"/>
  <c r="M199" i="15" s="1"/>
  <c r="T198" i="15"/>
  <c r="L198" i="15"/>
  <c r="M198" i="15" s="1"/>
  <c r="X197" i="15"/>
  <c r="V197" i="15"/>
  <c r="V202" i="15" s="1"/>
  <c r="S197" i="15"/>
  <c r="R197" i="15"/>
  <c r="Q197" i="15"/>
  <c r="O197" i="15"/>
  <c r="N197" i="15"/>
  <c r="K197" i="15"/>
  <c r="J197" i="15"/>
  <c r="I197" i="15"/>
  <c r="H197" i="15"/>
  <c r="G197" i="15"/>
  <c r="F197" i="15"/>
  <c r="T195" i="15"/>
  <c r="L195" i="15"/>
  <c r="M195" i="15" s="1"/>
  <c r="T194" i="15"/>
  <c r="L194" i="15"/>
  <c r="M194" i="15" s="1"/>
  <c r="T193" i="15"/>
  <c r="L193" i="15"/>
  <c r="M193" i="15" s="1"/>
  <c r="S190" i="15"/>
  <c r="R190" i="15"/>
  <c r="Q190" i="15"/>
  <c r="O190" i="15"/>
  <c r="N190" i="15"/>
  <c r="K190" i="15"/>
  <c r="J190" i="15"/>
  <c r="I190" i="15"/>
  <c r="H190" i="15"/>
  <c r="G190" i="15"/>
  <c r="F190" i="15"/>
  <c r="V189" i="15"/>
  <c r="V188" i="15"/>
  <c r="T188" i="15"/>
  <c r="L188" i="15"/>
  <c r="M188" i="15" s="1"/>
  <c r="R187" i="15"/>
  <c r="R189" i="15" s="1"/>
  <c r="Q187" i="15"/>
  <c r="O187" i="15"/>
  <c r="O189" i="15" s="1"/>
  <c r="N187" i="15"/>
  <c r="N189" i="15" s="1"/>
  <c r="K187" i="15"/>
  <c r="J187" i="15"/>
  <c r="I187" i="15"/>
  <c r="I189" i="15" s="1"/>
  <c r="H187" i="15"/>
  <c r="G187" i="15"/>
  <c r="F187" i="15"/>
  <c r="F189" i="15" s="1"/>
  <c r="E186" i="15"/>
  <c r="V185" i="15"/>
  <c r="S185" i="15"/>
  <c r="L185" i="15"/>
  <c r="M185" i="15" s="1"/>
  <c r="T184" i="15"/>
  <c r="L184" i="15"/>
  <c r="M184" i="15" s="1"/>
  <c r="T183" i="15"/>
  <c r="L183" i="15"/>
  <c r="M183" i="15" s="1"/>
  <c r="V182" i="15"/>
  <c r="V181" i="15" s="1"/>
  <c r="S182" i="15"/>
  <c r="R182" i="15"/>
  <c r="Q182" i="15"/>
  <c r="O182" i="15"/>
  <c r="N182" i="15"/>
  <c r="K182" i="15"/>
  <c r="J182" i="15"/>
  <c r="I182" i="15"/>
  <c r="H182" i="15"/>
  <c r="G182" i="15"/>
  <c r="F182" i="15"/>
  <c r="T180" i="15"/>
  <c r="L180" i="15"/>
  <c r="M180" i="15" s="1"/>
  <c r="T179" i="15"/>
  <c r="L179" i="15"/>
  <c r="M179" i="15" s="1"/>
  <c r="T178" i="15"/>
  <c r="L178" i="15"/>
  <c r="M178" i="15" s="1"/>
  <c r="S173" i="15"/>
  <c r="R173" i="15"/>
  <c r="Q173" i="15"/>
  <c r="O173" i="15"/>
  <c r="N173" i="15"/>
  <c r="K173" i="15"/>
  <c r="J173" i="15"/>
  <c r="I173" i="15"/>
  <c r="H173" i="15"/>
  <c r="G173" i="15"/>
  <c r="F173" i="15"/>
  <c r="E172" i="15"/>
  <c r="R170" i="15"/>
  <c r="Q170" i="15"/>
  <c r="O170" i="15"/>
  <c r="N170" i="15"/>
  <c r="K170" i="15"/>
  <c r="J170" i="15"/>
  <c r="I170" i="15"/>
  <c r="H170" i="15"/>
  <c r="G170" i="15"/>
  <c r="F170" i="15"/>
  <c r="E170" i="15"/>
  <c r="V169" i="15"/>
  <c r="S169" i="15"/>
  <c r="R169" i="15"/>
  <c r="Q169" i="15"/>
  <c r="O169" i="15"/>
  <c r="N169" i="15"/>
  <c r="K169" i="15"/>
  <c r="J169" i="15"/>
  <c r="I169" i="15"/>
  <c r="H169" i="15"/>
  <c r="G169" i="15"/>
  <c r="F169" i="15"/>
  <c r="V168" i="15"/>
  <c r="S168" i="15"/>
  <c r="R168" i="15"/>
  <c r="Q168" i="15"/>
  <c r="O168" i="15"/>
  <c r="N168" i="15"/>
  <c r="K168" i="15"/>
  <c r="J168" i="15"/>
  <c r="I168" i="15"/>
  <c r="H168" i="15"/>
  <c r="G168" i="15"/>
  <c r="F168" i="15"/>
  <c r="X167" i="15"/>
  <c r="V165" i="15"/>
  <c r="S165" i="15"/>
  <c r="R165" i="15"/>
  <c r="Q165" i="15"/>
  <c r="O165" i="15"/>
  <c r="O24" i="15" s="1"/>
  <c r="N165" i="15"/>
  <c r="K165" i="15"/>
  <c r="J165" i="15"/>
  <c r="I165" i="15"/>
  <c r="H165" i="15"/>
  <c r="G165" i="15"/>
  <c r="F165" i="15"/>
  <c r="V164" i="15"/>
  <c r="S164" i="15"/>
  <c r="R164" i="15"/>
  <c r="Q164" i="15"/>
  <c r="O164" i="15"/>
  <c r="N164" i="15"/>
  <c r="K164" i="15"/>
  <c r="J164" i="15"/>
  <c r="I164" i="15"/>
  <c r="H164" i="15"/>
  <c r="G164" i="15"/>
  <c r="F164" i="15"/>
  <c r="V163" i="15"/>
  <c r="S163" i="15"/>
  <c r="R163" i="15"/>
  <c r="Q163" i="15"/>
  <c r="O163" i="15"/>
  <c r="N163" i="15"/>
  <c r="K163" i="15"/>
  <c r="J163" i="15"/>
  <c r="I163" i="15"/>
  <c r="H163" i="15"/>
  <c r="G163" i="15"/>
  <c r="F163" i="15"/>
  <c r="S145" i="15"/>
  <c r="R145" i="15"/>
  <c r="Q145" i="15"/>
  <c r="O145" i="15"/>
  <c r="N145" i="15"/>
  <c r="K145" i="15"/>
  <c r="J145" i="15"/>
  <c r="I145" i="15"/>
  <c r="H145" i="15"/>
  <c r="G145" i="15"/>
  <c r="F145" i="15"/>
  <c r="V144" i="15"/>
  <c r="V143" i="15"/>
  <c r="T143" i="15"/>
  <c r="L143" i="15"/>
  <c r="M143" i="15" s="1"/>
  <c r="S142" i="15"/>
  <c r="R142" i="15"/>
  <c r="R67" i="15" s="1"/>
  <c r="Q142" i="15"/>
  <c r="Q67" i="15" s="1"/>
  <c r="O142" i="15"/>
  <c r="O67" i="15" s="1"/>
  <c r="N142" i="15"/>
  <c r="N67" i="15" s="1"/>
  <c r="K142" i="15"/>
  <c r="K67" i="15" s="1"/>
  <c r="J142" i="15"/>
  <c r="J67" i="15" s="1"/>
  <c r="I142" i="15"/>
  <c r="I67" i="15" s="1"/>
  <c r="H142" i="15"/>
  <c r="H67" i="15" s="1"/>
  <c r="G142" i="15"/>
  <c r="G67" i="15" s="1"/>
  <c r="G71" i="15" s="1"/>
  <c r="F142" i="15"/>
  <c r="E141" i="15"/>
  <c r="V140" i="15"/>
  <c r="T140" i="15"/>
  <c r="L140" i="15"/>
  <c r="M140" i="15" s="1"/>
  <c r="T139" i="15"/>
  <c r="L139" i="15"/>
  <c r="M139" i="15" s="1"/>
  <c r="T138" i="15"/>
  <c r="L138" i="15"/>
  <c r="M138" i="15" s="1"/>
  <c r="V137" i="15"/>
  <c r="S137" i="15"/>
  <c r="R137" i="15"/>
  <c r="Q137" i="15"/>
  <c r="O137" i="15"/>
  <c r="N137" i="15"/>
  <c r="K137" i="15"/>
  <c r="J137" i="15"/>
  <c r="I137" i="15"/>
  <c r="H137" i="15"/>
  <c r="G137" i="15"/>
  <c r="F137" i="15"/>
  <c r="T135" i="15"/>
  <c r="L135" i="15"/>
  <c r="M135" i="15" s="1"/>
  <c r="T134" i="15"/>
  <c r="L134" i="15"/>
  <c r="M134" i="15" s="1"/>
  <c r="T133" i="15"/>
  <c r="L133" i="15"/>
  <c r="M133" i="15" s="1"/>
  <c r="S100" i="15"/>
  <c r="R100" i="15"/>
  <c r="R101" i="15" s="1"/>
  <c r="Q100" i="15"/>
  <c r="O100" i="15"/>
  <c r="N100" i="15"/>
  <c r="K100" i="15"/>
  <c r="J100" i="15"/>
  <c r="I100" i="15"/>
  <c r="I101" i="15" s="1"/>
  <c r="F100" i="15"/>
  <c r="V99" i="15"/>
  <c r="V69" i="15" s="1"/>
  <c r="O99" i="15"/>
  <c r="I99" i="15"/>
  <c r="H99" i="15"/>
  <c r="G99" i="15"/>
  <c r="V98" i="15"/>
  <c r="T98" i="15"/>
  <c r="L98" i="15"/>
  <c r="M98" i="15" s="1"/>
  <c r="R99" i="15"/>
  <c r="N99" i="15"/>
  <c r="E96" i="15"/>
  <c r="V95" i="15"/>
  <c r="V65" i="15" s="1"/>
  <c r="L95" i="15"/>
  <c r="T94" i="15"/>
  <c r="H100" i="15"/>
  <c r="H101" i="15" s="1"/>
  <c r="T93" i="15"/>
  <c r="L93" i="15"/>
  <c r="M93" i="15" s="1"/>
  <c r="V92" i="15"/>
  <c r="T90" i="15"/>
  <c r="L90" i="15"/>
  <c r="T89" i="15"/>
  <c r="L89" i="15"/>
  <c r="M89" i="15" s="1"/>
  <c r="T88" i="15"/>
  <c r="L88" i="15"/>
  <c r="M88" i="15" s="1"/>
  <c r="S716" i="13"/>
  <c r="R716" i="13"/>
  <c r="Q716" i="13"/>
  <c r="N716" i="13"/>
  <c r="K716" i="13"/>
  <c r="J716" i="13"/>
  <c r="I716" i="13"/>
  <c r="H716" i="13"/>
  <c r="G716" i="13"/>
  <c r="F716" i="13"/>
  <c r="T714" i="13"/>
  <c r="L714" i="13"/>
  <c r="M714" i="13" s="1"/>
  <c r="K717" i="13"/>
  <c r="J717" i="13"/>
  <c r="I717" i="13"/>
  <c r="H717" i="13"/>
  <c r="G717" i="13"/>
  <c r="F717" i="13"/>
  <c r="F718" i="13" s="1"/>
  <c r="E712" i="13"/>
  <c r="T711" i="13"/>
  <c r="L711" i="13"/>
  <c r="M711" i="13" s="1"/>
  <c r="T710" i="13"/>
  <c r="L710" i="13"/>
  <c r="M710" i="13" s="1"/>
  <c r="T709" i="13"/>
  <c r="L709" i="13"/>
  <c r="M709" i="13" s="1"/>
  <c r="T706" i="13"/>
  <c r="L706" i="13"/>
  <c r="M706" i="13" s="1"/>
  <c r="T705" i="13"/>
  <c r="L705" i="13"/>
  <c r="M705" i="13" s="1"/>
  <c r="T704" i="13"/>
  <c r="L704" i="13"/>
  <c r="M704" i="13" s="1"/>
  <c r="S686" i="13"/>
  <c r="S641" i="13" s="1"/>
  <c r="R686" i="13"/>
  <c r="R641" i="13" s="1"/>
  <c r="Q686" i="13"/>
  <c r="Q641" i="13" s="1"/>
  <c r="N686" i="13"/>
  <c r="N641" i="13" s="1"/>
  <c r="K686" i="13"/>
  <c r="K641" i="13" s="1"/>
  <c r="J686" i="13"/>
  <c r="J641" i="13" s="1"/>
  <c r="I686" i="13"/>
  <c r="I641" i="13" s="1"/>
  <c r="H686" i="13"/>
  <c r="H641" i="13" s="1"/>
  <c r="G686" i="13"/>
  <c r="G641" i="13" s="1"/>
  <c r="F686" i="13"/>
  <c r="V685" i="13"/>
  <c r="F685" i="13"/>
  <c r="V684" i="13"/>
  <c r="T684" i="13"/>
  <c r="L684" i="13"/>
  <c r="M684" i="13" s="1"/>
  <c r="S683" i="13"/>
  <c r="S685" i="13" s="1"/>
  <c r="R683" i="13"/>
  <c r="Q683" i="13"/>
  <c r="Q685" i="13" s="1"/>
  <c r="N683" i="13"/>
  <c r="K683" i="13"/>
  <c r="J683" i="13"/>
  <c r="I683" i="13"/>
  <c r="H683" i="13"/>
  <c r="H638" i="13" s="1"/>
  <c r="G683" i="13"/>
  <c r="E682" i="13"/>
  <c r="V681" i="13"/>
  <c r="T681" i="13"/>
  <c r="L681" i="13"/>
  <c r="M681" i="13" s="1"/>
  <c r="T680" i="13"/>
  <c r="L680" i="13"/>
  <c r="M680" i="13" s="1"/>
  <c r="T679" i="13"/>
  <c r="L679" i="13"/>
  <c r="M679" i="13" s="1"/>
  <c r="V678" i="13"/>
  <c r="V683" i="13" s="1"/>
  <c r="S678" i="13"/>
  <c r="S631" i="13" s="1"/>
  <c r="S633" i="13" s="1"/>
  <c r="R678" i="13"/>
  <c r="R631" i="13" s="1"/>
  <c r="R633" i="13" s="1"/>
  <c r="Q678" i="13"/>
  <c r="Q631" i="13" s="1"/>
  <c r="Q633" i="13" s="1"/>
  <c r="N678" i="13"/>
  <c r="N631" i="13" s="1"/>
  <c r="N633" i="13" s="1"/>
  <c r="K678" i="13"/>
  <c r="K631" i="13" s="1"/>
  <c r="K633" i="13" s="1"/>
  <c r="J678" i="13"/>
  <c r="J631" i="13" s="1"/>
  <c r="J633" i="13" s="1"/>
  <c r="I678" i="13"/>
  <c r="I631" i="13" s="1"/>
  <c r="I633" i="13" s="1"/>
  <c r="H678" i="13"/>
  <c r="H631" i="13" s="1"/>
  <c r="H633" i="13" s="1"/>
  <c r="G678" i="13"/>
  <c r="G631" i="13" s="1"/>
  <c r="G633" i="13" s="1"/>
  <c r="F678" i="13"/>
  <c r="F631" i="13" s="1"/>
  <c r="F633" i="13" s="1"/>
  <c r="T676" i="13"/>
  <c r="L676" i="13"/>
  <c r="M676" i="13" s="1"/>
  <c r="T675" i="13"/>
  <c r="L675" i="13"/>
  <c r="M675" i="13" s="1"/>
  <c r="T674" i="13"/>
  <c r="L674" i="13"/>
  <c r="M674" i="13" s="1"/>
  <c r="Q657" i="13"/>
  <c r="H657" i="13"/>
  <c r="G657" i="13"/>
  <c r="F657" i="13"/>
  <c r="V655" i="13"/>
  <c r="H655" i="13"/>
  <c r="F655" i="13"/>
  <c r="V654" i="13"/>
  <c r="T654" i="13"/>
  <c r="L654" i="13"/>
  <c r="M654" i="13" s="1"/>
  <c r="R657" i="13"/>
  <c r="Q655" i="13"/>
  <c r="Q640" i="13" s="1"/>
  <c r="N655" i="13"/>
  <c r="K655" i="13"/>
  <c r="I655" i="13"/>
  <c r="E652" i="13"/>
  <c r="V651" i="13"/>
  <c r="L651" i="13"/>
  <c r="M651" i="13" s="1"/>
  <c r="T650" i="13"/>
  <c r="L650" i="13"/>
  <c r="M650" i="13" s="1"/>
  <c r="T649" i="13"/>
  <c r="L649" i="13"/>
  <c r="M649" i="13" s="1"/>
  <c r="V653" i="13"/>
  <c r="V656" i="13" s="1"/>
  <c r="T646" i="13"/>
  <c r="L646" i="13"/>
  <c r="M646" i="13" s="1"/>
  <c r="T645" i="13"/>
  <c r="T644" i="13"/>
  <c r="L644" i="13"/>
  <c r="M644" i="13" s="1"/>
  <c r="S639" i="13"/>
  <c r="R639" i="13"/>
  <c r="Q639" i="13"/>
  <c r="N639" i="13"/>
  <c r="K639" i="13"/>
  <c r="J639" i="13"/>
  <c r="I639" i="13"/>
  <c r="H639" i="13"/>
  <c r="G639" i="13"/>
  <c r="F639" i="13"/>
  <c r="E637" i="13"/>
  <c r="V635" i="13"/>
  <c r="V629" i="13"/>
  <c r="S628" i="13"/>
  <c r="R628" i="13"/>
  <c r="Q628" i="13"/>
  <c r="N628" i="13"/>
  <c r="K628" i="13"/>
  <c r="J628" i="13"/>
  <c r="H628" i="13"/>
  <c r="G628" i="13"/>
  <c r="F628" i="13"/>
  <c r="S627" i="13"/>
  <c r="R627" i="13"/>
  <c r="Q627" i="13"/>
  <c r="N627" i="13"/>
  <c r="K627" i="13"/>
  <c r="J627" i="13"/>
  <c r="I627" i="13"/>
  <c r="H627" i="13"/>
  <c r="G627" i="13"/>
  <c r="F627" i="13"/>
  <c r="S609" i="13"/>
  <c r="R609" i="13"/>
  <c r="Q609" i="13"/>
  <c r="N609" i="13"/>
  <c r="K609" i="13"/>
  <c r="J609" i="13"/>
  <c r="I609" i="13"/>
  <c r="H609" i="13"/>
  <c r="G609" i="13"/>
  <c r="F609" i="13"/>
  <c r="V608" i="13"/>
  <c r="V607" i="13"/>
  <c r="V562" i="13" s="1"/>
  <c r="T607" i="13"/>
  <c r="L607" i="13"/>
  <c r="M607" i="13" s="1"/>
  <c r="S606" i="13"/>
  <c r="S561" i="13" s="1"/>
  <c r="R606" i="13"/>
  <c r="Q606" i="13"/>
  <c r="Q561" i="13" s="1"/>
  <c r="N606" i="13"/>
  <c r="N561" i="13" s="1"/>
  <c r="K606" i="13"/>
  <c r="J606" i="13"/>
  <c r="J561" i="13" s="1"/>
  <c r="I606" i="13"/>
  <c r="H606" i="13"/>
  <c r="G606" i="13"/>
  <c r="F606" i="13"/>
  <c r="E605" i="13"/>
  <c r="V604" i="13"/>
  <c r="T604" i="13"/>
  <c r="L604" i="13"/>
  <c r="M604" i="13" s="1"/>
  <c r="T603" i="13"/>
  <c r="L603" i="13"/>
  <c r="M603" i="13" s="1"/>
  <c r="T602" i="13"/>
  <c r="L602" i="13"/>
  <c r="M602" i="13" s="1"/>
  <c r="V601" i="13"/>
  <c r="V600" i="13" s="1"/>
  <c r="S601" i="13"/>
  <c r="R601" i="13"/>
  <c r="Q601" i="13"/>
  <c r="N601" i="13"/>
  <c r="K601" i="13"/>
  <c r="J601" i="13"/>
  <c r="I601" i="13"/>
  <c r="H601" i="13"/>
  <c r="G601" i="13"/>
  <c r="F601" i="13"/>
  <c r="T599" i="13"/>
  <c r="L599" i="13"/>
  <c r="M599" i="13" s="1"/>
  <c r="T598" i="13"/>
  <c r="L598" i="13"/>
  <c r="M598" i="13" s="1"/>
  <c r="T597" i="13"/>
  <c r="L597" i="13"/>
  <c r="M597" i="13" s="1"/>
  <c r="S579" i="13"/>
  <c r="R579" i="13"/>
  <c r="Q579" i="13"/>
  <c r="Q580" i="13" s="1"/>
  <c r="N579" i="13"/>
  <c r="K579" i="13"/>
  <c r="J579" i="13"/>
  <c r="I579" i="13"/>
  <c r="H579" i="13"/>
  <c r="H580" i="13" s="1"/>
  <c r="G579" i="13"/>
  <c r="F579" i="13"/>
  <c r="V578" i="13"/>
  <c r="V563" i="13" s="1"/>
  <c r="V577" i="13"/>
  <c r="T577" i="13"/>
  <c r="L577" i="13"/>
  <c r="M577" i="13" s="1"/>
  <c r="S578" i="13"/>
  <c r="R580" i="13"/>
  <c r="J580" i="13"/>
  <c r="F580" i="13"/>
  <c r="F581" i="13" s="1"/>
  <c r="E575" i="13"/>
  <c r="V574" i="13"/>
  <c r="T574" i="13"/>
  <c r="L574" i="13"/>
  <c r="M574" i="13" s="1"/>
  <c r="T573" i="13"/>
  <c r="L573" i="13"/>
  <c r="M573" i="13" s="1"/>
  <c r="T572" i="13"/>
  <c r="L572" i="13"/>
  <c r="M572" i="13" s="1"/>
  <c r="V571" i="13"/>
  <c r="T569" i="13"/>
  <c r="L569" i="13"/>
  <c r="M569" i="13" s="1"/>
  <c r="T568" i="13"/>
  <c r="L568" i="13"/>
  <c r="M568" i="13" s="1"/>
  <c r="T567" i="13"/>
  <c r="L567" i="13"/>
  <c r="M567" i="13" s="1"/>
  <c r="F562" i="13"/>
  <c r="E560" i="13"/>
  <c r="S559" i="13"/>
  <c r="R559" i="13"/>
  <c r="R542" i="13" s="1"/>
  <c r="Q559" i="13"/>
  <c r="Q542" i="13" s="1"/>
  <c r="N559" i="13"/>
  <c r="N542" i="13" s="1"/>
  <c r="K559" i="13"/>
  <c r="K542" i="13" s="1"/>
  <c r="J559" i="13"/>
  <c r="J542" i="13" s="1"/>
  <c r="I559" i="13"/>
  <c r="I542" i="13" s="1"/>
  <c r="H559" i="13"/>
  <c r="H542" i="13" s="1"/>
  <c r="G559" i="13"/>
  <c r="G542" i="13" s="1"/>
  <c r="F559" i="13"/>
  <c r="F542" i="13" s="1"/>
  <c r="R541" i="13"/>
  <c r="Q541" i="13"/>
  <c r="N541" i="13"/>
  <c r="K541" i="13"/>
  <c r="J541" i="13"/>
  <c r="I541" i="13"/>
  <c r="H541" i="13"/>
  <c r="G541" i="13"/>
  <c r="F547" i="13"/>
  <c r="S557" i="13"/>
  <c r="S540" i="13" s="1"/>
  <c r="R557" i="13"/>
  <c r="R540" i="13" s="1"/>
  <c r="Q557" i="13"/>
  <c r="Q540" i="13" s="1"/>
  <c r="N557" i="13"/>
  <c r="N540" i="13" s="1"/>
  <c r="K557" i="13"/>
  <c r="K540" i="13" s="1"/>
  <c r="J557" i="13"/>
  <c r="J540" i="13" s="1"/>
  <c r="I557" i="13"/>
  <c r="I540" i="13" s="1"/>
  <c r="H557" i="13"/>
  <c r="H540" i="13" s="1"/>
  <c r="G557" i="13"/>
  <c r="G540" i="13" s="1"/>
  <c r="F557" i="13"/>
  <c r="F540" i="13" s="1"/>
  <c r="V552" i="13"/>
  <c r="S552" i="13"/>
  <c r="R552" i="13"/>
  <c r="Q552" i="13"/>
  <c r="N552" i="13"/>
  <c r="N535" i="13" s="1"/>
  <c r="K552" i="13"/>
  <c r="K535" i="13" s="1"/>
  <c r="J552" i="13"/>
  <c r="J535" i="13" s="1"/>
  <c r="I552" i="13"/>
  <c r="I535" i="13" s="1"/>
  <c r="H552" i="13"/>
  <c r="H535" i="13" s="1"/>
  <c r="G552" i="13"/>
  <c r="G535" i="13" s="1"/>
  <c r="F552" i="13"/>
  <c r="F535" i="13" s="1"/>
  <c r="V551" i="13"/>
  <c r="V534" i="13" s="1"/>
  <c r="V517" i="13" s="1"/>
  <c r="S551" i="13"/>
  <c r="S534" i="13" s="1"/>
  <c r="R551" i="13"/>
  <c r="Q551" i="13"/>
  <c r="Q534" i="13" s="1"/>
  <c r="N551" i="13"/>
  <c r="K551" i="13"/>
  <c r="J551" i="13"/>
  <c r="I551" i="13"/>
  <c r="H551" i="13"/>
  <c r="G551" i="13"/>
  <c r="F551" i="13"/>
  <c r="V550" i="13"/>
  <c r="V533" i="13" s="1"/>
  <c r="V516" i="13" s="1"/>
  <c r="S550" i="13"/>
  <c r="S533" i="13" s="1"/>
  <c r="S516" i="13" s="1"/>
  <c r="R550" i="13"/>
  <c r="Q550" i="13"/>
  <c r="Q533" i="13" s="1"/>
  <c r="Q516" i="13" s="1"/>
  <c r="N550" i="13"/>
  <c r="K550" i="13"/>
  <c r="K533" i="13" s="1"/>
  <c r="K516" i="13" s="1"/>
  <c r="J550" i="13"/>
  <c r="I550" i="13"/>
  <c r="I533" i="13" s="1"/>
  <c r="I516" i="13" s="1"/>
  <c r="H550" i="13"/>
  <c r="G550" i="13"/>
  <c r="G533" i="13" s="1"/>
  <c r="G516" i="13" s="1"/>
  <c r="F550" i="13"/>
  <c r="E544" i="13"/>
  <c r="E527" i="13" s="1"/>
  <c r="E542" i="13"/>
  <c r="E525" i="13" s="1"/>
  <c r="J514" i="13"/>
  <c r="I514" i="13"/>
  <c r="H514" i="13"/>
  <c r="G514" i="13"/>
  <c r="F514" i="13"/>
  <c r="F515" i="13" s="1"/>
  <c r="V512" i="13"/>
  <c r="V511" i="13"/>
  <c r="V481" i="13" s="1"/>
  <c r="T511" i="13"/>
  <c r="L511" i="13"/>
  <c r="M511" i="13" s="1"/>
  <c r="R512" i="13"/>
  <c r="N512" i="13"/>
  <c r="E509" i="13"/>
  <c r="V508" i="13"/>
  <c r="L508" i="13"/>
  <c r="M508" i="13" s="1"/>
  <c r="T507" i="13"/>
  <c r="L507" i="13"/>
  <c r="M507" i="13" s="1"/>
  <c r="T506" i="13"/>
  <c r="L506" i="13"/>
  <c r="M506" i="13" s="1"/>
  <c r="V510" i="13"/>
  <c r="T503" i="13"/>
  <c r="L503" i="13"/>
  <c r="L502" i="13"/>
  <c r="T501" i="13"/>
  <c r="L501" i="13"/>
  <c r="J499" i="13"/>
  <c r="I499" i="13"/>
  <c r="F498" i="13"/>
  <c r="F499" i="13" s="1"/>
  <c r="F500" i="13" s="1"/>
  <c r="V497" i="13"/>
  <c r="H497" i="13"/>
  <c r="G497" i="13"/>
  <c r="F497" i="13"/>
  <c r="T496" i="13"/>
  <c r="L496" i="13"/>
  <c r="M496" i="13" s="1"/>
  <c r="R497" i="13"/>
  <c r="N497" i="13"/>
  <c r="E494" i="13"/>
  <c r="V493" i="13"/>
  <c r="T492" i="13"/>
  <c r="H499" i="13"/>
  <c r="G499" i="13"/>
  <c r="T491" i="13"/>
  <c r="L491" i="13"/>
  <c r="M491" i="13" s="1"/>
  <c r="H473" i="13"/>
  <c r="S472" i="13"/>
  <c r="Q472" i="13"/>
  <c r="L487" i="13"/>
  <c r="M487" i="13" s="1"/>
  <c r="S481" i="13"/>
  <c r="R481" i="13"/>
  <c r="Q481" i="13"/>
  <c r="N481" i="13"/>
  <c r="K481" i="13"/>
  <c r="J481" i="13"/>
  <c r="I481" i="13"/>
  <c r="H481" i="13"/>
  <c r="G481" i="13"/>
  <c r="F481" i="13"/>
  <c r="J480" i="13"/>
  <c r="H480" i="13"/>
  <c r="G480" i="13"/>
  <c r="F480" i="13"/>
  <c r="E480" i="13"/>
  <c r="R478" i="13"/>
  <c r="N478" i="13"/>
  <c r="K478" i="13"/>
  <c r="J478" i="13"/>
  <c r="I478" i="13"/>
  <c r="H478" i="13"/>
  <c r="G478" i="13"/>
  <c r="F478" i="13"/>
  <c r="E478" i="13"/>
  <c r="V477" i="13"/>
  <c r="S477" i="13"/>
  <c r="R477" i="13"/>
  <c r="Q477" i="13"/>
  <c r="N477" i="13"/>
  <c r="K477" i="13"/>
  <c r="I477" i="13"/>
  <c r="H477" i="13"/>
  <c r="F477" i="13"/>
  <c r="V476" i="13"/>
  <c r="S476" i="13"/>
  <c r="R476" i="13"/>
  <c r="Q476" i="13"/>
  <c r="N476" i="13"/>
  <c r="K476" i="13"/>
  <c r="J476" i="13"/>
  <c r="I476" i="13"/>
  <c r="H476" i="13"/>
  <c r="G476" i="13"/>
  <c r="F476" i="13"/>
  <c r="G475" i="13"/>
  <c r="F475" i="13"/>
  <c r="V473" i="13"/>
  <c r="S473" i="13"/>
  <c r="R473" i="13"/>
  <c r="Q473" i="13"/>
  <c r="N473" i="13"/>
  <c r="K473" i="13"/>
  <c r="J473" i="13"/>
  <c r="I473" i="13"/>
  <c r="G473" i="13"/>
  <c r="F473" i="13"/>
  <c r="V472" i="13"/>
  <c r="N472" i="13"/>
  <c r="K472" i="13"/>
  <c r="J472" i="13"/>
  <c r="I472" i="13"/>
  <c r="H472" i="13"/>
  <c r="G472" i="13"/>
  <c r="F472" i="13"/>
  <c r="V471" i="13"/>
  <c r="S471" i="13"/>
  <c r="R471" i="13"/>
  <c r="Q471" i="13"/>
  <c r="N471" i="13"/>
  <c r="K471" i="13"/>
  <c r="J471" i="13"/>
  <c r="I471" i="13"/>
  <c r="G471" i="13"/>
  <c r="F471" i="13"/>
  <c r="S468" i="13"/>
  <c r="R468" i="13"/>
  <c r="Q468" i="13"/>
  <c r="N468" i="13"/>
  <c r="K468" i="13"/>
  <c r="J468" i="13"/>
  <c r="I468" i="13"/>
  <c r="H468" i="13"/>
  <c r="G468" i="13"/>
  <c r="F468" i="13"/>
  <c r="V467" i="13"/>
  <c r="V422" i="13" s="1"/>
  <c r="V466" i="13"/>
  <c r="V421" i="13" s="1"/>
  <c r="W421" i="13" s="1"/>
  <c r="T466" i="13"/>
  <c r="L466" i="13"/>
  <c r="M466" i="13" s="1"/>
  <c r="R465" i="13"/>
  <c r="Q465" i="13"/>
  <c r="N465" i="13"/>
  <c r="K465" i="13"/>
  <c r="J465" i="13"/>
  <c r="I465" i="13"/>
  <c r="H465" i="13"/>
  <c r="G465" i="13"/>
  <c r="G420" i="13" s="1"/>
  <c r="F465" i="13"/>
  <c r="E464" i="13"/>
  <c r="V463" i="13"/>
  <c r="V418" i="13" s="1"/>
  <c r="S463" i="13"/>
  <c r="S418" i="13" s="1"/>
  <c r="L463" i="13"/>
  <c r="M463" i="13" s="1"/>
  <c r="T462" i="13"/>
  <c r="L462" i="13"/>
  <c r="M462" i="13" s="1"/>
  <c r="T461" i="13"/>
  <c r="L461" i="13"/>
  <c r="M461" i="13" s="1"/>
  <c r="V460" i="13"/>
  <c r="V413" i="13" s="1"/>
  <c r="S460" i="13"/>
  <c r="S413" i="13" s="1"/>
  <c r="R460" i="13"/>
  <c r="R413" i="13" s="1"/>
  <c r="Q460" i="13"/>
  <c r="Q413" i="13" s="1"/>
  <c r="N460" i="13"/>
  <c r="N413" i="13" s="1"/>
  <c r="K460" i="13"/>
  <c r="K413" i="13" s="1"/>
  <c r="J460" i="13"/>
  <c r="J413" i="13" s="1"/>
  <c r="I460" i="13"/>
  <c r="I413" i="13" s="1"/>
  <c r="H460" i="13"/>
  <c r="H413" i="13" s="1"/>
  <c r="G460" i="13"/>
  <c r="G413" i="13" s="1"/>
  <c r="F460" i="13"/>
  <c r="T458" i="13"/>
  <c r="L458" i="13"/>
  <c r="M458" i="13" s="1"/>
  <c r="T457" i="13"/>
  <c r="L457" i="13"/>
  <c r="M457" i="13" s="1"/>
  <c r="T456" i="13"/>
  <c r="L456" i="13"/>
  <c r="M456" i="13" s="1"/>
  <c r="I439" i="13"/>
  <c r="S406" i="13"/>
  <c r="R406" i="13"/>
  <c r="Q406" i="13"/>
  <c r="N406" i="13"/>
  <c r="K406" i="13"/>
  <c r="J406" i="13"/>
  <c r="I406" i="13"/>
  <c r="H406" i="13"/>
  <c r="G406" i="13"/>
  <c r="F406" i="13"/>
  <c r="V405" i="13"/>
  <c r="V404" i="13"/>
  <c r="T404" i="13"/>
  <c r="L404" i="13"/>
  <c r="M404" i="13" s="1"/>
  <c r="R403" i="13"/>
  <c r="Q403" i="13"/>
  <c r="Q358" i="13" s="1"/>
  <c r="Q357" i="13" s="1"/>
  <c r="N403" i="13"/>
  <c r="N358" i="13" s="1"/>
  <c r="N357" i="13" s="1"/>
  <c r="K403" i="13"/>
  <c r="K358" i="13" s="1"/>
  <c r="J403" i="13"/>
  <c r="J358" i="13" s="1"/>
  <c r="I403" i="13"/>
  <c r="I358" i="13" s="1"/>
  <c r="H403" i="13"/>
  <c r="H358" i="13" s="1"/>
  <c r="G403" i="13"/>
  <c r="G358" i="13" s="1"/>
  <c r="F403" i="13"/>
  <c r="F358" i="13" s="1"/>
  <c r="E402" i="13"/>
  <c r="V401" i="13"/>
  <c r="S401" i="13"/>
  <c r="L401" i="13"/>
  <c r="M401" i="13" s="1"/>
  <c r="T400" i="13"/>
  <c r="L400" i="13"/>
  <c r="M400" i="13" s="1"/>
  <c r="T399" i="13"/>
  <c r="L399" i="13"/>
  <c r="M399" i="13" s="1"/>
  <c r="V398" i="13"/>
  <c r="V351" i="13" s="1"/>
  <c r="S398" i="13"/>
  <c r="S351" i="13" s="1"/>
  <c r="R398" i="13"/>
  <c r="Q398" i="13"/>
  <c r="Q351" i="13" s="1"/>
  <c r="N398" i="13"/>
  <c r="N351" i="13" s="1"/>
  <c r="K398" i="13"/>
  <c r="K351" i="13" s="1"/>
  <c r="J398" i="13"/>
  <c r="J351" i="13" s="1"/>
  <c r="I398" i="13"/>
  <c r="I351" i="13" s="1"/>
  <c r="H398" i="13"/>
  <c r="H351" i="13" s="1"/>
  <c r="G398" i="13"/>
  <c r="G351" i="13" s="1"/>
  <c r="F398" i="13"/>
  <c r="F351" i="13" s="1"/>
  <c r="T396" i="13"/>
  <c r="L396" i="13"/>
  <c r="M396" i="13" s="1"/>
  <c r="T395" i="13"/>
  <c r="L395" i="13"/>
  <c r="M395" i="13" s="1"/>
  <c r="T394" i="13"/>
  <c r="L394" i="13"/>
  <c r="M394" i="13" s="1"/>
  <c r="S376" i="13"/>
  <c r="R376" i="13"/>
  <c r="Q376" i="13"/>
  <c r="N376" i="13"/>
  <c r="K376" i="13"/>
  <c r="J376" i="13"/>
  <c r="J377" i="13" s="1"/>
  <c r="I376" i="13"/>
  <c r="I377" i="13" s="1"/>
  <c r="H376" i="13"/>
  <c r="H377" i="13" s="1"/>
  <c r="V375" i="13"/>
  <c r="V360" i="13" s="1"/>
  <c r="H375" i="13"/>
  <c r="G375" i="13"/>
  <c r="F375" i="13"/>
  <c r="V374" i="13"/>
  <c r="T374" i="13"/>
  <c r="L374" i="13"/>
  <c r="M374" i="13" s="1"/>
  <c r="K375" i="13"/>
  <c r="J375" i="13"/>
  <c r="E372" i="13"/>
  <c r="V371" i="13"/>
  <c r="V356" i="13" s="1"/>
  <c r="T371" i="13"/>
  <c r="L371" i="13"/>
  <c r="M371" i="13" s="1"/>
  <c r="T370" i="13"/>
  <c r="T369" i="13"/>
  <c r="L369" i="13"/>
  <c r="M369" i="13" s="1"/>
  <c r="T366" i="13"/>
  <c r="L366" i="13"/>
  <c r="M366" i="13" s="1"/>
  <c r="L365" i="13"/>
  <c r="M365" i="13" s="1"/>
  <c r="T364" i="13"/>
  <c r="L364" i="13"/>
  <c r="M364" i="13" s="1"/>
  <c r="S312" i="13"/>
  <c r="R312" i="13"/>
  <c r="Q312" i="13"/>
  <c r="N312" i="13"/>
  <c r="K312" i="13"/>
  <c r="J312" i="13"/>
  <c r="I312" i="13"/>
  <c r="H312" i="13"/>
  <c r="G312" i="13"/>
  <c r="F312" i="13"/>
  <c r="V311" i="13"/>
  <c r="V310" i="13"/>
  <c r="T310" i="13"/>
  <c r="L310" i="13"/>
  <c r="M310" i="13" s="1"/>
  <c r="R309" i="13"/>
  <c r="Q309" i="13"/>
  <c r="N309" i="13"/>
  <c r="K309" i="13"/>
  <c r="J309" i="13"/>
  <c r="I309" i="13"/>
  <c r="H309" i="13"/>
  <c r="G309" i="13"/>
  <c r="F309" i="13"/>
  <c r="E308" i="13"/>
  <c r="V307" i="13"/>
  <c r="S309" i="13"/>
  <c r="L307" i="13"/>
  <c r="M307" i="13" s="1"/>
  <c r="T306" i="13"/>
  <c r="L306" i="13"/>
  <c r="M306" i="13" s="1"/>
  <c r="T305" i="13"/>
  <c r="L305" i="13"/>
  <c r="M305" i="13" s="1"/>
  <c r="V304" i="13"/>
  <c r="V309" i="13" s="1"/>
  <c r="S304" i="13"/>
  <c r="R304" i="13"/>
  <c r="Q304" i="13"/>
  <c r="N304" i="13"/>
  <c r="K304" i="13"/>
  <c r="J304" i="13"/>
  <c r="I304" i="13"/>
  <c r="H304" i="13"/>
  <c r="G304" i="13"/>
  <c r="F304" i="13"/>
  <c r="T302" i="13"/>
  <c r="L302" i="13"/>
  <c r="M302" i="13" s="1"/>
  <c r="T301" i="13"/>
  <c r="L301" i="13"/>
  <c r="M301" i="13" s="1"/>
  <c r="T300" i="13"/>
  <c r="L300" i="13"/>
  <c r="M300" i="13" s="1"/>
  <c r="S282" i="13"/>
  <c r="R282" i="13"/>
  <c r="Q282" i="13"/>
  <c r="N282" i="13"/>
  <c r="K282" i="13"/>
  <c r="J282" i="13"/>
  <c r="I282" i="13"/>
  <c r="H282" i="13"/>
  <c r="G282" i="13"/>
  <c r="F282" i="13"/>
  <c r="V281" i="13"/>
  <c r="V266" i="13" s="1"/>
  <c r="V280" i="13"/>
  <c r="T280" i="13"/>
  <c r="L280" i="13"/>
  <c r="M280" i="13" s="1"/>
  <c r="R279" i="13"/>
  <c r="R264" i="13" s="1"/>
  <c r="Q279" i="13"/>
  <c r="N279" i="13"/>
  <c r="N264" i="13" s="1"/>
  <c r="K279" i="13"/>
  <c r="J279" i="13"/>
  <c r="I279" i="13"/>
  <c r="I264" i="13" s="1"/>
  <c r="H279" i="13"/>
  <c r="H264" i="13" s="1"/>
  <c r="G279" i="13"/>
  <c r="F279" i="13"/>
  <c r="E278" i="13"/>
  <c r="V277" i="13"/>
  <c r="V262" i="13" s="1"/>
  <c r="S277" i="13"/>
  <c r="S262" i="13" s="1"/>
  <c r="L277" i="13"/>
  <c r="M277" i="13" s="1"/>
  <c r="T276" i="13"/>
  <c r="L276" i="13"/>
  <c r="M276" i="13" s="1"/>
  <c r="T275" i="13"/>
  <c r="L275" i="13"/>
  <c r="M275" i="13" s="1"/>
  <c r="X274" i="13"/>
  <c r="V274" i="13"/>
  <c r="S274" i="13"/>
  <c r="R274" i="13"/>
  <c r="Q274" i="13"/>
  <c r="N274" i="13"/>
  <c r="K274" i="13"/>
  <c r="J274" i="13"/>
  <c r="I274" i="13"/>
  <c r="H274" i="13"/>
  <c r="G274" i="13"/>
  <c r="F274" i="13"/>
  <c r="T272" i="13"/>
  <c r="L272" i="13"/>
  <c r="M272" i="13" s="1"/>
  <c r="T271" i="13"/>
  <c r="L271" i="13"/>
  <c r="M271" i="13" s="1"/>
  <c r="T270" i="13"/>
  <c r="L270" i="13"/>
  <c r="M270" i="13" s="1"/>
  <c r="S250" i="13"/>
  <c r="R250" i="13"/>
  <c r="Q250" i="13"/>
  <c r="N250" i="13"/>
  <c r="K250" i="13"/>
  <c r="J250" i="13"/>
  <c r="I250" i="13"/>
  <c r="H250" i="13"/>
  <c r="G250" i="13"/>
  <c r="F250" i="13"/>
  <c r="V249" i="13"/>
  <c r="V248" i="13"/>
  <c r="T248" i="13"/>
  <c r="L248" i="13"/>
  <c r="M248" i="13" s="1"/>
  <c r="R247" i="13"/>
  <c r="Q247" i="13"/>
  <c r="N247" i="13"/>
  <c r="K247" i="13"/>
  <c r="J247" i="13"/>
  <c r="I247" i="13"/>
  <c r="H247" i="13"/>
  <c r="G247" i="13"/>
  <c r="F247" i="13"/>
  <c r="E246" i="13"/>
  <c r="V245" i="13"/>
  <c r="S245" i="13"/>
  <c r="L245" i="13"/>
  <c r="M245" i="13" s="1"/>
  <c r="T244" i="13"/>
  <c r="L244" i="13"/>
  <c r="M244" i="13" s="1"/>
  <c r="T243" i="13"/>
  <c r="L243" i="13"/>
  <c r="M243" i="13" s="1"/>
  <c r="X242" i="13"/>
  <c r="V242" i="13"/>
  <c r="S242" i="13"/>
  <c r="R242" i="13"/>
  <c r="Q242" i="13"/>
  <c r="N242" i="13"/>
  <c r="K242" i="13"/>
  <c r="J242" i="13"/>
  <c r="I242" i="13"/>
  <c r="H242" i="13"/>
  <c r="G242" i="13"/>
  <c r="F242" i="13"/>
  <c r="T240" i="13"/>
  <c r="L240" i="13"/>
  <c r="M240" i="13" s="1"/>
  <c r="T239" i="13"/>
  <c r="L239" i="13"/>
  <c r="M239" i="13" s="1"/>
  <c r="T238" i="13"/>
  <c r="L238" i="13"/>
  <c r="M238" i="13" s="1"/>
  <c r="S235" i="13"/>
  <c r="R235" i="13"/>
  <c r="Q235" i="13"/>
  <c r="N235" i="13"/>
  <c r="K235" i="13"/>
  <c r="J235" i="13"/>
  <c r="I235" i="13"/>
  <c r="H235" i="13"/>
  <c r="G235" i="13"/>
  <c r="F235" i="13"/>
  <c r="V234" i="13"/>
  <c r="V233" i="13"/>
  <c r="T233" i="13"/>
  <c r="L233" i="13"/>
  <c r="M233" i="13" s="1"/>
  <c r="R232" i="13"/>
  <c r="Q232" i="13"/>
  <c r="N232" i="13"/>
  <c r="K232" i="13"/>
  <c r="K234" i="13" s="1"/>
  <c r="J232" i="13"/>
  <c r="I232" i="13"/>
  <c r="H232" i="13"/>
  <c r="G232" i="13"/>
  <c r="G234" i="13" s="1"/>
  <c r="F232" i="13"/>
  <c r="E231" i="13"/>
  <c r="V230" i="13"/>
  <c r="S230" i="13"/>
  <c r="L230" i="13"/>
  <c r="M230" i="13" s="1"/>
  <c r="T229" i="13"/>
  <c r="L229" i="13"/>
  <c r="M229" i="13" s="1"/>
  <c r="T228" i="13"/>
  <c r="L228" i="13"/>
  <c r="M228" i="13" s="1"/>
  <c r="X227" i="13"/>
  <c r="V227" i="13"/>
  <c r="S227" i="13"/>
  <c r="R227" i="13"/>
  <c r="Q227" i="13"/>
  <c r="N227" i="13"/>
  <c r="K227" i="13"/>
  <c r="J227" i="13"/>
  <c r="I227" i="13"/>
  <c r="H227" i="13"/>
  <c r="G227" i="13"/>
  <c r="F227" i="13"/>
  <c r="T225" i="13"/>
  <c r="L225" i="13"/>
  <c r="M225" i="13" s="1"/>
  <c r="T224" i="13"/>
  <c r="L224" i="13"/>
  <c r="M224" i="13" s="1"/>
  <c r="T223" i="13"/>
  <c r="L223" i="13"/>
  <c r="M223" i="13" s="1"/>
  <c r="S218" i="13"/>
  <c r="R218" i="13"/>
  <c r="Q218" i="13"/>
  <c r="N218" i="13"/>
  <c r="K218" i="13"/>
  <c r="J218" i="13"/>
  <c r="I218" i="13"/>
  <c r="H218" i="13"/>
  <c r="G218" i="13"/>
  <c r="F218" i="13"/>
  <c r="E217" i="13"/>
  <c r="R215" i="13"/>
  <c r="Q215" i="13"/>
  <c r="N215" i="13"/>
  <c r="K215" i="13"/>
  <c r="J215" i="13"/>
  <c r="I215" i="13"/>
  <c r="H215" i="13"/>
  <c r="G215" i="13"/>
  <c r="F215" i="13"/>
  <c r="E215" i="13"/>
  <c r="E216" i="13" s="1"/>
  <c r="V214" i="13"/>
  <c r="S214" i="13"/>
  <c r="R214" i="13"/>
  <c r="Q214" i="13"/>
  <c r="N214" i="13"/>
  <c r="K214" i="13"/>
  <c r="K220" i="13" s="1"/>
  <c r="J214" i="13"/>
  <c r="J220" i="13" s="1"/>
  <c r="I214" i="13"/>
  <c r="I220" i="13" s="1"/>
  <c r="H214" i="13"/>
  <c r="H220" i="13" s="1"/>
  <c r="G214" i="13"/>
  <c r="G220" i="13" s="1"/>
  <c r="F214" i="13"/>
  <c r="F220" i="13" s="1"/>
  <c r="V213" i="13"/>
  <c r="S213" i="13"/>
  <c r="R213" i="13"/>
  <c r="Q213" i="13"/>
  <c r="N213" i="13"/>
  <c r="K213" i="13"/>
  <c r="J213" i="13"/>
  <c r="I213" i="13"/>
  <c r="H213" i="13"/>
  <c r="G213" i="13"/>
  <c r="F213" i="13"/>
  <c r="V210" i="13"/>
  <c r="S210" i="13"/>
  <c r="R210" i="13"/>
  <c r="Q210" i="13"/>
  <c r="N210" i="13"/>
  <c r="K210" i="13"/>
  <c r="J210" i="13"/>
  <c r="I210" i="13"/>
  <c r="H210" i="13"/>
  <c r="G210" i="13"/>
  <c r="F210" i="13"/>
  <c r="V209" i="13"/>
  <c r="S209" i="13"/>
  <c r="R209" i="13"/>
  <c r="Q209" i="13"/>
  <c r="N209" i="13"/>
  <c r="K209" i="13"/>
  <c r="J209" i="13"/>
  <c r="I209" i="13"/>
  <c r="H209" i="13"/>
  <c r="G209" i="13"/>
  <c r="F209" i="13"/>
  <c r="V208" i="13"/>
  <c r="S208" i="13"/>
  <c r="R208" i="13"/>
  <c r="Q208" i="13"/>
  <c r="N208" i="13"/>
  <c r="K208" i="13"/>
  <c r="J208" i="13"/>
  <c r="I208" i="13"/>
  <c r="H208" i="13"/>
  <c r="G208" i="13"/>
  <c r="F208" i="13"/>
  <c r="S205" i="13"/>
  <c r="R205" i="13"/>
  <c r="Q205" i="13"/>
  <c r="N205" i="13"/>
  <c r="K205" i="13"/>
  <c r="J205" i="13"/>
  <c r="I205" i="13"/>
  <c r="H205" i="13"/>
  <c r="G205" i="13"/>
  <c r="F205" i="13"/>
  <c r="V204" i="13"/>
  <c r="V203" i="13"/>
  <c r="T203" i="13"/>
  <c r="L203" i="13"/>
  <c r="M203" i="13" s="1"/>
  <c r="R202" i="13"/>
  <c r="Q202" i="13"/>
  <c r="N202" i="13"/>
  <c r="K202" i="13"/>
  <c r="J202" i="13"/>
  <c r="I202" i="13"/>
  <c r="H202" i="13"/>
  <c r="G202" i="13"/>
  <c r="F202" i="13"/>
  <c r="E201" i="13"/>
  <c r="V200" i="13"/>
  <c r="S200" i="13"/>
  <c r="T200" i="13" s="1"/>
  <c r="L200" i="13"/>
  <c r="M200" i="13" s="1"/>
  <c r="T199" i="13"/>
  <c r="L199" i="13"/>
  <c r="M199" i="13" s="1"/>
  <c r="T198" i="13"/>
  <c r="L198" i="13"/>
  <c r="M198" i="13" s="1"/>
  <c r="X197" i="13"/>
  <c r="V197" i="13"/>
  <c r="S197" i="13"/>
  <c r="R197" i="13"/>
  <c r="Q197" i="13"/>
  <c r="N197" i="13"/>
  <c r="K197" i="13"/>
  <c r="J197" i="13"/>
  <c r="I197" i="13"/>
  <c r="H197" i="13"/>
  <c r="G197" i="13"/>
  <c r="F197" i="13"/>
  <c r="T195" i="13"/>
  <c r="L195" i="13"/>
  <c r="M195" i="13" s="1"/>
  <c r="T194" i="13"/>
  <c r="L194" i="13"/>
  <c r="M194" i="13" s="1"/>
  <c r="T193" i="13"/>
  <c r="L193" i="13"/>
  <c r="M193" i="13" s="1"/>
  <c r="S190" i="13"/>
  <c r="R190" i="13"/>
  <c r="Q190" i="13"/>
  <c r="N190" i="13"/>
  <c r="K190" i="13"/>
  <c r="J190" i="13"/>
  <c r="I190" i="13"/>
  <c r="H190" i="13"/>
  <c r="G190" i="13"/>
  <c r="F190" i="13"/>
  <c r="V189" i="13"/>
  <c r="V188" i="13"/>
  <c r="T188" i="13"/>
  <c r="L188" i="13"/>
  <c r="M188" i="13" s="1"/>
  <c r="R187" i="13"/>
  <c r="Q187" i="13"/>
  <c r="N187" i="13"/>
  <c r="K187" i="13"/>
  <c r="J187" i="13"/>
  <c r="I187" i="13"/>
  <c r="H187" i="13"/>
  <c r="G187" i="13"/>
  <c r="F187" i="13"/>
  <c r="E186" i="13"/>
  <c r="V185" i="13"/>
  <c r="S185" i="13"/>
  <c r="T185" i="13" s="1"/>
  <c r="L185" i="13"/>
  <c r="M185" i="13" s="1"/>
  <c r="T184" i="13"/>
  <c r="L184" i="13"/>
  <c r="M184" i="13" s="1"/>
  <c r="T183" i="13"/>
  <c r="L183" i="13"/>
  <c r="M183" i="13" s="1"/>
  <c r="V182" i="13"/>
  <c r="S182" i="13"/>
  <c r="R182" i="13"/>
  <c r="Q182" i="13"/>
  <c r="N182" i="13"/>
  <c r="N167" i="13" s="1"/>
  <c r="K182" i="13"/>
  <c r="J182" i="13"/>
  <c r="I182" i="13"/>
  <c r="H182" i="13"/>
  <c r="G182" i="13"/>
  <c r="F182" i="13"/>
  <c r="F167" i="13" s="1"/>
  <c r="T180" i="13"/>
  <c r="L180" i="13"/>
  <c r="M180" i="13" s="1"/>
  <c r="T179" i="13"/>
  <c r="L179" i="13"/>
  <c r="M179" i="13" s="1"/>
  <c r="T178" i="13"/>
  <c r="L178" i="13"/>
  <c r="M178" i="13" s="1"/>
  <c r="S173" i="13"/>
  <c r="R173" i="13"/>
  <c r="Q173" i="13"/>
  <c r="N173" i="13"/>
  <c r="K173" i="13"/>
  <c r="J173" i="13"/>
  <c r="I173" i="13"/>
  <c r="H173" i="13"/>
  <c r="G173" i="13"/>
  <c r="F173" i="13"/>
  <c r="E172" i="13"/>
  <c r="R170" i="13"/>
  <c r="Q170" i="13"/>
  <c r="N170" i="13"/>
  <c r="K170" i="13"/>
  <c r="J170" i="13"/>
  <c r="I170" i="13"/>
  <c r="H170" i="13"/>
  <c r="G170" i="13"/>
  <c r="F170" i="13"/>
  <c r="E170" i="13"/>
  <c r="V169" i="13"/>
  <c r="S169" i="13"/>
  <c r="R169" i="13"/>
  <c r="Q169" i="13"/>
  <c r="N169" i="13"/>
  <c r="K169" i="13"/>
  <c r="J169" i="13"/>
  <c r="I169" i="13"/>
  <c r="H169" i="13"/>
  <c r="G169" i="13"/>
  <c r="F169" i="13"/>
  <c r="V168" i="13"/>
  <c r="S168" i="13"/>
  <c r="R168" i="13"/>
  <c r="Q168" i="13"/>
  <c r="N168" i="13"/>
  <c r="K168" i="13"/>
  <c r="J168" i="13"/>
  <c r="I168" i="13"/>
  <c r="H168" i="13"/>
  <c r="G168" i="13"/>
  <c r="F168" i="13"/>
  <c r="X167" i="13"/>
  <c r="V165" i="13"/>
  <c r="S165" i="13"/>
  <c r="S41" i="13" s="1"/>
  <c r="R165" i="13"/>
  <c r="Q165" i="13"/>
  <c r="N165" i="13"/>
  <c r="K165" i="13"/>
  <c r="J165" i="13"/>
  <c r="I165" i="13"/>
  <c r="H165" i="13"/>
  <c r="G165" i="13"/>
  <c r="F165" i="13"/>
  <c r="V164" i="13"/>
  <c r="S164" i="13"/>
  <c r="R164" i="13"/>
  <c r="Q164" i="13"/>
  <c r="N164" i="13"/>
  <c r="K164" i="13"/>
  <c r="J164" i="13"/>
  <c r="I164" i="13"/>
  <c r="H164" i="13"/>
  <c r="G164" i="13"/>
  <c r="F164" i="13"/>
  <c r="V163" i="13"/>
  <c r="S163" i="13"/>
  <c r="R163" i="13"/>
  <c r="Q163" i="13"/>
  <c r="N163" i="13"/>
  <c r="K163" i="13"/>
  <c r="J163" i="13"/>
  <c r="I163" i="13"/>
  <c r="H163" i="13"/>
  <c r="G163" i="13"/>
  <c r="F163" i="13"/>
  <c r="I146" i="13"/>
  <c r="H146" i="13"/>
  <c r="G146" i="13"/>
  <c r="F146" i="13"/>
  <c r="F147" i="13" s="1"/>
  <c r="V144" i="13"/>
  <c r="V69" i="13" s="1"/>
  <c r="I144" i="13"/>
  <c r="H144" i="13"/>
  <c r="G144" i="13"/>
  <c r="F144" i="13"/>
  <c r="V143" i="13"/>
  <c r="T143" i="13"/>
  <c r="L143" i="13"/>
  <c r="M143" i="13" s="1"/>
  <c r="E141" i="13"/>
  <c r="V140" i="13"/>
  <c r="S140" i="13"/>
  <c r="L140" i="13"/>
  <c r="M140" i="13" s="1"/>
  <c r="T139" i="13"/>
  <c r="L139" i="13"/>
  <c r="T138" i="13"/>
  <c r="L138" i="13"/>
  <c r="M138" i="13" s="1"/>
  <c r="V137" i="13"/>
  <c r="V142" i="13" s="1"/>
  <c r="V145" i="13" s="1"/>
  <c r="T135" i="13"/>
  <c r="L135" i="13"/>
  <c r="M135" i="13" s="1"/>
  <c r="T134" i="13"/>
  <c r="L134" i="13"/>
  <c r="M134" i="13" s="1"/>
  <c r="T133" i="13"/>
  <c r="L133" i="13"/>
  <c r="M133" i="13" s="1"/>
  <c r="S100" i="13"/>
  <c r="R100" i="13"/>
  <c r="R101" i="13" s="1"/>
  <c r="Q100" i="13"/>
  <c r="Q101" i="13" s="1"/>
  <c r="N100" i="13"/>
  <c r="N101" i="13" s="1"/>
  <c r="K100" i="13"/>
  <c r="K101" i="13" s="1"/>
  <c r="J100" i="13"/>
  <c r="I101" i="13"/>
  <c r="R99" i="13"/>
  <c r="Q99" i="13"/>
  <c r="N99" i="13"/>
  <c r="K99" i="13"/>
  <c r="H99" i="13"/>
  <c r="G99" i="13"/>
  <c r="V98" i="13"/>
  <c r="T98" i="13"/>
  <c r="L98" i="13"/>
  <c r="M98" i="13" s="1"/>
  <c r="E96" i="13"/>
  <c r="V95" i="13"/>
  <c r="T94" i="13"/>
  <c r="H101" i="13"/>
  <c r="T93" i="13"/>
  <c r="L93" i="13"/>
  <c r="M93" i="13" s="1"/>
  <c r="L92" i="13"/>
  <c r="L91" i="13" s="1"/>
  <c r="T90" i="13"/>
  <c r="T89" i="13"/>
  <c r="L89" i="13"/>
  <c r="M89" i="13" s="1"/>
  <c r="T88" i="13"/>
  <c r="L88" i="13"/>
  <c r="M88" i="13" s="1"/>
  <c r="S716" i="11"/>
  <c r="R716" i="11"/>
  <c r="Q716" i="11"/>
  <c r="O716" i="11"/>
  <c r="N716" i="11"/>
  <c r="K716" i="11"/>
  <c r="J716" i="11"/>
  <c r="J717" i="11" s="1"/>
  <c r="I716" i="11"/>
  <c r="H716" i="11"/>
  <c r="G716" i="11"/>
  <c r="F716" i="11"/>
  <c r="V715" i="11"/>
  <c r="V714" i="11"/>
  <c r="T714" i="11"/>
  <c r="L714" i="11"/>
  <c r="M714" i="11" s="1"/>
  <c r="S715" i="11"/>
  <c r="Q715" i="11"/>
  <c r="O715" i="11"/>
  <c r="E712" i="11"/>
  <c r="T711" i="11"/>
  <c r="L711" i="11"/>
  <c r="M711" i="11" s="1"/>
  <c r="T710" i="11"/>
  <c r="T709" i="11"/>
  <c r="L709" i="11"/>
  <c r="M709" i="11" s="1"/>
  <c r="E707" i="11"/>
  <c r="T706" i="11"/>
  <c r="L706" i="11"/>
  <c r="M706" i="11" s="1"/>
  <c r="T705" i="11"/>
  <c r="L705" i="11"/>
  <c r="M705" i="11" s="1"/>
  <c r="T704" i="11"/>
  <c r="L704" i="11"/>
  <c r="M704" i="11" s="1"/>
  <c r="S686" i="11"/>
  <c r="R686" i="11"/>
  <c r="Q686" i="11"/>
  <c r="O686" i="11"/>
  <c r="N686" i="11"/>
  <c r="K686" i="11"/>
  <c r="J686" i="11"/>
  <c r="I686" i="11"/>
  <c r="H686" i="11"/>
  <c r="G686" i="11"/>
  <c r="F686" i="11"/>
  <c r="V685" i="11"/>
  <c r="V684" i="11"/>
  <c r="T684" i="11"/>
  <c r="L684" i="11"/>
  <c r="M684" i="11" s="1"/>
  <c r="S683" i="11"/>
  <c r="R683" i="11"/>
  <c r="Q683" i="11"/>
  <c r="Q685" i="11" s="1"/>
  <c r="O683" i="11"/>
  <c r="N683" i="11"/>
  <c r="K683" i="11"/>
  <c r="K685" i="11" s="1"/>
  <c r="J683" i="11"/>
  <c r="I683" i="11"/>
  <c r="H683" i="11"/>
  <c r="G683" i="11"/>
  <c r="G685" i="11" s="1"/>
  <c r="F683" i="11"/>
  <c r="E682" i="11"/>
  <c r="V681" i="11"/>
  <c r="T681" i="11"/>
  <c r="L681" i="11"/>
  <c r="M681" i="11" s="1"/>
  <c r="T680" i="11"/>
  <c r="L680" i="11"/>
  <c r="M680" i="11" s="1"/>
  <c r="T679" i="11"/>
  <c r="L679" i="11"/>
  <c r="M679" i="11" s="1"/>
  <c r="V678" i="11"/>
  <c r="V683" i="11" s="1"/>
  <c r="S678" i="11"/>
  <c r="R678" i="11"/>
  <c r="Q678" i="11"/>
  <c r="O678" i="11"/>
  <c r="N678" i="11"/>
  <c r="K678" i="11"/>
  <c r="J678" i="11"/>
  <c r="I678" i="11"/>
  <c r="H678" i="11"/>
  <c r="G678" i="11"/>
  <c r="F678" i="11"/>
  <c r="T676" i="11"/>
  <c r="L676" i="11"/>
  <c r="M676" i="11" s="1"/>
  <c r="T675" i="11"/>
  <c r="L675" i="11"/>
  <c r="M675" i="11" s="1"/>
  <c r="T674" i="11"/>
  <c r="L674" i="11"/>
  <c r="M674" i="11" s="1"/>
  <c r="S656" i="11"/>
  <c r="R656" i="11"/>
  <c r="Q656" i="11"/>
  <c r="O656" i="11"/>
  <c r="N656" i="11"/>
  <c r="K656" i="11"/>
  <c r="J656" i="11"/>
  <c r="I656" i="11"/>
  <c r="H656" i="11"/>
  <c r="G656" i="11"/>
  <c r="F656" i="11"/>
  <c r="F641" i="11" s="1"/>
  <c r="V655" i="11"/>
  <c r="V654" i="11"/>
  <c r="T654" i="11"/>
  <c r="L654" i="11"/>
  <c r="M654" i="11" s="1"/>
  <c r="S653" i="11"/>
  <c r="R653" i="11"/>
  <c r="R655" i="11" s="1"/>
  <c r="Q653" i="11"/>
  <c r="Q655" i="11" s="1"/>
  <c r="O653" i="11"/>
  <c r="N653" i="11"/>
  <c r="N655" i="11" s="1"/>
  <c r="K653" i="11"/>
  <c r="J653" i="11"/>
  <c r="J638" i="11" s="1"/>
  <c r="I653" i="11"/>
  <c r="H653" i="11"/>
  <c r="G653" i="11"/>
  <c r="F653" i="11"/>
  <c r="E652" i="11"/>
  <c r="V651" i="11"/>
  <c r="T651" i="11"/>
  <c r="L651" i="11"/>
  <c r="M651" i="11" s="1"/>
  <c r="T650" i="11"/>
  <c r="L650" i="11"/>
  <c r="M650" i="11" s="1"/>
  <c r="T649" i="11"/>
  <c r="L649" i="11"/>
  <c r="M649" i="11" s="1"/>
  <c r="V648" i="11"/>
  <c r="S648" i="11"/>
  <c r="S631" i="11" s="1"/>
  <c r="S633" i="11" s="1"/>
  <c r="R648" i="11"/>
  <c r="R631" i="11" s="1"/>
  <c r="R633" i="11" s="1"/>
  <c r="Q648" i="11"/>
  <c r="Q631" i="11" s="1"/>
  <c r="Q633" i="11" s="1"/>
  <c r="O648" i="11"/>
  <c r="O631" i="11" s="1"/>
  <c r="O633" i="11" s="1"/>
  <c r="N648" i="11"/>
  <c r="N631" i="11" s="1"/>
  <c r="N633" i="11" s="1"/>
  <c r="T633" i="11" s="1"/>
  <c r="K648" i="11"/>
  <c r="K631" i="11" s="1"/>
  <c r="K633" i="11" s="1"/>
  <c r="J648" i="11"/>
  <c r="J631" i="11" s="1"/>
  <c r="J633" i="11" s="1"/>
  <c r="I648" i="11"/>
  <c r="I631" i="11" s="1"/>
  <c r="I633" i="11" s="1"/>
  <c r="H648" i="11"/>
  <c r="H631" i="11" s="1"/>
  <c r="H633" i="11" s="1"/>
  <c r="G648" i="11"/>
  <c r="G631" i="11" s="1"/>
  <c r="G633" i="11" s="1"/>
  <c r="F648" i="11"/>
  <c r="T646" i="11"/>
  <c r="L646" i="11"/>
  <c r="M646" i="11" s="1"/>
  <c r="T645" i="11"/>
  <c r="L645" i="11"/>
  <c r="M645" i="11" s="1"/>
  <c r="T644" i="11"/>
  <c r="L644" i="11"/>
  <c r="M644" i="11" s="1"/>
  <c r="S639" i="11"/>
  <c r="R639" i="11"/>
  <c r="Q639" i="11"/>
  <c r="O639" i="11"/>
  <c r="N639" i="11"/>
  <c r="K639" i="11"/>
  <c r="J639" i="11"/>
  <c r="I639" i="11"/>
  <c r="H639" i="11"/>
  <c r="G639" i="11"/>
  <c r="F639" i="11"/>
  <c r="E637" i="11"/>
  <c r="S636" i="11"/>
  <c r="R636" i="11"/>
  <c r="Q636" i="11"/>
  <c r="O636" i="11"/>
  <c r="N636" i="11"/>
  <c r="K636" i="11"/>
  <c r="J636" i="11"/>
  <c r="I636" i="11"/>
  <c r="H636" i="11"/>
  <c r="G636" i="11"/>
  <c r="F636" i="11"/>
  <c r="V635" i="11"/>
  <c r="V541" i="11" s="1"/>
  <c r="V524" i="11" s="1"/>
  <c r="S635" i="11"/>
  <c r="R635" i="11"/>
  <c r="Q635" i="11"/>
  <c r="O635" i="11"/>
  <c r="N635" i="11"/>
  <c r="K635" i="11"/>
  <c r="J635" i="11"/>
  <c r="I635" i="11"/>
  <c r="H635" i="11"/>
  <c r="G635" i="11"/>
  <c r="F635" i="11"/>
  <c r="F541" i="11" s="1"/>
  <c r="F524" i="11" s="1"/>
  <c r="V634" i="11"/>
  <c r="S634" i="11"/>
  <c r="R634" i="11"/>
  <c r="Q634" i="11"/>
  <c r="O634" i="11"/>
  <c r="N634" i="11"/>
  <c r="K634" i="11"/>
  <c r="J634" i="11"/>
  <c r="I634" i="11"/>
  <c r="H634" i="11"/>
  <c r="G634" i="11"/>
  <c r="F634" i="11"/>
  <c r="V629" i="11"/>
  <c r="S629" i="11"/>
  <c r="R629" i="11"/>
  <c r="Q629" i="11"/>
  <c r="O629" i="11"/>
  <c r="N629" i="11"/>
  <c r="K629" i="11"/>
  <c r="J629" i="11"/>
  <c r="I629" i="11"/>
  <c r="H629" i="11"/>
  <c r="G629" i="11"/>
  <c r="F629" i="11"/>
  <c r="V628" i="11"/>
  <c r="S628" i="11"/>
  <c r="R628" i="11"/>
  <c r="Q628" i="11"/>
  <c r="O628" i="11"/>
  <c r="N628" i="11"/>
  <c r="K628" i="11"/>
  <c r="J628" i="11"/>
  <c r="I628" i="11"/>
  <c r="H628" i="11"/>
  <c r="G628" i="11"/>
  <c r="F628" i="11"/>
  <c r="V627" i="11"/>
  <c r="S627" i="11"/>
  <c r="R627" i="11"/>
  <c r="Q627" i="11"/>
  <c r="O627" i="11"/>
  <c r="N627" i="11"/>
  <c r="K627" i="11"/>
  <c r="J627" i="11"/>
  <c r="I627" i="11"/>
  <c r="H627" i="11"/>
  <c r="G627" i="11"/>
  <c r="F627" i="11"/>
  <c r="S609" i="11"/>
  <c r="R609" i="11"/>
  <c r="R564" i="11" s="1"/>
  <c r="Q609" i="11"/>
  <c r="Q564" i="11" s="1"/>
  <c r="O609" i="11"/>
  <c r="N609" i="11"/>
  <c r="N564" i="11" s="1"/>
  <c r="K609" i="11"/>
  <c r="J609" i="11"/>
  <c r="I609" i="11"/>
  <c r="H609" i="11"/>
  <c r="G609" i="11"/>
  <c r="F609" i="11"/>
  <c r="F564" i="11" s="1"/>
  <c r="V608" i="11"/>
  <c r="V607" i="11"/>
  <c r="V562" i="11" s="1"/>
  <c r="T607" i="11"/>
  <c r="L607" i="11"/>
  <c r="M607" i="11" s="1"/>
  <c r="S606" i="11"/>
  <c r="R606" i="11"/>
  <c r="R561" i="11" s="1"/>
  <c r="Q606" i="11"/>
  <c r="O606" i="11"/>
  <c r="N606" i="11"/>
  <c r="N561" i="11" s="1"/>
  <c r="K606" i="11"/>
  <c r="K561" i="11" s="1"/>
  <c r="J606" i="11"/>
  <c r="J561" i="11" s="1"/>
  <c r="I606" i="11"/>
  <c r="I561" i="11" s="1"/>
  <c r="H606" i="11"/>
  <c r="G606" i="11"/>
  <c r="G561" i="11" s="1"/>
  <c r="F606" i="11"/>
  <c r="F561" i="11" s="1"/>
  <c r="E605" i="11"/>
  <c r="V604" i="11"/>
  <c r="T604" i="11"/>
  <c r="L604" i="11"/>
  <c r="M604" i="11" s="1"/>
  <c r="T603" i="11"/>
  <c r="L603" i="11"/>
  <c r="M603" i="11" s="1"/>
  <c r="T602" i="11"/>
  <c r="L602" i="11"/>
  <c r="M602" i="11" s="1"/>
  <c r="V601" i="11"/>
  <c r="S601" i="11"/>
  <c r="S554" i="11" s="1"/>
  <c r="R601" i="11"/>
  <c r="R554" i="11" s="1"/>
  <c r="R556" i="11" s="1"/>
  <c r="Q601" i="11"/>
  <c r="O601" i="11"/>
  <c r="O554" i="11" s="1"/>
  <c r="O556" i="11" s="1"/>
  <c r="N601" i="11"/>
  <c r="N554" i="11" s="1"/>
  <c r="N556" i="11" s="1"/>
  <c r="K601" i="11"/>
  <c r="K554" i="11" s="1"/>
  <c r="K556" i="11" s="1"/>
  <c r="J601" i="11"/>
  <c r="J554" i="11" s="1"/>
  <c r="J556" i="11" s="1"/>
  <c r="I601" i="11"/>
  <c r="I554" i="11" s="1"/>
  <c r="I556" i="11" s="1"/>
  <c r="H601" i="11"/>
  <c r="H554" i="11" s="1"/>
  <c r="H556" i="11" s="1"/>
  <c r="G601" i="11"/>
  <c r="G554" i="11" s="1"/>
  <c r="G556" i="11" s="1"/>
  <c r="F601" i="11"/>
  <c r="F554" i="11" s="1"/>
  <c r="F556" i="11" s="1"/>
  <c r="T599" i="11"/>
  <c r="L599" i="11"/>
  <c r="M599" i="11" s="1"/>
  <c r="T598" i="11"/>
  <c r="L598" i="11"/>
  <c r="M598" i="11" s="1"/>
  <c r="T597" i="11"/>
  <c r="L597" i="11"/>
  <c r="M597" i="11" s="1"/>
  <c r="S579" i="11"/>
  <c r="S564" i="11" s="1"/>
  <c r="R579" i="11"/>
  <c r="Q579" i="11"/>
  <c r="O579" i="11"/>
  <c r="N579" i="11"/>
  <c r="K579" i="11"/>
  <c r="K580" i="11" s="1"/>
  <c r="J579" i="11"/>
  <c r="J580" i="11" s="1"/>
  <c r="I579" i="11"/>
  <c r="I580" i="11" s="1"/>
  <c r="F579" i="11"/>
  <c r="F580" i="11" s="1"/>
  <c r="F581" i="11" s="1"/>
  <c r="V578" i="11"/>
  <c r="V563" i="11" s="1"/>
  <c r="H578" i="11"/>
  <c r="G578" i="11"/>
  <c r="F578" i="11"/>
  <c r="V577" i="11"/>
  <c r="T577" i="11"/>
  <c r="L577" i="11"/>
  <c r="M577" i="11" s="1"/>
  <c r="R578" i="11"/>
  <c r="N578" i="11"/>
  <c r="J578" i="11"/>
  <c r="E575" i="11"/>
  <c r="V574" i="11"/>
  <c r="L574" i="11"/>
  <c r="M574" i="11" s="1"/>
  <c r="T573" i="11"/>
  <c r="T572" i="11"/>
  <c r="L572" i="11"/>
  <c r="M572" i="11" s="1"/>
  <c r="V571" i="11"/>
  <c r="T569" i="11"/>
  <c r="L569" i="11"/>
  <c r="M569" i="11" s="1"/>
  <c r="T568" i="11"/>
  <c r="L568" i="11"/>
  <c r="M568" i="11" s="1"/>
  <c r="T567" i="11"/>
  <c r="L567" i="11"/>
  <c r="M567" i="11" s="1"/>
  <c r="E560" i="11"/>
  <c r="R559" i="11"/>
  <c r="Q559" i="11"/>
  <c r="O559" i="11"/>
  <c r="N559" i="11"/>
  <c r="K559" i="11"/>
  <c r="K542" i="11" s="1"/>
  <c r="K525" i="11" s="1"/>
  <c r="J559" i="11"/>
  <c r="I559" i="11"/>
  <c r="H559" i="11"/>
  <c r="G559" i="11"/>
  <c r="G542" i="11" s="1"/>
  <c r="G525" i="11" s="1"/>
  <c r="F559" i="11"/>
  <c r="F542" i="11" s="1"/>
  <c r="F525" i="11" s="1"/>
  <c r="V557" i="11"/>
  <c r="S557" i="11"/>
  <c r="R557" i="11"/>
  <c r="Q557" i="11"/>
  <c r="O557" i="11"/>
  <c r="N557" i="11"/>
  <c r="K557" i="11"/>
  <c r="J557" i="11"/>
  <c r="I557" i="11"/>
  <c r="H557" i="11"/>
  <c r="G557" i="11"/>
  <c r="F557" i="11"/>
  <c r="V552" i="11"/>
  <c r="V535" i="11" s="1"/>
  <c r="V518" i="11" s="1"/>
  <c r="S552" i="11"/>
  <c r="R552" i="11"/>
  <c r="Q552" i="11"/>
  <c r="O552" i="11"/>
  <c r="N552" i="11"/>
  <c r="K552" i="11"/>
  <c r="J552" i="11"/>
  <c r="J535" i="11" s="1"/>
  <c r="J518" i="11" s="1"/>
  <c r="I552" i="11"/>
  <c r="H552" i="11"/>
  <c r="G552" i="11"/>
  <c r="G535" i="11" s="1"/>
  <c r="G518" i="11" s="1"/>
  <c r="F552" i="11"/>
  <c r="V551" i="11"/>
  <c r="V534" i="11" s="1"/>
  <c r="V517" i="11" s="1"/>
  <c r="S551" i="11"/>
  <c r="R551" i="11"/>
  <c r="R534" i="11" s="1"/>
  <c r="R517" i="11" s="1"/>
  <c r="Q551" i="11"/>
  <c r="Q534" i="11" s="1"/>
  <c r="Q517" i="11" s="1"/>
  <c r="N551" i="11"/>
  <c r="K551" i="11"/>
  <c r="J551" i="11"/>
  <c r="I551" i="11"/>
  <c r="H551" i="11"/>
  <c r="G551" i="11"/>
  <c r="F551" i="11"/>
  <c r="V550" i="11"/>
  <c r="S550" i="11"/>
  <c r="R550" i="11"/>
  <c r="Q550" i="11"/>
  <c r="O550" i="11"/>
  <c r="N550" i="11"/>
  <c r="K550" i="11"/>
  <c r="J550" i="11"/>
  <c r="I550" i="11"/>
  <c r="H550" i="11"/>
  <c r="G550" i="11"/>
  <c r="F550" i="11"/>
  <c r="E544" i="11"/>
  <c r="E527" i="11" s="1"/>
  <c r="E542" i="11"/>
  <c r="AB515" i="11"/>
  <c r="S513" i="11"/>
  <c r="S514" i="11" s="1"/>
  <c r="R513" i="11"/>
  <c r="Q513" i="11"/>
  <c r="Q514" i="11" s="1"/>
  <c r="O513" i="11"/>
  <c r="N513" i="11"/>
  <c r="K513" i="11"/>
  <c r="K514" i="11" s="1"/>
  <c r="J513" i="11"/>
  <c r="I513" i="11"/>
  <c r="H513" i="11"/>
  <c r="H514" i="11" s="1"/>
  <c r="G513" i="11"/>
  <c r="F513" i="11"/>
  <c r="V512" i="11"/>
  <c r="V511" i="11"/>
  <c r="T511" i="11"/>
  <c r="L511" i="11"/>
  <c r="M511" i="11" s="1"/>
  <c r="R480" i="11"/>
  <c r="O512" i="11"/>
  <c r="N512" i="11"/>
  <c r="G480" i="11"/>
  <c r="E509" i="11"/>
  <c r="V508" i="11"/>
  <c r="T508" i="11"/>
  <c r="L508" i="11"/>
  <c r="M508" i="11" s="1"/>
  <c r="T507" i="11"/>
  <c r="L507" i="11"/>
  <c r="M507" i="11" s="1"/>
  <c r="T506" i="11"/>
  <c r="L506" i="11"/>
  <c r="M506" i="11" s="1"/>
  <c r="V505" i="11"/>
  <c r="V510" i="11" s="1"/>
  <c r="I475" i="11"/>
  <c r="H475" i="11"/>
  <c r="G475" i="11"/>
  <c r="T503" i="11"/>
  <c r="L503" i="11"/>
  <c r="M503" i="11" s="1"/>
  <c r="T502" i="11"/>
  <c r="L502" i="11"/>
  <c r="M502" i="11" s="1"/>
  <c r="T501" i="11"/>
  <c r="L501" i="11"/>
  <c r="M501" i="11" s="1"/>
  <c r="S498" i="11"/>
  <c r="R498" i="11"/>
  <c r="Q498" i="11"/>
  <c r="Q499" i="11" s="1"/>
  <c r="O498" i="11"/>
  <c r="F498" i="11"/>
  <c r="F499" i="11" s="1"/>
  <c r="F500" i="11" s="1"/>
  <c r="V497" i="11"/>
  <c r="H497" i="11"/>
  <c r="G497" i="11"/>
  <c r="F497" i="11"/>
  <c r="V496" i="11"/>
  <c r="T496" i="11"/>
  <c r="L496" i="11"/>
  <c r="M496" i="11" s="1"/>
  <c r="Q497" i="11"/>
  <c r="N497" i="11"/>
  <c r="J497" i="11"/>
  <c r="E494" i="11"/>
  <c r="V493" i="11"/>
  <c r="L493" i="11"/>
  <c r="M493" i="11" s="1"/>
  <c r="T492" i="11"/>
  <c r="K498" i="11"/>
  <c r="J498" i="11"/>
  <c r="J499" i="11" s="1"/>
  <c r="H498" i="11"/>
  <c r="G498" i="11"/>
  <c r="G499" i="11" s="1"/>
  <c r="T491" i="11"/>
  <c r="L491" i="11"/>
  <c r="M491" i="11" s="1"/>
  <c r="V490" i="11"/>
  <c r="V475" i="11" s="1"/>
  <c r="T488" i="11"/>
  <c r="L488" i="11"/>
  <c r="M488" i="11" s="1"/>
  <c r="S472" i="11"/>
  <c r="R472" i="11"/>
  <c r="L487" i="11"/>
  <c r="M487" i="11" s="1"/>
  <c r="T486" i="11"/>
  <c r="L486" i="11"/>
  <c r="M486" i="11" s="1"/>
  <c r="S481" i="11"/>
  <c r="R481" i="11"/>
  <c r="Q481" i="11"/>
  <c r="O481" i="11"/>
  <c r="N481" i="11"/>
  <c r="K481" i="11"/>
  <c r="J481" i="11"/>
  <c r="I481" i="11"/>
  <c r="H481" i="11"/>
  <c r="G481" i="11"/>
  <c r="F481" i="11"/>
  <c r="E480" i="11"/>
  <c r="R478" i="11"/>
  <c r="Q478" i="11"/>
  <c r="O478" i="11"/>
  <c r="N478" i="11"/>
  <c r="K478" i="11"/>
  <c r="J478" i="11"/>
  <c r="I478" i="11"/>
  <c r="H478" i="11"/>
  <c r="G478" i="11"/>
  <c r="F478" i="11"/>
  <c r="E478" i="11"/>
  <c r="V477" i="11"/>
  <c r="S477" i="11"/>
  <c r="R477" i="11"/>
  <c r="O477" i="11"/>
  <c r="N477" i="11"/>
  <c r="I483" i="11"/>
  <c r="F477" i="11"/>
  <c r="F483" i="11" s="1"/>
  <c r="V476" i="11"/>
  <c r="S476" i="11"/>
  <c r="R476" i="11"/>
  <c r="Q476" i="11"/>
  <c r="O476" i="11"/>
  <c r="N476" i="11"/>
  <c r="K476" i="11"/>
  <c r="J476" i="11"/>
  <c r="I476" i="11"/>
  <c r="H476" i="11"/>
  <c r="G476" i="11"/>
  <c r="F476" i="11"/>
  <c r="V473" i="11"/>
  <c r="S473" i="11"/>
  <c r="R473" i="11"/>
  <c r="Q473" i="11"/>
  <c r="O473" i="11"/>
  <c r="N473" i="11"/>
  <c r="K473" i="11"/>
  <c r="J473" i="11"/>
  <c r="I473" i="11"/>
  <c r="H473" i="11"/>
  <c r="G473" i="11"/>
  <c r="F473" i="11"/>
  <c r="V472" i="11"/>
  <c r="Q472" i="11"/>
  <c r="O472" i="11"/>
  <c r="N472" i="11"/>
  <c r="K472" i="11"/>
  <c r="J472" i="11"/>
  <c r="I472" i="11"/>
  <c r="H472" i="11"/>
  <c r="G472" i="11"/>
  <c r="F472" i="11"/>
  <c r="L472" i="11" s="1"/>
  <c r="M472" i="11" s="1"/>
  <c r="V471" i="11"/>
  <c r="S471" i="11"/>
  <c r="R471" i="11"/>
  <c r="Q471" i="11"/>
  <c r="O471" i="11"/>
  <c r="N471" i="11"/>
  <c r="K471" i="11"/>
  <c r="J471" i="11"/>
  <c r="I471" i="11"/>
  <c r="H471" i="11"/>
  <c r="G471" i="11"/>
  <c r="F471" i="11"/>
  <c r="S468" i="11"/>
  <c r="R468" i="11"/>
  <c r="Q468" i="11"/>
  <c r="O468" i="11"/>
  <c r="N468" i="11"/>
  <c r="K468" i="11"/>
  <c r="J468" i="11"/>
  <c r="I468" i="11"/>
  <c r="H468" i="11"/>
  <c r="G468" i="11"/>
  <c r="F468" i="11"/>
  <c r="V467" i="11"/>
  <c r="V466" i="11"/>
  <c r="T466" i="11"/>
  <c r="L466" i="11"/>
  <c r="M466" i="11" s="1"/>
  <c r="R465" i="11"/>
  <c r="Q465" i="11"/>
  <c r="O465" i="11"/>
  <c r="N465" i="11"/>
  <c r="K465" i="11"/>
  <c r="J465" i="11"/>
  <c r="I465" i="11"/>
  <c r="H465" i="11"/>
  <c r="G465" i="11"/>
  <c r="F465" i="11"/>
  <c r="E464" i="11"/>
  <c r="V463" i="11"/>
  <c r="S463" i="11"/>
  <c r="S418" i="11" s="1"/>
  <c r="S339" i="11" s="1"/>
  <c r="L463" i="11"/>
  <c r="M463" i="11" s="1"/>
  <c r="T462" i="11"/>
  <c r="L462" i="11"/>
  <c r="M462" i="11" s="1"/>
  <c r="T461" i="11"/>
  <c r="L461" i="11"/>
  <c r="M461" i="11" s="1"/>
  <c r="V460" i="11"/>
  <c r="V459" i="11" s="1"/>
  <c r="S460" i="11"/>
  <c r="R460" i="11"/>
  <c r="Q460" i="11"/>
  <c r="O460" i="11"/>
  <c r="N460" i="11"/>
  <c r="K460" i="11"/>
  <c r="J460" i="11"/>
  <c r="I460" i="11"/>
  <c r="H460" i="11"/>
  <c r="G460" i="11"/>
  <c r="F460" i="11"/>
  <c r="T458" i="11"/>
  <c r="L458" i="11"/>
  <c r="M458" i="11" s="1"/>
  <c r="T457" i="11"/>
  <c r="L457" i="11"/>
  <c r="M457" i="11" s="1"/>
  <c r="S438" i="11"/>
  <c r="R438" i="11"/>
  <c r="Q438" i="11"/>
  <c r="O438" i="11"/>
  <c r="N438" i="11"/>
  <c r="K438" i="11"/>
  <c r="J438" i="11"/>
  <c r="I438" i="11"/>
  <c r="H438" i="11"/>
  <c r="G438" i="11"/>
  <c r="F438" i="11"/>
  <c r="V437" i="11"/>
  <c r="V436" i="11"/>
  <c r="T436" i="11"/>
  <c r="L436" i="11"/>
  <c r="M436" i="11" s="1"/>
  <c r="S435" i="11"/>
  <c r="R435" i="11"/>
  <c r="Q435" i="11"/>
  <c r="O435" i="11"/>
  <c r="N435" i="11"/>
  <c r="K435" i="11"/>
  <c r="J435" i="11"/>
  <c r="I435" i="11"/>
  <c r="H435" i="11"/>
  <c r="G435" i="11"/>
  <c r="F435" i="11"/>
  <c r="F420" i="11" s="1"/>
  <c r="E434" i="11"/>
  <c r="V433" i="11"/>
  <c r="T433" i="11"/>
  <c r="L433" i="11"/>
  <c r="M433" i="11" s="1"/>
  <c r="T432" i="11"/>
  <c r="L432" i="11"/>
  <c r="M432" i="11" s="1"/>
  <c r="T431" i="11"/>
  <c r="L431" i="11"/>
  <c r="M431" i="11" s="1"/>
  <c r="V430" i="11"/>
  <c r="V413" i="11" s="1"/>
  <c r="S430" i="11"/>
  <c r="R430" i="11"/>
  <c r="Q430" i="11"/>
  <c r="O430" i="11"/>
  <c r="N430" i="11"/>
  <c r="K430" i="11"/>
  <c r="J430" i="11"/>
  <c r="I430" i="11"/>
  <c r="H430" i="11"/>
  <c r="G430" i="11"/>
  <c r="F430" i="11"/>
  <c r="F413" i="11" s="1"/>
  <c r="T428" i="11"/>
  <c r="L428" i="11"/>
  <c r="M428" i="11" s="1"/>
  <c r="T427" i="11"/>
  <c r="L427" i="11"/>
  <c r="M427" i="11" s="1"/>
  <c r="T426" i="11"/>
  <c r="L426" i="11"/>
  <c r="M426" i="11" s="1"/>
  <c r="S406" i="11"/>
  <c r="R406" i="11"/>
  <c r="Q406" i="11"/>
  <c r="O406" i="11"/>
  <c r="N406" i="11"/>
  <c r="K406" i="11"/>
  <c r="J406" i="11"/>
  <c r="I406" i="11"/>
  <c r="H406" i="11"/>
  <c r="G406" i="11"/>
  <c r="F406" i="11"/>
  <c r="V405" i="11"/>
  <c r="V404" i="11"/>
  <c r="T404" i="11"/>
  <c r="L404" i="11"/>
  <c r="M404" i="11" s="1"/>
  <c r="R403" i="11"/>
  <c r="R358" i="11" s="1"/>
  <c r="Q403" i="11"/>
  <c r="Q358" i="11" s="1"/>
  <c r="O403" i="11"/>
  <c r="O358" i="11" s="1"/>
  <c r="N403" i="11"/>
  <c r="N358" i="11" s="1"/>
  <c r="K403" i="11"/>
  <c r="K358" i="11" s="1"/>
  <c r="J403" i="11"/>
  <c r="J358" i="11" s="1"/>
  <c r="I403" i="11"/>
  <c r="I358" i="11" s="1"/>
  <c r="H403" i="11"/>
  <c r="H358" i="11" s="1"/>
  <c r="G403" i="11"/>
  <c r="G358" i="11" s="1"/>
  <c r="F403" i="11"/>
  <c r="F358" i="11" s="1"/>
  <c r="E402" i="11"/>
  <c r="V401" i="11"/>
  <c r="T401" i="11"/>
  <c r="L401" i="11"/>
  <c r="M401" i="11" s="1"/>
  <c r="T400" i="11"/>
  <c r="L400" i="11"/>
  <c r="M400" i="11" s="1"/>
  <c r="T399" i="11"/>
  <c r="L399" i="11"/>
  <c r="M399" i="11" s="1"/>
  <c r="V398" i="11"/>
  <c r="S398" i="11"/>
  <c r="S351" i="11" s="1"/>
  <c r="R398" i="11"/>
  <c r="R351" i="11" s="1"/>
  <c r="Q398" i="11"/>
  <c r="Q351" i="11" s="1"/>
  <c r="O398" i="11"/>
  <c r="O351" i="11" s="1"/>
  <c r="N398" i="11"/>
  <c r="N351" i="11" s="1"/>
  <c r="K398" i="11"/>
  <c r="K351" i="11" s="1"/>
  <c r="J398" i="11"/>
  <c r="J351" i="11" s="1"/>
  <c r="I398" i="11"/>
  <c r="I351" i="11" s="1"/>
  <c r="H398" i="11"/>
  <c r="H351" i="11" s="1"/>
  <c r="G398" i="11"/>
  <c r="G351" i="11" s="1"/>
  <c r="F398" i="11"/>
  <c r="F351" i="11" s="1"/>
  <c r="T396" i="11"/>
  <c r="L396" i="11"/>
  <c r="M396" i="11" s="1"/>
  <c r="T395" i="11"/>
  <c r="L395" i="11"/>
  <c r="M395" i="11" s="1"/>
  <c r="T394" i="11"/>
  <c r="L394" i="11"/>
  <c r="M394" i="11" s="1"/>
  <c r="S376" i="11"/>
  <c r="S377" i="11" s="1"/>
  <c r="R376" i="11"/>
  <c r="Q376" i="11"/>
  <c r="O376" i="11"/>
  <c r="K376" i="11"/>
  <c r="J376" i="11"/>
  <c r="J377" i="11" s="1"/>
  <c r="I376" i="11"/>
  <c r="V375" i="11"/>
  <c r="H375" i="11"/>
  <c r="G375" i="11"/>
  <c r="F375" i="11"/>
  <c r="V374" i="11"/>
  <c r="V359" i="11" s="1"/>
  <c r="T374" i="11"/>
  <c r="L374" i="11"/>
  <c r="M374" i="11" s="1"/>
  <c r="S375" i="11"/>
  <c r="O375" i="11"/>
  <c r="I375" i="11"/>
  <c r="E372" i="11"/>
  <c r="V371" i="11"/>
  <c r="T371" i="11"/>
  <c r="L371" i="11"/>
  <c r="M371" i="11" s="1"/>
  <c r="H376" i="11"/>
  <c r="H377" i="11" s="1"/>
  <c r="T369" i="11"/>
  <c r="L369" i="11"/>
  <c r="M369" i="11" s="1"/>
  <c r="V368" i="11"/>
  <c r="V351" i="11" s="1"/>
  <c r="E367" i="11"/>
  <c r="T366" i="11"/>
  <c r="T364" i="11"/>
  <c r="L364" i="11"/>
  <c r="M364" i="11" s="1"/>
  <c r="S312" i="11"/>
  <c r="R312" i="11"/>
  <c r="Q312" i="11"/>
  <c r="O312" i="11"/>
  <c r="N312" i="11"/>
  <c r="K312" i="11"/>
  <c r="J312" i="11"/>
  <c r="I312" i="11"/>
  <c r="H312" i="11"/>
  <c r="G312" i="11"/>
  <c r="F312" i="11"/>
  <c r="V311" i="11"/>
  <c r="V310" i="11"/>
  <c r="T310" i="11"/>
  <c r="L310" i="11"/>
  <c r="M310" i="11" s="1"/>
  <c r="R309" i="11"/>
  <c r="Q309" i="11"/>
  <c r="O309" i="11"/>
  <c r="N309" i="11"/>
  <c r="K309" i="11"/>
  <c r="K311" i="11" s="1"/>
  <c r="J309" i="11"/>
  <c r="I309" i="11"/>
  <c r="I311" i="11" s="1"/>
  <c r="H309" i="11"/>
  <c r="G309" i="11"/>
  <c r="F309" i="11"/>
  <c r="E308" i="11"/>
  <c r="V307" i="11"/>
  <c r="S307" i="11"/>
  <c r="T307" i="11" s="1"/>
  <c r="L307" i="11"/>
  <c r="M307" i="11" s="1"/>
  <c r="T306" i="11"/>
  <c r="L306" i="11"/>
  <c r="M306" i="11" s="1"/>
  <c r="T305" i="11"/>
  <c r="L305" i="11"/>
  <c r="M305" i="11" s="1"/>
  <c r="V304" i="11"/>
  <c r="V309" i="11" s="1"/>
  <c r="S304" i="11"/>
  <c r="R304" i="11"/>
  <c r="Q304" i="11"/>
  <c r="O304" i="11"/>
  <c r="N304" i="11"/>
  <c r="K304" i="11"/>
  <c r="J304" i="11"/>
  <c r="I304" i="11"/>
  <c r="H304" i="11"/>
  <c r="G304" i="11"/>
  <c r="F304" i="11"/>
  <c r="T302" i="11"/>
  <c r="L302" i="11"/>
  <c r="M302" i="11" s="1"/>
  <c r="T301" i="11"/>
  <c r="L301" i="11"/>
  <c r="M301" i="11" s="1"/>
  <c r="T300" i="11"/>
  <c r="L300" i="11"/>
  <c r="M300" i="11" s="1"/>
  <c r="S282" i="11"/>
  <c r="R282" i="11"/>
  <c r="Q282" i="11"/>
  <c r="O282" i="11"/>
  <c r="N282" i="11"/>
  <c r="K282" i="11"/>
  <c r="J282" i="11"/>
  <c r="I282" i="11"/>
  <c r="H282" i="11"/>
  <c r="G282" i="11"/>
  <c r="F282" i="11"/>
  <c r="V281" i="11"/>
  <c r="V280" i="11"/>
  <c r="T280" i="11"/>
  <c r="L280" i="11"/>
  <c r="M280" i="11" s="1"/>
  <c r="R279" i="11"/>
  <c r="Q279" i="11"/>
  <c r="Q281" i="11" s="1"/>
  <c r="O279" i="11"/>
  <c r="N279" i="11"/>
  <c r="K279" i="11"/>
  <c r="J279" i="11"/>
  <c r="I279" i="11"/>
  <c r="H279" i="11"/>
  <c r="G279" i="11"/>
  <c r="F279" i="11"/>
  <c r="E278" i="11"/>
  <c r="V277" i="11"/>
  <c r="S277" i="11"/>
  <c r="L277" i="11"/>
  <c r="M277" i="11" s="1"/>
  <c r="T276" i="11"/>
  <c r="L276" i="11"/>
  <c r="M276" i="11" s="1"/>
  <c r="T275" i="11"/>
  <c r="L275" i="11"/>
  <c r="M275" i="11" s="1"/>
  <c r="X274" i="11"/>
  <c r="V274" i="11"/>
  <c r="V257" i="11" s="1"/>
  <c r="S274" i="11"/>
  <c r="S257" i="11" s="1"/>
  <c r="R274" i="11"/>
  <c r="Q274" i="11"/>
  <c r="Q257" i="11" s="1"/>
  <c r="O274" i="11"/>
  <c r="O257" i="11" s="1"/>
  <c r="N274" i="11"/>
  <c r="K274" i="11"/>
  <c r="K257" i="11" s="1"/>
  <c r="J274" i="11"/>
  <c r="J257" i="11" s="1"/>
  <c r="I274" i="11"/>
  <c r="I257" i="11" s="1"/>
  <c r="H274" i="11"/>
  <c r="G274" i="11"/>
  <c r="G257" i="11" s="1"/>
  <c r="F274" i="11"/>
  <c r="F257" i="11" s="1"/>
  <c r="T272" i="11"/>
  <c r="L272" i="11"/>
  <c r="M272" i="11" s="1"/>
  <c r="T271" i="11"/>
  <c r="L271" i="11"/>
  <c r="M271" i="11" s="1"/>
  <c r="T270" i="11"/>
  <c r="L270" i="11"/>
  <c r="M270" i="11" s="1"/>
  <c r="S250" i="11"/>
  <c r="R250" i="11"/>
  <c r="Q250" i="11"/>
  <c r="O250" i="11"/>
  <c r="N250" i="11"/>
  <c r="K250" i="11"/>
  <c r="J250" i="11"/>
  <c r="I250" i="11"/>
  <c r="H250" i="11"/>
  <c r="G250" i="11"/>
  <c r="F250" i="11"/>
  <c r="V249" i="11"/>
  <c r="V248" i="11"/>
  <c r="T248" i="11"/>
  <c r="L248" i="11"/>
  <c r="M248" i="11" s="1"/>
  <c r="R247" i="11"/>
  <c r="Q247" i="11"/>
  <c r="O247" i="11"/>
  <c r="N247" i="11"/>
  <c r="N249" i="11" s="1"/>
  <c r="K247" i="11"/>
  <c r="J247" i="11"/>
  <c r="I247" i="11"/>
  <c r="H247" i="11"/>
  <c r="G247" i="11"/>
  <c r="F247" i="11"/>
  <c r="E246" i="11"/>
  <c r="V245" i="11"/>
  <c r="S245" i="11"/>
  <c r="T245" i="11" s="1"/>
  <c r="L245" i="11"/>
  <c r="M245" i="11" s="1"/>
  <c r="T244" i="11"/>
  <c r="L244" i="11"/>
  <c r="M244" i="11" s="1"/>
  <c r="T243" i="11"/>
  <c r="L243" i="11"/>
  <c r="M243" i="11" s="1"/>
  <c r="X242" i="11"/>
  <c r="V242" i="11"/>
  <c r="V241" i="11" s="1"/>
  <c r="S242" i="11"/>
  <c r="R242" i="11"/>
  <c r="Q242" i="11"/>
  <c r="O242" i="11"/>
  <c r="N242" i="11"/>
  <c r="K242" i="11"/>
  <c r="J242" i="11"/>
  <c r="I242" i="11"/>
  <c r="H242" i="11"/>
  <c r="G242" i="11"/>
  <c r="F242" i="11"/>
  <c r="T240" i="11"/>
  <c r="L240" i="11"/>
  <c r="M240" i="11" s="1"/>
  <c r="T239" i="11"/>
  <c r="L239" i="11"/>
  <c r="M239" i="11" s="1"/>
  <c r="T238" i="11"/>
  <c r="L238" i="11"/>
  <c r="M238" i="11" s="1"/>
  <c r="S235" i="11"/>
  <c r="R235" i="11"/>
  <c r="Q235" i="11"/>
  <c r="O235" i="11"/>
  <c r="N235" i="11"/>
  <c r="K235" i="11"/>
  <c r="J235" i="11"/>
  <c r="I235" i="11"/>
  <c r="H235" i="11"/>
  <c r="G235" i="11"/>
  <c r="F235" i="11"/>
  <c r="V234" i="11"/>
  <c r="V233" i="11"/>
  <c r="T233" i="11"/>
  <c r="L233" i="11"/>
  <c r="M233" i="11" s="1"/>
  <c r="R232" i="11"/>
  <c r="Q232" i="11"/>
  <c r="Q234" i="11" s="1"/>
  <c r="O232" i="11"/>
  <c r="O234" i="11" s="1"/>
  <c r="N232" i="11"/>
  <c r="K232" i="11"/>
  <c r="K234" i="11" s="1"/>
  <c r="J232" i="11"/>
  <c r="J234" i="11" s="1"/>
  <c r="I232" i="11"/>
  <c r="H232" i="11"/>
  <c r="G232" i="11"/>
  <c r="G234" i="11" s="1"/>
  <c r="F232" i="11"/>
  <c r="E231" i="11"/>
  <c r="V230" i="11"/>
  <c r="S230" i="11"/>
  <c r="T230" i="11" s="1"/>
  <c r="L230" i="11"/>
  <c r="M230" i="11" s="1"/>
  <c r="T229" i="11"/>
  <c r="L229" i="11"/>
  <c r="M229" i="11" s="1"/>
  <c r="T228" i="11"/>
  <c r="L228" i="11"/>
  <c r="M228" i="11" s="1"/>
  <c r="X227" i="11"/>
  <c r="V227" i="11"/>
  <c r="S227" i="11"/>
  <c r="R227" i="11"/>
  <c r="Q227" i="11"/>
  <c r="O227" i="11"/>
  <c r="N227" i="11"/>
  <c r="K227" i="11"/>
  <c r="J227" i="11"/>
  <c r="I227" i="11"/>
  <c r="H227" i="11"/>
  <c r="G227" i="11"/>
  <c r="F227" i="11"/>
  <c r="T225" i="11"/>
  <c r="L225" i="11"/>
  <c r="M225" i="11" s="1"/>
  <c r="T224" i="11"/>
  <c r="L224" i="11"/>
  <c r="M224" i="11" s="1"/>
  <c r="T223" i="11"/>
  <c r="L223" i="11"/>
  <c r="M223" i="11" s="1"/>
  <c r="S218" i="11"/>
  <c r="R218" i="11"/>
  <c r="Q218" i="11"/>
  <c r="O218" i="11"/>
  <c r="N218" i="11"/>
  <c r="K218" i="11"/>
  <c r="J218" i="11"/>
  <c r="I218" i="11"/>
  <c r="H218" i="11"/>
  <c r="G218" i="11"/>
  <c r="F218" i="11"/>
  <c r="E217" i="11"/>
  <c r="R215" i="11"/>
  <c r="Q215" i="11"/>
  <c r="O215" i="11"/>
  <c r="N215" i="11"/>
  <c r="K215" i="11"/>
  <c r="J215" i="11"/>
  <c r="I215" i="11"/>
  <c r="H215" i="11"/>
  <c r="G215" i="11"/>
  <c r="F215" i="11"/>
  <c r="E215" i="11"/>
  <c r="V214" i="11"/>
  <c r="S214" i="11"/>
  <c r="R214" i="11"/>
  <c r="Q214" i="11"/>
  <c r="O214" i="11"/>
  <c r="N214" i="11"/>
  <c r="K214" i="11"/>
  <c r="K220" i="11" s="1"/>
  <c r="J214" i="11"/>
  <c r="J220" i="11" s="1"/>
  <c r="I214" i="11"/>
  <c r="I220" i="11" s="1"/>
  <c r="H214" i="11"/>
  <c r="H220" i="11" s="1"/>
  <c r="G214" i="11"/>
  <c r="G220" i="11" s="1"/>
  <c r="F214" i="11"/>
  <c r="F220" i="11" s="1"/>
  <c r="V213" i="11"/>
  <c r="S213" i="11"/>
  <c r="R213" i="11"/>
  <c r="Q213" i="11"/>
  <c r="O213" i="11"/>
  <c r="N213" i="11"/>
  <c r="K213" i="11"/>
  <c r="J213" i="11"/>
  <c r="I213" i="11"/>
  <c r="H213" i="11"/>
  <c r="G213" i="11"/>
  <c r="F213" i="11"/>
  <c r="V210" i="11"/>
  <c r="S210" i="11"/>
  <c r="R210" i="11"/>
  <c r="Q210" i="11"/>
  <c r="O210" i="11"/>
  <c r="N210" i="11"/>
  <c r="K210" i="11"/>
  <c r="J210" i="11"/>
  <c r="I210" i="11"/>
  <c r="H210" i="11"/>
  <c r="G210" i="11"/>
  <c r="F210" i="11"/>
  <c r="V209" i="11"/>
  <c r="S209" i="11"/>
  <c r="R209" i="11"/>
  <c r="Q209" i="11"/>
  <c r="O209" i="11"/>
  <c r="N209" i="11"/>
  <c r="K209" i="11"/>
  <c r="J209" i="11"/>
  <c r="I209" i="11"/>
  <c r="H209" i="11"/>
  <c r="G209" i="11"/>
  <c r="F209" i="11"/>
  <c r="V208" i="11"/>
  <c r="S208" i="11"/>
  <c r="R208" i="11"/>
  <c r="Q208" i="11"/>
  <c r="O208" i="11"/>
  <c r="N208" i="11"/>
  <c r="K208" i="11"/>
  <c r="J208" i="11"/>
  <c r="I208" i="11"/>
  <c r="H208" i="11"/>
  <c r="G208" i="11"/>
  <c r="F208" i="11"/>
  <c r="S205" i="11"/>
  <c r="R205" i="11"/>
  <c r="Q205" i="11"/>
  <c r="O205" i="11"/>
  <c r="N205" i="11"/>
  <c r="K205" i="11"/>
  <c r="J205" i="11"/>
  <c r="I205" i="11"/>
  <c r="H205" i="11"/>
  <c r="G205" i="11"/>
  <c r="F205" i="11"/>
  <c r="V204" i="11"/>
  <c r="V203" i="11"/>
  <c r="T203" i="11"/>
  <c r="L203" i="11"/>
  <c r="M203" i="11" s="1"/>
  <c r="R202" i="11"/>
  <c r="R204" i="11" s="1"/>
  <c r="Q202" i="11"/>
  <c r="Q204" i="11" s="1"/>
  <c r="O202" i="11"/>
  <c r="N202" i="11"/>
  <c r="N204" i="11" s="1"/>
  <c r="K202" i="11"/>
  <c r="J202" i="11"/>
  <c r="I202" i="11"/>
  <c r="I204" i="11" s="1"/>
  <c r="H202" i="11"/>
  <c r="H204" i="11" s="1"/>
  <c r="G202" i="11"/>
  <c r="F202" i="11"/>
  <c r="E201" i="11"/>
  <c r="V200" i="11"/>
  <c r="S200" i="11"/>
  <c r="S202" i="11" s="1"/>
  <c r="L200" i="11"/>
  <c r="M200" i="11" s="1"/>
  <c r="T199" i="11"/>
  <c r="L199" i="11"/>
  <c r="M199" i="11" s="1"/>
  <c r="T198" i="11"/>
  <c r="L198" i="11"/>
  <c r="M198" i="11" s="1"/>
  <c r="X197" i="11"/>
  <c r="V197" i="11"/>
  <c r="V196" i="11" s="1"/>
  <c r="S197" i="11"/>
  <c r="R197" i="11"/>
  <c r="Q197" i="11"/>
  <c r="O197" i="11"/>
  <c r="N197" i="11"/>
  <c r="K197" i="11"/>
  <c r="J197" i="11"/>
  <c r="I197" i="11"/>
  <c r="H197" i="11"/>
  <c r="G197" i="11"/>
  <c r="F197" i="11"/>
  <c r="T195" i="11"/>
  <c r="L195" i="11"/>
  <c r="M195" i="11" s="1"/>
  <c r="T194" i="11"/>
  <c r="L194" i="11"/>
  <c r="M194" i="11" s="1"/>
  <c r="T193" i="11"/>
  <c r="L193" i="11"/>
  <c r="M193" i="11" s="1"/>
  <c r="S190" i="11"/>
  <c r="R190" i="11"/>
  <c r="Q190" i="11"/>
  <c r="O190" i="11"/>
  <c r="N190" i="11"/>
  <c r="K190" i="11"/>
  <c r="J190" i="11"/>
  <c r="I190" i="11"/>
  <c r="H190" i="11"/>
  <c r="G190" i="11"/>
  <c r="F190" i="11"/>
  <c r="V189" i="11"/>
  <c r="V188" i="11"/>
  <c r="T188" i="11"/>
  <c r="L188" i="11"/>
  <c r="M188" i="11" s="1"/>
  <c r="R187" i="11"/>
  <c r="Q187" i="11"/>
  <c r="O187" i="11"/>
  <c r="N187" i="11"/>
  <c r="N189" i="11" s="1"/>
  <c r="N174" i="11" s="1"/>
  <c r="K187" i="11"/>
  <c r="J187" i="11"/>
  <c r="I187" i="11"/>
  <c r="H187" i="11"/>
  <c r="G187" i="11"/>
  <c r="F187" i="11"/>
  <c r="E186" i="11"/>
  <c r="V185" i="11"/>
  <c r="S185" i="11"/>
  <c r="T185" i="11" s="1"/>
  <c r="L185" i="11"/>
  <c r="M185" i="11" s="1"/>
  <c r="T184" i="11"/>
  <c r="L184" i="11"/>
  <c r="M184" i="11" s="1"/>
  <c r="T183" i="11"/>
  <c r="L183" i="11"/>
  <c r="M183" i="11" s="1"/>
  <c r="V182" i="11"/>
  <c r="V187" i="11" s="1"/>
  <c r="V190" i="11" s="1"/>
  <c r="S182" i="11"/>
  <c r="R182" i="11"/>
  <c r="Q182" i="11"/>
  <c r="O182" i="11"/>
  <c r="N182" i="11"/>
  <c r="K182" i="11"/>
  <c r="J182" i="11"/>
  <c r="I182" i="11"/>
  <c r="H182" i="11"/>
  <c r="G182" i="11"/>
  <c r="F182" i="11"/>
  <c r="T180" i="11"/>
  <c r="L180" i="11"/>
  <c r="M180" i="11" s="1"/>
  <c r="T179" i="11"/>
  <c r="L179" i="11"/>
  <c r="M179" i="11" s="1"/>
  <c r="T178" i="11"/>
  <c r="L178" i="11"/>
  <c r="M178" i="11" s="1"/>
  <c r="S173" i="11"/>
  <c r="R173" i="11"/>
  <c r="Q173" i="11"/>
  <c r="O173" i="11"/>
  <c r="N173" i="11"/>
  <c r="K173" i="11"/>
  <c r="J173" i="11"/>
  <c r="I173" i="11"/>
  <c r="H173" i="11"/>
  <c r="G173" i="11"/>
  <c r="F173" i="11"/>
  <c r="E172" i="11"/>
  <c r="R170" i="11"/>
  <c r="Q170" i="11"/>
  <c r="O170" i="11"/>
  <c r="N170" i="11"/>
  <c r="K170" i="11"/>
  <c r="J170" i="11"/>
  <c r="I170" i="11"/>
  <c r="I31" i="11" s="1"/>
  <c r="H170" i="11"/>
  <c r="H31" i="11" s="1"/>
  <c r="G170" i="11"/>
  <c r="F170" i="11"/>
  <c r="L170" i="11" s="1"/>
  <c r="M170" i="11" s="1"/>
  <c r="E170" i="11"/>
  <c r="V169" i="11"/>
  <c r="S169" i="11"/>
  <c r="R169" i="11"/>
  <c r="Q169" i="11"/>
  <c r="O169" i="11"/>
  <c r="N169" i="11"/>
  <c r="K169" i="11"/>
  <c r="K175" i="11" s="1"/>
  <c r="J169" i="11"/>
  <c r="I169" i="11"/>
  <c r="H169" i="11"/>
  <c r="G169" i="11"/>
  <c r="L169" i="11" s="1"/>
  <c r="M169" i="11" s="1"/>
  <c r="F169" i="11"/>
  <c r="V168" i="11"/>
  <c r="S168" i="11"/>
  <c r="R168" i="11"/>
  <c r="Q168" i="11"/>
  <c r="O168" i="11"/>
  <c r="N168" i="11"/>
  <c r="K168" i="11"/>
  <c r="J168" i="11"/>
  <c r="I168" i="11"/>
  <c r="H168" i="11"/>
  <c r="G168" i="11"/>
  <c r="F168" i="11"/>
  <c r="X167" i="11"/>
  <c r="V165" i="11"/>
  <c r="S165" i="11"/>
  <c r="R165" i="11"/>
  <c r="Q165" i="11"/>
  <c r="O165" i="11"/>
  <c r="N165" i="11"/>
  <c r="K165" i="11"/>
  <c r="J165" i="11"/>
  <c r="I165" i="11"/>
  <c r="H165" i="11"/>
  <c r="G165" i="11"/>
  <c r="F165" i="11"/>
  <c r="V164" i="11"/>
  <c r="S164" i="11"/>
  <c r="R164" i="11"/>
  <c r="Q164" i="11"/>
  <c r="O164" i="11"/>
  <c r="N164" i="11"/>
  <c r="K164" i="11"/>
  <c r="J164" i="11"/>
  <c r="I164" i="11"/>
  <c r="H164" i="11"/>
  <c r="G164" i="11"/>
  <c r="F164" i="11"/>
  <c r="V163" i="11"/>
  <c r="S163" i="11"/>
  <c r="R163" i="11"/>
  <c r="Q163" i="11"/>
  <c r="O163" i="11"/>
  <c r="N163" i="11"/>
  <c r="K163" i="11"/>
  <c r="J163" i="11"/>
  <c r="I163" i="11"/>
  <c r="H163" i="11"/>
  <c r="G163" i="11"/>
  <c r="F163" i="11"/>
  <c r="S145" i="11"/>
  <c r="R145" i="11"/>
  <c r="Q145" i="11"/>
  <c r="O145" i="11"/>
  <c r="N145" i="11"/>
  <c r="K145" i="11"/>
  <c r="J145" i="11"/>
  <c r="I145" i="11"/>
  <c r="H145" i="11"/>
  <c r="G145" i="11"/>
  <c r="F145" i="11"/>
  <c r="V144" i="11"/>
  <c r="V143" i="11"/>
  <c r="T143" i="11"/>
  <c r="L143" i="11"/>
  <c r="M143" i="11" s="1"/>
  <c r="S142" i="11"/>
  <c r="R142" i="11"/>
  <c r="Q142" i="11"/>
  <c r="O142" i="11"/>
  <c r="N142" i="11"/>
  <c r="K142" i="11"/>
  <c r="J142" i="11"/>
  <c r="I142" i="11"/>
  <c r="H142" i="11"/>
  <c r="G142" i="11"/>
  <c r="F142" i="11"/>
  <c r="E141" i="11"/>
  <c r="V140" i="11"/>
  <c r="T140" i="11"/>
  <c r="L140" i="11"/>
  <c r="M140" i="11" s="1"/>
  <c r="T139" i="11"/>
  <c r="L139" i="11"/>
  <c r="M139" i="11" s="1"/>
  <c r="T138" i="11"/>
  <c r="L138" i="11"/>
  <c r="M138" i="11" s="1"/>
  <c r="V137" i="11"/>
  <c r="S137" i="11"/>
  <c r="R137" i="11"/>
  <c r="Q137" i="11"/>
  <c r="O137" i="11"/>
  <c r="N137" i="11"/>
  <c r="K137" i="11"/>
  <c r="J137" i="11"/>
  <c r="I137" i="11"/>
  <c r="H137" i="11"/>
  <c r="G137" i="11"/>
  <c r="F137" i="11"/>
  <c r="T135" i="11"/>
  <c r="L135" i="11"/>
  <c r="M135" i="11" s="1"/>
  <c r="T134" i="11"/>
  <c r="L134" i="11"/>
  <c r="M134" i="11" s="1"/>
  <c r="T133" i="11"/>
  <c r="L133" i="11"/>
  <c r="M133" i="11" s="1"/>
  <c r="S100" i="11"/>
  <c r="R100" i="11"/>
  <c r="R101" i="11" s="1"/>
  <c r="Q100" i="11"/>
  <c r="Q101" i="11" s="1"/>
  <c r="O100" i="11"/>
  <c r="O101" i="11" s="1"/>
  <c r="N100" i="11"/>
  <c r="N101" i="11" s="1"/>
  <c r="K100" i="11"/>
  <c r="K101" i="11" s="1"/>
  <c r="J100" i="11"/>
  <c r="J101" i="11" s="1"/>
  <c r="F100" i="11"/>
  <c r="F101" i="11" s="1"/>
  <c r="F102" i="11" s="1"/>
  <c r="R99" i="11"/>
  <c r="Q99" i="11"/>
  <c r="O99" i="11"/>
  <c r="N99" i="11"/>
  <c r="K99" i="11"/>
  <c r="J99" i="11"/>
  <c r="H99" i="11"/>
  <c r="G99" i="11"/>
  <c r="F99" i="11"/>
  <c r="V98" i="11"/>
  <c r="V68" i="11" s="1"/>
  <c r="T98" i="11"/>
  <c r="L98" i="11"/>
  <c r="M98" i="11" s="1"/>
  <c r="E96" i="11"/>
  <c r="V95" i="11"/>
  <c r="V65" i="11" s="1"/>
  <c r="L95" i="11"/>
  <c r="M95" i="11" s="1"/>
  <c r="T94" i="11"/>
  <c r="H100" i="11"/>
  <c r="H101" i="11" s="1"/>
  <c r="T93" i="11"/>
  <c r="L93" i="11"/>
  <c r="M93" i="11" s="1"/>
  <c r="E91" i="11"/>
  <c r="T90" i="11"/>
  <c r="L90" i="11"/>
  <c r="M90" i="11" s="1"/>
  <c r="T89" i="11"/>
  <c r="T88" i="11"/>
  <c r="Q508" i="23"/>
  <c r="E560" i="9"/>
  <c r="S559" i="9"/>
  <c r="R559" i="9"/>
  <c r="Q559" i="9"/>
  <c r="O559" i="9"/>
  <c r="N559" i="9"/>
  <c r="K559" i="9"/>
  <c r="J559" i="9"/>
  <c r="I559" i="9"/>
  <c r="H559" i="9"/>
  <c r="G559" i="9"/>
  <c r="F557" i="9"/>
  <c r="F523" i="9" s="1"/>
  <c r="L523" i="9" s="1"/>
  <c r="V552" i="9"/>
  <c r="V535" i="9" s="1"/>
  <c r="S552" i="9"/>
  <c r="R552" i="9"/>
  <c r="R535" i="9" s="1"/>
  <c r="R518" i="9" s="1"/>
  <c r="Q552" i="9"/>
  <c r="O552" i="9"/>
  <c r="N552" i="9"/>
  <c r="K552" i="9"/>
  <c r="K535" i="9" s="1"/>
  <c r="K518" i="9" s="1"/>
  <c r="J552" i="9"/>
  <c r="I552" i="9"/>
  <c r="H552" i="9"/>
  <c r="G552" i="9"/>
  <c r="F552" i="9"/>
  <c r="V551" i="9"/>
  <c r="S551" i="9"/>
  <c r="R551" i="9"/>
  <c r="Q551" i="9"/>
  <c r="O551" i="9"/>
  <c r="O534" i="9" s="1"/>
  <c r="O517" i="9" s="1"/>
  <c r="N551" i="9"/>
  <c r="K551" i="9"/>
  <c r="K534" i="9" s="1"/>
  <c r="K517" i="9" s="1"/>
  <c r="J551" i="9"/>
  <c r="I551" i="9"/>
  <c r="I534" i="9" s="1"/>
  <c r="H551" i="9"/>
  <c r="G551" i="9"/>
  <c r="G534" i="9" s="1"/>
  <c r="G517" i="9" s="1"/>
  <c r="F551" i="9"/>
  <c r="V550" i="9"/>
  <c r="V533" i="9" s="1"/>
  <c r="V516" i="9" s="1"/>
  <c r="S550" i="9"/>
  <c r="R550" i="9"/>
  <c r="R533" i="9" s="1"/>
  <c r="R516" i="9" s="1"/>
  <c r="Q550" i="9"/>
  <c r="O550" i="9"/>
  <c r="O533" i="9" s="1"/>
  <c r="O516" i="9" s="1"/>
  <c r="N550" i="9"/>
  <c r="K550" i="9"/>
  <c r="J550" i="9"/>
  <c r="I550" i="9"/>
  <c r="H550" i="9"/>
  <c r="G550" i="9"/>
  <c r="F550" i="9"/>
  <c r="E544" i="9"/>
  <c r="E527" i="9" s="1"/>
  <c r="E542" i="9"/>
  <c r="S534" i="9"/>
  <c r="S517" i="9" s="1"/>
  <c r="AB515" i="9"/>
  <c r="S513" i="9"/>
  <c r="R513" i="9"/>
  <c r="Q513" i="9"/>
  <c r="O513" i="9"/>
  <c r="N513" i="9"/>
  <c r="K513" i="9"/>
  <c r="J513" i="9"/>
  <c r="I513" i="9"/>
  <c r="F513" i="9"/>
  <c r="F514" i="9" s="1"/>
  <c r="F515" i="9" s="1"/>
  <c r="V512" i="9"/>
  <c r="H512" i="9"/>
  <c r="G512" i="9"/>
  <c r="F512" i="9"/>
  <c r="V511" i="9"/>
  <c r="T511" i="9"/>
  <c r="L511" i="9"/>
  <c r="M511" i="9" s="1"/>
  <c r="S512" i="9"/>
  <c r="R512" i="9"/>
  <c r="O512" i="9"/>
  <c r="N512" i="9"/>
  <c r="E509" i="9"/>
  <c r="V508" i="9"/>
  <c r="T508" i="9"/>
  <c r="T507" i="9"/>
  <c r="H513" i="9"/>
  <c r="H514" i="9" s="1"/>
  <c r="T506" i="9"/>
  <c r="L506" i="9"/>
  <c r="M506" i="9" s="1"/>
  <c r="V505" i="9"/>
  <c r="V504" i="9" s="1"/>
  <c r="E504" i="9"/>
  <c r="T503" i="9"/>
  <c r="L503" i="9"/>
  <c r="T502" i="9"/>
  <c r="L502" i="9"/>
  <c r="T501" i="9"/>
  <c r="L501" i="9"/>
  <c r="S498" i="9"/>
  <c r="R498" i="9"/>
  <c r="R483" i="9" s="1"/>
  <c r="Q498" i="9"/>
  <c r="O498" i="9"/>
  <c r="N498" i="9"/>
  <c r="N499" i="9" s="1"/>
  <c r="K498" i="9"/>
  <c r="J498" i="9"/>
  <c r="J499" i="9" s="1"/>
  <c r="I498" i="9"/>
  <c r="I499" i="9" s="1"/>
  <c r="H498" i="9"/>
  <c r="H499" i="9" s="1"/>
  <c r="G498" i="9"/>
  <c r="G499" i="9" s="1"/>
  <c r="F498" i="9"/>
  <c r="F499" i="9" s="1"/>
  <c r="F500" i="9" s="1"/>
  <c r="V497" i="9"/>
  <c r="H497" i="9"/>
  <c r="G497" i="9"/>
  <c r="F497" i="9"/>
  <c r="V496" i="9"/>
  <c r="T496" i="9"/>
  <c r="L496" i="9"/>
  <c r="M496" i="9" s="1"/>
  <c r="S497" i="9"/>
  <c r="E494" i="9"/>
  <c r="V493" i="9"/>
  <c r="V478" i="9" s="1"/>
  <c r="T493" i="9"/>
  <c r="L493" i="9"/>
  <c r="T492" i="9"/>
  <c r="L492" i="9"/>
  <c r="M492" i="9" s="1"/>
  <c r="T491" i="9"/>
  <c r="L491" i="9"/>
  <c r="M491" i="9" s="1"/>
  <c r="V490" i="9"/>
  <c r="V495" i="9" s="1"/>
  <c r="V498" i="9" s="1"/>
  <c r="I475" i="9"/>
  <c r="E489" i="9"/>
  <c r="T488" i="9"/>
  <c r="L488" i="9"/>
  <c r="M488" i="9" s="1"/>
  <c r="T487" i="9"/>
  <c r="L487" i="9"/>
  <c r="M487" i="9" s="1"/>
  <c r="T486" i="9"/>
  <c r="L486" i="9"/>
  <c r="M486" i="9" s="1"/>
  <c r="S481" i="9"/>
  <c r="R481" i="9"/>
  <c r="Q481" i="9"/>
  <c r="O481" i="9"/>
  <c r="N481" i="9"/>
  <c r="K481" i="9"/>
  <c r="J481" i="9"/>
  <c r="I481" i="9"/>
  <c r="H481" i="9"/>
  <c r="G481" i="9"/>
  <c r="F481" i="9"/>
  <c r="H480" i="9"/>
  <c r="G480" i="9"/>
  <c r="F480" i="9"/>
  <c r="E480" i="9"/>
  <c r="S478" i="9"/>
  <c r="R478" i="9"/>
  <c r="Q478" i="9"/>
  <c r="O478" i="9"/>
  <c r="N478" i="9"/>
  <c r="K478" i="9"/>
  <c r="J478" i="9"/>
  <c r="I478" i="9"/>
  <c r="H478" i="9"/>
  <c r="G478" i="9"/>
  <c r="F478" i="9"/>
  <c r="E478" i="9"/>
  <c r="V477" i="9"/>
  <c r="S477" i="9"/>
  <c r="R477" i="9"/>
  <c r="Q477" i="9"/>
  <c r="O477" i="9"/>
  <c r="N477" i="9"/>
  <c r="K477" i="9"/>
  <c r="J477" i="9"/>
  <c r="J483" i="9" s="1"/>
  <c r="I477" i="9"/>
  <c r="I483" i="9" s="1"/>
  <c r="F477" i="9"/>
  <c r="F483" i="9" s="1"/>
  <c r="V476" i="9"/>
  <c r="S476" i="9"/>
  <c r="R476" i="9"/>
  <c r="Q476" i="9"/>
  <c r="O476" i="9"/>
  <c r="N476" i="9"/>
  <c r="K476" i="9"/>
  <c r="J476" i="9"/>
  <c r="I476" i="9"/>
  <c r="H476" i="9"/>
  <c r="G476" i="9"/>
  <c r="F476" i="9"/>
  <c r="G475" i="9"/>
  <c r="F475" i="9"/>
  <c r="V473" i="9"/>
  <c r="S473" i="9"/>
  <c r="R473" i="9"/>
  <c r="Q473" i="9"/>
  <c r="O473" i="9"/>
  <c r="N473" i="9"/>
  <c r="K473" i="9"/>
  <c r="J473" i="9"/>
  <c r="I473" i="9"/>
  <c r="H473" i="9"/>
  <c r="G473" i="9"/>
  <c r="F473" i="9"/>
  <c r="V472" i="9"/>
  <c r="S472" i="9"/>
  <c r="R472" i="9"/>
  <c r="Q472" i="9"/>
  <c r="O472" i="9"/>
  <c r="N472" i="9"/>
  <c r="K472" i="9"/>
  <c r="J472" i="9"/>
  <c r="I472" i="9"/>
  <c r="H472" i="9"/>
  <c r="G472" i="9"/>
  <c r="F472" i="9"/>
  <c r="V471" i="9"/>
  <c r="S471" i="9"/>
  <c r="R471" i="9"/>
  <c r="Q471" i="9"/>
  <c r="O471" i="9"/>
  <c r="N471" i="9"/>
  <c r="K471" i="9"/>
  <c r="J471" i="9"/>
  <c r="I471" i="9"/>
  <c r="H471" i="9"/>
  <c r="G471" i="9"/>
  <c r="F471" i="9"/>
  <c r="S468" i="9"/>
  <c r="R468" i="9"/>
  <c r="Q468" i="9"/>
  <c r="O468" i="9"/>
  <c r="N468" i="9"/>
  <c r="K468" i="9"/>
  <c r="J468" i="9"/>
  <c r="I468" i="9"/>
  <c r="H468" i="9"/>
  <c r="G468" i="9"/>
  <c r="F468" i="9"/>
  <c r="V467" i="9"/>
  <c r="V466" i="9"/>
  <c r="T466" i="9"/>
  <c r="L466" i="9"/>
  <c r="M466" i="9" s="1"/>
  <c r="R465" i="9"/>
  <c r="Q465" i="9"/>
  <c r="Q469" i="9" s="1"/>
  <c r="O465" i="9"/>
  <c r="N465" i="9"/>
  <c r="N420" i="9" s="1"/>
  <c r="K465" i="9"/>
  <c r="K420" i="9" s="1"/>
  <c r="J465" i="9"/>
  <c r="I465" i="9"/>
  <c r="H465" i="9"/>
  <c r="H420" i="9" s="1"/>
  <c r="G465" i="9"/>
  <c r="G420" i="9" s="1"/>
  <c r="F465" i="9"/>
  <c r="F420" i="9" s="1"/>
  <c r="E464" i="9"/>
  <c r="V463" i="9"/>
  <c r="S463" i="9"/>
  <c r="S418" i="9" s="1"/>
  <c r="L463" i="9"/>
  <c r="M463" i="9" s="1"/>
  <c r="T462" i="9"/>
  <c r="L462" i="9"/>
  <c r="M462" i="9" s="1"/>
  <c r="T461" i="9"/>
  <c r="L461" i="9"/>
  <c r="M461" i="9" s="1"/>
  <c r="V460" i="9"/>
  <c r="V465" i="9" s="1"/>
  <c r="S460" i="9"/>
  <c r="S413" i="9" s="1"/>
  <c r="R460" i="9"/>
  <c r="R413" i="9" s="1"/>
  <c r="Q460" i="9"/>
  <c r="Q413" i="9" s="1"/>
  <c r="O460" i="9"/>
  <c r="O413" i="9" s="1"/>
  <c r="N460" i="9"/>
  <c r="N413" i="9" s="1"/>
  <c r="K460" i="9"/>
  <c r="K413" i="9" s="1"/>
  <c r="J460" i="9"/>
  <c r="J413" i="9" s="1"/>
  <c r="I460" i="9"/>
  <c r="I413" i="9" s="1"/>
  <c r="H460" i="9"/>
  <c r="H413" i="9" s="1"/>
  <c r="G460" i="9"/>
  <c r="G413" i="9" s="1"/>
  <c r="F460" i="9"/>
  <c r="F413" i="9" s="1"/>
  <c r="T458" i="9"/>
  <c r="L458" i="9"/>
  <c r="M458" i="9" s="1"/>
  <c r="T457" i="9"/>
  <c r="L457" i="9"/>
  <c r="M457" i="9" s="1"/>
  <c r="T456" i="9"/>
  <c r="L456" i="9"/>
  <c r="M456" i="9" s="1"/>
  <c r="S438" i="9"/>
  <c r="R438" i="9"/>
  <c r="R423" i="9" s="1"/>
  <c r="Q438" i="9"/>
  <c r="O438" i="9"/>
  <c r="O423" i="9" s="1"/>
  <c r="N438" i="9"/>
  <c r="N439" i="9" s="1"/>
  <c r="K438" i="9"/>
  <c r="K439" i="9" s="1"/>
  <c r="J438" i="9"/>
  <c r="I438" i="9"/>
  <c r="H438" i="9"/>
  <c r="H439" i="9" s="1"/>
  <c r="G438" i="9"/>
  <c r="G439" i="9" s="1"/>
  <c r="F438" i="9"/>
  <c r="F439" i="9" s="1"/>
  <c r="F440" i="9" s="1"/>
  <c r="V437" i="9"/>
  <c r="H437" i="9"/>
  <c r="G437" i="9"/>
  <c r="F437" i="9"/>
  <c r="V436" i="9"/>
  <c r="V421" i="9" s="1"/>
  <c r="W421" i="9" s="1"/>
  <c r="T436" i="9"/>
  <c r="L436" i="9"/>
  <c r="M436" i="9" s="1"/>
  <c r="N437" i="9"/>
  <c r="E434" i="9"/>
  <c r="V433" i="9"/>
  <c r="T433" i="9"/>
  <c r="L433" i="9"/>
  <c r="T432" i="9"/>
  <c r="L432" i="9"/>
  <c r="M432" i="9" s="1"/>
  <c r="T431" i="9"/>
  <c r="L431" i="9"/>
  <c r="M431" i="9" s="1"/>
  <c r="V430" i="9"/>
  <c r="V413" i="9" s="1"/>
  <c r="E429" i="9"/>
  <c r="T428" i="9"/>
  <c r="L428" i="9"/>
  <c r="M428" i="9" s="1"/>
  <c r="T427" i="9"/>
  <c r="L427" i="9"/>
  <c r="M427" i="9" s="1"/>
  <c r="T426" i="9"/>
  <c r="L426" i="9"/>
  <c r="M426" i="9" s="1"/>
  <c r="S406" i="9"/>
  <c r="R406" i="9"/>
  <c r="Q406" i="9"/>
  <c r="O406" i="9"/>
  <c r="N406" i="9"/>
  <c r="K406" i="9"/>
  <c r="J406" i="9"/>
  <c r="I406" i="9"/>
  <c r="H406" i="9"/>
  <c r="G406" i="9"/>
  <c r="F406" i="9"/>
  <c r="V405" i="9"/>
  <c r="V404" i="9"/>
  <c r="T404" i="9"/>
  <c r="L404" i="9"/>
  <c r="M404" i="9" s="1"/>
  <c r="R403" i="9"/>
  <c r="R358" i="9" s="1"/>
  <c r="R357" i="9" s="1"/>
  <c r="Q403" i="9"/>
  <c r="Q358" i="9" s="1"/>
  <c r="Q357" i="9" s="1"/>
  <c r="O403" i="9"/>
  <c r="O358" i="9" s="1"/>
  <c r="N403" i="9"/>
  <c r="N358" i="9" s="1"/>
  <c r="K403" i="9"/>
  <c r="K358" i="9" s="1"/>
  <c r="J403" i="9"/>
  <c r="J358" i="9" s="1"/>
  <c r="I403" i="9"/>
  <c r="I358" i="9" s="1"/>
  <c r="H403" i="9"/>
  <c r="H358" i="9" s="1"/>
  <c r="G403" i="9"/>
  <c r="G358" i="9" s="1"/>
  <c r="F403" i="9"/>
  <c r="F358" i="9" s="1"/>
  <c r="E402" i="9"/>
  <c r="V401" i="9"/>
  <c r="S403" i="9"/>
  <c r="S358" i="9" s="1"/>
  <c r="S357" i="9" s="1"/>
  <c r="L401" i="9"/>
  <c r="M401" i="9" s="1"/>
  <c r="T400" i="9"/>
  <c r="L400" i="9"/>
  <c r="M400" i="9" s="1"/>
  <c r="T399" i="9"/>
  <c r="L399" i="9"/>
  <c r="M399" i="9" s="1"/>
  <c r="V398" i="9"/>
  <c r="S398" i="9"/>
  <c r="S351" i="9" s="1"/>
  <c r="R398" i="9"/>
  <c r="Q398" i="9"/>
  <c r="Q351" i="9" s="1"/>
  <c r="O398" i="9"/>
  <c r="N398" i="9"/>
  <c r="N351" i="9" s="1"/>
  <c r="K398" i="9"/>
  <c r="K351" i="9" s="1"/>
  <c r="J398" i="9"/>
  <c r="J351" i="9" s="1"/>
  <c r="I398" i="9"/>
  <c r="I351" i="9" s="1"/>
  <c r="H398" i="9"/>
  <c r="H351" i="9" s="1"/>
  <c r="G398" i="9"/>
  <c r="G351" i="9" s="1"/>
  <c r="F398" i="9"/>
  <c r="F351" i="9" s="1"/>
  <c r="T396" i="9"/>
  <c r="L396" i="9"/>
  <c r="M396" i="9" s="1"/>
  <c r="T395" i="9"/>
  <c r="L395" i="9"/>
  <c r="M395" i="9" s="1"/>
  <c r="T394" i="9"/>
  <c r="L394" i="9"/>
  <c r="M394" i="9" s="1"/>
  <c r="S376" i="9"/>
  <c r="R376" i="9"/>
  <c r="R361" i="9" s="1"/>
  <c r="Q376" i="9"/>
  <c r="O376" i="9"/>
  <c r="O361" i="9" s="1"/>
  <c r="N376" i="9"/>
  <c r="K376" i="9"/>
  <c r="J376" i="9"/>
  <c r="I376" i="9"/>
  <c r="I377" i="9" s="1"/>
  <c r="H376" i="9"/>
  <c r="H377" i="9" s="1"/>
  <c r="G376" i="9"/>
  <c r="G377" i="9" s="1"/>
  <c r="F376" i="9"/>
  <c r="F377" i="9" s="1"/>
  <c r="F378" i="9" s="1"/>
  <c r="V375" i="9"/>
  <c r="V360" i="9" s="1"/>
  <c r="H375" i="9"/>
  <c r="G375" i="9"/>
  <c r="F375" i="9"/>
  <c r="V374" i="9"/>
  <c r="V359" i="9" s="1"/>
  <c r="W359" i="9" s="1"/>
  <c r="T374" i="9"/>
  <c r="L374" i="9"/>
  <c r="M374" i="9" s="1"/>
  <c r="J375" i="9"/>
  <c r="E372" i="9"/>
  <c r="V371" i="9"/>
  <c r="T371" i="9"/>
  <c r="L371" i="9"/>
  <c r="T370" i="9"/>
  <c r="L370" i="9"/>
  <c r="M370" i="9" s="1"/>
  <c r="T369" i="9"/>
  <c r="L369" i="9"/>
  <c r="M369" i="9" s="1"/>
  <c r="V368" i="9"/>
  <c r="E367" i="9"/>
  <c r="T366" i="9"/>
  <c r="M366" i="9"/>
  <c r="T365" i="9"/>
  <c r="L365" i="9"/>
  <c r="M365" i="9" s="1"/>
  <c r="T364" i="9"/>
  <c r="L364" i="9"/>
  <c r="M364" i="9" s="1"/>
  <c r="S250" i="9"/>
  <c r="R250" i="9"/>
  <c r="Q250" i="9"/>
  <c r="O250" i="9"/>
  <c r="N250" i="9"/>
  <c r="K250" i="9"/>
  <c r="J250" i="9"/>
  <c r="I250" i="9"/>
  <c r="H250" i="9"/>
  <c r="G250" i="9"/>
  <c r="F250" i="9"/>
  <c r="V249" i="9"/>
  <c r="V248" i="9"/>
  <c r="T248" i="9"/>
  <c r="L248" i="9"/>
  <c r="M248" i="9" s="1"/>
  <c r="R247" i="9"/>
  <c r="R249" i="9" s="1"/>
  <c r="Q247" i="9"/>
  <c r="Q249" i="9" s="1"/>
  <c r="O247" i="9"/>
  <c r="O249" i="9" s="1"/>
  <c r="N247" i="9"/>
  <c r="K247" i="9"/>
  <c r="K249" i="9" s="1"/>
  <c r="J247" i="9"/>
  <c r="I247" i="9"/>
  <c r="I249" i="9" s="1"/>
  <c r="H247" i="9"/>
  <c r="G247" i="9"/>
  <c r="G249" i="9" s="1"/>
  <c r="F247" i="9"/>
  <c r="F249" i="9" s="1"/>
  <c r="E246" i="9"/>
  <c r="V245" i="9"/>
  <c r="S245" i="9"/>
  <c r="S247" i="9" s="1"/>
  <c r="S249" i="9" s="1"/>
  <c r="L245" i="9"/>
  <c r="M245" i="9" s="1"/>
  <c r="T244" i="9"/>
  <c r="L244" i="9"/>
  <c r="M244" i="9" s="1"/>
  <c r="T243" i="9"/>
  <c r="L243" i="9"/>
  <c r="M243" i="9" s="1"/>
  <c r="X242" i="9"/>
  <c r="V242" i="9"/>
  <c r="V247" i="9" s="1"/>
  <c r="S242" i="9"/>
  <c r="R242" i="9"/>
  <c r="Q242" i="9"/>
  <c r="O242" i="9"/>
  <c r="N242" i="9"/>
  <c r="K242" i="9"/>
  <c r="J242" i="9"/>
  <c r="I242" i="9"/>
  <c r="H242" i="9"/>
  <c r="G242" i="9"/>
  <c r="F242" i="9"/>
  <c r="T240" i="9"/>
  <c r="L240" i="9"/>
  <c r="M240" i="9" s="1"/>
  <c r="T239" i="9"/>
  <c r="L239" i="9"/>
  <c r="M239" i="9" s="1"/>
  <c r="T238" i="9"/>
  <c r="L238" i="9"/>
  <c r="M238" i="9" s="1"/>
  <c r="S235" i="9"/>
  <c r="R235" i="9"/>
  <c r="Q235" i="9"/>
  <c r="O235" i="9"/>
  <c r="N235" i="9"/>
  <c r="K235" i="9"/>
  <c r="J235" i="9"/>
  <c r="I235" i="9"/>
  <c r="H235" i="9"/>
  <c r="G235" i="9"/>
  <c r="F235" i="9"/>
  <c r="V234" i="9"/>
  <c r="V233" i="9"/>
  <c r="T233" i="9"/>
  <c r="L233" i="9"/>
  <c r="M233" i="9" s="1"/>
  <c r="R232" i="9"/>
  <c r="Q232" i="9"/>
  <c r="Q234" i="9" s="1"/>
  <c r="O232" i="9"/>
  <c r="O234" i="9" s="1"/>
  <c r="N232" i="9"/>
  <c r="K232" i="9"/>
  <c r="K236" i="9" s="1"/>
  <c r="J232" i="9"/>
  <c r="J234" i="9" s="1"/>
  <c r="I232" i="9"/>
  <c r="I234" i="9" s="1"/>
  <c r="H232" i="9"/>
  <c r="G232" i="9"/>
  <c r="F232" i="9"/>
  <c r="F234" i="9" s="1"/>
  <c r="E231" i="9"/>
  <c r="V230" i="9"/>
  <c r="S230" i="9"/>
  <c r="L230" i="9"/>
  <c r="M230" i="9" s="1"/>
  <c r="T229" i="9"/>
  <c r="L229" i="9"/>
  <c r="M229" i="9" s="1"/>
  <c r="T228" i="9"/>
  <c r="L228" i="9"/>
  <c r="M228" i="9" s="1"/>
  <c r="X227" i="9"/>
  <c r="V227" i="9"/>
  <c r="V232" i="9" s="1"/>
  <c r="S227" i="9"/>
  <c r="R227" i="9"/>
  <c r="Q227" i="9"/>
  <c r="O227" i="9"/>
  <c r="N227" i="9"/>
  <c r="K227" i="9"/>
  <c r="J227" i="9"/>
  <c r="I227" i="9"/>
  <c r="H227" i="9"/>
  <c r="G227" i="9"/>
  <c r="F227" i="9"/>
  <c r="T225" i="9"/>
  <c r="L225" i="9"/>
  <c r="M225" i="9" s="1"/>
  <c r="T224" i="9"/>
  <c r="L224" i="9"/>
  <c r="M224" i="9" s="1"/>
  <c r="T223" i="9"/>
  <c r="L223" i="9"/>
  <c r="M223" i="9" s="1"/>
  <c r="S218" i="9"/>
  <c r="R218" i="9"/>
  <c r="Q218" i="9"/>
  <c r="O218" i="9"/>
  <c r="N218" i="9"/>
  <c r="K218" i="9"/>
  <c r="J218" i="9"/>
  <c r="I218" i="9"/>
  <c r="H218" i="9"/>
  <c r="G218" i="9"/>
  <c r="F218" i="9"/>
  <c r="N217" i="9"/>
  <c r="E217" i="9"/>
  <c r="R215" i="9"/>
  <c r="Q215" i="9"/>
  <c r="O215" i="9"/>
  <c r="N215" i="9"/>
  <c r="K215" i="9"/>
  <c r="J215" i="9"/>
  <c r="I215" i="9"/>
  <c r="H215" i="9"/>
  <c r="G215" i="9"/>
  <c r="F215" i="9"/>
  <c r="E215" i="9"/>
  <c r="V214" i="9"/>
  <c r="S214" i="9"/>
  <c r="R214" i="9"/>
  <c r="Q214" i="9"/>
  <c r="O214" i="9"/>
  <c r="N214" i="9"/>
  <c r="K214" i="9"/>
  <c r="K220" i="9" s="1"/>
  <c r="J214" i="9"/>
  <c r="J220" i="9" s="1"/>
  <c r="I214" i="9"/>
  <c r="I220" i="9" s="1"/>
  <c r="H214" i="9"/>
  <c r="H220" i="9" s="1"/>
  <c r="G214" i="9"/>
  <c r="F214" i="9"/>
  <c r="V213" i="9"/>
  <c r="S213" i="9"/>
  <c r="R213" i="9"/>
  <c r="Q213" i="9"/>
  <c r="O213" i="9"/>
  <c r="N213" i="9"/>
  <c r="K213" i="9"/>
  <c r="J213" i="9"/>
  <c r="I213" i="9"/>
  <c r="H213" i="9"/>
  <c r="G213" i="9"/>
  <c r="F213" i="9"/>
  <c r="V212" i="9"/>
  <c r="V210" i="9"/>
  <c r="S210" i="9"/>
  <c r="R210" i="9"/>
  <c r="Q210" i="9"/>
  <c r="O210" i="9"/>
  <c r="N210" i="9"/>
  <c r="K210" i="9"/>
  <c r="J210" i="9"/>
  <c r="I210" i="9"/>
  <c r="H210" i="9"/>
  <c r="G210" i="9"/>
  <c r="F210" i="9"/>
  <c r="V209" i="9"/>
  <c r="S209" i="9"/>
  <c r="R209" i="9"/>
  <c r="Q209" i="9"/>
  <c r="O209" i="9"/>
  <c r="N209" i="9"/>
  <c r="K209" i="9"/>
  <c r="J209" i="9"/>
  <c r="I209" i="9"/>
  <c r="H209" i="9"/>
  <c r="G209" i="9"/>
  <c r="F209" i="9"/>
  <c r="V208" i="9"/>
  <c r="S208" i="9"/>
  <c r="R208" i="9"/>
  <c r="Q208" i="9"/>
  <c r="O208" i="9"/>
  <c r="N208" i="9"/>
  <c r="K208" i="9"/>
  <c r="J208" i="9"/>
  <c r="I208" i="9"/>
  <c r="H208" i="9"/>
  <c r="G208" i="9"/>
  <c r="L208" i="9" s="1"/>
  <c r="M208" i="9" s="1"/>
  <c r="F208" i="9"/>
  <c r="S205" i="9"/>
  <c r="R205" i="9"/>
  <c r="Q205" i="9"/>
  <c r="O205" i="9"/>
  <c r="N205" i="9"/>
  <c r="K205" i="9"/>
  <c r="J205" i="9"/>
  <c r="I205" i="9"/>
  <c r="H205" i="9"/>
  <c r="G205" i="9"/>
  <c r="F205" i="9"/>
  <c r="V204" i="9"/>
  <c r="V203" i="9"/>
  <c r="T203" i="9"/>
  <c r="L203" i="9"/>
  <c r="M203" i="9" s="1"/>
  <c r="R202" i="9"/>
  <c r="R204" i="9" s="1"/>
  <c r="Q202" i="9"/>
  <c r="O202" i="9"/>
  <c r="O204" i="9" s="1"/>
  <c r="N202" i="9"/>
  <c r="N204" i="9" s="1"/>
  <c r="K202" i="9"/>
  <c r="J202" i="9"/>
  <c r="J206" i="9" s="1"/>
  <c r="I202" i="9"/>
  <c r="H202" i="9"/>
  <c r="H204" i="9" s="1"/>
  <c r="G202" i="9"/>
  <c r="F202" i="9"/>
  <c r="E201" i="9"/>
  <c r="V200" i="9"/>
  <c r="S200" i="9"/>
  <c r="L200" i="9"/>
  <c r="M200" i="9" s="1"/>
  <c r="T199" i="9"/>
  <c r="L199" i="9"/>
  <c r="M199" i="9" s="1"/>
  <c r="T198" i="9"/>
  <c r="L198" i="9"/>
  <c r="M198" i="9" s="1"/>
  <c r="X197" i="9"/>
  <c r="V197" i="9"/>
  <c r="V202" i="9" s="1"/>
  <c r="S197" i="9"/>
  <c r="R197" i="9"/>
  <c r="Q197" i="9"/>
  <c r="O197" i="9"/>
  <c r="N197" i="9"/>
  <c r="K197" i="9"/>
  <c r="J197" i="9"/>
  <c r="I197" i="9"/>
  <c r="H197" i="9"/>
  <c r="G197" i="9"/>
  <c r="F197" i="9"/>
  <c r="T195" i="9"/>
  <c r="L195" i="9"/>
  <c r="M195" i="9" s="1"/>
  <c r="T194" i="9"/>
  <c r="L194" i="9"/>
  <c r="M194" i="9" s="1"/>
  <c r="T193" i="9"/>
  <c r="L193" i="9"/>
  <c r="M193" i="9" s="1"/>
  <c r="S190" i="9"/>
  <c r="R190" i="9"/>
  <c r="Q190" i="9"/>
  <c r="O190" i="9"/>
  <c r="N190" i="9"/>
  <c r="K190" i="9"/>
  <c r="J190" i="9"/>
  <c r="I190" i="9"/>
  <c r="H190" i="9"/>
  <c r="G190" i="9"/>
  <c r="F190" i="9"/>
  <c r="V189" i="9"/>
  <c r="V188" i="9"/>
  <c r="V173" i="9" s="1"/>
  <c r="T188" i="9"/>
  <c r="L188" i="9"/>
  <c r="M188" i="9" s="1"/>
  <c r="R187" i="9"/>
  <c r="R189" i="9" s="1"/>
  <c r="Q187" i="9"/>
  <c r="O187" i="9"/>
  <c r="O189" i="9" s="1"/>
  <c r="N187" i="9"/>
  <c r="K187" i="9"/>
  <c r="J187" i="9"/>
  <c r="J189" i="9" s="1"/>
  <c r="I187" i="9"/>
  <c r="H187" i="9"/>
  <c r="G187" i="9"/>
  <c r="F187" i="9"/>
  <c r="E186" i="9"/>
  <c r="V185" i="9"/>
  <c r="S185" i="9"/>
  <c r="S170" i="9" s="1"/>
  <c r="L185" i="9"/>
  <c r="M185" i="9" s="1"/>
  <c r="T184" i="9"/>
  <c r="L184" i="9"/>
  <c r="M184" i="9" s="1"/>
  <c r="T183" i="9"/>
  <c r="L183" i="9"/>
  <c r="M183" i="9" s="1"/>
  <c r="V182" i="9"/>
  <c r="V187" i="9" s="1"/>
  <c r="S182" i="9"/>
  <c r="R182" i="9"/>
  <c r="Q182" i="9"/>
  <c r="O182" i="9"/>
  <c r="N182" i="9"/>
  <c r="K182" i="9"/>
  <c r="J182" i="9"/>
  <c r="I182" i="9"/>
  <c r="H182" i="9"/>
  <c r="G182" i="9"/>
  <c r="F182" i="9"/>
  <c r="T180" i="9"/>
  <c r="L180" i="9"/>
  <c r="M180" i="9" s="1"/>
  <c r="T179" i="9"/>
  <c r="L179" i="9"/>
  <c r="M179" i="9" s="1"/>
  <c r="T178" i="9"/>
  <c r="L178" i="9"/>
  <c r="M178" i="9" s="1"/>
  <c r="S173" i="9"/>
  <c r="R173" i="9"/>
  <c r="Q173" i="9"/>
  <c r="O173" i="9"/>
  <c r="N173" i="9"/>
  <c r="K173" i="9"/>
  <c r="J173" i="9"/>
  <c r="I173" i="9"/>
  <c r="H173" i="9"/>
  <c r="G173" i="9"/>
  <c r="F173" i="9"/>
  <c r="E172" i="9"/>
  <c r="R170" i="9"/>
  <c r="Q170" i="9"/>
  <c r="O170" i="9"/>
  <c r="N170" i="9"/>
  <c r="N48" i="9" s="1"/>
  <c r="K170" i="9"/>
  <c r="J170" i="9"/>
  <c r="J48" i="9" s="1"/>
  <c r="I170" i="9"/>
  <c r="H170" i="9"/>
  <c r="H48" i="9" s="1"/>
  <c r="G170" i="9"/>
  <c r="F170" i="9"/>
  <c r="F48" i="9" s="1"/>
  <c r="E170" i="9"/>
  <c r="V169" i="9"/>
  <c r="V30" i="9" s="1"/>
  <c r="V18" i="9" s="1"/>
  <c r="U2" i="9" s="1"/>
  <c r="S169" i="9"/>
  <c r="R169" i="9"/>
  <c r="Q169" i="9"/>
  <c r="O169" i="9"/>
  <c r="N169" i="9"/>
  <c r="K169" i="9"/>
  <c r="J169" i="9"/>
  <c r="I169" i="9"/>
  <c r="H169" i="9"/>
  <c r="G169" i="9"/>
  <c r="F169" i="9"/>
  <c r="V168" i="9"/>
  <c r="S168" i="9"/>
  <c r="R168" i="9"/>
  <c r="Q168" i="9"/>
  <c r="O168" i="9"/>
  <c r="N168" i="9"/>
  <c r="K168" i="9"/>
  <c r="J168" i="9"/>
  <c r="I168" i="9"/>
  <c r="H168" i="9"/>
  <c r="G168" i="9"/>
  <c r="F168" i="9"/>
  <c r="X167" i="9"/>
  <c r="V165" i="9"/>
  <c r="S165" i="9"/>
  <c r="R165" i="9"/>
  <c r="Q165" i="9"/>
  <c r="O165" i="9"/>
  <c r="N165" i="9"/>
  <c r="T165" i="9" s="1"/>
  <c r="K165" i="9"/>
  <c r="J165" i="9"/>
  <c r="J41" i="9" s="1"/>
  <c r="I165" i="9"/>
  <c r="H165" i="9"/>
  <c r="H41" i="9" s="1"/>
  <c r="G165" i="9"/>
  <c r="F165" i="9"/>
  <c r="F41" i="9" s="1"/>
  <c r="V164" i="9"/>
  <c r="S164" i="9"/>
  <c r="R164" i="9"/>
  <c r="Q164" i="9"/>
  <c r="O164" i="9"/>
  <c r="N164" i="9"/>
  <c r="K164" i="9"/>
  <c r="J164" i="9"/>
  <c r="I164" i="9"/>
  <c r="H164" i="9"/>
  <c r="G164" i="9"/>
  <c r="F164" i="9"/>
  <c r="V163" i="9"/>
  <c r="S163" i="9"/>
  <c r="R163" i="9"/>
  <c r="Q163" i="9"/>
  <c r="O163" i="9"/>
  <c r="N163" i="9"/>
  <c r="K163" i="9"/>
  <c r="J163" i="9"/>
  <c r="I163" i="9"/>
  <c r="H163" i="9"/>
  <c r="G163" i="9"/>
  <c r="F163" i="9"/>
  <c r="S145" i="9"/>
  <c r="R145" i="9"/>
  <c r="R146" i="9" s="1"/>
  <c r="Q145" i="9"/>
  <c r="O145" i="9"/>
  <c r="O146" i="9" s="1"/>
  <c r="N145" i="9"/>
  <c r="K145" i="9"/>
  <c r="J145" i="9"/>
  <c r="I145" i="9"/>
  <c r="I146" i="9" s="1"/>
  <c r="F145" i="9"/>
  <c r="F146" i="9" s="1"/>
  <c r="F147" i="9" s="1"/>
  <c r="V144" i="9"/>
  <c r="I144" i="9"/>
  <c r="H144" i="9"/>
  <c r="G144" i="9"/>
  <c r="F144" i="9"/>
  <c r="V143" i="9"/>
  <c r="T143" i="9"/>
  <c r="L143" i="9"/>
  <c r="M143" i="9" s="1"/>
  <c r="E141" i="9"/>
  <c r="V140" i="9"/>
  <c r="L140" i="9"/>
  <c r="M140" i="9" s="1"/>
  <c r="T139" i="9"/>
  <c r="H145" i="9"/>
  <c r="H146" i="9" s="1"/>
  <c r="T138" i="9"/>
  <c r="L138" i="9"/>
  <c r="M138" i="9" s="1"/>
  <c r="V137" i="9"/>
  <c r="T135" i="9"/>
  <c r="M135" i="9"/>
  <c r="T134" i="9"/>
  <c r="L134" i="9"/>
  <c r="M134" i="9" s="1"/>
  <c r="L133" i="9"/>
  <c r="M133" i="9" s="1"/>
  <c r="S100" i="9"/>
  <c r="R100" i="9"/>
  <c r="R101" i="9" s="1"/>
  <c r="Q100" i="9"/>
  <c r="Q101" i="9" s="1"/>
  <c r="O100" i="9"/>
  <c r="N100" i="9"/>
  <c r="N101" i="9" s="1"/>
  <c r="K100" i="9"/>
  <c r="K101" i="9" s="1"/>
  <c r="J100" i="9"/>
  <c r="J101" i="9" s="1"/>
  <c r="F100" i="9"/>
  <c r="F101" i="9" s="1"/>
  <c r="F102" i="9" s="1"/>
  <c r="V99" i="9"/>
  <c r="R99" i="9"/>
  <c r="Q99" i="9"/>
  <c r="O99" i="9"/>
  <c r="N99" i="9"/>
  <c r="K99" i="9"/>
  <c r="J99" i="9"/>
  <c r="I99" i="9"/>
  <c r="H99" i="9"/>
  <c r="G99" i="9"/>
  <c r="F99" i="9"/>
  <c r="V98" i="9"/>
  <c r="V68" i="9" s="1"/>
  <c r="T98" i="9"/>
  <c r="L98" i="9"/>
  <c r="M98" i="9" s="1"/>
  <c r="L97" i="9"/>
  <c r="E96" i="9"/>
  <c r="V95" i="9"/>
  <c r="V65" i="9" s="1"/>
  <c r="M95" i="9"/>
  <c r="T94" i="9"/>
  <c r="I100" i="9"/>
  <c r="I101" i="9" s="1"/>
  <c r="T93" i="9"/>
  <c r="L93" i="9"/>
  <c r="M93" i="9" s="1"/>
  <c r="V92" i="9"/>
  <c r="S686" i="8"/>
  <c r="R686" i="8"/>
  <c r="P686" i="8"/>
  <c r="O686" i="8"/>
  <c r="N686" i="8"/>
  <c r="K686" i="8"/>
  <c r="J686" i="8"/>
  <c r="I686" i="8"/>
  <c r="H686" i="8"/>
  <c r="G686" i="8"/>
  <c r="F686" i="8"/>
  <c r="V685" i="8"/>
  <c r="V684" i="8"/>
  <c r="T684" i="8"/>
  <c r="L684" i="8"/>
  <c r="M684" i="8" s="1"/>
  <c r="S683" i="8"/>
  <c r="R683" i="8"/>
  <c r="P683" i="8"/>
  <c r="O683" i="8"/>
  <c r="N683" i="8"/>
  <c r="K683" i="8"/>
  <c r="J683" i="8"/>
  <c r="I683" i="8"/>
  <c r="H683" i="8"/>
  <c r="G683" i="8"/>
  <c r="F683" i="8"/>
  <c r="E682" i="8"/>
  <c r="V681" i="8"/>
  <c r="T681" i="8"/>
  <c r="L681" i="8"/>
  <c r="M681" i="8" s="1"/>
  <c r="T680" i="8"/>
  <c r="L680" i="8"/>
  <c r="M680" i="8" s="1"/>
  <c r="T679" i="8"/>
  <c r="L679" i="8"/>
  <c r="M679" i="8" s="1"/>
  <c r="V678" i="8"/>
  <c r="V601" i="23" s="1"/>
  <c r="V600" i="23" s="1"/>
  <c r="S678" i="8"/>
  <c r="R678" i="8"/>
  <c r="R601" i="23" s="1"/>
  <c r="P678" i="8"/>
  <c r="O678" i="8"/>
  <c r="N678" i="8"/>
  <c r="K678" i="8"/>
  <c r="J678" i="8"/>
  <c r="I678" i="8"/>
  <c r="H678" i="8"/>
  <c r="G678" i="8"/>
  <c r="F678" i="8"/>
  <c r="T676" i="8"/>
  <c r="L676" i="8"/>
  <c r="M676" i="8" s="1"/>
  <c r="T675" i="8"/>
  <c r="L675" i="8"/>
  <c r="M675" i="8" s="1"/>
  <c r="T674" i="8"/>
  <c r="L674" i="8"/>
  <c r="M674" i="8" s="1"/>
  <c r="S656" i="8"/>
  <c r="R656" i="8"/>
  <c r="P656" i="8"/>
  <c r="P641" i="8" s="1"/>
  <c r="O656" i="8"/>
  <c r="N656" i="8"/>
  <c r="N641" i="8" s="1"/>
  <c r="K656" i="8"/>
  <c r="J656" i="8"/>
  <c r="I656" i="8"/>
  <c r="I657" i="8" s="1"/>
  <c r="F656" i="8"/>
  <c r="V655" i="8"/>
  <c r="V654" i="8"/>
  <c r="T654" i="8"/>
  <c r="L654" i="8"/>
  <c r="M654" i="8" s="1"/>
  <c r="P655" i="8"/>
  <c r="O655" i="8"/>
  <c r="K655" i="8"/>
  <c r="E652" i="8"/>
  <c r="V651" i="8"/>
  <c r="M651" i="8"/>
  <c r="T650" i="8"/>
  <c r="T649" i="8"/>
  <c r="L649" i="8"/>
  <c r="M649" i="8" s="1"/>
  <c r="V648" i="8"/>
  <c r="R631" i="8"/>
  <c r="S629" i="8"/>
  <c r="T645" i="8"/>
  <c r="L645" i="8"/>
  <c r="M645" i="8" s="1"/>
  <c r="T644" i="8"/>
  <c r="L644" i="8"/>
  <c r="M644" i="8" s="1"/>
  <c r="S639" i="8"/>
  <c r="R639" i="8"/>
  <c r="P639" i="8"/>
  <c r="O639" i="8"/>
  <c r="N639" i="8"/>
  <c r="K639" i="8"/>
  <c r="J639" i="8"/>
  <c r="I639" i="8"/>
  <c r="H639" i="8"/>
  <c r="G639" i="8"/>
  <c r="F639" i="8"/>
  <c r="I638" i="8"/>
  <c r="E637" i="8"/>
  <c r="R636" i="8"/>
  <c r="P636" i="8"/>
  <c r="O636" i="8"/>
  <c r="K636" i="8"/>
  <c r="J636" i="8"/>
  <c r="I636" i="8"/>
  <c r="H636" i="8"/>
  <c r="G636" i="8"/>
  <c r="F636" i="8"/>
  <c r="S635" i="8"/>
  <c r="S541" i="8" s="1"/>
  <c r="R635" i="8"/>
  <c r="R541" i="8" s="1"/>
  <c r="P635" i="8"/>
  <c r="P541" i="8" s="1"/>
  <c r="O635" i="8"/>
  <c r="O541" i="8" s="1"/>
  <c r="N635" i="8"/>
  <c r="N541" i="8" s="1"/>
  <c r="K635" i="8"/>
  <c r="J635" i="8"/>
  <c r="I635" i="8"/>
  <c r="G635" i="8"/>
  <c r="F635" i="8"/>
  <c r="F634" i="8"/>
  <c r="O631" i="8"/>
  <c r="V629" i="8"/>
  <c r="R629" i="8"/>
  <c r="O629" i="8"/>
  <c r="N629" i="8"/>
  <c r="J629" i="8"/>
  <c r="I629" i="8"/>
  <c r="H629" i="8"/>
  <c r="G629" i="8"/>
  <c r="F629" i="8"/>
  <c r="S628" i="8"/>
  <c r="R628" i="8"/>
  <c r="P628" i="8"/>
  <c r="O628" i="8"/>
  <c r="N628" i="8"/>
  <c r="K628" i="8"/>
  <c r="J628" i="8"/>
  <c r="I628" i="8"/>
  <c r="H628" i="8"/>
  <c r="G628" i="8"/>
  <c r="F628" i="8"/>
  <c r="S627" i="8"/>
  <c r="R627" i="8"/>
  <c r="P627" i="8"/>
  <c r="O627" i="8"/>
  <c r="N627" i="8"/>
  <c r="K627" i="8"/>
  <c r="J627" i="8"/>
  <c r="I627" i="8"/>
  <c r="H627" i="8"/>
  <c r="G627" i="8"/>
  <c r="F627" i="8"/>
  <c r="S609" i="8"/>
  <c r="R609" i="8"/>
  <c r="P609" i="8"/>
  <c r="O609" i="8"/>
  <c r="N609" i="8"/>
  <c r="K609" i="8"/>
  <c r="J609" i="8"/>
  <c r="I609" i="8"/>
  <c r="H609" i="8"/>
  <c r="G609" i="8"/>
  <c r="F609" i="8"/>
  <c r="V608" i="8"/>
  <c r="V607" i="8"/>
  <c r="V530" i="23" s="1"/>
  <c r="W530" i="23" s="1"/>
  <c r="T607" i="8"/>
  <c r="L607" i="8"/>
  <c r="M607" i="8" s="1"/>
  <c r="S606" i="8"/>
  <c r="R606" i="8"/>
  <c r="R529" i="23" s="1"/>
  <c r="P606" i="8"/>
  <c r="P529" i="23" s="1"/>
  <c r="O606" i="8"/>
  <c r="O529" i="23" s="1"/>
  <c r="N606" i="8"/>
  <c r="N529" i="23" s="1"/>
  <c r="K606" i="8"/>
  <c r="K529" i="23" s="1"/>
  <c r="J606" i="8"/>
  <c r="J529" i="23" s="1"/>
  <c r="I606" i="8"/>
  <c r="I529" i="23" s="1"/>
  <c r="H606" i="8"/>
  <c r="H529" i="23" s="1"/>
  <c r="G606" i="8"/>
  <c r="G529" i="23" s="1"/>
  <c r="F529" i="23"/>
  <c r="E605" i="8"/>
  <c r="V604" i="8"/>
  <c r="V527" i="23" s="1"/>
  <c r="T604" i="8"/>
  <c r="L604" i="8"/>
  <c r="M604" i="8" s="1"/>
  <c r="T603" i="8"/>
  <c r="L603" i="8"/>
  <c r="M603" i="8" s="1"/>
  <c r="T602" i="8"/>
  <c r="L602" i="8"/>
  <c r="M602" i="8" s="1"/>
  <c r="V601" i="8"/>
  <c r="S601" i="8"/>
  <c r="S524" i="23" s="1"/>
  <c r="R601" i="8"/>
  <c r="P601" i="8"/>
  <c r="P524" i="23" s="1"/>
  <c r="O601" i="8"/>
  <c r="O524" i="23" s="1"/>
  <c r="N601" i="8"/>
  <c r="N524" i="23" s="1"/>
  <c r="K601" i="8"/>
  <c r="K524" i="23" s="1"/>
  <c r="J601" i="8"/>
  <c r="J524" i="23" s="1"/>
  <c r="I601" i="8"/>
  <c r="I524" i="23" s="1"/>
  <c r="H601" i="8"/>
  <c r="H524" i="23" s="1"/>
  <c r="G601" i="8"/>
  <c r="F524" i="23"/>
  <c r="T599" i="8"/>
  <c r="L599" i="8"/>
  <c r="M599" i="8" s="1"/>
  <c r="T598" i="8"/>
  <c r="L598" i="8"/>
  <c r="M598" i="8" s="1"/>
  <c r="T597" i="8"/>
  <c r="L597" i="8"/>
  <c r="M597" i="8" s="1"/>
  <c r="S579" i="8"/>
  <c r="R579" i="8"/>
  <c r="P579" i="8"/>
  <c r="P564" i="8" s="1"/>
  <c r="O579" i="8"/>
  <c r="N579" i="8"/>
  <c r="K579" i="8"/>
  <c r="J579" i="8"/>
  <c r="I579" i="8"/>
  <c r="H579" i="8"/>
  <c r="G579" i="8"/>
  <c r="F579" i="8"/>
  <c r="V578" i="8"/>
  <c r="V577" i="8"/>
  <c r="T577" i="8"/>
  <c r="L577" i="8"/>
  <c r="M577" i="8" s="1"/>
  <c r="S576" i="8"/>
  <c r="R576" i="8"/>
  <c r="P576" i="8"/>
  <c r="O576" i="8"/>
  <c r="N576" i="8"/>
  <c r="K576" i="8"/>
  <c r="J576" i="8"/>
  <c r="I576" i="8"/>
  <c r="H576" i="8"/>
  <c r="G576" i="8"/>
  <c r="E575" i="8"/>
  <c r="V574" i="8"/>
  <c r="V497" i="23" s="1"/>
  <c r="T574" i="8"/>
  <c r="L574" i="8"/>
  <c r="M574" i="8" s="1"/>
  <c r="T573" i="8"/>
  <c r="L573" i="8"/>
  <c r="M573" i="8" s="1"/>
  <c r="T572" i="8"/>
  <c r="L572" i="8"/>
  <c r="M572" i="8" s="1"/>
  <c r="V571" i="8"/>
  <c r="V576" i="8" s="1"/>
  <c r="S571" i="8"/>
  <c r="R571" i="8"/>
  <c r="P571" i="8"/>
  <c r="O571" i="8"/>
  <c r="N571" i="8"/>
  <c r="K571" i="8"/>
  <c r="J571" i="8"/>
  <c r="I571" i="8"/>
  <c r="H571" i="8"/>
  <c r="G571" i="8"/>
  <c r="T569" i="8"/>
  <c r="L569" i="8"/>
  <c r="M569" i="8" s="1"/>
  <c r="T568" i="8"/>
  <c r="L568" i="8"/>
  <c r="M568" i="8" s="1"/>
  <c r="T567" i="8"/>
  <c r="L567" i="8"/>
  <c r="M567" i="8" s="1"/>
  <c r="P545" i="8"/>
  <c r="P528" i="8" s="1"/>
  <c r="J545" i="8"/>
  <c r="J528" i="8" s="1"/>
  <c r="E560" i="8"/>
  <c r="S559" i="8"/>
  <c r="R559" i="8"/>
  <c r="P559" i="8"/>
  <c r="O559" i="8"/>
  <c r="N559" i="8"/>
  <c r="K559" i="8"/>
  <c r="K542" i="8" s="1"/>
  <c r="J559" i="8"/>
  <c r="I559" i="8"/>
  <c r="H559" i="8"/>
  <c r="G559" i="8"/>
  <c r="G542" i="8" s="1"/>
  <c r="F559" i="8"/>
  <c r="K558" i="8"/>
  <c r="K541" i="8" s="1"/>
  <c r="J558" i="8"/>
  <c r="J541" i="8" s="1"/>
  <c r="I558" i="8"/>
  <c r="I541" i="8" s="1"/>
  <c r="H558" i="8"/>
  <c r="G558" i="8"/>
  <c r="F558" i="8"/>
  <c r="S523" i="8"/>
  <c r="P523" i="8"/>
  <c r="K557" i="8"/>
  <c r="K540" i="8" s="1"/>
  <c r="J557" i="8"/>
  <c r="I557" i="8"/>
  <c r="I540" i="8" s="1"/>
  <c r="H557" i="8"/>
  <c r="H540" i="8" s="1"/>
  <c r="G557" i="8"/>
  <c r="G540" i="8" s="1"/>
  <c r="F557" i="8"/>
  <c r="F540" i="8" s="1"/>
  <c r="F523" i="8" s="1"/>
  <c r="V552" i="8"/>
  <c r="S552" i="8"/>
  <c r="R552" i="8"/>
  <c r="P552" i="8"/>
  <c r="O552" i="8"/>
  <c r="N552" i="8"/>
  <c r="K552" i="8"/>
  <c r="J552" i="8"/>
  <c r="I552" i="8"/>
  <c r="H552" i="8"/>
  <c r="H535" i="8" s="1"/>
  <c r="H518" i="8" s="1"/>
  <c r="G552" i="8"/>
  <c r="L552" i="8" s="1"/>
  <c r="M552" i="8" s="1"/>
  <c r="F552" i="8"/>
  <c r="F535" i="8" s="1"/>
  <c r="F518" i="8" s="1"/>
  <c r="V551" i="8"/>
  <c r="V534" i="8" s="1"/>
  <c r="V517" i="8" s="1"/>
  <c r="S551" i="8"/>
  <c r="R551" i="8"/>
  <c r="P551" i="8"/>
  <c r="O551" i="8"/>
  <c r="N551" i="8"/>
  <c r="K551" i="8"/>
  <c r="J551" i="8"/>
  <c r="I551" i="8"/>
  <c r="H551" i="8"/>
  <c r="G551" i="8"/>
  <c r="F551" i="8"/>
  <c r="V550" i="8"/>
  <c r="V533" i="8" s="1"/>
  <c r="V516" i="8" s="1"/>
  <c r="S550" i="8"/>
  <c r="R550" i="8"/>
  <c r="P550" i="8"/>
  <c r="O550" i="8"/>
  <c r="N550" i="8"/>
  <c r="K550" i="8"/>
  <c r="J550" i="8"/>
  <c r="I550" i="8"/>
  <c r="H550" i="8"/>
  <c r="G550" i="8"/>
  <c r="F550" i="8"/>
  <c r="R545" i="8"/>
  <c r="R528" i="8" s="1"/>
  <c r="E544" i="8"/>
  <c r="E542" i="8"/>
  <c r="E525" i="8" s="1"/>
  <c r="AB515" i="8"/>
  <c r="S513" i="8"/>
  <c r="R513" i="8"/>
  <c r="P513" i="8"/>
  <c r="O513" i="8"/>
  <c r="N513" i="8"/>
  <c r="K513" i="8"/>
  <c r="J513" i="8"/>
  <c r="J514" i="8" s="1"/>
  <c r="I513" i="8"/>
  <c r="I514" i="8" s="1"/>
  <c r="H513" i="8"/>
  <c r="H514" i="8" s="1"/>
  <c r="G513" i="8"/>
  <c r="G514" i="8" s="1"/>
  <c r="F513" i="8"/>
  <c r="F514" i="8" s="1"/>
  <c r="F515" i="8" s="1"/>
  <c r="V512" i="8"/>
  <c r="V435" i="23" s="1"/>
  <c r="I512" i="8"/>
  <c r="H512" i="8"/>
  <c r="G512" i="8"/>
  <c r="F512" i="8"/>
  <c r="V511" i="8"/>
  <c r="T511" i="8"/>
  <c r="L511" i="8"/>
  <c r="M511" i="8" s="1"/>
  <c r="E509" i="8"/>
  <c r="V508" i="8"/>
  <c r="V431" i="23" s="1"/>
  <c r="L508" i="8"/>
  <c r="M508" i="8" s="1"/>
  <c r="T507" i="8"/>
  <c r="L507" i="8"/>
  <c r="T506" i="8"/>
  <c r="L506" i="8"/>
  <c r="M506" i="8" s="1"/>
  <c r="V505" i="8"/>
  <c r="E504" i="8"/>
  <c r="P473" i="8"/>
  <c r="L503" i="8"/>
  <c r="T502" i="8"/>
  <c r="L502" i="8"/>
  <c r="T501" i="8"/>
  <c r="L501" i="8"/>
  <c r="S498" i="8"/>
  <c r="R498" i="8"/>
  <c r="P498" i="8"/>
  <c r="O498" i="8"/>
  <c r="N498" i="8"/>
  <c r="K498" i="8"/>
  <c r="K499" i="8" s="1"/>
  <c r="J498" i="8"/>
  <c r="J499" i="8" s="1"/>
  <c r="I498" i="8"/>
  <c r="I499" i="8" s="1"/>
  <c r="F498" i="8"/>
  <c r="F499" i="8" s="1"/>
  <c r="F500" i="8" s="1"/>
  <c r="V497" i="8"/>
  <c r="V420" i="23" s="1"/>
  <c r="V405" i="23" s="1"/>
  <c r="I497" i="8"/>
  <c r="G497" i="8"/>
  <c r="F497" i="8"/>
  <c r="V496" i="8"/>
  <c r="V419" i="23" s="1"/>
  <c r="T496" i="8"/>
  <c r="L496" i="8"/>
  <c r="M496" i="8" s="1"/>
  <c r="O497" i="8"/>
  <c r="V493" i="8"/>
  <c r="V416" i="23" s="1"/>
  <c r="L493" i="8"/>
  <c r="M493" i="8" s="1"/>
  <c r="T492" i="8"/>
  <c r="H498" i="8"/>
  <c r="G498" i="8"/>
  <c r="G499" i="8" s="1"/>
  <c r="T491" i="8"/>
  <c r="L491" i="8"/>
  <c r="M491" i="8" s="1"/>
  <c r="V490" i="8"/>
  <c r="V413" i="23" s="1"/>
  <c r="V412" i="23" s="1"/>
  <c r="O475" i="8"/>
  <c r="T488" i="8"/>
  <c r="L488" i="8"/>
  <c r="M488" i="8" s="1"/>
  <c r="L487" i="8"/>
  <c r="M487" i="8" s="1"/>
  <c r="T486" i="8"/>
  <c r="L486" i="8"/>
  <c r="M486" i="8" s="1"/>
  <c r="S481" i="8"/>
  <c r="R481" i="8"/>
  <c r="P481" i="8"/>
  <c r="O481" i="8"/>
  <c r="N481" i="8"/>
  <c r="K481" i="8"/>
  <c r="J481" i="8"/>
  <c r="I481" i="8"/>
  <c r="H481" i="8"/>
  <c r="G481" i="8"/>
  <c r="F481" i="8"/>
  <c r="I480" i="8"/>
  <c r="G480" i="8"/>
  <c r="F480" i="8"/>
  <c r="E480" i="8"/>
  <c r="R478" i="8"/>
  <c r="P478" i="8"/>
  <c r="O478" i="8"/>
  <c r="N478" i="8"/>
  <c r="K478" i="8"/>
  <c r="J478" i="8"/>
  <c r="I478" i="8"/>
  <c r="H478" i="8"/>
  <c r="G478" i="8"/>
  <c r="F478" i="8"/>
  <c r="V477" i="8"/>
  <c r="S477" i="8"/>
  <c r="R477" i="8"/>
  <c r="P477" i="8"/>
  <c r="O477" i="8"/>
  <c r="N477" i="8"/>
  <c r="K477" i="8"/>
  <c r="J477" i="8"/>
  <c r="J483" i="8" s="1"/>
  <c r="I477" i="8"/>
  <c r="I483" i="8" s="1"/>
  <c r="H477" i="8"/>
  <c r="H483" i="8" s="1"/>
  <c r="F477" i="8"/>
  <c r="F483" i="8" s="1"/>
  <c r="V476" i="8"/>
  <c r="S476" i="8"/>
  <c r="R476" i="8"/>
  <c r="P476" i="8"/>
  <c r="O476" i="8"/>
  <c r="N476" i="8"/>
  <c r="K476" i="8"/>
  <c r="J476" i="8"/>
  <c r="I476" i="8"/>
  <c r="H476" i="8"/>
  <c r="G476" i="8"/>
  <c r="F476" i="8"/>
  <c r="G475" i="8"/>
  <c r="F475" i="8"/>
  <c r="V473" i="8"/>
  <c r="R473" i="8"/>
  <c r="O473" i="8"/>
  <c r="N473" i="8"/>
  <c r="K473" i="8"/>
  <c r="J473" i="8"/>
  <c r="I473" i="8"/>
  <c r="H473" i="8"/>
  <c r="G473" i="8"/>
  <c r="F473" i="8"/>
  <c r="F474" i="8" s="1"/>
  <c r="V472" i="8"/>
  <c r="V471" i="8"/>
  <c r="S468" i="8"/>
  <c r="R468" i="8"/>
  <c r="P468" i="8"/>
  <c r="O468" i="8"/>
  <c r="N468" i="8"/>
  <c r="K468" i="8"/>
  <c r="J468" i="8"/>
  <c r="I468" i="8"/>
  <c r="H468" i="8"/>
  <c r="G468" i="8"/>
  <c r="F468" i="8"/>
  <c r="V467" i="8"/>
  <c r="V466" i="8"/>
  <c r="T466" i="8"/>
  <c r="L466" i="8"/>
  <c r="M466" i="8" s="1"/>
  <c r="R465" i="8"/>
  <c r="R467" i="8" s="1"/>
  <c r="P465" i="8"/>
  <c r="O465" i="8"/>
  <c r="N465" i="8"/>
  <c r="K465" i="8"/>
  <c r="J465" i="8"/>
  <c r="I465" i="8"/>
  <c r="I467" i="8" s="1"/>
  <c r="H465" i="8"/>
  <c r="G465" i="8"/>
  <c r="L465" i="8" s="1"/>
  <c r="F465" i="8"/>
  <c r="E464" i="8"/>
  <c r="V463" i="8"/>
  <c r="S463" i="8"/>
  <c r="S418" i="8" s="1"/>
  <c r="L463" i="8"/>
  <c r="M463" i="8" s="1"/>
  <c r="T462" i="8"/>
  <c r="L462" i="8"/>
  <c r="M462" i="8" s="1"/>
  <c r="T461" i="8"/>
  <c r="L461" i="8"/>
  <c r="M461" i="8" s="1"/>
  <c r="V460" i="8"/>
  <c r="V465" i="8" s="1"/>
  <c r="S460" i="8"/>
  <c r="R460" i="8"/>
  <c r="P460" i="8"/>
  <c r="O460" i="8"/>
  <c r="N460" i="8"/>
  <c r="K460" i="8"/>
  <c r="J460" i="8"/>
  <c r="I460" i="8"/>
  <c r="H460" i="8"/>
  <c r="G460" i="8"/>
  <c r="F460" i="8"/>
  <c r="T458" i="8"/>
  <c r="L458" i="8"/>
  <c r="M458" i="8" s="1"/>
  <c r="T457" i="8"/>
  <c r="L457" i="8"/>
  <c r="M457" i="8" s="1"/>
  <c r="T456" i="8"/>
  <c r="L456" i="8"/>
  <c r="M456" i="8" s="1"/>
  <c r="S438" i="8"/>
  <c r="S423" i="8" s="1"/>
  <c r="R438" i="8"/>
  <c r="P438" i="8"/>
  <c r="P423" i="8" s="1"/>
  <c r="O438" i="8"/>
  <c r="N438" i="8"/>
  <c r="K438" i="8"/>
  <c r="J438" i="8"/>
  <c r="I438" i="8"/>
  <c r="H438" i="8"/>
  <c r="G438" i="8"/>
  <c r="F438" i="8"/>
  <c r="V436" i="8"/>
  <c r="V359" i="23" s="1"/>
  <c r="W359" i="23" s="1"/>
  <c r="T436" i="8"/>
  <c r="L436" i="8"/>
  <c r="M436" i="8" s="1"/>
  <c r="S435" i="8"/>
  <c r="S358" i="23" s="1"/>
  <c r="R435" i="8"/>
  <c r="R358" i="23" s="1"/>
  <c r="P435" i="8"/>
  <c r="O358" i="23"/>
  <c r="N358" i="23"/>
  <c r="K358" i="23"/>
  <c r="J358" i="23"/>
  <c r="E434" i="8"/>
  <c r="V433" i="8"/>
  <c r="T433" i="8"/>
  <c r="L433" i="8"/>
  <c r="M433" i="8" s="1"/>
  <c r="T432" i="8"/>
  <c r="L432" i="8"/>
  <c r="M432" i="8" s="1"/>
  <c r="T431" i="8"/>
  <c r="L431" i="8"/>
  <c r="M431" i="8" s="1"/>
  <c r="V430" i="8"/>
  <c r="S430" i="8"/>
  <c r="R430" i="8"/>
  <c r="R353" i="23" s="1"/>
  <c r="P430" i="8"/>
  <c r="P353" i="23" s="1"/>
  <c r="O353" i="23"/>
  <c r="N353" i="23"/>
  <c r="K353" i="23"/>
  <c r="J353" i="23"/>
  <c r="I353" i="23"/>
  <c r="H353" i="23"/>
  <c r="T428" i="8"/>
  <c r="L428" i="8"/>
  <c r="M428" i="8" s="1"/>
  <c r="T427" i="8"/>
  <c r="L427" i="8"/>
  <c r="M427" i="8" s="1"/>
  <c r="T426" i="8"/>
  <c r="L426" i="8"/>
  <c r="M426" i="8" s="1"/>
  <c r="S406" i="8"/>
  <c r="R406" i="8"/>
  <c r="P406" i="8"/>
  <c r="O406" i="8"/>
  <c r="N406" i="8"/>
  <c r="K406" i="8"/>
  <c r="J406" i="8"/>
  <c r="I406" i="8"/>
  <c r="H406" i="8"/>
  <c r="G406" i="8"/>
  <c r="F406" i="8"/>
  <c r="V405" i="8"/>
  <c r="V404" i="8"/>
  <c r="T404" i="8"/>
  <c r="L404" i="8"/>
  <c r="M404" i="8" s="1"/>
  <c r="R403" i="8"/>
  <c r="P403" i="8"/>
  <c r="P405" i="8" s="1"/>
  <c r="O403" i="8"/>
  <c r="N403" i="8"/>
  <c r="N405" i="8" s="1"/>
  <c r="K403" i="8"/>
  <c r="K358" i="8" s="1"/>
  <c r="J403" i="8"/>
  <c r="J358" i="8" s="1"/>
  <c r="I403" i="8"/>
  <c r="I358" i="8" s="1"/>
  <c r="H403" i="8"/>
  <c r="H358" i="8" s="1"/>
  <c r="G403" i="8"/>
  <c r="G358" i="8" s="1"/>
  <c r="F403" i="8"/>
  <c r="E402" i="8"/>
  <c r="V401" i="8"/>
  <c r="T401" i="8"/>
  <c r="L401" i="8"/>
  <c r="M401" i="8" s="1"/>
  <c r="T400" i="8"/>
  <c r="L400" i="8"/>
  <c r="M400" i="8" s="1"/>
  <c r="T399" i="8"/>
  <c r="L399" i="8"/>
  <c r="M399" i="8" s="1"/>
  <c r="V398" i="8"/>
  <c r="V403" i="8" s="1"/>
  <c r="V406" i="8" s="1"/>
  <c r="S398" i="8"/>
  <c r="R398" i="8"/>
  <c r="P398" i="8"/>
  <c r="O398" i="8"/>
  <c r="N398" i="8"/>
  <c r="K398" i="8"/>
  <c r="J398" i="8"/>
  <c r="J351" i="8" s="1"/>
  <c r="I398" i="8"/>
  <c r="I351" i="8" s="1"/>
  <c r="H398" i="8"/>
  <c r="H351" i="8" s="1"/>
  <c r="G398" i="8"/>
  <c r="G351" i="8" s="1"/>
  <c r="F398" i="8"/>
  <c r="F351" i="8" s="1"/>
  <c r="T396" i="8"/>
  <c r="L396" i="8"/>
  <c r="M396" i="8" s="1"/>
  <c r="T395" i="8"/>
  <c r="L395" i="8"/>
  <c r="M395" i="8" s="1"/>
  <c r="T394" i="8"/>
  <c r="L394" i="8"/>
  <c r="M394" i="8" s="1"/>
  <c r="S376" i="8"/>
  <c r="R376" i="8"/>
  <c r="P376" i="8"/>
  <c r="O376" i="8"/>
  <c r="N376" i="8"/>
  <c r="K376" i="8"/>
  <c r="J376" i="8"/>
  <c r="J377" i="8" s="1"/>
  <c r="I376" i="8"/>
  <c r="I377" i="8" s="1"/>
  <c r="F376" i="8"/>
  <c r="F377" i="8" s="1"/>
  <c r="F378" i="8" s="1"/>
  <c r="V375" i="8"/>
  <c r="I375" i="8"/>
  <c r="H375" i="8"/>
  <c r="V374" i="8"/>
  <c r="V297" i="23" s="1"/>
  <c r="W297" i="23" s="1"/>
  <c r="T374" i="8"/>
  <c r="L374" i="8"/>
  <c r="M374" i="8" s="1"/>
  <c r="R358" i="8"/>
  <c r="O358" i="8"/>
  <c r="N358" i="8"/>
  <c r="J375" i="8"/>
  <c r="E372" i="8"/>
  <c r="V371" i="8"/>
  <c r="V294" i="23" s="1"/>
  <c r="S356" i="8"/>
  <c r="L371" i="8"/>
  <c r="M371" i="8" s="1"/>
  <c r="T370" i="8"/>
  <c r="H355" i="8"/>
  <c r="G355" i="8"/>
  <c r="T369" i="8"/>
  <c r="L369" i="8"/>
  <c r="M369" i="8" s="1"/>
  <c r="V351" i="8"/>
  <c r="V353" i="8" s="1"/>
  <c r="V336" i="8" s="1"/>
  <c r="K351" i="8"/>
  <c r="E367" i="8"/>
  <c r="T366" i="8"/>
  <c r="L366" i="8"/>
  <c r="M366" i="8" s="1"/>
  <c r="T365" i="8"/>
  <c r="L365" i="8"/>
  <c r="M365" i="8" s="1"/>
  <c r="T364" i="8"/>
  <c r="L364" i="8"/>
  <c r="M364" i="8" s="1"/>
  <c r="X274" i="8"/>
  <c r="S250" i="8"/>
  <c r="R250" i="8"/>
  <c r="P250" i="8"/>
  <c r="O250" i="8"/>
  <c r="N250" i="8"/>
  <c r="K250" i="8"/>
  <c r="J250" i="8"/>
  <c r="I250" i="8"/>
  <c r="H250" i="8"/>
  <c r="G250" i="8"/>
  <c r="F250" i="8"/>
  <c r="V249" i="8"/>
  <c r="V248" i="8"/>
  <c r="T248" i="8"/>
  <c r="L248" i="8"/>
  <c r="M248" i="8" s="1"/>
  <c r="R247" i="8"/>
  <c r="P247" i="8"/>
  <c r="P249" i="8" s="1"/>
  <c r="O247" i="8"/>
  <c r="O249" i="8" s="1"/>
  <c r="N247" i="8"/>
  <c r="K247" i="8"/>
  <c r="J247" i="8"/>
  <c r="J249" i="8" s="1"/>
  <c r="I247" i="8"/>
  <c r="H247" i="8"/>
  <c r="H249" i="8" s="1"/>
  <c r="G247" i="8"/>
  <c r="F247" i="8"/>
  <c r="E246" i="8"/>
  <c r="V245" i="8"/>
  <c r="S245" i="8"/>
  <c r="T245" i="8" s="1"/>
  <c r="L245" i="8"/>
  <c r="M245" i="8" s="1"/>
  <c r="T244" i="8"/>
  <c r="L244" i="8"/>
  <c r="M244" i="8" s="1"/>
  <c r="T243" i="8"/>
  <c r="L243" i="8"/>
  <c r="M243" i="8" s="1"/>
  <c r="X242" i="8"/>
  <c r="V242" i="8"/>
  <c r="V247" i="8" s="1"/>
  <c r="V250" i="8" s="1"/>
  <c r="S242" i="8"/>
  <c r="R242" i="8"/>
  <c r="P242" i="8"/>
  <c r="O242" i="8"/>
  <c r="N242" i="8"/>
  <c r="K242" i="8"/>
  <c r="J242" i="8"/>
  <c r="I242" i="8"/>
  <c r="H242" i="8"/>
  <c r="G242" i="8"/>
  <c r="F242" i="8"/>
  <c r="T240" i="8"/>
  <c r="U240" i="8" s="1"/>
  <c r="L240" i="8"/>
  <c r="M240" i="8" s="1"/>
  <c r="T239" i="8"/>
  <c r="L239" i="8"/>
  <c r="M239" i="8" s="1"/>
  <c r="T238" i="8"/>
  <c r="L238" i="8"/>
  <c r="M238" i="8" s="1"/>
  <c r="S235" i="8"/>
  <c r="R235" i="8"/>
  <c r="P235" i="8"/>
  <c r="O235" i="8"/>
  <c r="N235" i="8"/>
  <c r="K235" i="8"/>
  <c r="J235" i="8"/>
  <c r="I235" i="8"/>
  <c r="H235" i="8"/>
  <c r="G235" i="8"/>
  <c r="F235" i="8"/>
  <c r="V234" i="8"/>
  <c r="V233" i="8"/>
  <c r="T233" i="8"/>
  <c r="L233" i="8"/>
  <c r="M233" i="8" s="1"/>
  <c r="R232" i="8"/>
  <c r="R234" i="8" s="1"/>
  <c r="P232" i="8"/>
  <c r="O232" i="8"/>
  <c r="O234" i="8" s="1"/>
  <c r="N232" i="8"/>
  <c r="N234" i="8" s="1"/>
  <c r="K232" i="8"/>
  <c r="J232" i="8"/>
  <c r="J217" i="8" s="1"/>
  <c r="I232" i="8"/>
  <c r="H232" i="8"/>
  <c r="G232" i="8"/>
  <c r="F232" i="8"/>
  <c r="E231" i="8"/>
  <c r="V230" i="8"/>
  <c r="S230" i="8"/>
  <c r="L230" i="8"/>
  <c r="M230" i="8" s="1"/>
  <c r="T229" i="8"/>
  <c r="L229" i="8"/>
  <c r="M229" i="8" s="1"/>
  <c r="T228" i="8"/>
  <c r="L228" i="8"/>
  <c r="M228" i="8" s="1"/>
  <c r="X227" i="8"/>
  <c r="V227" i="8"/>
  <c r="V232" i="8" s="1"/>
  <c r="S227" i="8"/>
  <c r="R227" i="8"/>
  <c r="R212" i="8" s="1"/>
  <c r="P227" i="8"/>
  <c r="O227" i="8"/>
  <c r="N227" i="8"/>
  <c r="N212" i="8" s="1"/>
  <c r="K227" i="8"/>
  <c r="J227" i="8"/>
  <c r="I227" i="8"/>
  <c r="H227" i="8"/>
  <c r="G227" i="8"/>
  <c r="F227" i="8"/>
  <c r="T225" i="8"/>
  <c r="L225" i="8"/>
  <c r="M225" i="8" s="1"/>
  <c r="T224" i="8"/>
  <c r="L224" i="8"/>
  <c r="M224" i="8" s="1"/>
  <c r="T223" i="8"/>
  <c r="L223" i="8"/>
  <c r="M223" i="8" s="1"/>
  <c r="S218" i="8"/>
  <c r="R218" i="8"/>
  <c r="P218" i="8"/>
  <c r="O218" i="8"/>
  <c r="N218" i="8"/>
  <c r="K218" i="8"/>
  <c r="J218" i="8"/>
  <c r="I218" i="8"/>
  <c r="H218" i="8"/>
  <c r="G218" i="8"/>
  <c r="F218" i="8"/>
  <c r="E217" i="8"/>
  <c r="R215" i="8"/>
  <c r="P215" i="8"/>
  <c r="O215" i="8"/>
  <c r="N215" i="8"/>
  <c r="K215" i="8"/>
  <c r="K31" i="8" s="1"/>
  <c r="J215" i="8"/>
  <c r="J31" i="8" s="1"/>
  <c r="I215" i="8"/>
  <c r="I31" i="8" s="1"/>
  <c r="H215" i="8"/>
  <c r="H31" i="8" s="1"/>
  <c r="G215" i="8"/>
  <c r="G31" i="8" s="1"/>
  <c r="F215" i="8"/>
  <c r="F31" i="8" s="1"/>
  <c r="E215" i="8"/>
  <c r="V214" i="8"/>
  <c r="S214" i="8"/>
  <c r="R214" i="8"/>
  <c r="P214" i="8"/>
  <c r="O214" i="8"/>
  <c r="N214" i="8"/>
  <c r="K214" i="8"/>
  <c r="J214" i="8"/>
  <c r="I214" i="8"/>
  <c r="H214" i="8"/>
  <c r="G214" i="8"/>
  <c r="F214" i="8"/>
  <c r="V213" i="8"/>
  <c r="S213" i="8"/>
  <c r="R213" i="8"/>
  <c r="P213" i="8"/>
  <c r="O213" i="8"/>
  <c r="N213" i="8"/>
  <c r="K213" i="8"/>
  <c r="J213" i="8"/>
  <c r="I213" i="8"/>
  <c r="H213" i="8"/>
  <c r="G213" i="8"/>
  <c r="F213" i="8"/>
  <c r="V210" i="8"/>
  <c r="S210" i="8"/>
  <c r="R210" i="8"/>
  <c r="P210" i="8"/>
  <c r="O210" i="8"/>
  <c r="N210" i="8"/>
  <c r="K210" i="8"/>
  <c r="J210" i="8"/>
  <c r="I210" i="8"/>
  <c r="H210" i="8"/>
  <c r="G210" i="8"/>
  <c r="F210" i="8"/>
  <c r="F41" i="8" s="1"/>
  <c r="V209" i="8"/>
  <c r="V23" i="8" s="1"/>
  <c r="S209" i="8"/>
  <c r="R209" i="8"/>
  <c r="P209" i="8"/>
  <c r="O209" i="8"/>
  <c r="N209" i="8"/>
  <c r="K209" i="8"/>
  <c r="J209" i="8"/>
  <c r="I209" i="8"/>
  <c r="H209" i="8"/>
  <c r="G209" i="8"/>
  <c r="F209" i="8"/>
  <c r="V208" i="8"/>
  <c r="V22" i="8" s="1"/>
  <c r="S208" i="8"/>
  <c r="R208" i="8"/>
  <c r="P208" i="8"/>
  <c r="O208" i="8"/>
  <c r="N208" i="8"/>
  <c r="K208" i="8"/>
  <c r="J208" i="8"/>
  <c r="I208" i="8"/>
  <c r="H208" i="8"/>
  <c r="G208" i="8"/>
  <c r="F208" i="8"/>
  <c r="S205" i="8"/>
  <c r="R205" i="8"/>
  <c r="P205" i="8"/>
  <c r="O205" i="8"/>
  <c r="N205" i="8"/>
  <c r="K205" i="8"/>
  <c r="J205" i="8"/>
  <c r="I205" i="8"/>
  <c r="H205" i="8"/>
  <c r="G205" i="8"/>
  <c r="F205" i="8"/>
  <c r="V204" i="8"/>
  <c r="V203" i="8"/>
  <c r="T203" i="8"/>
  <c r="L203" i="8"/>
  <c r="M203" i="8" s="1"/>
  <c r="R202" i="8"/>
  <c r="R204" i="8" s="1"/>
  <c r="P202" i="8"/>
  <c r="P204" i="8" s="1"/>
  <c r="O202" i="8"/>
  <c r="N202" i="8"/>
  <c r="K202" i="8"/>
  <c r="J202" i="8"/>
  <c r="J204" i="8" s="1"/>
  <c r="I202" i="8"/>
  <c r="I204" i="8" s="1"/>
  <c r="H202" i="8"/>
  <c r="H204" i="8" s="1"/>
  <c r="G202" i="8"/>
  <c r="F202" i="8"/>
  <c r="E201" i="8"/>
  <c r="V200" i="8"/>
  <c r="S200" i="8"/>
  <c r="T200" i="8" s="1"/>
  <c r="L200" i="8"/>
  <c r="M200" i="8" s="1"/>
  <c r="T199" i="8"/>
  <c r="L199" i="8"/>
  <c r="M199" i="8" s="1"/>
  <c r="T198" i="8"/>
  <c r="L198" i="8"/>
  <c r="M198" i="8" s="1"/>
  <c r="X197" i="8"/>
  <c r="V197" i="8"/>
  <c r="V196" i="8" s="1"/>
  <c r="S197" i="8"/>
  <c r="R197" i="8"/>
  <c r="P197" i="8"/>
  <c r="O197" i="8"/>
  <c r="N197" i="8"/>
  <c r="K197" i="8"/>
  <c r="J197" i="8"/>
  <c r="I197" i="8"/>
  <c r="H197" i="8"/>
  <c r="G197" i="8"/>
  <c r="F197" i="8"/>
  <c r="T195" i="8"/>
  <c r="L195" i="8"/>
  <c r="M195" i="8" s="1"/>
  <c r="T194" i="8"/>
  <c r="L194" i="8"/>
  <c r="M194" i="8" s="1"/>
  <c r="T193" i="8"/>
  <c r="L193" i="8"/>
  <c r="M193" i="8" s="1"/>
  <c r="S190" i="8"/>
  <c r="R190" i="8"/>
  <c r="P190" i="8"/>
  <c r="O190" i="8"/>
  <c r="N190" i="8"/>
  <c r="K190" i="8"/>
  <c r="J190" i="8"/>
  <c r="I190" i="8"/>
  <c r="H190" i="8"/>
  <c r="G190" i="8"/>
  <c r="F190" i="8"/>
  <c r="V189" i="8"/>
  <c r="V188" i="8"/>
  <c r="T188" i="8"/>
  <c r="L188" i="8"/>
  <c r="M188" i="8" s="1"/>
  <c r="R187" i="8"/>
  <c r="R189" i="8" s="1"/>
  <c r="P187" i="8"/>
  <c r="P189" i="8" s="1"/>
  <c r="O187" i="8"/>
  <c r="N187" i="8"/>
  <c r="N189" i="8" s="1"/>
  <c r="K187" i="8"/>
  <c r="K189" i="8" s="1"/>
  <c r="J187" i="8"/>
  <c r="I187" i="8"/>
  <c r="I189" i="8" s="1"/>
  <c r="H187" i="8"/>
  <c r="H189" i="8" s="1"/>
  <c r="G187" i="8"/>
  <c r="G189" i="8" s="1"/>
  <c r="F187" i="8"/>
  <c r="E186" i="8"/>
  <c r="V185" i="8"/>
  <c r="S185" i="8"/>
  <c r="S187" i="8" s="1"/>
  <c r="L185" i="8"/>
  <c r="M185" i="8" s="1"/>
  <c r="T184" i="8"/>
  <c r="L184" i="8"/>
  <c r="M184" i="8" s="1"/>
  <c r="T183" i="8"/>
  <c r="L183" i="8"/>
  <c r="M183" i="8" s="1"/>
  <c r="V182" i="8"/>
  <c r="S182" i="8"/>
  <c r="R182" i="8"/>
  <c r="P182" i="8"/>
  <c r="O182" i="8"/>
  <c r="N182" i="8"/>
  <c r="K182" i="8"/>
  <c r="J182" i="8"/>
  <c r="I182" i="8"/>
  <c r="H182" i="8"/>
  <c r="G182" i="8"/>
  <c r="F182" i="8"/>
  <c r="T180" i="8"/>
  <c r="L180" i="8"/>
  <c r="M180" i="8" s="1"/>
  <c r="T179" i="8"/>
  <c r="L179" i="8"/>
  <c r="M179" i="8" s="1"/>
  <c r="T178" i="8"/>
  <c r="L178" i="8"/>
  <c r="M178" i="8" s="1"/>
  <c r="P145" i="8"/>
  <c r="O145" i="8"/>
  <c r="N145" i="8"/>
  <c r="K145" i="8"/>
  <c r="K146" i="8" s="1"/>
  <c r="J145" i="8"/>
  <c r="J146" i="8" s="1"/>
  <c r="I145" i="8"/>
  <c r="I146" i="8" s="1"/>
  <c r="H145" i="8"/>
  <c r="H146" i="8" s="1"/>
  <c r="G145" i="8"/>
  <c r="F145" i="8"/>
  <c r="F146" i="8" s="1"/>
  <c r="F147" i="8" s="1"/>
  <c r="V144" i="8"/>
  <c r="I144" i="8"/>
  <c r="H144" i="8"/>
  <c r="F144" i="8"/>
  <c r="V143" i="8"/>
  <c r="T143" i="8"/>
  <c r="L143" i="8"/>
  <c r="M143" i="8" s="1"/>
  <c r="E141" i="8"/>
  <c r="V140" i="8"/>
  <c r="V140" i="23" s="1"/>
  <c r="S140" i="8"/>
  <c r="T139" i="8"/>
  <c r="L139" i="8"/>
  <c r="M139" i="8" s="1"/>
  <c r="T138" i="8"/>
  <c r="L138" i="8"/>
  <c r="M138" i="8" s="1"/>
  <c r="V142" i="8"/>
  <c r="T135" i="8"/>
  <c r="T134" i="8"/>
  <c r="U134" i="8" s="1"/>
  <c r="T133" i="8"/>
  <c r="L133" i="8"/>
  <c r="M133" i="8" s="1"/>
  <c r="S100" i="8"/>
  <c r="R100" i="8"/>
  <c r="R101" i="8" s="1"/>
  <c r="P100" i="8"/>
  <c r="P101" i="8" s="1"/>
  <c r="O100" i="8"/>
  <c r="O101" i="8" s="1"/>
  <c r="N100" i="8"/>
  <c r="N101" i="8" s="1"/>
  <c r="K100" i="8"/>
  <c r="K101" i="8" s="1"/>
  <c r="J100" i="8"/>
  <c r="J101" i="8" s="1"/>
  <c r="I100" i="8"/>
  <c r="I101" i="8" s="1"/>
  <c r="H100" i="8"/>
  <c r="H101" i="8" s="1"/>
  <c r="F100" i="8"/>
  <c r="V99" i="8"/>
  <c r="V99" i="23" s="1"/>
  <c r="R99" i="8"/>
  <c r="P99" i="8"/>
  <c r="O99" i="8"/>
  <c r="N99" i="8"/>
  <c r="K99" i="8"/>
  <c r="I99" i="8"/>
  <c r="H99" i="8"/>
  <c r="V98" i="8"/>
  <c r="V98" i="23" s="1"/>
  <c r="T98" i="8"/>
  <c r="L98" i="8"/>
  <c r="M98" i="8" s="1"/>
  <c r="E96" i="8"/>
  <c r="V95" i="8"/>
  <c r="V95" i="23" s="1"/>
  <c r="T94" i="8"/>
  <c r="T93" i="8"/>
  <c r="L93" i="8"/>
  <c r="M93" i="8" s="1"/>
  <c r="V92" i="8"/>
  <c r="T90" i="8"/>
  <c r="U90" i="8" s="1"/>
  <c r="W90" i="8" s="1"/>
  <c r="T88" i="8"/>
  <c r="L88" i="8"/>
  <c r="M88" i="8" s="1"/>
  <c r="S716" i="7"/>
  <c r="R716" i="7"/>
  <c r="Q716" i="7"/>
  <c r="P716" i="7"/>
  <c r="O716" i="7"/>
  <c r="N716" i="7"/>
  <c r="K716" i="7"/>
  <c r="J716" i="7"/>
  <c r="I716" i="7"/>
  <c r="H716" i="7"/>
  <c r="G716" i="7"/>
  <c r="F716" i="7"/>
  <c r="T714" i="7"/>
  <c r="L714" i="7"/>
  <c r="M714" i="7" s="1"/>
  <c r="E712" i="7"/>
  <c r="T711" i="7"/>
  <c r="L711" i="7"/>
  <c r="T710" i="7"/>
  <c r="L710" i="7"/>
  <c r="M710" i="7" s="1"/>
  <c r="T709" i="7"/>
  <c r="L709" i="7"/>
  <c r="M709" i="7" s="1"/>
  <c r="T706" i="7"/>
  <c r="L706" i="7"/>
  <c r="M706" i="7" s="1"/>
  <c r="T705" i="7"/>
  <c r="L705" i="7"/>
  <c r="M705" i="7" s="1"/>
  <c r="T704" i="7"/>
  <c r="L704" i="7"/>
  <c r="M704" i="7" s="1"/>
  <c r="S686" i="7"/>
  <c r="R686" i="7"/>
  <c r="Q686" i="7"/>
  <c r="P686" i="7"/>
  <c r="O686" i="7"/>
  <c r="N686" i="7"/>
  <c r="K686" i="7"/>
  <c r="J686" i="7"/>
  <c r="I686" i="7"/>
  <c r="H686" i="7"/>
  <c r="G686" i="7"/>
  <c r="F686" i="7"/>
  <c r="L686" i="7" s="1"/>
  <c r="M686" i="7" s="1"/>
  <c r="V685" i="7"/>
  <c r="V684" i="7"/>
  <c r="T684" i="7"/>
  <c r="L684" i="7"/>
  <c r="M684" i="7" s="1"/>
  <c r="S683" i="7"/>
  <c r="R683" i="7"/>
  <c r="Q683" i="7"/>
  <c r="Q606" i="23" s="1"/>
  <c r="P683" i="7"/>
  <c r="O683" i="7"/>
  <c r="N683" i="7"/>
  <c r="K683" i="7"/>
  <c r="J683" i="7"/>
  <c r="I683" i="7"/>
  <c r="H683" i="7"/>
  <c r="G683" i="7"/>
  <c r="F683" i="7"/>
  <c r="E682" i="7"/>
  <c r="V681" i="7"/>
  <c r="W589" i="23" s="1"/>
  <c r="T681" i="7"/>
  <c r="L681" i="7"/>
  <c r="M681" i="7" s="1"/>
  <c r="T680" i="7"/>
  <c r="L680" i="7"/>
  <c r="M680" i="7" s="1"/>
  <c r="T679" i="7"/>
  <c r="L679" i="7"/>
  <c r="M679" i="7" s="1"/>
  <c r="V678" i="7"/>
  <c r="S678" i="7"/>
  <c r="S585" i="23" s="1"/>
  <c r="R678" i="7"/>
  <c r="Q678" i="7"/>
  <c r="Q601" i="23" s="1"/>
  <c r="P678" i="7"/>
  <c r="O678" i="7"/>
  <c r="O585" i="23" s="1"/>
  <c r="N678" i="7"/>
  <c r="K678" i="7"/>
  <c r="K585" i="23" s="1"/>
  <c r="J678" i="7"/>
  <c r="I678" i="7"/>
  <c r="I585" i="23" s="1"/>
  <c r="H678" i="7"/>
  <c r="G678" i="7"/>
  <c r="G585" i="23" s="1"/>
  <c r="F678" i="7"/>
  <c r="T676" i="7"/>
  <c r="L676" i="7"/>
  <c r="M676" i="7" s="1"/>
  <c r="T675" i="7"/>
  <c r="L675" i="7"/>
  <c r="M675" i="7" s="1"/>
  <c r="T674" i="7"/>
  <c r="L674" i="7"/>
  <c r="S656" i="7"/>
  <c r="R656" i="7"/>
  <c r="Q656" i="7"/>
  <c r="P656" i="7"/>
  <c r="O656" i="7"/>
  <c r="N656" i="7"/>
  <c r="K656" i="7"/>
  <c r="J656" i="7"/>
  <c r="I656" i="7"/>
  <c r="H656" i="7"/>
  <c r="G656" i="7"/>
  <c r="F656" i="7"/>
  <c r="V655" i="7"/>
  <c r="V654" i="7"/>
  <c r="T654" i="7"/>
  <c r="L654" i="7"/>
  <c r="M654" i="7" s="1"/>
  <c r="S653" i="7"/>
  <c r="S576" i="23" s="1"/>
  <c r="S575" i="23" s="1"/>
  <c r="R653" i="7"/>
  <c r="R576" i="23" s="1"/>
  <c r="R575" i="23" s="1"/>
  <c r="Q653" i="7"/>
  <c r="Q576" i="23" s="1"/>
  <c r="Q575" i="23" s="1"/>
  <c r="P653" i="7"/>
  <c r="P576" i="23" s="1"/>
  <c r="P575" i="23" s="1"/>
  <c r="O653" i="7"/>
  <c r="O576" i="23" s="1"/>
  <c r="O575" i="23" s="1"/>
  <c r="N653" i="7"/>
  <c r="N576" i="23" s="1"/>
  <c r="N575" i="23" s="1"/>
  <c r="K653" i="7"/>
  <c r="K576" i="23" s="1"/>
  <c r="K575" i="23" s="1"/>
  <c r="J653" i="7"/>
  <c r="J576" i="23" s="1"/>
  <c r="J575" i="23" s="1"/>
  <c r="I653" i="7"/>
  <c r="I576" i="23" s="1"/>
  <c r="I575" i="23" s="1"/>
  <c r="H653" i="7"/>
  <c r="H576" i="23" s="1"/>
  <c r="H575" i="23" s="1"/>
  <c r="G653" i="7"/>
  <c r="G576" i="23" s="1"/>
  <c r="G575" i="23" s="1"/>
  <c r="F653" i="7"/>
  <c r="F576" i="23" s="1"/>
  <c r="F575" i="23" s="1"/>
  <c r="E652" i="7"/>
  <c r="V651" i="7"/>
  <c r="T651" i="7"/>
  <c r="L651" i="7"/>
  <c r="M651" i="7" s="1"/>
  <c r="T650" i="7"/>
  <c r="L650" i="7"/>
  <c r="M650" i="7" s="1"/>
  <c r="T649" i="7"/>
  <c r="L649" i="7"/>
  <c r="V648" i="7"/>
  <c r="S648" i="7"/>
  <c r="S571" i="23" s="1"/>
  <c r="S570" i="23" s="1"/>
  <c r="R648" i="7"/>
  <c r="R571" i="23" s="1"/>
  <c r="R570" i="23" s="1"/>
  <c r="Q648" i="7"/>
  <c r="Q571" i="23" s="1"/>
  <c r="Q570" i="23" s="1"/>
  <c r="P648" i="7"/>
  <c r="P571" i="23" s="1"/>
  <c r="P570" i="23" s="1"/>
  <c r="O648" i="7"/>
  <c r="O571" i="23" s="1"/>
  <c r="O570" i="23" s="1"/>
  <c r="N648" i="7"/>
  <c r="N571" i="23" s="1"/>
  <c r="N570" i="23" s="1"/>
  <c r="K648" i="7"/>
  <c r="K571" i="23" s="1"/>
  <c r="K570" i="23" s="1"/>
  <c r="J648" i="7"/>
  <c r="J571" i="23" s="1"/>
  <c r="J570" i="23" s="1"/>
  <c r="I648" i="7"/>
  <c r="I571" i="23" s="1"/>
  <c r="I570" i="23" s="1"/>
  <c r="H648" i="7"/>
  <c r="H571" i="23" s="1"/>
  <c r="H570" i="23" s="1"/>
  <c r="G648" i="7"/>
  <c r="G571" i="23" s="1"/>
  <c r="G570" i="23" s="1"/>
  <c r="F648" i="7"/>
  <c r="F571" i="23" s="1"/>
  <c r="F570" i="23" s="1"/>
  <c r="T646" i="7"/>
  <c r="L646" i="7"/>
  <c r="M646" i="7" s="1"/>
  <c r="T645" i="7"/>
  <c r="L645" i="7"/>
  <c r="M645" i="7" s="1"/>
  <c r="T644" i="7"/>
  <c r="L644" i="7"/>
  <c r="M644" i="7" s="1"/>
  <c r="S639" i="7"/>
  <c r="R639" i="7"/>
  <c r="Q639" i="7"/>
  <c r="P639" i="7"/>
  <c r="P545" i="7" s="1"/>
  <c r="P528" i="7" s="1"/>
  <c r="O639" i="7"/>
  <c r="N639" i="7"/>
  <c r="K639" i="7"/>
  <c r="J639" i="7"/>
  <c r="J545" i="7" s="1"/>
  <c r="J528" i="7" s="1"/>
  <c r="I639" i="7"/>
  <c r="H639" i="7"/>
  <c r="G639" i="7"/>
  <c r="F639" i="7"/>
  <c r="F545" i="7" s="1"/>
  <c r="F528" i="7" s="1"/>
  <c r="E637" i="7"/>
  <c r="S636" i="7"/>
  <c r="S542" i="7" s="1"/>
  <c r="R636" i="7"/>
  <c r="Q636" i="7"/>
  <c r="P636" i="7"/>
  <c r="O636" i="7"/>
  <c r="N636" i="7"/>
  <c r="K636" i="7"/>
  <c r="J636" i="7"/>
  <c r="I636" i="7"/>
  <c r="H636" i="7"/>
  <c r="G636" i="7"/>
  <c r="F636" i="7"/>
  <c r="F542" i="7" s="1"/>
  <c r="F525" i="7" s="1"/>
  <c r="V635" i="7"/>
  <c r="V541" i="7" s="1"/>
  <c r="V524" i="7" s="1"/>
  <c r="S635" i="7"/>
  <c r="S541" i="7" s="1"/>
  <c r="S524" i="7" s="1"/>
  <c r="R635" i="7"/>
  <c r="R541" i="7" s="1"/>
  <c r="R524" i="7" s="1"/>
  <c r="Q635" i="7"/>
  <c r="Q541" i="7" s="1"/>
  <c r="Q524" i="7" s="1"/>
  <c r="P635" i="7"/>
  <c r="P541" i="7" s="1"/>
  <c r="P524" i="7" s="1"/>
  <c r="P530" i="7" s="1"/>
  <c r="O635" i="7"/>
  <c r="O541" i="7" s="1"/>
  <c r="O524" i="7" s="1"/>
  <c r="N635" i="7"/>
  <c r="N541" i="7" s="1"/>
  <c r="K635" i="7"/>
  <c r="K541" i="7" s="1"/>
  <c r="K524" i="7" s="1"/>
  <c r="J635" i="7"/>
  <c r="J541" i="7" s="1"/>
  <c r="J524" i="7" s="1"/>
  <c r="I635" i="7"/>
  <c r="I541" i="7" s="1"/>
  <c r="I524" i="7" s="1"/>
  <c r="H635" i="7"/>
  <c r="H541" i="7" s="1"/>
  <c r="H524" i="7" s="1"/>
  <c r="G635" i="7"/>
  <c r="G541" i="7" s="1"/>
  <c r="G524" i="7" s="1"/>
  <c r="F635" i="7"/>
  <c r="F541" i="7" s="1"/>
  <c r="V634" i="7"/>
  <c r="V540" i="7" s="1"/>
  <c r="V523" i="7" s="1"/>
  <c r="S634" i="7"/>
  <c r="S540" i="7" s="1"/>
  <c r="S523" i="7" s="1"/>
  <c r="R634" i="7"/>
  <c r="R540" i="7" s="1"/>
  <c r="R523" i="7" s="1"/>
  <c r="Q634" i="7"/>
  <c r="Q540" i="7" s="1"/>
  <c r="Q523" i="7" s="1"/>
  <c r="P634" i="7"/>
  <c r="P540" i="7" s="1"/>
  <c r="P523" i="7" s="1"/>
  <c r="O634" i="7"/>
  <c r="O540" i="7" s="1"/>
  <c r="O523" i="7" s="1"/>
  <c r="N634" i="7"/>
  <c r="N540" i="7" s="1"/>
  <c r="K634" i="7"/>
  <c r="K540" i="7" s="1"/>
  <c r="K523" i="7" s="1"/>
  <c r="J634" i="7"/>
  <c r="J540" i="7" s="1"/>
  <c r="J523" i="7" s="1"/>
  <c r="I634" i="7"/>
  <c r="I540" i="7" s="1"/>
  <c r="I523" i="7" s="1"/>
  <c r="H634" i="7"/>
  <c r="H540" i="7" s="1"/>
  <c r="H523" i="7" s="1"/>
  <c r="G634" i="7"/>
  <c r="G540" i="7" s="1"/>
  <c r="G523" i="7" s="1"/>
  <c r="F634" i="7"/>
  <c r="F540" i="7" s="1"/>
  <c r="V629" i="7"/>
  <c r="V535" i="7" s="1"/>
  <c r="V518" i="7" s="1"/>
  <c r="S629" i="7"/>
  <c r="S535" i="7" s="1"/>
  <c r="S518" i="7" s="1"/>
  <c r="R629" i="7"/>
  <c r="Q629" i="7"/>
  <c r="P629" i="7"/>
  <c r="O629" i="7"/>
  <c r="N629" i="7"/>
  <c r="K629" i="7"/>
  <c r="J629" i="7"/>
  <c r="I629" i="7"/>
  <c r="H629" i="7"/>
  <c r="H535" i="7" s="1"/>
  <c r="H518" i="7" s="1"/>
  <c r="G629" i="7"/>
  <c r="F629" i="7"/>
  <c r="F535" i="7" s="1"/>
  <c r="F518" i="7" s="1"/>
  <c r="V628" i="7"/>
  <c r="S628" i="7"/>
  <c r="R628" i="7"/>
  <c r="Q628" i="7"/>
  <c r="P628" i="7"/>
  <c r="O628" i="7"/>
  <c r="N628" i="7"/>
  <c r="K628" i="7"/>
  <c r="J628" i="7"/>
  <c r="I628" i="7"/>
  <c r="H628" i="7"/>
  <c r="G628" i="7"/>
  <c r="F628" i="7"/>
  <c r="V627" i="7"/>
  <c r="S627" i="7"/>
  <c r="R627" i="7"/>
  <c r="Q627" i="7"/>
  <c r="P627" i="7"/>
  <c r="O627" i="7"/>
  <c r="N627" i="7"/>
  <c r="K627" i="7"/>
  <c r="J627" i="7"/>
  <c r="I627" i="7"/>
  <c r="H627" i="7"/>
  <c r="G627" i="7"/>
  <c r="F627" i="7"/>
  <c r="S609" i="7"/>
  <c r="R609" i="7"/>
  <c r="Q609" i="7"/>
  <c r="Q610" i="7" s="1"/>
  <c r="P609" i="7"/>
  <c r="O609" i="7"/>
  <c r="O610" i="7" s="1"/>
  <c r="N609" i="7"/>
  <c r="N564" i="7" s="1"/>
  <c r="K609" i="7"/>
  <c r="K610" i="7" s="1"/>
  <c r="J609" i="7"/>
  <c r="I609" i="7"/>
  <c r="I610" i="7" s="1"/>
  <c r="H609" i="7"/>
  <c r="G609" i="7"/>
  <c r="G610" i="7" s="1"/>
  <c r="F609" i="7"/>
  <c r="V608" i="7"/>
  <c r="H608" i="7"/>
  <c r="G608" i="7"/>
  <c r="F608" i="7"/>
  <c r="V607" i="7"/>
  <c r="T607" i="7"/>
  <c r="L607" i="7"/>
  <c r="M607" i="7" s="1"/>
  <c r="Q608" i="7"/>
  <c r="O608" i="7"/>
  <c r="N608" i="7"/>
  <c r="J608" i="7"/>
  <c r="I608" i="7"/>
  <c r="E605" i="7"/>
  <c r="V604" i="7"/>
  <c r="L604" i="7"/>
  <c r="M604" i="7" s="1"/>
  <c r="T603" i="7"/>
  <c r="L603" i="7"/>
  <c r="M603" i="7" s="1"/>
  <c r="T602" i="7"/>
  <c r="L602" i="7"/>
  <c r="M602" i="7" s="1"/>
  <c r="V601" i="7"/>
  <c r="K554" i="7"/>
  <c r="K556" i="7" s="1"/>
  <c r="E600" i="7"/>
  <c r="T599" i="7"/>
  <c r="L599" i="7"/>
  <c r="M599" i="7" s="1"/>
  <c r="L598" i="7"/>
  <c r="M598" i="7" s="1"/>
  <c r="T597" i="7"/>
  <c r="L597" i="7"/>
  <c r="M597" i="7" s="1"/>
  <c r="S579" i="7"/>
  <c r="R579" i="7"/>
  <c r="R580" i="7" s="1"/>
  <c r="Q579" i="7"/>
  <c r="P579" i="7"/>
  <c r="O579" i="7"/>
  <c r="N579" i="7"/>
  <c r="K579" i="7"/>
  <c r="J579" i="7"/>
  <c r="J580" i="7" s="1"/>
  <c r="I579" i="7"/>
  <c r="H579" i="7"/>
  <c r="H580" i="7" s="1"/>
  <c r="G579" i="7"/>
  <c r="F579" i="7"/>
  <c r="V578" i="7"/>
  <c r="V501" i="23" s="1"/>
  <c r="H578" i="7"/>
  <c r="G578" i="7"/>
  <c r="F578" i="7"/>
  <c r="V577" i="7"/>
  <c r="T577" i="7"/>
  <c r="L577" i="7"/>
  <c r="M577" i="7" s="1"/>
  <c r="R578" i="7"/>
  <c r="Q578" i="7"/>
  <c r="P578" i="7"/>
  <c r="I578" i="7"/>
  <c r="E575" i="7"/>
  <c r="V574" i="7"/>
  <c r="L574" i="7"/>
  <c r="M574" i="7" s="1"/>
  <c r="T573" i="7"/>
  <c r="L573" i="7"/>
  <c r="M573" i="7" s="1"/>
  <c r="T572" i="7"/>
  <c r="L572" i="7"/>
  <c r="M572" i="7" s="1"/>
  <c r="V571" i="7"/>
  <c r="P554" i="7"/>
  <c r="P556" i="7" s="1"/>
  <c r="N554" i="7"/>
  <c r="N556" i="7" s="1"/>
  <c r="I554" i="7"/>
  <c r="I556" i="7" s="1"/>
  <c r="E570" i="7"/>
  <c r="T569" i="7"/>
  <c r="L569" i="7"/>
  <c r="M569" i="7" s="1"/>
  <c r="L568" i="7"/>
  <c r="M568" i="7" s="1"/>
  <c r="T567" i="7"/>
  <c r="L567" i="7"/>
  <c r="M567" i="7" s="1"/>
  <c r="R545" i="7"/>
  <c r="R528" i="7" s="1"/>
  <c r="N545" i="7"/>
  <c r="H545" i="7"/>
  <c r="H528" i="7" s="1"/>
  <c r="E560" i="7"/>
  <c r="R559" i="7"/>
  <c r="R542" i="7" s="1"/>
  <c r="Q559" i="7"/>
  <c r="P559" i="7"/>
  <c r="P542" i="7" s="1"/>
  <c r="O559" i="7"/>
  <c r="O542" i="7" s="1"/>
  <c r="N559" i="7"/>
  <c r="N542" i="7" s="1"/>
  <c r="K559" i="7"/>
  <c r="K542" i="7" s="1"/>
  <c r="J559" i="7"/>
  <c r="J542" i="7" s="1"/>
  <c r="I559" i="7"/>
  <c r="H559" i="7"/>
  <c r="H542" i="7" s="1"/>
  <c r="G559" i="7"/>
  <c r="H530" i="7"/>
  <c r="V557" i="7"/>
  <c r="S557" i="7"/>
  <c r="R557" i="7"/>
  <c r="Q557" i="7"/>
  <c r="P557" i="7"/>
  <c r="O557" i="7"/>
  <c r="N557" i="7"/>
  <c r="K557" i="7"/>
  <c r="J557" i="7"/>
  <c r="I557" i="7"/>
  <c r="H557" i="7"/>
  <c r="G557" i="7"/>
  <c r="F557" i="7"/>
  <c r="F554" i="7"/>
  <c r="F556" i="7" s="1"/>
  <c r="V551" i="7"/>
  <c r="S551" i="7"/>
  <c r="R551" i="7"/>
  <c r="Q551" i="7"/>
  <c r="P551" i="7"/>
  <c r="N551" i="7"/>
  <c r="K551" i="7"/>
  <c r="K534" i="7" s="1"/>
  <c r="K517" i="7" s="1"/>
  <c r="J551" i="7"/>
  <c r="I551" i="7"/>
  <c r="I534" i="7" s="1"/>
  <c r="I517" i="7" s="1"/>
  <c r="H551" i="7"/>
  <c r="G551" i="7"/>
  <c r="G534" i="7" s="1"/>
  <c r="G517" i="7" s="1"/>
  <c r="F551" i="7"/>
  <c r="V550" i="7"/>
  <c r="S550" i="7"/>
  <c r="R550" i="7"/>
  <c r="Q550" i="7"/>
  <c r="P550" i="7"/>
  <c r="O550" i="7"/>
  <c r="N550" i="7"/>
  <c r="K550" i="7"/>
  <c r="J550" i="7"/>
  <c r="J533" i="7" s="1"/>
  <c r="J516" i="7" s="1"/>
  <c r="I550" i="7"/>
  <c r="H550" i="7"/>
  <c r="H533" i="7" s="1"/>
  <c r="H516" i="7" s="1"/>
  <c r="G550" i="7"/>
  <c r="F550" i="7"/>
  <c r="F533" i="7" s="1"/>
  <c r="F516" i="7" s="1"/>
  <c r="N514" i="7"/>
  <c r="H514" i="7"/>
  <c r="G514" i="7"/>
  <c r="F514" i="7"/>
  <c r="F515" i="7" s="1"/>
  <c r="V512" i="7"/>
  <c r="G512" i="7"/>
  <c r="F512" i="7"/>
  <c r="V511" i="7"/>
  <c r="T511" i="7"/>
  <c r="L511" i="7"/>
  <c r="M511" i="7" s="1"/>
  <c r="E509" i="7"/>
  <c r="V508" i="7"/>
  <c r="S508" i="7"/>
  <c r="S510" i="7" s="1"/>
  <c r="L508" i="7"/>
  <c r="M508" i="7" s="1"/>
  <c r="T507" i="7"/>
  <c r="T506" i="7"/>
  <c r="L506" i="7"/>
  <c r="V505" i="7"/>
  <c r="V510" i="7" s="1"/>
  <c r="V513" i="7" s="1"/>
  <c r="E504" i="7"/>
  <c r="T503" i="7"/>
  <c r="L503" i="7"/>
  <c r="M503" i="7" s="1"/>
  <c r="T502" i="7"/>
  <c r="L502" i="7"/>
  <c r="T501" i="7"/>
  <c r="L501" i="7"/>
  <c r="M501" i="7" s="1"/>
  <c r="S498" i="7"/>
  <c r="R498" i="7"/>
  <c r="Q498" i="7"/>
  <c r="P498" i="7"/>
  <c r="O498" i="7"/>
  <c r="F498" i="7"/>
  <c r="F499" i="7" s="1"/>
  <c r="F500" i="7" s="1"/>
  <c r="V497" i="7"/>
  <c r="H497" i="7"/>
  <c r="G497" i="7"/>
  <c r="F497" i="7"/>
  <c r="V496" i="7"/>
  <c r="T496" i="7"/>
  <c r="L496" i="7"/>
  <c r="M496" i="7" s="1"/>
  <c r="I497" i="7"/>
  <c r="E494" i="7"/>
  <c r="V493" i="7"/>
  <c r="S493" i="7"/>
  <c r="S418" i="23" s="1"/>
  <c r="L493" i="7"/>
  <c r="M493" i="7" s="1"/>
  <c r="T492" i="7"/>
  <c r="K477" i="7"/>
  <c r="J498" i="7"/>
  <c r="J499" i="7" s="1"/>
  <c r="T491" i="7"/>
  <c r="L491" i="7"/>
  <c r="M491" i="7" s="1"/>
  <c r="V490" i="7"/>
  <c r="E489" i="7"/>
  <c r="T488" i="7"/>
  <c r="L488" i="7"/>
  <c r="M488" i="7" s="1"/>
  <c r="T487" i="7"/>
  <c r="L487" i="7"/>
  <c r="M487" i="7" s="1"/>
  <c r="T486" i="7"/>
  <c r="L486" i="7"/>
  <c r="M486" i="7" s="1"/>
  <c r="S481" i="7"/>
  <c r="R481" i="7"/>
  <c r="Q481" i="7"/>
  <c r="P481" i="7"/>
  <c r="O481" i="7"/>
  <c r="N481" i="7"/>
  <c r="K481" i="7"/>
  <c r="J481" i="7"/>
  <c r="I481" i="7"/>
  <c r="G481" i="7"/>
  <c r="F481" i="7"/>
  <c r="H480" i="7"/>
  <c r="G480" i="7"/>
  <c r="F480" i="7"/>
  <c r="R478" i="7"/>
  <c r="Q478" i="7"/>
  <c r="P478" i="7"/>
  <c r="O478" i="7"/>
  <c r="N478" i="7"/>
  <c r="K478" i="7"/>
  <c r="J478" i="7"/>
  <c r="I478" i="7"/>
  <c r="H478" i="7"/>
  <c r="G478" i="7"/>
  <c r="F478" i="7"/>
  <c r="S477" i="7"/>
  <c r="R477" i="7"/>
  <c r="Q477" i="7"/>
  <c r="P477" i="7"/>
  <c r="O477" i="7"/>
  <c r="F477" i="7"/>
  <c r="V476" i="7"/>
  <c r="S476" i="7"/>
  <c r="R476" i="7"/>
  <c r="Q476" i="7"/>
  <c r="P476" i="7"/>
  <c r="O476" i="7"/>
  <c r="N476" i="7"/>
  <c r="K476" i="7"/>
  <c r="J476" i="7"/>
  <c r="I476" i="7"/>
  <c r="H476" i="7"/>
  <c r="G476" i="7"/>
  <c r="F476" i="7"/>
  <c r="F475" i="7"/>
  <c r="E474" i="7"/>
  <c r="V473" i="7"/>
  <c r="S473" i="7"/>
  <c r="R473" i="7"/>
  <c r="Q473" i="7"/>
  <c r="P473" i="7"/>
  <c r="O473" i="7"/>
  <c r="N473" i="7"/>
  <c r="K473" i="7"/>
  <c r="J473" i="7"/>
  <c r="I473" i="7"/>
  <c r="H473" i="7"/>
  <c r="G473" i="7"/>
  <c r="F473" i="7"/>
  <c r="V472" i="7"/>
  <c r="S472" i="7"/>
  <c r="R472" i="7"/>
  <c r="Q472" i="7"/>
  <c r="P472" i="7"/>
  <c r="O472" i="7"/>
  <c r="N472" i="7"/>
  <c r="K472" i="7"/>
  <c r="J472" i="7"/>
  <c r="I472" i="7"/>
  <c r="H472" i="7"/>
  <c r="G472" i="7"/>
  <c r="F472" i="7"/>
  <c r="V471" i="7"/>
  <c r="S471" i="7"/>
  <c r="R471" i="7"/>
  <c r="Q471" i="7"/>
  <c r="P471" i="7"/>
  <c r="O471" i="7"/>
  <c r="N471" i="7"/>
  <c r="K471" i="7"/>
  <c r="J471" i="7"/>
  <c r="I471" i="7"/>
  <c r="H471" i="7"/>
  <c r="G471" i="7"/>
  <c r="F471" i="7"/>
  <c r="S468" i="7"/>
  <c r="R468" i="7"/>
  <c r="Q468" i="7"/>
  <c r="P468" i="7"/>
  <c r="O468" i="7"/>
  <c r="N468" i="7"/>
  <c r="K468" i="7"/>
  <c r="J468" i="7"/>
  <c r="I468" i="7"/>
  <c r="H468" i="7"/>
  <c r="G468" i="7"/>
  <c r="F468" i="7"/>
  <c r="V467" i="7"/>
  <c r="V390" i="23" s="1"/>
  <c r="V466" i="7"/>
  <c r="V389" i="23" s="1"/>
  <c r="T466" i="7"/>
  <c r="L466" i="7"/>
  <c r="M466" i="7" s="1"/>
  <c r="R465" i="7"/>
  <c r="Q465" i="7"/>
  <c r="Q388" i="23" s="1"/>
  <c r="P465" i="7"/>
  <c r="P388" i="23" s="1"/>
  <c r="O465" i="7"/>
  <c r="O388" i="23" s="1"/>
  <c r="N465" i="7"/>
  <c r="N388" i="23" s="1"/>
  <c r="K465" i="7"/>
  <c r="K388" i="23" s="1"/>
  <c r="J465" i="7"/>
  <c r="J388" i="23" s="1"/>
  <c r="I465" i="7"/>
  <c r="I388" i="23" s="1"/>
  <c r="H465" i="7"/>
  <c r="H388" i="23" s="1"/>
  <c r="G465" i="7"/>
  <c r="G388" i="23" s="1"/>
  <c r="F465" i="7"/>
  <c r="F388" i="23" s="1"/>
  <c r="E464" i="7"/>
  <c r="V463" i="7"/>
  <c r="V386" i="23" s="1"/>
  <c r="S463" i="7"/>
  <c r="S386" i="23" s="1"/>
  <c r="L463" i="7"/>
  <c r="M463" i="7" s="1"/>
  <c r="T462" i="7"/>
  <c r="L462" i="7"/>
  <c r="M462" i="7" s="1"/>
  <c r="T461" i="7"/>
  <c r="L461" i="7"/>
  <c r="M461" i="7" s="1"/>
  <c r="V460" i="7"/>
  <c r="V383" i="23" s="1"/>
  <c r="V382" i="23" s="1"/>
  <c r="S460" i="7"/>
  <c r="S383" i="23" s="1"/>
  <c r="R460" i="7"/>
  <c r="Q460" i="7"/>
  <c r="Q383" i="23" s="1"/>
  <c r="P460" i="7"/>
  <c r="O460" i="7"/>
  <c r="O383" i="23" s="1"/>
  <c r="N460" i="7"/>
  <c r="N383" i="23" s="1"/>
  <c r="K460" i="7"/>
  <c r="K383" i="23" s="1"/>
  <c r="J460" i="7"/>
  <c r="I460" i="7"/>
  <c r="I383" i="23" s="1"/>
  <c r="H460" i="7"/>
  <c r="G460" i="7"/>
  <c r="G383" i="23" s="1"/>
  <c r="F460" i="7"/>
  <c r="F383" i="23" s="1"/>
  <c r="T458" i="7"/>
  <c r="L458" i="7"/>
  <c r="M458" i="7" s="1"/>
  <c r="T457" i="7"/>
  <c r="L457" i="7"/>
  <c r="M457" i="7" s="1"/>
  <c r="T456" i="7"/>
  <c r="L456" i="7"/>
  <c r="M456" i="7" s="1"/>
  <c r="S438" i="7"/>
  <c r="S423" i="7" s="1"/>
  <c r="R438" i="7"/>
  <c r="Q438" i="7"/>
  <c r="P438" i="7"/>
  <c r="P423" i="7" s="1"/>
  <c r="O438" i="7"/>
  <c r="O423" i="7" s="1"/>
  <c r="N438" i="7"/>
  <c r="K438" i="7"/>
  <c r="J438" i="7"/>
  <c r="I438" i="7"/>
  <c r="I439" i="7" s="1"/>
  <c r="F438" i="7"/>
  <c r="F439" i="7" s="1"/>
  <c r="F440" i="7" s="1"/>
  <c r="V437" i="7"/>
  <c r="V422" i="7" s="1"/>
  <c r="H437" i="7"/>
  <c r="G437" i="7"/>
  <c r="F437" i="7"/>
  <c r="V436" i="7"/>
  <c r="T436" i="7"/>
  <c r="L436" i="7"/>
  <c r="M436" i="7" s="1"/>
  <c r="E434" i="7"/>
  <c r="V433" i="7"/>
  <c r="L433" i="7"/>
  <c r="M433" i="7" s="1"/>
  <c r="T432" i="7"/>
  <c r="G417" i="7"/>
  <c r="T431" i="7"/>
  <c r="L431" i="7"/>
  <c r="M431" i="7" s="1"/>
  <c r="V430" i="7"/>
  <c r="E429" i="7"/>
  <c r="T428" i="7"/>
  <c r="L428" i="7"/>
  <c r="M428" i="7" s="1"/>
  <c r="T427" i="7"/>
  <c r="L427" i="7"/>
  <c r="M427" i="7" s="1"/>
  <c r="T426" i="7"/>
  <c r="L426" i="7"/>
  <c r="M426" i="7" s="1"/>
  <c r="S406" i="7"/>
  <c r="R406" i="7"/>
  <c r="Q406" i="7"/>
  <c r="P406" i="7"/>
  <c r="O406" i="7"/>
  <c r="N406" i="7"/>
  <c r="K406" i="7"/>
  <c r="J406" i="7"/>
  <c r="I406" i="7"/>
  <c r="H406" i="7"/>
  <c r="G406" i="7"/>
  <c r="F406" i="7"/>
  <c r="V405" i="7"/>
  <c r="V328" i="23" s="1"/>
  <c r="V404" i="7"/>
  <c r="V327" i="23" s="1"/>
  <c r="T404" i="7"/>
  <c r="L404" i="7"/>
  <c r="M404" i="7" s="1"/>
  <c r="R403" i="7"/>
  <c r="R326" i="23" s="1"/>
  <c r="Q403" i="7"/>
  <c r="Q326" i="23" s="1"/>
  <c r="P403" i="7"/>
  <c r="P326" i="23" s="1"/>
  <c r="O403" i="7"/>
  <c r="O326" i="23" s="1"/>
  <c r="N403" i="7"/>
  <c r="N326" i="23" s="1"/>
  <c r="K403" i="7"/>
  <c r="K326" i="23" s="1"/>
  <c r="J403" i="7"/>
  <c r="J326" i="23" s="1"/>
  <c r="I403" i="7"/>
  <c r="I326" i="23" s="1"/>
  <c r="H403" i="7"/>
  <c r="H326" i="23" s="1"/>
  <c r="G403" i="7"/>
  <c r="G326" i="23" s="1"/>
  <c r="F403" i="7"/>
  <c r="F326" i="23" s="1"/>
  <c r="E402" i="7"/>
  <c r="V401" i="7"/>
  <c r="V324" i="23" s="1"/>
  <c r="L401" i="7"/>
  <c r="M401" i="7" s="1"/>
  <c r="T400" i="7"/>
  <c r="L400" i="7"/>
  <c r="M400" i="7" s="1"/>
  <c r="T399" i="7"/>
  <c r="L399" i="7"/>
  <c r="M399" i="7" s="1"/>
  <c r="V398" i="7"/>
  <c r="V321" i="23" s="1"/>
  <c r="V320" i="23" s="1"/>
  <c r="S398" i="7"/>
  <c r="S321" i="23" s="1"/>
  <c r="R398" i="7"/>
  <c r="R321" i="23" s="1"/>
  <c r="Q398" i="7"/>
  <c r="Q321" i="23" s="1"/>
  <c r="P398" i="7"/>
  <c r="P321" i="23" s="1"/>
  <c r="O398" i="7"/>
  <c r="O321" i="23" s="1"/>
  <c r="N398" i="7"/>
  <c r="N321" i="23" s="1"/>
  <c r="K398" i="7"/>
  <c r="K321" i="23" s="1"/>
  <c r="J398" i="7"/>
  <c r="J321" i="23" s="1"/>
  <c r="I398" i="7"/>
  <c r="I321" i="23" s="1"/>
  <c r="H398" i="7"/>
  <c r="H321" i="23" s="1"/>
  <c r="G398" i="7"/>
  <c r="G321" i="23" s="1"/>
  <c r="F398" i="7"/>
  <c r="F321" i="23" s="1"/>
  <c r="T396" i="7"/>
  <c r="L396" i="7"/>
  <c r="M396" i="7" s="1"/>
  <c r="T395" i="7"/>
  <c r="L395" i="7"/>
  <c r="M395" i="7" s="1"/>
  <c r="T394" i="7"/>
  <c r="L394" i="7"/>
  <c r="M394" i="7" s="1"/>
  <c r="S376" i="7"/>
  <c r="S377" i="7" s="1"/>
  <c r="R376" i="7"/>
  <c r="Q376" i="7"/>
  <c r="P376" i="7"/>
  <c r="O376" i="7"/>
  <c r="N376" i="7"/>
  <c r="K376" i="7"/>
  <c r="K377" i="7" s="1"/>
  <c r="J376" i="7"/>
  <c r="I376" i="7"/>
  <c r="G376" i="7"/>
  <c r="G377" i="7" s="1"/>
  <c r="F376" i="7"/>
  <c r="F377" i="7" s="1"/>
  <c r="F378" i="7" s="1"/>
  <c r="V375" i="7"/>
  <c r="V360" i="7" s="1"/>
  <c r="H375" i="7"/>
  <c r="G375" i="7"/>
  <c r="F375" i="7"/>
  <c r="V374" i="7"/>
  <c r="T374" i="7"/>
  <c r="L374" i="7"/>
  <c r="M374" i="7" s="1"/>
  <c r="K358" i="7"/>
  <c r="E372" i="7"/>
  <c r="V371" i="7"/>
  <c r="S356" i="7"/>
  <c r="L371" i="7"/>
  <c r="M371" i="7" s="1"/>
  <c r="T370" i="7"/>
  <c r="T369" i="7"/>
  <c r="L369" i="7"/>
  <c r="M369" i="7" s="1"/>
  <c r="T366" i="7"/>
  <c r="L366" i="7"/>
  <c r="S312" i="7"/>
  <c r="R312" i="7"/>
  <c r="Q312" i="7"/>
  <c r="P312" i="7"/>
  <c r="O312" i="7"/>
  <c r="N312" i="7"/>
  <c r="K312" i="7"/>
  <c r="J312" i="7"/>
  <c r="I312" i="7"/>
  <c r="H312" i="7"/>
  <c r="G312" i="7"/>
  <c r="F312" i="7"/>
  <c r="V311" i="7"/>
  <c r="V310" i="7"/>
  <c r="T310" i="7"/>
  <c r="L310" i="7"/>
  <c r="M310" i="7" s="1"/>
  <c r="R309" i="7"/>
  <c r="Q309" i="7"/>
  <c r="P309" i="7"/>
  <c r="O309" i="7"/>
  <c r="N309" i="7"/>
  <c r="K309" i="7"/>
  <c r="J309" i="7"/>
  <c r="I309" i="7"/>
  <c r="H309" i="7"/>
  <c r="G309" i="7"/>
  <c r="F309" i="7"/>
  <c r="E308" i="7"/>
  <c r="V307" i="7"/>
  <c r="S307" i="7"/>
  <c r="L307" i="7"/>
  <c r="M307" i="7" s="1"/>
  <c r="T306" i="7"/>
  <c r="L306" i="7"/>
  <c r="M306" i="7" s="1"/>
  <c r="T305" i="7"/>
  <c r="L305" i="7"/>
  <c r="M305" i="7" s="1"/>
  <c r="V304" i="7"/>
  <c r="S304" i="7"/>
  <c r="R304" i="7"/>
  <c r="Q304" i="7"/>
  <c r="P304" i="7"/>
  <c r="O304" i="7"/>
  <c r="N304" i="7"/>
  <c r="K304" i="7"/>
  <c r="J304" i="7"/>
  <c r="I304" i="7"/>
  <c r="H304" i="7"/>
  <c r="G304" i="7"/>
  <c r="F304" i="7"/>
  <c r="T302" i="7"/>
  <c r="L302" i="7"/>
  <c r="M302" i="7" s="1"/>
  <c r="S282" i="7"/>
  <c r="R282" i="7"/>
  <c r="Q282" i="7"/>
  <c r="P282" i="7"/>
  <c r="O282" i="7"/>
  <c r="N282" i="7"/>
  <c r="K282" i="7"/>
  <c r="J282" i="7"/>
  <c r="I282" i="7"/>
  <c r="H282" i="7"/>
  <c r="G282" i="7"/>
  <c r="F282" i="7"/>
  <c r="V281" i="7"/>
  <c r="V266" i="7" s="1"/>
  <c r="V280" i="7"/>
  <c r="T280" i="7"/>
  <c r="L280" i="7"/>
  <c r="M280" i="7" s="1"/>
  <c r="R279" i="7"/>
  <c r="Q279" i="7"/>
  <c r="P279" i="7"/>
  <c r="O279" i="7"/>
  <c r="N279" i="7"/>
  <c r="K279" i="7"/>
  <c r="J279" i="7"/>
  <c r="I279" i="7"/>
  <c r="H279" i="7"/>
  <c r="G279" i="7"/>
  <c r="F279" i="7"/>
  <c r="E278" i="7"/>
  <c r="V277" i="7"/>
  <c r="S277" i="7"/>
  <c r="L277" i="7"/>
  <c r="M277" i="7" s="1"/>
  <c r="T276" i="7"/>
  <c r="L276" i="7"/>
  <c r="M276" i="7" s="1"/>
  <c r="T275" i="7"/>
  <c r="L275" i="7"/>
  <c r="M275" i="7" s="1"/>
  <c r="X274" i="7"/>
  <c r="V274" i="7"/>
  <c r="S274" i="7"/>
  <c r="R274" i="7"/>
  <c r="Q274" i="7"/>
  <c r="P274" i="7"/>
  <c r="O274" i="7"/>
  <c r="N274" i="7"/>
  <c r="K274" i="7"/>
  <c r="J274" i="7"/>
  <c r="I274" i="7"/>
  <c r="H274" i="7"/>
  <c r="G274" i="7"/>
  <c r="F274" i="7"/>
  <c r="T272" i="7"/>
  <c r="L272" i="7"/>
  <c r="M272" i="7" s="1"/>
  <c r="T271" i="7"/>
  <c r="L271" i="7"/>
  <c r="M271" i="7" s="1"/>
  <c r="T270" i="7"/>
  <c r="L270" i="7"/>
  <c r="M270" i="7" s="1"/>
  <c r="S250" i="7"/>
  <c r="R250" i="7"/>
  <c r="Q250" i="7"/>
  <c r="P250" i="7"/>
  <c r="O250" i="7"/>
  <c r="N250" i="7"/>
  <c r="K250" i="7"/>
  <c r="J250" i="7"/>
  <c r="I250" i="7"/>
  <c r="H250" i="7"/>
  <c r="G250" i="7"/>
  <c r="F250" i="7"/>
  <c r="V249" i="7"/>
  <c r="V249" i="23" s="1"/>
  <c r="V248" i="7"/>
  <c r="V248" i="23" s="1"/>
  <c r="W248" i="23" s="1"/>
  <c r="T248" i="7"/>
  <c r="L248" i="7"/>
  <c r="M248" i="7" s="1"/>
  <c r="R247" i="7"/>
  <c r="R247" i="23" s="1"/>
  <c r="Q247" i="7"/>
  <c r="Q247" i="23" s="1"/>
  <c r="P247" i="7"/>
  <c r="P247" i="23" s="1"/>
  <c r="O247" i="7"/>
  <c r="O247" i="23" s="1"/>
  <c r="N247" i="7"/>
  <c r="N247" i="23" s="1"/>
  <c r="K247" i="7"/>
  <c r="K247" i="23" s="1"/>
  <c r="J247" i="7"/>
  <c r="J247" i="23" s="1"/>
  <c r="I247" i="7"/>
  <c r="I247" i="23" s="1"/>
  <c r="H247" i="7"/>
  <c r="H247" i="23" s="1"/>
  <c r="G247" i="7"/>
  <c r="G247" i="23" s="1"/>
  <c r="F247" i="7"/>
  <c r="F247" i="23" s="1"/>
  <c r="E246" i="7"/>
  <c r="V245" i="7"/>
  <c r="V245" i="23" s="1"/>
  <c r="S245" i="7"/>
  <c r="S245" i="23" s="1"/>
  <c r="L245" i="7"/>
  <c r="T244" i="7"/>
  <c r="L244" i="7"/>
  <c r="M244" i="7" s="1"/>
  <c r="T243" i="7"/>
  <c r="L243" i="7"/>
  <c r="M243" i="7" s="1"/>
  <c r="X242" i="7"/>
  <c r="V242" i="7"/>
  <c r="V242" i="23" s="1"/>
  <c r="V241" i="23" s="1"/>
  <c r="S242" i="7"/>
  <c r="S242" i="23" s="1"/>
  <c r="R242" i="7"/>
  <c r="R242" i="23" s="1"/>
  <c r="Q242" i="7"/>
  <c r="Q242" i="23" s="1"/>
  <c r="P242" i="7"/>
  <c r="P242" i="23" s="1"/>
  <c r="O242" i="7"/>
  <c r="O242" i="23" s="1"/>
  <c r="N242" i="7"/>
  <c r="N242" i="23" s="1"/>
  <c r="K242" i="7"/>
  <c r="K242" i="23" s="1"/>
  <c r="J242" i="7"/>
  <c r="J242" i="23" s="1"/>
  <c r="I242" i="7"/>
  <c r="I242" i="23" s="1"/>
  <c r="H242" i="7"/>
  <c r="H242" i="23" s="1"/>
  <c r="G242" i="7"/>
  <c r="G242" i="23" s="1"/>
  <c r="F242" i="7"/>
  <c r="F242" i="23" s="1"/>
  <c r="F241" i="23" s="1"/>
  <c r="T240" i="7"/>
  <c r="L240" i="7"/>
  <c r="M240" i="7" s="1"/>
  <c r="T239" i="7"/>
  <c r="L239" i="7"/>
  <c r="M239" i="7" s="1"/>
  <c r="T238" i="7"/>
  <c r="L238" i="7"/>
  <c r="M238" i="7" s="1"/>
  <c r="S235" i="7"/>
  <c r="R235" i="7"/>
  <c r="Q235" i="7"/>
  <c r="P235" i="7"/>
  <c r="O235" i="7"/>
  <c r="N235" i="7"/>
  <c r="K235" i="7"/>
  <c r="J235" i="7"/>
  <c r="I235" i="7"/>
  <c r="H235" i="7"/>
  <c r="G235" i="7"/>
  <c r="F235" i="7"/>
  <c r="V234" i="7"/>
  <c r="V234" i="23" s="1"/>
  <c r="V219" i="23" s="1"/>
  <c r="V233" i="7"/>
  <c r="V233" i="23" s="1"/>
  <c r="T233" i="7"/>
  <c r="L233" i="7"/>
  <c r="M233" i="7" s="1"/>
  <c r="R232" i="7"/>
  <c r="R232" i="23" s="1"/>
  <c r="Q232" i="7"/>
  <c r="Q232" i="23" s="1"/>
  <c r="P232" i="7"/>
  <c r="P232" i="23" s="1"/>
  <c r="O232" i="7"/>
  <c r="O232" i="23" s="1"/>
  <c r="N232" i="7"/>
  <c r="N232" i="23" s="1"/>
  <c r="K232" i="7"/>
  <c r="K232" i="23" s="1"/>
  <c r="J232" i="7"/>
  <c r="J232" i="23" s="1"/>
  <c r="I232" i="7"/>
  <c r="I232" i="23" s="1"/>
  <c r="H232" i="7"/>
  <c r="H232" i="23" s="1"/>
  <c r="G232" i="7"/>
  <c r="G232" i="23" s="1"/>
  <c r="F232" i="7"/>
  <c r="F232" i="23" s="1"/>
  <c r="E231" i="7"/>
  <c r="V230" i="7"/>
  <c r="V230" i="23" s="1"/>
  <c r="S230" i="7"/>
  <c r="S230" i="23" s="1"/>
  <c r="L230" i="7"/>
  <c r="M230" i="7" s="1"/>
  <c r="T229" i="7"/>
  <c r="L229" i="7"/>
  <c r="M229" i="7" s="1"/>
  <c r="T228" i="7"/>
  <c r="L228" i="7"/>
  <c r="M228" i="7" s="1"/>
  <c r="X227" i="7"/>
  <c r="V227" i="7"/>
  <c r="V227" i="23" s="1"/>
  <c r="V226" i="23" s="1"/>
  <c r="S227" i="7"/>
  <c r="S227" i="23" s="1"/>
  <c r="R227" i="7"/>
  <c r="R227" i="23" s="1"/>
  <c r="Q227" i="7"/>
  <c r="Q227" i="23" s="1"/>
  <c r="P227" i="7"/>
  <c r="O227" i="7"/>
  <c r="O227" i="23" s="1"/>
  <c r="N227" i="7"/>
  <c r="N227" i="23" s="1"/>
  <c r="K227" i="7"/>
  <c r="K227" i="23" s="1"/>
  <c r="J227" i="7"/>
  <c r="J227" i="23" s="1"/>
  <c r="I227" i="7"/>
  <c r="I227" i="23" s="1"/>
  <c r="H227" i="7"/>
  <c r="H227" i="23" s="1"/>
  <c r="G227" i="7"/>
  <c r="G227" i="23" s="1"/>
  <c r="F227" i="7"/>
  <c r="F227" i="23" s="1"/>
  <c r="T225" i="7"/>
  <c r="L225" i="7"/>
  <c r="M225" i="7" s="1"/>
  <c r="T224" i="7"/>
  <c r="L224" i="7"/>
  <c r="M224" i="7" s="1"/>
  <c r="T223" i="7"/>
  <c r="L223" i="7"/>
  <c r="M223" i="7" s="1"/>
  <c r="S218" i="7"/>
  <c r="R218" i="7"/>
  <c r="Q218" i="7"/>
  <c r="P218" i="7"/>
  <c r="O218" i="7"/>
  <c r="N218" i="7"/>
  <c r="K218" i="7"/>
  <c r="J218" i="7"/>
  <c r="I218" i="7"/>
  <c r="H218" i="7"/>
  <c r="G218" i="7"/>
  <c r="F218" i="7"/>
  <c r="E217" i="7"/>
  <c r="R215" i="7"/>
  <c r="Q215" i="7"/>
  <c r="P215" i="7"/>
  <c r="O215" i="7"/>
  <c r="N215" i="7"/>
  <c r="K215" i="7"/>
  <c r="J215" i="7"/>
  <c r="I215" i="7"/>
  <c r="H215" i="7"/>
  <c r="G215" i="7"/>
  <c r="F215" i="7"/>
  <c r="E215" i="7"/>
  <c r="V214" i="7"/>
  <c r="S214" i="7"/>
  <c r="R214" i="7"/>
  <c r="Q214" i="7"/>
  <c r="P214" i="7"/>
  <c r="O214" i="7"/>
  <c r="N214" i="7"/>
  <c r="K214" i="7"/>
  <c r="K220" i="7" s="1"/>
  <c r="J214" i="7"/>
  <c r="J220" i="7" s="1"/>
  <c r="I214" i="7"/>
  <c r="I220" i="7" s="1"/>
  <c r="H214" i="7"/>
  <c r="H220" i="7" s="1"/>
  <c r="G214" i="7"/>
  <c r="G220" i="7" s="1"/>
  <c r="F214" i="7"/>
  <c r="V213" i="7"/>
  <c r="S213" i="7"/>
  <c r="R213" i="7"/>
  <c r="Q213" i="7"/>
  <c r="P213" i="7"/>
  <c r="O213" i="7"/>
  <c r="N213" i="7"/>
  <c r="K213" i="7"/>
  <c r="J213" i="7"/>
  <c r="I213" i="7"/>
  <c r="H213" i="7"/>
  <c r="G213" i="7"/>
  <c r="F213" i="7"/>
  <c r="V210" i="7"/>
  <c r="S210" i="7"/>
  <c r="R210" i="7"/>
  <c r="Q210" i="7"/>
  <c r="P210" i="7"/>
  <c r="O210" i="7"/>
  <c r="N210" i="7"/>
  <c r="K210" i="7"/>
  <c r="J210" i="7"/>
  <c r="I210" i="7"/>
  <c r="H210" i="7"/>
  <c r="G210" i="7"/>
  <c r="F210" i="7"/>
  <c r="V209" i="7"/>
  <c r="S209" i="7"/>
  <c r="R209" i="7"/>
  <c r="Q209" i="7"/>
  <c r="P209" i="7"/>
  <c r="O209" i="7"/>
  <c r="N209" i="7"/>
  <c r="K209" i="7"/>
  <c r="J209" i="7"/>
  <c r="I209" i="7"/>
  <c r="H209" i="7"/>
  <c r="G209" i="7"/>
  <c r="F209" i="7"/>
  <c r="V208" i="7"/>
  <c r="S208" i="7"/>
  <c r="R208" i="7"/>
  <c r="Q208" i="7"/>
  <c r="P208" i="7"/>
  <c r="O208" i="7"/>
  <c r="N208" i="7"/>
  <c r="K208" i="7"/>
  <c r="J208" i="7"/>
  <c r="I208" i="7"/>
  <c r="H208" i="7"/>
  <c r="G208" i="7"/>
  <c r="F208" i="7"/>
  <c r="S205" i="7"/>
  <c r="R205" i="7"/>
  <c r="Q205" i="7"/>
  <c r="P205" i="7"/>
  <c r="O205" i="7"/>
  <c r="N205" i="7"/>
  <c r="K205" i="7"/>
  <c r="J205" i="7"/>
  <c r="I205" i="7"/>
  <c r="H205" i="7"/>
  <c r="G205" i="7"/>
  <c r="F205" i="7"/>
  <c r="V204" i="7"/>
  <c r="V204" i="23" s="1"/>
  <c r="V203" i="7"/>
  <c r="V203" i="23" s="1"/>
  <c r="W203" i="23" s="1"/>
  <c r="T203" i="7"/>
  <c r="L203" i="7"/>
  <c r="M203" i="7" s="1"/>
  <c r="R202" i="7"/>
  <c r="R202" i="23" s="1"/>
  <c r="R201" i="23" s="1"/>
  <c r="Q202" i="7"/>
  <c r="Q202" i="23" s="1"/>
  <c r="Q201" i="23" s="1"/>
  <c r="P202" i="7"/>
  <c r="P202" i="23" s="1"/>
  <c r="P201" i="23" s="1"/>
  <c r="O202" i="7"/>
  <c r="O202" i="23" s="1"/>
  <c r="O201" i="23" s="1"/>
  <c r="N202" i="7"/>
  <c r="N202" i="23" s="1"/>
  <c r="N201" i="23" s="1"/>
  <c r="K202" i="7"/>
  <c r="K202" i="23" s="1"/>
  <c r="J202" i="7"/>
  <c r="J202" i="23" s="1"/>
  <c r="I202" i="7"/>
  <c r="I202" i="23" s="1"/>
  <c r="H202" i="7"/>
  <c r="H202" i="23" s="1"/>
  <c r="G202" i="7"/>
  <c r="G202" i="23" s="1"/>
  <c r="F202" i="7"/>
  <c r="F202" i="23" s="1"/>
  <c r="E201" i="7"/>
  <c r="V200" i="7"/>
  <c r="V200" i="23" s="1"/>
  <c r="S200" i="7"/>
  <c r="S200" i="23" s="1"/>
  <c r="L200" i="7"/>
  <c r="M200" i="7" s="1"/>
  <c r="T199" i="7"/>
  <c r="L199" i="7"/>
  <c r="M199" i="7" s="1"/>
  <c r="T198" i="7"/>
  <c r="L198" i="7"/>
  <c r="M198" i="7" s="1"/>
  <c r="X197" i="7"/>
  <c r="V197" i="7"/>
  <c r="V197" i="23" s="1"/>
  <c r="V196" i="23" s="1"/>
  <c r="S197" i="7"/>
  <c r="S197" i="23" s="1"/>
  <c r="S196" i="23" s="1"/>
  <c r="R197" i="7"/>
  <c r="R197" i="23" s="1"/>
  <c r="R196" i="23" s="1"/>
  <c r="Q197" i="7"/>
  <c r="Q197" i="23" s="1"/>
  <c r="Q196" i="23" s="1"/>
  <c r="P197" i="7"/>
  <c r="P197" i="23" s="1"/>
  <c r="P196" i="23" s="1"/>
  <c r="O197" i="7"/>
  <c r="O197" i="23" s="1"/>
  <c r="O196" i="23" s="1"/>
  <c r="N197" i="7"/>
  <c r="N197" i="23" s="1"/>
  <c r="K197" i="7"/>
  <c r="K197" i="23" s="1"/>
  <c r="J197" i="7"/>
  <c r="J197" i="23" s="1"/>
  <c r="I197" i="7"/>
  <c r="I197" i="23" s="1"/>
  <c r="H197" i="7"/>
  <c r="H197" i="23" s="1"/>
  <c r="G197" i="7"/>
  <c r="G197" i="23" s="1"/>
  <c r="F197" i="7"/>
  <c r="F197" i="23" s="1"/>
  <c r="T195" i="7"/>
  <c r="L195" i="7"/>
  <c r="M195" i="7" s="1"/>
  <c r="T194" i="7"/>
  <c r="L194" i="7"/>
  <c r="M194" i="7" s="1"/>
  <c r="T193" i="7"/>
  <c r="L193" i="7"/>
  <c r="M193" i="7" s="1"/>
  <c r="S190" i="7"/>
  <c r="R190" i="7"/>
  <c r="Q190" i="7"/>
  <c r="P190" i="7"/>
  <c r="O190" i="7"/>
  <c r="N190" i="7"/>
  <c r="K190" i="7"/>
  <c r="J190" i="7"/>
  <c r="I190" i="7"/>
  <c r="H190" i="7"/>
  <c r="G190" i="7"/>
  <c r="F190" i="7"/>
  <c r="V189" i="7"/>
  <c r="V188" i="7"/>
  <c r="V188" i="23" s="1"/>
  <c r="W188" i="23" s="1"/>
  <c r="T188" i="7"/>
  <c r="L188" i="7"/>
  <c r="M188" i="7" s="1"/>
  <c r="R187" i="7"/>
  <c r="R187" i="23" s="1"/>
  <c r="Q187" i="7"/>
  <c r="Q187" i="23" s="1"/>
  <c r="P187" i="7"/>
  <c r="P187" i="23" s="1"/>
  <c r="O187" i="7"/>
  <c r="O187" i="23" s="1"/>
  <c r="N187" i="7"/>
  <c r="N187" i="23" s="1"/>
  <c r="K187" i="7"/>
  <c r="K187" i="23" s="1"/>
  <c r="J187" i="7"/>
  <c r="J187" i="23" s="1"/>
  <c r="I187" i="7"/>
  <c r="I187" i="23" s="1"/>
  <c r="H187" i="7"/>
  <c r="H187" i="23" s="1"/>
  <c r="G187" i="7"/>
  <c r="G187" i="23" s="1"/>
  <c r="F187" i="7"/>
  <c r="F187" i="23" s="1"/>
  <c r="E186" i="7"/>
  <c r="V185" i="7"/>
  <c r="V185" i="23" s="1"/>
  <c r="S185" i="7"/>
  <c r="S185" i="23" s="1"/>
  <c r="L185" i="7"/>
  <c r="M185" i="7" s="1"/>
  <c r="T184" i="7"/>
  <c r="L184" i="7"/>
  <c r="T183" i="7"/>
  <c r="L183" i="7"/>
  <c r="M183" i="7" s="1"/>
  <c r="V182" i="7"/>
  <c r="V182" i="23" s="1"/>
  <c r="V181" i="23" s="1"/>
  <c r="S182" i="7"/>
  <c r="S182" i="23" s="1"/>
  <c r="R182" i="7"/>
  <c r="R182" i="23" s="1"/>
  <c r="Q182" i="7"/>
  <c r="Q182" i="23" s="1"/>
  <c r="P182" i="7"/>
  <c r="P182" i="23" s="1"/>
  <c r="O182" i="7"/>
  <c r="O182" i="23" s="1"/>
  <c r="N182" i="7"/>
  <c r="N182" i="23" s="1"/>
  <c r="K182" i="7"/>
  <c r="K182" i="23" s="1"/>
  <c r="J182" i="7"/>
  <c r="J182" i="23" s="1"/>
  <c r="I182" i="7"/>
  <c r="I182" i="23" s="1"/>
  <c r="H182" i="7"/>
  <c r="H182" i="23" s="1"/>
  <c r="G182" i="7"/>
  <c r="G182" i="23" s="1"/>
  <c r="F182" i="7"/>
  <c r="F182" i="23" s="1"/>
  <c r="T180" i="7"/>
  <c r="L180" i="7"/>
  <c r="T179" i="7"/>
  <c r="L179" i="7"/>
  <c r="M179" i="7" s="1"/>
  <c r="T178" i="7"/>
  <c r="L178" i="7"/>
  <c r="S173" i="7"/>
  <c r="R173" i="7"/>
  <c r="Q173" i="7"/>
  <c r="P173" i="7"/>
  <c r="O173" i="7"/>
  <c r="N173" i="7"/>
  <c r="K173" i="7"/>
  <c r="J173" i="7"/>
  <c r="I173" i="7"/>
  <c r="H173" i="7"/>
  <c r="G173" i="7"/>
  <c r="F173" i="7"/>
  <c r="E172" i="7"/>
  <c r="R170" i="7"/>
  <c r="Q170" i="7"/>
  <c r="P170" i="7"/>
  <c r="O170" i="7"/>
  <c r="N170" i="7"/>
  <c r="K170" i="7"/>
  <c r="J170" i="7"/>
  <c r="I170" i="7"/>
  <c r="H170" i="7"/>
  <c r="G170" i="7"/>
  <c r="F170" i="7"/>
  <c r="E170" i="7"/>
  <c r="V169" i="7"/>
  <c r="S169" i="7"/>
  <c r="R169" i="7"/>
  <c r="Q169" i="7"/>
  <c r="P169" i="7"/>
  <c r="O169" i="7"/>
  <c r="N169" i="7"/>
  <c r="K169" i="7"/>
  <c r="J169" i="7"/>
  <c r="I169" i="7"/>
  <c r="I175" i="7" s="1"/>
  <c r="H169" i="7"/>
  <c r="G169" i="7"/>
  <c r="F169" i="7"/>
  <c r="V168" i="7"/>
  <c r="S168" i="7"/>
  <c r="R168" i="7"/>
  <c r="Q168" i="7"/>
  <c r="P168" i="7"/>
  <c r="O168" i="7"/>
  <c r="N168" i="7"/>
  <c r="K168" i="7"/>
  <c r="J168" i="7"/>
  <c r="I168" i="7"/>
  <c r="H168" i="7"/>
  <c r="G168" i="7"/>
  <c r="F168" i="7"/>
  <c r="X167" i="7"/>
  <c r="V165" i="7"/>
  <c r="S165" i="7"/>
  <c r="R165" i="7"/>
  <c r="Q165" i="7"/>
  <c r="P165" i="7"/>
  <c r="O165" i="7"/>
  <c r="N165" i="7"/>
  <c r="K165" i="7"/>
  <c r="J165" i="7"/>
  <c r="I165" i="7"/>
  <c r="H165" i="7"/>
  <c r="G165" i="7"/>
  <c r="F165" i="7"/>
  <c r="V164" i="7"/>
  <c r="S164" i="7"/>
  <c r="R164" i="7"/>
  <c r="Q164" i="7"/>
  <c r="P164" i="7"/>
  <c r="O164" i="7"/>
  <c r="N164" i="7"/>
  <c r="K164" i="7"/>
  <c r="J164" i="7"/>
  <c r="I164" i="7"/>
  <c r="H164" i="7"/>
  <c r="G164" i="7"/>
  <c r="F164" i="7"/>
  <c r="V163" i="7"/>
  <c r="S163" i="7"/>
  <c r="R163" i="7"/>
  <c r="Q163" i="7"/>
  <c r="P163" i="7"/>
  <c r="O163" i="7"/>
  <c r="N163" i="7"/>
  <c r="K163" i="7"/>
  <c r="J163" i="7"/>
  <c r="I163" i="7"/>
  <c r="H163" i="7"/>
  <c r="G163" i="7"/>
  <c r="F163" i="7"/>
  <c r="R145" i="7"/>
  <c r="Q145" i="7"/>
  <c r="P145" i="7"/>
  <c r="O145" i="7"/>
  <c r="N145" i="7"/>
  <c r="N146" i="7" s="1"/>
  <c r="I146" i="7"/>
  <c r="H146" i="7"/>
  <c r="H144" i="7"/>
  <c r="F144" i="7"/>
  <c r="V143" i="7"/>
  <c r="T143" i="7"/>
  <c r="L143" i="7"/>
  <c r="M143" i="7" s="1"/>
  <c r="I144" i="7"/>
  <c r="E141" i="7"/>
  <c r="V140" i="7"/>
  <c r="S140" i="7"/>
  <c r="L140" i="7"/>
  <c r="M140" i="7" s="1"/>
  <c r="T139" i="7"/>
  <c r="L139" i="7"/>
  <c r="T138" i="7"/>
  <c r="L138" i="7"/>
  <c r="M138" i="7" s="1"/>
  <c r="T135" i="7"/>
  <c r="L135" i="7"/>
  <c r="M135" i="7" s="1"/>
  <c r="T134" i="7"/>
  <c r="L134" i="7"/>
  <c r="M134" i="7" s="1"/>
  <c r="T133" i="7"/>
  <c r="L133" i="7"/>
  <c r="M133" i="7" s="1"/>
  <c r="S100" i="7"/>
  <c r="R100" i="7"/>
  <c r="R101" i="7" s="1"/>
  <c r="Q100" i="7"/>
  <c r="Q101" i="7" s="1"/>
  <c r="P100" i="7"/>
  <c r="P101" i="7" s="1"/>
  <c r="O100" i="7"/>
  <c r="O101" i="7" s="1"/>
  <c r="N100" i="7"/>
  <c r="N101" i="7" s="1"/>
  <c r="K100" i="7"/>
  <c r="K101" i="7" s="1"/>
  <c r="J100" i="7"/>
  <c r="J101" i="7" s="1"/>
  <c r="I100" i="7"/>
  <c r="I101" i="7" s="1"/>
  <c r="F100" i="7"/>
  <c r="F101" i="7" s="1"/>
  <c r="F102" i="7" s="1"/>
  <c r="R99" i="7"/>
  <c r="N99" i="7"/>
  <c r="I99" i="7"/>
  <c r="F99" i="7"/>
  <c r="V98" i="7"/>
  <c r="V68" i="7" s="1"/>
  <c r="T98" i="7"/>
  <c r="L98" i="7"/>
  <c r="M98" i="7" s="1"/>
  <c r="Q99" i="7"/>
  <c r="O99" i="7"/>
  <c r="K99" i="7"/>
  <c r="E96" i="7"/>
  <c r="V95" i="7"/>
  <c r="V65" i="7" s="1"/>
  <c r="L95" i="7"/>
  <c r="M95" i="7" s="1"/>
  <c r="T94" i="7"/>
  <c r="H100" i="7"/>
  <c r="T93" i="7"/>
  <c r="L93" i="7"/>
  <c r="M93" i="7" s="1"/>
  <c r="T90" i="7"/>
  <c r="L90" i="7"/>
  <c r="M90" i="7" s="1"/>
  <c r="T89" i="7"/>
  <c r="L89" i="7"/>
  <c r="M89" i="7" s="1"/>
  <c r="T88" i="7"/>
  <c r="L88" i="7"/>
  <c r="M88" i="7" s="1"/>
  <c r="D9" i="26"/>
  <c r="D8" i="26"/>
  <c r="D10" i="26"/>
  <c r="D11" i="26"/>
  <c r="D13" i="26"/>
  <c r="D14" i="26"/>
  <c r="D15" i="26"/>
  <c r="D16" i="26"/>
  <c r="D17" i="26"/>
  <c r="D18" i="26"/>
  <c r="D19" i="26"/>
  <c r="D20" i="26"/>
  <c r="D21" i="26"/>
  <c r="N174" i="19"/>
  <c r="F234" i="19"/>
  <c r="F219" i="19" s="1"/>
  <c r="H234" i="19"/>
  <c r="H219" i="19" s="1"/>
  <c r="J234" i="19"/>
  <c r="J219" i="19" s="1"/>
  <c r="L97" i="19"/>
  <c r="L96" i="19" s="1"/>
  <c r="T97" i="19"/>
  <c r="T96" i="19" s="1"/>
  <c r="G101" i="19"/>
  <c r="I101" i="19"/>
  <c r="K101" i="19"/>
  <c r="O101" i="19"/>
  <c r="Q101" i="19"/>
  <c r="S101" i="19"/>
  <c r="F146" i="19"/>
  <c r="F147" i="19" s="1"/>
  <c r="H146" i="19"/>
  <c r="J146" i="19"/>
  <c r="N146" i="19"/>
  <c r="P146" i="19"/>
  <c r="R146" i="19"/>
  <c r="T165" i="19"/>
  <c r="G169" i="19"/>
  <c r="F175" i="19"/>
  <c r="N175" i="19"/>
  <c r="T185" i="19"/>
  <c r="J191" i="19"/>
  <c r="N191" i="19"/>
  <c r="R191" i="19"/>
  <c r="T200" i="19"/>
  <c r="U200" i="19" s="1"/>
  <c r="N206" i="19"/>
  <c r="P206" i="19"/>
  <c r="R206" i="19"/>
  <c r="T210" i="19"/>
  <c r="P220" i="19"/>
  <c r="T214" i="19"/>
  <c r="U224" i="19"/>
  <c r="W224" i="19" s="1"/>
  <c r="L232" i="19"/>
  <c r="M232" i="19" s="1"/>
  <c r="M231" i="19" s="1"/>
  <c r="V232" i="19"/>
  <c r="N234" i="19"/>
  <c r="N219" i="19" s="1"/>
  <c r="P234" i="19"/>
  <c r="P219" i="19" s="1"/>
  <c r="V246" i="19"/>
  <c r="L100" i="19"/>
  <c r="M100" i="19" s="1"/>
  <c r="T100" i="19"/>
  <c r="L142" i="19"/>
  <c r="L141" i="19" s="1"/>
  <c r="T142" i="19"/>
  <c r="L184" i="19"/>
  <c r="M184" i="19" s="1"/>
  <c r="L187" i="19"/>
  <c r="M187" i="19" s="1"/>
  <c r="L214" i="19"/>
  <c r="M214" i="19" s="1"/>
  <c r="F251" i="19"/>
  <c r="F252" i="19" s="1"/>
  <c r="J251" i="19"/>
  <c r="P251" i="19"/>
  <c r="T292" i="19"/>
  <c r="U292" i="19" s="1"/>
  <c r="W292" i="19" s="1"/>
  <c r="G298" i="19"/>
  <c r="K298" i="19"/>
  <c r="Q298" i="19"/>
  <c r="H313" i="19"/>
  <c r="N313" i="19"/>
  <c r="R313" i="19"/>
  <c r="S512" i="19"/>
  <c r="L297" i="19"/>
  <c r="M297" i="19" s="1"/>
  <c r="L309" i="19"/>
  <c r="L308" i="19" s="1"/>
  <c r="H580" i="19"/>
  <c r="L373" i="19"/>
  <c r="L372" i="19" s="1"/>
  <c r="J375" i="19"/>
  <c r="N375" i="19"/>
  <c r="P375" i="19"/>
  <c r="R375" i="19"/>
  <c r="S403" i="19"/>
  <c r="S358" i="19" s="1"/>
  <c r="S362" i="19" s="1"/>
  <c r="G405" i="19"/>
  <c r="I405" i="19"/>
  <c r="K405" i="19"/>
  <c r="O405" i="19"/>
  <c r="Q405" i="19"/>
  <c r="L406" i="19"/>
  <c r="M406" i="19" s="1"/>
  <c r="T406" i="19"/>
  <c r="L432" i="19"/>
  <c r="M432" i="19" s="1"/>
  <c r="L435" i="19"/>
  <c r="M435" i="19" s="1"/>
  <c r="J437" i="19"/>
  <c r="N437" i="19"/>
  <c r="Q439" i="19"/>
  <c r="G467" i="19"/>
  <c r="K467" i="19"/>
  <c r="Q467" i="19"/>
  <c r="T468" i="19"/>
  <c r="K497" i="19"/>
  <c r="O497" i="19"/>
  <c r="Q497" i="19"/>
  <c r="K512" i="19"/>
  <c r="V513" i="19"/>
  <c r="G580" i="19"/>
  <c r="L606" i="19"/>
  <c r="M606" i="19" s="1"/>
  <c r="M605" i="19" s="1"/>
  <c r="L403" i="19"/>
  <c r="M403" i="19" s="1"/>
  <c r="M402" i="19" s="1"/>
  <c r="T403" i="19"/>
  <c r="L465" i="19"/>
  <c r="L464" i="19" s="1"/>
  <c r="L495" i="19"/>
  <c r="M495" i="19" s="1"/>
  <c r="T508" i="19"/>
  <c r="Q512" i="19"/>
  <c r="V686" i="19"/>
  <c r="V682" i="19"/>
  <c r="V716" i="19"/>
  <c r="L573" i="19"/>
  <c r="Q580" i="19"/>
  <c r="L603" i="19"/>
  <c r="L685" i="19"/>
  <c r="M685" i="19" s="1"/>
  <c r="F640" i="19"/>
  <c r="T655" i="19"/>
  <c r="N640" i="19"/>
  <c r="T510" i="19"/>
  <c r="Q610" i="19"/>
  <c r="L627" i="19"/>
  <c r="M627" i="19" s="1"/>
  <c r="L628" i="19"/>
  <c r="M628" i="19" s="1"/>
  <c r="L629" i="19"/>
  <c r="L636" i="19"/>
  <c r="M636" i="19" s="1"/>
  <c r="T685" i="19"/>
  <c r="L648" i="19"/>
  <c r="M648" i="19" s="1"/>
  <c r="M647" i="19" s="1"/>
  <c r="T648" i="19"/>
  <c r="T647" i="19" s="1"/>
  <c r="L653" i="19"/>
  <c r="T653" i="19"/>
  <c r="T652" i="19" s="1"/>
  <c r="V653" i="19"/>
  <c r="V656" i="19" s="1"/>
  <c r="L656" i="19"/>
  <c r="M656" i="19" s="1"/>
  <c r="T656" i="19"/>
  <c r="F657" i="19"/>
  <c r="F658" i="19" s="1"/>
  <c r="H657" i="19"/>
  <c r="J657" i="19"/>
  <c r="N657" i="19"/>
  <c r="P657" i="19"/>
  <c r="R657" i="19"/>
  <c r="G687" i="19"/>
  <c r="I687" i="19"/>
  <c r="I642" i="19" s="1"/>
  <c r="K687" i="19"/>
  <c r="O687" i="19"/>
  <c r="Q687" i="19"/>
  <c r="S687" i="19"/>
  <c r="V636" i="19"/>
  <c r="F638" i="19"/>
  <c r="H638" i="19"/>
  <c r="J638" i="19"/>
  <c r="N638" i="19"/>
  <c r="P638" i="19"/>
  <c r="R638" i="19"/>
  <c r="R637" i="19" s="1"/>
  <c r="L683" i="19"/>
  <c r="M683" i="19" s="1"/>
  <c r="M682" i="19" s="1"/>
  <c r="T683" i="19"/>
  <c r="L713" i="19"/>
  <c r="L712" i="19" s="1"/>
  <c r="T713" i="19"/>
  <c r="T712" i="19" s="1"/>
  <c r="T715" i="19"/>
  <c r="N175" i="18"/>
  <c r="R175" i="18"/>
  <c r="V173" i="18"/>
  <c r="T200" i="18"/>
  <c r="U200" i="18" s="1"/>
  <c r="S170" i="18"/>
  <c r="T170" i="18" s="1"/>
  <c r="J236" i="18"/>
  <c r="J217" i="18"/>
  <c r="J216" i="18" s="1"/>
  <c r="J234" i="18"/>
  <c r="J219" i="18" s="1"/>
  <c r="G251" i="18"/>
  <c r="G217" i="18"/>
  <c r="I251" i="18"/>
  <c r="I249" i="18"/>
  <c r="I219" i="18" s="1"/>
  <c r="I217" i="18"/>
  <c r="L168" i="18"/>
  <c r="M168" i="18" s="1"/>
  <c r="T169" i="18"/>
  <c r="L190" i="18"/>
  <c r="M190" i="18" s="1"/>
  <c r="S202" i="18"/>
  <c r="T202" i="18" s="1"/>
  <c r="T205" i="18"/>
  <c r="L232" i="18"/>
  <c r="G249" i="18"/>
  <c r="G219" i="18" s="1"/>
  <c r="J99" i="18"/>
  <c r="V187" i="18"/>
  <c r="V186" i="18" s="1"/>
  <c r="V167" i="18"/>
  <c r="V181" i="18"/>
  <c r="G172" i="18"/>
  <c r="G171" i="18" s="1"/>
  <c r="I172" i="18"/>
  <c r="I171" i="18" s="1"/>
  <c r="K191" i="18"/>
  <c r="H235" i="18"/>
  <c r="H236" i="18" s="1"/>
  <c r="V246" i="18"/>
  <c r="V218" i="18"/>
  <c r="F283" i="18"/>
  <c r="F284" i="18" s="1"/>
  <c r="F281" i="18"/>
  <c r="H283" i="18"/>
  <c r="J283" i="18"/>
  <c r="J281" i="18"/>
  <c r="L92" i="18"/>
  <c r="L91" i="18" s="1"/>
  <c r="H99" i="18"/>
  <c r="G189" i="18"/>
  <c r="K249" i="18"/>
  <c r="L250" i="18"/>
  <c r="M250" i="18" s="1"/>
  <c r="L279" i="18"/>
  <c r="H281" i="18"/>
  <c r="H101" i="18"/>
  <c r="J100" i="18"/>
  <c r="J101" i="18" s="1"/>
  <c r="N101" i="18"/>
  <c r="F175" i="18"/>
  <c r="S215" i="18"/>
  <c r="T215" i="18" s="1"/>
  <c r="N236" i="18"/>
  <c r="N217" i="18"/>
  <c r="R236" i="18"/>
  <c r="R217" i="18"/>
  <c r="R99" i="18"/>
  <c r="L163" i="18"/>
  <c r="M163" i="18" s="1"/>
  <c r="L164" i="18"/>
  <c r="M164" i="18" s="1"/>
  <c r="L165" i="18"/>
  <c r="T168" i="18"/>
  <c r="L169" i="18"/>
  <c r="M169" i="18" s="1"/>
  <c r="L170" i="18"/>
  <c r="M170" i="18" s="1"/>
  <c r="T173" i="18"/>
  <c r="T182" i="18"/>
  <c r="T181" i="18" s="1"/>
  <c r="S187" i="18"/>
  <c r="S191" i="18" s="1"/>
  <c r="U188" i="18"/>
  <c r="W188" i="18" s="1"/>
  <c r="G204" i="18"/>
  <c r="K204" i="18"/>
  <c r="K174" i="18" s="1"/>
  <c r="V205" i="18"/>
  <c r="L213" i="18"/>
  <c r="M213" i="18" s="1"/>
  <c r="U228" i="18"/>
  <c r="W228" i="18" s="1"/>
  <c r="L229" i="18"/>
  <c r="N234" i="18"/>
  <c r="R234" i="18"/>
  <c r="T242" i="18"/>
  <c r="T241" i="18" s="1"/>
  <c r="S247" i="18"/>
  <c r="S251" i="18" s="1"/>
  <c r="V279" i="18"/>
  <c r="V282" i="18" s="1"/>
  <c r="V267" i="18" s="1"/>
  <c r="W267" i="18" s="1"/>
  <c r="N281" i="18"/>
  <c r="R281" i="18"/>
  <c r="L282" i="18"/>
  <c r="M282" i="18" s="1"/>
  <c r="L202" i="18"/>
  <c r="L201" i="18" s="1"/>
  <c r="L247" i="18"/>
  <c r="M247" i="18" s="1"/>
  <c r="V308" i="18"/>
  <c r="L309" i="18"/>
  <c r="M309" i="18" s="1"/>
  <c r="F311" i="18"/>
  <c r="H311" i="18"/>
  <c r="J311" i="18"/>
  <c r="N311" i="18"/>
  <c r="R311" i="18"/>
  <c r="F407" i="18"/>
  <c r="F408" i="18" s="1"/>
  <c r="H407" i="18"/>
  <c r="J407" i="18"/>
  <c r="N407" i="18"/>
  <c r="R407" i="18"/>
  <c r="T435" i="18"/>
  <c r="G438" i="18"/>
  <c r="G439" i="18" s="1"/>
  <c r="F469" i="18"/>
  <c r="F470" i="18" s="1"/>
  <c r="H469" i="18"/>
  <c r="J469" i="18"/>
  <c r="N469" i="18"/>
  <c r="R469" i="18"/>
  <c r="K497" i="18"/>
  <c r="J512" i="18"/>
  <c r="N512" i="18"/>
  <c r="R512" i="18"/>
  <c r="R482" i="18" s="1"/>
  <c r="F581" i="18"/>
  <c r="L403" i="18"/>
  <c r="M403" i="18" s="1"/>
  <c r="M402" i="18" s="1"/>
  <c r="L465" i="18"/>
  <c r="M465" i="18" s="1"/>
  <c r="M464" i="18" s="1"/>
  <c r="L492" i="18"/>
  <c r="M492" i="18" s="1"/>
  <c r="L495" i="18"/>
  <c r="M495" i="18" s="1"/>
  <c r="M494" i="18" s="1"/>
  <c r="J497" i="18"/>
  <c r="T604" i="18"/>
  <c r="N610" i="18"/>
  <c r="N565" i="18" s="1"/>
  <c r="N608" i="18"/>
  <c r="R608" i="18"/>
  <c r="V686" i="18"/>
  <c r="V716" i="18"/>
  <c r="T574" i="18"/>
  <c r="I578" i="18"/>
  <c r="I563" i="18" s="1"/>
  <c r="K578" i="18"/>
  <c r="V600" i="18"/>
  <c r="J608" i="18"/>
  <c r="L606" i="18"/>
  <c r="M606" i="18" s="1"/>
  <c r="T653" i="18"/>
  <c r="T652" i="18" s="1"/>
  <c r="G655" i="18"/>
  <c r="I655" i="18"/>
  <c r="K655" i="18"/>
  <c r="S655" i="18"/>
  <c r="F685" i="18"/>
  <c r="H685" i="18"/>
  <c r="H640" i="18" s="1"/>
  <c r="J685" i="18"/>
  <c r="N685" i="18"/>
  <c r="N640" i="18" s="1"/>
  <c r="R685" i="18"/>
  <c r="R640" i="18" s="1"/>
  <c r="L629" i="18"/>
  <c r="M629" i="18" s="1"/>
  <c r="L636" i="18"/>
  <c r="M636" i="18" s="1"/>
  <c r="L683" i="18"/>
  <c r="L713" i="18"/>
  <c r="M713" i="18" s="1"/>
  <c r="O101" i="15"/>
  <c r="Q101" i="15"/>
  <c r="N146" i="15"/>
  <c r="R146" i="15"/>
  <c r="N167" i="15"/>
  <c r="R167" i="15"/>
  <c r="R166" i="15" s="1"/>
  <c r="O172" i="15"/>
  <c r="O171" i="15" s="1"/>
  <c r="Q191" i="15"/>
  <c r="Q172" i="15"/>
  <c r="Q171" i="15" s="1"/>
  <c r="I206" i="15"/>
  <c r="V226" i="15"/>
  <c r="N236" i="15"/>
  <c r="F251" i="15"/>
  <c r="F252" i="15" s="1"/>
  <c r="F249" i="15"/>
  <c r="F219" i="15" s="1"/>
  <c r="J251" i="15"/>
  <c r="J249" i="15"/>
  <c r="J219" i="15" s="1"/>
  <c r="F313" i="15"/>
  <c r="F314" i="15" s="1"/>
  <c r="F311" i="15"/>
  <c r="H313" i="15"/>
  <c r="J313" i="15"/>
  <c r="J311" i="15"/>
  <c r="U93" i="15"/>
  <c r="U98" i="15"/>
  <c r="W98" i="15" s="1"/>
  <c r="Q99" i="15"/>
  <c r="N101" i="15"/>
  <c r="U133" i="15"/>
  <c r="U134" i="15"/>
  <c r="U135" i="15"/>
  <c r="W135" i="15" s="1"/>
  <c r="L137" i="15"/>
  <c r="L136" i="15" s="1"/>
  <c r="T142" i="15"/>
  <c r="T141" i="15" s="1"/>
  <c r="H144" i="15"/>
  <c r="T145" i="15"/>
  <c r="L163" i="15"/>
  <c r="M163" i="15" s="1"/>
  <c r="L164" i="15"/>
  <c r="M164" i="15" s="1"/>
  <c r="L165" i="15"/>
  <c r="M165" i="15" s="1"/>
  <c r="L169" i="15"/>
  <c r="M169" i="15" s="1"/>
  <c r="L170" i="15"/>
  <c r="M170" i="15" s="1"/>
  <c r="T173" i="15"/>
  <c r="U179" i="15"/>
  <c r="W179" i="15" s="1"/>
  <c r="T182" i="15"/>
  <c r="T181" i="15" s="1"/>
  <c r="S187" i="15"/>
  <c r="S191" i="15" s="1"/>
  <c r="U188" i="15"/>
  <c r="W188" i="15" s="1"/>
  <c r="Q189" i="15"/>
  <c r="U195" i="15"/>
  <c r="U198" i="15"/>
  <c r="W198" i="15" s="1"/>
  <c r="G204" i="15"/>
  <c r="K204" i="15"/>
  <c r="N206" i="15"/>
  <c r="L209" i="15"/>
  <c r="M209" i="15" s="1"/>
  <c r="T210" i="15"/>
  <c r="N220" i="15"/>
  <c r="R220" i="15"/>
  <c r="T214" i="15"/>
  <c r="L218" i="15"/>
  <c r="M218" i="15" s="1"/>
  <c r="R234" i="15"/>
  <c r="T242" i="15"/>
  <c r="T241" i="15" s="1"/>
  <c r="L247" i="15"/>
  <c r="L246" i="15" s="1"/>
  <c r="H249" i="15"/>
  <c r="L282" i="15"/>
  <c r="M282" i="15" s="1"/>
  <c r="L309" i="15"/>
  <c r="M309" i="15" s="1"/>
  <c r="M308" i="15" s="1"/>
  <c r="K101" i="15"/>
  <c r="F146" i="15"/>
  <c r="F147" i="15" s="1"/>
  <c r="J146" i="15"/>
  <c r="V187" i="15"/>
  <c r="V186" i="15" s="1"/>
  <c r="V167" i="15"/>
  <c r="V166" i="15" s="1"/>
  <c r="G191" i="15"/>
  <c r="G172" i="15"/>
  <c r="I191" i="15"/>
  <c r="I172" i="15"/>
  <c r="I171" i="15" s="1"/>
  <c r="K191" i="15"/>
  <c r="K172" i="15"/>
  <c r="K171" i="15" s="1"/>
  <c r="V173" i="15"/>
  <c r="T200" i="15"/>
  <c r="U200" i="15" s="1"/>
  <c r="O206" i="15"/>
  <c r="Q206" i="15"/>
  <c r="V235" i="15"/>
  <c r="S249" i="15"/>
  <c r="V215" i="15"/>
  <c r="I283" i="15"/>
  <c r="K283" i="15"/>
  <c r="V308" i="15"/>
  <c r="K99" i="15"/>
  <c r="L142" i="15"/>
  <c r="L141" i="15" s="1"/>
  <c r="F144" i="15"/>
  <c r="J144" i="15"/>
  <c r="T169" i="15"/>
  <c r="U169" i="15" s="1"/>
  <c r="W169" i="15" s="1"/>
  <c r="L182" i="15"/>
  <c r="G189" i="15"/>
  <c r="G174" i="15" s="1"/>
  <c r="K189" i="15"/>
  <c r="S202" i="15"/>
  <c r="T202" i="15" s="1"/>
  <c r="Q204" i="15"/>
  <c r="T209" i="15"/>
  <c r="L214" i="15"/>
  <c r="M214" i="15" s="1"/>
  <c r="G281" i="15"/>
  <c r="O407" i="15"/>
  <c r="Q407" i="15"/>
  <c r="V465" i="15"/>
  <c r="V468" i="15" s="1"/>
  <c r="G469" i="15"/>
  <c r="I469" i="15"/>
  <c r="K469" i="15"/>
  <c r="I480" i="15"/>
  <c r="O512" i="15"/>
  <c r="S514" i="15"/>
  <c r="S512" i="15"/>
  <c r="V686" i="15"/>
  <c r="T398" i="15"/>
  <c r="S403" i="15"/>
  <c r="S358" i="15" s="1"/>
  <c r="Q405" i="15"/>
  <c r="Q360" i="15" s="1"/>
  <c r="T406" i="15"/>
  <c r="T430" i="15"/>
  <c r="T429" i="15" s="1"/>
  <c r="T435" i="15"/>
  <c r="G467" i="15"/>
  <c r="K467" i="15"/>
  <c r="L468" i="15"/>
  <c r="M468" i="15" s="1"/>
  <c r="Q512" i="15"/>
  <c r="T513" i="15"/>
  <c r="L562" i="15"/>
  <c r="M562" i="15" s="1"/>
  <c r="T277" i="15"/>
  <c r="U277" i="15" s="1"/>
  <c r="W277" i="15" s="1"/>
  <c r="N313" i="15"/>
  <c r="R313" i="15"/>
  <c r="V312" i="15"/>
  <c r="V403" i="15"/>
  <c r="V358" i="15" s="1"/>
  <c r="G407" i="15"/>
  <c r="I407" i="15"/>
  <c r="K407" i="15"/>
  <c r="Q469" i="15"/>
  <c r="L487" i="15"/>
  <c r="M487" i="15" s="1"/>
  <c r="V481" i="15"/>
  <c r="N483" i="15"/>
  <c r="R499" i="15"/>
  <c r="L94" i="15"/>
  <c r="M94" i="15" s="1"/>
  <c r="L202" i="15"/>
  <c r="L201" i="15" s="1"/>
  <c r="U224" i="15"/>
  <c r="W224" i="15" s="1"/>
  <c r="U229" i="15"/>
  <c r="W229" i="15" s="1"/>
  <c r="L232" i="15"/>
  <c r="M232" i="15" s="1"/>
  <c r="H234" i="15"/>
  <c r="T235" i="15"/>
  <c r="V247" i="15"/>
  <c r="V250" i="15" s="1"/>
  <c r="N249" i="15"/>
  <c r="N219" i="15" s="1"/>
  <c r="R249" i="15"/>
  <c r="R219" i="15" s="1"/>
  <c r="L250" i="15"/>
  <c r="M250" i="15" s="1"/>
  <c r="U270" i="15"/>
  <c r="W270" i="15" s="1"/>
  <c r="T274" i="15"/>
  <c r="T273" i="15" s="1"/>
  <c r="S279" i="15"/>
  <c r="S281" i="15" s="1"/>
  <c r="U280" i="15"/>
  <c r="W280" i="15" s="1"/>
  <c r="Q281" i="15"/>
  <c r="Q266" i="15" s="1"/>
  <c r="U302" i="15"/>
  <c r="W302" i="15" s="1"/>
  <c r="L304" i="15"/>
  <c r="L303" i="15" s="1"/>
  <c r="N311" i="15"/>
  <c r="R311" i="15"/>
  <c r="L312" i="15"/>
  <c r="M312" i="15" s="1"/>
  <c r="U399" i="15"/>
  <c r="W399" i="15" s="1"/>
  <c r="G405" i="15"/>
  <c r="G360" i="15" s="1"/>
  <c r="K405" i="15"/>
  <c r="K360" i="15" s="1"/>
  <c r="O405" i="15"/>
  <c r="O360" i="15" s="1"/>
  <c r="R407" i="15"/>
  <c r="U431" i="15"/>
  <c r="W431" i="15" s="1"/>
  <c r="L435" i="15"/>
  <c r="L434" i="15" s="1"/>
  <c r="V435" i="15"/>
  <c r="F437" i="15"/>
  <c r="J437" i="15"/>
  <c r="N437" i="15"/>
  <c r="N422" i="15" s="1"/>
  <c r="R437" i="15"/>
  <c r="R422" i="15" s="1"/>
  <c r="L438" i="15"/>
  <c r="M438" i="15" s="1"/>
  <c r="U457" i="15"/>
  <c r="W457" i="15" s="1"/>
  <c r="V459" i="15"/>
  <c r="S465" i="15"/>
  <c r="S469" i="15" s="1"/>
  <c r="U466" i="15"/>
  <c r="W466" i="15" s="1"/>
  <c r="I467" i="15"/>
  <c r="Q467" i="15"/>
  <c r="T468" i="15"/>
  <c r="T488" i="15"/>
  <c r="G480" i="15"/>
  <c r="G479" i="15" s="1"/>
  <c r="V559" i="15"/>
  <c r="F580" i="15"/>
  <c r="F581" i="15" s="1"/>
  <c r="H578" i="15"/>
  <c r="J578" i="15"/>
  <c r="L279" i="15"/>
  <c r="L278" i="15" s="1"/>
  <c r="L403" i="15"/>
  <c r="M403" i="15" s="1"/>
  <c r="L465" i="15"/>
  <c r="M465" i="15" s="1"/>
  <c r="M464" i="15" s="1"/>
  <c r="T481" i="15"/>
  <c r="U491" i="15"/>
  <c r="W491" i="15" s="1"/>
  <c r="U496" i="15"/>
  <c r="W496" i="15" s="1"/>
  <c r="U501" i="15"/>
  <c r="U503" i="15"/>
  <c r="W503" i="15" s="1"/>
  <c r="L505" i="15"/>
  <c r="M505" i="15" s="1"/>
  <c r="M504" i="15" s="1"/>
  <c r="G512" i="15"/>
  <c r="K512" i="15"/>
  <c r="L558" i="15"/>
  <c r="M558" i="15" s="1"/>
  <c r="T562" i="15"/>
  <c r="U572" i="15"/>
  <c r="W572" i="15" s="1"/>
  <c r="V609" i="15"/>
  <c r="L492" i="15"/>
  <c r="M492" i="15" s="1"/>
  <c r="L510" i="15"/>
  <c r="M510" i="15" s="1"/>
  <c r="T510" i="15"/>
  <c r="T509" i="15" s="1"/>
  <c r="T576" i="15"/>
  <c r="T575" i="15" s="1"/>
  <c r="I578" i="15"/>
  <c r="F608" i="15"/>
  <c r="H608" i="15"/>
  <c r="H563" i="15" s="1"/>
  <c r="J608" i="15"/>
  <c r="N608" i="15"/>
  <c r="N563" i="15" s="1"/>
  <c r="R608" i="15"/>
  <c r="R563" i="15" s="1"/>
  <c r="O628" i="15"/>
  <c r="T628" i="15" s="1"/>
  <c r="O638" i="15"/>
  <c r="O637" i="15" s="1"/>
  <c r="V639" i="15"/>
  <c r="N640" i="15"/>
  <c r="V647" i="15"/>
  <c r="L653" i="15"/>
  <c r="I655" i="15"/>
  <c r="K655" i="15"/>
  <c r="O655" i="15"/>
  <c r="Q655" i="15"/>
  <c r="Q640" i="15" s="1"/>
  <c r="G687" i="15"/>
  <c r="K687" i="15"/>
  <c r="Q687" i="15"/>
  <c r="T606" i="15"/>
  <c r="T605" i="15" s="1"/>
  <c r="M629" i="15"/>
  <c r="L683" i="15"/>
  <c r="M683" i="15" s="1"/>
  <c r="M682" i="15" s="1"/>
  <c r="L713" i="15"/>
  <c r="L712" i="15" s="1"/>
  <c r="V141" i="13"/>
  <c r="K236" i="13"/>
  <c r="J146" i="13"/>
  <c r="V167" i="13"/>
  <c r="I172" i="13"/>
  <c r="V173" i="13"/>
  <c r="L187" i="13"/>
  <c r="M187" i="13" s="1"/>
  <c r="G206" i="13"/>
  <c r="Q206" i="13"/>
  <c r="U225" i="13"/>
  <c r="W225" i="13" s="1"/>
  <c r="T230" i="13"/>
  <c r="U230" i="13" s="1"/>
  <c r="Q234" i="13"/>
  <c r="V312" i="13"/>
  <c r="S311" i="13"/>
  <c r="L94" i="13"/>
  <c r="M94" i="13" s="1"/>
  <c r="T205" i="13"/>
  <c r="S512" i="13"/>
  <c r="L210" i="13"/>
  <c r="M210" i="13" s="1"/>
  <c r="T245" i="13"/>
  <c r="I251" i="13"/>
  <c r="F283" i="13"/>
  <c r="F284" i="13" s="1"/>
  <c r="T307" i="13"/>
  <c r="T309" i="13"/>
  <c r="L370" i="13"/>
  <c r="M370" i="13" s="1"/>
  <c r="T401" i="13"/>
  <c r="U401" i="13" s="1"/>
  <c r="W401" i="13" s="1"/>
  <c r="G407" i="13"/>
  <c r="K407" i="13"/>
  <c r="Q407" i="13"/>
  <c r="I497" i="13"/>
  <c r="I482" i="13" s="1"/>
  <c r="I480" i="13"/>
  <c r="I479" i="13" s="1"/>
  <c r="T250" i="13"/>
  <c r="L373" i="13"/>
  <c r="T406" i="13"/>
  <c r="T463" i="13"/>
  <c r="U463" i="13" s="1"/>
  <c r="L465" i="13"/>
  <c r="M465" i="13" s="1"/>
  <c r="M464" i="13" s="1"/>
  <c r="I469" i="13"/>
  <c r="Q469" i="13"/>
  <c r="T488" i="13"/>
  <c r="L492" i="13"/>
  <c r="M492" i="13" s="1"/>
  <c r="L493" i="13"/>
  <c r="M493" i="13" s="1"/>
  <c r="T508" i="13"/>
  <c r="N514" i="13"/>
  <c r="R514" i="13"/>
  <c r="L558" i="13"/>
  <c r="M558" i="13" s="1"/>
  <c r="L468" i="13"/>
  <c r="M468" i="13" s="1"/>
  <c r="T468" i="13"/>
  <c r="F545" i="13"/>
  <c r="F528" i="13" s="1"/>
  <c r="N545" i="13"/>
  <c r="N528" i="13" s="1"/>
  <c r="J560" i="13"/>
  <c r="F564" i="13"/>
  <c r="F578" i="13"/>
  <c r="J578" i="13"/>
  <c r="U602" i="13"/>
  <c r="H610" i="13"/>
  <c r="N610" i="13"/>
  <c r="R610" i="13"/>
  <c r="V686" i="13"/>
  <c r="T576" i="13"/>
  <c r="T575" i="13" s="1"/>
  <c r="L629" i="13"/>
  <c r="M629" i="13" s="1"/>
  <c r="I657" i="13"/>
  <c r="K657" i="13"/>
  <c r="I687" i="13"/>
  <c r="S687" i="13"/>
  <c r="L653" i="13"/>
  <c r="M653" i="13" s="1"/>
  <c r="L683" i="13"/>
  <c r="L682" i="13" s="1"/>
  <c r="L686" i="13"/>
  <c r="M686" i="13" s="1"/>
  <c r="T713" i="13"/>
  <c r="T712" i="13" s="1"/>
  <c r="T95" i="11"/>
  <c r="O146" i="11"/>
  <c r="O175" i="11"/>
  <c r="S175" i="11"/>
  <c r="I100" i="11"/>
  <c r="I101" i="11" s="1"/>
  <c r="U143" i="11"/>
  <c r="W143" i="11" s="1"/>
  <c r="Q144" i="11"/>
  <c r="F146" i="11"/>
  <c r="F147" i="11" s="1"/>
  <c r="T164" i="11"/>
  <c r="L89" i="11"/>
  <c r="U89" i="11" s="1"/>
  <c r="L94" i="11"/>
  <c r="I99" i="11"/>
  <c r="L97" i="11"/>
  <c r="V142" i="11"/>
  <c r="V141" i="11" s="1"/>
  <c r="K146" i="11"/>
  <c r="S204" i="11"/>
  <c r="H499" i="11"/>
  <c r="G100" i="11"/>
  <c r="L137" i="11"/>
  <c r="L136" i="11" s="1"/>
  <c r="K144" i="11"/>
  <c r="F313" i="11"/>
  <c r="F314" i="11" s="1"/>
  <c r="H313" i="11"/>
  <c r="J313" i="11"/>
  <c r="F376" i="11"/>
  <c r="F377" i="11" s="1"/>
  <c r="F378" i="11" s="1"/>
  <c r="L370" i="11"/>
  <c r="M370" i="11" s="1"/>
  <c r="O407" i="11"/>
  <c r="O469" i="11"/>
  <c r="O467" i="11"/>
  <c r="Q469" i="11"/>
  <c r="N469" i="11"/>
  <c r="R469" i="11"/>
  <c r="G514" i="11"/>
  <c r="I514" i="11"/>
  <c r="I512" i="11"/>
  <c r="Q578" i="11"/>
  <c r="Q580" i="11"/>
  <c r="S578" i="11"/>
  <c r="F189" i="11"/>
  <c r="H189" i="11"/>
  <c r="J189" i="11"/>
  <c r="R189" i="11"/>
  <c r="T202" i="11"/>
  <c r="F204" i="11"/>
  <c r="J204" i="11"/>
  <c r="V232" i="11"/>
  <c r="N234" i="11"/>
  <c r="R234" i="11"/>
  <c r="T242" i="11"/>
  <c r="T241" i="11" s="1"/>
  <c r="H249" i="11"/>
  <c r="G281" i="11"/>
  <c r="K281" i="11"/>
  <c r="K266" i="11" s="1"/>
  <c r="L282" i="11"/>
  <c r="M282" i="11" s="1"/>
  <c r="L309" i="11"/>
  <c r="M309" i="11" s="1"/>
  <c r="M308" i="11" s="1"/>
  <c r="H311" i="11"/>
  <c r="S403" i="11"/>
  <c r="S358" i="11" s="1"/>
  <c r="T406" i="11"/>
  <c r="T430" i="11"/>
  <c r="T429" i="11" s="1"/>
  <c r="T435" i="11"/>
  <c r="T434" i="11" s="1"/>
  <c r="R437" i="11"/>
  <c r="S439" i="11"/>
  <c r="S465" i="11"/>
  <c r="S467" i="11" s="1"/>
  <c r="Q467" i="11"/>
  <c r="T468" i="11"/>
  <c r="L513" i="11"/>
  <c r="M513" i="11" s="1"/>
  <c r="T277" i="11"/>
  <c r="U277" i="11" s="1"/>
  <c r="W277" i="11" s="1"/>
  <c r="N313" i="11"/>
  <c r="R313" i="11"/>
  <c r="V312" i="11"/>
  <c r="G407" i="11"/>
  <c r="K407" i="11"/>
  <c r="H439" i="11"/>
  <c r="H437" i="11"/>
  <c r="O497" i="11"/>
  <c r="E525" i="11"/>
  <c r="V570" i="11"/>
  <c r="G608" i="11"/>
  <c r="I608" i="11"/>
  <c r="K608" i="11"/>
  <c r="T142" i="11"/>
  <c r="T141" i="11" s="1"/>
  <c r="H172" i="11"/>
  <c r="N172" i="11"/>
  <c r="N171" i="11" s="1"/>
  <c r="R172" i="11"/>
  <c r="R171" i="11" s="1"/>
  <c r="N220" i="11"/>
  <c r="N217" i="11"/>
  <c r="V219" i="11"/>
  <c r="V226" i="11"/>
  <c r="L232" i="11"/>
  <c r="L231" i="11" s="1"/>
  <c r="H234" i="11"/>
  <c r="V247" i="11"/>
  <c r="V250" i="11" s="1"/>
  <c r="J249" i="11"/>
  <c r="J219" i="11" s="1"/>
  <c r="R249" i="11"/>
  <c r="U270" i="11"/>
  <c r="W270" i="11" s="1"/>
  <c r="T274" i="11"/>
  <c r="T273" i="11" s="1"/>
  <c r="S279" i="11"/>
  <c r="U280" i="11"/>
  <c r="W280" i="11" s="1"/>
  <c r="I281" i="11"/>
  <c r="I266" i="11" s="1"/>
  <c r="U302" i="11"/>
  <c r="W302" i="11" s="1"/>
  <c r="L304" i="11"/>
  <c r="L303" i="11" s="1"/>
  <c r="V308" i="11"/>
  <c r="F311" i="11"/>
  <c r="J311" i="11"/>
  <c r="N311" i="11"/>
  <c r="R311" i="11"/>
  <c r="L312" i="11"/>
  <c r="M312" i="11" s="1"/>
  <c r="T373" i="11"/>
  <c r="T372" i="11" s="1"/>
  <c r="J375" i="11"/>
  <c r="N375" i="11"/>
  <c r="R375" i="11"/>
  <c r="G405" i="11"/>
  <c r="O405" i="11"/>
  <c r="U431" i="11"/>
  <c r="W431" i="11" s="1"/>
  <c r="L435" i="11"/>
  <c r="L434" i="11" s="1"/>
  <c r="V435" i="11"/>
  <c r="V434" i="11" s="1"/>
  <c r="F437" i="11"/>
  <c r="N437" i="11"/>
  <c r="L492" i="11"/>
  <c r="M492" i="11" s="1"/>
  <c r="T550" i="11"/>
  <c r="U568" i="11"/>
  <c r="L601" i="11"/>
  <c r="M601" i="11" s="1"/>
  <c r="M600" i="11" s="1"/>
  <c r="V465" i="11"/>
  <c r="V464" i="11" s="1"/>
  <c r="V489" i="11"/>
  <c r="K499" i="11"/>
  <c r="K480" i="11"/>
  <c r="V481" i="11"/>
  <c r="T574" i="11"/>
  <c r="S559" i="11"/>
  <c r="V606" i="11"/>
  <c r="V609" i="11" s="1"/>
  <c r="L279" i="11"/>
  <c r="L278" i="11" s="1"/>
  <c r="T438" i="11"/>
  <c r="G439" i="11"/>
  <c r="K439" i="11"/>
  <c r="Q439" i="11"/>
  <c r="U461" i="11"/>
  <c r="W461" i="11" s="1"/>
  <c r="G467" i="11"/>
  <c r="K467" i="11"/>
  <c r="T487" i="11"/>
  <c r="U487" i="11" s="1"/>
  <c r="U491" i="11"/>
  <c r="W491" i="11" s="1"/>
  <c r="K497" i="11"/>
  <c r="N498" i="11"/>
  <c r="N483" i="11" s="1"/>
  <c r="T505" i="11"/>
  <c r="U511" i="11"/>
  <c r="W511" i="11" s="1"/>
  <c r="J553" i="11"/>
  <c r="I578" i="11"/>
  <c r="L576" i="11"/>
  <c r="K578" i="11"/>
  <c r="L465" i="11"/>
  <c r="L464" i="11" s="1"/>
  <c r="L510" i="11"/>
  <c r="M510" i="11" s="1"/>
  <c r="M509" i="11" s="1"/>
  <c r="U567" i="11"/>
  <c r="V686" i="11"/>
  <c r="L609" i="11"/>
  <c r="M609" i="11" s="1"/>
  <c r="S610" i="11"/>
  <c r="F631" i="11"/>
  <c r="F638" i="11"/>
  <c r="F655" i="11"/>
  <c r="J655" i="11"/>
  <c r="L683" i="11"/>
  <c r="L682" i="11" s="1"/>
  <c r="I685" i="11"/>
  <c r="O685" i="11"/>
  <c r="S685" i="11"/>
  <c r="K715" i="11"/>
  <c r="T653" i="11"/>
  <c r="T652" i="11" s="1"/>
  <c r="J715" i="11"/>
  <c r="N715" i="11"/>
  <c r="R715" i="11"/>
  <c r="S251" i="9"/>
  <c r="L373" i="9"/>
  <c r="I375" i="9"/>
  <c r="G145" i="9"/>
  <c r="G146" i="9" s="1"/>
  <c r="Q146" i="9"/>
  <c r="J172" i="9"/>
  <c r="R172" i="9"/>
  <c r="V174" i="9"/>
  <c r="J191" i="9"/>
  <c r="R191" i="9"/>
  <c r="H206" i="9"/>
  <c r="R206" i="9"/>
  <c r="T213" i="9"/>
  <c r="V250" i="9"/>
  <c r="V246" i="9"/>
  <c r="S407" i="9"/>
  <c r="S405" i="9"/>
  <c r="L94" i="9"/>
  <c r="M94" i="9" s="1"/>
  <c r="T145" i="9"/>
  <c r="L202" i="9"/>
  <c r="M202" i="9" s="1"/>
  <c r="M201" i="9" s="1"/>
  <c r="O220" i="9"/>
  <c r="J497" i="9"/>
  <c r="O236" i="9"/>
  <c r="Q236" i="9"/>
  <c r="T245" i="9"/>
  <c r="U245" i="9" s="1"/>
  <c r="G251" i="9"/>
  <c r="K251" i="9"/>
  <c r="Q251" i="9"/>
  <c r="J377" i="9"/>
  <c r="N377" i="9"/>
  <c r="T401" i="9"/>
  <c r="F405" i="9"/>
  <c r="G500" i="9"/>
  <c r="V468" i="9"/>
  <c r="V464" i="9"/>
  <c r="N480" i="9"/>
  <c r="N497" i="9"/>
  <c r="L250" i="9"/>
  <c r="M250" i="9" s="1"/>
  <c r="G405" i="9"/>
  <c r="I405" i="9"/>
  <c r="K405" i="9"/>
  <c r="O405" i="9"/>
  <c r="T463" i="9"/>
  <c r="U463" i="9" s="1"/>
  <c r="G469" i="9"/>
  <c r="I469" i="9"/>
  <c r="K469" i="9"/>
  <c r="I480" i="9"/>
  <c r="S480" i="9"/>
  <c r="V481" i="9"/>
  <c r="N514" i="9"/>
  <c r="R514" i="9"/>
  <c r="T435" i="9"/>
  <c r="L468" i="9"/>
  <c r="M468" i="9" s="1"/>
  <c r="L507" i="9"/>
  <c r="M507" i="9" s="1"/>
  <c r="F560" i="9"/>
  <c r="V145" i="8"/>
  <c r="V231" i="8"/>
  <c r="L94" i="8"/>
  <c r="G144" i="8"/>
  <c r="K144" i="8"/>
  <c r="O144" i="8"/>
  <c r="F189" i="8"/>
  <c r="J189" i="8"/>
  <c r="V202" i="8"/>
  <c r="V201" i="8" s="1"/>
  <c r="N204" i="8"/>
  <c r="G234" i="8"/>
  <c r="K234" i="8"/>
  <c r="T230" i="8"/>
  <c r="U230" i="8" s="1"/>
  <c r="L142" i="8"/>
  <c r="T214" i="8"/>
  <c r="I217" i="8"/>
  <c r="V218" i="8"/>
  <c r="S232" i="8"/>
  <c r="I234" i="8"/>
  <c r="K249" i="8"/>
  <c r="L370" i="8"/>
  <c r="M370" i="8" s="1"/>
  <c r="K375" i="8"/>
  <c r="O375" i="8"/>
  <c r="R405" i="8"/>
  <c r="I437" i="8"/>
  <c r="O437" i="8"/>
  <c r="F467" i="8"/>
  <c r="H467" i="8"/>
  <c r="J467" i="8"/>
  <c r="N467" i="8"/>
  <c r="P467" i="8"/>
  <c r="L495" i="8"/>
  <c r="J497" i="8"/>
  <c r="P497" i="8"/>
  <c r="R497" i="8"/>
  <c r="T503" i="8"/>
  <c r="L510" i="8"/>
  <c r="J512" i="8"/>
  <c r="N512" i="8"/>
  <c r="L373" i="8"/>
  <c r="M373" i="8" s="1"/>
  <c r="K512" i="8"/>
  <c r="P512" i="8"/>
  <c r="K610" i="8"/>
  <c r="T646" i="8"/>
  <c r="L650" i="8"/>
  <c r="M650" i="8" s="1"/>
  <c r="G687" i="8"/>
  <c r="S687" i="8"/>
  <c r="T95" i="7"/>
  <c r="K146" i="7"/>
  <c r="L94" i="7"/>
  <c r="P99" i="7"/>
  <c r="K144" i="7"/>
  <c r="V202" i="7"/>
  <c r="J204" i="7"/>
  <c r="R204" i="7"/>
  <c r="R204" i="23" s="1"/>
  <c r="O234" i="7"/>
  <c r="O234" i="23" s="1"/>
  <c r="I249" i="7"/>
  <c r="O146" i="7"/>
  <c r="Q146" i="7"/>
  <c r="I377" i="7"/>
  <c r="L373" i="7"/>
  <c r="I375" i="7"/>
  <c r="J99" i="7"/>
  <c r="Q144" i="7"/>
  <c r="H204" i="7"/>
  <c r="G249" i="7"/>
  <c r="L435" i="7"/>
  <c r="O480" i="7"/>
  <c r="J578" i="7"/>
  <c r="L606" i="7"/>
  <c r="L605" i="7" s="1"/>
  <c r="K608" i="7"/>
  <c r="K437" i="7"/>
  <c r="R467" i="7"/>
  <c r="J497" i="7"/>
  <c r="Q512" i="7"/>
  <c r="L576" i="7"/>
  <c r="L492" i="7"/>
  <c r="M492" i="7" s="1"/>
  <c r="G477" i="7"/>
  <c r="G483" i="7" s="1"/>
  <c r="H547" i="7"/>
  <c r="R311" i="7"/>
  <c r="Q437" i="7"/>
  <c r="H438" i="7"/>
  <c r="H439" i="7" s="1"/>
  <c r="P497" i="7"/>
  <c r="G498" i="7"/>
  <c r="G499" i="7" s="1"/>
  <c r="G500" i="7" s="1"/>
  <c r="K498" i="7"/>
  <c r="K512" i="7"/>
  <c r="O512" i="7"/>
  <c r="O551" i="7"/>
  <c r="V707" i="7"/>
  <c r="L432" i="7"/>
  <c r="M432" i="7" s="1"/>
  <c r="P512" i="7"/>
  <c r="V653" i="7"/>
  <c r="V656" i="7" s="1"/>
  <c r="M713" i="19"/>
  <c r="M712" i="19" s="1"/>
  <c r="T682" i="19"/>
  <c r="P637" i="19"/>
  <c r="L647" i="19"/>
  <c r="L402" i="19"/>
  <c r="M142" i="19"/>
  <c r="M141" i="19" s="1"/>
  <c r="L231" i="19"/>
  <c r="M97" i="19"/>
  <c r="M96" i="19" s="1"/>
  <c r="L715" i="19"/>
  <c r="M715" i="19" s="1"/>
  <c r="N637" i="19"/>
  <c r="M653" i="19"/>
  <c r="M652" i="19" s="1"/>
  <c r="V217" i="19"/>
  <c r="L464" i="18"/>
  <c r="L246" i="18"/>
  <c r="N216" i="18"/>
  <c r="V166" i="18"/>
  <c r="V190" i="18"/>
  <c r="S206" i="18"/>
  <c r="U169" i="18"/>
  <c r="W169" i="18" s="1"/>
  <c r="S610" i="18"/>
  <c r="L308" i="18"/>
  <c r="M279" i="18"/>
  <c r="M278" i="18" s="1"/>
  <c r="X496" i="15"/>
  <c r="L464" i="15"/>
  <c r="M279" i="15"/>
  <c r="M278" i="15" s="1"/>
  <c r="S475" i="15"/>
  <c r="V246" i="15"/>
  <c r="T434" i="15"/>
  <c r="V464" i="15"/>
  <c r="G171" i="15"/>
  <c r="M247" i="15"/>
  <c r="M246" i="15" s="1"/>
  <c r="N166" i="15"/>
  <c r="V434" i="15"/>
  <c r="M202" i="15"/>
  <c r="S407" i="15"/>
  <c r="S405" i="15"/>
  <c r="S360" i="15" s="1"/>
  <c r="T397" i="15"/>
  <c r="M142" i="15"/>
  <c r="M141" i="15" s="1"/>
  <c r="W195" i="15"/>
  <c r="M137" i="15"/>
  <c r="M136" i="15" s="1"/>
  <c r="W93" i="15"/>
  <c r="T504" i="11"/>
  <c r="V438" i="11"/>
  <c r="M465" i="11"/>
  <c r="M464" i="11" s="1"/>
  <c r="M435" i="11"/>
  <c r="M434" i="11" s="1"/>
  <c r="S469" i="11"/>
  <c r="L201" i="9"/>
  <c r="Q483" i="19"/>
  <c r="N497" i="8"/>
  <c r="N480" i="8"/>
  <c r="N479" i="8" s="1"/>
  <c r="J541" i="18"/>
  <c r="K234" i="18"/>
  <c r="K219" i="18" s="1"/>
  <c r="R497" i="11"/>
  <c r="L490" i="11"/>
  <c r="L489" i="11" s="1"/>
  <c r="L97" i="7"/>
  <c r="M97" i="7" s="1"/>
  <c r="H101" i="7"/>
  <c r="R482" i="15"/>
  <c r="I475" i="15"/>
  <c r="I474" i="15" s="1"/>
  <c r="I497" i="15"/>
  <c r="R497" i="7"/>
  <c r="N480" i="7"/>
  <c r="O497" i="7"/>
  <c r="Q497" i="7"/>
  <c r="Q499" i="7"/>
  <c r="R499" i="13"/>
  <c r="J497" i="13"/>
  <c r="J482" i="13" s="1"/>
  <c r="N497" i="19"/>
  <c r="R497" i="19"/>
  <c r="U135" i="13"/>
  <c r="W135" i="13" s="1"/>
  <c r="J144" i="9"/>
  <c r="J144" i="8"/>
  <c r="J99" i="8"/>
  <c r="J144" i="7"/>
  <c r="M225" i="18"/>
  <c r="O564" i="11" l="1"/>
  <c r="T438" i="8"/>
  <c r="P580" i="7"/>
  <c r="P564" i="7"/>
  <c r="K563" i="11"/>
  <c r="L209" i="9"/>
  <c r="M209" i="9" s="1"/>
  <c r="T214" i="9"/>
  <c r="L235" i="9"/>
  <c r="M235" i="9" s="1"/>
  <c r="M523" i="9"/>
  <c r="U523" i="9"/>
  <c r="W523" i="9" s="1"/>
  <c r="V351" i="9"/>
  <c r="V291" i="23"/>
  <c r="V290" i="23" s="1"/>
  <c r="V422" i="9"/>
  <c r="V360" i="23"/>
  <c r="V345" i="23" s="1"/>
  <c r="K564" i="11"/>
  <c r="L633" i="13"/>
  <c r="M633" i="13" s="1"/>
  <c r="J563" i="15"/>
  <c r="L552" i="15"/>
  <c r="M552" i="15" s="1"/>
  <c r="I69" i="9"/>
  <c r="J542" i="8"/>
  <c r="V428" i="23"/>
  <c r="V427" i="23" s="1"/>
  <c r="V434" i="23"/>
  <c r="S47" i="18"/>
  <c r="V18" i="11"/>
  <c r="M652" i="13"/>
  <c r="I542" i="8"/>
  <c r="I525" i="8" s="1"/>
  <c r="H542" i="8"/>
  <c r="I563" i="11"/>
  <c r="L473" i="9"/>
  <c r="M473" i="9" s="1"/>
  <c r="H563" i="19"/>
  <c r="J564" i="11"/>
  <c r="I564" i="11"/>
  <c r="G541" i="8"/>
  <c r="G580" i="7"/>
  <c r="G564" i="7"/>
  <c r="V143" i="23"/>
  <c r="W143" i="23" s="1"/>
  <c r="H211" i="18"/>
  <c r="Q99" i="23"/>
  <c r="K99" i="23"/>
  <c r="I99" i="23"/>
  <c r="O99" i="23"/>
  <c r="R99" i="23"/>
  <c r="N99" i="23"/>
  <c r="P99" i="23"/>
  <c r="T633" i="13"/>
  <c r="F687" i="13"/>
  <c r="F688" i="13" s="1"/>
  <c r="F641" i="13"/>
  <c r="W602" i="13"/>
  <c r="G608" i="13"/>
  <c r="G561" i="13"/>
  <c r="I608" i="13"/>
  <c r="K608" i="13"/>
  <c r="K561" i="13"/>
  <c r="F608" i="13"/>
  <c r="F563" i="13" s="1"/>
  <c r="F561" i="13"/>
  <c r="F544" i="13" s="1"/>
  <c r="H608" i="13"/>
  <c r="H561" i="13"/>
  <c r="R608" i="13"/>
  <c r="R563" i="13" s="1"/>
  <c r="R561" i="13"/>
  <c r="N523" i="15"/>
  <c r="F563" i="15"/>
  <c r="G608" i="15"/>
  <c r="G561" i="15"/>
  <c r="I608" i="15"/>
  <c r="I563" i="15" s="1"/>
  <c r="I561" i="15"/>
  <c r="K608" i="15"/>
  <c r="K563" i="15" s="1"/>
  <c r="K561" i="15"/>
  <c r="O608" i="15"/>
  <c r="O561" i="15"/>
  <c r="G563" i="15"/>
  <c r="Q608" i="15"/>
  <c r="Q563" i="15" s="1"/>
  <c r="Q561" i="15"/>
  <c r="S608" i="15"/>
  <c r="S563" i="15" s="1"/>
  <c r="S561" i="15"/>
  <c r="V653" i="15"/>
  <c r="V631" i="15"/>
  <c r="V633" i="15" s="1"/>
  <c r="L633" i="15"/>
  <c r="M633" i="15" s="1"/>
  <c r="G563" i="19"/>
  <c r="V653" i="18"/>
  <c r="V631" i="18"/>
  <c r="V633" i="18" s="1"/>
  <c r="M634" i="19"/>
  <c r="U634" i="19"/>
  <c r="W634" i="19" s="1"/>
  <c r="V647" i="19"/>
  <c r="V631" i="19"/>
  <c r="G631" i="19"/>
  <c r="I631" i="19"/>
  <c r="K631" i="19"/>
  <c r="O631" i="19"/>
  <c r="Q631" i="19"/>
  <c r="S631" i="19"/>
  <c r="H631" i="19"/>
  <c r="J631" i="19"/>
  <c r="N631" i="19"/>
  <c r="P631" i="19"/>
  <c r="R631" i="19"/>
  <c r="S529" i="23"/>
  <c r="S561" i="19"/>
  <c r="S527" i="23"/>
  <c r="F563" i="19"/>
  <c r="M556" i="19"/>
  <c r="U556" i="19"/>
  <c r="O608" i="11"/>
  <c r="O561" i="11"/>
  <c r="F630" i="11"/>
  <c r="F633" i="11"/>
  <c r="L633" i="11" s="1"/>
  <c r="M633" i="11" s="1"/>
  <c r="G563" i="11"/>
  <c r="L556" i="11"/>
  <c r="M556" i="11" s="1"/>
  <c r="Q554" i="11"/>
  <c r="Q556" i="11" s="1"/>
  <c r="T556" i="11" s="1"/>
  <c r="Q524" i="23"/>
  <c r="S556" i="11"/>
  <c r="S537" i="11"/>
  <c r="S539" i="11" s="1"/>
  <c r="F544" i="11"/>
  <c r="H608" i="11"/>
  <c r="H563" i="11" s="1"/>
  <c r="H561" i="11"/>
  <c r="Q561" i="11"/>
  <c r="Q560" i="11" s="1"/>
  <c r="Q529" i="23"/>
  <c r="Q484" i="23" s="1"/>
  <c r="S608" i="11"/>
  <c r="S563" i="11" s="1"/>
  <c r="S561" i="11"/>
  <c r="T634" i="11"/>
  <c r="V653" i="11"/>
  <c r="V631" i="11"/>
  <c r="V633" i="11" s="1"/>
  <c r="I601" i="23"/>
  <c r="I600" i="23" s="1"/>
  <c r="K601" i="23"/>
  <c r="O601" i="23"/>
  <c r="O600" i="23" s="1"/>
  <c r="R606" i="23"/>
  <c r="R561" i="23" s="1"/>
  <c r="V607" i="23"/>
  <c r="W607" i="23" s="1"/>
  <c r="L629" i="7"/>
  <c r="V639" i="7"/>
  <c r="V545" i="7" s="1"/>
  <c r="F641" i="7"/>
  <c r="H641" i="7"/>
  <c r="J641" i="7"/>
  <c r="P641" i="7"/>
  <c r="R641" i="7"/>
  <c r="Q561" i="23"/>
  <c r="V574" i="23"/>
  <c r="J601" i="23"/>
  <c r="J600" i="23" s="1"/>
  <c r="N601" i="23"/>
  <c r="P601" i="23"/>
  <c r="S601" i="23"/>
  <c r="V604" i="23"/>
  <c r="W604" i="23" s="1"/>
  <c r="F606" i="23"/>
  <c r="V608" i="23"/>
  <c r="F435" i="23"/>
  <c r="I610" i="8"/>
  <c r="T541" i="8"/>
  <c r="V60" i="8"/>
  <c r="V92" i="23"/>
  <c r="V91" i="23" s="1"/>
  <c r="W98" i="23"/>
  <c r="S65" i="8"/>
  <c r="S142" i="8"/>
  <c r="S142" i="23" s="1"/>
  <c r="S140" i="23"/>
  <c r="V404" i="23"/>
  <c r="W419" i="23"/>
  <c r="O554" i="8"/>
  <c r="R494" i="23"/>
  <c r="R554" i="8"/>
  <c r="G499" i="23"/>
  <c r="G561" i="8"/>
  <c r="I561" i="8"/>
  <c r="K499" i="23"/>
  <c r="K561" i="8"/>
  <c r="O499" i="23"/>
  <c r="O484" i="23" s="1"/>
  <c r="O561" i="8"/>
  <c r="R499" i="23"/>
  <c r="R484" i="23" s="1"/>
  <c r="R561" i="8"/>
  <c r="V500" i="23"/>
  <c r="V562" i="8"/>
  <c r="V545" i="8" s="1"/>
  <c r="V528" i="8" s="1"/>
  <c r="G508" i="23"/>
  <c r="G524" i="23"/>
  <c r="R508" i="23"/>
  <c r="R524" i="23"/>
  <c r="V653" i="8"/>
  <c r="V576" i="23" s="1"/>
  <c r="V571" i="23"/>
  <c r="V639" i="8"/>
  <c r="V577" i="23"/>
  <c r="G631" i="8"/>
  <c r="G601" i="23"/>
  <c r="G685" i="8"/>
  <c r="G606" i="23"/>
  <c r="G561" i="23" s="1"/>
  <c r="I685" i="8"/>
  <c r="I606" i="23"/>
  <c r="I561" i="23" s="1"/>
  <c r="K685" i="8"/>
  <c r="K606" i="23"/>
  <c r="K561" i="23" s="1"/>
  <c r="O685" i="8"/>
  <c r="O606" i="23"/>
  <c r="O561" i="23" s="1"/>
  <c r="H69" i="8"/>
  <c r="H99" i="23"/>
  <c r="V360" i="8"/>
  <c r="V298" i="23"/>
  <c r="V283" i="23" s="1"/>
  <c r="J540" i="8"/>
  <c r="J523" i="8" s="1"/>
  <c r="F494" i="23"/>
  <c r="F477" i="23" s="1"/>
  <c r="F554" i="8"/>
  <c r="N494" i="23"/>
  <c r="N493" i="23" s="1"/>
  <c r="N554" i="8"/>
  <c r="P494" i="23"/>
  <c r="P554" i="8"/>
  <c r="S494" i="23"/>
  <c r="S554" i="8"/>
  <c r="F499" i="23"/>
  <c r="F578" i="8"/>
  <c r="F561" i="8"/>
  <c r="H499" i="23"/>
  <c r="H561" i="8"/>
  <c r="J499" i="23"/>
  <c r="J561" i="8"/>
  <c r="T576" i="8"/>
  <c r="N499" i="23"/>
  <c r="N484" i="23" s="1"/>
  <c r="N561" i="8"/>
  <c r="P499" i="23"/>
  <c r="P484" i="23" s="1"/>
  <c r="P561" i="8"/>
  <c r="S578" i="8"/>
  <c r="S499" i="23"/>
  <c r="S561" i="8"/>
  <c r="V563" i="8"/>
  <c r="V640" i="8"/>
  <c r="V578" i="23"/>
  <c r="V563" i="23" s="1"/>
  <c r="F631" i="8"/>
  <c r="F601" i="23"/>
  <c r="H631" i="8"/>
  <c r="H601" i="23"/>
  <c r="H600" i="23" s="1"/>
  <c r="F605" i="23"/>
  <c r="F610" i="23"/>
  <c r="F611" i="23" s="1"/>
  <c r="H687" i="8"/>
  <c r="H606" i="23"/>
  <c r="H561" i="23" s="1"/>
  <c r="J685" i="8"/>
  <c r="J606" i="23"/>
  <c r="J561" i="23" s="1"/>
  <c r="N687" i="8"/>
  <c r="N606" i="23"/>
  <c r="N561" i="23" s="1"/>
  <c r="P685" i="8"/>
  <c r="P606" i="23"/>
  <c r="P561" i="23" s="1"/>
  <c r="S685" i="8"/>
  <c r="S606" i="23"/>
  <c r="S561" i="23" s="1"/>
  <c r="V531" i="23"/>
  <c r="V486" i="23" s="1"/>
  <c r="V469" i="23" s="1"/>
  <c r="V452" i="23" s="1"/>
  <c r="L438" i="8"/>
  <c r="M438" i="8" s="1"/>
  <c r="V606" i="18"/>
  <c r="V524" i="23"/>
  <c r="V523" i="23" s="1"/>
  <c r="S413" i="8"/>
  <c r="S353" i="23"/>
  <c r="V418" i="8"/>
  <c r="V356" i="23"/>
  <c r="V413" i="8"/>
  <c r="V412" i="8" s="1"/>
  <c r="V353" i="23"/>
  <c r="V352" i="23" s="1"/>
  <c r="R420" i="7"/>
  <c r="R419" i="7" s="1"/>
  <c r="R388" i="23"/>
  <c r="H383" i="23"/>
  <c r="H382" i="23" s="1"/>
  <c r="J383" i="23"/>
  <c r="J382" i="23" s="1"/>
  <c r="P383" i="23"/>
  <c r="P382" i="23" s="1"/>
  <c r="R383" i="23"/>
  <c r="R382" i="23" s="1"/>
  <c r="V344" i="23"/>
  <c r="W344" i="23" s="1"/>
  <c r="W389" i="23"/>
  <c r="V282" i="23"/>
  <c r="W327" i="23"/>
  <c r="V174" i="7"/>
  <c r="V189" i="23"/>
  <c r="P227" i="23"/>
  <c r="P226" i="23" s="1"/>
  <c r="F231" i="23"/>
  <c r="F236" i="23"/>
  <c r="F237" i="23" s="1"/>
  <c r="V205" i="7"/>
  <c r="V202" i="23"/>
  <c r="V201" i="23" s="1"/>
  <c r="J191" i="7"/>
  <c r="T197" i="23"/>
  <c r="T196" i="23" s="1"/>
  <c r="N196" i="23"/>
  <c r="V218" i="23"/>
  <c r="W233" i="23"/>
  <c r="W218" i="23" s="1"/>
  <c r="V576" i="19"/>
  <c r="V554" i="19"/>
  <c r="V494" i="23"/>
  <c r="V493" i="23" s="1"/>
  <c r="V576" i="18"/>
  <c r="V561" i="18" s="1"/>
  <c r="V554" i="18"/>
  <c r="V553" i="18" s="1"/>
  <c r="V576" i="13"/>
  <c r="V554" i="13"/>
  <c r="S580" i="11"/>
  <c r="S565" i="11" s="1"/>
  <c r="S564" i="7"/>
  <c r="V554" i="7"/>
  <c r="V556" i="7" s="1"/>
  <c r="V539" i="7" s="1"/>
  <c r="V547" i="7"/>
  <c r="W512" i="23"/>
  <c r="O633" i="19"/>
  <c r="O537" i="19"/>
  <c r="Q633" i="19"/>
  <c r="Q537" i="19"/>
  <c r="S633" i="19"/>
  <c r="S537" i="19"/>
  <c r="N633" i="19"/>
  <c r="N537" i="19"/>
  <c r="P633" i="19"/>
  <c r="P537" i="19"/>
  <c r="R633" i="19"/>
  <c r="R537" i="19"/>
  <c r="F637" i="19"/>
  <c r="F544" i="19"/>
  <c r="F527" i="19" s="1"/>
  <c r="G633" i="19"/>
  <c r="G537" i="19"/>
  <c r="I537" i="19"/>
  <c r="I633" i="19"/>
  <c r="K633" i="19"/>
  <c r="K537" i="19"/>
  <c r="H537" i="19"/>
  <c r="H633" i="19"/>
  <c r="J537" i="19"/>
  <c r="J633" i="19"/>
  <c r="V509" i="19"/>
  <c r="P174" i="19"/>
  <c r="V356" i="19"/>
  <c r="J637" i="19"/>
  <c r="J544" i="19"/>
  <c r="J547" i="19"/>
  <c r="J530" i="19"/>
  <c r="J580" i="19"/>
  <c r="J564" i="19"/>
  <c r="T564" i="18"/>
  <c r="T210" i="18"/>
  <c r="S220" i="18"/>
  <c r="G537" i="15"/>
  <c r="G539" i="15" s="1"/>
  <c r="G556" i="15"/>
  <c r="V576" i="15"/>
  <c r="V554" i="15"/>
  <c r="F717" i="15"/>
  <c r="F718" i="15" s="1"/>
  <c r="P467" i="7"/>
  <c r="P390" i="23" s="1"/>
  <c r="P420" i="7"/>
  <c r="P424" i="7" s="1"/>
  <c r="Q535" i="13"/>
  <c r="V606" i="13"/>
  <c r="S541" i="13"/>
  <c r="S547" i="13" s="1"/>
  <c r="L552" i="13"/>
  <c r="M552" i="13" s="1"/>
  <c r="V553" i="13"/>
  <c r="J545" i="13"/>
  <c r="J528" i="13" s="1"/>
  <c r="S535" i="13"/>
  <c r="W542" i="23"/>
  <c r="S65" i="13"/>
  <c r="S142" i="13"/>
  <c r="Q564" i="13"/>
  <c r="L214" i="13"/>
  <c r="M214" i="13" s="1"/>
  <c r="V136" i="13"/>
  <c r="V60" i="13"/>
  <c r="V576" i="11"/>
  <c r="V561" i="11" s="1"/>
  <c r="V554" i="11"/>
  <c r="S542" i="11"/>
  <c r="S525" i="11" s="1"/>
  <c r="R220" i="11"/>
  <c r="N221" i="11"/>
  <c r="H171" i="11"/>
  <c r="L214" i="11"/>
  <c r="M214" i="11" s="1"/>
  <c r="T210" i="9"/>
  <c r="Q220" i="9"/>
  <c r="S479" i="9"/>
  <c r="N479" i="9"/>
  <c r="J171" i="9"/>
  <c r="V482" i="9"/>
  <c r="K590" i="23"/>
  <c r="S493" i="23"/>
  <c r="H508" i="23"/>
  <c r="J508" i="23"/>
  <c r="S508" i="23"/>
  <c r="F513" i="23"/>
  <c r="H518" i="23"/>
  <c r="J513" i="23"/>
  <c r="N518" i="23"/>
  <c r="Q513" i="23"/>
  <c r="Q518" i="23"/>
  <c r="H482" i="9"/>
  <c r="V683" i="8"/>
  <c r="V631" i="8"/>
  <c r="V606" i="8"/>
  <c r="V561" i="8" s="1"/>
  <c r="V554" i="8"/>
  <c r="I523" i="23"/>
  <c r="K523" i="23"/>
  <c r="K508" i="23"/>
  <c r="O523" i="23"/>
  <c r="O508" i="23"/>
  <c r="G513" i="23"/>
  <c r="G518" i="23"/>
  <c r="I513" i="23"/>
  <c r="I518" i="23"/>
  <c r="K513" i="23"/>
  <c r="K518" i="23"/>
  <c r="O513" i="23"/>
  <c r="O518" i="23"/>
  <c r="R513" i="23"/>
  <c r="R518" i="23"/>
  <c r="T575" i="8"/>
  <c r="I580" i="8"/>
  <c r="N508" i="23"/>
  <c r="P523" i="23"/>
  <c r="P508" i="23"/>
  <c r="H513" i="23"/>
  <c r="S608" i="8"/>
  <c r="F523" i="7"/>
  <c r="L523" i="7" s="1"/>
  <c r="M523" i="7" s="1"/>
  <c r="L540" i="7"/>
  <c r="M540" i="7" s="1"/>
  <c r="N523" i="7"/>
  <c r="T523" i="7" s="1"/>
  <c r="U523" i="7" s="1"/>
  <c r="W523" i="7" s="1"/>
  <c r="T540" i="7"/>
  <c r="U540" i="7" s="1"/>
  <c r="L541" i="7"/>
  <c r="M541" i="7" s="1"/>
  <c r="F524" i="7"/>
  <c r="L524" i="7" s="1"/>
  <c r="M524" i="7" s="1"/>
  <c r="N524" i="7"/>
  <c r="T524" i="7" s="1"/>
  <c r="T541" i="7"/>
  <c r="O615" i="23"/>
  <c r="Q615" i="23"/>
  <c r="S615" i="23"/>
  <c r="N615" i="23"/>
  <c r="P615" i="23"/>
  <c r="R615" i="23"/>
  <c r="G615" i="23"/>
  <c r="I615" i="23"/>
  <c r="K615" i="23"/>
  <c r="H615" i="23"/>
  <c r="J615" i="23"/>
  <c r="L173" i="7"/>
  <c r="M173" i="7" s="1"/>
  <c r="O483" i="7"/>
  <c r="Q483" i="7"/>
  <c r="S483" i="7"/>
  <c r="S65" i="7"/>
  <c r="S142" i="7"/>
  <c r="T716" i="7"/>
  <c r="T169" i="7"/>
  <c r="K483" i="7"/>
  <c r="O548" i="23"/>
  <c r="Q548" i="23"/>
  <c r="S548" i="23"/>
  <c r="Q600" i="23"/>
  <c r="Q585" i="23"/>
  <c r="H595" i="23"/>
  <c r="H590" i="23"/>
  <c r="J590" i="23"/>
  <c r="J595" i="23"/>
  <c r="N590" i="23"/>
  <c r="N595" i="23"/>
  <c r="P590" i="23"/>
  <c r="P595" i="23"/>
  <c r="R595" i="23"/>
  <c r="R590" i="23"/>
  <c r="O625" i="23"/>
  <c r="O620" i="23"/>
  <c r="Q620" i="23"/>
  <c r="Q625" i="23"/>
  <c r="S625" i="23"/>
  <c r="S620" i="23"/>
  <c r="F483" i="7"/>
  <c r="F484" i="7" s="1"/>
  <c r="F485" i="7" s="1"/>
  <c r="P483" i="7"/>
  <c r="R483" i="7"/>
  <c r="L557" i="7"/>
  <c r="G542" i="7"/>
  <c r="G525" i="7" s="1"/>
  <c r="I542" i="7"/>
  <c r="I525" i="7" s="1"/>
  <c r="Q542" i="7"/>
  <c r="Q525" i="7" s="1"/>
  <c r="F638" i="7"/>
  <c r="J580" i="23"/>
  <c r="N548" i="23"/>
  <c r="P580" i="23"/>
  <c r="R655" i="7"/>
  <c r="F600" i="23"/>
  <c r="H585" i="23"/>
  <c r="J585" i="23"/>
  <c r="N600" i="23"/>
  <c r="P600" i="23"/>
  <c r="P585" i="23"/>
  <c r="R600" i="23"/>
  <c r="R585" i="23"/>
  <c r="G610" i="23"/>
  <c r="O605" i="23"/>
  <c r="Q610" i="23"/>
  <c r="S605" i="23"/>
  <c r="W634" i="23"/>
  <c r="W619" i="23"/>
  <c r="N625" i="23"/>
  <c r="N620" i="23"/>
  <c r="T621" i="23"/>
  <c r="P620" i="23"/>
  <c r="P625" i="23"/>
  <c r="R625" i="23"/>
  <c r="R620" i="23"/>
  <c r="N717" i="13"/>
  <c r="R717" i="13"/>
  <c r="Q717" i="13"/>
  <c r="S717" i="13"/>
  <c r="P483" i="19"/>
  <c r="J483" i="13"/>
  <c r="J484" i="13" s="1"/>
  <c r="V495" i="18"/>
  <c r="V498" i="18" s="1"/>
  <c r="T434" i="18"/>
  <c r="V483" i="13"/>
  <c r="V579" i="18"/>
  <c r="V513" i="13"/>
  <c r="V480" i="13"/>
  <c r="V494" i="13"/>
  <c r="N545" i="18"/>
  <c r="N528" i="18" s="1"/>
  <c r="S560" i="8"/>
  <c r="G610" i="8"/>
  <c r="L609" i="8"/>
  <c r="M609" i="8" s="1"/>
  <c r="J483" i="18"/>
  <c r="N483" i="18"/>
  <c r="S483" i="18"/>
  <c r="T214" i="18"/>
  <c r="K483" i="18"/>
  <c r="K484" i="18" s="1"/>
  <c r="R483" i="18"/>
  <c r="V65" i="13"/>
  <c r="H483" i="13"/>
  <c r="N483" i="13"/>
  <c r="R483" i="13"/>
  <c r="F483" i="13"/>
  <c r="F484" i="13" s="1"/>
  <c r="F485" i="13" s="1"/>
  <c r="I483" i="13"/>
  <c r="K483" i="13"/>
  <c r="Q483" i="13"/>
  <c r="S483" i="13"/>
  <c r="M304" i="11"/>
  <c r="M303" i="11" s="1"/>
  <c r="M279" i="11"/>
  <c r="M278" i="11" s="1"/>
  <c r="T468" i="9"/>
  <c r="L579" i="19"/>
  <c r="M579" i="19" s="1"/>
  <c r="V482" i="18"/>
  <c r="I483" i="18"/>
  <c r="I484" i="18" s="1"/>
  <c r="V504" i="13"/>
  <c r="N483" i="9"/>
  <c r="N484" i="9" s="1"/>
  <c r="L145" i="8"/>
  <c r="M145" i="8" s="1"/>
  <c r="I484" i="15"/>
  <c r="P191" i="23"/>
  <c r="V65" i="8"/>
  <c r="V68" i="8"/>
  <c r="W68" i="8" s="1"/>
  <c r="V69" i="8"/>
  <c r="O167" i="8"/>
  <c r="O166" i="8" s="1"/>
  <c r="R167" i="8"/>
  <c r="T210" i="8"/>
  <c r="L231" i="18"/>
  <c r="I216" i="18"/>
  <c r="V62" i="18"/>
  <c r="V91" i="18"/>
  <c r="S234" i="18"/>
  <c r="T234" i="18" s="1"/>
  <c r="T230" i="18"/>
  <c r="U230" i="18" s="1"/>
  <c r="W230" i="18" s="1"/>
  <c r="M232" i="18"/>
  <c r="F479" i="13"/>
  <c r="H479" i="15"/>
  <c r="H500" i="9"/>
  <c r="L498" i="19"/>
  <c r="M498" i="19" s="1"/>
  <c r="L575" i="11"/>
  <c r="U574" i="11"/>
  <c r="W574" i="11" s="1"/>
  <c r="R535" i="13"/>
  <c r="R518" i="13" s="1"/>
  <c r="G685" i="13"/>
  <c r="G640" i="13" s="1"/>
  <c r="G638" i="13"/>
  <c r="I685" i="13"/>
  <c r="I638" i="13"/>
  <c r="K685" i="13"/>
  <c r="K640" i="13" s="1"/>
  <c r="K638" i="13"/>
  <c r="F30" i="18"/>
  <c r="V418" i="18"/>
  <c r="S534" i="18"/>
  <c r="S517" i="18" s="1"/>
  <c r="U468" i="15"/>
  <c r="V406" i="15"/>
  <c r="M304" i="15"/>
  <c r="M303" i="15" s="1"/>
  <c r="S206" i="15"/>
  <c r="M202" i="18"/>
  <c r="M201" i="18" s="1"/>
  <c r="L712" i="18"/>
  <c r="F527" i="13"/>
  <c r="N534" i="13"/>
  <c r="N517" i="13" s="1"/>
  <c r="R534" i="13"/>
  <c r="R517" i="13" s="1"/>
  <c r="J638" i="13"/>
  <c r="J544" i="13" s="1"/>
  <c r="J527" i="13" s="1"/>
  <c r="U184" i="19"/>
  <c r="W184" i="19" s="1"/>
  <c r="T609" i="19"/>
  <c r="P564" i="19"/>
  <c r="R564" i="19"/>
  <c r="L376" i="19"/>
  <c r="M376" i="19" s="1"/>
  <c r="I479" i="15"/>
  <c r="U406" i="19"/>
  <c r="L406" i="7"/>
  <c r="M406" i="7" s="1"/>
  <c r="U223" i="8"/>
  <c r="W223" i="8" s="1"/>
  <c r="T559" i="8"/>
  <c r="S580" i="8"/>
  <c r="V605" i="8"/>
  <c r="U603" i="8"/>
  <c r="W603" i="8" s="1"/>
  <c r="S610" i="8"/>
  <c r="G533" i="8"/>
  <c r="G516" i="8" s="1"/>
  <c r="I533" i="8"/>
  <c r="I516" i="8" s="1"/>
  <c r="K533" i="8"/>
  <c r="K516" i="8" s="1"/>
  <c r="O533" i="8"/>
  <c r="O516" i="8" s="1"/>
  <c r="R533" i="8"/>
  <c r="R516" i="8" s="1"/>
  <c r="F534" i="8"/>
  <c r="F517" i="8" s="1"/>
  <c r="H534" i="8"/>
  <c r="H517" i="8" s="1"/>
  <c r="J534" i="8"/>
  <c r="J517" i="8" s="1"/>
  <c r="N534" i="8"/>
  <c r="N517" i="8" s="1"/>
  <c r="P534" i="8"/>
  <c r="P517" i="8" s="1"/>
  <c r="S534" i="8"/>
  <c r="S517" i="8" s="1"/>
  <c r="I523" i="8"/>
  <c r="V682" i="8"/>
  <c r="I687" i="8"/>
  <c r="I642" i="8" s="1"/>
  <c r="K687" i="8"/>
  <c r="O687" i="8"/>
  <c r="G378" i="9"/>
  <c r="H378" i="9" s="1"/>
  <c r="I378" i="9" s="1"/>
  <c r="J378" i="9" s="1"/>
  <c r="S144" i="13"/>
  <c r="F553" i="18"/>
  <c r="U135" i="7"/>
  <c r="W135" i="7" s="1"/>
  <c r="J469" i="7"/>
  <c r="S478" i="7"/>
  <c r="F533" i="8"/>
  <c r="F516" i="8" s="1"/>
  <c r="H533" i="8"/>
  <c r="H516" i="8" s="1"/>
  <c r="J533" i="8"/>
  <c r="J516" i="8" s="1"/>
  <c r="N533" i="8"/>
  <c r="N516" i="8" s="1"/>
  <c r="P533" i="8"/>
  <c r="P516" i="8" s="1"/>
  <c r="S533" i="8"/>
  <c r="S516" i="8" s="1"/>
  <c r="G534" i="8"/>
  <c r="G517" i="8" s="1"/>
  <c r="I534" i="8"/>
  <c r="I517" i="8" s="1"/>
  <c r="K534" i="8"/>
  <c r="K517" i="8" s="1"/>
  <c r="O534" i="8"/>
  <c r="O517" i="8" s="1"/>
  <c r="R534" i="8"/>
  <c r="R517" i="8" s="1"/>
  <c r="V535" i="8"/>
  <c r="V518" i="8" s="1"/>
  <c r="L210" i="9"/>
  <c r="M210" i="9" s="1"/>
  <c r="T235" i="9"/>
  <c r="T250" i="9"/>
  <c r="V483" i="15"/>
  <c r="S657" i="18"/>
  <c r="F687" i="18"/>
  <c r="F688" i="18" s="1"/>
  <c r="H687" i="18"/>
  <c r="J687" i="18"/>
  <c r="N687" i="18"/>
  <c r="S687" i="18"/>
  <c r="F717" i="18"/>
  <c r="F718" i="18" s="1"/>
  <c r="H717" i="18"/>
  <c r="J717" i="18"/>
  <c r="S717" i="18"/>
  <c r="I67" i="19"/>
  <c r="K67" i="19"/>
  <c r="S67" i="19"/>
  <c r="V69" i="19"/>
  <c r="L205" i="19"/>
  <c r="M205" i="19" s="1"/>
  <c r="G484" i="19"/>
  <c r="P534" i="19"/>
  <c r="P517" i="19" s="1"/>
  <c r="V534" i="19"/>
  <c r="V517" i="19" s="1"/>
  <c r="K535" i="19"/>
  <c r="K518" i="19" s="1"/>
  <c r="O535" i="19"/>
  <c r="O518" i="19" s="1"/>
  <c r="O564" i="19"/>
  <c r="S564" i="19"/>
  <c r="N630" i="19"/>
  <c r="G640" i="19"/>
  <c r="K640" i="19"/>
  <c r="O640" i="19"/>
  <c r="Q640" i="19"/>
  <c r="S640" i="19"/>
  <c r="G641" i="19"/>
  <c r="K641" i="19"/>
  <c r="O641" i="19"/>
  <c r="Q641" i="19"/>
  <c r="S641" i="19"/>
  <c r="V639" i="19"/>
  <c r="M373" i="19"/>
  <c r="L652" i="15"/>
  <c r="L145" i="13"/>
  <c r="M145" i="13" s="1"/>
  <c r="G69" i="9"/>
  <c r="G147" i="9"/>
  <c r="H147" i="9" s="1"/>
  <c r="I147" i="9" s="1"/>
  <c r="L636" i="8"/>
  <c r="M636" i="8" s="1"/>
  <c r="G565" i="7"/>
  <c r="L434" i="7"/>
  <c r="L513" i="13"/>
  <c r="M513" i="13" s="1"/>
  <c r="N564" i="19"/>
  <c r="L473" i="19"/>
  <c r="M473" i="19" s="1"/>
  <c r="K482" i="19"/>
  <c r="L434" i="19"/>
  <c r="G611" i="18"/>
  <c r="H611" i="18" s="1"/>
  <c r="I611" i="18" s="1"/>
  <c r="L609" i="18"/>
  <c r="M609" i="18" s="1"/>
  <c r="V545" i="18"/>
  <c r="V528" i="18" s="1"/>
  <c r="V97" i="18"/>
  <c r="V96" i="18" s="1"/>
  <c r="L656" i="13"/>
  <c r="M656" i="13" s="1"/>
  <c r="L372" i="13"/>
  <c r="T142" i="13"/>
  <c r="M92" i="13"/>
  <c r="M91" i="13" s="1"/>
  <c r="U94" i="11"/>
  <c r="W94" i="11" s="1"/>
  <c r="H479" i="9"/>
  <c r="L376" i="9"/>
  <c r="M376" i="9" s="1"/>
  <c r="J535" i="8"/>
  <c r="J518" i="8" s="1"/>
  <c r="L509" i="8"/>
  <c r="W294" i="23"/>
  <c r="V482" i="7"/>
  <c r="L372" i="7"/>
  <c r="M94" i="7"/>
  <c r="U94" i="7"/>
  <c r="V570" i="18"/>
  <c r="S362" i="23"/>
  <c r="S437" i="8"/>
  <c r="O610" i="8"/>
  <c r="T606" i="8"/>
  <c r="T605" i="8" s="1"/>
  <c r="P547" i="8"/>
  <c r="P274" i="23"/>
  <c r="P351" i="7"/>
  <c r="M506" i="7"/>
  <c r="U506" i="7"/>
  <c r="W506" i="7" s="1"/>
  <c r="L648" i="7"/>
  <c r="L647" i="7" s="1"/>
  <c r="N638" i="7"/>
  <c r="N637" i="7" s="1"/>
  <c r="M674" i="7"/>
  <c r="U674" i="7"/>
  <c r="W674" i="7" s="1"/>
  <c r="M711" i="7"/>
  <c r="U711" i="7"/>
  <c r="W711" i="7" s="1"/>
  <c r="F234" i="8"/>
  <c r="L232" i="8"/>
  <c r="M232" i="8" s="1"/>
  <c r="M231" i="8" s="1"/>
  <c r="F358" i="8"/>
  <c r="L358" i="8" s="1"/>
  <c r="L403" i="8"/>
  <c r="L402" i="8" s="1"/>
  <c r="V468" i="8"/>
  <c r="V464" i="8"/>
  <c r="V510" i="8"/>
  <c r="V504" i="8"/>
  <c r="F542" i="8"/>
  <c r="L559" i="8"/>
  <c r="G580" i="8"/>
  <c r="L576" i="8"/>
  <c r="M576" i="8" s="1"/>
  <c r="M575" i="8" s="1"/>
  <c r="K580" i="8"/>
  <c r="K560" i="8"/>
  <c r="R641" i="8"/>
  <c r="F685" i="8"/>
  <c r="L683" i="8"/>
  <c r="L682" i="8" s="1"/>
  <c r="O101" i="9"/>
  <c r="T100" i="9"/>
  <c r="L165" i="9"/>
  <c r="M165" i="9" s="1"/>
  <c r="F189" i="9"/>
  <c r="L187" i="9"/>
  <c r="L186" i="9" s="1"/>
  <c r="H189" i="9"/>
  <c r="H172" i="9"/>
  <c r="H191" i="9"/>
  <c r="N189" i="9"/>
  <c r="N172" i="9"/>
  <c r="N33" i="9" s="1"/>
  <c r="N191" i="9"/>
  <c r="F204" i="9"/>
  <c r="F206" i="9"/>
  <c r="F207" i="9" s="1"/>
  <c r="S220" i="9"/>
  <c r="S232" i="9"/>
  <c r="S215" i="9"/>
  <c r="S48" i="9" s="1"/>
  <c r="G234" i="9"/>
  <c r="L232" i="9"/>
  <c r="M232" i="9" s="1"/>
  <c r="M231" i="9" s="1"/>
  <c r="G236" i="9"/>
  <c r="F637" i="7"/>
  <c r="M89" i="11"/>
  <c r="F560" i="13"/>
  <c r="L504" i="15"/>
  <c r="J638" i="7"/>
  <c r="T683" i="8"/>
  <c r="T682" i="8" s="1"/>
  <c r="L606" i="8"/>
  <c r="L605" i="8" s="1"/>
  <c r="U607" i="8"/>
  <c r="W607" i="8" s="1"/>
  <c r="V609" i="8"/>
  <c r="H405" i="8"/>
  <c r="I236" i="9"/>
  <c r="T230" i="9"/>
  <c r="U230" i="9" s="1"/>
  <c r="N206" i="9"/>
  <c r="F191" i="9"/>
  <c r="F192" i="9" s="1"/>
  <c r="F172" i="9"/>
  <c r="M373" i="9"/>
  <c r="Y9" i="9"/>
  <c r="L181" i="15"/>
  <c r="M182" i="15"/>
  <c r="M683" i="18"/>
  <c r="M682" i="18" s="1"/>
  <c r="L682" i="18"/>
  <c r="V264" i="18"/>
  <c r="V278" i="18"/>
  <c r="U715" i="19"/>
  <c r="W715" i="19" s="1"/>
  <c r="T141" i="19"/>
  <c r="U142" i="19"/>
  <c r="X142" i="19" s="1"/>
  <c r="G181" i="23"/>
  <c r="K181" i="23"/>
  <c r="Q181" i="23"/>
  <c r="S181" i="23"/>
  <c r="F191" i="23"/>
  <c r="F192" i="23" s="1"/>
  <c r="H191" i="23"/>
  <c r="J186" i="23"/>
  <c r="N191" i="23"/>
  <c r="G196" i="23"/>
  <c r="I196" i="23"/>
  <c r="K196" i="23"/>
  <c r="G206" i="23"/>
  <c r="Q206" i="23"/>
  <c r="F226" i="23"/>
  <c r="H226" i="23"/>
  <c r="J226" i="23"/>
  <c r="N226" i="23"/>
  <c r="R226" i="23"/>
  <c r="H236" i="23"/>
  <c r="R231" i="23"/>
  <c r="G241" i="23"/>
  <c r="I241" i="23"/>
  <c r="K241" i="23"/>
  <c r="O241" i="23"/>
  <c r="Q241" i="23"/>
  <c r="S241" i="23"/>
  <c r="T274" i="7"/>
  <c r="T273" i="7" s="1"/>
  <c r="S638" i="15"/>
  <c r="T651" i="15"/>
  <c r="U651" i="15" s="1"/>
  <c r="S636" i="15"/>
  <c r="T636" i="15" s="1"/>
  <c r="U636" i="15" s="1"/>
  <c r="V175" i="18"/>
  <c r="V36" i="18" s="1"/>
  <c r="V712" i="7"/>
  <c r="S236" i="8"/>
  <c r="L465" i="9"/>
  <c r="R439" i="9"/>
  <c r="Q405" i="9"/>
  <c r="L403" i="9"/>
  <c r="M403" i="9" s="1"/>
  <c r="M402" i="9" s="1"/>
  <c r="R377" i="9"/>
  <c r="I251" i="9"/>
  <c r="L247" i="9"/>
  <c r="M247" i="9" s="1"/>
  <c r="M246" i="9" s="1"/>
  <c r="L655" i="18"/>
  <c r="V641" i="19"/>
  <c r="F181" i="23"/>
  <c r="J181" i="23"/>
  <c r="H172" i="23"/>
  <c r="Q226" i="23"/>
  <c r="S226" i="23"/>
  <c r="T230" i="23"/>
  <c r="U230" i="23" s="1"/>
  <c r="X230" i="23" s="1"/>
  <c r="I231" i="23"/>
  <c r="O236" i="23"/>
  <c r="H241" i="23"/>
  <c r="N241" i="23"/>
  <c r="Q274" i="23"/>
  <c r="Q330" i="23"/>
  <c r="Q382" i="23"/>
  <c r="S382" i="23"/>
  <c r="N387" i="23"/>
  <c r="G600" i="23"/>
  <c r="K600" i="23"/>
  <c r="S600" i="23"/>
  <c r="H610" i="23"/>
  <c r="V475" i="8"/>
  <c r="V474" i="8" s="1"/>
  <c r="G535" i="8"/>
  <c r="G518" i="8" s="1"/>
  <c r="I535" i="8"/>
  <c r="I518" i="8" s="1"/>
  <c r="T552" i="8"/>
  <c r="G523" i="8"/>
  <c r="O523" i="8"/>
  <c r="G41" i="9"/>
  <c r="I41" i="9"/>
  <c r="K41" i="9"/>
  <c r="G48" i="9"/>
  <c r="I48" i="9"/>
  <c r="K48" i="9"/>
  <c r="O48" i="9"/>
  <c r="Q493" i="23"/>
  <c r="Q503" i="23"/>
  <c r="V69" i="11"/>
  <c r="T100" i="11"/>
  <c r="O146" i="23"/>
  <c r="I24" i="11"/>
  <c r="T235" i="11"/>
  <c r="V262" i="11"/>
  <c r="H264" i="11"/>
  <c r="N264" i="11"/>
  <c r="N263" i="11" s="1"/>
  <c r="V356" i="11"/>
  <c r="Q361" i="11"/>
  <c r="Q362" i="11" s="1"/>
  <c r="S361" i="11"/>
  <c r="G610" i="11"/>
  <c r="I610" i="11"/>
  <c r="K610" i="11"/>
  <c r="F657" i="11"/>
  <c r="F658" i="11" s="1"/>
  <c r="H657" i="11"/>
  <c r="F687" i="11"/>
  <c r="F688" i="11" s="1"/>
  <c r="T574" i="23"/>
  <c r="U574" i="23" s="1"/>
  <c r="X574" i="23" s="1"/>
  <c r="U94" i="15"/>
  <c r="W94" i="15" s="1"/>
  <c r="S533" i="15"/>
  <c r="S516" i="15" s="1"/>
  <c r="Q534" i="15"/>
  <c r="Q517" i="15" s="1"/>
  <c r="H545" i="15"/>
  <c r="N545" i="15"/>
  <c r="N528" i="15" s="1"/>
  <c r="R610" i="15"/>
  <c r="V636" i="15"/>
  <c r="G31" i="18"/>
  <c r="V217" i="18"/>
  <c r="I264" i="18"/>
  <c r="V266" i="18"/>
  <c r="K542" i="18"/>
  <c r="K525" i="18" s="1"/>
  <c r="G545" i="18"/>
  <c r="G528" i="18" s="1"/>
  <c r="K545" i="18"/>
  <c r="K528" i="18" s="1"/>
  <c r="H546" i="18"/>
  <c r="G657" i="18"/>
  <c r="I657" i="18"/>
  <c r="K657" i="18"/>
  <c r="V181" i="19"/>
  <c r="V421" i="19"/>
  <c r="W421" i="19" s="1"/>
  <c r="K547" i="19"/>
  <c r="O547" i="19"/>
  <c r="Q547" i="19"/>
  <c r="F542" i="19"/>
  <c r="F525" i="19" s="1"/>
  <c r="P542" i="19"/>
  <c r="P525" i="19" s="1"/>
  <c r="G545" i="19"/>
  <c r="G528" i="19" s="1"/>
  <c r="I545" i="19"/>
  <c r="I528" i="19" s="1"/>
  <c r="K545" i="19"/>
  <c r="K528" i="19" s="1"/>
  <c r="O545" i="19"/>
  <c r="O528" i="19" s="1"/>
  <c r="Q545" i="19"/>
  <c r="Q528" i="19" s="1"/>
  <c r="S545" i="19"/>
  <c r="S528" i="19" s="1"/>
  <c r="V489" i="15"/>
  <c r="T508" i="8"/>
  <c r="U508" i="8" s="1"/>
  <c r="W508" i="8" s="1"/>
  <c r="R362" i="9"/>
  <c r="R542" i="8"/>
  <c r="R525" i="8" s="1"/>
  <c r="R535" i="8"/>
  <c r="R518" i="8" s="1"/>
  <c r="T493" i="15"/>
  <c r="U493" i="15" s="1"/>
  <c r="W493" i="15" s="1"/>
  <c r="Q642" i="15"/>
  <c r="T434" i="9"/>
  <c r="N553" i="18"/>
  <c r="Q424" i="19"/>
  <c r="T498" i="19"/>
  <c r="L235" i="8"/>
  <c r="M235" i="8" s="1"/>
  <c r="T235" i="13"/>
  <c r="S514" i="13"/>
  <c r="O580" i="19"/>
  <c r="O565" i="19" s="1"/>
  <c r="F31" i="9"/>
  <c r="K524" i="8"/>
  <c r="V47" i="18"/>
  <c r="O542" i="8"/>
  <c r="O525" i="8" s="1"/>
  <c r="V422" i="11"/>
  <c r="O423" i="11"/>
  <c r="R423" i="11"/>
  <c r="G500" i="11"/>
  <c r="H500" i="11" s="1"/>
  <c r="V716" i="7"/>
  <c r="T201" i="18"/>
  <c r="U100" i="19"/>
  <c r="L214" i="7"/>
  <c r="M214" i="7" s="1"/>
  <c r="U431" i="7"/>
  <c r="W431" i="7" s="1"/>
  <c r="N420" i="7"/>
  <c r="K547" i="7"/>
  <c r="O483" i="8"/>
  <c r="U195" i="18"/>
  <c r="W195" i="18" s="1"/>
  <c r="T90" i="23"/>
  <c r="U90" i="23" s="1"/>
  <c r="W90" i="23" s="1"/>
  <c r="V636" i="8"/>
  <c r="R687" i="8"/>
  <c r="F69" i="9"/>
  <c r="H69" i="9"/>
  <c r="V69" i="9"/>
  <c r="V356" i="9"/>
  <c r="N361" i="9"/>
  <c r="N362" i="9" s="1"/>
  <c r="Q361" i="9"/>
  <c r="Q362" i="9" s="1"/>
  <c r="S361" i="9"/>
  <c r="S362" i="9" s="1"/>
  <c r="V418" i="9"/>
  <c r="N423" i="9"/>
  <c r="N424" i="9" s="1"/>
  <c r="Q423" i="9"/>
  <c r="S423" i="9"/>
  <c r="F533" i="9"/>
  <c r="F516" i="9" s="1"/>
  <c r="H533" i="9"/>
  <c r="H516" i="9" s="1"/>
  <c r="J533" i="9"/>
  <c r="N533" i="9"/>
  <c r="N516" i="9" s="1"/>
  <c r="S533" i="9"/>
  <c r="S516" i="9" s="1"/>
  <c r="H534" i="9"/>
  <c r="H517" i="9" s="1"/>
  <c r="Q534" i="9"/>
  <c r="Q517" i="9" s="1"/>
  <c r="H535" i="9"/>
  <c r="H518" i="9" s="1"/>
  <c r="J535" i="9"/>
  <c r="J518" i="9" s="1"/>
  <c r="N535" i="9"/>
  <c r="N518" i="9" s="1"/>
  <c r="V60" i="11"/>
  <c r="V59" i="11" s="1"/>
  <c r="N146" i="23"/>
  <c r="Q146" i="23"/>
  <c r="H24" i="11"/>
  <c r="I264" i="11"/>
  <c r="O264" i="11"/>
  <c r="O263" i="11" s="1"/>
  <c r="R264" i="11"/>
  <c r="R263" i="11" s="1"/>
  <c r="V266" i="11"/>
  <c r="V360" i="11"/>
  <c r="V343" i="11" s="1"/>
  <c r="R361" i="11"/>
  <c r="V421" i="11"/>
  <c r="W421" i="11" s="1"/>
  <c r="N423" i="11"/>
  <c r="Q423" i="11"/>
  <c r="S423" i="11"/>
  <c r="J610" i="11"/>
  <c r="V682" i="11"/>
  <c r="H69" i="13"/>
  <c r="I30" i="13"/>
  <c r="H534" i="13"/>
  <c r="H517" i="13" s="1"/>
  <c r="K518" i="13"/>
  <c r="Q518" i="13"/>
  <c r="I545" i="13"/>
  <c r="I528" i="13" s="1"/>
  <c r="S545" i="13"/>
  <c r="S528" i="13" s="1"/>
  <c r="H41" i="8"/>
  <c r="H24" i="8"/>
  <c r="J41" i="8"/>
  <c r="J24" i="8"/>
  <c r="T41" i="23"/>
  <c r="U41" i="23" s="1"/>
  <c r="W41" i="23" s="1"/>
  <c r="I560" i="8"/>
  <c r="I544" i="8"/>
  <c r="G41" i="8"/>
  <c r="G24" i="8"/>
  <c r="I41" i="8"/>
  <c r="I24" i="8"/>
  <c r="K24" i="8"/>
  <c r="K41" i="8"/>
  <c r="N48" i="8"/>
  <c r="N31" i="8"/>
  <c r="U140" i="11"/>
  <c r="W140" i="11" s="1"/>
  <c r="L627" i="7"/>
  <c r="M627" i="7" s="1"/>
  <c r="U680" i="7"/>
  <c r="W680" i="7" s="1"/>
  <c r="V682" i="18"/>
  <c r="I687" i="18"/>
  <c r="R687" i="18"/>
  <c r="G717" i="18"/>
  <c r="I717" i="18"/>
  <c r="K717" i="18"/>
  <c r="G500" i="19"/>
  <c r="H500" i="19" s="1"/>
  <c r="I500" i="19" s="1"/>
  <c r="M92" i="18"/>
  <c r="M91" i="18" s="1"/>
  <c r="I479" i="9"/>
  <c r="K565" i="8"/>
  <c r="J560" i="15"/>
  <c r="T513" i="8"/>
  <c r="G553" i="11"/>
  <c r="I553" i="11"/>
  <c r="T190" i="13"/>
  <c r="T209" i="13"/>
  <c r="G535" i="15"/>
  <c r="G518" i="15" s="1"/>
  <c r="I535" i="15"/>
  <c r="I518" i="15" s="1"/>
  <c r="G685" i="15"/>
  <c r="G638" i="15"/>
  <c r="I685" i="15"/>
  <c r="I638" i="15"/>
  <c r="I637" i="15" s="1"/>
  <c r="L635" i="7"/>
  <c r="M635" i="7" s="1"/>
  <c r="F24" i="8"/>
  <c r="J547" i="8"/>
  <c r="H553" i="11"/>
  <c r="V68" i="13"/>
  <c r="W68" i="13" s="1"/>
  <c r="T100" i="13"/>
  <c r="J535" i="15"/>
  <c r="J518" i="15" s="1"/>
  <c r="F685" i="15"/>
  <c r="F640" i="15" s="1"/>
  <c r="H685" i="15"/>
  <c r="H638" i="15"/>
  <c r="J687" i="15"/>
  <c r="J638" i="15"/>
  <c r="J544" i="15" s="1"/>
  <c r="J482" i="8"/>
  <c r="G378" i="7"/>
  <c r="M373" i="7"/>
  <c r="M372" i="7" s="1"/>
  <c r="J525" i="15"/>
  <c r="T361" i="15"/>
  <c r="U361" i="15" s="1"/>
  <c r="W361" i="15" s="1"/>
  <c r="F566" i="18"/>
  <c r="J482" i="18"/>
  <c r="G474" i="19"/>
  <c r="F484" i="19"/>
  <c r="F485" i="19" s="1"/>
  <c r="G485" i="19" s="1"/>
  <c r="H484" i="19"/>
  <c r="T361" i="19"/>
  <c r="U361" i="19" s="1"/>
  <c r="W361" i="19" s="1"/>
  <c r="T423" i="13"/>
  <c r="U423" i="13" s="1"/>
  <c r="W423" i="13" s="1"/>
  <c r="L498" i="8"/>
  <c r="M498" i="8" s="1"/>
  <c r="L96" i="11"/>
  <c r="H479" i="7"/>
  <c r="F484" i="18"/>
  <c r="F485" i="18" s="1"/>
  <c r="V220" i="15"/>
  <c r="M465" i="8"/>
  <c r="M464" i="8" s="1"/>
  <c r="L464" i="8"/>
  <c r="I422" i="8"/>
  <c r="I167" i="7"/>
  <c r="O167" i="7"/>
  <c r="T200" i="7"/>
  <c r="T200" i="23"/>
  <c r="U200" i="23" s="1"/>
  <c r="V232" i="7"/>
  <c r="V232" i="23" s="1"/>
  <c r="V231" i="23" s="1"/>
  <c r="J234" i="7"/>
  <c r="N234" i="7"/>
  <c r="P234" i="7"/>
  <c r="K246" i="23"/>
  <c r="K251" i="23"/>
  <c r="Q249" i="7"/>
  <c r="Q249" i="23" s="1"/>
  <c r="V262" i="7"/>
  <c r="H264" i="7"/>
  <c r="R264" i="7"/>
  <c r="R268" i="7" s="1"/>
  <c r="S290" i="23"/>
  <c r="H351" i="7"/>
  <c r="N320" i="23"/>
  <c r="N274" i="23"/>
  <c r="V397" i="7"/>
  <c r="F325" i="23"/>
  <c r="F330" i="23"/>
  <c r="F331" i="23" s="1"/>
  <c r="H358" i="7"/>
  <c r="N405" i="7"/>
  <c r="R405" i="7"/>
  <c r="N382" i="23"/>
  <c r="V465" i="7"/>
  <c r="G387" i="23"/>
  <c r="G392" i="23"/>
  <c r="K387" i="23"/>
  <c r="K392" i="23"/>
  <c r="O467" i="7"/>
  <c r="V600" i="7"/>
  <c r="I631" i="7"/>
  <c r="G357" i="23"/>
  <c r="G362" i="23"/>
  <c r="G343" i="23"/>
  <c r="R420" i="8"/>
  <c r="P493" i="23"/>
  <c r="H580" i="8"/>
  <c r="J578" i="8"/>
  <c r="N578" i="8"/>
  <c r="P578" i="8"/>
  <c r="T601" i="8"/>
  <c r="T600" i="8" s="1"/>
  <c r="F608" i="8"/>
  <c r="H608" i="8"/>
  <c r="H531" i="23" s="1"/>
  <c r="J610" i="8"/>
  <c r="N608" i="8"/>
  <c r="R290" i="23"/>
  <c r="F348" i="11"/>
  <c r="L348" i="11" s="1"/>
  <c r="M348" i="11" s="1"/>
  <c r="U200" i="13"/>
  <c r="W200" i="13" s="1"/>
  <c r="K206" i="13"/>
  <c r="Q220" i="13"/>
  <c r="L247" i="13"/>
  <c r="L246" i="13" s="1"/>
  <c r="F257" i="13"/>
  <c r="J257" i="13"/>
  <c r="V257" i="13"/>
  <c r="J283" i="13"/>
  <c r="R351" i="13"/>
  <c r="R353" i="13" s="1"/>
  <c r="V359" i="13"/>
  <c r="W359" i="13" s="1"/>
  <c r="Q362" i="13"/>
  <c r="L406" i="13"/>
  <c r="M406" i="13" s="1"/>
  <c r="J547" i="13"/>
  <c r="V541" i="13"/>
  <c r="V547" i="13" s="1"/>
  <c r="K525" i="13"/>
  <c r="Q525" i="13"/>
  <c r="I554" i="13"/>
  <c r="V559" i="13"/>
  <c r="H564" i="13"/>
  <c r="N564" i="13"/>
  <c r="R564" i="13"/>
  <c r="I628" i="13"/>
  <c r="V636" i="13"/>
  <c r="S271" i="23"/>
  <c r="S254" i="23" s="1"/>
  <c r="V60" i="15"/>
  <c r="V59" i="15" s="1"/>
  <c r="V475" i="15"/>
  <c r="V474" i="15" s="1"/>
  <c r="J580" i="15"/>
  <c r="T601" i="15"/>
  <c r="F610" i="15"/>
  <c r="H610" i="15"/>
  <c r="J610" i="15"/>
  <c r="N610" i="15"/>
  <c r="G717" i="15"/>
  <c r="I717" i="15"/>
  <c r="K717" i="15"/>
  <c r="O717" i="15"/>
  <c r="R717" i="15"/>
  <c r="R101" i="23"/>
  <c r="L210" i="18"/>
  <c r="M210" i="18" s="1"/>
  <c r="O101" i="23"/>
  <c r="Q101" i="23"/>
  <c r="P146" i="23"/>
  <c r="G258" i="19"/>
  <c r="G27" i="19" s="1"/>
  <c r="I258" i="19"/>
  <c r="I27" i="19" s="1"/>
  <c r="K258" i="19"/>
  <c r="K27" i="19" s="1"/>
  <c r="O258" i="19"/>
  <c r="O27" i="19" s="1"/>
  <c r="Q258" i="19"/>
  <c r="Q27" i="19" s="1"/>
  <c r="S258" i="19"/>
  <c r="S27" i="19" s="1"/>
  <c r="Q482" i="7"/>
  <c r="V99" i="18"/>
  <c r="V69" i="18" s="1"/>
  <c r="R189" i="7"/>
  <c r="R189" i="23" s="1"/>
  <c r="T245" i="7"/>
  <c r="T245" i="23"/>
  <c r="U245" i="23" s="1"/>
  <c r="G246" i="23"/>
  <c r="G251" i="23"/>
  <c r="I251" i="23"/>
  <c r="I246" i="23"/>
  <c r="O249" i="7"/>
  <c r="O249" i="23" s="1"/>
  <c r="N264" i="7"/>
  <c r="N268" i="7" s="1"/>
  <c r="J311" i="7"/>
  <c r="F320" i="23"/>
  <c r="F274" i="23"/>
  <c r="J351" i="7"/>
  <c r="J353" i="7" s="1"/>
  <c r="P325" i="23"/>
  <c r="P330" i="23"/>
  <c r="V413" i="7"/>
  <c r="V415" i="7" s="1"/>
  <c r="V418" i="7"/>
  <c r="S341" i="23"/>
  <c r="T341" i="23" s="1"/>
  <c r="U341" i="23" s="1"/>
  <c r="T386" i="23"/>
  <c r="U386" i="23" s="1"/>
  <c r="X386" i="23" s="1"/>
  <c r="I420" i="7"/>
  <c r="I419" i="7" s="1"/>
  <c r="Q387" i="23"/>
  <c r="Q392" i="23"/>
  <c r="V504" i="7"/>
  <c r="R554" i="7"/>
  <c r="R638" i="7"/>
  <c r="K687" i="7"/>
  <c r="O420" i="8"/>
  <c r="J69" i="8"/>
  <c r="N479" i="7"/>
  <c r="V201" i="7"/>
  <c r="M648" i="7"/>
  <c r="M647" i="7" s="1"/>
  <c r="S234" i="8"/>
  <c r="L231" i="9"/>
  <c r="M97" i="11"/>
  <c r="M96" i="11" s="1"/>
  <c r="O544" i="15"/>
  <c r="L308" i="15"/>
  <c r="V402" i="15"/>
  <c r="M435" i="15"/>
  <c r="M434" i="15" s="1"/>
  <c r="V217" i="15"/>
  <c r="V190" i="15"/>
  <c r="S204" i="15"/>
  <c r="S249" i="18"/>
  <c r="S204" i="18"/>
  <c r="V172" i="18"/>
  <c r="U232" i="18"/>
  <c r="W232" i="18" s="1"/>
  <c r="W231" i="18" s="1"/>
  <c r="L402" i="18"/>
  <c r="U403" i="19"/>
  <c r="L683" i="7"/>
  <c r="L682" i="7" s="1"/>
  <c r="S687" i="7"/>
  <c r="L656" i="7"/>
  <c r="M656" i="7" s="1"/>
  <c r="L653" i="7"/>
  <c r="L652" i="7" s="1"/>
  <c r="T609" i="7"/>
  <c r="H638" i="7"/>
  <c r="H637" i="7" s="1"/>
  <c r="V636" i="7"/>
  <c r="T653" i="7"/>
  <c r="T652" i="7" s="1"/>
  <c r="R657" i="7"/>
  <c r="P655" i="7"/>
  <c r="P578" i="23" s="1"/>
  <c r="F405" i="7"/>
  <c r="N311" i="7"/>
  <c r="I687" i="7"/>
  <c r="L708" i="7"/>
  <c r="M708" i="7" s="1"/>
  <c r="M707" i="7" s="1"/>
  <c r="V478" i="7"/>
  <c r="K249" i="7"/>
  <c r="K249" i="23" s="1"/>
  <c r="F311" i="7"/>
  <c r="H311" i="7"/>
  <c r="S247" i="7"/>
  <c r="T182" i="7"/>
  <c r="T181" i="7" s="1"/>
  <c r="U138" i="7"/>
  <c r="U93" i="7"/>
  <c r="W93" i="7" s="1"/>
  <c r="T435" i="8"/>
  <c r="T434" i="8" s="1"/>
  <c r="K437" i="8"/>
  <c r="G437" i="8"/>
  <c r="J405" i="8"/>
  <c r="F405" i="8"/>
  <c r="F360" i="8" s="1"/>
  <c r="U243" i="8"/>
  <c r="W243" i="8" s="1"/>
  <c r="I216" i="8"/>
  <c r="L187" i="8"/>
  <c r="Q565" i="19"/>
  <c r="T509" i="19"/>
  <c r="I69" i="7"/>
  <c r="T140" i="23"/>
  <c r="U140" i="23" s="1"/>
  <c r="H167" i="7"/>
  <c r="H181" i="23"/>
  <c r="N167" i="7"/>
  <c r="N166" i="7" s="1"/>
  <c r="P181" i="23"/>
  <c r="V187" i="7"/>
  <c r="G189" i="7"/>
  <c r="V196" i="7"/>
  <c r="F204" i="7"/>
  <c r="N204" i="7"/>
  <c r="N204" i="23" s="1"/>
  <c r="P204" i="7"/>
  <c r="P204" i="23" s="1"/>
  <c r="G234" i="7"/>
  <c r="G234" i="23" s="1"/>
  <c r="K234" i="7"/>
  <c r="Q234" i="7"/>
  <c r="Q234" i="23" s="1"/>
  <c r="P212" i="23"/>
  <c r="P211" i="23" s="1"/>
  <c r="P241" i="23"/>
  <c r="J249" i="7"/>
  <c r="P249" i="7"/>
  <c r="P249" i="23" s="1"/>
  <c r="R249" i="7"/>
  <c r="I264" i="7"/>
  <c r="I268" i="7" s="1"/>
  <c r="O264" i="7"/>
  <c r="O268" i="7" s="1"/>
  <c r="V303" i="7"/>
  <c r="Q311" i="7"/>
  <c r="N351" i="7"/>
  <c r="N353" i="7" s="1"/>
  <c r="R351" i="7"/>
  <c r="V351" i="7"/>
  <c r="V353" i="7" s="1"/>
  <c r="G320" i="23"/>
  <c r="I351" i="7"/>
  <c r="I353" i="7" s="1"/>
  <c r="K320" i="23"/>
  <c r="O320" i="23"/>
  <c r="S320" i="23"/>
  <c r="I358" i="7"/>
  <c r="I341" i="7" s="1"/>
  <c r="O325" i="23"/>
  <c r="O330" i="23"/>
  <c r="O281" i="23"/>
  <c r="S352" i="23"/>
  <c r="G382" i="23"/>
  <c r="I413" i="7"/>
  <c r="I415" i="7" s="1"/>
  <c r="I382" i="23"/>
  <c r="K382" i="23"/>
  <c r="O382" i="23"/>
  <c r="F420" i="7"/>
  <c r="F424" i="7" s="1"/>
  <c r="F425" i="7" s="1"/>
  <c r="H420" i="7"/>
  <c r="J420" i="7"/>
  <c r="P387" i="23"/>
  <c r="P392" i="23"/>
  <c r="R427" i="23"/>
  <c r="G533" i="7"/>
  <c r="G516" i="7" s="1"/>
  <c r="L516" i="7" s="1"/>
  <c r="M516" i="7" s="1"/>
  <c r="K533" i="7"/>
  <c r="K516" i="7" s="1"/>
  <c r="Q533" i="7"/>
  <c r="Q516" i="7" s="1"/>
  <c r="F534" i="7"/>
  <c r="F517" i="7" s="1"/>
  <c r="J534" i="7"/>
  <c r="J517" i="7" s="1"/>
  <c r="L517" i="7" s="1"/>
  <c r="M517" i="7" s="1"/>
  <c r="O545" i="7"/>
  <c r="O528" i="7" s="1"/>
  <c r="V576" i="7"/>
  <c r="V647" i="7"/>
  <c r="I655" i="7"/>
  <c r="Q657" i="7"/>
  <c r="S655" i="7"/>
  <c r="J685" i="7"/>
  <c r="N687" i="7"/>
  <c r="P687" i="7"/>
  <c r="R685" i="7"/>
  <c r="I69" i="8"/>
  <c r="H167" i="8"/>
  <c r="N167" i="8"/>
  <c r="N26" i="8" s="1"/>
  <c r="V359" i="8"/>
  <c r="P361" i="8"/>
  <c r="N420" i="8"/>
  <c r="N341" i="8" s="1"/>
  <c r="P420" i="8"/>
  <c r="P424" i="8" s="1"/>
  <c r="V422" i="8"/>
  <c r="V343" i="8" s="1"/>
  <c r="O423" i="8"/>
  <c r="G554" i="8"/>
  <c r="K554" i="8"/>
  <c r="G578" i="8"/>
  <c r="I578" i="8"/>
  <c r="K578" i="8"/>
  <c r="R578" i="8"/>
  <c r="G608" i="8"/>
  <c r="G531" i="23" s="1"/>
  <c r="I608" i="8"/>
  <c r="I531" i="23" s="1"/>
  <c r="K608" i="8"/>
  <c r="R608" i="8"/>
  <c r="O348" i="11"/>
  <c r="T348" i="11" s="1"/>
  <c r="S356" i="13"/>
  <c r="T356" i="13" s="1"/>
  <c r="U356" i="13" s="1"/>
  <c r="X356" i="13" s="1"/>
  <c r="I401" i="23"/>
  <c r="L401" i="23" s="1"/>
  <c r="M401" i="23" s="1"/>
  <c r="L416" i="23"/>
  <c r="M416" i="23" s="1"/>
  <c r="N101" i="23"/>
  <c r="L197" i="18"/>
  <c r="M197" i="18" s="1"/>
  <c r="M196" i="18" s="1"/>
  <c r="P101" i="23"/>
  <c r="F258" i="19"/>
  <c r="F27" i="19" s="1"/>
  <c r="H258" i="19"/>
  <c r="H27" i="19" s="1"/>
  <c r="J258" i="19"/>
  <c r="J27" i="19" s="1"/>
  <c r="N258" i="19"/>
  <c r="N27" i="19" s="1"/>
  <c r="P258" i="19"/>
  <c r="P27" i="19" s="1"/>
  <c r="R258" i="19"/>
  <c r="R27" i="19" s="1"/>
  <c r="T58" i="23"/>
  <c r="U58" i="23" s="1"/>
  <c r="T495" i="15"/>
  <c r="V357" i="15"/>
  <c r="W68" i="7"/>
  <c r="S144" i="7"/>
  <c r="G22" i="7"/>
  <c r="G39" i="7"/>
  <c r="I39" i="7"/>
  <c r="I22" i="7"/>
  <c r="K22" i="7"/>
  <c r="K39" i="7"/>
  <c r="O39" i="7"/>
  <c r="O22" i="7"/>
  <c r="Q22" i="7"/>
  <c r="Q39" i="7"/>
  <c r="S39" i="7"/>
  <c r="S22" i="7"/>
  <c r="F23" i="7"/>
  <c r="F40" i="7"/>
  <c r="H40" i="7"/>
  <c r="H23" i="7"/>
  <c r="J23" i="7"/>
  <c r="J40" i="7"/>
  <c r="N40" i="7"/>
  <c r="N23" i="7"/>
  <c r="P23" i="7"/>
  <c r="P40" i="7"/>
  <c r="R40" i="7"/>
  <c r="R23" i="7"/>
  <c r="V40" i="7"/>
  <c r="V23" i="7"/>
  <c r="G41" i="7"/>
  <c r="G24" i="7"/>
  <c r="I41" i="7"/>
  <c r="I24" i="7"/>
  <c r="K41" i="7"/>
  <c r="K24" i="7"/>
  <c r="O41" i="7"/>
  <c r="O24" i="7"/>
  <c r="Q41" i="7"/>
  <c r="Q24" i="7"/>
  <c r="S41" i="7"/>
  <c r="S24" i="7"/>
  <c r="G29" i="7"/>
  <c r="G46" i="7"/>
  <c r="I29" i="7"/>
  <c r="I17" i="7" s="1"/>
  <c r="I46" i="7"/>
  <c r="K29" i="7"/>
  <c r="K17" i="7" s="1"/>
  <c r="K46" i="7"/>
  <c r="O29" i="7"/>
  <c r="O46" i="7"/>
  <c r="Q29" i="7"/>
  <c r="Q17" i="7" s="1"/>
  <c r="Q46" i="7"/>
  <c r="S29" i="7"/>
  <c r="S46" i="7"/>
  <c r="F30" i="7"/>
  <c r="F18" i="7" s="1"/>
  <c r="F47" i="7"/>
  <c r="H30" i="7"/>
  <c r="H47" i="7"/>
  <c r="J30" i="7"/>
  <c r="J47" i="7"/>
  <c r="N30" i="7"/>
  <c r="N47" i="7"/>
  <c r="P30" i="7"/>
  <c r="P47" i="7"/>
  <c r="R30" i="7"/>
  <c r="R47" i="7"/>
  <c r="F31" i="7"/>
  <c r="F48" i="7"/>
  <c r="H48" i="7"/>
  <c r="H31" i="7"/>
  <c r="J48" i="7"/>
  <c r="J31" i="7"/>
  <c r="N48" i="7"/>
  <c r="N31" i="7"/>
  <c r="P48" i="7"/>
  <c r="P31" i="7"/>
  <c r="R48" i="7"/>
  <c r="R31" i="7"/>
  <c r="F34" i="7"/>
  <c r="F51" i="7"/>
  <c r="H34" i="7"/>
  <c r="H20" i="7" s="1"/>
  <c r="H51" i="7"/>
  <c r="J34" i="7"/>
  <c r="J20" i="7" s="1"/>
  <c r="J51" i="7"/>
  <c r="N34" i="7"/>
  <c r="N51" i="7"/>
  <c r="P34" i="7"/>
  <c r="P51" i="7"/>
  <c r="R34" i="7"/>
  <c r="R51" i="7"/>
  <c r="G358" i="7"/>
  <c r="K69" i="8"/>
  <c r="O69" i="8"/>
  <c r="T140" i="8"/>
  <c r="F22" i="8"/>
  <c r="F39" i="8"/>
  <c r="H22" i="8"/>
  <c r="H39" i="8"/>
  <c r="J22" i="8"/>
  <c r="J39" i="8"/>
  <c r="N22" i="8"/>
  <c r="N39" i="8"/>
  <c r="P22" i="8"/>
  <c r="P39" i="8"/>
  <c r="S22" i="8"/>
  <c r="S39" i="8"/>
  <c r="F40" i="8"/>
  <c r="F23" i="8"/>
  <c r="H23" i="8"/>
  <c r="H40" i="8"/>
  <c r="J23" i="8"/>
  <c r="J40" i="8"/>
  <c r="N23" i="8"/>
  <c r="N40" i="8"/>
  <c r="P23" i="8"/>
  <c r="P40" i="8"/>
  <c r="S23" i="8"/>
  <c r="S40" i="8"/>
  <c r="N24" i="8"/>
  <c r="N41" i="8"/>
  <c r="P24" i="8"/>
  <c r="P41" i="8"/>
  <c r="S24" i="8"/>
  <c r="S41" i="8"/>
  <c r="F29" i="8"/>
  <c r="F46" i="8"/>
  <c r="H29" i="8"/>
  <c r="H46" i="8"/>
  <c r="J29" i="8"/>
  <c r="J17" i="8" s="1"/>
  <c r="J46" i="8"/>
  <c r="N29" i="8"/>
  <c r="N46" i="8"/>
  <c r="P29" i="8"/>
  <c r="P46" i="8"/>
  <c r="S29" i="8"/>
  <c r="S17" i="8" s="1"/>
  <c r="S46" i="8"/>
  <c r="F30" i="8"/>
  <c r="F47" i="8"/>
  <c r="H30" i="8"/>
  <c r="H36" i="8" s="1"/>
  <c r="H47" i="8"/>
  <c r="H53" i="8" s="1"/>
  <c r="J47" i="8"/>
  <c r="J53" i="8" s="1"/>
  <c r="J30" i="8"/>
  <c r="J36" i="8" s="1"/>
  <c r="N47" i="8"/>
  <c r="N30" i="8"/>
  <c r="P47" i="8"/>
  <c r="P30" i="8"/>
  <c r="S47" i="8"/>
  <c r="S30" i="8"/>
  <c r="E48" i="8"/>
  <c r="E31" i="8"/>
  <c r="O48" i="8"/>
  <c r="O31" i="8"/>
  <c r="R48" i="8"/>
  <c r="R31" i="8"/>
  <c r="F51" i="8"/>
  <c r="F34" i="8"/>
  <c r="H51" i="8"/>
  <c r="H34" i="8"/>
  <c r="J51" i="8"/>
  <c r="J34" i="8"/>
  <c r="N51" i="8"/>
  <c r="N34" i="8"/>
  <c r="P51" i="8"/>
  <c r="P34" i="8"/>
  <c r="P20" i="8" s="1"/>
  <c r="S51" i="8"/>
  <c r="S34" i="8"/>
  <c r="G413" i="8"/>
  <c r="I413" i="8"/>
  <c r="I334" i="8" s="1"/>
  <c r="K413" i="8"/>
  <c r="O413" i="8"/>
  <c r="O412" i="8" s="1"/>
  <c r="I420" i="8"/>
  <c r="I424" i="8" s="1"/>
  <c r="S512" i="8"/>
  <c r="S435" i="23" s="1"/>
  <c r="G22" i="9"/>
  <c r="G39" i="9"/>
  <c r="I22" i="9"/>
  <c r="I39" i="9"/>
  <c r="K22" i="9"/>
  <c r="K39" i="9"/>
  <c r="O22" i="9"/>
  <c r="O39" i="9"/>
  <c r="R39" i="9"/>
  <c r="R22" i="9"/>
  <c r="V39" i="9"/>
  <c r="V22" i="9"/>
  <c r="G40" i="9"/>
  <c r="G23" i="9"/>
  <c r="I40" i="9"/>
  <c r="I23" i="9"/>
  <c r="K40" i="9"/>
  <c r="K23" i="9"/>
  <c r="O40" i="9"/>
  <c r="O23" i="9"/>
  <c r="R23" i="9"/>
  <c r="R40" i="9"/>
  <c r="V23" i="9"/>
  <c r="V40" i="9"/>
  <c r="G24" i="9"/>
  <c r="I24" i="9"/>
  <c r="K24" i="9"/>
  <c r="O24" i="9"/>
  <c r="O41" i="9"/>
  <c r="R41" i="9"/>
  <c r="R24" i="9"/>
  <c r="V41" i="9"/>
  <c r="V24" i="9"/>
  <c r="F29" i="9"/>
  <c r="F46" i="9"/>
  <c r="H29" i="9"/>
  <c r="H46" i="9"/>
  <c r="J29" i="9"/>
  <c r="J46" i="9"/>
  <c r="N29" i="9"/>
  <c r="N46" i="9"/>
  <c r="Q46" i="9"/>
  <c r="Q29" i="9"/>
  <c r="S46" i="9"/>
  <c r="S29" i="9"/>
  <c r="F30" i="9"/>
  <c r="F47" i="9"/>
  <c r="H30" i="9"/>
  <c r="H36" i="9" s="1"/>
  <c r="H47" i="9"/>
  <c r="H53" i="9" s="1"/>
  <c r="J30" i="9"/>
  <c r="J47" i="9"/>
  <c r="J53" i="9" s="1"/>
  <c r="N47" i="9"/>
  <c r="N30" i="9"/>
  <c r="N18" i="9" s="1"/>
  <c r="Q30" i="9"/>
  <c r="Q18" i="9" s="1"/>
  <c r="Q47" i="9"/>
  <c r="S30" i="9"/>
  <c r="S18" i="9" s="1"/>
  <c r="S47" i="9"/>
  <c r="E31" i="9"/>
  <c r="E48" i="9"/>
  <c r="G31" i="9"/>
  <c r="I31" i="9"/>
  <c r="K31" i="9"/>
  <c r="O31" i="9"/>
  <c r="R48" i="9"/>
  <c r="R31" i="9"/>
  <c r="F51" i="9"/>
  <c r="F34" i="9"/>
  <c r="H51" i="9"/>
  <c r="H34" i="9"/>
  <c r="J51" i="9"/>
  <c r="J34" i="9"/>
  <c r="N51" i="9"/>
  <c r="N34" i="9"/>
  <c r="Q34" i="9"/>
  <c r="Q51" i="9"/>
  <c r="S34" i="9"/>
  <c r="S20" i="9" s="1"/>
  <c r="S51" i="9"/>
  <c r="R351" i="9"/>
  <c r="R334" i="9" s="1"/>
  <c r="W356" i="9"/>
  <c r="F360" i="9"/>
  <c r="G353" i="9"/>
  <c r="G350" i="9"/>
  <c r="I353" i="9"/>
  <c r="I350" i="9"/>
  <c r="K353" i="9"/>
  <c r="K350" i="9"/>
  <c r="G357" i="9"/>
  <c r="G362" i="9"/>
  <c r="I362" i="9"/>
  <c r="I357" i="9"/>
  <c r="K362" i="9"/>
  <c r="K357" i="9"/>
  <c r="O362" i="9"/>
  <c r="O357" i="9"/>
  <c r="G415" i="9"/>
  <c r="G412" i="9"/>
  <c r="I415" i="9"/>
  <c r="I412" i="9"/>
  <c r="K415" i="9"/>
  <c r="K412" i="9"/>
  <c r="O415" i="9"/>
  <c r="O412" i="9"/>
  <c r="R415" i="9"/>
  <c r="R412" i="9"/>
  <c r="T418" i="9"/>
  <c r="U418" i="9" s="1"/>
  <c r="W418" i="9" s="1"/>
  <c r="S339" i="9"/>
  <c r="G419" i="9"/>
  <c r="G424" i="9"/>
  <c r="K419" i="9"/>
  <c r="K424" i="9"/>
  <c r="O467" i="9"/>
  <c r="O420" i="9"/>
  <c r="R467" i="9"/>
  <c r="R390" i="23" s="1"/>
  <c r="R420" i="9"/>
  <c r="R419" i="9" s="1"/>
  <c r="S67" i="11"/>
  <c r="F60" i="11"/>
  <c r="H60" i="11"/>
  <c r="J60" i="11"/>
  <c r="N60" i="11"/>
  <c r="Q60" i="11"/>
  <c r="S60" i="11"/>
  <c r="F67" i="11"/>
  <c r="H67" i="11"/>
  <c r="J67" i="11"/>
  <c r="N67" i="11"/>
  <c r="Q67" i="11"/>
  <c r="F22" i="11"/>
  <c r="F39" i="11"/>
  <c r="H22" i="11"/>
  <c r="H39" i="11"/>
  <c r="J22" i="11"/>
  <c r="J39" i="11"/>
  <c r="N22" i="11"/>
  <c r="N39" i="11"/>
  <c r="Q39" i="11"/>
  <c r="Q22" i="11"/>
  <c r="S39" i="11"/>
  <c r="S22" i="11"/>
  <c r="F23" i="11"/>
  <c r="F40" i="11"/>
  <c r="H23" i="11"/>
  <c r="H40" i="11"/>
  <c r="J40" i="11"/>
  <c r="J23" i="11"/>
  <c r="N40" i="11"/>
  <c r="N23" i="11"/>
  <c r="Q23" i="11"/>
  <c r="Q40" i="11"/>
  <c r="S23" i="11"/>
  <c r="S40" i="11"/>
  <c r="F41" i="11"/>
  <c r="F24" i="11"/>
  <c r="H41" i="11"/>
  <c r="J41" i="11"/>
  <c r="J24" i="11"/>
  <c r="N41" i="11"/>
  <c r="N24" i="11"/>
  <c r="Q41" i="11"/>
  <c r="Q24" i="11"/>
  <c r="S41" i="11"/>
  <c r="S24" i="11"/>
  <c r="G29" i="11"/>
  <c r="G46" i="11"/>
  <c r="I46" i="11"/>
  <c r="I29" i="11"/>
  <c r="K29" i="11"/>
  <c r="K46" i="11"/>
  <c r="O46" i="11"/>
  <c r="O29" i="11"/>
  <c r="R29" i="11"/>
  <c r="R46" i="11"/>
  <c r="V29" i="11"/>
  <c r="V46" i="11"/>
  <c r="G30" i="11"/>
  <c r="G47" i="11"/>
  <c r="G53" i="11" s="1"/>
  <c r="I47" i="11"/>
  <c r="I53" i="11" s="1"/>
  <c r="I30" i="11"/>
  <c r="K30" i="11"/>
  <c r="K47" i="11"/>
  <c r="K53" i="11" s="1"/>
  <c r="O47" i="11"/>
  <c r="O53" i="11" s="1"/>
  <c r="O30" i="11"/>
  <c r="R47" i="11"/>
  <c r="R30" i="11"/>
  <c r="V30" i="11"/>
  <c r="V47" i="11"/>
  <c r="F48" i="11"/>
  <c r="F31" i="11"/>
  <c r="H48" i="11"/>
  <c r="J48" i="11"/>
  <c r="J31" i="11"/>
  <c r="N48" i="11"/>
  <c r="N31" i="11"/>
  <c r="Q48" i="11"/>
  <c r="Q31" i="11"/>
  <c r="E33" i="11"/>
  <c r="E19" i="11" s="1"/>
  <c r="E50" i="11"/>
  <c r="G34" i="11"/>
  <c r="G51" i="11"/>
  <c r="I34" i="11"/>
  <c r="I51" i="11"/>
  <c r="K34" i="11"/>
  <c r="K51" i="11"/>
  <c r="O34" i="11"/>
  <c r="O51" i="11"/>
  <c r="R51" i="11"/>
  <c r="R34" i="11"/>
  <c r="T331" i="11"/>
  <c r="O360" i="11"/>
  <c r="V342" i="11"/>
  <c r="W342" i="11" s="1"/>
  <c r="W359" i="11"/>
  <c r="G360" i="11"/>
  <c r="O377" i="11"/>
  <c r="O361" i="11"/>
  <c r="O362" i="11" s="1"/>
  <c r="F350" i="11"/>
  <c r="L351" i="11"/>
  <c r="F334" i="11"/>
  <c r="F353" i="11"/>
  <c r="H353" i="11"/>
  <c r="H350" i="11"/>
  <c r="J350" i="11"/>
  <c r="J353" i="11"/>
  <c r="N350" i="11"/>
  <c r="T351" i="11"/>
  <c r="N353" i="11"/>
  <c r="Q353" i="11"/>
  <c r="Q350" i="11"/>
  <c r="S353" i="11"/>
  <c r="S350" i="11"/>
  <c r="F362" i="11"/>
  <c r="F363" i="11" s="1"/>
  <c r="L358" i="11"/>
  <c r="F341" i="11"/>
  <c r="F357" i="11"/>
  <c r="H357" i="11"/>
  <c r="H362" i="11"/>
  <c r="J362" i="11"/>
  <c r="J357" i="11"/>
  <c r="T358" i="11"/>
  <c r="N357" i="11"/>
  <c r="Q357" i="11"/>
  <c r="T339" i="11"/>
  <c r="U339" i="11" s="1"/>
  <c r="L481" i="11"/>
  <c r="M481" i="11" s="1"/>
  <c r="U603" i="11"/>
  <c r="F39" i="13"/>
  <c r="F22" i="13"/>
  <c r="H39" i="13"/>
  <c r="H22" i="13"/>
  <c r="J39" i="13"/>
  <c r="J22" i="13"/>
  <c r="N39" i="13"/>
  <c r="N22" i="13"/>
  <c r="R39" i="13"/>
  <c r="R22" i="13"/>
  <c r="V39" i="13"/>
  <c r="V22" i="13"/>
  <c r="G40" i="13"/>
  <c r="G23" i="13"/>
  <c r="I40" i="13"/>
  <c r="I23" i="13"/>
  <c r="K40" i="13"/>
  <c r="K23" i="13"/>
  <c r="Q40" i="13"/>
  <c r="Q23" i="13"/>
  <c r="S40" i="13"/>
  <c r="S23" i="13"/>
  <c r="F41" i="13"/>
  <c r="F24" i="13"/>
  <c r="H41" i="13"/>
  <c r="H24" i="13"/>
  <c r="J41" i="13"/>
  <c r="J24" i="13"/>
  <c r="N41" i="13"/>
  <c r="N24" i="13"/>
  <c r="R41" i="13"/>
  <c r="R24" i="13"/>
  <c r="V24" i="13"/>
  <c r="V41" i="13"/>
  <c r="F46" i="13"/>
  <c r="F29" i="13"/>
  <c r="H46" i="13"/>
  <c r="H29" i="13"/>
  <c r="H17" i="13" s="1"/>
  <c r="J46" i="13"/>
  <c r="J29" i="13"/>
  <c r="J17" i="13" s="1"/>
  <c r="N46" i="13"/>
  <c r="N29" i="13"/>
  <c r="N17" i="13" s="1"/>
  <c r="R46" i="13"/>
  <c r="R29" i="13"/>
  <c r="R17" i="13" s="1"/>
  <c r="V46" i="13"/>
  <c r="V29" i="13"/>
  <c r="G47" i="13"/>
  <c r="G30" i="13"/>
  <c r="I47" i="13"/>
  <c r="K47" i="13"/>
  <c r="K30" i="13"/>
  <c r="Q47" i="13"/>
  <c r="Q30" i="13"/>
  <c r="S47" i="13"/>
  <c r="S30" i="13"/>
  <c r="E48" i="13"/>
  <c r="E31" i="13"/>
  <c r="G48" i="13"/>
  <c r="G31" i="13"/>
  <c r="I48" i="13"/>
  <c r="I31" i="13"/>
  <c r="K48" i="13"/>
  <c r="K31" i="13"/>
  <c r="Q48" i="13"/>
  <c r="Q31" i="13"/>
  <c r="E33" i="13"/>
  <c r="E50" i="13"/>
  <c r="G34" i="13"/>
  <c r="G51" i="13"/>
  <c r="I34" i="13"/>
  <c r="I51" i="13"/>
  <c r="K34" i="13"/>
  <c r="K51" i="13"/>
  <c r="Q51" i="13"/>
  <c r="Q34" i="13"/>
  <c r="S34" i="13"/>
  <c r="S20" i="13" s="1"/>
  <c r="S51" i="13"/>
  <c r="G353" i="13"/>
  <c r="G350" i="13"/>
  <c r="I353" i="13"/>
  <c r="I350" i="13"/>
  <c r="K353" i="13"/>
  <c r="K350" i="13"/>
  <c r="Q353" i="13"/>
  <c r="Q350" i="13"/>
  <c r="S353" i="13"/>
  <c r="S350" i="13"/>
  <c r="F357" i="13"/>
  <c r="F362" i="13"/>
  <c r="F363" i="13" s="1"/>
  <c r="L358" i="13"/>
  <c r="H362" i="13"/>
  <c r="H357" i="13"/>
  <c r="J357" i="13"/>
  <c r="J362" i="13"/>
  <c r="G415" i="13"/>
  <c r="G412" i="13"/>
  <c r="I415" i="13"/>
  <c r="I412" i="13"/>
  <c r="K415" i="13"/>
  <c r="K412" i="13"/>
  <c r="Q415" i="13"/>
  <c r="Q412" i="13"/>
  <c r="S415" i="13"/>
  <c r="S412" i="13"/>
  <c r="F420" i="13"/>
  <c r="F341" i="13" s="1"/>
  <c r="J420" i="13"/>
  <c r="J341" i="13" s="1"/>
  <c r="T651" i="13"/>
  <c r="U651" i="13" s="1"/>
  <c r="W651" i="13" s="1"/>
  <c r="S655" i="13"/>
  <c r="S640" i="13" s="1"/>
  <c r="V68" i="15"/>
  <c r="L197" i="15"/>
  <c r="L196" i="15" s="1"/>
  <c r="F334" i="15"/>
  <c r="F353" i="15"/>
  <c r="F350" i="15"/>
  <c r="J353" i="15"/>
  <c r="J334" i="15"/>
  <c r="J350" i="15"/>
  <c r="N353" i="15"/>
  <c r="N334" i="15"/>
  <c r="T351" i="15"/>
  <c r="N350" i="15"/>
  <c r="Q353" i="15"/>
  <c r="Q334" i="15"/>
  <c r="Q350" i="15"/>
  <c r="S353" i="15"/>
  <c r="S350" i="15"/>
  <c r="W356" i="15"/>
  <c r="J341" i="15"/>
  <c r="J357" i="15"/>
  <c r="J362" i="15"/>
  <c r="N362" i="15"/>
  <c r="T358" i="15"/>
  <c r="N357" i="15"/>
  <c r="Q362" i="15"/>
  <c r="Q341" i="15"/>
  <c r="Q357" i="15"/>
  <c r="W359" i="15"/>
  <c r="T339" i="15"/>
  <c r="U339" i="15" s="1"/>
  <c r="Q554" i="15"/>
  <c r="G70" i="18"/>
  <c r="I64" i="18"/>
  <c r="I70" i="18" s="1"/>
  <c r="S30" i="18"/>
  <c r="R67" i="18"/>
  <c r="R66" i="18" s="1"/>
  <c r="N39" i="18"/>
  <c r="N22" i="18"/>
  <c r="S39" i="18"/>
  <c r="S22" i="18"/>
  <c r="H41" i="18"/>
  <c r="H24" i="18"/>
  <c r="J41" i="18"/>
  <c r="J24" i="18"/>
  <c r="N41" i="18"/>
  <c r="N24" i="18"/>
  <c r="S41" i="18"/>
  <c r="S24" i="18"/>
  <c r="G46" i="18"/>
  <c r="G29" i="18"/>
  <c r="I46" i="18"/>
  <c r="I29" i="18"/>
  <c r="K46" i="18"/>
  <c r="K29" i="18"/>
  <c r="R46" i="18"/>
  <c r="R29" i="18"/>
  <c r="V46" i="18"/>
  <c r="V29" i="18"/>
  <c r="V17" i="18" s="1"/>
  <c r="J48" i="18"/>
  <c r="J31" i="18"/>
  <c r="N48" i="18"/>
  <c r="N31" i="18"/>
  <c r="E33" i="18"/>
  <c r="E19" i="18" s="1"/>
  <c r="E50" i="18"/>
  <c r="G51" i="18"/>
  <c r="G34" i="18"/>
  <c r="G20" i="18" s="1"/>
  <c r="I34" i="18"/>
  <c r="I51" i="18"/>
  <c r="K51" i="18"/>
  <c r="K34" i="18"/>
  <c r="R34" i="18"/>
  <c r="R20" i="18" s="1"/>
  <c r="R51" i="18"/>
  <c r="L209" i="18"/>
  <c r="M209" i="18" s="1"/>
  <c r="F353" i="18"/>
  <c r="F350" i="18"/>
  <c r="J353" i="18"/>
  <c r="J350" i="18"/>
  <c r="N353" i="18"/>
  <c r="N350" i="18"/>
  <c r="T351" i="18"/>
  <c r="S353" i="18"/>
  <c r="S350" i="18"/>
  <c r="F357" i="18"/>
  <c r="F362" i="18"/>
  <c r="F363" i="18" s="1"/>
  <c r="L358" i="18"/>
  <c r="H357" i="18"/>
  <c r="H362" i="18"/>
  <c r="J357" i="18"/>
  <c r="J362" i="18"/>
  <c r="N362" i="18"/>
  <c r="N357" i="18"/>
  <c r="N334" i="18"/>
  <c r="N336" i="18" s="1"/>
  <c r="V415" i="18"/>
  <c r="V412" i="18"/>
  <c r="W418" i="18"/>
  <c r="F413" i="18"/>
  <c r="H413" i="18"/>
  <c r="J413" i="18"/>
  <c r="N415" i="18"/>
  <c r="N412" i="18"/>
  <c r="S415" i="18"/>
  <c r="S412" i="18"/>
  <c r="F424" i="18"/>
  <c r="F425" i="18" s="1"/>
  <c r="L420" i="18"/>
  <c r="F419" i="18"/>
  <c r="H419" i="18"/>
  <c r="H424" i="18"/>
  <c r="J424" i="18"/>
  <c r="J419" i="18"/>
  <c r="N467" i="18"/>
  <c r="N420" i="18"/>
  <c r="T493" i="18"/>
  <c r="U493" i="18" s="1"/>
  <c r="F60" i="19"/>
  <c r="P60" i="19"/>
  <c r="P62" i="19" s="1"/>
  <c r="G67" i="19"/>
  <c r="O67" i="19"/>
  <c r="O66" i="19" s="1"/>
  <c r="Q67" i="19"/>
  <c r="S353" i="19"/>
  <c r="S334" i="19"/>
  <c r="S350" i="19"/>
  <c r="O353" i="19"/>
  <c r="O350" i="19"/>
  <c r="Q353" i="19"/>
  <c r="Q350" i="19"/>
  <c r="F362" i="19"/>
  <c r="F363" i="19" s="1"/>
  <c r="L358" i="19"/>
  <c r="F357" i="19"/>
  <c r="H357" i="19"/>
  <c r="H362" i="19"/>
  <c r="J362" i="19"/>
  <c r="J357" i="19"/>
  <c r="N362" i="19"/>
  <c r="N357" i="19"/>
  <c r="T358" i="19"/>
  <c r="P362" i="19"/>
  <c r="P357" i="19"/>
  <c r="R362" i="19"/>
  <c r="R357" i="19"/>
  <c r="V339" i="19"/>
  <c r="V343" i="19"/>
  <c r="O334" i="19"/>
  <c r="O336" i="19" s="1"/>
  <c r="Q334" i="19"/>
  <c r="Q336" i="19" s="1"/>
  <c r="F341" i="19"/>
  <c r="F340" i="19" s="1"/>
  <c r="H341" i="19"/>
  <c r="H345" i="19" s="1"/>
  <c r="J341" i="19"/>
  <c r="N341" i="19"/>
  <c r="N340" i="19" s="1"/>
  <c r="T574" i="19"/>
  <c r="U574" i="19" s="1"/>
  <c r="F546" i="19"/>
  <c r="F529" i="19" s="1"/>
  <c r="S67" i="13"/>
  <c r="T95" i="13"/>
  <c r="U95" i="13" s="1"/>
  <c r="W95" i="13" s="1"/>
  <c r="W138" i="7"/>
  <c r="N50" i="9"/>
  <c r="I360" i="9"/>
  <c r="S362" i="11"/>
  <c r="S357" i="11"/>
  <c r="S362" i="15"/>
  <c r="S357" i="15"/>
  <c r="K69" i="7"/>
  <c r="Q69" i="7"/>
  <c r="F39" i="7"/>
  <c r="F22" i="7"/>
  <c r="H39" i="7"/>
  <c r="H22" i="7"/>
  <c r="J39" i="7"/>
  <c r="J22" i="7"/>
  <c r="N39" i="7"/>
  <c r="N22" i="7"/>
  <c r="P39" i="7"/>
  <c r="P22" i="7"/>
  <c r="R39" i="7"/>
  <c r="R22" i="7"/>
  <c r="V39" i="7"/>
  <c r="V22" i="7"/>
  <c r="G40" i="7"/>
  <c r="G23" i="7"/>
  <c r="I40" i="7"/>
  <c r="I23" i="7"/>
  <c r="K40" i="7"/>
  <c r="K23" i="7"/>
  <c r="O40" i="7"/>
  <c r="O23" i="7"/>
  <c r="Q40" i="7"/>
  <c r="Q23" i="7"/>
  <c r="S40" i="7"/>
  <c r="S23" i="7"/>
  <c r="F41" i="7"/>
  <c r="F24" i="7"/>
  <c r="H41" i="7"/>
  <c r="H24" i="7"/>
  <c r="J24" i="7"/>
  <c r="J41" i="7"/>
  <c r="N24" i="7"/>
  <c r="N41" i="7"/>
  <c r="P24" i="7"/>
  <c r="P41" i="7"/>
  <c r="R24" i="7"/>
  <c r="R41" i="7"/>
  <c r="V24" i="7"/>
  <c r="V41" i="7"/>
  <c r="F29" i="7"/>
  <c r="F46" i="7"/>
  <c r="H29" i="7"/>
  <c r="H46" i="7"/>
  <c r="J29" i="7"/>
  <c r="J46" i="7"/>
  <c r="N46" i="7"/>
  <c r="N29" i="7"/>
  <c r="P46" i="7"/>
  <c r="P29" i="7"/>
  <c r="R46" i="7"/>
  <c r="R29" i="7"/>
  <c r="V46" i="7"/>
  <c r="V29" i="7"/>
  <c r="V17" i="7" s="1"/>
  <c r="G175" i="7"/>
  <c r="G30" i="7"/>
  <c r="G18" i="7" s="1"/>
  <c r="G3" i="7" s="1"/>
  <c r="G47" i="7"/>
  <c r="I47" i="7"/>
  <c r="I53" i="7" s="1"/>
  <c r="I30" i="7"/>
  <c r="I36" i="7" s="1"/>
  <c r="K30" i="7"/>
  <c r="K47" i="7"/>
  <c r="O47" i="7"/>
  <c r="O53" i="7" s="1"/>
  <c r="O30" i="7"/>
  <c r="O36" i="7" s="1"/>
  <c r="Q30" i="7"/>
  <c r="Q47" i="7"/>
  <c r="S47" i="7"/>
  <c r="S53" i="7" s="1"/>
  <c r="S30" i="7"/>
  <c r="S36" i="7" s="1"/>
  <c r="E31" i="7"/>
  <c r="E48" i="7"/>
  <c r="G48" i="7"/>
  <c r="G31" i="7"/>
  <c r="I48" i="7"/>
  <c r="I31" i="7"/>
  <c r="K31" i="7"/>
  <c r="K48" i="7"/>
  <c r="O31" i="7"/>
  <c r="O48" i="7"/>
  <c r="Q31" i="7"/>
  <c r="Q48" i="7"/>
  <c r="E33" i="7"/>
  <c r="E50" i="7"/>
  <c r="E49" i="7" s="1"/>
  <c r="G34" i="7"/>
  <c r="G51" i="7"/>
  <c r="I34" i="7"/>
  <c r="I51" i="7"/>
  <c r="K34" i="7"/>
  <c r="K51" i="7"/>
  <c r="O51" i="7"/>
  <c r="O34" i="7"/>
  <c r="Q34" i="7"/>
  <c r="Q51" i="7"/>
  <c r="S34" i="7"/>
  <c r="S51" i="7"/>
  <c r="U436" i="7"/>
  <c r="W436" i="7" s="1"/>
  <c r="T460" i="7"/>
  <c r="T481" i="7"/>
  <c r="V59" i="8"/>
  <c r="V62" i="8"/>
  <c r="S67" i="8"/>
  <c r="N43" i="8"/>
  <c r="G22" i="8"/>
  <c r="G39" i="8"/>
  <c r="I22" i="8"/>
  <c r="I39" i="8"/>
  <c r="K22" i="8"/>
  <c r="K39" i="8"/>
  <c r="O22" i="8"/>
  <c r="O39" i="8"/>
  <c r="R22" i="8"/>
  <c r="R39" i="8"/>
  <c r="G23" i="8"/>
  <c r="G40" i="8"/>
  <c r="I23" i="8"/>
  <c r="I40" i="8"/>
  <c r="K23" i="8"/>
  <c r="K40" i="8"/>
  <c r="O23" i="8"/>
  <c r="O40" i="8"/>
  <c r="R23" i="8"/>
  <c r="R40" i="8"/>
  <c r="O24" i="8"/>
  <c r="O41" i="8"/>
  <c r="R24" i="8"/>
  <c r="R41" i="8"/>
  <c r="V24" i="8"/>
  <c r="V41" i="8"/>
  <c r="G29" i="8"/>
  <c r="G17" i="8" s="1"/>
  <c r="G46" i="8"/>
  <c r="I29" i="8"/>
  <c r="I17" i="8" s="1"/>
  <c r="I46" i="8"/>
  <c r="K29" i="8"/>
  <c r="K46" i="8"/>
  <c r="O29" i="8"/>
  <c r="O46" i="8"/>
  <c r="R29" i="8"/>
  <c r="R46" i="8"/>
  <c r="V29" i="8"/>
  <c r="V17" i="8" s="1"/>
  <c r="V46" i="8"/>
  <c r="G30" i="8"/>
  <c r="G36" i="8" s="1"/>
  <c r="G47" i="8"/>
  <c r="G53" i="8" s="1"/>
  <c r="I30" i="8"/>
  <c r="I36" i="8" s="1"/>
  <c r="I47" i="8"/>
  <c r="I53" i="8" s="1"/>
  <c r="K47" i="8"/>
  <c r="K53" i="8" s="1"/>
  <c r="K30" i="8"/>
  <c r="K36" i="8" s="1"/>
  <c r="O47" i="8"/>
  <c r="O30" i="8"/>
  <c r="R47" i="8"/>
  <c r="R30" i="8"/>
  <c r="V47" i="8"/>
  <c r="V30" i="8"/>
  <c r="P48" i="8"/>
  <c r="P31" i="8"/>
  <c r="E50" i="8"/>
  <c r="E33" i="8"/>
  <c r="G51" i="8"/>
  <c r="G34" i="8"/>
  <c r="I51" i="8"/>
  <c r="I34" i="8"/>
  <c r="K51" i="8"/>
  <c r="K34" i="8"/>
  <c r="O51" i="8"/>
  <c r="O34" i="8"/>
  <c r="R51" i="8"/>
  <c r="R34" i="8"/>
  <c r="F413" i="8"/>
  <c r="F412" i="8" s="1"/>
  <c r="J413" i="8"/>
  <c r="J415" i="8" s="1"/>
  <c r="P413" i="8"/>
  <c r="P412" i="8" s="1"/>
  <c r="H420" i="8"/>
  <c r="H419" i="8" s="1"/>
  <c r="J420" i="8"/>
  <c r="V547" i="8"/>
  <c r="P542" i="8"/>
  <c r="P525" i="8" s="1"/>
  <c r="W68" i="9"/>
  <c r="F39" i="9"/>
  <c r="F22" i="9"/>
  <c r="H39" i="9"/>
  <c r="H22" i="9"/>
  <c r="J39" i="9"/>
  <c r="J22" i="9"/>
  <c r="N39" i="9"/>
  <c r="N22" i="9"/>
  <c r="Q22" i="9"/>
  <c r="Q39" i="9"/>
  <c r="S22" i="9"/>
  <c r="S39" i="9"/>
  <c r="F23" i="9"/>
  <c r="F40" i="9"/>
  <c r="H23" i="9"/>
  <c r="H40" i="9"/>
  <c r="J23" i="9"/>
  <c r="J40" i="9"/>
  <c r="N23" i="9"/>
  <c r="N40" i="9"/>
  <c r="Q40" i="9"/>
  <c r="Q23" i="9"/>
  <c r="S40" i="9"/>
  <c r="S23" i="9"/>
  <c r="F24" i="9"/>
  <c r="H24" i="9"/>
  <c r="J24" i="9"/>
  <c r="N41" i="9"/>
  <c r="N24" i="9"/>
  <c r="Q24" i="9"/>
  <c r="Q41" i="9"/>
  <c r="S24" i="9"/>
  <c r="S41" i="9"/>
  <c r="G46" i="9"/>
  <c r="G29" i="9"/>
  <c r="I46" i="9"/>
  <c r="I29" i="9"/>
  <c r="K46" i="9"/>
  <c r="K29" i="9"/>
  <c r="O46" i="9"/>
  <c r="O29" i="9"/>
  <c r="R29" i="9"/>
  <c r="R46" i="9"/>
  <c r="V29" i="9"/>
  <c r="V46" i="9"/>
  <c r="G30" i="9"/>
  <c r="G47" i="9"/>
  <c r="G53" i="9" s="1"/>
  <c r="I30" i="9"/>
  <c r="I47" i="9"/>
  <c r="I53" i="9" s="1"/>
  <c r="K30" i="9"/>
  <c r="K36" i="9" s="1"/>
  <c r="K47" i="9"/>
  <c r="K53" i="9" s="1"/>
  <c r="O30" i="9"/>
  <c r="O18" i="9" s="1"/>
  <c r="O47" i="9"/>
  <c r="R47" i="9"/>
  <c r="R30" i="9"/>
  <c r="R18" i="9" s="1"/>
  <c r="V47" i="9"/>
  <c r="H31" i="9"/>
  <c r="J31" i="9"/>
  <c r="N31" i="9"/>
  <c r="Q31" i="9"/>
  <c r="Q48" i="9"/>
  <c r="E33" i="9"/>
  <c r="E50" i="9"/>
  <c r="G34" i="9"/>
  <c r="G51" i="9"/>
  <c r="I34" i="9"/>
  <c r="I20" i="9" s="1"/>
  <c r="I51" i="9"/>
  <c r="K34" i="9"/>
  <c r="K51" i="9"/>
  <c r="O34" i="9"/>
  <c r="O51" i="9"/>
  <c r="R51" i="9"/>
  <c r="R34" i="9"/>
  <c r="V350" i="9"/>
  <c r="V353" i="9"/>
  <c r="G360" i="9"/>
  <c r="F353" i="9"/>
  <c r="L351" i="9"/>
  <c r="F350" i="9"/>
  <c r="H353" i="9"/>
  <c r="H350" i="9"/>
  <c r="J353" i="9"/>
  <c r="J350" i="9"/>
  <c r="N353" i="9"/>
  <c r="N350" i="9"/>
  <c r="Q353" i="9"/>
  <c r="Q350" i="9"/>
  <c r="S353" i="9"/>
  <c r="S350" i="9"/>
  <c r="F362" i="9"/>
  <c r="F363" i="9" s="1"/>
  <c r="F357" i="9"/>
  <c r="L358" i="9"/>
  <c r="H357" i="9"/>
  <c r="H362" i="9"/>
  <c r="J357" i="9"/>
  <c r="J362" i="9"/>
  <c r="N357" i="9"/>
  <c r="T358" i="9"/>
  <c r="V412" i="9"/>
  <c r="V415" i="9"/>
  <c r="F415" i="9"/>
  <c r="F412" i="9"/>
  <c r="L413" i="9"/>
  <c r="H415" i="9"/>
  <c r="H412" i="9"/>
  <c r="J415" i="9"/>
  <c r="J412" i="9"/>
  <c r="N415" i="9"/>
  <c r="T413" i="9"/>
  <c r="N412" i="9"/>
  <c r="Q415" i="9"/>
  <c r="Q412" i="9"/>
  <c r="S415" i="9"/>
  <c r="S412" i="9"/>
  <c r="F424" i="9"/>
  <c r="F425" i="9" s="1"/>
  <c r="F419" i="9"/>
  <c r="H419" i="9"/>
  <c r="H424" i="9"/>
  <c r="N419" i="9"/>
  <c r="Q467" i="9"/>
  <c r="Q420" i="9"/>
  <c r="Q419" i="9" s="1"/>
  <c r="W68" i="11"/>
  <c r="Q69" i="11"/>
  <c r="G60" i="11"/>
  <c r="K60" i="11"/>
  <c r="O60" i="11"/>
  <c r="G67" i="11"/>
  <c r="I67" i="11"/>
  <c r="K67" i="11"/>
  <c r="O67" i="11"/>
  <c r="R67" i="11"/>
  <c r="G39" i="11"/>
  <c r="G22" i="11"/>
  <c r="I39" i="11"/>
  <c r="I22" i="11"/>
  <c r="K22" i="11"/>
  <c r="K39" i="11"/>
  <c r="O39" i="11"/>
  <c r="O22" i="11"/>
  <c r="R22" i="11"/>
  <c r="R39" i="11"/>
  <c r="V22" i="11"/>
  <c r="V39" i="11"/>
  <c r="G40" i="11"/>
  <c r="G23" i="11"/>
  <c r="I23" i="11"/>
  <c r="I40" i="11"/>
  <c r="K23" i="11"/>
  <c r="K40" i="11"/>
  <c r="O23" i="11"/>
  <c r="O40" i="11"/>
  <c r="R23" i="11"/>
  <c r="R40" i="11"/>
  <c r="V23" i="11"/>
  <c r="V40" i="11"/>
  <c r="G41" i="11"/>
  <c r="G24" i="11"/>
  <c r="I41" i="11"/>
  <c r="K41" i="11"/>
  <c r="K24" i="11"/>
  <c r="O41" i="11"/>
  <c r="O24" i="11"/>
  <c r="R41" i="11"/>
  <c r="R24" i="11"/>
  <c r="V24" i="11"/>
  <c r="V41" i="11"/>
  <c r="F29" i="11"/>
  <c r="F46" i="11"/>
  <c r="H29" i="11"/>
  <c r="H46" i="11"/>
  <c r="J29" i="11"/>
  <c r="J46" i="11"/>
  <c r="N29" i="11"/>
  <c r="N46" i="11"/>
  <c r="Q29" i="11"/>
  <c r="Q46" i="11"/>
  <c r="S46" i="11"/>
  <c r="S29" i="11"/>
  <c r="F30" i="11"/>
  <c r="F47" i="11"/>
  <c r="H47" i="11"/>
  <c r="H53" i="11" s="1"/>
  <c r="H30" i="11"/>
  <c r="J30" i="11"/>
  <c r="J47" i="11"/>
  <c r="J53" i="11" s="1"/>
  <c r="N30" i="11"/>
  <c r="N47" i="11"/>
  <c r="Q30" i="11"/>
  <c r="Q47" i="11"/>
  <c r="Q53" i="11" s="1"/>
  <c r="S30" i="11"/>
  <c r="S47" i="11"/>
  <c r="E31" i="11"/>
  <c r="E48" i="11"/>
  <c r="G31" i="11"/>
  <c r="G48" i="11"/>
  <c r="I48" i="11"/>
  <c r="K31" i="11"/>
  <c r="K48" i="11"/>
  <c r="O48" i="11"/>
  <c r="O31" i="11"/>
  <c r="R48" i="11"/>
  <c r="R31" i="11"/>
  <c r="F34" i="11"/>
  <c r="F51" i="11"/>
  <c r="H51" i="11"/>
  <c r="H34" i="11"/>
  <c r="J34" i="11"/>
  <c r="J51" i="11"/>
  <c r="N51" i="11"/>
  <c r="N34" i="11"/>
  <c r="Q34" i="11"/>
  <c r="Q51" i="11"/>
  <c r="S34" i="11"/>
  <c r="S51" i="11"/>
  <c r="L187" i="11"/>
  <c r="M187" i="11" s="1"/>
  <c r="M186" i="11" s="1"/>
  <c r="U224" i="11"/>
  <c r="W224" i="11" s="1"/>
  <c r="L331" i="11"/>
  <c r="M331" i="11" s="1"/>
  <c r="V350" i="11"/>
  <c r="V334" i="11"/>
  <c r="V353" i="11"/>
  <c r="W356" i="11"/>
  <c r="G353" i="11"/>
  <c r="G350" i="11"/>
  <c r="I353" i="11"/>
  <c r="I350" i="11"/>
  <c r="K353" i="11"/>
  <c r="K350" i="11"/>
  <c r="O353" i="11"/>
  <c r="O350" i="11"/>
  <c r="R350" i="11"/>
  <c r="R353" i="11"/>
  <c r="G357" i="11"/>
  <c r="G362" i="11"/>
  <c r="I357" i="11"/>
  <c r="I362" i="11"/>
  <c r="K362" i="11"/>
  <c r="K357" i="11"/>
  <c r="O357" i="11"/>
  <c r="R362" i="11"/>
  <c r="R357" i="11"/>
  <c r="T493" i="11"/>
  <c r="S480" i="11"/>
  <c r="U507" i="11"/>
  <c r="W507" i="11" s="1"/>
  <c r="T628" i="11"/>
  <c r="R60" i="13"/>
  <c r="G22" i="13"/>
  <c r="G39" i="13"/>
  <c r="I22" i="13"/>
  <c r="I39" i="13"/>
  <c r="K22" i="13"/>
  <c r="K39" i="13"/>
  <c r="Q22" i="13"/>
  <c r="Q39" i="13"/>
  <c r="S22" i="13"/>
  <c r="S39" i="13"/>
  <c r="F23" i="13"/>
  <c r="F40" i="13"/>
  <c r="H23" i="13"/>
  <c r="H40" i="13"/>
  <c r="J23" i="13"/>
  <c r="J40" i="13"/>
  <c r="N23" i="13"/>
  <c r="N40" i="13"/>
  <c r="R23" i="13"/>
  <c r="R40" i="13"/>
  <c r="V23" i="13"/>
  <c r="V40" i="13"/>
  <c r="G24" i="13"/>
  <c r="G41" i="13"/>
  <c r="I24" i="13"/>
  <c r="I41" i="13"/>
  <c r="K24" i="13"/>
  <c r="K41" i="13"/>
  <c r="Q41" i="13"/>
  <c r="Q24" i="13"/>
  <c r="G46" i="13"/>
  <c r="G29" i="13"/>
  <c r="G17" i="13" s="1"/>
  <c r="I46" i="13"/>
  <c r="I29" i="13"/>
  <c r="I17" i="13" s="1"/>
  <c r="K46" i="13"/>
  <c r="K29" i="13"/>
  <c r="K17" i="13" s="1"/>
  <c r="Q46" i="13"/>
  <c r="Q29" i="13"/>
  <c r="Q17" i="13" s="1"/>
  <c r="S46" i="13"/>
  <c r="S29" i="13"/>
  <c r="S17" i="13" s="1"/>
  <c r="F47" i="13"/>
  <c r="F30" i="13"/>
  <c r="H47" i="13"/>
  <c r="H30" i="13"/>
  <c r="J47" i="13"/>
  <c r="J30" i="13"/>
  <c r="N47" i="13"/>
  <c r="N30" i="13"/>
  <c r="R47" i="13"/>
  <c r="R30" i="13"/>
  <c r="V47" i="13"/>
  <c r="V30" i="13"/>
  <c r="F31" i="13"/>
  <c r="F48" i="13"/>
  <c r="H31" i="13"/>
  <c r="H48" i="13"/>
  <c r="J31" i="13"/>
  <c r="J48" i="13"/>
  <c r="N31" i="13"/>
  <c r="N48" i="13"/>
  <c r="R48" i="13"/>
  <c r="R31" i="13"/>
  <c r="F51" i="13"/>
  <c r="F34" i="13"/>
  <c r="F20" i="13" s="1"/>
  <c r="H51" i="13"/>
  <c r="H34" i="13"/>
  <c r="J51" i="13"/>
  <c r="J34" i="13"/>
  <c r="N51" i="13"/>
  <c r="N34" i="13"/>
  <c r="R34" i="13"/>
  <c r="R51" i="13"/>
  <c r="L312" i="13"/>
  <c r="M312" i="13" s="1"/>
  <c r="F353" i="13"/>
  <c r="L351" i="13"/>
  <c r="F350" i="13"/>
  <c r="H353" i="13"/>
  <c r="H350" i="13"/>
  <c r="J353" i="13"/>
  <c r="J350" i="13"/>
  <c r="N353" i="13"/>
  <c r="N350" i="13"/>
  <c r="G341" i="13"/>
  <c r="G340" i="13" s="1"/>
  <c r="G362" i="13"/>
  <c r="G363" i="13" s="1"/>
  <c r="H363" i="13" s="1"/>
  <c r="G357" i="13"/>
  <c r="I357" i="13"/>
  <c r="I362" i="13"/>
  <c r="K362" i="13"/>
  <c r="K357" i="13"/>
  <c r="F413" i="13"/>
  <c r="F334" i="13" s="1"/>
  <c r="H415" i="13"/>
  <c r="H412" i="13"/>
  <c r="J415" i="13"/>
  <c r="J412" i="13"/>
  <c r="T413" i="13"/>
  <c r="N415" i="13"/>
  <c r="N412" i="13"/>
  <c r="R415" i="13"/>
  <c r="R412" i="13"/>
  <c r="V415" i="13"/>
  <c r="V412" i="13"/>
  <c r="T418" i="13"/>
  <c r="U418" i="13" s="1"/>
  <c r="W418" i="13" s="1"/>
  <c r="G419" i="13"/>
  <c r="G424" i="13"/>
  <c r="I420" i="13"/>
  <c r="I341" i="13" s="1"/>
  <c r="K420" i="13"/>
  <c r="K341" i="13" s="1"/>
  <c r="G334" i="15"/>
  <c r="G353" i="15"/>
  <c r="G350" i="15"/>
  <c r="K353" i="15"/>
  <c r="K334" i="15"/>
  <c r="K350" i="15"/>
  <c r="O353" i="15"/>
  <c r="O350" i="15"/>
  <c r="R353" i="15"/>
  <c r="R334" i="15"/>
  <c r="R350" i="15"/>
  <c r="V334" i="15"/>
  <c r="V350" i="15"/>
  <c r="V353" i="15"/>
  <c r="G341" i="15"/>
  <c r="G357" i="15"/>
  <c r="G362" i="15"/>
  <c r="I341" i="15"/>
  <c r="I357" i="15"/>
  <c r="I362" i="15"/>
  <c r="K341" i="15"/>
  <c r="K357" i="15"/>
  <c r="K362" i="15"/>
  <c r="O362" i="15"/>
  <c r="O341" i="15"/>
  <c r="O357" i="15"/>
  <c r="R362" i="15"/>
  <c r="R357" i="15"/>
  <c r="T571" i="15"/>
  <c r="T570" i="15" s="1"/>
  <c r="U604" i="15"/>
  <c r="G642" i="15"/>
  <c r="J64" i="18"/>
  <c r="J70" i="18" s="1"/>
  <c r="N67" i="18"/>
  <c r="N66" i="18" s="1"/>
  <c r="R39" i="18"/>
  <c r="R22" i="18"/>
  <c r="V39" i="18"/>
  <c r="V22" i="18"/>
  <c r="V40" i="18"/>
  <c r="V23" i="18"/>
  <c r="I41" i="18"/>
  <c r="I24" i="18"/>
  <c r="K41" i="18"/>
  <c r="K24" i="18"/>
  <c r="R41" i="18"/>
  <c r="R24" i="18"/>
  <c r="F46" i="18"/>
  <c r="F29" i="18"/>
  <c r="H29" i="18"/>
  <c r="H46" i="18"/>
  <c r="J46" i="18"/>
  <c r="J29" i="18"/>
  <c r="N29" i="18"/>
  <c r="N46" i="18"/>
  <c r="S46" i="18"/>
  <c r="S29" i="18"/>
  <c r="E48" i="18"/>
  <c r="E31" i="18"/>
  <c r="G48" i="18"/>
  <c r="I48" i="18"/>
  <c r="I31" i="18"/>
  <c r="K48" i="18"/>
  <c r="K31" i="18"/>
  <c r="R48" i="18"/>
  <c r="R31" i="18"/>
  <c r="F34" i="18"/>
  <c r="F51" i="18"/>
  <c r="H51" i="18"/>
  <c r="H34" i="18"/>
  <c r="H20" i="18" s="1"/>
  <c r="J34" i="18"/>
  <c r="J51" i="18"/>
  <c r="N51" i="18"/>
  <c r="N34" i="18"/>
  <c r="S34" i="18"/>
  <c r="S51" i="18"/>
  <c r="U179" i="18"/>
  <c r="W179" i="18" s="1"/>
  <c r="L182" i="18"/>
  <c r="U182" i="18" s="1"/>
  <c r="W182" i="18" s="1"/>
  <c r="U198" i="18"/>
  <c r="W198" i="18" s="1"/>
  <c r="U248" i="18"/>
  <c r="W248" i="18" s="1"/>
  <c r="G353" i="18"/>
  <c r="G350" i="18"/>
  <c r="I353" i="18"/>
  <c r="I350" i="18"/>
  <c r="K353" i="18"/>
  <c r="K350" i="18"/>
  <c r="R353" i="18"/>
  <c r="R350" i="18"/>
  <c r="V353" i="18"/>
  <c r="V350" i="18"/>
  <c r="T356" i="18"/>
  <c r="U356" i="18" s="1"/>
  <c r="S339" i="18"/>
  <c r="T339" i="18" s="1"/>
  <c r="U339" i="18" s="1"/>
  <c r="X339" i="18" s="1"/>
  <c r="G357" i="18"/>
  <c r="G362" i="18"/>
  <c r="I357" i="18"/>
  <c r="I362" i="18"/>
  <c r="K357" i="18"/>
  <c r="K362" i="18"/>
  <c r="R362" i="18"/>
  <c r="R357" i="18"/>
  <c r="K334" i="18"/>
  <c r="K336" i="18" s="1"/>
  <c r="R413" i="18"/>
  <c r="R334" i="18" s="1"/>
  <c r="R336" i="18" s="1"/>
  <c r="G413" i="18"/>
  <c r="I413" i="18"/>
  <c r="K415" i="18"/>
  <c r="K412" i="18"/>
  <c r="G424" i="18"/>
  <c r="G425" i="18" s="1"/>
  <c r="G419" i="18"/>
  <c r="I419" i="18"/>
  <c r="I424" i="18"/>
  <c r="K424" i="18"/>
  <c r="K419" i="18"/>
  <c r="R467" i="18"/>
  <c r="R420" i="18"/>
  <c r="L558" i="18"/>
  <c r="M558" i="18" s="1"/>
  <c r="O60" i="19"/>
  <c r="O59" i="19" s="1"/>
  <c r="Q60" i="19"/>
  <c r="Q59" i="19" s="1"/>
  <c r="V353" i="19"/>
  <c r="V350" i="19"/>
  <c r="V342" i="19"/>
  <c r="W342" i="19" s="1"/>
  <c r="W359" i="19"/>
  <c r="G360" i="19"/>
  <c r="I360" i="19"/>
  <c r="F353" i="19"/>
  <c r="F350" i="19"/>
  <c r="N353" i="19"/>
  <c r="N350" i="19"/>
  <c r="T351" i="19"/>
  <c r="P353" i="19"/>
  <c r="P350" i="19"/>
  <c r="R353" i="19"/>
  <c r="R334" i="19"/>
  <c r="R350" i="19"/>
  <c r="S357" i="19"/>
  <c r="T356" i="19"/>
  <c r="U356" i="19" s="1"/>
  <c r="G357" i="19"/>
  <c r="G362" i="19"/>
  <c r="I362" i="19"/>
  <c r="I357" i="19"/>
  <c r="K357" i="19"/>
  <c r="K362" i="19"/>
  <c r="O362" i="19"/>
  <c r="O357" i="19"/>
  <c r="Q362" i="19"/>
  <c r="Q357" i="19"/>
  <c r="V334" i="19"/>
  <c r="V333" i="19" s="1"/>
  <c r="F334" i="19"/>
  <c r="F333" i="19" s="1"/>
  <c r="N334" i="19"/>
  <c r="N336" i="19" s="1"/>
  <c r="P334" i="19"/>
  <c r="P336" i="19" s="1"/>
  <c r="I341" i="19"/>
  <c r="I340" i="19" s="1"/>
  <c r="K341" i="19"/>
  <c r="T604" i="19"/>
  <c r="U604" i="19" s="1"/>
  <c r="W604" i="19" s="1"/>
  <c r="H69" i="7"/>
  <c r="S24" i="13"/>
  <c r="T58" i="13"/>
  <c r="U58" i="13" s="1"/>
  <c r="L575" i="7"/>
  <c r="H48" i="18"/>
  <c r="H31" i="18"/>
  <c r="G24" i="18"/>
  <c r="G41" i="18"/>
  <c r="G479" i="8"/>
  <c r="H479" i="18"/>
  <c r="H484" i="13"/>
  <c r="H479" i="13"/>
  <c r="F41" i="18"/>
  <c r="F24" i="18"/>
  <c r="F525" i="15"/>
  <c r="L559" i="11"/>
  <c r="M559" i="11" s="1"/>
  <c r="V600" i="19"/>
  <c r="H544" i="19"/>
  <c r="H527" i="19" s="1"/>
  <c r="G515" i="19"/>
  <c r="H515" i="19" s="1"/>
  <c r="U492" i="19"/>
  <c r="W492" i="19" s="1"/>
  <c r="G479" i="19"/>
  <c r="G344" i="19"/>
  <c r="L344" i="19" s="1"/>
  <c r="L338" i="19"/>
  <c r="U432" i="19"/>
  <c r="W432" i="19" s="1"/>
  <c r="G419" i="19"/>
  <c r="G341" i="19"/>
  <c r="F345" i="19"/>
  <c r="F346" i="19" s="1"/>
  <c r="Q419" i="19"/>
  <c r="Q341" i="19"/>
  <c r="O333" i="19"/>
  <c r="M331" i="19"/>
  <c r="U331" i="19"/>
  <c r="F62" i="19"/>
  <c r="L60" i="19"/>
  <c r="F59" i="19"/>
  <c r="H62" i="19"/>
  <c r="H59" i="19"/>
  <c r="J62" i="19"/>
  <c r="J59" i="19"/>
  <c r="N62" i="19"/>
  <c r="N59" i="19"/>
  <c r="P59" i="19"/>
  <c r="R62" i="19"/>
  <c r="R59" i="19"/>
  <c r="V62" i="19"/>
  <c r="V59" i="19"/>
  <c r="G66" i="19"/>
  <c r="G71" i="19"/>
  <c r="I66" i="19"/>
  <c r="I71" i="19"/>
  <c r="K66" i="19"/>
  <c r="K71" i="19"/>
  <c r="O71" i="19"/>
  <c r="Q66" i="19"/>
  <c r="Q71" i="19"/>
  <c r="S66" i="19"/>
  <c r="S71" i="19"/>
  <c r="H41" i="19"/>
  <c r="H24" i="19"/>
  <c r="J41" i="19"/>
  <c r="J24" i="19"/>
  <c r="N41" i="19"/>
  <c r="N24" i="19"/>
  <c r="P41" i="19"/>
  <c r="P24" i="19"/>
  <c r="R41" i="19"/>
  <c r="R24" i="19"/>
  <c r="G29" i="19"/>
  <c r="G46" i="19"/>
  <c r="I29" i="19"/>
  <c r="I46" i="19"/>
  <c r="K29" i="19"/>
  <c r="K46" i="19"/>
  <c r="O29" i="19"/>
  <c r="O46" i="19"/>
  <c r="Q29" i="19"/>
  <c r="Q46" i="19"/>
  <c r="S29" i="19"/>
  <c r="S46" i="19"/>
  <c r="E50" i="19"/>
  <c r="E33" i="19"/>
  <c r="E19" i="19" s="1"/>
  <c r="G34" i="19"/>
  <c r="G20" i="19" s="1"/>
  <c r="G51" i="19"/>
  <c r="I34" i="19"/>
  <c r="I51" i="19"/>
  <c r="K34" i="19"/>
  <c r="K51" i="19"/>
  <c r="O34" i="19"/>
  <c r="O20" i="19" s="1"/>
  <c r="O51" i="19"/>
  <c r="Q34" i="19"/>
  <c r="Q51" i="19"/>
  <c r="S34" i="19"/>
  <c r="S51" i="19"/>
  <c r="L410" i="19"/>
  <c r="R415" i="19"/>
  <c r="R412" i="19"/>
  <c r="V415" i="19"/>
  <c r="V412" i="19"/>
  <c r="H423" i="19"/>
  <c r="O415" i="19"/>
  <c r="O412" i="19"/>
  <c r="Q415" i="19"/>
  <c r="Q412" i="19"/>
  <c r="L420" i="19"/>
  <c r="F419" i="19"/>
  <c r="F424" i="19"/>
  <c r="F425" i="19" s="1"/>
  <c r="H424" i="19"/>
  <c r="H419" i="19"/>
  <c r="J419" i="19"/>
  <c r="J424" i="19"/>
  <c r="N424" i="19"/>
  <c r="N419" i="19"/>
  <c r="G422" i="19"/>
  <c r="U651" i="19"/>
  <c r="W651" i="19" s="1"/>
  <c r="G62" i="19"/>
  <c r="G59" i="19"/>
  <c r="I62" i="19"/>
  <c r="I59" i="19"/>
  <c r="K62" i="19"/>
  <c r="K59" i="19"/>
  <c r="Q62" i="19"/>
  <c r="S62" i="19"/>
  <c r="S59" i="19"/>
  <c r="G24" i="19"/>
  <c r="G41" i="19"/>
  <c r="I24" i="19"/>
  <c r="I41" i="19"/>
  <c r="K24" i="19"/>
  <c r="K41" i="19"/>
  <c r="O24" i="19"/>
  <c r="O41" i="19"/>
  <c r="Q24" i="19"/>
  <c r="Q41" i="19"/>
  <c r="S24" i="19"/>
  <c r="S41" i="19"/>
  <c r="F29" i="19"/>
  <c r="F46" i="19"/>
  <c r="H29" i="19"/>
  <c r="H46" i="19"/>
  <c r="J29" i="19"/>
  <c r="J46" i="19"/>
  <c r="N29" i="19"/>
  <c r="N46" i="19"/>
  <c r="P29" i="19"/>
  <c r="P46" i="19"/>
  <c r="R29" i="19"/>
  <c r="R46" i="19"/>
  <c r="V29" i="19"/>
  <c r="V46" i="19"/>
  <c r="E48" i="19"/>
  <c r="E49" i="19" s="1"/>
  <c r="E31" i="19"/>
  <c r="F34" i="19"/>
  <c r="F51" i="19"/>
  <c r="H34" i="19"/>
  <c r="H51" i="19"/>
  <c r="J34" i="19"/>
  <c r="J51" i="19"/>
  <c r="N34" i="19"/>
  <c r="N51" i="19"/>
  <c r="P34" i="19"/>
  <c r="P51" i="19"/>
  <c r="R34" i="19"/>
  <c r="R51" i="19"/>
  <c r="S415" i="19"/>
  <c r="S412" i="19"/>
  <c r="G423" i="19"/>
  <c r="L417" i="19"/>
  <c r="S418" i="19"/>
  <c r="S339" i="19" s="1"/>
  <c r="F415" i="19"/>
  <c r="F412" i="19"/>
  <c r="N415" i="19"/>
  <c r="N412" i="19"/>
  <c r="T413" i="19"/>
  <c r="P415" i="19"/>
  <c r="P412" i="19"/>
  <c r="I419" i="19"/>
  <c r="I424" i="19"/>
  <c r="K419" i="19"/>
  <c r="K424" i="19"/>
  <c r="O467" i="19"/>
  <c r="S497" i="19"/>
  <c r="S482" i="19" s="1"/>
  <c r="V65" i="19"/>
  <c r="F67" i="19"/>
  <c r="H67" i="19"/>
  <c r="J67" i="19"/>
  <c r="N67" i="19"/>
  <c r="P67" i="19"/>
  <c r="R67" i="19"/>
  <c r="V68" i="19"/>
  <c r="N220" i="19"/>
  <c r="R220" i="19"/>
  <c r="L218" i="19"/>
  <c r="M218" i="19" s="1"/>
  <c r="U229" i="19"/>
  <c r="W229" i="19" s="1"/>
  <c r="G236" i="19"/>
  <c r="K236" i="19"/>
  <c r="Q236" i="19"/>
  <c r="V215" i="19"/>
  <c r="V216" i="19" s="1"/>
  <c r="G264" i="19"/>
  <c r="I298" i="19"/>
  <c r="K264" i="19"/>
  <c r="O298" i="19"/>
  <c r="V265" i="19"/>
  <c r="W265" i="19" s="1"/>
  <c r="T297" i="19"/>
  <c r="F313" i="19"/>
  <c r="F314" i="19" s="1"/>
  <c r="J313" i="19"/>
  <c r="P313" i="19"/>
  <c r="T423" i="19"/>
  <c r="F41" i="19"/>
  <c r="F24" i="19"/>
  <c r="O39" i="19"/>
  <c r="O22" i="19"/>
  <c r="Q39" i="19"/>
  <c r="Q22" i="19"/>
  <c r="S39" i="19"/>
  <c r="S22" i="19"/>
  <c r="O40" i="19"/>
  <c r="O23" i="19"/>
  <c r="Q40" i="19"/>
  <c r="Q23" i="19"/>
  <c r="S40" i="19"/>
  <c r="S23" i="19"/>
  <c r="N39" i="19"/>
  <c r="N22" i="19"/>
  <c r="P39" i="19"/>
  <c r="P22" i="19"/>
  <c r="R39" i="19"/>
  <c r="R22" i="19"/>
  <c r="N40" i="19"/>
  <c r="N23" i="19"/>
  <c r="P40" i="19"/>
  <c r="P23" i="19"/>
  <c r="R40" i="19"/>
  <c r="R23" i="19"/>
  <c r="V47" i="19"/>
  <c r="V30" i="19"/>
  <c r="G47" i="19"/>
  <c r="G53" i="19" s="1"/>
  <c r="G30" i="19"/>
  <c r="I47" i="19"/>
  <c r="I53" i="19" s="1"/>
  <c r="I30" i="19"/>
  <c r="K47" i="19"/>
  <c r="K53" i="19" s="1"/>
  <c r="K30" i="19"/>
  <c r="F47" i="19"/>
  <c r="F30" i="19"/>
  <c r="J47" i="19"/>
  <c r="J53" i="19" s="1"/>
  <c r="J30" i="19"/>
  <c r="V41" i="19"/>
  <c r="V24" i="19"/>
  <c r="F48" i="19"/>
  <c r="F31" i="19"/>
  <c r="R48" i="19"/>
  <c r="R31" i="19"/>
  <c r="Q31" i="19"/>
  <c r="Q48" i="19"/>
  <c r="P48" i="19"/>
  <c r="P31" i="19"/>
  <c r="O31" i="19"/>
  <c r="O48" i="19"/>
  <c r="N48" i="19"/>
  <c r="N31" i="19"/>
  <c r="K31" i="19"/>
  <c r="K48" i="19"/>
  <c r="J48" i="19"/>
  <c r="J31" i="19"/>
  <c r="G31" i="19"/>
  <c r="G48" i="19"/>
  <c r="H48" i="19"/>
  <c r="H31" i="19"/>
  <c r="I31" i="19"/>
  <c r="I48" i="19"/>
  <c r="N30" i="19"/>
  <c r="N47" i="19"/>
  <c r="P30" i="19"/>
  <c r="P47" i="19"/>
  <c r="P53" i="19" s="1"/>
  <c r="R30" i="19"/>
  <c r="R47" i="19"/>
  <c r="R53" i="19" s="1"/>
  <c r="O47" i="19"/>
  <c r="O30" i="19"/>
  <c r="Q47" i="19"/>
  <c r="Q30" i="19"/>
  <c r="S47" i="19"/>
  <c r="S30" i="19"/>
  <c r="S18" i="19" s="1"/>
  <c r="S3" i="19" s="1"/>
  <c r="G22" i="19"/>
  <c r="G39" i="19"/>
  <c r="I22" i="19"/>
  <c r="I39" i="19"/>
  <c r="K22" i="19"/>
  <c r="K39" i="19"/>
  <c r="G40" i="19"/>
  <c r="G23" i="19"/>
  <c r="I40" i="19"/>
  <c r="I23" i="19"/>
  <c r="K40" i="19"/>
  <c r="K23" i="19"/>
  <c r="F39" i="19"/>
  <c r="F22" i="19"/>
  <c r="H39" i="19"/>
  <c r="H22" i="19"/>
  <c r="J39" i="19"/>
  <c r="J22" i="19"/>
  <c r="F23" i="19"/>
  <c r="F40" i="19"/>
  <c r="H23" i="19"/>
  <c r="H40" i="19"/>
  <c r="J23" i="19"/>
  <c r="J40" i="19"/>
  <c r="G581" i="18"/>
  <c r="H581" i="18" s="1"/>
  <c r="H566" i="18" s="1"/>
  <c r="U574" i="18"/>
  <c r="V489" i="18"/>
  <c r="G474" i="18"/>
  <c r="V342" i="18"/>
  <c r="W342" i="18" s="1"/>
  <c r="G338" i="18"/>
  <c r="G344" i="18" s="1"/>
  <c r="K331" i="18"/>
  <c r="L331" i="18" s="1"/>
  <c r="F59" i="18"/>
  <c r="N60" i="18"/>
  <c r="S43" i="18"/>
  <c r="S60" i="18"/>
  <c r="S62" i="18" s="1"/>
  <c r="S48" i="18"/>
  <c r="R71" i="18"/>
  <c r="R69" i="18"/>
  <c r="T92" i="18"/>
  <c r="U92" i="18" s="1"/>
  <c r="W92" i="18" s="1"/>
  <c r="R60" i="18"/>
  <c r="V51" i="18"/>
  <c r="W68" i="18"/>
  <c r="V67" i="18"/>
  <c r="V24" i="18"/>
  <c r="V41" i="18"/>
  <c r="F220" i="18"/>
  <c r="F221" i="18" s="1"/>
  <c r="F222" i="18" s="1"/>
  <c r="F47" i="18"/>
  <c r="H220" i="18"/>
  <c r="H221" i="18" s="1"/>
  <c r="I220" i="18"/>
  <c r="I221" i="18" s="1"/>
  <c r="K220" i="18"/>
  <c r="K30" i="18"/>
  <c r="K36" i="18" s="1"/>
  <c r="K47" i="18"/>
  <c r="F48" i="18"/>
  <c r="F31" i="18"/>
  <c r="N30" i="18"/>
  <c r="R30" i="18"/>
  <c r="R36" i="18" s="1"/>
  <c r="R216" i="18"/>
  <c r="G216" i="18"/>
  <c r="R23" i="18"/>
  <c r="R40" i="18"/>
  <c r="N23" i="18"/>
  <c r="N40" i="18"/>
  <c r="S40" i="18"/>
  <c r="S23" i="18"/>
  <c r="G40" i="18"/>
  <c r="G23" i="18"/>
  <c r="I40" i="18"/>
  <c r="I23" i="18"/>
  <c r="K40" i="18"/>
  <c r="K23" i="18"/>
  <c r="F23" i="18"/>
  <c r="F40" i="18"/>
  <c r="H23" i="18"/>
  <c r="H40" i="18"/>
  <c r="J23" i="18"/>
  <c r="J40" i="18"/>
  <c r="G22" i="18"/>
  <c r="G39" i="18"/>
  <c r="I22" i="18"/>
  <c r="I39" i="18"/>
  <c r="K22" i="18"/>
  <c r="K39" i="18"/>
  <c r="F39" i="18"/>
  <c r="F22" i="18"/>
  <c r="H39" i="18"/>
  <c r="H22" i="18"/>
  <c r="J39" i="18"/>
  <c r="J22" i="18"/>
  <c r="V535" i="15"/>
  <c r="V518" i="15" s="1"/>
  <c r="Q541" i="15"/>
  <c r="Q547" i="15" s="1"/>
  <c r="K642" i="15"/>
  <c r="L656" i="15"/>
  <c r="M656" i="15" s="1"/>
  <c r="G641" i="15"/>
  <c r="G658" i="15"/>
  <c r="H658" i="15" s="1"/>
  <c r="U502" i="15"/>
  <c r="I482" i="15"/>
  <c r="M509" i="15"/>
  <c r="G482" i="15"/>
  <c r="V482" i="15"/>
  <c r="O483" i="15"/>
  <c r="L472" i="15"/>
  <c r="K60" i="15"/>
  <c r="O60" i="15"/>
  <c r="R60" i="15"/>
  <c r="G66" i="15"/>
  <c r="I71" i="15"/>
  <c r="I66" i="15"/>
  <c r="K71" i="15"/>
  <c r="K66" i="15"/>
  <c r="O71" i="15"/>
  <c r="O66" i="15"/>
  <c r="R66" i="15"/>
  <c r="R71" i="15"/>
  <c r="V34" i="15"/>
  <c r="V51" i="15"/>
  <c r="W68" i="15"/>
  <c r="G39" i="15"/>
  <c r="G22" i="15"/>
  <c r="I39" i="15"/>
  <c r="I22" i="15"/>
  <c r="K39" i="15"/>
  <c r="K22" i="15"/>
  <c r="O39" i="15"/>
  <c r="O22" i="15"/>
  <c r="R39" i="15"/>
  <c r="R22" i="15"/>
  <c r="V39" i="15"/>
  <c r="V22" i="15"/>
  <c r="G40" i="15"/>
  <c r="G23" i="15"/>
  <c r="I40" i="15"/>
  <c r="I23" i="15"/>
  <c r="K40" i="15"/>
  <c r="K23" i="15"/>
  <c r="O40" i="15"/>
  <c r="O23" i="15"/>
  <c r="R23" i="15"/>
  <c r="R40" i="15"/>
  <c r="V40" i="15"/>
  <c r="V23" i="15"/>
  <c r="G41" i="15"/>
  <c r="G24" i="15" s="1"/>
  <c r="I41" i="15"/>
  <c r="I24" i="15" s="1"/>
  <c r="K41" i="15"/>
  <c r="K24" i="15" s="1"/>
  <c r="O41" i="15"/>
  <c r="R41" i="15"/>
  <c r="R24" i="15"/>
  <c r="V41" i="15"/>
  <c r="V24" i="15"/>
  <c r="F29" i="15"/>
  <c r="F46" i="15"/>
  <c r="H29" i="15"/>
  <c r="H46" i="15"/>
  <c r="J29" i="15"/>
  <c r="J46" i="15"/>
  <c r="N46" i="15"/>
  <c r="N29" i="15"/>
  <c r="Q46" i="15"/>
  <c r="Q29" i="15"/>
  <c r="S29" i="15"/>
  <c r="S46" i="15"/>
  <c r="F30" i="15"/>
  <c r="F47" i="15"/>
  <c r="H47" i="15"/>
  <c r="H53" i="15" s="1"/>
  <c r="H30" i="15"/>
  <c r="H36" i="15" s="1"/>
  <c r="J30" i="15"/>
  <c r="J36" i="15" s="1"/>
  <c r="J47" i="15"/>
  <c r="J53" i="15" s="1"/>
  <c r="N47" i="15"/>
  <c r="N30" i="15"/>
  <c r="Q47" i="15"/>
  <c r="Q53" i="15" s="1"/>
  <c r="Q30" i="15"/>
  <c r="Q36" i="15" s="1"/>
  <c r="S47" i="15"/>
  <c r="S30" i="15"/>
  <c r="E31" i="15"/>
  <c r="E48" i="15"/>
  <c r="G48" i="15"/>
  <c r="G31" i="15" s="1"/>
  <c r="I48" i="15"/>
  <c r="I31" i="15" s="1"/>
  <c r="K48" i="15"/>
  <c r="K31" i="15" s="1"/>
  <c r="O31" i="15"/>
  <c r="O48" i="15"/>
  <c r="R48" i="15"/>
  <c r="R31" i="15"/>
  <c r="F34" i="15"/>
  <c r="F51" i="15"/>
  <c r="H34" i="15"/>
  <c r="H51" i="15"/>
  <c r="J34" i="15"/>
  <c r="J51" i="15"/>
  <c r="N34" i="15"/>
  <c r="N51" i="15"/>
  <c r="Q51" i="15"/>
  <c r="Q34" i="15"/>
  <c r="S51" i="15"/>
  <c r="S34" i="15"/>
  <c r="H69" i="15"/>
  <c r="H60" i="15"/>
  <c r="J60" i="15"/>
  <c r="N60" i="15"/>
  <c r="Q60" i="15"/>
  <c r="S60" i="15"/>
  <c r="H66" i="15"/>
  <c r="H71" i="15"/>
  <c r="J71" i="15"/>
  <c r="J66" i="15"/>
  <c r="N66" i="15"/>
  <c r="N71" i="15"/>
  <c r="Q66" i="15"/>
  <c r="Q71" i="15"/>
  <c r="F39" i="15"/>
  <c r="F22" i="15"/>
  <c r="H39" i="15"/>
  <c r="H22" i="15"/>
  <c r="J39" i="15"/>
  <c r="J22" i="15"/>
  <c r="N39" i="15"/>
  <c r="N22" i="15"/>
  <c r="Q22" i="15"/>
  <c r="Q39" i="15"/>
  <c r="S39" i="15"/>
  <c r="S22" i="15"/>
  <c r="F40" i="15"/>
  <c r="F23" i="15"/>
  <c r="H40" i="15"/>
  <c r="H23" i="15"/>
  <c r="J40" i="15"/>
  <c r="J23" i="15"/>
  <c r="N23" i="15"/>
  <c r="N40" i="15"/>
  <c r="Q23" i="15"/>
  <c r="Q40" i="15"/>
  <c r="S40" i="15"/>
  <c r="S23" i="15"/>
  <c r="F41" i="15"/>
  <c r="F24" i="15" s="1"/>
  <c r="H41" i="15"/>
  <c r="H24" i="15" s="1"/>
  <c r="J41" i="15"/>
  <c r="J24" i="15" s="1"/>
  <c r="N41" i="15"/>
  <c r="N24" i="15"/>
  <c r="Q41" i="15"/>
  <c r="Q24" i="15"/>
  <c r="S41" i="15"/>
  <c r="S24" i="15"/>
  <c r="G46" i="15"/>
  <c r="G29" i="15"/>
  <c r="I46" i="15"/>
  <c r="I29" i="15"/>
  <c r="K46" i="15"/>
  <c r="K29" i="15"/>
  <c r="O29" i="15"/>
  <c r="O46" i="15"/>
  <c r="R46" i="15"/>
  <c r="R29" i="15"/>
  <c r="V46" i="15"/>
  <c r="V29" i="15"/>
  <c r="G30" i="15"/>
  <c r="G36" i="15" s="1"/>
  <c r="G47" i="15"/>
  <c r="G53" i="15" s="1"/>
  <c r="I30" i="15"/>
  <c r="I36" i="15" s="1"/>
  <c r="I47" i="15"/>
  <c r="I53" i="15" s="1"/>
  <c r="K30" i="15"/>
  <c r="K47" i="15"/>
  <c r="K53" i="15" s="1"/>
  <c r="O47" i="15"/>
  <c r="O30" i="15"/>
  <c r="R47" i="15"/>
  <c r="R53" i="15" s="1"/>
  <c r="R30" i="15"/>
  <c r="R36" i="15" s="1"/>
  <c r="V47" i="15"/>
  <c r="V53" i="15" s="1"/>
  <c r="V30" i="15"/>
  <c r="F48" i="15"/>
  <c r="F31" i="15" s="1"/>
  <c r="H48" i="15"/>
  <c r="H31" i="15" s="1"/>
  <c r="J48" i="15"/>
  <c r="J31" i="15" s="1"/>
  <c r="N48" i="15"/>
  <c r="N31" i="15"/>
  <c r="Q31" i="15"/>
  <c r="Q48" i="15"/>
  <c r="E33" i="15"/>
  <c r="E50" i="15"/>
  <c r="G51" i="15"/>
  <c r="G34" i="15"/>
  <c r="I51" i="15"/>
  <c r="I34" i="15"/>
  <c r="I20" i="15" s="1"/>
  <c r="K51" i="15"/>
  <c r="K34" i="15"/>
  <c r="K20" i="15" s="1"/>
  <c r="O51" i="15"/>
  <c r="O34" i="15"/>
  <c r="R34" i="15"/>
  <c r="R51" i="15"/>
  <c r="I257" i="15"/>
  <c r="O257" i="15"/>
  <c r="O259" i="15" s="1"/>
  <c r="R257" i="15"/>
  <c r="G264" i="15"/>
  <c r="G268" i="15" s="1"/>
  <c r="K264" i="15"/>
  <c r="R264" i="15"/>
  <c r="R263" i="15" s="1"/>
  <c r="V266" i="15"/>
  <c r="V62" i="15"/>
  <c r="S67" i="15"/>
  <c r="M95" i="15"/>
  <c r="R482" i="13"/>
  <c r="V339" i="13"/>
  <c r="V334" i="13"/>
  <c r="V353" i="13"/>
  <c r="V350" i="13"/>
  <c r="N377" i="13"/>
  <c r="N362" i="13"/>
  <c r="G147" i="13"/>
  <c r="H147" i="13" s="1"/>
  <c r="I147" i="13" s="1"/>
  <c r="J147" i="13" s="1"/>
  <c r="G69" i="13"/>
  <c r="I69" i="13"/>
  <c r="V59" i="13"/>
  <c r="V62" i="13"/>
  <c r="V483" i="11"/>
  <c r="M576" i="11"/>
  <c r="M575" i="11" s="1"/>
  <c r="V474" i="11"/>
  <c r="K479" i="11"/>
  <c r="G479" i="11"/>
  <c r="L308" i="11"/>
  <c r="R217" i="11"/>
  <c r="T165" i="11"/>
  <c r="Q175" i="11"/>
  <c r="L173" i="11"/>
  <c r="M173" i="11" s="1"/>
  <c r="T173" i="11"/>
  <c r="L99" i="11"/>
  <c r="M99" i="11" s="1"/>
  <c r="F479" i="9"/>
  <c r="S483" i="9"/>
  <c r="S484" i="9" s="1"/>
  <c r="V494" i="9"/>
  <c r="H482" i="18"/>
  <c r="V142" i="9"/>
  <c r="V60" i="9"/>
  <c r="V62" i="9" s="1"/>
  <c r="J69" i="9"/>
  <c r="M97" i="9"/>
  <c r="M96" i="9" s="1"/>
  <c r="L96" i="9"/>
  <c r="I524" i="8"/>
  <c r="I530" i="8" s="1"/>
  <c r="V482" i="8"/>
  <c r="L513" i="8"/>
  <c r="M513" i="8" s="1"/>
  <c r="N483" i="8"/>
  <c r="N484" i="8" s="1"/>
  <c r="P483" i="8"/>
  <c r="S483" i="8"/>
  <c r="I484" i="8"/>
  <c r="N499" i="8"/>
  <c r="G500" i="8"/>
  <c r="L494" i="8"/>
  <c r="M142" i="8"/>
  <c r="S170" i="7"/>
  <c r="T170" i="7" s="1"/>
  <c r="S215" i="7"/>
  <c r="G638" i="7"/>
  <c r="F479" i="7"/>
  <c r="V483" i="7"/>
  <c r="S631" i="7"/>
  <c r="M683" i="11"/>
  <c r="M682" i="11" s="1"/>
  <c r="H637" i="19"/>
  <c r="K685" i="7"/>
  <c r="F631" i="19"/>
  <c r="F633" i="19" s="1"/>
  <c r="L633" i="19" s="1"/>
  <c r="G553" i="8"/>
  <c r="F554" i="13"/>
  <c r="F556" i="13" s="1"/>
  <c r="P608" i="8"/>
  <c r="O608" i="8"/>
  <c r="O531" i="23" s="1"/>
  <c r="S554" i="13"/>
  <c r="O578" i="8"/>
  <c r="O560" i="8"/>
  <c r="O580" i="8"/>
  <c r="O480" i="11"/>
  <c r="S497" i="15"/>
  <c r="S482" i="15" s="1"/>
  <c r="S439" i="18"/>
  <c r="R264" i="18"/>
  <c r="R263" i="18" s="1"/>
  <c r="Q264" i="19"/>
  <c r="L247" i="11"/>
  <c r="R216" i="11"/>
  <c r="O217" i="7"/>
  <c r="O216" i="7" s="1"/>
  <c r="O251" i="9"/>
  <c r="T247" i="9"/>
  <c r="T246" i="9" s="1"/>
  <c r="O212" i="19"/>
  <c r="O211" i="19" s="1"/>
  <c r="S212" i="19"/>
  <c r="N236" i="19"/>
  <c r="P236" i="19"/>
  <c r="R236" i="19"/>
  <c r="F236" i="19"/>
  <c r="F237" i="19" s="1"/>
  <c r="G237" i="19" s="1"/>
  <c r="H236" i="19"/>
  <c r="J236" i="19"/>
  <c r="H212" i="19"/>
  <c r="H211" i="19" s="1"/>
  <c r="M197" i="15"/>
  <c r="M196" i="15" s="1"/>
  <c r="I167" i="8"/>
  <c r="I166" i="8" s="1"/>
  <c r="F167" i="15"/>
  <c r="F166" i="15" s="1"/>
  <c r="H167" i="15"/>
  <c r="H166" i="15" s="1"/>
  <c r="I167" i="18"/>
  <c r="K167" i="18"/>
  <c r="O191" i="15"/>
  <c r="T187" i="18"/>
  <c r="P191" i="19"/>
  <c r="L187" i="15"/>
  <c r="F191" i="15"/>
  <c r="F192" i="15" s="1"/>
  <c r="L187" i="18"/>
  <c r="K172" i="18"/>
  <c r="K171" i="18" s="1"/>
  <c r="I189" i="18"/>
  <c r="I174" i="18" s="1"/>
  <c r="L181" i="18"/>
  <c r="U182" i="15"/>
  <c r="W182" i="15" s="1"/>
  <c r="S172" i="15"/>
  <c r="S189" i="18"/>
  <c r="S174" i="18" s="1"/>
  <c r="T164" i="7"/>
  <c r="T173" i="7"/>
  <c r="U173" i="7" s="1"/>
  <c r="F191" i="7"/>
  <c r="F192" i="7" s="1"/>
  <c r="T190" i="7"/>
  <c r="P191" i="7"/>
  <c r="L205" i="7"/>
  <c r="M205" i="7" s="1"/>
  <c r="Q220" i="7"/>
  <c r="U228" i="7"/>
  <c r="W228" i="7" s="1"/>
  <c r="T215" i="7"/>
  <c r="Q219" i="7"/>
  <c r="R313" i="7"/>
  <c r="I547" i="7"/>
  <c r="L168" i="11"/>
  <c r="M168" i="11" s="1"/>
  <c r="L202" i="11"/>
  <c r="L201" i="11" s="1"/>
  <c r="H174" i="11"/>
  <c r="J172" i="11"/>
  <c r="J171" i="11" s="1"/>
  <c r="S206" i="11"/>
  <c r="T214" i="11"/>
  <c r="L218" i="11"/>
  <c r="M218" i="11" s="1"/>
  <c r="U229" i="11"/>
  <c r="W229" i="11" s="1"/>
  <c r="L250" i="11"/>
  <c r="M250" i="11" s="1"/>
  <c r="V174" i="11"/>
  <c r="V215" i="11"/>
  <c r="N219" i="11"/>
  <c r="V343" i="7"/>
  <c r="T478" i="7"/>
  <c r="S608" i="19"/>
  <c r="N608" i="13"/>
  <c r="Q608" i="13"/>
  <c r="Q563" i="13" s="1"/>
  <c r="N175" i="13"/>
  <c r="I191" i="13"/>
  <c r="L232" i="13"/>
  <c r="L557" i="13"/>
  <c r="M557" i="13" s="1"/>
  <c r="I564" i="13"/>
  <c r="N580" i="13"/>
  <c r="N554" i="13"/>
  <c r="N556" i="13" s="1"/>
  <c r="N565" i="13"/>
  <c r="I313" i="13"/>
  <c r="I407" i="13"/>
  <c r="V509" i="13"/>
  <c r="L550" i="13"/>
  <c r="M550" i="13" s="1"/>
  <c r="H565" i="13"/>
  <c r="T606" i="13"/>
  <c r="T605" i="13" s="1"/>
  <c r="V495" i="8"/>
  <c r="V489" i="8"/>
  <c r="V97" i="15"/>
  <c r="V96" i="15" s="1"/>
  <c r="T373" i="9"/>
  <c r="U373" i="9" s="1"/>
  <c r="L473" i="8"/>
  <c r="M473" i="8" s="1"/>
  <c r="T376" i="8"/>
  <c r="O479" i="7"/>
  <c r="Q483" i="9"/>
  <c r="R499" i="18"/>
  <c r="T473" i="19"/>
  <c r="R580" i="18"/>
  <c r="R565" i="18" s="1"/>
  <c r="J637" i="11"/>
  <c r="F637" i="11"/>
  <c r="L716" i="11"/>
  <c r="M716" i="11" s="1"/>
  <c r="H655" i="11"/>
  <c r="V630" i="11"/>
  <c r="L606" i="11"/>
  <c r="O610" i="11"/>
  <c r="K560" i="11"/>
  <c r="I560" i="11"/>
  <c r="V600" i="11"/>
  <c r="G560" i="11"/>
  <c r="E543" i="11"/>
  <c r="S560" i="11"/>
  <c r="T629" i="11"/>
  <c r="N630" i="11"/>
  <c r="N482" i="9"/>
  <c r="T579" i="11"/>
  <c r="O483" i="9"/>
  <c r="U229" i="18"/>
  <c r="W229" i="18" s="1"/>
  <c r="V498" i="15"/>
  <c r="V494" i="15"/>
  <c r="V495" i="11"/>
  <c r="V480" i="11" s="1"/>
  <c r="T498" i="11"/>
  <c r="P657" i="8"/>
  <c r="T490" i="15"/>
  <c r="T489" i="15" s="1"/>
  <c r="S499" i="9"/>
  <c r="L247" i="19"/>
  <c r="M247" i="19" s="1"/>
  <c r="M246" i="19" s="1"/>
  <c r="L294" i="19"/>
  <c r="M294" i="19" s="1"/>
  <c r="M293" i="19" s="1"/>
  <c r="R251" i="19"/>
  <c r="N251" i="19"/>
  <c r="H251" i="19"/>
  <c r="F264" i="19"/>
  <c r="F268" i="19" s="1"/>
  <c r="F269" i="19" s="1"/>
  <c r="J264" i="19"/>
  <c r="J263" i="19" s="1"/>
  <c r="P264" i="19"/>
  <c r="P263" i="19" s="1"/>
  <c r="T678" i="7"/>
  <c r="T677" i="7" s="1"/>
  <c r="U684" i="7"/>
  <c r="W684" i="7" s="1"/>
  <c r="U705" i="7"/>
  <c r="W705" i="7" s="1"/>
  <c r="T459" i="7"/>
  <c r="U302" i="7"/>
  <c r="W302" i="7" s="1"/>
  <c r="L232" i="7"/>
  <c r="I281" i="7"/>
  <c r="V181" i="7"/>
  <c r="R172" i="7"/>
  <c r="T209" i="7"/>
  <c r="T210" i="7"/>
  <c r="F257" i="7"/>
  <c r="J257" i="7"/>
  <c r="P257" i="7"/>
  <c r="P259" i="7" s="1"/>
  <c r="V257" i="7"/>
  <c r="V402" i="8"/>
  <c r="N351" i="8"/>
  <c r="N350" i="8" s="1"/>
  <c r="P351" i="8"/>
  <c r="P353" i="8" s="1"/>
  <c r="R351" i="8"/>
  <c r="R353" i="8" s="1"/>
  <c r="T510" i="11"/>
  <c r="T509" i="11" s="1"/>
  <c r="Q512" i="11"/>
  <c r="Q482" i="11" s="1"/>
  <c r="G512" i="11"/>
  <c r="G482" i="11" s="1"/>
  <c r="Q480" i="11"/>
  <c r="Q479" i="11" s="1"/>
  <c r="O482" i="11"/>
  <c r="K512" i="11"/>
  <c r="K482" i="11" s="1"/>
  <c r="O483" i="11"/>
  <c r="F249" i="11"/>
  <c r="H219" i="11"/>
  <c r="F172" i="11"/>
  <c r="F171" i="11" s="1"/>
  <c r="L142" i="11"/>
  <c r="L141" i="11" s="1"/>
  <c r="V202" i="11"/>
  <c r="V205" i="11" s="1"/>
  <c r="V175" i="11" s="1"/>
  <c r="V186" i="11"/>
  <c r="G144" i="11"/>
  <c r="G69" i="11" s="1"/>
  <c r="G146" i="11"/>
  <c r="I144" i="11"/>
  <c r="I69" i="11" s="1"/>
  <c r="Q146" i="11"/>
  <c r="N482" i="18"/>
  <c r="R266" i="18"/>
  <c r="L606" i="13"/>
  <c r="R578" i="13"/>
  <c r="N578" i="13"/>
  <c r="H578" i="13"/>
  <c r="R554" i="13"/>
  <c r="G564" i="13"/>
  <c r="K564" i="13"/>
  <c r="L403" i="13"/>
  <c r="U307" i="13"/>
  <c r="U228" i="13"/>
  <c r="W228" i="13" s="1"/>
  <c r="G172" i="13"/>
  <c r="K172" i="13"/>
  <c r="Q172" i="13"/>
  <c r="Q171" i="13" s="1"/>
  <c r="S215" i="13"/>
  <c r="G257" i="13"/>
  <c r="G259" i="13" s="1"/>
  <c r="I257" i="13"/>
  <c r="I259" i="13" s="1"/>
  <c r="K257" i="13"/>
  <c r="K259" i="13" s="1"/>
  <c r="Q257" i="13"/>
  <c r="Q259" i="13" s="1"/>
  <c r="S257" i="13"/>
  <c r="S259" i="13" s="1"/>
  <c r="T477" i="19"/>
  <c r="O483" i="19"/>
  <c r="R219" i="11"/>
  <c r="H266" i="18"/>
  <c r="Q482" i="19"/>
  <c r="U225" i="7"/>
  <c r="W225" i="7" s="1"/>
  <c r="Q217" i="7"/>
  <c r="N236" i="7"/>
  <c r="U248" i="7"/>
  <c r="W248" i="7" s="1"/>
  <c r="U270" i="7"/>
  <c r="W270" i="7" s="1"/>
  <c r="G257" i="7"/>
  <c r="G256" i="7" s="1"/>
  <c r="I257" i="7"/>
  <c r="I259" i="7" s="1"/>
  <c r="K257" i="7"/>
  <c r="K256" i="7" s="1"/>
  <c r="O257" i="7"/>
  <c r="Q257" i="7"/>
  <c r="Q256" i="7" s="1"/>
  <c r="S257" i="7"/>
  <c r="S259" i="7" s="1"/>
  <c r="L282" i="7"/>
  <c r="M282" i="7" s="1"/>
  <c r="L309" i="7"/>
  <c r="N361" i="7"/>
  <c r="R361" i="7"/>
  <c r="U426" i="7"/>
  <c r="U427" i="7"/>
  <c r="V481" i="7"/>
  <c r="Q514" i="7"/>
  <c r="P534" i="7"/>
  <c r="P517" i="7" s="1"/>
  <c r="K553" i="7"/>
  <c r="P525" i="7"/>
  <c r="Q554" i="7"/>
  <c r="Q556" i="7" s="1"/>
  <c r="S554" i="7"/>
  <c r="U607" i="7"/>
  <c r="N564" i="8"/>
  <c r="N524" i="8"/>
  <c r="S535" i="8"/>
  <c r="S518" i="8" s="1"/>
  <c r="F547" i="11"/>
  <c r="F548" i="11" s="1"/>
  <c r="F549" i="11" s="1"/>
  <c r="L473" i="13"/>
  <c r="M473" i="13" s="1"/>
  <c r="R212" i="15"/>
  <c r="R43" i="15" s="1"/>
  <c r="R45" i="15" s="1"/>
  <c r="Q483" i="15"/>
  <c r="R167" i="19"/>
  <c r="R166" i="19" s="1"/>
  <c r="O217" i="19"/>
  <c r="K219" i="8"/>
  <c r="J266" i="18"/>
  <c r="P212" i="8"/>
  <c r="P211" i="8" s="1"/>
  <c r="G482" i="8"/>
  <c r="K523" i="8"/>
  <c r="F541" i="8"/>
  <c r="N545" i="8"/>
  <c r="N528" i="8" s="1"/>
  <c r="N20" i="8" s="1"/>
  <c r="L559" i="15"/>
  <c r="M559" i="15" s="1"/>
  <c r="T600" i="15"/>
  <c r="Q533" i="15"/>
  <c r="Q516" i="15" s="1"/>
  <c r="S535" i="15"/>
  <c r="S518" i="15" s="1"/>
  <c r="V173" i="19"/>
  <c r="T507" i="19"/>
  <c r="U507" i="19" s="1"/>
  <c r="W507" i="19" s="1"/>
  <c r="I553" i="7"/>
  <c r="N525" i="7"/>
  <c r="U503" i="7"/>
  <c r="W503" i="7" s="1"/>
  <c r="U428" i="7"/>
  <c r="W428" i="7" s="1"/>
  <c r="N546" i="15"/>
  <c r="N529" i="15" s="1"/>
  <c r="U488" i="15"/>
  <c r="W488" i="15" s="1"/>
  <c r="N482" i="19"/>
  <c r="F266" i="18"/>
  <c r="T165" i="7"/>
  <c r="R17" i="7"/>
  <c r="J259" i="7"/>
  <c r="J256" i="7"/>
  <c r="V256" i="7"/>
  <c r="H263" i="7"/>
  <c r="H268" i="7"/>
  <c r="R263" i="7"/>
  <c r="K413" i="7"/>
  <c r="K415" i="7" s="1"/>
  <c r="G413" i="7"/>
  <c r="G415" i="7" s="1"/>
  <c r="Q560" i="7"/>
  <c r="L571" i="7"/>
  <c r="M571" i="7" s="1"/>
  <c r="M570" i="7" s="1"/>
  <c r="W607" i="7"/>
  <c r="L628" i="7"/>
  <c r="M628" i="7" s="1"/>
  <c r="L636" i="7"/>
  <c r="M636" i="7" s="1"/>
  <c r="O17" i="8"/>
  <c r="K353" i="8"/>
  <c r="K334" i="8"/>
  <c r="K350" i="8"/>
  <c r="J360" i="8"/>
  <c r="W359" i="8"/>
  <c r="H353" i="8"/>
  <c r="H350" i="8"/>
  <c r="G357" i="8"/>
  <c r="K357" i="8"/>
  <c r="K362" i="8"/>
  <c r="F415" i="8"/>
  <c r="J412" i="8"/>
  <c r="P415" i="8"/>
  <c r="R547" i="8"/>
  <c r="R524" i="8"/>
  <c r="R530" i="8" s="1"/>
  <c r="O630" i="8"/>
  <c r="N266" i="18"/>
  <c r="G175" i="19"/>
  <c r="G259" i="7"/>
  <c r="K259" i="7"/>
  <c r="Q259" i="7"/>
  <c r="I263" i="7"/>
  <c r="O263" i="7"/>
  <c r="P353" i="7"/>
  <c r="H413" i="7"/>
  <c r="P17" i="8"/>
  <c r="R350" i="8"/>
  <c r="N357" i="8"/>
  <c r="R341" i="8"/>
  <c r="R357" i="8"/>
  <c r="I353" i="8"/>
  <c r="I350" i="8"/>
  <c r="H341" i="8"/>
  <c r="H357" i="8"/>
  <c r="G415" i="8"/>
  <c r="G412" i="8"/>
  <c r="K415" i="8"/>
  <c r="K412" i="8"/>
  <c r="J424" i="8"/>
  <c r="P419" i="8"/>
  <c r="T418" i="8"/>
  <c r="U418" i="8" s="1"/>
  <c r="H100" i="9"/>
  <c r="H101" i="9" s="1"/>
  <c r="N334" i="9"/>
  <c r="N375" i="9"/>
  <c r="R375" i="9"/>
  <c r="G334" i="9"/>
  <c r="F341" i="9"/>
  <c r="H467" i="9"/>
  <c r="H422" i="9" s="1"/>
  <c r="N467" i="9"/>
  <c r="N422" i="9" s="1"/>
  <c r="G514" i="9"/>
  <c r="G515" i="9" s="1"/>
  <c r="H515" i="9" s="1"/>
  <c r="G256" i="13"/>
  <c r="K256" i="13"/>
  <c r="Q256" i="13"/>
  <c r="I268" i="13"/>
  <c r="I263" i="13"/>
  <c r="S512" i="7"/>
  <c r="S375" i="7"/>
  <c r="T232" i="8"/>
  <c r="U232" i="8" s="1"/>
  <c r="U231" i="8" s="1"/>
  <c r="L402" i="9"/>
  <c r="L186" i="11"/>
  <c r="V468" i="11"/>
  <c r="L578" i="11"/>
  <c r="M578" i="11" s="1"/>
  <c r="V605" i="11"/>
  <c r="L509" i="15"/>
  <c r="U685" i="19"/>
  <c r="W685" i="19" s="1"/>
  <c r="G172" i="7"/>
  <c r="G171" i="7" s="1"/>
  <c r="H257" i="7"/>
  <c r="N257" i="7"/>
  <c r="R257" i="7"/>
  <c r="F264" i="7"/>
  <c r="J264" i="7"/>
  <c r="P264" i="7"/>
  <c r="S413" i="7"/>
  <c r="S415" i="7" s="1"/>
  <c r="L417" i="7"/>
  <c r="G338" i="7"/>
  <c r="L338" i="7" s="1"/>
  <c r="Q423" i="7"/>
  <c r="P514" i="7"/>
  <c r="O514" i="7"/>
  <c r="I533" i="7"/>
  <c r="I516" i="7" s="1"/>
  <c r="O533" i="7"/>
  <c r="O516" i="7" s="1"/>
  <c r="S533" i="7"/>
  <c r="S516" i="7" s="1"/>
  <c r="H534" i="7"/>
  <c r="H517" i="7" s="1"/>
  <c r="H525" i="7"/>
  <c r="R525" i="7"/>
  <c r="Q545" i="7"/>
  <c r="Q528" i="7" s="1"/>
  <c r="Q580" i="7"/>
  <c r="Q565" i="7" s="1"/>
  <c r="U597" i="7"/>
  <c r="L634" i="7"/>
  <c r="M634" i="7" s="1"/>
  <c r="L716" i="7"/>
  <c r="M716" i="7" s="1"/>
  <c r="L707" i="7"/>
  <c r="V509" i="7"/>
  <c r="M403" i="8"/>
  <c r="M402" i="8" s="1"/>
  <c r="U576" i="8"/>
  <c r="W576" i="8" s="1"/>
  <c r="U435" i="11"/>
  <c r="W435" i="11" s="1"/>
  <c r="S283" i="11"/>
  <c r="M137" i="11"/>
  <c r="M136" i="11" s="1"/>
  <c r="I171" i="13"/>
  <c r="S638" i="13"/>
  <c r="M713" i="15"/>
  <c r="U562" i="15"/>
  <c r="V420" i="15"/>
  <c r="V341" i="15" s="1"/>
  <c r="H237" i="19"/>
  <c r="L169" i="7"/>
  <c r="U180" i="7"/>
  <c r="K167" i="7"/>
  <c r="Q167" i="7"/>
  <c r="T208" i="7"/>
  <c r="L210" i="7"/>
  <c r="M210" i="7" s="1"/>
  <c r="P217" i="7"/>
  <c r="L227" i="7"/>
  <c r="T242" i="7"/>
  <c r="T241" i="7" s="1"/>
  <c r="I256" i="7"/>
  <c r="S262" i="7"/>
  <c r="G264" i="7"/>
  <c r="K264" i="7"/>
  <c r="Q264" i="7"/>
  <c r="V265" i="7"/>
  <c r="W265" i="7" s="1"/>
  <c r="L304" i="7"/>
  <c r="M304" i="7" s="1"/>
  <c r="F313" i="7"/>
  <c r="F314" i="7" s="1"/>
  <c r="J313" i="7"/>
  <c r="P313" i="7"/>
  <c r="R353" i="7"/>
  <c r="H353" i="7"/>
  <c r="R423" i="7"/>
  <c r="J413" i="7"/>
  <c r="J415" i="7" s="1"/>
  <c r="L471" i="7"/>
  <c r="M471" i="7" s="1"/>
  <c r="F482" i="7"/>
  <c r="L213" i="11"/>
  <c r="M213" i="11" s="1"/>
  <c r="G259" i="11"/>
  <c r="G256" i="11"/>
  <c r="K259" i="11"/>
  <c r="K256" i="11"/>
  <c r="Q259" i="11"/>
  <c r="Q256" i="11"/>
  <c r="I268" i="11"/>
  <c r="I263" i="11"/>
  <c r="O268" i="11"/>
  <c r="L365" i="11"/>
  <c r="M365" i="11" s="1"/>
  <c r="F415" i="11"/>
  <c r="J413" i="11"/>
  <c r="J415" i="11" s="1"/>
  <c r="T648" i="7"/>
  <c r="J717" i="7"/>
  <c r="P717" i="7"/>
  <c r="G167" i="8"/>
  <c r="G166" i="8" s="1"/>
  <c r="K167" i="8"/>
  <c r="E216" i="8"/>
  <c r="P350" i="8"/>
  <c r="H338" i="8"/>
  <c r="H344" i="8" s="1"/>
  <c r="H361" i="8"/>
  <c r="H362" i="8" s="1"/>
  <c r="V356" i="8"/>
  <c r="V339" i="8" s="1"/>
  <c r="H360" i="8"/>
  <c r="O361" i="8"/>
  <c r="O362" i="8" s="1"/>
  <c r="S361" i="8"/>
  <c r="G353" i="8"/>
  <c r="G334" i="8"/>
  <c r="G350" i="8"/>
  <c r="F357" i="8"/>
  <c r="J362" i="8"/>
  <c r="J357" i="8"/>
  <c r="I415" i="8"/>
  <c r="S415" i="8"/>
  <c r="S412" i="8"/>
  <c r="H424" i="8"/>
  <c r="R419" i="8"/>
  <c r="V421" i="8"/>
  <c r="W421" i="8" s="1"/>
  <c r="N423" i="8"/>
  <c r="R423" i="8"/>
  <c r="O535" i="8"/>
  <c r="O518" i="8" s="1"/>
  <c r="H523" i="8"/>
  <c r="T557" i="8"/>
  <c r="R523" i="8"/>
  <c r="G547" i="8"/>
  <c r="F525" i="8"/>
  <c r="I641" i="8"/>
  <c r="V373" i="9"/>
  <c r="I334" i="9"/>
  <c r="H341" i="9"/>
  <c r="T403" i="9"/>
  <c r="T402" i="9" s="1"/>
  <c r="V429" i="9"/>
  <c r="R437" i="9"/>
  <c r="R422" i="9" s="1"/>
  <c r="V343" i="9"/>
  <c r="R475" i="9"/>
  <c r="R474" i="9" s="1"/>
  <c r="G482" i="9"/>
  <c r="L88" i="11"/>
  <c r="L197" i="11"/>
  <c r="I259" i="11"/>
  <c r="I256" i="11"/>
  <c r="O259" i="11"/>
  <c r="O256" i="11"/>
  <c r="S259" i="11"/>
  <c r="S256" i="11"/>
  <c r="S262" i="11"/>
  <c r="G264" i="11"/>
  <c r="K264" i="11"/>
  <c r="Q264" i="11"/>
  <c r="V265" i="11"/>
  <c r="W265" i="11" s="1"/>
  <c r="L366" i="11"/>
  <c r="M366" i="11" s="1"/>
  <c r="H413" i="11"/>
  <c r="H415" i="11" s="1"/>
  <c r="N413" i="11"/>
  <c r="N334" i="11" s="1"/>
  <c r="R413" i="11"/>
  <c r="R415" i="11" s="1"/>
  <c r="L562" i="11"/>
  <c r="M562" i="11" s="1"/>
  <c r="T606" i="11"/>
  <c r="T605" i="11" s="1"/>
  <c r="T627" i="11"/>
  <c r="T635" i="11"/>
  <c r="L653" i="11"/>
  <c r="S256" i="13"/>
  <c r="T262" i="13"/>
  <c r="U262" i="13" s="1"/>
  <c r="G264" i="13"/>
  <c r="K264" i="13"/>
  <c r="Q264" i="13"/>
  <c r="V265" i="13"/>
  <c r="W265" i="13" s="1"/>
  <c r="N334" i="13"/>
  <c r="R472" i="13"/>
  <c r="T472" i="13" s="1"/>
  <c r="J534" i="13"/>
  <c r="J517" i="13" s="1"/>
  <c r="I518" i="13"/>
  <c r="S518" i="13"/>
  <c r="H545" i="13"/>
  <c r="R545" i="13"/>
  <c r="R528" i="13" s="1"/>
  <c r="T627" i="13"/>
  <c r="T629" i="13"/>
  <c r="J17" i="15"/>
  <c r="V17" i="15"/>
  <c r="N217" i="15"/>
  <c r="N221" i="15" s="1"/>
  <c r="G257" i="15"/>
  <c r="K257" i="15"/>
  <c r="Q257" i="15"/>
  <c r="F264" i="15"/>
  <c r="J264" i="15"/>
  <c r="F412" i="15"/>
  <c r="I419" i="15"/>
  <c r="I424" i="15"/>
  <c r="O419" i="15"/>
  <c r="S420" i="15"/>
  <c r="V422" i="15"/>
  <c r="V343" i="15" s="1"/>
  <c r="O423" i="15"/>
  <c r="O424" i="15" s="1"/>
  <c r="S423" i="15"/>
  <c r="G533" i="15"/>
  <c r="G516" i="15" s="1"/>
  <c r="K533" i="15"/>
  <c r="K516" i="15" s="1"/>
  <c r="L557" i="15"/>
  <c r="M557" i="15" s="1"/>
  <c r="J541" i="15"/>
  <c r="J547" i="15" s="1"/>
  <c r="T559" i="15"/>
  <c r="O545" i="15"/>
  <c r="O528" i="15" s="1"/>
  <c r="S545" i="15"/>
  <c r="S528" i="15" s="1"/>
  <c r="I554" i="15"/>
  <c r="I556" i="15" s="1"/>
  <c r="S554" i="15"/>
  <c r="S537" i="15" s="1"/>
  <c r="H544" i="15"/>
  <c r="H564" i="15"/>
  <c r="L601" i="15"/>
  <c r="U601" i="15" s="1"/>
  <c r="V630" i="15"/>
  <c r="M636" i="15"/>
  <c r="Q631" i="15"/>
  <c r="J657" i="15"/>
  <c r="J642" i="15" s="1"/>
  <c r="H640" i="15"/>
  <c r="L678" i="15"/>
  <c r="V682" i="15"/>
  <c r="G211" i="18"/>
  <c r="H257" i="18"/>
  <c r="N257" i="18"/>
  <c r="R257" i="18"/>
  <c r="F264" i="18"/>
  <c r="J264" i="18"/>
  <c r="S437" i="18"/>
  <c r="F467" i="18"/>
  <c r="F341" i="18"/>
  <c r="J467" i="18"/>
  <c r="J422" i="18" s="1"/>
  <c r="J341" i="18"/>
  <c r="G471" i="18"/>
  <c r="T554" i="18"/>
  <c r="V559" i="18"/>
  <c r="K167" i="19"/>
  <c r="K166" i="19" s="1"/>
  <c r="L258" i="19"/>
  <c r="M258" i="19" s="1"/>
  <c r="V258" i="19"/>
  <c r="V27" i="19" s="1"/>
  <c r="V257" i="19"/>
  <c r="V262" i="19"/>
  <c r="H264" i="19"/>
  <c r="N264" i="19"/>
  <c r="R264" i="19"/>
  <c r="V266" i="19"/>
  <c r="G259" i="19"/>
  <c r="G256" i="19"/>
  <c r="K259" i="19"/>
  <c r="K256" i="19"/>
  <c r="Q259" i="19"/>
  <c r="Q256" i="19"/>
  <c r="G438" i="19"/>
  <c r="Q437" i="19"/>
  <c r="Q422" i="19" s="1"/>
  <c r="K514" i="19"/>
  <c r="I530" i="19"/>
  <c r="S530" i="19"/>
  <c r="H542" i="19"/>
  <c r="N542" i="19"/>
  <c r="N525" i="19" s="1"/>
  <c r="R542" i="19"/>
  <c r="R525" i="19" s="1"/>
  <c r="V559" i="19"/>
  <c r="V542" i="19" s="1"/>
  <c r="V525" i="19" s="1"/>
  <c r="G609" i="19"/>
  <c r="R641" i="19"/>
  <c r="I419" i="8"/>
  <c r="O419" i="8"/>
  <c r="K525" i="8"/>
  <c r="K640" i="8"/>
  <c r="G100" i="9"/>
  <c r="G101" i="9" s="1"/>
  <c r="G102" i="9" s="1"/>
  <c r="F334" i="9"/>
  <c r="J334" i="9"/>
  <c r="S465" i="9"/>
  <c r="S420" i="9" s="1"/>
  <c r="S424" i="9" s="1"/>
  <c r="G467" i="9"/>
  <c r="G422" i="9" s="1"/>
  <c r="K467" i="9"/>
  <c r="F259" i="11"/>
  <c r="F256" i="11"/>
  <c r="J259" i="11"/>
  <c r="J256" i="11"/>
  <c r="V256" i="11"/>
  <c r="H263" i="11"/>
  <c r="H268" i="11"/>
  <c r="N268" i="11"/>
  <c r="R268" i="11"/>
  <c r="V373" i="11"/>
  <c r="G376" i="11"/>
  <c r="I413" i="11"/>
  <c r="I415" i="11" s="1"/>
  <c r="O413" i="11"/>
  <c r="O415" i="11" s="1"/>
  <c r="S413" i="11"/>
  <c r="S415" i="11" s="1"/>
  <c r="V418" i="11"/>
  <c r="V339" i="11" s="1"/>
  <c r="H420" i="11"/>
  <c r="H419" i="11" s="1"/>
  <c r="N420" i="11"/>
  <c r="N424" i="11" s="1"/>
  <c r="R420" i="11"/>
  <c r="T423" i="11"/>
  <c r="U423" i="11" s="1"/>
  <c r="W423" i="11" s="1"/>
  <c r="F256" i="13"/>
  <c r="F259" i="13"/>
  <c r="J256" i="13"/>
  <c r="J259" i="13"/>
  <c r="V256" i="13"/>
  <c r="H268" i="13"/>
  <c r="H263" i="13"/>
  <c r="N263" i="13"/>
  <c r="N268" i="13"/>
  <c r="R268" i="13"/>
  <c r="R263" i="13"/>
  <c r="F439" i="13"/>
  <c r="F440" i="13" s="1"/>
  <c r="F338" i="13"/>
  <c r="F344" i="13" s="1"/>
  <c r="H339" i="13"/>
  <c r="L339" i="13" s="1"/>
  <c r="G477" i="13"/>
  <c r="T683" i="13"/>
  <c r="H259" i="15"/>
  <c r="H256" i="15"/>
  <c r="N259" i="15"/>
  <c r="N256" i="15"/>
  <c r="R259" i="15"/>
  <c r="R256" i="15"/>
  <c r="K263" i="15"/>
  <c r="K268" i="15"/>
  <c r="Q268" i="15"/>
  <c r="Q263" i="15"/>
  <c r="F419" i="15"/>
  <c r="F424" i="15"/>
  <c r="F425" i="15" s="1"/>
  <c r="J419" i="15"/>
  <c r="J424" i="15"/>
  <c r="T418" i="15"/>
  <c r="U418" i="15" s="1"/>
  <c r="G525" i="15"/>
  <c r="G534" i="15"/>
  <c r="G517" i="15" s="1"/>
  <c r="K534" i="15"/>
  <c r="K517" i="15" s="1"/>
  <c r="F545" i="15"/>
  <c r="J545" i="15"/>
  <c r="J528" i="15" s="1"/>
  <c r="T235" i="18"/>
  <c r="I259" i="18"/>
  <c r="I256" i="18"/>
  <c r="S259" i="18"/>
  <c r="S256" i="18"/>
  <c r="S262" i="18"/>
  <c r="G264" i="18"/>
  <c r="K264" i="18"/>
  <c r="V265" i="18"/>
  <c r="W265" i="18" s="1"/>
  <c r="S334" i="18"/>
  <c r="G467" i="18"/>
  <c r="G341" i="18"/>
  <c r="H471" i="18"/>
  <c r="V481" i="18"/>
  <c r="I482" i="18"/>
  <c r="G534" i="18"/>
  <c r="G517" i="18" s="1"/>
  <c r="K534" i="18"/>
  <c r="K517" i="18" s="1"/>
  <c r="K535" i="18"/>
  <c r="K518" i="18" s="1"/>
  <c r="R560" i="18"/>
  <c r="I545" i="18"/>
  <c r="I528" i="18" s="1"/>
  <c r="S545" i="18"/>
  <c r="S528" i="18" s="1"/>
  <c r="T629" i="18"/>
  <c r="U629" i="18" s="1"/>
  <c r="G718" i="18"/>
  <c r="H718" i="18" s="1"/>
  <c r="I718" i="18" s="1"/>
  <c r="J718" i="18" s="1"/>
  <c r="K718" i="18" s="1"/>
  <c r="I175" i="19"/>
  <c r="N167" i="19"/>
  <c r="N166" i="19" s="1"/>
  <c r="Q174" i="19"/>
  <c r="I264" i="19"/>
  <c r="O264" i="19"/>
  <c r="H259" i="19"/>
  <c r="H256" i="19"/>
  <c r="N259" i="19"/>
  <c r="N256" i="19"/>
  <c r="T257" i="19"/>
  <c r="R259" i="19"/>
  <c r="R256" i="19"/>
  <c r="V373" i="19"/>
  <c r="V376" i="19" s="1"/>
  <c r="V435" i="19"/>
  <c r="H438" i="19"/>
  <c r="H439" i="19" s="1"/>
  <c r="I467" i="19"/>
  <c r="L468" i="19"/>
  <c r="H609" i="19"/>
  <c r="L609" i="19" s="1"/>
  <c r="F376" i="13"/>
  <c r="F377" i="13" s="1"/>
  <c r="F378" i="13" s="1"/>
  <c r="G439" i="13"/>
  <c r="H471" i="13"/>
  <c r="L645" i="13"/>
  <c r="H17" i="15"/>
  <c r="R17" i="15"/>
  <c r="I259" i="15"/>
  <c r="I256" i="15"/>
  <c r="O256" i="15"/>
  <c r="S259" i="15"/>
  <c r="S256" i="15"/>
  <c r="H263" i="15"/>
  <c r="H268" i="15"/>
  <c r="N263" i="15"/>
  <c r="N268" i="15"/>
  <c r="N412" i="15"/>
  <c r="G424" i="15"/>
  <c r="G425" i="15" s="1"/>
  <c r="G419" i="15"/>
  <c r="K419" i="15"/>
  <c r="K424" i="15"/>
  <c r="Q424" i="15"/>
  <c r="Q419" i="15"/>
  <c r="F259" i="18"/>
  <c r="F256" i="18"/>
  <c r="J259" i="18"/>
  <c r="J256" i="18"/>
  <c r="V256" i="18"/>
  <c r="V263" i="18"/>
  <c r="H268" i="18"/>
  <c r="H263" i="18"/>
  <c r="N263" i="18"/>
  <c r="N268" i="18"/>
  <c r="V429" i="18"/>
  <c r="V334" i="18"/>
  <c r="V333" i="18" s="1"/>
  <c r="H467" i="18"/>
  <c r="H422" i="18" s="1"/>
  <c r="H341" i="18"/>
  <c r="J175" i="19"/>
  <c r="G190" i="19"/>
  <c r="T258" i="19"/>
  <c r="F263" i="19"/>
  <c r="L264" i="19"/>
  <c r="J268" i="19"/>
  <c r="P268" i="19"/>
  <c r="I259" i="19"/>
  <c r="I256" i="19"/>
  <c r="O259" i="19"/>
  <c r="O256" i="19"/>
  <c r="S259" i="19"/>
  <c r="S256" i="19"/>
  <c r="J167" i="8"/>
  <c r="J166" i="8" s="1"/>
  <c r="P167" i="8"/>
  <c r="L202" i="8"/>
  <c r="M202" i="8" s="1"/>
  <c r="M201" i="8" s="1"/>
  <c r="R20" i="8"/>
  <c r="V215" i="8"/>
  <c r="V219" i="8"/>
  <c r="O351" i="8"/>
  <c r="S351" i="8"/>
  <c r="G338" i="8"/>
  <c r="L355" i="8"/>
  <c r="G361" i="8"/>
  <c r="S339" i="8"/>
  <c r="T356" i="8"/>
  <c r="U356" i="8" s="1"/>
  <c r="O357" i="8"/>
  <c r="N361" i="8"/>
  <c r="N362" i="8" s="1"/>
  <c r="R361" i="8"/>
  <c r="R362" i="8" s="1"/>
  <c r="L351" i="8"/>
  <c r="F353" i="8"/>
  <c r="F334" i="8"/>
  <c r="F350" i="8"/>
  <c r="J334" i="8"/>
  <c r="J353" i="8"/>
  <c r="J350" i="8"/>
  <c r="I341" i="8"/>
  <c r="I357" i="8"/>
  <c r="I362" i="8"/>
  <c r="H413" i="8"/>
  <c r="H334" i="8" s="1"/>
  <c r="N413" i="8"/>
  <c r="R413" i="8"/>
  <c r="G420" i="8"/>
  <c r="G341" i="8" s="1"/>
  <c r="K420" i="8"/>
  <c r="H545" i="8"/>
  <c r="H528" i="8" s="1"/>
  <c r="S553" i="8"/>
  <c r="V559" i="8"/>
  <c r="V542" i="8" s="1"/>
  <c r="V525" i="8" s="1"/>
  <c r="H564" i="8"/>
  <c r="R564" i="8"/>
  <c r="K641" i="8"/>
  <c r="T133" i="9"/>
  <c r="H334" i="9"/>
  <c r="G341" i="9"/>
  <c r="S334" i="9"/>
  <c r="Q437" i="9"/>
  <c r="I467" i="9"/>
  <c r="S482" i="9"/>
  <c r="F482" i="9"/>
  <c r="H257" i="11"/>
  <c r="N257" i="11"/>
  <c r="R257" i="11"/>
  <c r="F264" i="11"/>
  <c r="J264" i="11"/>
  <c r="T365" i="11"/>
  <c r="T370" i="11"/>
  <c r="U370" i="11" s="1"/>
  <c r="W370" i="11" s="1"/>
  <c r="G413" i="11"/>
  <c r="G415" i="11" s="1"/>
  <c r="K413" i="11"/>
  <c r="K415" i="11" s="1"/>
  <c r="Q413" i="11"/>
  <c r="Q415" i="11" s="1"/>
  <c r="S534" i="11"/>
  <c r="S517" i="11" s="1"/>
  <c r="H535" i="11"/>
  <c r="H518" i="11" s="1"/>
  <c r="N535" i="11"/>
  <c r="N518" i="11" s="1"/>
  <c r="R535" i="11"/>
  <c r="R518" i="11" s="1"/>
  <c r="H579" i="11"/>
  <c r="H564" i="11" s="1"/>
  <c r="G100" i="13"/>
  <c r="L100" i="13" s="1"/>
  <c r="M100" i="13" s="1"/>
  <c r="H257" i="13"/>
  <c r="N257" i="13"/>
  <c r="R257" i="13"/>
  <c r="F264" i="13"/>
  <c r="J264" i="13"/>
  <c r="T365" i="13"/>
  <c r="G376" i="13"/>
  <c r="G377" i="13" s="1"/>
  <c r="G378" i="13" s="1"/>
  <c r="H378" i="13" s="1"/>
  <c r="I378" i="13" s="1"/>
  <c r="J378" i="13" s="1"/>
  <c r="G330" i="13"/>
  <c r="L330" i="13" s="1"/>
  <c r="T486" i="13"/>
  <c r="G554" i="13"/>
  <c r="K554" i="13"/>
  <c r="K556" i="13" s="1"/>
  <c r="J564" i="13"/>
  <c r="S542" i="13"/>
  <c r="R638" i="13"/>
  <c r="V682" i="13"/>
  <c r="F257" i="15"/>
  <c r="J257" i="15"/>
  <c r="V257" i="15"/>
  <c r="I264" i="15"/>
  <c r="O264" i="15"/>
  <c r="T262" i="15"/>
  <c r="U262" i="15" s="1"/>
  <c r="I413" i="15"/>
  <c r="I412" i="15" s="1"/>
  <c r="O413" i="15"/>
  <c r="O412" i="15" s="1"/>
  <c r="S413" i="15"/>
  <c r="S412" i="15" s="1"/>
  <c r="V418" i="15"/>
  <c r="V419" i="15" s="1"/>
  <c r="H420" i="15"/>
  <c r="N420" i="15"/>
  <c r="N341" i="15" s="1"/>
  <c r="R420" i="15"/>
  <c r="R341" i="15" s="1"/>
  <c r="V421" i="15"/>
  <c r="W421" i="15" s="1"/>
  <c r="N423" i="15"/>
  <c r="R423" i="15"/>
  <c r="Q480" i="15"/>
  <c r="Q479" i="15" s="1"/>
  <c r="H518" i="15"/>
  <c r="N535" i="15"/>
  <c r="N518" i="15" s="1"/>
  <c r="I541" i="15"/>
  <c r="O541" i="15"/>
  <c r="O524" i="15" s="1"/>
  <c r="O530" i="15" s="1"/>
  <c r="S541" i="15"/>
  <c r="S524" i="15" s="1"/>
  <c r="H525" i="15"/>
  <c r="R542" i="15"/>
  <c r="R525" i="15" s="1"/>
  <c r="I630" i="15"/>
  <c r="I657" i="15"/>
  <c r="O657" i="15"/>
  <c r="K641" i="15"/>
  <c r="Q641" i="15"/>
  <c r="G257" i="18"/>
  <c r="K257" i="18"/>
  <c r="I263" i="18"/>
  <c r="I268" i="18"/>
  <c r="R437" i="18"/>
  <c r="R341" i="18"/>
  <c r="V343" i="18"/>
  <c r="I467" i="18"/>
  <c r="I341" i="18"/>
  <c r="F482" i="18"/>
  <c r="K175" i="19"/>
  <c r="H190" i="19"/>
  <c r="H191" i="19" s="1"/>
  <c r="K212" i="19"/>
  <c r="K211" i="19" s="1"/>
  <c r="Q212" i="19"/>
  <c r="I236" i="19"/>
  <c r="O236" i="19"/>
  <c r="U290" i="19"/>
  <c r="W290" i="19" s="1"/>
  <c r="G268" i="19"/>
  <c r="G263" i="19"/>
  <c r="K268" i="19"/>
  <c r="K263" i="19"/>
  <c r="Q268" i="19"/>
  <c r="Q263" i="19"/>
  <c r="F259" i="19"/>
  <c r="L257" i="19"/>
  <c r="F256" i="19"/>
  <c r="J259" i="19"/>
  <c r="J256" i="19"/>
  <c r="P259" i="19"/>
  <c r="P256" i="19"/>
  <c r="T371" i="19"/>
  <c r="U371" i="19" s="1"/>
  <c r="W371" i="19" s="1"/>
  <c r="F564" i="19"/>
  <c r="T629" i="19"/>
  <c r="U629" i="19" s="1"/>
  <c r="W629" i="19" s="1"/>
  <c r="L710" i="11"/>
  <c r="R513" i="19"/>
  <c r="R483" i="19" s="1"/>
  <c r="V435" i="18"/>
  <c r="V420" i="18" s="1"/>
  <c r="S236" i="18"/>
  <c r="K483" i="15"/>
  <c r="V91" i="15"/>
  <c r="O499" i="11"/>
  <c r="N499" i="11"/>
  <c r="M94" i="11"/>
  <c r="K483" i="9"/>
  <c r="S524" i="8"/>
  <c r="O547" i="8"/>
  <c r="K483" i="8"/>
  <c r="V334" i="8"/>
  <c r="V350" i="8"/>
  <c r="N483" i="19"/>
  <c r="K483" i="19"/>
  <c r="L483" i="19" s="1"/>
  <c r="M483" i="19" s="1"/>
  <c r="G17" i="7"/>
  <c r="L213" i="7"/>
  <c r="M213" i="7" s="1"/>
  <c r="O220" i="7"/>
  <c r="O221" i="7" s="1"/>
  <c r="S220" i="7"/>
  <c r="V652" i="7"/>
  <c r="R637" i="7"/>
  <c r="V631" i="7"/>
  <c r="I717" i="7"/>
  <c r="R171" i="7"/>
  <c r="I172" i="7"/>
  <c r="O172" i="7"/>
  <c r="O171" i="7" s="1"/>
  <c r="V173" i="7"/>
  <c r="Q216" i="7"/>
  <c r="J212" i="7"/>
  <c r="T247" i="7"/>
  <c r="T246" i="7" s="1"/>
  <c r="U432" i="7"/>
  <c r="W432" i="7" s="1"/>
  <c r="T550" i="7"/>
  <c r="T557" i="7"/>
  <c r="N560" i="7"/>
  <c r="N375" i="13"/>
  <c r="V609" i="13"/>
  <c r="L186" i="13"/>
  <c r="T653" i="13"/>
  <c r="T145" i="13"/>
  <c r="U185" i="13"/>
  <c r="L190" i="13"/>
  <c r="M190" i="13" s="1"/>
  <c r="L202" i="13"/>
  <c r="L205" i="13"/>
  <c r="M205" i="13" s="1"/>
  <c r="I206" i="13"/>
  <c r="T208" i="13"/>
  <c r="T210" i="13"/>
  <c r="L213" i="13"/>
  <c r="M213" i="13" s="1"/>
  <c r="S220" i="13"/>
  <c r="T215" i="13"/>
  <c r="L227" i="13"/>
  <c r="Q236" i="13"/>
  <c r="L235" i="13"/>
  <c r="M235" i="13" s="1"/>
  <c r="H283" i="13"/>
  <c r="N283" i="13"/>
  <c r="R283" i="13"/>
  <c r="V308" i="13"/>
  <c r="S313" i="13"/>
  <c r="L309" i="13"/>
  <c r="K313" i="13"/>
  <c r="Q313" i="13"/>
  <c r="T312" i="13"/>
  <c r="U312" i="13" s="1"/>
  <c r="W312" i="13" s="1"/>
  <c r="V343" i="13"/>
  <c r="S478" i="13"/>
  <c r="K475" i="13"/>
  <c r="K474" i="13" s="1"/>
  <c r="V478" i="13"/>
  <c r="N482" i="13"/>
  <c r="T682" i="13"/>
  <c r="V640" i="13"/>
  <c r="G687" i="13"/>
  <c r="G688" i="13" s="1"/>
  <c r="K687" i="13"/>
  <c r="S375" i="13"/>
  <c r="V636" i="11"/>
  <c r="H638" i="11"/>
  <c r="H637" i="11" s="1"/>
  <c r="N638" i="11"/>
  <c r="N637" i="11" s="1"/>
  <c r="R638" i="11"/>
  <c r="R637" i="11" s="1"/>
  <c r="N641" i="11"/>
  <c r="K565" i="11"/>
  <c r="U399" i="11"/>
  <c r="W399" i="11" s="1"/>
  <c r="T559" i="11"/>
  <c r="F560" i="11"/>
  <c r="U210" i="7"/>
  <c r="W210" i="7" s="1"/>
  <c r="L164" i="7"/>
  <c r="M164" i="7" s="1"/>
  <c r="T168" i="7"/>
  <c r="K175" i="7"/>
  <c r="M184" i="7"/>
  <c r="U184" i="7"/>
  <c r="W184" i="7" s="1"/>
  <c r="H172" i="7"/>
  <c r="H189" i="7"/>
  <c r="H189" i="23" s="1"/>
  <c r="N172" i="7"/>
  <c r="N189" i="7"/>
  <c r="N189" i="23" s="1"/>
  <c r="P189" i="7"/>
  <c r="P189" i="23" s="1"/>
  <c r="P172" i="7"/>
  <c r="T230" i="7"/>
  <c r="U230" i="7" s="1"/>
  <c r="W230" i="7" s="1"/>
  <c r="S232" i="7"/>
  <c r="S232" i="23" s="1"/>
  <c r="I234" i="7"/>
  <c r="I217" i="7"/>
  <c r="F249" i="7"/>
  <c r="L247" i="7"/>
  <c r="S279" i="7"/>
  <c r="I283" i="7"/>
  <c r="Q281" i="7"/>
  <c r="R350" i="7"/>
  <c r="Q358" i="7"/>
  <c r="Q375" i="7"/>
  <c r="F351" i="7"/>
  <c r="L398" i="7"/>
  <c r="H350" i="7"/>
  <c r="F358" i="7"/>
  <c r="L403" i="7"/>
  <c r="J358" i="7"/>
  <c r="J405" i="7"/>
  <c r="V435" i="7"/>
  <c r="S418" i="7"/>
  <c r="R424" i="7"/>
  <c r="N423" i="7"/>
  <c r="T438" i="7"/>
  <c r="G420" i="7"/>
  <c r="L465" i="7"/>
  <c r="Q535" i="7"/>
  <c r="Q518" i="7" s="1"/>
  <c r="Q553" i="7"/>
  <c r="F547" i="7"/>
  <c r="N547" i="7"/>
  <c r="T558" i="7"/>
  <c r="T606" i="7"/>
  <c r="U606" i="7" s="1"/>
  <c r="W606" i="7" s="1"/>
  <c r="S610" i="7"/>
  <c r="O175" i="7"/>
  <c r="O176" i="7" s="1"/>
  <c r="S175" i="7"/>
  <c r="L170" i="7"/>
  <c r="M170" i="7" s="1"/>
  <c r="M178" i="7"/>
  <c r="U178" i="7"/>
  <c r="W178" i="7" s="1"/>
  <c r="F189" i="7"/>
  <c r="F189" i="23" s="1"/>
  <c r="F172" i="7"/>
  <c r="J189" i="7"/>
  <c r="J189" i="23" s="1"/>
  <c r="J172" i="7"/>
  <c r="G204" i="7"/>
  <c r="L202" i="7"/>
  <c r="M245" i="7"/>
  <c r="U245" i="7"/>
  <c r="W245" i="7" s="1"/>
  <c r="G281" i="7"/>
  <c r="L279" i="7"/>
  <c r="K283" i="7"/>
  <c r="N350" i="7"/>
  <c r="P350" i="7"/>
  <c r="V367" i="7"/>
  <c r="V356" i="7"/>
  <c r="O358" i="7"/>
  <c r="O377" i="7"/>
  <c r="V359" i="7"/>
  <c r="P361" i="7"/>
  <c r="P377" i="7"/>
  <c r="J350" i="7"/>
  <c r="H341" i="7"/>
  <c r="H357" i="7"/>
  <c r="H362" i="7"/>
  <c r="N419" i="7"/>
  <c r="P419" i="7"/>
  <c r="I424" i="7"/>
  <c r="K467" i="7"/>
  <c r="K420" i="7"/>
  <c r="K341" i="7" s="1"/>
  <c r="Q467" i="7"/>
  <c r="Q390" i="23" s="1"/>
  <c r="Q469" i="7"/>
  <c r="F474" i="7"/>
  <c r="L473" i="7"/>
  <c r="M473" i="7" s="1"/>
  <c r="O535" i="7"/>
  <c r="O518" i="7" s="1"/>
  <c r="K525" i="7"/>
  <c r="J637" i="7"/>
  <c r="O534" i="7"/>
  <c r="O517" i="7" s="1"/>
  <c r="T551" i="7"/>
  <c r="N512" i="7"/>
  <c r="V575" i="7"/>
  <c r="N578" i="7"/>
  <c r="N563" i="7" s="1"/>
  <c r="N580" i="7"/>
  <c r="T604" i="7"/>
  <c r="U604" i="7" s="1"/>
  <c r="P608" i="7"/>
  <c r="P563" i="7" s="1"/>
  <c r="R608" i="7"/>
  <c r="R544" i="7"/>
  <c r="R527" i="7" s="1"/>
  <c r="F610" i="7"/>
  <c r="F611" i="7" s="1"/>
  <c r="G611" i="7" s="1"/>
  <c r="L609" i="7"/>
  <c r="M649" i="7"/>
  <c r="U649" i="7"/>
  <c r="W649" i="7" s="1"/>
  <c r="F657" i="7"/>
  <c r="F658" i="7" s="1"/>
  <c r="F655" i="7"/>
  <c r="H655" i="7"/>
  <c r="H657" i="7"/>
  <c r="J657" i="7"/>
  <c r="J655" i="7"/>
  <c r="N655" i="7"/>
  <c r="N657" i="7"/>
  <c r="N642" i="7" s="1"/>
  <c r="P657" i="7"/>
  <c r="P642" i="7" s="1"/>
  <c r="P638" i="7"/>
  <c r="P637" i="7" s="1"/>
  <c r="N641" i="7"/>
  <c r="T656" i="7"/>
  <c r="U656" i="7" s="1"/>
  <c r="W656" i="7" s="1"/>
  <c r="G685" i="7"/>
  <c r="G687" i="7"/>
  <c r="I685" i="7"/>
  <c r="I638" i="7"/>
  <c r="I637" i="7" s="1"/>
  <c r="O685" i="7"/>
  <c r="O687" i="7"/>
  <c r="T683" i="7"/>
  <c r="H717" i="7"/>
  <c r="N717" i="7"/>
  <c r="T713" i="7"/>
  <c r="R717" i="7"/>
  <c r="P482" i="7"/>
  <c r="X436" i="7"/>
  <c r="Q166" i="7"/>
  <c r="M96" i="7"/>
  <c r="T376" i="7"/>
  <c r="V605" i="7"/>
  <c r="M653" i="7"/>
  <c r="M652" i="7" s="1"/>
  <c r="Q221" i="7"/>
  <c r="U653" i="7"/>
  <c r="L562" i="7"/>
  <c r="M562" i="7" s="1"/>
  <c r="T435" i="7"/>
  <c r="U435" i="7" s="1"/>
  <c r="N544" i="7"/>
  <c r="T559" i="7"/>
  <c r="L558" i="7"/>
  <c r="M558" i="7" s="1"/>
  <c r="U396" i="7"/>
  <c r="W396" i="7" s="1"/>
  <c r="U374" i="7"/>
  <c r="W374" i="7" s="1"/>
  <c r="L312" i="7"/>
  <c r="M312" i="7" s="1"/>
  <c r="U280" i="7"/>
  <c r="W280" i="7" s="1"/>
  <c r="Q377" i="7"/>
  <c r="H405" i="7"/>
  <c r="R191" i="7"/>
  <c r="N191" i="7"/>
  <c r="Q175" i="7"/>
  <c r="F251" i="7"/>
  <c r="F252" i="7" s="1"/>
  <c r="U238" i="7"/>
  <c r="W238" i="7" s="1"/>
  <c r="L187" i="7"/>
  <c r="V373" i="7"/>
  <c r="G283" i="7"/>
  <c r="H191" i="7"/>
  <c r="U95" i="7"/>
  <c r="W95" i="7" s="1"/>
  <c r="V528" i="7"/>
  <c r="K351" i="7"/>
  <c r="Q351" i="7"/>
  <c r="S351" i="7"/>
  <c r="S339" i="7"/>
  <c r="T356" i="7"/>
  <c r="U356" i="7" s="1"/>
  <c r="N358" i="7"/>
  <c r="P358" i="7"/>
  <c r="R358" i="7"/>
  <c r="G341" i="7"/>
  <c r="G357" i="7"/>
  <c r="G362" i="7"/>
  <c r="I357" i="7"/>
  <c r="G423" i="7"/>
  <c r="L423" i="7" s="1"/>
  <c r="M423" i="7" s="1"/>
  <c r="F419" i="7"/>
  <c r="H419" i="7"/>
  <c r="H424" i="7"/>
  <c r="J419" i="7"/>
  <c r="J424" i="7"/>
  <c r="G484" i="7"/>
  <c r="H212" i="7"/>
  <c r="N313" i="7"/>
  <c r="F360" i="7"/>
  <c r="H360" i="7"/>
  <c r="O361" i="7"/>
  <c r="Q361" i="7"/>
  <c r="S361" i="7"/>
  <c r="O420" i="7"/>
  <c r="Q420" i="7"/>
  <c r="V421" i="7"/>
  <c r="W421" i="7" s="1"/>
  <c r="U456" i="7"/>
  <c r="W456" i="7" s="1"/>
  <c r="O469" i="7"/>
  <c r="Q534" i="7"/>
  <c r="Q517" i="7" s="1"/>
  <c r="S534" i="7"/>
  <c r="S517" i="7" s="1"/>
  <c r="J535" i="7"/>
  <c r="J518" i="7" s="1"/>
  <c r="N535" i="7"/>
  <c r="N518" i="7" s="1"/>
  <c r="P535" i="7"/>
  <c r="P518" i="7" s="1"/>
  <c r="F631" i="7"/>
  <c r="H631" i="7"/>
  <c r="J631" i="7"/>
  <c r="N631" i="7"/>
  <c r="N630" i="7" s="1"/>
  <c r="P631" i="7"/>
  <c r="R631" i="7"/>
  <c r="G641" i="7"/>
  <c r="I641" i="7"/>
  <c r="K437" i="18"/>
  <c r="K341" i="18"/>
  <c r="F281" i="13"/>
  <c r="H281" i="13"/>
  <c r="J281" i="13"/>
  <c r="N281" i="13"/>
  <c r="R281" i="13"/>
  <c r="N166" i="13"/>
  <c r="K171" i="13"/>
  <c r="L279" i="13"/>
  <c r="M279" i="13" s="1"/>
  <c r="M278" i="13" s="1"/>
  <c r="T308" i="13"/>
  <c r="U210" i="13"/>
  <c r="W210" i="13" s="1"/>
  <c r="G251" i="13"/>
  <c r="K251" i="13"/>
  <c r="Q251" i="13"/>
  <c r="L600" i="11"/>
  <c r="T683" i="11"/>
  <c r="U607" i="11"/>
  <c r="W607" i="11" s="1"/>
  <c r="T552" i="11"/>
  <c r="F642" i="11"/>
  <c r="G540" i="11"/>
  <c r="G523" i="11" s="1"/>
  <c r="I540" i="11"/>
  <c r="I523" i="11" s="1"/>
  <c r="K540" i="11"/>
  <c r="K523" i="11" s="1"/>
  <c r="J541" i="11"/>
  <c r="J547" i="11" s="1"/>
  <c r="N541" i="11"/>
  <c r="R541" i="11"/>
  <c r="R547" i="11" s="1"/>
  <c r="I542" i="11"/>
  <c r="I525" i="11" s="1"/>
  <c r="O542" i="11"/>
  <c r="O525" i="11" s="1"/>
  <c r="Q542" i="11"/>
  <c r="Q525" i="11" s="1"/>
  <c r="F424" i="11"/>
  <c r="F425" i="11" s="1"/>
  <c r="F419" i="11"/>
  <c r="J437" i="11"/>
  <c r="J420" i="11"/>
  <c r="J341" i="11" s="1"/>
  <c r="R424" i="11"/>
  <c r="T418" i="11"/>
  <c r="U418" i="11" s="1"/>
  <c r="V420" i="11"/>
  <c r="G437" i="11"/>
  <c r="G422" i="11" s="1"/>
  <c r="G420" i="11"/>
  <c r="G341" i="11" s="1"/>
  <c r="K437" i="11"/>
  <c r="K422" i="11" s="1"/>
  <c r="K420" i="11"/>
  <c r="K341" i="11" s="1"/>
  <c r="Q437" i="11"/>
  <c r="Q422" i="11" s="1"/>
  <c r="Q420" i="11"/>
  <c r="Q419" i="11" s="1"/>
  <c r="S437" i="11"/>
  <c r="S422" i="11" s="1"/>
  <c r="S420" i="11"/>
  <c r="S419" i="11" s="1"/>
  <c r="H412" i="11"/>
  <c r="J412" i="11"/>
  <c r="R412" i="11"/>
  <c r="I420" i="11"/>
  <c r="I341" i="11" s="1"/>
  <c r="O420" i="11"/>
  <c r="O419" i="11" s="1"/>
  <c r="S405" i="11"/>
  <c r="S360" i="11" s="1"/>
  <c r="L403" i="11"/>
  <c r="M403" i="11" s="1"/>
  <c r="M402" i="11" s="1"/>
  <c r="R407" i="11"/>
  <c r="K405" i="11"/>
  <c r="I407" i="11"/>
  <c r="V403" i="11"/>
  <c r="V402" i="11" s="1"/>
  <c r="Q405" i="11"/>
  <c r="T398" i="11"/>
  <c r="T397" i="11" s="1"/>
  <c r="Q407" i="11"/>
  <c r="S281" i="11"/>
  <c r="J560" i="9"/>
  <c r="K362" i="7"/>
  <c r="K357" i="7"/>
  <c r="I100" i="18"/>
  <c r="I101" i="18" s="1"/>
  <c r="T94" i="18"/>
  <c r="F438" i="18"/>
  <c r="R472" i="18"/>
  <c r="T432" i="18"/>
  <c r="K580" i="18"/>
  <c r="I438" i="18"/>
  <c r="I439" i="18" s="1"/>
  <c r="T247" i="18"/>
  <c r="U247" i="18" s="1"/>
  <c r="W247" i="18" s="1"/>
  <c r="U168" i="18"/>
  <c r="W168" i="18" s="1"/>
  <c r="F534" i="18"/>
  <c r="F517" i="18" s="1"/>
  <c r="J534" i="18"/>
  <c r="J517" i="18" s="1"/>
  <c r="R541" i="18"/>
  <c r="G542" i="18"/>
  <c r="G525" i="18" s="1"/>
  <c r="F545" i="18"/>
  <c r="F528" i="18" s="1"/>
  <c r="J545" i="18"/>
  <c r="J528" i="18" s="1"/>
  <c r="F640" i="18"/>
  <c r="T655" i="18"/>
  <c r="N631" i="18"/>
  <c r="N633" i="18" s="1"/>
  <c r="R631" i="18"/>
  <c r="R633" i="18" s="1"/>
  <c r="I642" i="18"/>
  <c r="S642" i="18"/>
  <c r="V712" i="18"/>
  <c r="T713" i="18"/>
  <c r="T712" i="18" s="1"/>
  <c r="G235" i="18"/>
  <c r="L427" i="18"/>
  <c r="M427" i="18" s="1"/>
  <c r="S472" i="18"/>
  <c r="T505" i="18"/>
  <c r="J524" i="18"/>
  <c r="K469" i="18"/>
  <c r="L468" i="18"/>
  <c r="M468" i="18" s="1"/>
  <c r="T468" i="18"/>
  <c r="G535" i="18"/>
  <c r="G518" i="18" s="1"/>
  <c r="F540" i="18"/>
  <c r="F523" i="18" s="1"/>
  <c r="T636" i="18"/>
  <c r="U636" i="18" s="1"/>
  <c r="L460" i="15"/>
  <c r="M460" i="15" s="1"/>
  <c r="M459" i="15" s="1"/>
  <c r="G171" i="13"/>
  <c r="L201" i="13"/>
  <c r="M202" i="13"/>
  <c r="M227" i="13"/>
  <c r="M226" i="13" s="1"/>
  <c r="L226" i="13"/>
  <c r="L308" i="13"/>
  <c r="M309" i="13"/>
  <c r="M308" i="13" s="1"/>
  <c r="U309" i="13"/>
  <c r="V67" i="13"/>
  <c r="J144" i="13"/>
  <c r="N144" i="13"/>
  <c r="N69" i="13" s="1"/>
  <c r="R144" i="13"/>
  <c r="R69" i="13" s="1"/>
  <c r="K144" i="13"/>
  <c r="K69" i="13" s="1"/>
  <c r="Q144" i="13"/>
  <c r="U94" i="13"/>
  <c r="L250" i="13"/>
  <c r="M250" i="13" s="1"/>
  <c r="V367" i="13"/>
  <c r="G313" i="13"/>
  <c r="U245" i="13"/>
  <c r="W245" i="13" s="1"/>
  <c r="S232" i="13"/>
  <c r="S234" i="13" s="1"/>
  <c r="L142" i="13"/>
  <c r="Q191" i="13"/>
  <c r="K191" i="13"/>
  <c r="G191" i="13"/>
  <c r="F175" i="13"/>
  <c r="R146" i="13"/>
  <c r="N146" i="13"/>
  <c r="T140" i="13"/>
  <c r="G469" i="13"/>
  <c r="K469" i="13"/>
  <c r="J479" i="13"/>
  <c r="V97" i="11"/>
  <c r="V217" i="11"/>
  <c r="V216" i="11" s="1"/>
  <c r="O144" i="9"/>
  <c r="O69" i="9" s="1"/>
  <c r="R144" i="9"/>
  <c r="R69" i="9" s="1"/>
  <c r="T250" i="8"/>
  <c r="U233" i="8"/>
  <c r="L242" i="8"/>
  <c r="M242" i="8" s="1"/>
  <c r="L100" i="8"/>
  <c r="M100" i="8" s="1"/>
  <c r="T95" i="8"/>
  <c r="L135" i="8"/>
  <c r="U135" i="8" s="1"/>
  <c r="W135" i="8" s="1"/>
  <c r="L140" i="8"/>
  <c r="N144" i="8"/>
  <c r="P146" i="8"/>
  <c r="R146" i="8"/>
  <c r="G376" i="8"/>
  <c r="K629" i="8"/>
  <c r="L629" i="8" s="1"/>
  <c r="M629" i="8" s="1"/>
  <c r="G656" i="8"/>
  <c r="O565" i="8"/>
  <c r="W232" i="8"/>
  <c r="G217" i="8"/>
  <c r="K217" i="8"/>
  <c r="K216" i="8" s="1"/>
  <c r="O219" i="8"/>
  <c r="V97" i="8"/>
  <c r="G146" i="8"/>
  <c r="G147" i="8" s="1"/>
  <c r="H147" i="8" s="1"/>
  <c r="I147" i="8" s="1"/>
  <c r="J147" i="8" s="1"/>
  <c r="K147" i="8" s="1"/>
  <c r="O146" i="8"/>
  <c r="V373" i="8"/>
  <c r="H376" i="8"/>
  <c r="H377" i="8" s="1"/>
  <c r="T487" i="8"/>
  <c r="H497" i="8"/>
  <c r="R512" i="8"/>
  <c r="R435" i="23" s="1"/>
  <c r="H656" i="8"/>
  <c r="H641" i="8" s="1"/>
  <c r="J554" i="8"/>
  <c r="G100" i="15"/>
  <c r="G101" i="15" s="1"/>
  <c r="S553" i="15"/>
  <c r="H560" i="15"/>
  <c r="I564" i="15"/>
  <c r="R631" i="15"/>
  <c r="R633" i="15" s="1"/>
  <c r="K640" i="15"/>
  <c r="O640" i="15"/>
  <c r="V640" i="15"/>
  <c r="V546" i="15" s="1"/>
  <c r="V529" i="15" s="1"/>
  <c r="T487" i="15"/>
  <c r="U487" i="15" s="1"/>
  <c r="S473" i="15"/>
  <c r="S474" i="15" s="1"/>
  <c r="T645" i="15"/>
  <c r="U645" i="15" s="1"/>
  <c r="S170" i="15"/>
  <c r="I174" i="15"/>
  <c r="L550" i="15"/>
  <c r="M550" i="15" s="1"/>
  <c r="U644" i="15"/>
  <c r="U676" i="15"/>
  <c r="W676" i="15" s="1"/>
  <c r="U711" i="15"/>
  <c r="W711" i="15" s="1"/>
  <c r="R479" i="15"/>
  <c r="Q484" i="15"/>
  <c r="Q497" i="15"/>
  <c r="Q482" i="15" s="1"/>
  <c r="O480" i="15"/>
  <c r="O479" i="15" s="1"/>
  <c r="R484" i="15"/>
  <c r="T163" i="7"/>
  <c r="O375" i="7"/>
  <c r="V429" i="7"/>
  <c r="O437" i="7"/>
  <c r="Q439" i="7"/>
  <c r="H467" i="7"/>
  <c r="H390" i="23" s="1"/>
  <c r="J467" i="7"/>
  <c r="N497" i="7"/>
  <c r="N420" i="23" s="1"/>
  <c r="T598" i="7"/>
  <c r="U598" i="7" s="1"/>
  <c r="T373" i="7"/>
  <c r="T371" i="7"/>
  <c r="U371" i="7" s="1"/>
  <c r="W371" i="7" s="1"/>
  <c r="G438" i="7"/>
  <c r="N437" i="7"/>
  <c r="P439" i="7"/>
  <c r="R439" i="7"/>
  <c r="V475" i="7"/>
  <c r="V474" i="7" s="1"/>
  <c r="H498" i="7"/>
  <c r="H499" i="7" s="1"/>
  <c r="H500" i="7" s="1"/>
  <c r="G482" i="7"/>
  <c r="T508" i="7"/>
  <c r="L478" i="7"/>
  <c r="M478" i="7" s="1"/>
  <c r="R533" i="13"/>
  <c r="R516" i="13" s="1"/>
  <c r="J518" i="13"/>
  <c r="V535" i="13"/>
  <c r="V518" i="13" s="1"/>
  <c r="H525" i="13"/>
  <c r="L636" i="13"/>
  <c r="M636" i="13" s="1"/>
  <c r="M683" i="13"/>
  <c r="M682" i="13" s="1"/>
  <c r="L713" i="13"/>
  <c r="M713" i="13" s="1"/>
  <c r="M712" i="13" s="1"/>
  <c r="Q687" i="13"/>
  <c r="Q642" i="13" s="1"/>
  <c r="N533" i="13"/>
  <c r="N516" i="13" s="1"/>
  <c r="H518" i="13"/>
  <c r="H523" i="13"/>
  <c r="J523" i="13"/>
  <c r="R523" i="13"/>
  <c r="V540" i="13"/>
  <c r="V523" i="13" s="1"/>
  <c r="G524" i="13"/>
  <c r="I547" i="13"/>
  <c r="R525" i="13"/>
  <c r="V631" i="13"/>
  <c r="V639" i="13"/>
  <c r="V545" i="13" s="1"/>
  <c r="V528" i="13" s="1"/>
  <c r="L652" i="13"/>
  <c r="J525" i="13"/>
  <c r="U508" i="13"/>
  <c r="J525" i="8"/>
  <c r="V435" i="8"/>
  <c r="S465" i="8"/>
  <c r="S420" i="8" s="1"/>
  <c r="O439" i="8"/>
  <c r="S439" i="8"/>
  <c r="N439" i="8"/>
  <c r="P439" i="8"/>
  <c r="R439" i="8"/>
  <c r="K439" i="8"/>
  <c r="J437" i="8"/>
  <c r="O405" i="8"/>
  <c r="O360" i="8" s="1"/>
  <c r="K405" i="8"/>
  <c r="K360" i="8" s="1"/>
  <c r="L241" i="8"/>
  <c r="H166" i="8"/>
  <c r="P166" i="8"/>
  <c r="R166" i="8"/>
  <c r="H220" i="8"/>
  <c r="J220" i="8"/>
  <c r="G220" i="8"/>
  <c r="G221" i="8" s="1"/>
  <c r="I220" i="8"/>
  <c r="I221" i="8" s="1"/>
  <c r="K220" i="8"/>
  <c r="T231" i="8"/>
  <c r="L231" i="8"/>
  <c r="L247" i="8"/>
  <c r="G249" i="8"/>
  <c r="G249" i="23" s="1"/>
  <c r="T227" i="8"/>
  <c r="T226" i="8" s="1"/>
  <c r="N220" i="8"/>
  <c r="T213" i="8"/>
  <c r="L210" i="8"/>
  <c r="M210" i="8" s="1"/>
  <c r="S215" i="8"/>
  <c r="T215" i="8" s="1"/>
  <c r="S247" i="8"/>
  <c r="S249" i="8" s="1"/>
  <c r="S220" i="8"/>
  <c r="O220" i="8"/>
  <c r="F204" i="8"/>
  <c r="L402" i="15"/>
  <c r="V397" i="15"/>
  <c r="G553" i="15"/>
  <c r="F541" i="15"/>
  <c r="F547" i="15" s="1"/>
  <c r="Q542" i="15"/>
  <c r="Q525" i="15" s="1"/>
  <c r="V545" i="15"/>
  <c r="V528" i="15" s="1"/>
  <c r="K542" i="15"/>
  <c r="K525" i="15" s="1"/>
  <c r="O542" i="15"/>
  <c r="O525" i="15" s="1"/>
  <c r="L606" i="15"/>
  <c r="S542" i="15"/>
  <c r="S525" i="15" s="1"/>
  <c r="V605" i="15"/>
  <c r="L576" i="15"/>
  <c r="M576" i="15" s="1"/>
  <c r="M575" i="15" s="1"/>
  <c r="L571" i="15"/>
  <c r="V553" i="15"/>
  <c r="L579" i="15"/>
  <c r="M579" i="15" s="1"/>
  <c r="K560" i="15"/>
  <c r="F554" i="15"/>
  <c r="H554" i="15"/>
  <c r="H556" i="15" s="1"/>
  <c r="J554" i="15"/>
  <c r="J556" i="15" s="1"/>
  <c r="N554" i="15"/>
  <c r="R554" i="15"/>
  <c r="R553" i="15" s="1"/>
  <c r="O564" i="15"/>
  <c r="S564" i="15"/>
  <c r="F533" i="15"/>
  <c r="F516" i="15" s="1"/>
  <c r="J534" i="15"/>
  <c r="J517" i="15" s="1"/>
  <c r="S534" i="15"/>
  <c r="S517" i="15" s="1"/>
  <c r="T713" i="15"/>
  <c r="T712" i="15" s="1"/>
  <c r="T683" i="15"/>
  <c r="T682" i="15" s="1"/>
  <c r="L715" i="15"/>
  <c r="M715" i="15" s="1"/>
  <c r="S687" i="15"/>
  <c r="O687" i="15"/>
  <c r="I687" i="15"/>
  <c r="I640" i="15"/>
  <c r="I546" i="15" s="1"/>
  <c r="Q638" i="15"/>
  <c r="K638" i="15"/>
  <c r="K547" i="15"/>
  <c r="E19" i="15"/>
  <c r="H533" i="15"/>
  <c r="H516" i="15" s="1"/>
  <c r="R533" i="15"/>
  <c r="R516" i="15" s="1"/>
  <c r="G540" i="15"/>
  <c r="G523" i="15" s="1"/>
  <c r="I540" i="15"/>
  <c r="I523" i="15" s="1"/>
  <c r="K540" i="15"/>
  <c r="K523" i="15" s="1"/>
  <c r="O540" i="15"/>
  <c r="T540" i="15" s="1"/>
  <c r="Q540" i="15"/>
  <c r="Q523" i="15" s="1"/>
  <c r="S540" i="15"/>
  <c r="S523" i="15" s="1"/>
  <c r="H541" i="15"/>
  <c r="H547" i="15" s="1"/>
  <c r="N541" i="15"/>
  <c r="N547" i="15" s="1"/>
  <c r="R541" i="15"/>
  <c r="R547" i="15" s="1"/>
  <c r="I525" i="15"/>
  <c r="L634" i="15"/>
  <c r="M634" i="15" s="1"/>
  <c r="V677" i="15"/>
  <c r="V707" i="15"/>
  <c r="L716" i="15"/>
  <c r="M716" i="15" s="1"/>
  <c r="T716" i="15"/>
  <c r="T715" i="18"/>
  <c r="L715" i="18"/>
  <c r="M715" i="18" s="1"/>
  <c r="T683" i="18"/>
  <c r="T682" i="18" s="1"/>
  <c r="J640" i="18"/>
  <c r="K640" i="18"/>
  <c r="G640" i="18"/>
  <c r="G546" i="18" s="1"/>
  <c r="G529" i="18" s="1"/>
  <c r="L653" i="18"/>
  <c r="H540" i="18"/>
  <c r="J540" i="18"/>
  <c r="R540" i="18"/>
  <c r="G541" i="18"/>
  <c r="I541" i="18"/>
  <c r="K541" i="18"/>
  <c r="S541" i="18"/>
  <c r="F542" i="18"/>
  <c r="F525" i="18" s="1"/>
  <c r="H542" i="18"/>
  <c r="H525" i="18" s="1"/>
  <c r="J542" i="18"/>
  <c r="J525" i="18" s="1"/>
  <c r="N542" i="18"/>
  <c r="R542" i="18"/>
  <c r="R525" i="18" s="1"/>
  <c r="J638" i="18"/>
  <c r="J637" i="18" s="1"/>
  <c r="L559" i="18"/>
  <c r="M559" i="18" s="1"/>
  <c r="U604" i="18"/>
  <c r="W604" i="18" s="1"/>
  <c r="O565" i="9"/>
  <c r="V559" i="9"/>
  <c r="V542" i="9" s="1"/>
  <c r="V525" i="9" s="1"/>
  <c r="O469" i="9"/>
  <c r="T465" i="9"/>
  <c r="V403" i="9"/>
  <c r="J405" i="9"/>
  <c r="U401" i="9"/>
  <c r="W401" i="9" s="1"/>
  <c r="N405" i="9"/>
  <c r="H405" i="9"/>
  <c r="H360" i="9" s="1"/>
  <c r="M490" i="11"/>
  <c r="M489" i="11" s="1"/>
  <c r="K565" i="19"/>
  <c r="K578" i="19"/>
  <c r="J497" i="19"/>
  <c r="L497" i="19" s="1"/>
  <c r="M497" i="19" s="1"/>
  <c r="K439" i="7"/>
  <c r="K375" i="7"/>
  <c r="L99" i="7"/>
  <c r="M99" i="7" s="1"/>
  <c r="F175" i="7"/>
  <c r="H175" i="7"/>
  <c r="J175" i="7"/>
  <c r="T197" i="7"/>
  <c r="T196" i="7" s="1"/>
  <c r="F206" i="7"/>
  <c r="F207" i="7" s="1"/>
  <c r="H206" i="7"/>
  <c r="J206" i="7"/>
  <c r="T277" i="7"/>
  <c r="K281" i="7"/>
  <c r="H281" i="7"/>
  <c r="R171" i="9"/>
  <c r="G175" i="9"/>
  <c r="I175" i="9"/>
  <c r="K175" i="9"/>
  <c r="F175" i="9"/>
  <c r="H175" i="9"/>
  <c r="H176" i="9" s="1"/>
  <c r="J175" i="9"/>
  <c r="J176" i="9" s="1"/>
  <c r="T463" i="11"/>
  <c r="V429" i="11"/>
  <c r="T465" i="11"/>
  <c r="N467" i="11"/>
  <c r="N422" i="11" s="1"/>
  <c r="R467" i="11"/>
  <c r="R422" i="11" s="1"/>
  <c r="I467" i="11"/>
  <c r="S407" i="11"/>
  <c r="R405" i="11"/>
  <c r="R360" i="11" s="1"/>
  <c r="F405" i="11"/>
  <c r="F360" i="11" s="1"/>
  <c r="J405" i="11"/>
  <c r="J360" i="11" s="1"/>
  <c r="I405" i="11"/>
  <c r="I360" i="11" s="1"/>
  <c r="L402" i="11"/>
  <c r="O281" i="11"/>
  <c r="V279" i="11"/>
  <c r="R281" i="11"/>
  <c r="R266" i="11" s="1"/>
  <c r="V136" i="11"/>
  <c r="O144" i="11"/>
  <c r="O69" i="11" s="1"/>
  <c r="S144" i="11"/>
  <c r="F175" i="11"/>
  <c r="F176" i="11" s="1"/>
  <c r="F177" i="11" s="1"/>
  <c r="H175" i="11"/>
  <c r="H176" i="11" s="1"/>
  <c r="J175" i="11"/>
  <c r="F144" i="11"/>
  <c r="F69" i="11" s="1"/>
  <c r="J144" i="11"/>
  <c r="J69" i="11" s="1"/>
  <c r="G175" i="11"/>
  <c r="I175" i="11"/>
  <c r="U202" i="11"/>
  <c r="W202" i="11" s="1"/>
  <c r="N216" i="11"/>
  <c r="V145" i="11"/>
  <c r="M232" i="11"/>
  <c r="M231" i="11" s="1"/>
  <c r="V246" i="11"/>
  <c r="S279" i="13"/>
  <c r="S264" i="13" s="1"/>
  <c r="S268" i="13" s="1"/>
  <c r="V279" i="13"/>
  <c r="V264" i="13" s="1"/>
  <c r="Q311" i="13"/>
  <c r="G311" i="13"/>
  <c r="I311" i="13"/>
  <c r="K311" i="13"/>
  <c r="J311" i="13"/>
  <c r="V403" i="13"/>
  <c r="S403" i="13"/>
  <c r="S358" i="13" s="1"/>
  <c r="V465" i="13"/>
  <c r="V420" i="13" s="1"/>
  <c r="V419" i="13" s="1"/>
  <c r="S465" i="13"/>
  <c r="T465" i="13" s="1"/>
  <c r="I467" i="13"/>
  <c r="I422" i="13" s="1"/>
  <c r="F467" i="13"/>
  <c r="H467" i="13"/>
  <c r="L464" i="13"/>
  <c r="G467" i="13"/>
  <c r="K467" i="13"/>
  <c r="N467" i="13"/>
  <c r="R467" i="13"/>
  <c r="Q467" i="13"/>
  <c r="N405" i="13"/>
  <c r="R405" i="13"/>
  <c r="Q405" i="13"/>
  <c r="H405" i="13"/>
  <c r="H360" i="13" s="1"/>
  <c r="G405" i="13"/>
  <c r="G360" i="13" s="1"/>
  <c r="I405" i="13"/>
  <c r="K405" i="13"/>
  <c r="K360" i="13" s="1"/>
  <c r="V438" i="15"/>
  <c r="T463" i="15"/>
  <c r="U463" i="15" s="1"/>
  <c r="W463" i="15" s="1"/>
  <c r="V429" i="15"/>
  <c r="T465" i="15"/>
  <c r="O469" i="15"/>
  <c r="L459" i="15"/>
  <c r="H437" i="15"/>
  <c r="H422" i="15" s="1"/>
  <c r="I437" i="15"/>
  <c r="I422" i="15" s="1"/>
  <c r="Q437" i="15"/>
  <c r="Q422" i="15" s="1"/>
  <c r="Q343" i="15" s="1"/>
  <c r="S437" i="15"/>
  <c r="F405" i="15"/>
  <c r="H405" i="15"/>
  <c r="I405" i="15"/>
  <c r="I360" i="15" s="1"/>
  <c r="R405" i="15"/>
  <c r="R360" i="15" s="1"/>
  <c r="R343" i="15" s="1"/>
  <c r="T403" i="15"/>
  <c r="V142" i="15"/>
  <c r="K144" i="15"/>
  <c r="K69" i="15" s="1"/>
  <c r="Q144" i="15"/>
  <c r="Q69" i="15" s="1"/>
  <c r="S144" i="15"/>
  <c r="F175" i="15"/>
  <c r="H175" i="15"/>
  <c r="J175" i="15"/>
  <c r="V279" i="15"/>
  <c r="V264" i="15" s="1"/>
  <c r="S309" i="15"/>
  <c r="S264" i="15" s="1"/>
  <c r="N144" i="15"/>
  <c r="N69" i="15" s="1"/>
  <c r="R144" i="15"/>
  <c r="R69" i="15" s="1"/>
  <c r="G175" i="15"/>
  <c r="G176" i="15" s="1"/>
  <c r="I175" i="15"/>
  <c r="I176" i="15" s="1"/>
  <c r="K175" i="15"/>
  <c r="K176" i="15" s="1"/>
  <c r="S20" i="15"/>
  <c r="O20" i="15"/>
  <c r="I281" i="15"/>
  <c r="G283" i="15"/>
  <c r="K281" i="15"/>
  <c r="F281" i="15"/>
  <c r="F266" i="15" s="1"/>
  <c r="H281" i="15"/>
  <c r="H266" i="15" s="1"/>
  <c r="O281" i="15"/>
  <c r="T279" i="15"/>
  <c r="N281" i="15"/>
  <c r="N266" i="15" s="1"/>
  <c r="V403" i="18"/>
  <c r="V358" i="18" s="1"/>
  <c r="T401" i="18"/>
  <c r="U401" i="18" s="1"/>
  <c r="W401" i="18" s="1"/>
  <c r="N405" i="18"/>
  <c r="N360" i="18" s="1"/>
  <c r="R405" i="18"/>
  <c r="R360" i="18" s="1"/>
  <c r="H405" i="18"/>
  <c r="H360" i="18" s="1"/>
  <c r="J405" i="18"/>
  <c r="J360" i="18" s="1"/>
  <c r="G405" i="18"/>
  <c r="G360" i="18" s="1"/>
  <c r="F405" i="18"/>
  <c r="F360" i="18" s="1"/>
  <c r="S279" i="18"/>
  <c r="I281" i="18"/>
  <c r="S309" i="18"/>
  <c r="V273" i="18"/>
  <c r="G175" i="18"/>
  <c r="G176" i="18" s="1"/>
  <c r="I175" i="18"/>
  <c r="I176" i="18" s="1"/>
  <c r="K175" i="18"/>
  <c r="K176" i="18" s="1"/>
  <c r="H175" i="18"/>
  <c r="V174" i="18"/>
  <c r="T95" i="18"/>
  <c r="U95" i="18" s="1"/>
  <c r="V100" i="18"/>
  <c r="M465" i="19"/>
  <c r="M464" i="19" s="1"/>
  <c r="S465" i="19"/>
  <c r="S467" i="19" s="1"/>
  <c r="T401" i="19"/>
  <c r="T402" i="19" s="1"/>
  <c r="V465" i="19"/>
  <c r="T463" i="19"/>
  <c r="U463" i="19" s="1"/>
  <c r="W463" i="19" s="1"/>
  <c r="R467" i="19"/>
  <c r="H467" i="19"/>
  <c r="H422" i="19" s="1"/>
  <c r="V303" i="19"/>
  <c r="N311" i="19"/>
  <c r="P311" i="19"/>
  <c r="R311" i="19"/>
  <c r="Q311" i="19"/>
  <c r="I311" i="19"/>
  <c r="F311" i="19"/>
  <c r="H311" i="19"/>
  <c r="J311" i="19"/>
  <c r="L304" i="19"/>
  <c r="V294" i="19"/>
  <c r="F296" i="19"/>
  <c r="H296" i="19"/>
  <c r="J296" i="19"/>
  <c r="G296" i="19"/>
  <c r="I296" i="19"/>
  <c r="K296" i="19"/>
  <c r="N296" i="19"/>
  <c r="P296" i="19"/>
  <c r="R296" i="19"/>
  <c r="O296" i="19"/>
  <c r="Q296" i="19"/>
  <c r="G220" i="19"/>
  <c r="I220" i="19"/>
  <c r="K220" i="19"/>
  <c r="F220" i="19"/>
  <c r="L220" i="19" s="1"/>
  <c r="H220" i="19"/>
  <c r="J220" i="19"/>
  <c r="S20" i="19"/>
  <c r="V97" i="19"/>
  <c r="V67" i="19" s="1"/>
  <c r="G99" i="19"/>
  <c r="I99" i="19"/>
  <c r="K99" i="19"/>
  <c r="O99" i="19"/>
  <c r="Q99" i="19"/>
  <c r="S99" i="19"/>
  <c r="F144" i="19"/>
  <c r="H144" i="19"/>
  <c r="J144" i="19"/>
  <c r="N144" i="19"/>
  <c r="P144" i="19"/>
  <c r="R144" i="19"/>
  <c r="F101" i="19"/>
  <c r="F102" i="19" s="1"/>
  <c r="G102" i="19" s="1"/>
  <c r="H101" i="19"/>
  <c r="J99" i="19"/>
  <c r="J69" i="19" s="1"/>
  <c r="N99" i="19"/>
  <c r="R101" i="19"/>
  <c r="G146" i="19"/>
  <c r="G147" i="19" s="1"/>
  <c r="H147" i="19" s="1"/>
  <c r="I144" i="19"/>
  <c r="K146" i="19"/>
  <c r="O146" i="19"/>
  <c r="Q144" i="19"/>
  <c r="S146" i="19"/>
  <c r="U492" i="7"/>
  <c r="W492" i="7" s="1"/>
  <c r="J220" i="18"/>
  <c r="J221" i="18" s="1"/>
  <c r="M229" i="18"/>
  <c r="U370" i="13"/>
  <c r="W370" i="13" s="1"/>
  <c r="V166" i="13"/>
  <c r="F166" i="13"/>
  <c r="G175" i="13"/>
  <c r="G176" i="13" s="1"/>
  <c r="I175" i="13"/>
  <c r="I176" i="13" s="1"/>
  <c r="K175" i="13"/>
  <c r="G167" i="13"/>
  <c r="I167" i="13"/>
  <c r="K167" i="13"/>
  <c r="Q167" i="13"/>
  <c r="Q166" i="13" s="1"/>
  <c r="S167" i="13"/>
  <c r="S166" i="13" s="1"/>
  <c r="H189" i="13"/>
  <c r="J189" i="13"/>
  <c r="S202" i="13"/>
  <c r="G204" i="13"/>
  <c r="I204" i="13"/>
  <c r="K204" i="13"/>
  <c r="Q204" i="13"/>
  <c r="N212" i="13"/>
  <c r="V232" i="13"/>
  <c r="J217" i="13"/>
  <c r="J216" i="13" s="1"/>
  <c r="S247" i="13"/>
  <c r="G249" i="13"/>
  <c r="G219" i="13" s="1"/>
  <c r="I249" i="13"/>
  <c r="K249" i="13"/>
  <c r="K219" i="13" s="1"/>
  <c r="Q249" i="13"/>
  <c r="H175" i="13"/>
  <c r="J175" i="13"/>
  <c r="V187" i="13"/>
  <c r="S187" i="13"/>
  <c r="S189" i="13" s="1"/>
  <c r="G189" i="13"/>
  <c r="I189" i="13"/>
  <c r="K189" i="13"/>
  <c r="Q189" i="13"/>
  <c r="V202" i="13"/>
  <c r="N204" i="13"/>
  <c r="I234" i="13"/>
  <c r="V247" i="13"/>
  <c r="J249" i="13"/>
  <c r="U139" i="13"/>
  <c r="W139" i="13" s="1"/>
  <c r="M139" i="13"/>
  <c r="L438" i="9"/>
  <c r="M438" i="9" s="1"/>
  <c r="T100" i="8"/>
  <c r="I313" i="18"/>
  <c r="K313" i="18"/>
  <c r="L312" i="18"/>
  <c r="M312" i="18" s="1"/>
  <c r="H477" i="18"/>
  <c r="H534" i="18"/>
  <c r="H517" i="18" s="1"/>
  <c r="R534" i="18"/>
  <c r="R517" i="18" s="1"/>
  <c r="G540" i="18"/>
  <c r="I540" i="18"/>
  <c r="K540" i="18"/>
  <c r="S540" i="18"/>
  <c r="N541" i="18"/>
  <c r="V547" i="18"/>
  <c r="I542" i="18"/>
  <c r="I525" i="18" s="1"/>
  <c r="N560" i="18"/>
  <c r="N535" i="18"/>
  <c r="N518" i="18" s="1"/>
  <c r="V535" i="18"/>
  <c r="V518" i="18" s="1"/>
  <c r="F631" i="18"/>
  <c r="J631" i="18"/>
  <c r="V640" i="18"/>
  <c r="G641" i="18"/>
  <c r="I641" i="18"/>
  <c r="K641" i="18"/>
  <c r="S641" i="18"/>
  <c r="G631" i="18"/>
  <c r="I631" i="18"/>
  <c r="I633" i="18" s="1"/>
  <c r="K631" i="18"/>
  <c r="K633" i="18" s="1"/>
  <c r="S631" i="18"/>
  <c r="S633" i="18" s="1"/>
  <c r="F641" i="18"/>
  <c r="H641" i="18"/>
  <c r="J641" i="18"/>
  <c r="V707" i="18"/>
  <c r="T716" i="18"/>
  <c r="N525" i="18"/>
  <c r="U302" i="18"/>
  <c r="W302" i="18" s="1"/>
  <c r="F313" i="18"/>
  <c r="F314" i="18" s="1"/>
  <c r="H313" i="18"/>
  <c r="J313" i="18"/>
  <c r="N313" i="18"/>
  <c r="R313" i="18"/>
  <c r="L472" i="18"/>
  <c r="M472" i="18" s="1"/>
  <c r="T487" i="18"/>
  <c r="R475" i="18"/>
  <c r="R474" i="18" s="1"/>
  <c r="H533" i="18"/>
  <c r="H516" i="18" s="1"/>
  <c r="J533" i="18"/>
  <c r="J516" i="18" s="1"/>
  <c r="N533" i="18"/>
  <c r="N516" i="18" s="1"/>
  <c r="R533" i="18"/>
  <c r="R516" i="18" s="1"/>
  <c r="H535" i="18"/>
  <c r="H518" i="18" s="1"/>
  <c r="J535" i="18"/>
  <c r="J518" i="18" s="1"/>
  <c r="R535" i="18"/>
  <c r="R518" i="18" s="1"/>
  <c r="G560" i="18"/>
  <c r="S559" i="18"/>
  <c r="T579" i="18"/>
  <c r="V630" i="18"/>
  <c r="F638" i="18"/>
  <c r="F544" i="18" s="1"/>
  <c r="F527" i="18" s="1"/>
  <c r="G581" i="19"/>
  <c r="H581" i="19" s="1"/>
  <c r="O472" i="19"/>
  <c r="U506" i="19"/>
  <c r="W506" i="19" s="1"/>
  <c r="L242" i="19"/>
  <c r="M242" i="19" s="1"/>
  <c r="M241" i="19" s="1"/>
  <c r="V219" i="19"/>
  <c r="J377" i="19"/>
  <c r="N377" i="19"/>
  <c r="P377" i="19"/>
  <c r="R377" i="19"/>
  <c r="O475" i="19"/>
  <c r="O474" i="19" s="1"/>
  <c r="Q475" i="19"/>
  <c r="Q474" i="19" s="1"/>
  <c r="S475" i="19"/>
  <c r="S474" i="19" s="1"/>
  <c r="P499" i="19"/>
  <c r="R499" i="19"/>
  <c r="U496" i="19"/>
  <c r="W496" i="19" s="1"/>
  <c r="F482" i="19"/>
  <c r="H482" i="19"/>
  <c r="U502" i="19"/>
  <c r="T505" i="19"/>
  <c r="R475" i="19"/>
  <c r="R474" i="19" s="1"/>
  <c r="E526" i="19"/>
  <c r="T164" i="19"/>
  <c r="L168" i="19"/>
  <c r="M168" i="19" s="1"/>
  <c r="R175" i="19"/>
  <c r="L173" i="19"/>
  <c r="M173" i="19" s="1"/>
  <c r="T173" i="19"/>
  <c r="O191" i="19"/>
  <c r="T197" i="19"/>
  <c r="T196" i="19" s="1"/>
  <c r="F212" i="19"/>
  <c r="F211" i="19" s="1"/>
  <c r="J212" i="19"/>
  <c r="J211" i="19" s="1"/>
  <c r="P212" i="19"/>
  <c r="P211" i="19" s="1"/>
  <c r="R212" i="19"/>
  <c r="F217" i="19"/>
  <c r="J217" i="19"/>
  <c r="N217" i="19"/>
  <c r="P217" i="19"/>
  <c r="P216" i="19" s="1"/>
  <c r="G251" i="19"/>
  <c r="G252" i="19" s="1"/>
  <c r="H252" i="19" s="1"/>
  <c r="K251" i="19"/>
  <c r="O251" i="19"/>
  <c r="N534" i="19"/>
  <c r="R534" i="19"/>
  <c r="R517" i="19" s="1"/>
  <c r="F530" i="19"/>
  <c r="G542" i="19"/>
  <c r="G525" i="19" s="1"/>
  <c r="K542" i="19"/>
  <c r="K525" i="19" s="1"/>
  <c r="Q542" i="19"/>
  <c r="L639" i="19"/>
  <c r="M639" i="19" s="1"/>
  <c r="T639" i="19"/>
  <c r="T716" i="19"/>
  <c r="S296" i="19"/>
  <c r="T294" i="19"/>
  <c r="T293" i="19" s="1"/>
  <c r="S298" i="19"/>
  <c r="U97" i="19"/>
  <c r="W97" i="19" s="1"/>
  <c r="U648" i="19"/>
  <c r="W648" i="19" s="1"/>
  <c r="U713" i="19"/>
  <c r="W713" i="19" s="1"/>
  <c r="U214" i="19"/>
  <c r="W214" i="19" s="1"/>
  <c r="U473" i="19"/>
  <c r="W473" i="19" s="1"/>
  <c r="L163" i="19"/>
  <c r="M163" i="19" s="1"/>
  <c r="T163" i="19"/>
  <c r="L164" i="19"/>
  <c r="M164" i="19" s="1"/>
  <c r="T213" i="19"/>
  <c r="E216" i="19"/>
  <c r="O216" i="19"/>
  <c r="S215" i="19"/>
  <c r="U228" i="19"/>
  <c r="W228" i="19" s="1"/>
  <c r="I234" i="19"/>
  <c r="I219" i="19" s="1"/>
  <c r="T235" i="19"/>
  <c r="U244" i="19"/>
  <c r="W244" i="19" s="1"/>
  <c r="S247" i="19"/>
  <c r="V218" i="19"/>
  <c r="L250" i="19"/>
  <c r="M250" i="19" s="1"/>
  <c r="T250" i="19"/>
  <c r="L289" i="19"/>
  <c r="T289" i="19"/>
  <c r="K377" i="19"/>
  <c r="O377" i="19"/>
  <c r="Q377" i="19"/>
  <c r="L398" i="19"/>
  <c r="M398" i="19" s="1"/>
  <c r="M397" i="19" s="1"/>
  <c r="N439" i="19"/>
  <c r="U457" i="19"/>
  <c r="W457" i="19" s="1"/>
  <c r="V459" i="19"/>
  <c r="T472" i="19"/>
  <c r="H479" i="19"/>
  <c r="P547" i="19"/>
  <c r="V545" i="19"/>
  <c r="V528" i="19" s="1"/>
  <c r="G546" i="19"/>
  <c r="G529" i="19" s="1"/>
  <c r="T579" i="19"/>
  <c r="U579" i="19" s="1"/>
  <c r="U607" i="19"/>
  <c r="W607" i="19" s="1"/>
  <c r="S535" i="19"/>
  <c r="S518" i="19" s="1"/>
  <c r="F540" i="19"/>
  <c r="T636" i="19"/>
  <c r="U636" i="19" s="1"/>
  <c r="W636" i="19" s="1"/>
  <c r="J641" i="19"/>
  <c r="L678" i="19"/>
  <c r="G499" i="18"/>
  <c r="G500" i="18" s="1"/>
  <c r="H500" i="18" s="1"/>
  <c r="I500" i="18" s="1"/>
  <c r="J500" i="18" s="1"/>
  <c r="L498" i="18"/>
  <c r="M498" i="18" s="1"/>
  <c r="S630" i="18"/>
  <c r="M712" i="18"/>
  <c r="M308" i="18"/>
  <c r="F206" i="18"/>
  <c r="F207" i="18" s="1"/>
  <c r="H206" i="18"/>
  <c r="R206" i="18"/>
  <c r="U203" i="18"/>
  <c r="W203" i="18" s="1"/>
  <c r="G214" i="18"/>
  <c r="V226" i="18"/>
  <c r="K236" i="18"/>
  <c r="K251" i="18"/>
  <c r="T250" i="18"/>
  <c r="U270" i="18"/>
  <c r="W270" i="18" s="1"/>
  <c r="U272" i="18"/>
  <c r="W272" i="18" s="1"/>
  <c r="G283" i="18"/>
  <c r="G284" i="18" s="1"/>
  <c r="H284" i="18" s="1"/>
  <c r="T282" i="18"/>
  <c r="U282" i="18" s="1"/>
  <c r="W282" i="18" s="1"/>
  <c r="U300" i="18"/>
  <c r="W300" i="18" s="1"/>
  <c r="T304" i="18"/>
  <c r="T303" i="18" s="1"/>
  <c r="U305" i="18"/>
  <c r="W305" i="18" s="1"/>
  <c r="U306" i="18"/>
  <c r="W306" i="18" s="1"/>
  <c r="I311" i="18"/>
  <c r="K311" i="18"/>
  <c r="T312" i="18"/>
  <c r="L460" i="18"/>
  <c r="U462" i="18"/>
  <c r="W462" i="18" s="1"/>
  <c r="S465" i="18"/>
  <c r="K467" i="18"/>
  <c r="J473" i="18"/>
  <c r="L473" i="18" s="1"/>
  <c r="M473" i="18" s="1"/>
  <c r="L481" i="18"/>
  <c r="M481" i="18" s="1"/>
  <c r="U486" i="18"/>
  <c r="K499" i="18"/>
  <c r="U502" i="18"/>
  <c r="U506" i="18"/>
  <c r="W506" i="18" s="1"/>
  <c r="H524" i="18"/>
  <c r="S533" i="18"/>
  <c r="S516" i="18" s="1"/>
  <c r="S535" i="18"/>
  <c r="S518" i="18" s="1"/>
  <c r="L562" i="18"/>
  <c r="M562" i="18" s="1"/>
  <c r="U597" i="18"/>
  <c r="U598" i="18"/>
  <c r="U599" i="18"/>
  <c r="W599" i="18" s="1"/>
  <c r="L601" i="18"/>
  <c r="L600" i="18" s="1"/>
  <c r="K610" i="18"/>
  <c r="H638" i="18"/>
  <c r="H544" i="18" s="1"/>
  <c r="H527" i="18" s="1"/>
  <c r="H526" i="18" s="1"/>
  <c r="S638" i="18"/>
  <c r="V647" i="18"/>
  <c r="V636" i="18"/>
  <c r="W636" i="18" s="1"/>
  <c r="L656" i="18"/>
  <c r="M656" i="18" s="1"/>
  <c r="R641" i="18"/>
  <c r="L678" i="18"/>
  <c r="L677" i="18" s="1"/>
  <c r="T708" i="18"/>
  <c r="T707" i="18" s="1"/>
  <c r="U710" i="18"/>
  <c r="W710" i="18" s="1"/>
  <c r="N717" i="18"/>
  <c r="R717" i="18"/>
  <c r="L716" i="18"/>
  <c r="M716" i="18" s="1"/>
  <c r="V656" i="18"/>
  <c r="V638" i="18"/>
  <c r="V652" i="18"/>
  <c r="U180" i="18"/>
  <c r="W180" i="18" s="1"/>
  <c r="F191" i="18"/>
  <c r="F192" i="18" s="1"/>
  <c r="G192" i="18" s="1"/>
  <c r="H191" i="18"/>
  <c r="J191" i="18"/>
  <c r="N191" i="18"/>
  <c r="G206" i="18"/>
  <c r="L205" i="18"/>
  <c r="M205" i="18" s="1"/>
  <c r="N251" i="18"/>
  <c r="U573" i="18"/>
  <c r="W573" i="18" s="1"/>
  <c r="L639" i="18"/>
  <c r="M639" i="18" s="1"/>
  <c r="L648" i="18"/>
  <c r="T648" i="18"/>
  <c r="U683" i="18"/>
  <c r="W683" i="18" s="1"/>
  <c r="Q20" i="19"/>
  <c r="W200" i="18"/>
  <c r="X200" i="18"/>
  <c r="V641" i="18"/>
  <c r="G174" i="18"/>
  <c r="F560" i="18"/>
  <c r="H560" i="18"/>
  <c r="R219" i="18"/>
  <c r="U88" i="18"/>
  <c r="U89" i="18"/>
  <c r="U90" i="18"/>
  <c r="L94" i="18"/>
  <c r="F204" i="18"/>
  <c r="H204" i="18"/>
  <c r="I206" i="18"/>
  <c r="R204" i="18"/>
  <c r="R174" i="18" s="1"/>
  <c r="V212" i="18"/>
  <c r="V43" i="18" s="1"/>
  <c r="L218" i="18"/>
  <c r="M218" i="18" s="1"/>
  <c r="T218" i="18"/>
  <c r="L227" i="18"/>
  <c r="T227" i="18"/>
  <c r="T226" i="18" s="1"/>
  <c r="F219" i="18"/>
  <c r="U238" i="18"/>
  <c r="U239" i="18"/>
  <c r="U240" i="18"/>
  <c r="V241" i="18"/>
  <c r="N249" i="18"/>
  <c r="N219" i="18" s="1"/>
  <c r="U395" i="18"/>
  <c r="W395" i="18" s="1"/>
  <c r="T552" i="18"/>
  <c r="R553" i="18"/>
  <c r="T558" i="18"/>
  <c r="L397" i="19"/>
  <c r="S547" i="19"/>
  <c r="V91" i="19"/>
  <c r="W142" i="19"/>
  <c r="H20" i="19"/>
  <c r="L182" i="19"/>
  <c r="L181" i="19" s="1"/>
  <c r="U193" i="19"/>
  <c r="U194" i="19"/>
  <c r="U199" i="19"/>
  <c r="W199" i="19" s="1"/>
  <c r="V367" i="19"/>
  <c r="U370" i="19"/>
  <c r="W370" i="19" s="1"/>
  <c r="K375" i="19"/>
  <c r="K360" i="19" s="1"/>
  <c r="O375" i="19"/>
  <c r="O360" i="19" s="1"/>
  <c r="Q375" i="19"/>
  <c r="Q360" i="19" s="1"/>
  <c r="U404" i="19"/>
  <c r="W404" i="19" s="1"/>
  <c r="T471" i="19"/>
  <c r="L476" i="19"/>
  <c r="M476" i="19" s="1"/>
  <c r="F479" i="19"/>
  <c r="P480" i="19"/>
  <c r="P484" i="19" s="1"/>
  <c r="V481" i="19"/>
  <c r="G482" i="19"/>
  <c r="H518" i="19"/>
  <c r="Q535" i="19"/>
  <c r="Q518" i="19" s="1"/>
  <c r="G547" i="19"/>
  <c r="G560" i="19"/>
  <c r="S559" i="19"/>
  <c r="P544" i="19"/>
  <c r="N546" i="19"/>
  <c r="N529" i="19" s="1"/>
  <c r="P580" i="19"/>
  <c r="U597" i="19"/>
  <c r="U598" i="19"/>
  <c r="K638" i="19"/>
  <c r="K630" i="19"/>
  <c r="O630" i="19"/>
  <c r="Q630" i="19"/>
  <c r="T686" i="19"/>
  <c r="T708" i="19"/>
  <c r="T707" i="19" s="1"/>
  <c r="U710" i="19"/>
  <c r="W710" i="19" s="1"/>
  <c r="U711" i="19"/>
  <c r="W711" i="19" s="1"/>
  <c r="W712" i="19" s="1"/>
  <c r="G717" i="19"/>
  <c r="I717" i="19"/>
  <c r="K717" i="19"/>
  <c r="L716" i="19"/>
  <c r="M716" i="19" s="1"/>
  <c r="L234" i="18"/>
  <c r="M234" i="18" s="1"/>
  <c r="L214" i="18"/>
  <c r="L278" i="18"/>
  <c r="S172" i="18"/>
  <c r="S608" i="18"/>
  <c r="U653" i="18"/>
  <c r="W653" i="18" s="1"/>
  <c r="U250" i="18"/>
  <c r="W250" i="18" s="1"/>
  <c r="S217" i="18"/>
  <c r="K101" i="18"/>
  <c r="T163" i="18"/>
  <c r="U163" i="18" s="1"/>
  <c r="W163" i="18" s="1"/>
  <c r="S175" i="18"/>
  <c r="J172" i="18"/>
  <c r="R172" i="18"/>
  <c r="J167" i="18"/>
  <c r="J166" i="18" s="1"/>
  <c r="N167" i="18"/>
  <c r="V170" i="18"/>
  <c r="V171" i="18" s="1"/>
  <c r="J189" i="18"/>
  <c r="J174" i="18" s="1"/>
  <c r="U194" i="18"/>
  <c r="W194" i="18" s="1"/>
  <c r="J212" i="18"/>
  <c r="N212" i="18"/>
  <c r="N211" i="18" s="1"/>
  <c r="L242" i="18"/>
  <c r="R212" i="18"/>
  <c r="T212" i="18" s="1"/>
  <c r="L274" i="18"/>
  <c r="L273" i="18" s="1"/>
  <c r="U400" i="18"/>
  <c r="W400" i="18" s="1"/>
  <c r="I407" i="18"/>
  <c r="K407" i="18"/>
  <c r="L406" i="18"/>
  <c r="M406" i="18" s="1"/>
  <c r="T406" i="18"/>
  <c r="U426" i="18"/>
  <c r="N439" i="18"/>
  <c r="U436" i="18"/>
  <c r="W436" i="18" s="1"/>
  <c r="F474" i="18"/>
  <c r="I479" i="18"/>
  <c r="U496" i="18"/>
  <c r="W496" i="18" s="1"/>
  <c r="L501" i="18"/>
  <c r="U501" i="18" s="1"/>
  <c r="L503" i="18"/>
  <c r="R514" i="18"/>
  <c r="L551" i="18"/>
  <c r="M551" i="18" s="1"/>
  <c r="L557" i="18"/>
  <c r="M557" i="18" s="1"/>
  <c r="T571" i="18"/>
  <c r="T570" i="18" s="1"/>
  <c r="T627" i="18"/>
  <c r="T634" i="18"/>
  <c r="V205" i="19"/>
  <c r="V201" i="19"/>
  <c r="F611" i="19"/>
  <c r="F566" i="19" s="1"/>
  <c r="F565" i="19"/>
  <c r="F630" i="19"/>
  <c r="T608" i="19"/>
  <c r="T92" i="19"/>
  <c r="T169" i="19"/>
  <c r="E171" i="19"/>
  <c r="U178" i="19"/>
  <c r="U179" i="19"/>
  <c r="T182" i="19"/>
  <c r="T181" i="19" s="1"/>
  <c r="P167" i="19"/>
  <c r="P166" i="19" s="1"/>
  <c r="V170" i="19"/>
  <c r="R174" i="19"/>
  <c r="V174" i="19"/>
  <c r="V196" i="19"/>
  <c r="U198" i="19"/>
  <c r="W198" i="19" s="1"/>
  <c r="O206" i="19"/>
  <c r="T208" i="19"/>
  <c r="T430" i="19"/>
  <c r="T429" i="19" s="1"/>
  <c r="U462" i="19"/>
  <c r="W462" i="19" s="1"/>
  <c r="I469" i="19"/>
  <c r="O469" i="19"/>
  <c r="Q469" i="19"/>
  <c r="L471" i="19"/>
  <c r="M471" i="19" s="1"/>
  <c r="L472" i="19"/>
  <c r="M472" i="19" s="1"/>
  <c r="K499" i="19"/>
  <c r="U501" i="19"/>
  <c r="U503" i="19"/>
  <c r="T550" i="19"/>
  <c r="T552" i="19"/>
  <c r="F537" i="19"/>
  <c r="F560" i="19"/>
  <c r="H560" i="19"/>
  <c r="N544" i="19"/>
  <c r="R544" i="19"/>
  <c r="R543" i="19" s="1"/>
  <c r="V570" i="19"/>
  <c r="O546" i="19"/>
  <c r="O529" i="19" s="1"/>
  <c r="Q546" i="19"/>
  <c r="Q529" i="19" s="1"/>
  <c r="T601" i="19"/>
  <c r="T600" i="19" s="1"/>
  <c r="N610" i="19"/>
  <c r="P610" i="19"/>
  <c r="R610" i="19"/>
  <c r="I564" i="19"/>
  <c r="K564" i="19"/>
  <c r="G533" i="19"/>
  <c r="G516" i="19" s="1"/>
  <c r="K533" i="19"/>
  <c r="K516" i="19" s="1"/>
  <c r="O533" i="19"/>
  <c r="O516" i="19" s="1"/>
  <c r="Q533" i="19"/>
  <c r="Q516" i="19" s="1"/>
  <c r="S533" i="19"/>
  <c r="S516" i="19" s="1"/>
  <c r="T628" i="19"/>
  <c r="U628" i="19" s="1"/>
  <c r="W628" i="19" s="1"/>
  <c r="G638" i="19"/>
  <c r="Q638" i="19"/>
  <c r="Q637" i="19" s="1"/>
  <c r="U645" i="19"/>
  <c r="W645" i="19" s="1"/>
  <c r="I630" i="19"/>
  <c r="H640" i="19"/>
  <c r="J640" i="19"/>
  <c r="J546" i="19" s="1"/>
  <c r="J529" i="19" s="1"/>
  <c r="P640" i="19"/>
  <c r="R640" i="19"/>
  <c r="F641" i="19"/>
  <c r="H641" i="19"/>
  <c r="V640" i="19"/>
  <c r="V546" i="19" s="1"/>
  <c r="V529" i="19" s="1"/>
  <c r="I641" i="19"/>
  <c r="W90" i="18"/>
  <c r="L459" i="18"/>
  <c r="M460" i="18"/>
  <c r="M459" i="18" s="1"/>
  <c r="L505" i="18"/>
  <c r="U93" i="18"/>
  <c r="U98" i="18"/>
  <c r="W98" i="18" s="1"/>
  <c r="T164" i="18"/>
  <c r="U164" i="18" s="1"/>
  <c r="W164" i="18" s="1"/>
  <c r="E171" i="18"/>
  <c r="F172" i="18"/>
  <c r="L173" i="18"/>
  <c r="M173" i="18" s="1"/>
  <c r="R167" i="18"/>
  <c r="R166" i="18" s="1"/>
  <c r="U183" i="18"/>
  <c r="W183" i="18" s="1"/>
  <c r="U184" i="18"/>
  <c r="W184" i="18" s="1"/>
  <c r="R191" i="18"/>
  <c r="V196" i="18"/>
  <c r="U199" i="18"/>
  <c r="W199" i="18" s="1"/>
  <c r="L208" i="18"/>
  <c r="M208" i="18" s="1"/>
  <c r="T208" i="18"/>
  <c r="T213" i="18"/>
  <c r="U213" i="18" s="1"/>
  <c r="L215" i="18"/>
  <c r="M215" i="18" s="1"/>
  <c r="K217" i="18"/>
  <c r="U223" i="18"/>
  <c r="U224" i="18"/>
  <c r="M231" i="18"/>
  <c r="V215" i="18"/>
  <c r="U243" i="18"/>
  <c r="X248" i="18" s="1"/>
  <c r="U244" i="18"/>
  <c r="W244" i="18" s="1"/>
  <c r="U275" i="18"/>
  <c r="G281" i="18"/>
  <c r="G266" i="18" s="1"/>
  <c r="N283" i="18"/>
  <c r="R283" i="18"/>
  <c r="U280" i="18"/>
  <c r="W280" i="18" s="1"/>
  <c r="U674" i="18"/>
  <c r="W674" i="18" s="1"/>
  <c r="U676" i="18"/>
  <c r="W676" i="18" s="1"/>
  <c r="U680" i="18"/>
  <c r="W680" i="18" s="1"/>
  <c r="G252" i="18"/>
  <c r="L398" i="18"/>
  <c r="T398" i="18"/>
  <c r="U404" i="18"/>
  <c r="W404" i="18" s="1"/>
  <c r="U431" i="18"/>
  <c r="T476" i="18"/>
  <c r="E479" i="18"/>
  <c r="T503" i="18"/>
  <c r="T550" i="18"/>
  <c r="U567" i="18"/>
  <c r="U568" i="18"/>
  <c r="U569" i="18"/>
  <c r="W569" i="18" s="1"/>
  <c r="T601" i="18"/>
  <c r="U603" i="18"/>
  <c r="W603" i="18" s="1"/>
  <c r="U607" i="18"/>
  <c r="T628" i="18"/>
  <c r="H630" i="18"/>
  <c r="L635" i="18"/>
  <c r="M635" i="18" s="1"/>
  <c r="T635" i="18"/>
  <c r="U654" i="18"/>
  <c r="W654" i="18" s="1"/>
  <c r="T686" i="18"/>
  <c r="J216" i="19"/>
  <c r="T91" i="19"/>
  <c r="T307" i="19"/>
  <c r="S309" i="19"/>
  <c r="S264" i="19" s="1"/>
  <c r="J469" i="19"/>
  <c r="J467" i="19"/>
  <c r="J422" i="19" s="1"/>
  <c r="N469" i="19"/>
  <c r="N467" i="19"/>
  <c r="N422" i="19" s="1"/>
  <c r="P469" i="19"/>
  <c r="P467" i="19"/>
  <c r="Q499" i="19"/>
  <c r="Q480" i="19"/>
  <c r="I20" i="19"/>
  <c r="U94" i="19"/>
  <c r="W94" i="19" s="1"/>
  <c r="U95" i="19"/>
  <c r="P101" i="19"/>
  <c r="R99" i="19"/>
  <c r="R69" i="19" s="1"/>
  <c r="U98" i="19"/>
  <c r="V167" i="19"/>
  <c r="O172" i="19"/>
  <c r="O171" i="19" s="1"/>
  <c r="U180" i="19"/>
  <c r="W180" i="19" s="1"/>
  <c r="J167" i="19"/>
  <c r="O167" i="19"/>
  <c r="Q167" i="19"/>
  <c r="S167" i="19"/>
  <c r="T190" i="19"/>
  <c r="T209" i="19"/>
  <c r="Q211" i="19"/>
  <c r="S211" i="19"/>
  <c r="V212" i="19"/>
  <c r="V211" i="19" s="1"/>
  <c r="O220" i="19"/>
  <c r="O221" i="19" s="1"/>
  <c r="Q220" i="19"/>
  <c r="S220" i="19"/>
  <c r="L215" i="19"/>
  <c r="M215" i="19" s="1"/>
  <c r="R217" i="19"/>
  <c r="R216" i="19" s="1"/>
  <c r="L227" i="19"/>
  <c r="L226" i="19" s="1"/>
  <c r="T227" i="19"/>
  <c r="T226" i="19" s="1"/>
  <c r="S232" i="19"/>
  <c r="U238" i="19"/>
  <c r="W238" i="19" s="1"/>
  <c r="U240" i="19"/>
  <c r="W240" i="19" s="1"/>
  <c r="G313" i="19"/>
  <c r="G314" i="19" s="1"/>
  <c r="H314" i="19" s="1"/>
  <c r="K313" i="19"/>
  <c r="O313" i="19"/>
  <c r="U466" i="19"/>
  <c r="W466" i="19" s="1"/>
  <c r="K480" i="19"/>
  <c r="R480" i="19"/>
  <c r="R479" i="19" s="1"/>
  <c r="P497" i="19"/>
  <c r="Q530" i="19"/>
  <c r="T528" i="19"/>
  <c r="L427" i="19"/>
  <c r="G469" i="19"/>
  <c r="K469" i="19"/>
  <c r="O499" i="19"/>
  <c r="O480" i="19"/>
  <c r="O512" i="19"/>
  <c r="O482" i="19" s="1"/>
  <c r="O514" i="19"/>
  <c r="U656" i="19"/>
  <c r="W656" i="19" s="1"/>
  <c r="U88" i="19"/>
  <c r="U89" i="19"/>
  <c r="U90" i="19"/>
  <c r="L92" i="19"/>
  <c r="L91" i="19" s="1"/>
  <c r="G212" i="19"/>
  <c r="G211" i="19" s="1"/>
  <c r="I655" i="19"/>
  <c r="U287" i="19"/>
  <c r="X292" i="19" s="1"/>
  <c r="L312" i="19"/>
  <c r="M312" i="19" s="1"/>
  <c r="T312" i="19"/>
  <c r="T368" i="19"/>
  <c r="T367" i="19" s="1"/>
  <c r="U394" i="19"/>
  <c r="W394" i="19" s="1"/>
  <c r="U396" i="19"/>
  <c r="W396" i="19" s="1"/>
  <c r="U399" i="19"/>
  <c r="U400" i="19"/>
  <c r="W400" i="19" s="1"/>
  <c r="G407" i="19"/>
  <c r="I407" i="19"/>
  <c r="K407" i="19"/>
  <c r="O407" i="19"/>
  <c r="Q407" i="19"/>
  <c r="K439" i="19"/>
  <c r="T460" i="19"/>
  <c r="T459" i="19" s="1"/>
  <c r="U461" i="19"/>
  <c r="U486" i="19"/>
  <c r="T490" i="19"/>
  <c r="T489" i="19" s="1"/>
  <c r="P475" i="19"/>
  <c r="P474" i="19" s="1"/>
  <c r="V524" i="19"/>
  <c r="F528" i="19"/>
  <c r="N535" i="19"/>
  <c r="N518" i="19" s="1"/>
  <c r="H534" i="19"/>
  <c r="H517" i="19" s="1"/>
  <c r="T551" i="19"/>
  <c r="G535" i="19"/>
  <c r="G518" i="19" s="1"/>
  <c r="O560" i="19"/>
  <c r="Q560" i="19"/>
  <c r="T562" i="19"/>
  <c r="T571" i="19"/>
  <c r="U577" i="19"/>
  <c r="W577" i="19" s="1"/>
  <c r="K637" i="19"/>
  <c r="I638" i="19"/>
  <c r="O638" i="19"/>
  <c r="O637" i="19" s="1"/>
  <c r="S638" i="19"/>
  <c r="H630" i="19"/>
  <c r="U649" i="19"/>
  <c r="W649" i="19" s="1"/>
  <c r="Q657" i="19"/>
  <c r="Q642" i="19" s="1"/>
  <c r="N641" i="19"/>
  <c r="P641" i="19"/>
  <c r="U675" i="19"/>
  <c r="W675" i="19" s="1"/>
  <c r="U676" i="19"/>
  <c r="W676" i="19" s="1"/>
  <c r="U679" i="19"/>
  <c r="W679" i="19" s="1"/>
  <c r="U680" i="19"/>
  <c r="W680" i="19" s="1"/>
  <c r="L686" i="19"/>
  <c r="U705" i="19"/>
  <c r="W705" i="19" s="1"/>
  <c r="F717" i="19"/>
  <c r="F718" i="19" s="1"/>
  <c r="H717" i="19"/>
  <c r="J717" i="19"/>
  <c r="V716" i="15"/>
  <c r="V712" i="15"/>
  <c r="M712" i="15"/>
  <c r="L708" i="15"/>
  <c r="T708" i="15"/>
  <c r="U709" i="15"/>
  <c r="W709" i="15" s="1"/>
  <c r="F217" i="15"/>
  <c r="U510" i="15"/>
  <c r="W510" i="15" s="1"/>
  <c r="T278" i="15"/>
  <c r="T187" i="15"/>
  <c r="U209" i="15"/>
  <c r="W209" i="15" s="1"/>
  <c r="O236" i="15"/>
  <c r="Q236" i="15"/>
  <c r="L235" i="15"/>
  <c r="M235" i="15" s="1"/>
  <c r="N251" i="15"/>
  <c r="H212" i="15"/>
  <c r="H211" i="15" s="1"/>
  <c r="L551" i="15"/>
  <c r="M551" i="15" s="1"/>
  <c r="O527" i="15"/>
  <c r="O526" i="15" s="1"/>
  <c r="S283" i="15"/>
  <c r="U279" i="15"/>
  <c r="L231" i="15"/>
  <c r="S467" i="15"/>
  <c r="G484" i="15"/>
  <c r="S478" i="15"/>
  <c r="L682" i="15"/>
  <c r="T137" i="15"/>
  <c r="U137" i="15" s="1"/>
  <c r="U138" i="15"/>
  <c r="W138" i="15" s="1"/>
  <c r="T165" i="15"/>
  <c r="U165" i="15" s="1"/>
  <c r="R217" i="15"/>
  <c r="R216" i="15" s="1"/>
  <c r="U606" i="15"/>
  <c r="W606" i="15" s="1"/>
  <c r="Q637" i="15"/>
  <c r="L190" i="15"/>
  <c r="M190" i="15" s="1"/>
  <c r="V196" i="15"/>
  <c r="G167" i="15"/>
  <c r="O167" i="15"/>
  <c r="G206" i="15"/>
  <c r="K206" i="15"/>
  <c r="G313" i="15"/>
  <c r="I313" i="15"/>
  <c r="K313" i="15"/>
  <c r="O313" i="15"/>
  <c r="J407" i="15"/>
  <c r="N407" i="15"/>
  <c r="U713" i="15"/>
  <c r="R20" i="15"/>
  <c r="O174" i="15"/>
  <c r="O482" i="15"/>
  <c r="H580" i="15"/>
  <c r="R580" i="15"/>
  <c r="R565" i="15" s="1"/>
  <c r="U597" i="15"/>
  <c r="U598" i="15"/>
  <c r="T678" i="15"/>
  <c r="W468" i="15"/>
  <c r="T608" i="15"/>
  <c r="U576" i="15"/>
  <c r="U435" i="15"/>
  <c r="W435" i="15" s="1"/>
  <c r="V216" i="15"/>
  <c r="Q174" i="15"/>
  <c r="U142" i="15"/>
  <c r="W142" i="15" s="1"/>
  <c r="X98" i="15"/>
  <c r="L168" i="15"/>
  <c r="M168" i="15" s="1"/>
  <c r="F206" i="15"/>
  <c r="F207" i="15" s="1"/>
  <c r="H206" i="15"/>
  <c r="R206" i="15"/>
  <c r="I217" i="15"/>
  <c r="I50" i="15" s="1"/>
  <c r="I54" i="15" s="1"/>
  <c r="N212" i="15"/>
  <c r="N43" i="15" s="1"/>
  <c r="H236" i="15"/>
  <c r="R236" i="15"/>
  <c r="O251" i="15"/>
  <c r="T250" i="15"/>
  <c r="U250" i="15" s="1"/>
  <c r="W250" i="15" s="1"/>
  <c r="J283" i="15"/>
  <c r="R283" i="15"/>
  <c r="G20" i="15"/>
  <c r="J469" i="15"/>
  <c r="T467" i="15"/>
  <c r="L476" i="15"/>
  <c r="M476" i="15" s="1"/>
  <c r="T476" i="15"/>
  <c r="T677" i="15"/>
  <c r="U235" i="15"/>
  <c r="W235" i="15" s="1"/>
  <c r="U465" i="15"/>
  <c r="U464" i="15" s="1"/>
  <c r="S189" i="15"/>
  <c r="S174" i="15" s="1"/>
  <c r="M653" i="15"/>
  <c r="M652" i="15" s="1"/>
  <c r="U683" i="15"/>
  <c r="W683" i="15" s="1"/>
  <c r="K174" i="15"/>
  <c r="U90" i="15"/>
  <c r="W90" i="15" s="1"/>
  <c r="T92" i="15"/>
  <c r="T164" i="15"/>
  <c r="U164" i="15" s="1"/>
  <c r="W164" i="15" s="1"/>
  <c r="U180" i="15"/>
  <c r="U181" i="15" s="1"/>
  <c r="N174" i="15"/>
  <c r="V174" i="15"/>
  <c r="T197" i="15"/>
  <c r="L205" i="15"/>
  <c r="M205" i="15" s="1"/>
  <c r="T205" i="15"/>
  <c r="J637" i="15"/>
  <c r="T656" i="15"/>
  <c r="E216" i="15"/>
  <c r="T218" i="15"/>
  <c r="U218" i="15" s="1"/>
  <c r="W218" i="15" s="1"/>
  <c r="U223" i="15"/>
  <c r="W223" i="15" s="1"/>
  <c r="U225" i="15"/>
  <c r="W225" i="15" s="1"/>
  <c r="U238" i="15"/>
  <c r="W238" i="15" s="1"/>
  <c r="U240" i="15"/>
  <c r="W240" i="15" s="1"/>
  <c r="U243" i="15"/>
  <c r="W243" i="15" s="1"/>
  <c r="I251" i="15"/>
  <c r="O249" i="15"/>
  <c r="T249" i="15" s="1"/>
  <c r="Q283" i="15"/>
  <c r="U305" i="15"/>
  <c r="W305" i="15" s="1"/>
  <c r="U310" i="15"/>
  <c r="W310" i="15" s="1"/>
  <c r="L398" i="15"/>
  <c r="L397" i="15" s="1"/>
  <c r="U458" i="15"/>
  <c r="L471" i="15"/>
  <c r="M471" i="15" s="1"/>
  <c r="H474" i="15"/>
  <c r="N474" i="15"/>
  <c r="V504" i="15"/>
  <c r="L513" i="15"/>
  <c r="M513" i="15" s="1"/>
  <c r="V600" i="15"/>
  <c r="H565" i="15"/>
  <c r="J565" i="15"/>
  <c r="G630" i="15"/>
  <c r="L635" i="15"/>
  <c r="M635" i="15" s="1"/>
  <c r="T639" i="15"/>
  <c r="T201" i="15"/>
  <c r="U202" i="15"/>
  <c r="U201" i="15" s="1"/>
  <c r="W180" i="15"/>
  <c r="W181" i="15" s="1"/>
  <c r="H528" i="15"/>
  <c r="K537" i="15"/>
  <c r="K539" i="15" s="1"/>
  <c r="K553" i="15"/>
  <c r="M601" i="15"/>
  <c r="M600" i="15" s="1"/>
  <c r="W604" i="15"/>
  <c r="U605" i="15"/>
  <c r="U401" i="15"/>
  <c r="W401" i="15" s="1"/>
  <c r="F611" i="15"/>
  <c r="F566" i="15" s="1"/>
  <c r="F565" i="15"/>
  <c r="M402" i="15"/>
  <c r="Q20" i="15"/>
  <c r="U214" i="15"/>
  <c r="W214" i="15" s="1"/>
  <c r="W29" i="15" s="1"/>
  <c r="T100" i="15"/>
  <c r="N172" i="15"/>
  <c r="L173" i="15"/>
  <c r="M173" i="15" s="1"/>
  <c r="I167" i="15"/>
  <c r="K167" i="15"/>
  <c r="K43" i="15" s="1"/>
  <c r="K45" i="15" s="1"/>
  <c r="V170" i="15"/>
  <c r="V48" i="15" s="1"/>
  <c r="H191" i="15"/>
  <c r="J191" i="15"/>
  <c r="L208" i="15"/>
  <c r="M208" i="15" s="1"/>
  <c r="T208" i="15"/>
  <c r="L210" i="15"/>
  <c r="M210" i="15" s="1"/>
  <c r="L220" i="15"/>
  <c r="M220" i="15" s="1"/>
  <c r="L215" i="15"/>
  <c r="M215" i="15" s="1"/>
  <c r="J281" i="15"/>
  <c r="J266" i="15" s="1"/>
  <c r="T312" i="15"/>
  <c r="U312" i="15" s="1"/>
  <c r="W312" i="15" s="1"/>
  <c r="U426" i="15"/>
  <c r="U427" i="15"/>
  <c r="U428" i="15"/>
  <c r="U462" i="15"/>
  <c r="W462" i="15" s="1"/>
  <c r="H477" i="15"/>
  <c r="H483" i="15" s="1"/>
  <c r="H484" i="15" s="1"/>
  <c r="N480" i="15"/>
  <c r="K475" i="15"/>
  <c r="K474" i="15" s="1"/>
  <c r="V478" i="15"/>
  <c r="T552" i="15"/>
  <c r="U567" i="15"/>
  <c r="U568" i="15"/>
  <c r="U573" i="15"/>
  <c r="L578" i="15"/>
  <c r="M578" i="15" s="1"/>
  <c r="O580" i="15"/>
  <c r="L608" i="15"/>
  <c r="M608" i="15" s="1"/>
  <c r="M181" i="15"/>
  <c r="U599" i="15"/>
  <c r="G610" i="15"/>
  <c r="I610" i="15"/>
  <c r="K610" i="15"/>
  <c r="O610" i="15"/>
  <c r="Q610" i="15"/>
  <c r="S610" i="15"/>
  <c r="T627" i="15"/>
  <c r="L628" i="15"/>
  <c r="M628" i="15" s="1"/>
  <c r="N630" i="15"/>
  <c r="K630" i="15"/>
  <c r="L686" i="15"/>
  <c r="M686" i="15" s="1"/>
  <c r="V509" i="15"/>
  <c r="V513" i="15"/>
  <c r="V480" i="15"/>
  <c r="G524" i="15"/>
  <c r="W200" i="15"/>
  <c r="X200" i="15"/>
  <c r="M231" i="15"/>
  <c r="U88" i="15"/>
  <c r="U89" i="15"/>
  <c r="V136" i="15"/>
  <c r="K146" i="15"/>
  <c r="U143" i="15"/>
  <c r="W143" i="15" s="1"/>
  <c r="O175" i="15"/>
  <c r="O176" i="15" s="1"/>
  <c r="S175" i="15"/>
  <c r="E171" i="15"/>
  <c r="F172" i="15"/>
  <c r="U183" i="15"/>
  <c r="U184" i="15"/>
  <c r="W184" i="15" s="1"/>
  <c r="T190" i="15"/>
  <c r="G207" i="15"/>
  <c r="H207" i="15" s="1"/>
  <c r="I207" i="15" s="1"/>
  <c r="K211" i="15"/>
  <c r="T213" i="15"/>
  <c r="S215" i="15"/>
  <c r="T215" i="15" s="1"/>
  <c r="T227" i="15"/>
  <c r="T226" i="15" s="1"/>
  <c r="L242" i="15"/>
  <c r="U242" i="15" s="1"/>
  <c r="H251" i="15"/>
  <c r="U271" i="15"/>
  <c r="W271" i="15" s="1"/>
  <c r="U272" i="15"/>
  <c r="U275" i="15"/>
  <c r="U276" i="15"/>
  <c r="W276" i="15" s="1"/>
  <c r="T304" i="15"/>
  <c r="T303" i="15" s="1"/>
  <c r="T309" i="15"/>
  <c r="U309" i="15" s="1"/>
  <c r="W309" i="15" s="1"/>
  <c r="G311" i="15"/>
  <c r="G266" i="15" s="1"/>
  <c r="U396" i="15"/>
  <c r="L430" i="15"/>
  <c r="U432" i="15"/>
  <c r="W432" i="15" s="1"/>
  <c r="G439" i="15"/>
  <c r="K439" i="15"/>
  <c r="O439" i="15"/>
  <c r="T438" i="15"/>
  <c r="U438" i="15" s="1"/>
  <c r="W438" i="15" s="1"/>
  <c r="T460" i="15"/>
  <c r="T459" i="15" s="1"/>
  <c r="U461" i="15"/>
  <c r="W461" i="15" s="1"/>
  <c r="N469" i="15"/>
  <c r="T472" i="15"/>
  <c r="U472" i="15" s="1"/>
  <c r="T477" i="15"/>
  <c r="L481" i="15"/>
  <c r="M481" i="15" s="1"/>
  <c r="S483" i="15"/>
  <c r="T505" i="15"/>
  <c r="T504" i="15" s="1"/>
  <c r="F514" i="15"/>
  <c r="F515" i="15" s="1"/>
  <c r="G515" i="15" s="1"/>
  <c r="I514" i="15"/>
  <c r="N512" i="15"/>
  <c r="N482" i="15" s="1"/>
  <c r="Q514" i="15"/>
  <c r="U511" i="15"/>
  <c r="W511" i="15" s="1"/>
  <c r="E526" i="15"/>
  <c r="T557" i="15"/>
  <c r="T558" i="15"/>
  <c r="U558" i="15" s="1"/>
  <c r="O560" i="15"/>
  <c r="V570" i="15"/>
  <c r="G580" i="15"/>
  <c r="T579" i="15"/>
  <c r="U579" i="15" s="1"/>
  <c r="L609" i="15"/>
  <c r="M609" i="15" s="1"/>
  <c r="T609" i="15"/>
  <c r="L627" i="15"/>
  <c r="M627" i="15" s="1"/>
  <c r="L639" i="15"/>
  <c r="M639" i="15" s="1"/>
  <c r="U680" i="15"/>
  <c r="W680" i="15" s="1"/>
  <c r="U681" i="15"/>
  <c r="M201" i="15"/>
  <c r="G314" i="15"/>
  <c r="H314" i="15" s="1"/>
  <c r="I314" i="15" s="1"/>
  <c r="J314" i="15" s="1"/>
  <c r="K314" i="15" s="1"/>
  <c r="N314" i="15" s="1"/>
  <c r="O314" i="15" s="1"/>
  <c r="P314" i="15" s="1"/>
  <c r="O220" i="15"/>
  <c r="Q220" i="15"/>
  <c r="S220" i="15"/>
  <c r="U230" i="15"/>
  <c r="E479" i="15"/>
  <c r="J482" i="15"/>
  <c r="H482" i="15"/>
  <c r="J514" i="15"/>
  <c r="R630" i="15"/>
  <c r="T686" i="15"/>
  <c r="G718" i="15"/>
  <c r="H718" i="15" s="1"/>
  <c r="I718" i="15" s="1"/>
  <c r="J718" i="15" s="1"/>
  <c r="K718" i="15" s="1"/>
  <c r="N718" i="15" s="1"/>
  <c r="O718" i="15" s="1"/>
  <c r="U714" i="15"/>
  <c r="W714" i="15" s="1"/>
  <c r="S657" i="13"/>
  <c r="S642" i="13" s="1"/>
  <c r="T715" i="13"/>
  <c r="U683" i="13"/>
  <c r="W683" i="13" s="1"/>
  <c r="N499" i="13"/>
  <c r="V482" i="13"/>
  <c r="I484" i="13"/>
  <c r="U190" i="13"/>
  <c r="T368" i="13"/>
  <c r="T367" i="13" s="1"/>
  <c r="R565" i="13"/>
  <c r="R475" i="13"/>
  <c r="R474" i="13" s="1"/>
  <c r="U496" i="13"/>
  <c r="W496" i="13" s="1"/>
  <c r="F482" i="13"/>
  <c r="H482" i="13"/>
  <c r="T502" i="13"/>
  <c r="U503" i="13"/>
  <c r="W503" i="13" s="1"/>
  <c r="Q514" i="13"/>
  <c r="T601" i="13"/>
  <c r="T600" i="13" s="1"/>
  <c r="U603" i="13"/>
  <c r="L182" i="13"/>
  <c r="M182" i="13" s="1"/>
  <c r="M181" i="13" s="1"/>
  <c r="T214" i="13"/>
  <c r="U214" i="13" s="1"/>
  <c r="W214" i="13" s="1"/>
  <c r="G212" i="13"/>
  <c r="G211" i="13" s="1"/>
  <c r="I212" i="13"/>
  <c r="I211" i="13" s="1"/>
  <c r="K212" i="13"/>
  <c r="K211" i="13" s="1"/>
  <c r="K217" i="13"/>
  <c r="K216" i="13" s="1"/>
  <c r="Q217" i="13"/>
  <c r="Q221" i="13" s="1"/>
  <c r="V218" i="13"/>
  <c r="K642" i="13"/>
  <c r="U205" i="13"/>
  <c r="Q475" i="13"/>
  <c r="Q474" i="13" s="1"/>
  <c r="S475" i="13"/>
  <c r="S580" i="13"/>
  <c r="T579" i="13"/>
  <c r="S564" i="13"/>
  <c r="U597" i="13"/>
  <c r="U598" i="13"/>
  <c r="L601" i="13"/>
  <c r="S610" i="13"/>
  <c r="T609" i="13"/>
  <c r="L627" i="13"/>
  <c r="M627" i="13" s="1"/>
  <c r="G534" i="13"/>
  <c r="G517" i="13" s="1"/>
  <c r="I534" i="13"/>
  <c r="I517" i="13" s="1"/>
  <c r="K534" i="13"/>
  <c r="K517" i="13" s="1"/>
  <c r="F630" i="13"/>
  <c r="J630" i="13"/>
  <c r="T635" i="13"/>
  <c r="L181" i="13"/>
  <c r="H547" i="13"/>
  <c r="R547" i="13"/>
  <c r="I525" i="13"/>
  <c r="V542" i="13"/>
  <c r="V525" i="13" s="1"/>
  <c r="U468" i="13"/>
  <c r="M247" i="13"/>
  <c r="M246" i="13" s="1"/>
  <c r="M373" i="13"/>
  <c r="M372" i="13" s="1"/>
  <c r="V605" i="13"/>
  <c r="U406" i="13"/>
  <c r="F172" i="13"/>
  <c r="F176" i="13" s="1"/>
  <c r="F177" i="13" s="1"/>
  <c r="G177" i="13" s="1"/>
  <c r="N191" i="13"/>
  <c r="R172" i="13"/>
  <c r="L218" i="13"/>
  <c r="M218" i="13" s="1"/>
  <c r="V226" i="13"/>
  <c r="G236" i="13"/>
  <c r="V241" i="13"/>
  <c r="H630" i="13"/>
  <c r="R630" i="13"/>
  <c r="G637" i="13"/>
  <c r="G545" i="13"/>
  <c r="G528" i="13" s="1"/>
  <c r="K545" i="13"/>
  <c r="K528" i="13" s="1"/>
  <c r="Q545" i="13"/>
  <c r="L641" i="13"/>
  <c r="I640" i="13"/>
  <c r="F640" i="13"/>
  <c r="U681" i="13"/>
  <c r="N638" i="13"/>
  <c r="W681" i="13"/>
  <c r="G630" i="13"/>
  <c r="I630" i="13"/>
  <c r="K630" i="13"/>
  <c r="Q630" i="13"/>
  <c r="S630" i="13"/>
  <c r="T631" i="13"/>
  <c r="N20" i="13"/>
  <c r="L137" i="13"/>
  <c r="L136" i="13" s="1"/>
  <c r="T165" i="13"/>
  <c r="E171" i="13"/>
  <c r="U302" i="13"/>
  <c r="W302" i="13" s="1"/>
  <c r="T476" i="13"/>
  <c r="T481" i="13"/>
  <c r="F530" i="13"/>
  <c r="N547" i="13"/>
  <c r="Q517" i="13"/>
  <c r="S517" i="13"/>
  <c r="G523" i="13"/>
  <c r="I523" i="13"/>
  <c r="K523" i="13"/>
  <c r="Q523" i="13"/>
  <c r="S523" i="13"/>
  <c r="G525" i="13"/>
  <c r="Q638" i="13"/>
  <c r="Q637" i="13" s="1"/>
  <c r="L678" i="13"/>
  <c r="L677" i="13" s="1"/>
  <c r="T686" i="13"/>
  <c r="U686" i="13" s="1"/>
  <c r="W686" i="13" s="1"/>
  <c r="V707" i="13"/>
  <c r="L716" i="13"/>
  <c r="M716" i="13" s="1"/>
  <c r="T716" i="13"/>
  <c r="G518" i="13"/>
  <c r="F525" i="13"/>
  <c r="W230" i="13"/>
  <c r="X230" i="13"/>
  <c r="U88" i="13"/>
  <c r="U89" i="13"/>
  <c r="T137" i="13"/>
  <c r="T136" i="13" s="1"/>
  <c r="T168" i="13"/>
  <c r="R175" i="13"/>
  <c r="L170" i="13"/>
  <c r="M170" i="13" s="1"/>
  <c r="S170" i="13"/>
  <c r="S48" i="13" s="1"/>
  <c r="T197" i="13"/>
  <c r="T196" i="13" s="1"/>
  <c r="F206" i="13"/>
  <c r="F207" i="13" s="1"/>
  <c r="G207" i="13" s="1"/>
  <c r="H206" i="13"/>
  <c r="J206" i="13"/>
  <c r="R206" i="13"/>
  <c r="U203" i="13"/>
  <c r="W203" i="13" s="1"/>
  <c r="F236" i="13"/>
  <c r="F237" i="13" s="1"/>
  <c r="G237" i="13" s="1"/>
  <c r="J236" i="13"/>
  <c r="R236" i="13"/>
  <c r="T242" i="13"/>
  <c r="T241" i="13" s="1"/>
  <c r="R212" i="13"/>
  <c r="R211" i="13" s="1"/>
  <c r="V273" i="13"/>
  <c r="G283" i="13"/>
  <c r="G284" i="13" s="1"/>
  <c r="I283" i="13"/>
  <c r="K283" i="13"/>
  <c r="L282" i="13"/>
  <c r="M282" i="13" s="1"/>
  <c r="L304" i="13"/>
  <c r="L303" i="13" s="1"/>
  <c r="U305" i="13"/>
  <c r="W305" i="13" s="1"/>
  <c r="U306" i="13"/>
  <c r="W306" i="13" s="1"/>
  <c r="V397" i="13"/>
  <c r="V459" i="13"/>
  <c r="T473" i="13"/>
  <c r="G482" i="13"/>
  <c r="J524" i="13"/>
  <c r="J530" i="13" s="1"/>
  <c r="E543" i="13"/>
  <c r="F533" i="13"/>
  <c r="F516" i="13" s="1"/>
  <c r="H533" i="13"/>
  <c r="H516" i="13" s="1"/>
  <c r="J533" i="13"/>
  <c r="J516" i="13" s="1"/>
  <c r="L639" i="13"/>
  <c r="M639" i="13" s="1"/>
  <c r="V647" i="13"/>
  <c r="G642" i="13"/>
  <c r="H528" i="13"/>
  <c r="H20" i="13" s="1"/>
  <c r="V641" i="13"/>
  <c r="V638" i="13"/>
  <c r="V637" i="13" s="1"/>
  <c r="V652" i="13"/>
  <c r="F642" i="13"/>
  <c r="F658" i="13"/>
  <c r="F643" i="13" s="1"/>
  <c r="V174" i="13"/>
  <c r="T398" i="13"/>
  <c r="T397" i="13" s="1"/>
  <c r="U400" i="13"/>
  <c r="W400" i="13" s="1"/>
  <c r="U461" i="13"/>
  <c r="W461" i="13" s="1"/>
  <c r="L472" i="13"/>
  <c r="M472" i="13" s="1"/>
  <c r="L476" i="13"/>
  <c r="M476" i="13" s="1"/>
  <c r="Q478" i="13"/>
  <c r="G500" i="13"/>
  <c r="H500" i="13" s="1"/>
  <c r="I500" i="13" s="1"/>
  <c r="J500" i="13" s="1"/>
  <c r="T505" i="13"/>
  <c r="T504" i="13" s="1"/>
  <c r="U507" i="13"/>
  <c r="W507" i="13" s="1"/>
  <c r="N518" i="13"/>
  <c r="T551" i="13"/>
  <c r="T559" i="13"/>
  <c r="L562" i="13"/>
  <c r="M562" i="13" s="1"/>
  <c r="U573" i="13"/>
  <c r="R637" i="13"/>
  <c r="H637" i="13"/>
  <c r="J637" i="13"/>
  <c r="L648" i="13"/>
  <c r="T648" i="13"/>
  <c r="U649" i="13"/>
  <c r="W649" i="13" s="1"/>
  <c r="U650" i="13"/>
  <c r="W650" i="13" s="1"/>
  <c r="U654" i="13"/>
  <c r="U674" i="13"/>
  <c r="U675" i="13"/>
  <c r="U676" i="13"/>
  <c r="X681" i="13" s="1"/>
  <c r="U711" i="13"/>
  <c r="U90" i="13"/>
  <c r="W90" i="13" s="1"/>
  <c r="V91" i="13"/>
  <c r="L163" i="13"/>
  <c r="T163" i="13"/>
  <c r="L165" i="13"/>
  <c r="M165" i="13" s="1"/>
  <c r="T169" i="13"/>
  <c r="U180" i="13"/>
  <c r="W180" i="13" s="1"/>
  <c r="J167" i="13"/>
  <c r="R167" i="13"/>
  <c r="U183" i="13"/>
  <c r="U184" i="13"/>
  <c r="W184" i="13" s="1"/>
  <c r="V196" i="13"/>
  <c r="L208" i="13"/>
  <c r="M208" i="13" s="1"/>
  <c r="G217" i="13"/>
  <c r="T227" i="13"/>
  <c r="U227" i="13" s="1"/>
  <c r="V215" i="13"/>
  <c r="F234" i="13"/>
  <c r="H236" i="13"/>
  <c r="J234" i="13"/>
  <c r="L242" i="13"/>
  <c r="H212" i="13"/>
  <c r="H211" i="13" s="1"/>
  <c r="U244" i="13"/>
  <c r="W244" i="13" s="1"/>
  <c r="T274" i="13"/>
  <c r="T273" i="13" s="1"/>
  <c r="U301" i="13"/>
  <c r="W301" i="13" s="1"/>
  <c r="U365" i="13"/>
  <c r="T376" i="13"/>
  <c r="T564" i="13"/>
  <c r="V468" i="13"/>
  <c r="V464" i="13"/>
  <c r="S467" i="13"/>
  <c r="S422" i="13" s="1"/>
  <c r="S499" i="13"/>
  <c r="S497" i="13"/>
  <c r="S482" i="13" s="1"/>
  <c r="S480" i="13"/>
  <c r="Q547" i="13"/>
  <c r="Q524" i="13"/>
  <c r="Q530" i="13" s="1"/>
  <c r="V712" i="13"/>
  <c r="V716" i="13"/>
  <c r="G515" i="13"/>
  <c r="H515" i="13" s="1"/>
  <c r="I515" i="13" s="1"/>
  <c r="J515" i="13" s="1"/>
  <c r="G718" i="13"/>
  <c r="H718" i="13" s="1"/>
  <c r="I718" i="13" s="1"/>
  <c r="J718" i="13" s="1"/>
  <c r="K718" i="13" s="1"/>
  <c r="N718" i="13" s="1"/>
  <c r="Q497" i="13"/>
  <c r="Q480" i="13"/>
  <c r="T495" i="13"/>
  <c r="Q499" i="13"/>
  <c r="U250" i="13"/>
  <c r="U235" i="13"/>
  <c r="M201" i="13"/>
  <c r="U364" i="13"/>
  <c r="U394" i="13"/>
  <c r="W394" i="13" s="1"/>
  <c r="U396" i="13"/>
  <c r="L398" i="13"/>
  <c r="F407" i="13"/>
  <c r="F408" i="13" s="1"/>
  <c r="G408" i="13" s="1"/>
  <c r="J407" i="13"/>
  <c r="U404" i="13"/>
  <c r="W404" i="13" s="1"/>
  <c r="T460" i="13"/>
  <c r="T459" i="13" s="1"/>
  <c r="T477" i="13"/>
  <c r="E479" i="13"/>
  <c r="G479" i="13"/>
  <c r="L481" i="13"/>
  <c r="M481" i="13" s="1"/>
  <c r="T487" i="13"/>
  <c r="U487" i="13" s="1"/>
  <c r="T493" i="13"/>
  <c r="U493" i="13" s="1"/>
  <c r="U501" i="13"/>
  <c r="L505" i="13"/>
  <c r="Q512" i="13"/>
  <c r="T513" i="13"/>
  <c r="T550" i="13"/>
  <c r="U550" i="13" s="1"/>
  <c r="T557" i="13"/>
  <c r="U557" i="13" s="1"/>
  <c r="T562" i="13"/>
  <c r="U567" i="13"/>
  <c r="U568" i="13"/>
  <c r="U569" i="13"/>
  <c r="T571" i="13"/>
  <c r="Q554" i="13"/>
  <c r="G580" i="13"/>
  <c r="G581" i="13" s="1"/>
  <c r="L579" i="13"/>
  <c r="J610" i="13"/>
  <c r="J565" i="13" s="1"/>
  <c r="L628" i="13"/>
  <c r="M628" i="13" s="1"/>
  <c r="T628" i="13"/>
  <c r="N630" i="13"/>
  <c r="T634" i="13"/>
  <c r="H687" i="13"/>
  <c r="H642" i="13" s="1"/>
  <c r="L708" i="13"/>
  <c r="T708" i="13"/>
  <c r="U709" i="13"/>
  <c r="U714" i="13"/>
  <c r="W714" i="13" s="1"/>
  <c r="L564" i="13"/>
  <c r="M564" i="13" s="1"/>
  <c r="L164" i="13"/>
  <c r="M164" i="13" s="1"/>
  <c r="T164" i="13"/>
  <c r="L168" i="13"/>
  <c r="M168" i="13" s="1"/>
  <c r="L169" i="13"/>
  <c r="M169" i="13" s="1"/>
  <c r="J172" i="13"/>
  <c r="L173" i="13"/>
  <c r="T173" i="13"/>
  <c r="U179" i="13"/>
  <c r="W179" i="13" s="1"/>
  <c r="T182" i="13"/>
  <c r="M186" i="13"/>
  <c r="V170" i="13"/>
  <c r="F191" i="13"/>
  <c r="F192" i="13" s="1"/>
  <c r="R191" i="13"/>
  <c r="U188" i="13"/>
  <c r="W188" i="13" s="1"/>
  <c r="U195" i="13"/>
  <c r="X200" i="13" s="1"/>
  <c r="L197" i="13"/>
  <c r="U198" i="13"/>
  <c r="W198" i="13" s="1"/>
  <c r="U199" i="13"/>
  <c r="W199" i="13" s="1"/>
  <c r="L209" i="13"/>
  <c r="M209" i="13" s="1"/>
  <c r="V212" i="13"/>
  <c r="V43" i="13" s="1"/>
  <c r="L220" i="13"/>
  <c r="M220" i="13" s="1"/>
  <c r="L215" i="13"/>
  <c r="M215" i="13" s="1"/>
  <c r="U224" i="13"/>
  <c r="W224" i="13" s="1"/>
  <c r="F212" i="13"/>
  <c r="F211" i="13" s="1"/>
  <c r="Q212" i="13"/>
  <c r="Q211" i="13" s="1"/>
  <c r="S212" i="13"/>
  <c r="S211" i="13" s="1"/>
  <c r="U229" i="13"/>
  <c r="W229" i="13" s="1"/>
  <c r="I219" i="13"/>
  <c r="U248" i="13"/>
  <c r="W248" i="13" s="1"/>
  <c r="U270" i="13"/>
  <c r="W270" i="13" s="1"/>
  <c r="U272" i="13"/>
  <c r="W272" i="13" s="1"/>
  <c r="L274" i="13"/>
  <c r="U275" i="13"/>
  <c r="W275" i="13" s="1"/>
  <c r="U276" i="13"/>
  <c r="W276" i="13" s="1"/>
  <c r="G281" i="13"/>
  <c r="G266" i="13" s="1"/>
  <c r="K281" i="13"/>
  <c r="K266" i="13" s="1"/>
  <c r="T282" i="13"/>
  <c r="U282" i="13" s="1"/>
  <c r="F313" i="13"/>
  <c r="F314" i="13" s="1"/>
  <c r="G314" i="13" s="1"/>
  <c r="H313" i="13"/>
  <c r="N313" i="13"/>
  <c r="R313" i="13"/>
  <c r="U310" i="13"/>
  <c r="K533" i="11"/>
  <c r="K516" i="11" s="1"/>
  <c r="N540" i="11"/>
  <c r="N523" i="11" s="1"/>
  <c r="Q541" i="11"/>
  <c r="Q547" i="11" s="1"/>
  <c r="V170" i="11"/>
  <c r="V48" i="11" s="1"/>
  <c r="H212" i="11"/>
  <c r="H211" i="11" s="1"/>
  <c r="F236" i="11"/>
  <c r="F237" i="11" s="1"/>
  <c r="H236" i="11"/>
  <c r="N236" i="11"/>
  <c r="R236" i="11"/>
  <c r="U142" i="11"/>
  <c r="R174" i="11"/>
  <c r="J174" i="11"/>
  <c r="F174" i="11"/>
  <c r="L182" i="11"/>
  <c r="J167" i="11"/>
  <c r="J166" i="11" s="1"/>
  <c r="R167" i="11"/>
  <c r="G191" i="11"/>
  <c r="I191" i="11"/>
  <c r="O191" i="11"/>
  <c r="Q191" i="11"/>
  <c r="L190" i="11"/>
  <c r="M190" i="11" s="1"/>
  <c r="G206" i="11"/>
  <c r="K206" i="11"/>
  <c r="O206" i="11"/>
  <c r="H217" i="11"/>
  <c r="K212" i="11"/>
  <c r="K211" i="11" s="1"/>
  <c r="O212" i="11"/>
  <c r="O211" i="11" s="1"/>
  <c r="Q212" i="11"/>
  <c r="Q211" i="11" s="1"/>
  <c r="S212" i="11"/>
  <c r="I236" i="11"/>
  <c r="V218" i="11"/>
  <c r="L235" i="11"/>
  <c r="M235" i="11" s="1"/>
  <c r="G533" i="11"/>
  <c r="G516" i="11" s="1"/>
  <c r="I533" i="11"/>
  <c r="I516" i="11" s="1"/>
  <c r="L552" i="11"/>
  <c r="M552" i="11" s="1"/>
  <c r="I541" i="11"/>
  <c r="I547" i="11" s="1"/>
  <c r="K541" i="11"/>
  <c r="K547" i="11" s="1"/>
  <c r="O541" i="11"/>
  <c r="S541" i="11"/>
  <c r="S547" i="11" s="1"/>
  <c r="H542" i="11"/>
  <c r="H525" i="11" s="1"/>
  <c r="J542" i="11"/>
  <c r="J525" i="11" s="1"/>
  <c r="N542" i="11"/>
  <c r="N525" i="11" s="1"/>
  <c r="R542" i="11"/>
  <c r="R525" i="11" s="1"/>
  <c r="V533" i="11"/>
  <c r="V516" i="11" s="1"/>
  <c r="J537" i="11"/>
  <c r="J539" i="11" s="1"/>
  <c r="R630" i="11"/>
  <c r="I638" i="11"/>
  <c r="O638" i="11"/>
  <c r="S638" i="11"/>
  <c r="S637" i="11" s="1"/>
  <c r="V640" i="11"/>
  <c r="V546" i="11" s="1"/>
  <c r="V529" i="11" s="1"/>
  <c r="K641" i="11"/>
  <c r="Q641" i="11"/>
  <c r="S641" i="11"/>
  <c r="S630" i="11"/>
  <c r="L498" i="11"/>
  <c r="I474" i="11"/>
  <c r="U606" i="11"/>
  <c r="W606" i="11" s="1"/>
  <c r="L145" i="11"/>
  <c r="M145" i="11" s="1"/>
  <c r="Q217" i="11"/>
  <c r="Q216" i="11" s="1"/>
  <c r="U223" i="11"/>
  <c r="W223" i="11" s="1"/>
  <c r="U225" i="11"/>
  <c r="W225" i="11" s="1"/>
  <c r="U228" i="11"/>
  <c r="W228" i="11" s="1"/>
  <c r="K217" i="11"/>
  <c r="K221" i="11" s="1"/>
  <c r="H480" i="11"/>
  <c r="H533" i="11"/>
  <c r="H516" i="11" s="1"/>
  <c r="J533" i="11"/>
  <c r="J516" i="11" s="1"/>
  <c r="N533" i="11"/>
  <c r="N516" i="11" s="1"/>
  <c r="R533" i="11"/>
  <c r="R516" i="11" s="1"/>
  <c r="H540" i="11"/>
  <c r="H523" i="11" s="1"/>
  <c r="J540" i="11"/>
  <c r="J523" i="11" s="1"/>
  <c r="T557" i="11"/>
  <c r="R540" i="11"/>
  <c r="R523" i="11" s="1"/>
  <c r="H541" i="11"/>
  <c r="H547" i="11" s="1"/>
  <c r="H560" i="11"/>
  <c r="F545" i="11"/>
  <c r="H545" i="11"/>
  <c r="H528" i="11" s="1"/>
  <c r="J545" i="11"/>
  <c r="J528" i="11" s="1"/>
  <c r="L573" i="11"/>
  <c r="M573" i="11" s="1"/>
  <c r="J565" i="11"/>
  <c r="S533" i="11"/>
  <c r="S516" i="11" s="1"/>
  <c r="F534" i="11"/>
  <c r="F517" i="11" s="1"/>
  <c r="O535" i="11"/>
  <c r="O518" i="11" s="1"/>
  <c r="R641" i="11"/>
  <c r="M653" i="11"/>
  <c r="M652" i="11" s="1"/>
  <c r="U510" i="11"/>
  <c r="W510" i="11" s="1"/>
  <c r="L509" i="11"/>
  <c r="T495" i="11"/>
  <c r="S499" i="11"/>
  <c r="S497" i="11"/>
  <c r="T497" i="11" s="1"/>
  <c r="G101" i="11"/>
  <c r="L100" i="11"/>
  <c r="M100" i="11" s="1"/>
  <c r="T279" i="11"/>
  <c r="U279" i="11" s="1"/>
  <c r="T403" i="11"/>
  <c r="V235" i="11"/>
  <c r="V231" i="11"/>
  <c r="V201" i="11"/>
  <c r="U95" i="11"/>
  <c r="W95" i="11" s="1"/>
  <c r="U139" i="11"/>
  <c r="W139" i="11" s="1"/>
  <c r="Q167" i="11"/>
  <c r="S167" i="11"/>
  <c r="S166" i="11" s="1"/>
  <c r="F251" i="11"/>
  <c r="F252" i="11" s="1"/>
  <c r="H251" i="11"/>
  <c r="J251" i="11"/>
  <c r="N251" i="11"/>
  <c r="R251" i="11"/>
  <c r="V273" i="11"/>
  <c r="U276" i="11"/>
  <c r="W276" i="11" s="1"/>
  <c r="T304" i="11"/>
  <c r="T303" i="11" s="1"/>
  <c r="U305" i="11"/>
  <c r="W305" i="11" s="1"/>
  <c r="S309" i="11"/>
  <c r="S264" i="11" s="1"/>
  <c r="S268" i="11" s="1"/>
  <c r="Q377" i="11"/>
  <c r="L398" i="11"/>
  <c r="U400" i="11"/>
  <c r="W400" i="11" s="1"/>
  <c r="U401" i="11"/>
  <c r="W401" i="11" s="1"/>
  <c r="L406" i="11"/>
  <c r="M406" i="11" s="1"/>
  <c r="U426" i="11"/>
  <c r="U427" i="11"/>
  <c r="U428" i="11"/>
  <c r="T471" i="11"/>
  <c r="N480" i="11"/>
  <c r="V478" i="11"/>
  <c r="L550" i="11"/>
  <c r="M550" i="11" s="1"/>
  <c r="O533" i="11"/>
  <c r="O516" i="11" s="1"/>
  <c r="H534" i="11"/>
  <c r="H517" i="11" s="1"/>
  <c r="J534" i="11"/>
  <c r="J517" i="11" s="1"/>
  <c r="N534" i="11"/>
  <c r="N517" i="11" s="1"/>
  <c r="I535" i="11"/>
  <c r="I518" i="11" s="1"/>
  <c r="K535" i="11"/>
  <c r="K518" i="11" s="1"/>
  <c r="L557" i="11"/>
  <c r="O540" i="11"/>
  <c r="O523" i="11" s="1"/>
  <c r="Q540" i="11"/>
  <c r="Q523" i="11" s="1"/>
  <c r="S540" i="11"/>
  <c r="S523" i="11" s="1"/>
  <c r="G545" i="11"/>
  <c r="G528" i="11" s="1"/>
  <c r="I545" i="11"/>
  <c r="I528" i="11" s="1"/>
  <c r="K545" i="11"/>
  <c r="K528" i="11" s="1"/>
  <c r="O545" i="11"/>
  <c r="O528" i="11" s="1"/>
  <c r="Q545" i="11"/>
  <c r="Q528" i="11" s="1"/>
  <c r="S545" i="11"/>
  <c r="S528" i="11" s="1"/>
  <c r="R553" i="11"/>
  <c r="T609" i="11"/>
  <c r="U609" i="11" s="1"/>
  <c r="W609" i="11" s="1"/>
  <c r="L636" i="11"/>
  <c r="M636" i="11" s="1"/>
  <c r="V677" i="11"/>
  <c r="K630" i="11"/>
  <c r="V639" i="11"/>
  <c r="L686" i="11"/>
  <c r="M686" i="11" s="1"/>
  <c r="L708" i="11"/>
  <c r="M708" i="11" s="1"/>
  <c r="M707" i="11" s="1"/>
  <c r="N717" i="11"/>
  <c r="R717" i="11"/>
  <c r="N482" i="11"/>
  <c r="R479" i="11"/>
  <c r="T472" i="11"/>
  <c r="U472" i="11" s="1"/>
  <c r="V509" i="11"/>
  <c r="V513" i="11"/>
  <c r="U93" i="11"/>
  <c r="W93" i="11" s="1"/>
  <c r="H146" i="11"/>
  <c r="N146" i="11"/>
  <c r="R146" i="11"/>
  <c r="L164" i="11"/>
  <c r="M164" i="11" s="1"/>
  <c r="T168" i="11"/>
  <c r="O172" i="11"/>
  <c r="O171" i="11" s="1"/>
  <c r="U180" i="11"/>
  <c r="W180" i="11" s="1"/>
  <c r="K236" i="11"/>
  <c r="O236" i="11"/>
  <c r="Q236" i="11"/>
  <c r="L242" i="11"/>
  <c r="M242" i="11" s="1"/>
  <c r="M241" i="11" s="1"/>
  <c r="O251" i="11"/>
  <c r="Q251" i="11"/>
  <c r="T250" i="11"/>
  <c r="U250" i="11" s="1"/>
  <c r="W250" i="11" s="1"/>
  <c r="U364" i="11"/>
  <c r="U432" i="11"/>
  <c r="I439" i="11"/>
  <c r="T460" i="11"/>
  <c r="T459" i="11" s="1"/>
  <c r="L468" i="11"/>
  <c r="M468" i="11" s="1"/>
  <c r="L471" i="11"/>
  <c r="M471" i="11" s="1"/>
  <c r="L476" i="11"/>
  <c r="M476" i="11" s="1"/>
  <c r="T476" i="11"/>
  <c r="K475" i="11"/>
  <c r="K474" i="11" s="1"/>
  <c r="O475" i="11"/>
  <c r="O474" i="11" s="1"/>
  <c r="Q475" i="11"/>
  <c r="Q474" i="11" s="1"/>
  <c r="S475" i="11"/>
  <c r="S474" i="11" s="1"/>
  <c r="R483" i="11"/>
  <c r="R484" i="11" s="1"/>
  <c r="V504" i="11"/>
  <c r="F514" i="11"/>
  <c r="F515" i="11" s="1"/>
  <c r="G515" i="11" s="1"/>
  <c r="H515" i="11" s="1"/>
  <c r="I515" i="11" s="1"/>
  <c r="H512" i="11"/>
  <c r="O553" i="11"/>
  <c r="Q553" i="11"/>
  <c r="S553" i="11"/>
  <c r="V559" i="11"/>
  <c r="L628" i="11"/>
  <c r="M628" i="11" s="1"/>
  <c r="L634" i="11"/>
  <c r="M634" i="11" s="1"/>
  <c r="L639" i="11"/>
  <c r="M639" i="11" s="1"/>
  <c r="T639" i="11"/>
  <c r="V647" i="11"/>
  <c r="G630" i="11"/>
  <c r="I630" i="11"/>
  <c r="R657" i="11"/>
  <c r="H641" i="11"/>
  <c r="J641" i="11"/>
  <c r="T656" i="11"/>
  <c r="U675" i="11"/>
  <c r="W675" i="11" s="1"/>
  <c r="U676" i="11"/>
  <c r="T678" i="11"/>
  <c r="T677" i="11" s="1"/>
  <c r="K717" i="11"/>
  <c r="O717" i="11"/>
  <c r="Q717" i="11"/>
  <c r="S717" i="11"/>
  <c r="T464" i="11"/>
  <c r="U465" i="11"/>
  <c r="W465" i="11" s="1"/>
  <c r="G102" i="11"/>
  <c r="H102" i="11" s="1"/>
  <c r="I102" i="11" s="1"/>
  <c r="J102" i="11" s="1"/>
  <c r="K102" i="11" s="1"/>
  <c r="N102" i="11" s="1"/>
  <c r="O102" i="11" s="1"/>
  <c r="T137" i="11"/>
  <c r="U138" i="11"/>
  <c r="W138" i="11" s="1"/>
  <c r="L163" i="11"/>
  <c r="M163" i="11" s="1"/>
  <c r="L165" i="11"/>
  <c r="M165" i="11" s="1"/>
  <c r="V181" i="11"/>
  <c r="T209" i="11"/>
  <c r="L678" i="11"/>
  <c r="U704" i="11"/>
  <c r="U705" i="11"/>
  <c r="U244" i="11"/>
  <c r="W244" i="11" s="1"/>
  <c r="U248" i="11"/>
  <c r="W248" i="11" s="1"/>
  <c r="F283" i="11"/>
  <c r="F284" i="11" s="1"/>
  <c r="H283" i="11"/>
  <c r="J283" i="11"/>
  <c r="N283" i="11"/>
  <c r="G313" i="11"/>
  <c r="G314" i="11" s="1"/>
  <c r="H314" i="11" s="1"/>
  <c r="Q313" i="11"/>
  <c r="U369" i="11"/>
  <c r="W369" i="11" s="1"/>
  <c r="U404" i="11"/>
  <c r="L430" i="11"/>
  <c r="O439" i="11"/>
  <c r="U436" i="11"/>
  <c r="L438" i="11"/>
  <c r="M438" i="11" s="1"/>
  <c r="J439" i="11"/>
  <c r="T513" i="11"/>
  <c r="U513" i="11" s="1"/>
  <c r="U569" i="11"/>
  <c r="U650" i="11"/>
  <c r="W432" i="11"/>
  <c r="T467" i="11"/>
  <c r="V652" i="11"/>
  <c r="V656" i="11"/>
  <c r="V641" i="11" s="1"/>
  <c r="V638" i="11"/>
  <c r="O220" i="11"/>
  <c r="Q220" i="11"/>
  <c r="N439" i="11"/>
  <c r="H469" i="11"/>
  <c r="T473" i="11"/>
  <c r="R514" i="11"/>
  <c r="S483" i="11"/>
  <c r="L551" i="11"/>
  <c r="M551" i="11" s="1"/>
  <c r="F610" i="11"/>
  <c r="H610" i="11"/>
  <c r="S535" i="11"/>
  <c r="S518" i="11" s="1"/>
  <c r="T636" i="11"/>
  <c r="T648" i="11"/>
  <c r="T647" i="11" s="1"/>
  <c r="U649" i="11"/>
  <c r="U651" i="11"/>
  <c r="Q640" i="11"/>
  <c r="U654" i="11"/>
  <c r="W654" i="11" s="1"/>
  <c r="U681" i="11"/>
  <c r="E526" i="11"/>
  <c r="U133" i="11"/>
  <c r="U134" i="11"/>
  <c r="N144" i="11"/>
  <c r="N69" i="11" s="1"/>
  <c r="E171" i="11"/>
  <c r="I167" i="11"/>
  <c r="I166" i="11" s="1"/>
  <c r="K167" i="11"/>
  <c r="K166" i="11" s="1"/>
  <c r="O167" i="11"/>
  <c r="U184" i="11"/>
  <c r="W184" i="11" s="1"/>
  <c r="S187" i="11"/>
  <c r="S172" i="11" s="1"/>
  <c r="S176" i="11" s="1"/>
  <c r="F191" i="11"/>
  <c r="F192" i="11" s="1"/>
  <c r="H191" i="11"/>
  <c r="J191" i="11"/>
  <c r="N191" i="11"/>
  <c r="R191" i="11"/>
  <c r="U188" i="11"/>
  <c r="W188" i="11" s="1"/>
  <c r="T197" i="11"/>
  <c r="F206" i="11"/>
  <c r="F207" i="11" s="1"/>
  <c r="G207" i="11" s="1"/>
  <c r="H206" i="11"/>
  <c r="J206" i="11"/>
  <c r="N206" i="11"/>
  <c r="R206" i="11"/>
  <c r="L209" i="11"/>
  <c r="M209" i="11" s="1"/>
  <c r="L210" i="11"/>
  <c r="M210" i="11" s="1"/>
  <c r="T210" i="11"/>
  <c r="L215" i="11"/>
  <c r="M215" i="11" s="1"/>
  <c r="N212" i="11"/>
  <c r="R212" i="11"/>
  <c r="R211" i="11" s="1"/>
  <c r="V212" i="11"/>
  <c r="V211" i="11" s="1"/>
  <c r="U238" i="11"/>
  <c r="W238" i="11" s="1"/>
  <c r="U240" i="11"/>
  <c r="U245" i="11"/>
  <c r="W245" i="11" s="1"/>
  <c r="G251" i="11"/>
  <c r="I251" i="11"/>
  <c r="K251" i="11"/>
  <c r="U275" i="11"/>
  <c r="W275" i="11" s="1"/>
  <c r="G283" i="11"/>
  <c r="G284" i="11" s="1"/>
  <c r="I283" i="11"/>
  <c r="K283" i="11"/>
  <c r="Q283" i="11"/>
  <c r="T282" i="11"/>
  <c r="U282" i="11" s="1"/>
  <c r="V303" i="11"/>
  <c r="U365" i="11"/>
  <c r="U394" i="11"/>
  <c r="W394" i="11" s="1"/>
  <c r="U396" i="11"/>
  <c r="I437" i="11"/>
  <c r="O437" i="11"/>
  <c r="O422" i="11" s="1"/>
  <c r="G474" i="11"/>
  <c r="N475" i="11"/>
  <c r="N474" i="11" s="1"/>
  <c r="Q533" i="11"/>
  <c r="Q516" i="11" s="1"/>
  <c r="G534" i="11"/>
  <c r="G517" i="11" s="1"/>
  <c r="I534" i="11"/>
  <c r="I517" i="11" s="1"/>
  <c r="K534" i="11"/>
  <c r="K517" i="11" s="1"/>
  <c r="V540" i="11"/>
  <c r="V523" i="11" s="1"/>
  <c r="I637" i="11"/>
  <c r="R545" i="11"/>
  <c r="R528" i="11" s="1"/>
  <c r="H537" i="11"/>
  <c r="H539" i="11" s="1"/>
  <c r="Q630" i="11"/>
  <c r="I641" i="11"/>
  <c r="O641" i="11"/>
  <c r="U709" i="11"/>
  <c r="W709" i="11" s="1"/>
  <c r="U468" i="9"/>
  <c r="W468" i="9" s="1"/>
  <c r="U250" i="9"/>
  <c r="W250" i="9" s="1"/>
  <c r="R217" i="9"/>
  <c r="R50" i="9" s="1"/>
  <c r="U432" i="9"/>
  <c r="W432" i="9" s="1"/>
  <c r="V518" i="9"/>
  <c r="G212" i="9"/>
  <c r="I212" i="9"/>
  <c r="I211" i="9" s="1"/>
  <c r="K212" i="9"/>
  <c r="S217" i="9"/>
  <c r="R20" i="9"/>
  <c r="R174" i="9"/>
  <c r="T205" i="9"/>
  <c r="Q217" i="9"/>
  <c r="Q216" i="9" s="1"/>
  <c r="H212" i="9"/>
  <c r="H211" i="9" s="1"/>
  <c r="J212" i="9"/>
  <c r="V215" i="9"/>
  <c r="L460" i="9"/>
  <c r="L459" i="9" s="1"/>
  <c r="G553" i="9"/>
  <c r="K553" i="9"/>
  <c r="Q553" i="9"/>
  <c r="S553" i="9"/>
  <c r="G191" i="9"/>
  <c r="G192" i="9" s="1"/>
  <c r="H192" i="9" s="1"/>
  <c r="K191" i="9"/>
  <c r="Q191" i="9"/>
  <c r="L190" i="9"/>
  <c r="M190" i="9" s="1"/>
  <c r="L215" i="9"/>
  <c r="M215" i="9" s="1"/>
  <c r="L372" i="9"/>
  <c r="H171" i="9"/>
  <c r="M187" i="9"/>
  <c r="M186" i="9" s="1"/>
  <c r="J211" i="9"/>
  <c r="S542" i="9"/>
  <c r="S525" i="9" s="1"/>
  <c r="U247" i="9"/>
  <c r="W247" i="9" s="1"/>
  <c r="H167" i="9"/>
  <c r="J167" i="9"/>
  <c r="R167" i="9"/>
  <c r="R166" i="9" s="1"/>
  <c r="U184" i="9"/>
  <c r="W184" i="9" s="1"/>
  <c r="G189" i="9"/>
  <c r="H174" i="9"/>
  <c r="N174" i="9"/>
  <c r="T190" i="9"/>
  <c r="V196" i="9"/>
  <c r="Q167" i="9"/>
  <c r="U199" i="9"/>
  <c r="W199" i="9" s="1"/>
  <c r="I172" i="9"/>
  <c r="I171" i="9" s="1"/>
  <c r="L205" i="9"/>
  <c r="M205" i="9" s="1"/>
  <c r="L213" i="9"/>
  <c r="M213" i="9" s="1"/>
  <c r="F217" i="9"/>
  <c r="T218" i="9"/>
  <c r="V226" i="9"/>
  <c r="U229" i="9"/>
  <c r="W229" i="9" s="1"/>
  <c r="V241" i="9"/>
  <c r="U492" i="9"/>
  <c r="W492" i="9" s="1"/>
  <c r="H530" i="9"/>
  <c r="K542" i="9"/>
  <c r="K525" i="9" s="1"/>
  <c r="O475" i="9"/>
  <c r="O474" i="9" s="1"/>
  <c r="Q475" i="9"/>
  <c r="Q474" i="9" s="1"/>
  <c r="T490" i="9"/>
  <c r="T489" i="9" s="1"/>
  <c r="N475" i="9"/>
  <c r="G533" i="9"/>
  <c r="G516" i="9" s="1"/>
  <c r="K533" i="9"/>
  <c r="K516" i="9" s="1"/>
  <c r="Q533" i="9"/>
  <c r="Q516" i="9" s="1"/>
  <c r="F534" i="9"/>
  <c r="F517" i="9" s="1"/>
  <c r="J534" i="9"/>
  <c r="J517" i="9" s="1"/>
  <c r="N534" i="9"/>
  <c r="N517" i="9" s="1"/>
  <c r="R534" i="9"/>
  <c r="R517" i="9" s="1"/>
  <c r="G535" i="9"/>
  <c r="G518" i="9" s="1"/>
  <c r="O535" i="9"/>
  <c r="O518" i="9" s="1"/>
  <c r="S535" i="9"/>
  <c r="S518" i="9" s="1"/>
  <c r="H477" i="9"/>
  <c r="L550" i="9"/>
  <c r="M550" i="9" s="1"/>
  <c r="L552" i="9"/>
  <c r="M552" i="9" s="1"/>
  <c r="L557" i="9"/>
  <c r="Q530" i="9"/>
  <c r="L559" i="9"/>
  <c r="M559" i="9" s="1"/>
  <c r="H542" i="9"/>
  <c r="H525" i="9" s="1"/>
  <c r="J542" i="9"/>
  <c r="N542" i="9"/>
  <c r="N525" i="9" s="1"/>
  <c r="R542" i="9"/>
  <c r="R525" i="9" s="1"/>
  <c r="L562" i="9"/>
  <c r="M562" i="9" s="1"/>
  <c r="J553" i="9"/>
  <c r="R553" i="9"/>
  <c r="G542" i="9"/>
  <c r="G525" i="9" s="1"/>
  <c r="O542" i="9"/>
  <c r="O525" i="9" s="1"/>
  <c r="U235" i="9"/>
  <c r="L246" i="9"/>
  <c r="I484" i="9"/>
  <c r="I500" i="9"/>
  <c r="J500" i="9" s="1"/>
  <c r="U98" i="9"/>
  <c r="W98" i="9" s="1"/>
  <c r="U134" i="9"/>
  <c r="U135" i="9"/>
  <c r="L163" i="9"/>
  <c r="M163" i="9" s="1"/>
  <c r="R175" i="9"/>
  <c r="R176" i="9" s="1"/>
  <c r="L476" i="9"/>
  <c r="M476" i="9" s="1"/>
  <c r="V483" i="9"/>
  <c r="G477" i="9"/>
  <c r="G483" i="9" s="1"/>
  <c r="G484" i="9" s="1"/>
  <c r="E479" i="9"/>
  <c r="I533" i="9"/>
  <c r="I516" i="9" s="1"/>
  <c r="V534" i="9"/>
  <c r="V517" i="9" s="1"/>
  <c r="I535" i="9"/>
  <c r="I518" i="9" s="1"/>
  <c r="Q535" i="9"/>
  <c r="Q518" i="9" s="1"/>
  <c r="I542" i="9"/>
  <c r="I525" i="9" s="1"/>
  <c r="Q542" i="9"/>
  <c r="Q525" i="9" s="1"/>
  <c r="W463" i="9"/>
  <c r="J516" i="9"/>
  <c r="L168" i="9"/>
  <c r="M168" i="9" s="1"/>
  <c r="T170" i="9"/>
  <c r="G167" i="9"/>
  <c r="G166" i="9" s="1"/>
  <c r="I167" i="9"/>
  <c r="I166" i="9" s="1"/>
  <c r="K167" i="9"/>
  <c r="K166" i="9" s="1"/>
  <c r="O167" i="9"/>
  <c r="S167" i="9"/>
  <c r="R236" i="9"/>
  <c r="T242" i="9"/>
  <c r="T241" i="9" s="1"/>
  <c r="H251" i="9"/>
  <c r="J251" i="9"/>
  <c r="N251" i="9"/>
  <c r="U248" i="9"/>
  <c r="W248" i="9" s="1"/>
  <c r="U364" i="9"/>
  <c r="U365" i="9"/>
  <c r="O377" i="9"/>
  <c r="Q377" i="9"/>
  <c r="S377" i="9"/>
  <c r="T376" i="9"/>
  <c r="V397" i="9"/>
  <c r="U426" i="9"/>
  <c r="U427" i="9"/>
  <c r="U458" i="9"/>
  <c r="W458" i="9" s="1"/>
  <c r="V475" i="9"/>
  <c r="V474" i="9" s="1"/>
  <c r="F535" i="9"/>
  <c r="F518" i="9" s="1"/>
  <c r="F540" i="9"/>
  <c r="L540" i="9" s="1"/>
  <c r="F542" i="9"/>
  <c r="F525" i="9" s="1"/>
  <c r="L551" i="9"/>
  <c r="M551" i="9" s="1"/>
  <c r="M460" i="9"/>
  <c r="M459" i="9" s="1"/>
  <c r="V231" i="9"/>
  <c r="V235" i="9"/>
  <c r="V220" i="9" s="1"/>
  <c r="V217" i="9"/>
  <c r="V216" i="9" s="1"/>
  <c r="U210" i="9"/>
  <c r="W210" i="9" s="1"/>
  <c r="U93" i="9"/>
  <c r="J146" i="9"/>
  <c r="L164" i="9"/>
  <c r="M164" i="9" s="1"/>
  <c r="S175" i="9"/>
  <c r="L173" i="9"/>
  <c r="M173" i="9" s="1"/>
  <c r="T173" i="9"/>
  <c r="U179" i="9"/>
  <c r="W179" i="9" s="1"/>
  <c r="U180" i="9"/>
  <c r="W180" i="9" s="1"/>
  <c r="J217" i="9"/>
  <c r="J216" i="9" s="1"/>
  <c r="L218" i="9"/>
  <c r="M218" i="9" s="1"/>
  <c r="L227" i="9"/>
  <c r="R212" i="9"/>
  <c r="R211" i="9" s="1"/>
  <c r="U228" i="9"/>
  <c r="W228" i="9" s="1"/>
  <c r="U239" i="9"/>
  <c r="W239" i="9" s="1"/>
  <c r="U240" i="9"/>
  <c r="W240" i="9" s="1"/>
  <c r="L242" i="9"/>
  <c r="O212" i="9"/>
  <c r="O211" i="9" s="1"/>
  <c r="Q212" i="9"/>
  <c r="Q211" i="9" s="1"/>
  <c r="S212" i="9"/>
  <c r="U243" i="9"/>
  <c r="W243" i="9" s="1"/>
  <c r="U244" i="9"/>
  <c r="W244" i="9" s="1"/>
  <c r="U370" i="9"/>
  <c r="W370" i="9" s="1"/>
  <c r="T398" i="9"/>
  <c r="T397" i="9" s="1"/>
  <c r="G407" i="9"/>
  <c r="I407" i="9"/>
  <c r="K407" i="9"/>
  <c r="O407" i="9"/>
  <c r="Q407" i="9"/>
  <c r="L406" i="9"/>
  <c r="M406" i="9" s="1"/>
  <c r="T406" i="9"/>
  <c r="O439" i="9"/>
  <c r="F469" i="9"/>
  <c r="F470" i="9" s="1"/>
  <c r="G470" i="9" s="1"/>
  <c r="J469" i="9"/>
  <c r="U466" i="9"/>
  <c r="L472" i="9"/>
  <c r="M472" i="9" s="1"/>
  <c r="T472" i="9"/>
  <c r="G474" i="9"/>
  <c r="U496" i="9"/>
  <c r="W496" i="9" s="1"/>
  <c r="T498" i="9"/>
  <c r="F219" i="9"/>
  <c r="V201" i="9"/>
  <c r="V205" i="9"/>
  <c r="V172" i="9"/>
  <c r="K497" i="9"/>
  <c r="U165" i="9"/>
  <c r="W165" i="9" s="1"/>
  <c r="E171" i="9"/>
  <c r="G219" i="9"/>
  <c r="I219" i="9"/>
  <c r="O219" i="9"/>
  <c r="Q219" i="9"/>
  <c r="R251" i="9"/>
  <c r="U502" i="9"/>
  <c r="T552" i="9"/>
  <c r="T559" i="9"/>
  <c r="J565" i="9"/>
  <c r="L139" i="9"/>
  <c r="O175" i="9"/>
  <c r="Q175" i="9"/>
  <c r="T182" i="9"/>
  <c r="T181" i="9" s="1"/>
  <c r="K189" i="9"/>
  <c r="L197" i="9"/>
  <c r="T197" i="9"/>
  <c r="U203" i="9"/>
  <c r="W203" i="9" s="1"/>
  <c r="V211" i="9"/>
  <c r="V219" i="9"/>
  <c r="H249" i="9"/>
  <c r="J249" i="9"/>
  <c r="J219" i="9" s="1"/>
  <c r="N249" i="9"/>
  <c r="T249" i="9" s="1"/>
  <c r="M368" i="9"/>
  <c r="M367" i="9" s="1"/>
  <c r="K377" i="9"/>
  <c r="U374" i="9"/>
  <c r="W374" i="9" s="1"/>
  <c r="U394" i="9"/>
  <c r="W394" i="9" s="1"/>
  <c r="U396" i="9"/>
  <c r="L398" i="9"/>
  <c r="U457" i="9"/>
  <c r="W457" i="9" s="1"/>
  <c r="U461" i="9"/>
  <c r="U462" i="9"/>
  <c r="W462" i="9" s="1"/>
  <c r="L471" i="9"/>
  <c r="M471" i="9" s="1"/>
  <c r="T471" i="9"/>
  <c r="T477" i="9"/>
  <c r="L481" i="9"/>
  <c r="M481" i="9" s="1"/>
  <c r="T481" i="9"/>
  <c r="U486" i="9"/>
  <c r="U487" i="9"/>
  <c r="U488" i="9"/>
  <c r="W488" i="9" s="1"/>
  <c r="I212" i="8"/>
  <c r="I211" i="8" s="1"/>
  <c r="E543" i="8"/>
  <c r="V570" i="8"/>
  <c r="G219" i="8"/>
  <c r="I174" i="8"/>
  <c r="S219" i="8"/>
  <c r="G565" i="8"/>
  <c r="N482" i="8"/>
  <c r="U458" i="8"/>
  <c r="W458" i="8" s="1"/>
  <c r="L481" i="8"/>
  <c r="M481" i="8" s="1"/>
  <c r="U501" i="8"/>
  <c r="V579" i="8"/>
  <c r="V560" i="8"/>
  <c r="V575" i="8"/>
  <c r="V212" i="8"/>
  <c r="V211" i="8" s="1"/>
  <c r="U396" i="8"/>
  <c r="W396" i="8" s="1"/>
  <c r="J20" i="8"/>
  <c r="L579" i="8"/>
  <c r="M579" i="8" s="1"/>
  <c r="T579" i="8"/>
  <c r="U602" i="8"/>
  <c r="W602" i="8" s="1"/>
  <c r="U604" i="8"/>
  <c r="W604" i="8" s="1"/>
  <c r="G630" i="8"/>
  <c r="N535" i="8"/>
  <c r="N518" i="8" s="1"/>
  <c r="I545" i="8"/>
  <c r="I528" i="8" s="1"/>
  <c r="I20" i="8" s="1"/>
  <c r="L144" i="8"/>
  <c r="M144" i="8" s="1"/>
  <c r="U438" i="8"/>
  <c r="V205" i="8"/>
  <c r="M510" i="8"/>
  <c r="M509" i="8" s="1"/>
  <c r="V509" i="8"/>
  <c r="V478" i="8"/>
  <c r="T551" i="8"/>
  <c r="J553" i="8"/>
  <c r="V546" i="8"/>
  <c r="V529" i="8" s="1"/>
  <c r="M606" i="8"/>
  <c r="M605" i="8" s="1"/>
  <c r="I547" i="8"/>
  <c r="O524" i="8"/>
  <c r="O530" i="8" s="1"/>
  <c r="G560" i="8"/>
  <c r="M559" i="8"/>
  <c r="L375" i="8"/>
  <c r="M375" i="8" s="1"/>
  <c r="S101" i="8"/>
  <c r="S99" i="8"/>
  <c r="U88" i="8"/>
  <c r="V170" i="8"/>
  <c r="V48" i="8" s="1"/>
  <c r="F191" i="8"/>
  <c r="F192" i="8" s="1"/>
  <c r="H191" i="8"/>
  <c r="J191" i="8"/>
  <c r="V174" i="8"/>
  <c r="G206" i="8"/>
  <c r="K206" i="8"/>
  <c r="O206" i="8"/>
  <c r="T208" i="8"/>
  <c r="G212" i="8"/>
  <c r="K212" i="8"/>
  <c r="K211" i="8" s="1"/>
  <c r="O212" i="8"/>
  <c r="S212" i="8"/>
  <c r="S211" i="8" s="1"/>
  <c r="F482" i="8"/>
  <c r="P560" i="8"/>
  <c r="G545" i="8"/>
  <c r="G528" i="8" s="1"/>
  <c r="G20" i="8" s="1"/>
  <c r="K545" i="8"/>
  <c r="K528" i="8" s="1"/>
  <c r="O545" i="8"/>
  <c r="O528" i="8" s="1"/>
  <c r="S545" i="8"/>
  <c r="S528" i="8" s="1"/>
  <c r="S20" i="8" s="1"/>
  <c r="K564" i="8"/>
  <c r="O564" i="8"/>
  <c r="S564" i="8"/>
  <c r="V630" i="8"/>
  <c r="H635" i="8"/>
  <c r="H541" i="8" s="1"/>
  <c r="K638" i="8"/>
  <c r="K544" i="8" s="1"/>
  <c r="V677" i="8"/>
  <c r="T686" i="8"/>
  <c r="T678" i="8"/>
  <c r="T677" i="8" s="1"/>
  <c r="F206" i="8"/>
  <c r="F207" i="8" s="1"/>
  <c r="H206" i="8"/>
  <c r="J206" i="8"/>
  <c r="N206" i="8"/>
  <c r="P206" i="8"/>
  <c r="R206" i="8"/>
  <c r="T209" i="8"/>
  <c r="H236" i="8"/>
  <c r="J236" i="8"/>
  <c r="U244" i="8"/>
  <c r="W244" i="8" s="1"/>
  <c r="K377" i="8"/>
  <c r="O377" i="8"/>
  <c r="U394" i="8"/>
  <c r="W394" i="8" s="1"/>
  <c r="V397" i="8"/>
  <c r="N407" i="8"/>
  <c r="P407" i="8"/>
  <c r="R407" i="8"/>
  <c r="U486" i="8"/>
  <c r="U502" i="8"/>
  <c r="K514" i="8"/>
  <c r="L95" i="8"/>
  <c r="M135" i="8"/>
  <c r="S189" i="8"/>
  <c r="S191" i="8"/>
  <c r="T187" i="8"/>
  <c r="U187" i="8" s="1"/>
  <c r="U133" i="8"/>
  <c r="U143" i="8"/>
  <c r="W143" i="8" s="1"/>
  <c r="T145" i="8"/>
  <c r="U184" i="8"/>
  <c r="U194" i="8"/>
  <c r="W194" i="8" s="1"/>
  <c r="U199" i="8"/>
  <c r="W199" i="8" s="1"/>
  <c r="S202" i="8"/>
  <c r="L205" i="8"/>
  <c r="M205" i="8" s="1"/>
  <c r="T205" i="8"/>
  <c r="L208" i="8"/>
  <c r="M208" i="8" s="1"/>
  <c r="L209" i="8"/>
  <c r="M209" i="8" s="1"/>
  <c r="R220" i="8"/>
  <c r="T406" i="8"/>
  <c r="V429" i="8"/>
  <c r="T471" i="8"/>
  <c r="H499" i="8"/>
  <c r="H500" i="8" s="1"/>
  <c r="I500" i="8" s="1"/>
  <c r="J500" i="8" s="1"/>
  <c r="K500" i="8" s="1"/>
  <c r="P499" i="8"/>
  <c r="R499" i="8"/>
  <c r="U496" i="8"/>
  <c r="W496" i="8" s="1"/>
  <c r="N514" i="8"/>
  <c r="P514" i="8"/>
  <c r="U676" i="8"/>
  <c r="W676" i="8" s="1"/>
  <c r="L678" i="8"/>
  <c r="L686" i="8"/>
  <c r="M686" i="8" s="1"/>
  <c r="G474" i="8"/>
  <c r="V434" i="8"/>
  <c r="V438" i="8"/>
  <c r="W438" i="8" s="1"/>
  <c r="U179" i="8"/>
  <c r="W179" i="8" s="1"/>
  <c r="U180" i="8"/>
  <c r="W180" i="8" s="1"/>
  <c r="V226" i="8"/>
  <c r="G211" i="8"/>
  <c r="U229" i="8"/>
  <c r="W229" i="8" s="1"/>
  <c r="G236" i="8"/>
  <c r="I236" i="8"/>
  <c r="K236" i="8"/>
  <c r="T242" i="8"/>
  <c r="V246" i="8"/>
  <c r="U245" i="8"/>
  <c r="G251" i="8"/>
  <c r="I251" i="8"/>
  <c r="K251" i="8"/>
  <c r="O251" i="8"/>
  <c r="L250" i="8"/>
  <c r="M250" i="8" s="1"/>
  <c r="U364" i="8"/>
  <c r="U365" i="8"/>
  <c r="U366" i="8"/>
  <c r="W366" i="8" s="1"/>
  <c r="V367" i="8"/>
  <c r="G407" i="8"/>
  <c r="I407" i="8"/>
  <c r="L406" i="8"/>
  <c r="M406" i="8" s="1"/>
  <c r="L430" i="8"/>
  <c r="T430" i="8"/>
  <c r="U456" i="8"/>
  <c r="W456" i="8" s="1"/>
  <c r="V459" i="8"/>
  <c r="S473" i="8"/>
  <c r="T473" i="8" s="1"/>
  <c r="U473" i="8" s="1"/>
  <c r="T477" i="8"/>
  <c r="U487" i="8"/>
  <c r="U491" i="8"/>
  <c r="R483" i="8"/>
  <c r="V481" i="8"/>
  <c r="I482" i="8"/>
  <c r="J524" i="8"/>
  <c r="J530" i="8" s="1"/>
  <c r="V530" i="8"/>
  <c r="E527" i="8"/>
  <c r="E19" i="8" s="1"/>
  <c r="L571" i="8"/>
  <c r="U597" i="8"/>
  <c r="U598" i="8"/>
  <c r="L628" i="8"/>
  <c r="M628" i="8" s="1"/>
  <c r="T635" i="8"/>
  <c r="U552" i="8"/>
  <c r="W552" i="8" s="1"/>
  <c r="R482" i="8"/>
  <c r="P174" i="8"/>
  <c r="J631" i="8"/>
  <c r="J630" i="8" s="1"/>
  <c r="L182" i="8"/>
  <c r="F167" i="8"/>
  <c r="T185" i="8"/>
  <c r="S170" i="8"/>
  <c r="G172" i="8"/>
  <c r="G48" i="8" s="1"/>
  <c r="G191" i="8"/>
  <c r="I191" i="8"/>
  <c r="I172" i="8"/>
  <c r="I48" i="8" s="1"/>
  <c r="K191" i="8"/>
  <c r="K172" i="8"/>
  <c r="O191" i="8"/>
  <c r="O172" i="8"/>
  <c r="O189" i="8"/>
  <c r="S565" i="8"/>
  <c r="I565" i="8"/>
  <c r="J174" i="8"/>
  <c r="F174" i="8"/>
  <c r="U98" i="8"/>
  <c r="W98" i="8" s="1"/>
  <c r="U138" i="8"/>
  <c r="U139" i="8"/>
  <c r="P144" i="8"/>
  <c r="R144" i="8"/>
  <c r="T182" i="8"/>
  <c r="S167" i="8"/>
  <c r="F172" i="8"/>
  <c r="H172" i="8"/>
  <c r="J172" i="8"/>
  <c r="J48" i="8" s="1"/>
  <c r="L190" i="8"/>
  <c r="M190" i="8" s="1"/>
  <c r="V187" i="8"/>
  <c r="V167" i="8"/>
  <c r="V26" i="8" s="1"/>
  <c r="N172" i="8"/>
  <c r="N191" i="8"/>
  <c r="P172" i="8"/>
  <c r="P191" i="8"/>
  <c r="R172" i="8"/>
  <c r="R191" i="8"/>
  <c r="R174" i="8"/>
  <c r="N174" i="8"/>
  <c r="H174" i="8"/>
  <c r="V173" i="8"/>
  <c r="T190" i="8"/>
  <c r="T197" i="8"/>
  <c r="T196" i="8" s="1"/>
  <c r="N211" i="8"/>
  <c r="R211" i="8"/>
  <c r="L213" i="8"/>
  <c r="M213" i="8" s="1"/>
  <c r="L214" i="8"/>
  <c r="M214" i="8" s="1"/>
  <c r="F217" i="8"/>
  <c r="F216" i="8" s="1"/>
  <c r="O217" i="8"/>
  <c r="O216" i="8" s="1"/>
  <c r="T218" i="8"/>
  <c r="H234" i="8"/>
  <c r="J234" i="8"/>
  <c r="J219" i="8" s="1"/>
  <c r="O236" i="8"/>
  <c r="P236" i="8"/>
  <c r="L368" i="8"/>
  <c r="T368" i="8"/>
  <c r="N377" i="8"/>
  <c r="R377" i="8"/>
  <c r="U374" i="8"/>
  <c r="W374" i="8" s="1"/>
  <c r="T398" i="8"/>
  <c r="T397" i="8" s="1"/>
  <c r="U399" i="8"/>
  <c r="U400" i="8"/>
  <c r="W400" i="8" s="1"/>
  <c r="F407" i="8"/>
  <c r="F408" i="8" s="1"/>
  <c r="H407" i="8"/>
  <c r="J407" i="8"/>
  <c r="U404" i="8"/>
  <c r="W404" i="8" s="1"/>
  <c r="U436" i="8"/>
  <c r="W436" i="8" s="1"/>
  <c r="T460" i="8"/>
  <c r="T459" i="8" s="1"/>
  <c r="U461" i="8"/>
  <c r="W461" i="8" s="1"/>
  <c r="U462" i="8"/>
  <c r="W462" i="8" s="1"/>
  <c r="F469" i="8"/>
  <c r="F470" i="8" s="1"/>
  <c r="H469" i="8"/>
  <c r="J469" i="8"/>
  <c r="N469" i="8"/>
  <c r="P469" i="8"/>
  <c r="R469" i="8"/>
  <c r="T472" i="8"/>
  <c r="O474" i="8"/>
  <c r="T476" i="8"/>
  <c r="G477" i="8"/>
  <c r="K480" i="8"/>
  <c r="P480" i="8"/>
  <c r="L492" i="8"/>
  <c r="U492" i="8" s="1"/>
  <c r="W492" i="8" s="1"/>
  <c r="O499" i="8"/>
  <c r="N523" i="8"/>
  <c r="T550" i="8"/>
  <c r="T558" i="8"/>
  <c r="N560" i="8"/>
  <c r="T562" i="8"/>
  <c r="U567" i="8"/>
  <c r="U568" i="8"/>
  <c r="U569" i="8"/>
  <c r="W569" i="8" s="1"/>
  <c r="H554" i="8"/>
  <c r="T571" i="8"/>
  <c r="P553" i="8"/>
  <c r="U577" i="8"/>
  <c r="W577" i="8" s="1"/>
  <c r="G564" i="8"/>
  <c r="I564" i="8"/>
  <c r="V600" i="8"/>
  <c r="T609" i="8"/>
  <c r="U609" i="8" s="1"/>
  <c r="W609" i="8" s="1"/>
  <c r="T627" i="8"/>
  <c r="P629" i="8"/>
  <c r="N636" i="8"/>
  <c r="O638" i="8"/>
  <c r="L639" i="8"/>
  <c r="M639" i="8" s="1"/>
  <c r="F641" i="8"/>
  <c r="V647" i="8"/>
  <c r="K657" i="8"/>
  <c r="K642" i="8" s="1"/>
  <c r="O657" i="8"/>
  <c r="O642" i="8" s="1"/>
  <c r="P640" i="8"/>
  <c r="N236" i="8"/>
  <c r="U401" i="8"/>
  <c r="H479" i="8"/>
  <c r="U683" i="19"/>
  <c r="L682" i="19"/>
  <c r="M629" i="19"/>
  <c r="M573" i="19"/>
  <c r="U573" i="19"/>
  <c r="W573" i="19" s="1"/>
  <c r="S407" i="19"/>
  <c r="S405" i="19"/>
  <c r="U294" i="19"/>
  <c r="L293" i="19"/>
  <c r="V235" i="19"/>
  <c r="V231" i="19"/>
  <c r="V190" i="19"/>
  <c r="V186" i="19"/>
  <c r="V172" i="19"/>
  <c r="U297" i="19"/>
  <c r="V638" i="19"/>
  <c r="V652" i="19"/>
  <c r="U653" i="19"/>
  <c r="U652" i="19" s="1"/>
  <c r="L652" i="19"/>
  <c r="M603" i="19"/>
  <c r="U603" i="19"/>
  <c r="T576" i="19"/>
  <c r="S578" i="19"/>
  <c r="S563" i="19" s="1"/>
  <c r="S580" i="19"/>
  <c r="M468" i="19"/>
  <c r="U468" i="19"/>
  <c r="T465" i="19"/>
  <c r="S469" i="19"/>
  <c r="M309" i="19"/>
  <c r="M308" i="19" s="1"/>
  <c r="L246" i="19"/>
  <c r="L189" i="19"/>
  <c r="M189" i="19" s="1"/>
  <c r="U227" i="19"/>
  <c r="R211" i="19"/>
  <c r="V250" i="19"/>
  <c r="T376" i="19"/>
  <c r="F407" i="19"/>
  <c r="F408" i="19" s="1"/>
  <c r="F405" i="19"/>
  <c r="F360" i="19" s="1"/>
  <c r="J407" i="19"/>
  <c r="P407" i="19"/>
  <c r="H530" i="19"/>
  <c r="H531" i="19" s="1"/>
  <c r="K530" i="19"/>
  <c r="Q525" i="19"/>
  <c r="F533" i="19"/>
  <c r="F553" i="19"/>
  <c r="K20" i="19"/>
  <c r="H99" i="19"/>
  <c r="H69" i="19" s="1"/>
  <c r="J101" i="19"/>
  <c r="P99" i="19"/>
  <c r="W98" i="19"/>
  <c r="L145" i="19"/>
  <c r="M145" i="19" s="1"/>
  <c r="T145" i="19"/>
  <c r="T168" i="19"/>
  <c r="U168" i="19" s="1"/>
  <c r="P175" i="19"/>
  <c r="Q172" i="19"/>
  <c r="U183" i="19"/>
  <c r="W183" i="19" s="1"/>
  <c r="O189" i="19"/>
  <c r="Q191" i="19"/>
  <c r="U195" i="19"/>
  <c r="X200" i="19" s="1"/>
  <c r="U203" i="19"/>
  <c r="T205" i="19"/>
  <c r="U205" i="19" s="1"/>
  <c r="L208" i="19"/>
  <c r="M208" i="19" s="1"/>
  <c r="L209" i="19"/>
  <c r="L210" i="19"/>
  <c r="M210" i="19" s="1"/>
  <c r="N212" i="19"/>
  <c r="N211" i="19" s="1"/>
  <c r="L213" i="19"/>
  <c r="M213" i="19" s="1"/>
  <c r="H217" i="19"/>
  <c r="T218" i="19"/>
  <c r="U218" i="19" s="1"/>
  <c r="W218" i="19" s="1"/>
  <c r="I212" i="19"/>
  <c r="I43" i="19" s="1"/>
  <c r="U230" i="19"/>
  <c r="W230" i="19" s="1"/>
  <c r="G234" i="19"/>
  <c r="K234" i="19"/>
  <c r="Q234" i="19"/>
  <c r="Q219" i="19" s="1"/>
  <c r="L235" i="19"/>
  <c r="V241" i="19"/>
  <c r="T242" i="19"/>
  <c r="U245" i="19"/>
  <c r="W245" i="19" s="1"/>
  <c r="U248" i="19"/>
  <c r="W248" i="19" s="1"/>
  <c r="U285" i="19"/>
  <c r="W285" i="19" s="1"/>
  <c r="V288" i="19"/>
  <c r="U305" i="19"/>
  <c r="U306" i="19"/>
  <c r="W306" i="19" s="1"/>
  <c r="L375" i="19"/>
  <c r="M375" i="19" s="1"/>
  <c r="H407" i="19"/>
  <c r="N407" i="19"/>
  <c r="R407" i="19"/>
  <c r="T438" i="19"/>
  <c r="N475" i="19"/>
  <c r="S478" i="19"/>
  <c r="K475" i="19"/>
  <c r="K474" i="19" s="1"/>
  <c r="V403" i="19"/>
  <c r="V397" i="19"/>
  <c r="T433" i="19"/>
  <c r="U433" i="19" s="1"/>
  <c r="W433" i="19" s="1"/>
  <c r="V495" i="19"/>
  <c r="V489" i="19"/>
  <c r="V475" i="19"/>
  <c r="V474" i="19" s="1"/>
  <c r="N499" i="19"/>
  <c r="N480" i="19"/>
  <c r="T533" i="19"/>
  <c r="N516" i="19"/>
  <c r="T534" i="19"/>
  <c r="N517" i="19"/>
  <c r="F534" i="19"/>
  <c r="I553" i="19"/>
  <c r="I535" i="19"/>
  <c r="P553" i="19"/>
  <c r="P535" i="19"/>
  <c r="R553" i="19"/>
  <c r="R535" i="19"/>
  <c r="R518" i="19" s="1"/>
  <c r="G553" i="19"/>
  <c r="U93" i="19"/>
  <c r="U140" i="19"/>
  <c r="U143" i="19"/>
  <c r="W143" i="19" s="1"/>
  <c r="O175" i="19"/>
  <c r="Q175" i="19"/>
  <c r="S175" i="19"/>
  <c r="U188" i="19"/>
  <c r="W188" i="19" s="1"/>
  <c r="U223" i="19"/>
  <c r="W223" i="19" s="1"/>
  <c r="U225" i="19"/>
  <c r="U233" i="19"/>
  <c r="U243" i="19"/>
  <c r="U286" i="19"/>
  <c r="W286" i="19" s="1"/>
  <c r="J499" i="19"/>
  <c r="U291" i="19"/>
  <c r="F298" i="19"/>
  <c r="F299" i="19" s="1"/>
  <c r="G299" i="19" s="1"/>
  <c r="J298" i="19"/>
  <c r="P298" i="19"/>
  <c r="U295" i="19"/>
  <c r="X295" i="19" s="1"/>
  <c r="U301" i="19"/>
  <c r="W301" i="19" s="1"/>
  <c r="U302" i="19"/>
  <c r="T304" i="19"/>
  <c r="U307" i="19"/>
  <c r="W307" i="19" s="1"/>
  <c r="U310" i="19"/>
  <c r="W310" i="19" s="1"/>
  <c r="R20" i="19"/>
  <c r="U374" i="19"/>
  <c r="W374" i="19" s="1"/>
  <c r="U395" i="19"/>
  <c r="W395" i="19" s="1"/>
  <c r="T398" i="19"/>
  <c r="U426" i="19"/>
  <c r="U431" i="19"/>
  <c r="U436" i="19"/>
  <c r="W436" i="19" s="1"/>
  <c r="U456" i="19"/>
  <c r="W456" i="19" s="1"/>
  <c r="U458" i="19"/>
  <c r="W458" i="19" s="1"/>
  <c r="L460" i="19"/>
  <c r="F469" i="19"/>
  <c r="F470" i="19" s="1"/>
  <c r="H469" i="19"/>
  <c r="R469" i="19"/>
  <c r="T476" i="19"/>
  <c r="V483" i="19"/>
  <c r="E479" i="19"/>
  <c r="L478" i="19"/>
  <c r="M478" i="19" s="1"/>
  <c r="T481" i="19"/>
  <c r="U487" i="19"/>
  <c r="U491" i="19"/>
  <c r="N514" i="19"/>
  <c r="P514" i="19"/>
  <c r="E543" i="19"/>
  <c r="T545" i="19"/>
  <c r="N553" i="19"/>
  <c r="H553" i="19"/>
  <c r="Q553" i="19"/>
  <c r="P578" i="19"/>
  <c r="P563" i="19" s="1"/>
  <c r="G630" i="19"/>
  <c r="S630" i="19"/>
  <c r="J630" i="19"/>
  <c r="H546" i="19"/>
  <c r="H529" i="19" s="1"/>
  <c r="U654" i="19"/>
  <c r="W654" i="19" s="1"/>
  <c r="U572" i="19"/>
  <c r="W572" i="19" s="1"/>
  <c r="N580" i="19"/>
  <c r="R580" i="19"/>
  <c r="U602" i="19"/>
  <c r="W602" i="19" s="1"/>
  <c r="T627" i="19"/>
  <c r="U627" i="19" s="1"/>
  <c r="W627" i="19" s="1"/>
  <c r="U644" i="19"/>
  <c r="W644" i="19" s="1"/>
  <c r="U646" i="19"/>
  <c r="U650" i="19"/>
  <c r="W650" i="19" s="1"/>
  <c r="U674" i="19"/>
  <c r="W674" i="19" s="1"/>
  <c r="V677" i="19"/>
  <c r="T678" i="19"/>
  <c r="U681" i="19"/>
  <c r="U684" i="19"/>
  <c r="W684" i="19" s="1"/>
  <c r="U704" i="19"/>
  <c r="W704" i="19" s="1"/>
  <c r="U706" i="19"/>
  <c r="W706" i="19" s="1"/>
  <c r="L708" i="19"/>
  <c r="U709" i="19"/>
  <c r="W709" i="19" s="1"/>
  <c r="U714" i="19"/>
  <c r="W714" i="19" s="1"/>
  <c r="N166" i="18"/>
  <c r="W240" i="18"/>
  <c r="M655" i="18"/>
  <c r="U655" i="18"/>
  <c r="W655" i="18" s="1"/>
  <c r="W93" i="18"/>
  <c r="X188" i="18"/>
  <c r="U185" i="18"/>
  <c r="T186" i="18"/>
  <c r="U245" i="18"/>
  <c r="W245" i="18" s="1"/>
  <c r="K283" i="18"/>
  <c r="K281" i="18"/>
  <c r="U187" i="18"/>
  <c r="U170" i="18"/>
  <c r="K166" i="18"/>
  <c r="F211" i="18"/>
  <c r="J211" i="18"/>
  <c r="F216" i="18"/>
  <c r="S211" i="18"/>
  <c r="L241" i="18"/>
  <c r="M274" i="18"/>
  <c r="M273" i="18" s="1"/>
  <c r="M246" i="18"/>
  <c r="U202" i="18"/>
  <c r="S67" i="18"/>
  <c r="K99" i="18"/>
  <c r="T165" i="18"/>
  <c r="U165" i="18" s="1"/>
  <c r="S166" i="18"/>
  <c r="U178" i="18"/>
  <c r="W178" i="18" s="1"/>
  <c r="F167" i="18"/>
  <c r="F43" i="18" s="1"/>
  <c r="H167" i="18"/>
  <c r="H166" i="18" s="1"/>
  <c r="F189" i="18"/>
  <c r="F174" i="18" s="1"/>
  <c r="T190" i="18"/>
  <c r="U190" i="18" s="1"/>
  <c r="W190" i="18" s="1"/>
  <c r="G167" i="18"/>
  <c r="T197" i="18"/>
  <c r="T196" i="18" s="1"/>
  <c r="V201" i="18"/>
  <c r="K206" i="18"/>
  <c r="T209" i="18"/>
  <c r="U209" i="18" s="1"/>
  <c r="I211" i="18"/>
  <c r="K211" i="18"/>
  <c r="N220" i="18"/>
  <c r="R220" i="18"/>
  <c r="R221" i="18" s="1"/>
  <c r="E216" i="18"/>
  <c r="H216" i="18"/>
  <c r="U225" i="18"/>
  <c r="W225" i="18" s="1"/>
  <c r="V231" i="18"/>
  <c r="U233" i="18"/>
  <c r="R251" i="18"/>
  <c r="V303" i="18"/>
  <c r="U271" i="18"/>
  <c r="W271" i="18" s="1"/>
  <c r="T274" i="18"/>
  <c r="U276" i="18"/>
  <c r="U301" i="18"/>
  <c r="W301" i="18" s="1"/>
  <c r="L304" i="18"/>
  <c r="G313" i="18"/>
  <c r="G314" i="18" s="1"/>
  <c r="H314" i="18" s="1"/>
  <c r="I314" i="18" s="1"/>
  <c r="J314" i="18" s="1"/>
  <c r="K314" i="18" s="1"/>
  <c r="N314" i="18" s="1"/>
  <c r="U310" i="18"/>
  <c r="W310" i="18" s="1"/>
  <c r="U399" i="18"/>
  <c r="S403" i="18"/>
  <c r="S358" i="18" s="1"/>
  <c r="S362" i="18" s="1"/>
  <c r="I405" i="18"/>
  <c r="I360" i="18" s="1"/>
  <c r="K405" i="18"/>
  <c r="K360" i="18" s="1"/>
  <c r="T430" i="18"/>
  <c r="T438" i="18"/>
  <c r="U457" i="18"/>
  <c r="W457" i="18" s="1"/>
  <c r="U458" i="18"/>
  <c r="T460" i="18"/>
  <c r="U463" i="18"/>
  <c r="I469" i="18"/>
  <c r="U466" i="18"/>
  <c r="W466" i="18" s="1"/>
  <c r="T471" i="18"/>
  <c r="L476" i="18"/>
  <c r="K479" i="18"/>
  <c r="T481" i="18"/>
  <c r="T490" i="18"/>
  <c r="S475" i="18"/>
  <c r="K514" i="18"/>
  <c r="U511" i="18"/>
  <c r="E526" i="18"/>
  <c r="E543" i="18"/>
  <c r="L550" i="18"/>
  <c r="T551" i="18"/>
  <c r="U551" i="18" s="1"/>
  <c r="L552" i="18"/>
  <c r="T562" i="18"/>
  <c r="U577" i="18"/>
  <c r="T609" i="18"/>
  <c r="L627" i="18"/>
  <c r="L628" i="18"/>
  <c r="F630" i="18"/>
  <c r="N630" i="18"/>
  <c r="T639" i="18"/>
  <c r="U645" i="18"/>
  <c r="W645" i="18" s="1"/>
  <c r="U646" i="18"/>
  <c r="U649" i="18"/>
  <c r="W649" i="18" s="1"/>
  <c r="U650" i="18"/>
  <c r="F657" i="18"/>
  <c r="H657" i="18"/>
  <c r="J657" i="18"/>
  <c r="N657" i="18"/>
  <c r="R657" i="18"/>
  <c r="R642" i="18" s="1"/>
  <c r="T656" i="18"/>
  <c r="U656" i="18" s="1"/>
  <c r="W656" i="18" s="1"/>
  <c r="V677" i="18"/>
  <c r="T678" i="18"/>
  <c r="U679" i="18"/>
  <c r="W679" i="18" s="1"/>
  <c r="U681" i="18"/>
  <c r="U682" i="18" s="1"/>
  <c r="L686" i="18"/>
  <c r="U705" i="18"/>
  <c r="W705" i="18" s="1"/>
  <c r="L708" i="18"/>
  <c r="U709" i="18"/>
  <c r="W709" i="18" s="1"/>
  <c r="U711" i="18"/>
  <c r="U714" i="18"/>
  <c r="W714" i="18" s="1"/>
  <c r="R439" i="18"/>
  <c r="U461" i="18"/>
  <c r="W461" i="18" s="1"/>
  <c r="U487" i="18"/>
  <c r="U491" i="18"/>
  <c r="U651" i="18"/>
  <c r="U684" i="18"/>
  <c r="W684" i="18" s="1"/>
  <c r="M472" i="15"/>
  <c r="W183" i="15"/>
  <c r="X188" i="15"/>
  <c r="V201" i="15"/>
  <c r="V172" i="15"/>
  <c r="W202" i="15"/>
  <c r="W201" i="15" s="1"/>
  <c r="V205" i="15"/>
  <c r="T136" i="15"/>
  <c r="I166" i="15"/>
  <c r="K166" i="15"/>
  <c r="L227" i="15"/>
  <c r="F212" i="15"/>
  <c r="I529" i="15"/>
  <c r="V141" i="15"/>
  <c r="H146" i="15"/>
  <c r="T163" i="15"/>
  <c r="U163" i="15" s="1"/>
  <c r="W163" i="15" s="1"/>
  <c r="T168" i="15"/>
  <c r="N175" i="15"/>
  <c r="R175" i="15"/>
  <c r="J172" i="15"/>
  <c r="U178" i="15"/>
  <c r="W178" i="15" s="1"/>
  <c r="J167" i="15"/>
  <c r="T185" i="15"/>
  <c r="J189" i="15"/>
  <c r="J174" i="15" s="1"/>
  <c r="N191" i="15"/>
  <c r="U194" i="15"/>
  <c r="W194" i="15" s="1"/>
  <c r="U199" i="15"/>
  <c r="W199" i="15" s="1"/>
  <c r="F204" i="15"/>
  <c r="H204" i="15"/>
  <c r="J206" i="15"/>
  <c r="U203" i="15"/>
  <c r="N211" i="15"/>
  <c r="T95" i="15"/>
  <c r="U95" i="15" s="1"/>
  <c r="W95" i="15" s="1"/>
  <c r="H219" i="15"/>
  <c r="G192" i="15"/>
  <c r="H192" i="15" s="1"/>
  <c r="I192" i="15" s="1"/>
  <c r="J192" i="15" s="1"/>
  <c r="K192" i="15" s="1"/>
  <c r="U140" i="15"/>
  <c r="O166" i="15"/>
  <c r="Q175" i="15"/>
  <c r="Q176" i="15" s="1"/>
  <c r="Q167" i="15"/>
  <c r="S167" i="15"/>
  <c r="R211" i="15"/>
  <c r="I236" i="15"/>
  <c r="J212" i="15"/>
  <c r="J211" i="15" s="1"/>
  <c r="U248" i="15"/>
  <c r="G251" i="15"/>
  <c r="G252" i="15" s="1"/>
  <c r="U301" i="15"/>
  <c r="W301" i="15" s="1"/>
  <c r="U394" i="15"/>
  <c r="W394" i="15" s="1"/>
  <c r="U456" i="15"/>
  <c r="W456" i="15" s="1"/>
  <c r="H469" i="15"/>
  <c r="R469" i="15"/>
  <c r="G474" i="15"/>
  <c r="U508" i="15"/>
  <c r="U569" i="15"/>
  <c r="Q546" i="15"/>
  <c r="Q529" i="15" s="1"/>
  <c r="U577" i="15"/>
  <c r="W577" i="15" s="1"/>
  <c r="O578" i="15"/>
  <c r="N580" i="15"/>
  <c r="N565" i="15" s="1"/>
  <c r="R564" i="15"/>
  <c r="J630" i="15"/>
  <c r="S630" i="15"/>
  <c r="U675" i="15"/>
  <c r="W675" i="15" s="1"/>
  <c r="U679" i="15"/>
  <c r="W679" i="15" s="1"/>
  <c r="R641" i="15"/>
  <c r="L213" i="15"/>
  <c r="H217" i="15"/>
  <c r="J217" i="15"/>
  <c r="O217" i="15"/>
  <c r="O33" i="15" s="1"/>
  <c r="G211" i="15"/>
  <c r="I211" i="15"/>
  <c r="U228" i="15"/>
  <c r="S232" i="15"/>
  <c r="S236" i="15" s="1"/>
  <c r="F236" i="15"/>
  <c r="F237" i="15" s="1"/>
  <c r="G236" i="15"/>
  <c r="J236" i="15"/>
  <c r="K219" i="15"/>
  <c r="O234" i="15"/>
  <c r="O219" i="15" s="1"/>
  <c r="U233" i="15"/>
  <c r="W233" i="15" s="1"/>
  <c r="V219" i="15"/>
  <c r="O212" i="15"/>
  <c r="O211" i="15" s="1"/>
  <c r="Q212" i="15"/>
  <c r="Q211" i="15" s="1"/>
  <c r="S212" i="15"/>
  <c r="S211" i="15" s="1"/>
  <c r="T247" i="15"/>
  <c r="U247" i="15" s="1"/>
  <c r="I249" i="15"/>
  <c r="L249" i="15" s="1"/>
  <c r="M249" i="15" s="1"/>
  <c r="R251" i="15"/>
  <c r="L274" i="15"/>
  <c r="H283" i="15"/>
  <c r="T282" i="15"/>
  <c r="U282" i="15" s="1"/>
  <c r="U300" i="15"/>
  <c r="W300" i="15" s="1"/>
  <c r="K311" i="15"/>
  <c r="Q313" i="15"/>
  <c r="U395" i="15"/>
  <c r="W395" i="15" s="1"/>
  <c r="U400" i="15"/>
  <c r="W400" i="15" s="1"/>
  <c r="J405" i="15"/>
  <c r="J360" i="15" s="1"/>
  <c r="U404" i="15"/>
  <c r="L406" i="15"/>
  <c r="F439" i="15"/>
  <c r="F440" i="15" s="1"/>
  <c r="J439" i="15"/>
  <c r="N439" i="15"/>
  <c r="R439" i="15"/>
  <c r="U436" i="15"/>
  <c r="F469" i="15"/>
  <c r="F470" i="15" s="1"/>
  <c r="G470" i="15" s="1"/>
  <c r="L473" i="15"/>
  <c r="L478" i="15"/>
  <c r="M478" i="15" s="1"/>
  <c r="R474" i="15"/>
  <c r="U492" i="15"/>
  <c r="W492" i="15" s="1"/>
  <c r="O475" i="15"/>
  <c r="Q475" i="15"/>
  <c r="Q474" i="15" s="1"/>
  <c r="U506" i="15"/>
  <c r="U507" i="15"/>
  <c r="W507" i="15" s="1"/>
  <c r="F512" i="15"/>
  <c r="H514" i="15"/>
  <c r="H515" i="15" s="1"/>
  <c r="T550" i="15"/>
  <c r="U550" i="15" s="1"/>
  <c r="T551" i="15"/>
  <c r="U551" i="15" s="1"/>
  <c r="Q553" i="15"/>
  <c r="Q560" i="15"/>
  <c r="S560" i="15"/>
  <c r="R560" i="15"/>
  <c r="O554" i="15"/>
  <c r="I580" i="15"/>
  <c r="K580" i="15"/>
  <c r="Q580" i="15"/>
  <c r="Q565" i="15" s="1"/>
  <c r="R578" i="15"/>
  <c r="R546" i="15" s="1"/>
  <c r="R529" i="15" s="1"/>
  <c r="S580" i="15"/>
  <c r="U603" i="15"/>
  <c r="U607" i="15"/>
  <c r="W607" i="15" s="1"/>
  <c r="G564" i="15"/>
  <c r="K564" i="15"/>
  <c r="T634" i="15"/>
  <c r="U634" i="15" s="1"/>
  <c r="W634" i="15" s="1"/>
  <c r="T635" i="15"/>
  <c r="G637" i="15"/>
  <c r="L648" i="15"/>
  <c r="O630" i="15"/>
  <c r="U650" i="15"/>
  <c r="W650" i="15" s="1"/>
  <c r="U654" i="15"/>
  <c r="W654" i="15" s="1"/>
  <c r="U674" i="15"/>
  <c r="W674" i="15" s="1"/>
  <c r="F687" i="15"/>
  <c r="U684" i="15"/>
  <c r="W684" i="15" s="1"/>
  <c r="U704" i="15"/>
  <c r="W704" i="15" s="1"/>
  <c r="U706" i="15"/>
  <c r="U710" i="15"/>
  <c r="W710" i="15" s="1"/>
  <c r="M173" i="13"/>
  <c r="W195" i="13"/>
  <c r="X203" i="13"/>
  <c r="S204" i="13"/>
  <c r="S206" i="13"/>
  <c r="T202" i="13"/>
  <c r="W185" i="13"/>
  <c r="X185" i="13"/>
  <c r="M163" i="13"/>
  <c r="V172" i="13"/>
  <c r="V190" i="13"/>
  <c r="V186" i="13"/>
  <c r="X188" i="13"/>
  <c r="W183" i="13"/>
  <c r="S172" i="13"/>
  <c r="F251" i="13"/>
  <c r="F252" i="13" s="1"/>
  <c r="G252" i="13" s="1"/>
  <c r="F249" i="13"/>
  <c r="H251" i="13"/>
  <c r="H249" i="13"/>
  <c r="N251" i="13"/>
  <c r="N249" i="13"/>
  <c r="R251" i="13"/>
  <c r="R249" i="13"/>
  <c r="U215" i="13"/>
  <c r="I642" i="13"/>
  <c r="G192" i="13"/>
  <c r="U143" i="13"/>
  <c r="W143" i="13" s="1"/>
  <c r="S175" i="13"/>
  <c r="Q174" i="13"/>
  <c r="J191" i="13"/>
  <c r="U194" i="13"/>
  <c r="W194" i="13" s="1"/>
  <c r="N206" i="13"/>
  <c r="T226" i="13"/>
  <c r="I524" i="13"/>
  <c r="I530" i="13" s="1"/>
  <c r="U93" i="13"/>
  <c r="U98" i="13"/>
  <c r="W98" i="13" s="1"/>
  <c r="U133" i="13"/>
  <c r="U134" i="13"/>
  <c r="U138" i="13"/>
  <c r="S146" i="13"/>
  <c r="Q175" i="13"/>
  <c r="Q176" i="13" s="1"/>
  <c r="H172" i="13"/>
  <c r="U178" i="13"/>
  <c r="W178" i="13" s="1"/>
  <c r="V181" i="13"/>
  <c r="H167" i="13"/>
  <c r="F189" i="13"/>
  <c r="H191" i="13"/>
  <c r="U193" i="13"/>
  <c r="W193" i="13" s="1"/>
  <c r="F204" i="13"/>
  <c r="H204" i="13"/>
  <c r="J204" i="13"/>
  <c r="R204" i="13"/>
  <c r="T213" i="13"/>
  <c r="N220" i="13"/>
  <c r="R220" i="13"/>
  <c r="F217" i="13"/>
  <c r="H217" i="13"/>
  <c r="H216" i="13" s="1"/>
  <c r="N217" i="13"/>
  <c r="N221" i="13" s="1"/>
  <c r="R217" i="13"/>
  <c r="T218" i="13"/>
  <c r="N236" i="13"/>
  <c r="U233" i="13"/>
  <c r="V219" i="13"/>
  <c r="U238" i="13"/>
  <c r="W238" i="13" s="1"/>
  <c r="U239" i="13"/>
  <c r="W239" i="13" s="1"/>
  <c r="U240" i="13"/>
  <c r="J212" i="13"/>
  <c r="J211" i="13" s="1"/>
  <c r="U243" i="13"/>
  <c r="J251" i="13"/>
  <c r="J313" i="13"/>
  <c r="U374" i="13"/>
  <c r="W374" i="13" s="1"/>
  <c r="L478" i="13"/>
  <c r="M478" i="13" s="1"/>
  <c r="L471" i="13"/>
  <c r="M471" i="13" s="1"/>
  <c r="I553" i="13"/>
  <c r="G553" i="13"/>
  <c r="U599" i="13"/>
  <c r="R655" i="13"/>
  <c r="U679" i="13"/>
  <c r="U271" i="13"/>
  <c r="W271" i="13" s="1"/>
  <c r="Q283" i="13"/>
  <c r="U280" i="13"/>
  <c r="W280" i="13" s="1"/>
  <c r="U300" i="13"/>
  <c r="W300" i="13" s="1"/>
  <c r="V303" i="13"/>
  <c r="T304" i="13"/>
  <c r="F311" i="13"/>
  <c r="H311" i="13"/>
  <c r="N311" i="13"/>
  <c r="R311" i="13"/>
  <c r="U369" i="13"/>
  <c r="U371" i="13"/>
  <c r="Q377" i="13"/>
  <c r="U399" i="13"/>
  <c r="U456" i="13"/>
  <c r="W456" i="13" s="1"/>
  <c r="U458" i="13"/>
  <c r="W458" i="13" s="1"/>
  <c r="L460" i="13"/>
  <c r="U462" i="13"/>
  <c r="W462" i="13" s="1"/>
  <c r="F469" i="13"/>
  <c r="F470" i="13" s="1"/>
  <c r="G470" i="13" s="1"/>
  <c r="J469" i="13"/>
  <c r="U466" i="13"/>
  <c r="X466" i="13" s="1"/>
  <c r="T471" i="13"/>
  <c r="F474" i="13"/>
  <c r="G474" i="13"/>
  <c r="U491" i="13"/>
  <c r="U502" i="13"/>
  <c r="U506" i="13"/>
  <c r="U511" i="13"/>
  <c r="W511" i="13" s="1"/>
  <c r="E526" i="13"/>
  <c r="L551" i="13"/>
  <c r="T552" i="13"/>
  <c r="T558" i="13"/>
  <c r="L559" i="13"/>
  <c r="J20" i="13"/>
  <c r="V570" i="13"/>
  <c r="H554" i="13"/>
  <c r="U572" i="13"/>
  <c r="W572" i="13" s="1"/>
  <c r="U574" i="13"/>
  <c r="K580" i="13"/>
  <c r="U577" i="13"/>
  <c r="W577" i="13" s="1"/>
  <c r="Q578" i="13"/>
  <c r="G610" i="13"/>
  <c r="I610" i="13"/>
  <c r="J608" i="13"/>
  <c r="K610" i="13"/>
  <c r="U607" i="13"/>
  <c r="W607" i="13" s="1"/>
  <c r="L609" i="13"/>
  <c r="L631" i="13"/>
  <c r="L634" i="13"/>
  <c r="L635" i="13"/>
  <c r="I637" i="13"/>
  <c r="T639" i="13"/>
  <c r="U644" i="13"/>
  <c r="U646" i="13"/>
  <c r="X651" i="13" s="1"/>
  <c r="N657" i="13"/>
  <c r="T656" i="13"/>
  <c r="V677" i="13"/>
  <c r="T678" i="13"/>
  <c r="U680" i="13"/>
  <c r="U704" i="13"/>
  <c r="U705" i="13"/>
  <c r="U706" i="13"/>
  <c r="U710" i="13"/>
  <c r="T196" i="11"/>
  <c r="O637" i="11"/>
  <c r="L241" i="11"/>
  <c r="R377" i="11"/>
  <c r="H405" i="11"/>
  <c r="H360" i="11" s="1"/>
  <c r="Q610" i="11"/>
  <c r="Q565" i="11" s="1"/>
  <c r="Q608" i="11"/>
  <c r="U98" i="11"/>
  <c r="I146" i="11"/>
  <c r="R144" i="11"/>
  <c r="R69" i="11" s="1"/>
  <c r="S146" i="11"/>
  <c r="T145" i="11"/>
  <c r="T163" i="11"/>
  <c r="I172" i="11"/>
  <c r="U178" i="11"/>
  <c r="W178" i="11" s="1"/>
  <c r="G167" i="11"/>
  <c r="T182" i="11"/>
  <c r="U185" i="11"/>
  <c r="G189" i="11"/>
  <c r="I189" i="11"/>
  <c r="I174" i="11" s="1"/>
  <c r="K191" i="11"/>
  <c r="O189" i="11"/>
  <c r="Q189" i="11"/>
  <c r="Q174" i="11" s="1"/>
  <c r="T190" i="11"/>
  <c r="U190" i="11" s="1"/>
  <c r="W190" i="11" s="1"/>
  <c r="U193" i="11"/>
  <c r="W193" i="11" s="1"/>
  <c r="U195" i="11"/>
  <c r="W195" i="11" s="1"/>
  <c r="H167" i="11"/>
  <c r="H166" i="11" s="1"/>
  <c r="U198" i="11"/>
  <c r="U199" i="11"/>
  <c r="W199" i="11" s="1"/>
  <c r="V173" i="11"/>
  <c r="V34" i="11" s="1"/>
  <c r="L205" i="11"/>
  <c r="M205" i="11" s="1"/>
  <c r="T205" i="11"/>
  <c r="L208" i="11"/>
  <c r="M208" i="11" s="1"/>
  <c r="T208" i="11"/>
  <c r="F212" i="11"/>
  <c r="T213" i="11"/>
  <c r="S215" i="11"/>
  <c r="T215" i="11" s="1"/>
  <c r="G217" i="11"/>
  <c r="G216" i="11" s="1"/>
  <c r="I217" i="11"/>
  <c r="I216" i="11" s="1"/>
  <c r="O217" i="11"/>
  <c r="O216" i="11" s="1"/>
  <c r="T218" i="11"/>
  <c r="U218" i="11" s="1"/>
  <c r="L227" i="11"/>
  <c r="J212" i="11"/>
  <c r="J211" i="11" s="1"/>
  <c r="T227" i="11"/>
  <c r="S211" i="11"/>
  <c r="S232" i="11"/>
  <c r="G236" i="11"/>
  <c r="U233" i="11"/>
  <c r="W233" i="11" s="1"/>
  <c r="G212" i="11"/>
  <c r="G211" i="11" s="1"/>
  <c r="I212" i="11"/>
  <c r="U243" i="11"/>
  <c r="S247" i="11"/>
  <c r="G249" i="11"/>
  <c r="G219" i="11" s="1"/>
  <c r="I249" i="11"/>
  <c r="K249" i="11"/>
  <c r="K219" i="11" s="1"/>
  <c r="O249" i="11"/>
  <c r="Q249" i="11"/>
  <c r="U271" i="11"/>
  <c r="W271" i="11" s="1"/>
  <c r="U272" i="11"/>
  <c r="L274" i="11"/>
  <c r="F281" i="11"/>
  <c r="F266" i="11" s="1"/>
  <c r="H281" i="11"/>
  <c r="H266" i="11" s="1"/>
  <c r="J281" i="11"/>
  <c r="J266" i="11" s="1"/>
  <c r="N281" i="11"/>
  <c r="N266" i="11" s="1"/>
  <c r="O283" i="11"/>
  <c r="U301" i="11"/>
  <c r="W301" i="11" s="1"/>
  <c r="U306" i="11"/>
  <c r="W306" i="11" s="1"/>
  <c r="U307" i="11"/>
  <c r="G311" i="11"/>
  <c r="L311" i="11" s="1"/>
  <c r="M311" i="11" s="1"/>
  <c r="K313" i="11"/>
  <c r="O313" i="11"/>
  <c r="Q311" i="11"/>
  <c r="Q266" i="11" s="1"/>
  <c r="U310" i="11"/>
  <c r="T312" i="11"/>
  <c r="U312" i="11" s="1"/>
  <c r="W312" i="11" s="1"/>
  <c r="R439" i="11"/>
  <c r="U458" i="11"/>
  <c r="U462" i="11"/>
  <c r="W462" i="11" s="1"/>
  <c r="U486" i="11"/>
  <c r="J475" i="11"/>
  <c r="J474" i="11" s="1"/>
  <c r="T490" i="11"/>
  <c r="T489" i="11" s="1"/>
  <c r="R475" i="11"/>
  <c r="R474" i="11" s="1"/>
  <c r="R499" i="11"/>
  <c r="U496" i="11"/>
  <c r="V482" i="11"/>
  <c r="T562" i="11"/>
  <c r="U562" i="11" s="1"/>
  <c r="U577" i="11"/>
  <c r="W577" i="11" s="1"/>
  <c r="I565" i="11"/>
  <c r="L648" i="11"/>
  <c r="J657" i="11"/>
  <c r="N657" i="11"/>
  <c r="L656" i="11"/>
  <c r="G641" i="11"/>
  <c r="U679" i="11"/>
  <c r="U680" i="11"/>
  <c r="G687" i="11"/>
  <c r="G688" i="11" s="1"/>
  <c r="I687" i="11"/>
  <c r="K687" i="11"/>
  <c r="O687" i="11"/>
  <c r="Q687" i="11"/>
  <c r="S687" i="11"/>
  <c r="U684" i="11"/>
  <c r="W684" i="11" s="1"/>
  <c r="F685" i="11"/>
  <c r="U714" i="11"/>
  <c r="W714" i="11" s="1"/>
  <c r="V397" i="11"/>
  <c r="F469" i="11"/>
  <c r="F470" i="11" s="1"/>
  <c r="J467" i="11"/>
  <c r="Q524" i="11"/>
  <c r="Q530" i="11" s="1"/>
  <c r="N608" i="11"/>
  <c r="N563" i="11" s="1"/>
  <c r="N610" i="11"/>
  <c r="R608" i="11"/>
  <c r="R563" i="11" s="1"/>
  <c r="R610" i="11"/>
  <c r="L629" i="11"/>
  <c r="F535" i="11"/>
  <c r="F518" i="11" s="1"/>
  <c r="G657" i="11"/>
  <c r="G638" i="11"/>
  <c r="I655" i="11"/>
  <c r="I640" i="11" s="1"/>
  <c r="I657" i="11"/>
  <c r="K655" i="11"/>
  <c r="K640" i="11" s="1"/>
  <c r="K546" i="11" s="1"/>
  <c r="K529" i="11" s="1"/>
  <c r="K657" i="11"/>
  <c r="K642" i="11" s="1"/>
  <c r="K638" i="11"/>
  <c r="O655" i="11"/>
  <c r="O657" i="11"/>
  <c r="Q657" i="11"/>
  <c r="Q642" i="11" s="1"/>
  <c r="Q638" i="11"/>
  <c r="Q544" i="11" s="1"/>
  <c r="S655" i="11"/>
  <c r="S640" i="11" s="1"/>
  <c r="S657" i="11"/>
  <c r="H685" i="11"/>
  <c r="H640" i="11" s="1"/>
  <c r="H687" i="11"/>
  <c r="H642" i="11" s="1"/>
  <c r="J685" i="11"/>
  <c r="J640" i="11" s="1"/>
  <c r="J687" i="11"/>
  <c r="N685" i="11"/>
  <c r="N687" i="11"/>
  <c r="R685" i="11"/>
  <c r="R640" i="11" s="1"/>
  <c r="R687" i="11"/>
  <c r="V713" i="11"/>
  <c r="V707" i="11"/>
  <c r="G147" i="11"/>
  <c r="H147" i="11" s="1"/>
  <c r="U135" i="11"/>
  <c r="N175" i="11"/>
  <c r="R175" i="11"/>
  <c r="R176" i="11" s="1"/>
  <c r="U179" i="11"/>
  <c r="W179" i="11" s="1"/>
  <c r="U183" i="11"/>
  <c r="U203" i="11"/>
  <c r="W203" i="11" s="1"/>
  <c r="L220" i="11"/>
  <c r="M220" i="11" s="1"/>
  <c r="S220" i="11"/>
  <c r="E216" i="11"/>
  <c r="U230" i="11"/>
  <c r="U492" i="11"/>
  <c r="W492" i="11" s="1"/>
  <c r="G655" i="11"/>
  <c r="U371" i="11"/>
  <c r="U374" i="11"/>
  <c r="J407" i="11"/>
  <c r="N407" i="11"/>
  <c r="F439" i="11"/>
  <c r="F440" i="11" s="1"/>
  <c r="G440" i="11" s="1"/>
  <c r="H440" i="11" s="1"/>
  <c r="I440" i="11" s="1"/>
  <c r="J440" i="11" s="1"/>
  <c r="K440" i="11" s="1"/>
  <c r="N440" i="11" s="1"/>
  <c r="O440" i="11" s="1"/>
  <c r="U457" i="11"/>
  <c r="W457" i="11" s="1"/>
  <c r="L460" i="11"/>
  <c r="U460" i="11" s="1"/>
  <c r="U463" i="11"/>
  <c r="G469" i="11"/>
  <c r="K469" i="11"/>
  <c r="U466" i="11"/>
  <c r="L473" i="11"/>
  <c r="M473" i="11" s="1"/>
  <c r="T477" i="11"/>
  <c r="E479" i="11"/>
  <c r="T481" i="11"/>
  <c r="Q483" i="11"/>
  <c r="Q484" i="11" s="1"/>
  <c r="U501" i="11"/>
  <c r="U502" i="11"/>
  <c r="U503" i="11"/>
  <c r="L505" i="11"/>
  <c r="U506" i="11"/>
  <c r="W506" i="11" s="1"/>
  <c r="U508" i="11"/>
  <c r="J514" i="11"/>
  <c r="T558" i="11"/>
  <c r="T571" i="11"/>
  <c r="U597" i="11"/>
  <c r="U598" i="11"/>
  <c r="U599" i="11"/>
  <c r="T601" i="11"/>
  <c r="U604" i="11"/>
  <c r="W604" i="11" s="1"/>
  <c r="W605" i="11" s="1"/>
  <c r="L627" i="11"/>
  <c r="M627" i="11" s="1"/>
  <c r="L635" i="11"/>
  <c r="M635" i="11" s="1"/>
  <c r="U644" i="11"/>
  <c r="W644" i="11" s="1"/>
  <c r="U646" i="11"/>
  <c r="U674" i="11"/>
  <c r="W674" i="11" s="1"/>
  <c r="T686" i="11"/>
  <c r="T716" i="11"/>
  <c r="W245" i="9"/>
  <c r="W246" i="9" s="1"/>
  <c r="X245" i="9"/>
  <c r="U246" i="9"/>
  <c r="V97" i="9"/>
  <c r="V91" i="9"/>
  <c r="Q144" i="9"/>
  <c r="L170" i="9"/>
  <c r="T185" i="9"/>
  <c r="U185" i="9" s="1"/>
  <c r="S187" i="9"/>
  <c r="T200" i="9"/>
  <c r="U200" i="9" s="1"/>
  <c r="W200" i="9" s="1"/>
  <c r="S202" i="9"/>
  <c r="G206" i="9"/>
  <c r="G207" i="9" s="1"/>
  <c r="H207" i="9" s="1"/>
  <c r="G204" i="9"/>
  <c r="G172" i="9"/>
  <c r="I206" i="9"/>
  <c r="I204" i="9"/>
  <c r="K204" i="9"/>
  <c r="K172" i="9"/>
  <c r="Q206" i="9"/>
  <c r="Q204" i="9"/>
  <c r="T227" i="9"/>
  <c r="N212" i="9"/>
  <c r="K234" i="9"/>
  <c r="L99" i="9"/>
  <c r="M99" i="9" s="1"/>
  <c r="G174" i="9"/>
  <c r="T169" i="9"/>
  <c r="L182" i="9"/>
  <c r="F167" i="9"/>
  <c r="I191" i="9"/>
  <c r="I189" i="9"/>
  <c r="J204" i="9"/>
  <c r="T208" i="9"/>
  <c r="U208" i="9" s="1"/>
  <c r="W208" i="9" s="1"/>
  <c r="G220" i="9"/>
  <c r="R220" i="9"/>
  <c r="N216" i="9"/>
  <c r="H236" i="9"/>
  <c r="H234" i="9"/>
  <c r="H217" i="9"/>
  <c r="H33" i="9" s="1"/>
  <c r="H19" i="9" s="1"/>
  <c r="H12" i="9" s="1"/>
  <c r="L145" i="9"/>
  <c r="M145" i="9" s="1"/>
  <c r="U143" i="9"/>
  <c r="W143" i="9" s="1"/>
  <c r="L169" i="9"/>
  <c r="M169" i="9" s="1"/>
  <c r="Q172" i="9"/>
  <c r="K174" i="9"/>
  <c r="O174" i="9"/>
  <c r="U193" i="9"/>
  <c r="W193" i="9" s="1"/>
  <c r="U195" i="9"/>
  <c r="K206" i="9"/>
  <c r="O206" i="9"/>
  <c r="F212" i="9"/>
  <c r="F211" i="9" s="1"/>
  <c r="N220" i="9"/>
  <c r="I217" i="9"/>
  <c r="T92" i="9"/>
  <c r="U133" i="9"/>
  <c r="U138" i="9"/>
  <c r="N146" i="9"/>
  <c r="T163" i="9"/>
  <c r="T164" i="9"/>
  <c r="T168" i="9"/>
  <c r="U183" i="9"/>
  <c r="U188" i="9"/>
  <c r="W188" i="9" s="1"/>
  <c r="U194" i="9"/>
  <c r="W194" i="9" s="1"/>
  <c r="U198" i="9"/>
  <c r="V170" i="9"/>
  <c r="V48" i="9" s="1"/>
  <c r="T209" i="9"/>
  <c r="U209" i="9" s="1"/>
  <c r="W209" i="9" s="1"/>
  <c r="L214" i="9"/>
  <c r="M214" i="9" s="1"/>
  <c r="E216" i="9"/>
  <c r="U224" i="9"/>
  <c r="W224" i="9" s="1"/>
  <c r="U225" i="9"/>
  <c r="W225" i="9" s="1"/>
  <c r="G211" i="9"/>
  <c r="K211" i="9"/>
  <c r="N236" i="9"/>
  <c r="U233" i="9"/>
  <c r="U238" i="9"/>
  <c r="W238" i="9" s="1"/>
  <c r="V218" i="9"/>
  <c r="V51" i="9" s="1"/>
  <c r="F251" i="9"/>
  <c r="F252" i="9" s="1"/>
  <c r="G252" i="9" s="1"/>
  <c r="G20" i="9"/>
  <c r="U369" i="9"/>
  <c r="O375" i="9"/>
  <c r="O360" i="9" s="1"/>
  <c r="Q375" i="9"/>
  <c r="S375" i="9"/>
  <c r="S360" i="9" s="1"/>
  <c r="U399" i="9"/>
  <c r="F407" i="9"/>
  <c r="F408" i="9" s="1"/>
  <c r="J407" i="9"/>
  <c r="R407" i="9"/>
  <c r="U404" i="9"/>
  <c r="W404" i="9" s="1"/>
  <c r="L430" i="9"/>
  <c r="T430" i="9"/>
  <c r="U431" i="9"/>
  <c r="O437" i="9"/>
  <c r="O422" i="9" s="1"/>
  <c r="S439" i="9"/>
  <c r="T438" i="9"/>
  <c r="U456" i="9"/>
  <c r="W456" i="9" s="1"/>
  <c r="V459" i="9"/>
  <c r="T460" i="9"/>
  <c r="F467" i="9"/>
  <c r="F422" i="9" s="1"/>
  <c r="T473" i="9"/>
  <c r="F474" i="9"/>
  <c r="T476" i="9"/>
  <c r="T478" i="9"/>
  <c r="V489" i="9"/>
  <c r="U491" i="9"/>
  <c r="U501" i="9"/>
  <c r="U503" i="9"/>
  <c r="W503" i="9" s="1"/>
  <c r="U511" i="9"/>
  <c r="W511" i="9" s="1"/>
  <c r="T513" i="9"/>
  <c r="E543" i="9"/>
  <c r="T550" i="9"/>
  <c r="T551" i="9"/>
  <c r="U551" i="9" s="1"/>
  <c r="T562" i="9"/>
  <c r="U400" i="9"/>
  <c r="W400" i="9" s="1"/>
  <c r="U436" i="9"/>
  <c r="W436" i="9" s="1"/>
  <c r="U506" i="9"/>
  <c r="L372" i="8"/>
  <c r="U503" i="8"/>
  <c r="W503" i="8" s="1"/>
  <c r="V494" i="8"/>
  <c r="M495" i="8"/>
  <c r="M494" i="8" s="1"/>
  <c r="W240" i="8"/>
  <c r="M90" i="8"/>
  <c r="T247" i="8"/>
  <c r="S251" i="8"/>
  <c r="P482" i="8"/>
  <c r="M683" i="8"/>
  <c r="M682" i="8" s="1"/>
  <c r="U683" i="8"/>
  <c r="W233" i="8"/>
  <c r="G216" i="8"/>
  <c r="L189" i="8"/>
  <c r="M189" i="8" s="1"/>
  <c r="M187" i="8"/>
  <c r="M186" i="8" s="1"/>
  <c r="L186" i="8"/>
  <c r="M94" i="8"/>
  <c r="U94" i="8"/>
  <c r="W94" i="8" s="1"/>
  <c r="V141" i="8"/>
  <c r="W184" i="8"/>
  <c r="V217" i="8"/>
  <c r="V216" i="8" s="1"/>
  <c r="V235" i="8"/>
  <c r="U93" i="8"/>
  <c r="V136" i="8"/>
  <c r="T137" i="8"/>
  <c r="N146" i="8"/>
  <c r="U185" i="8"/>
  <c r="U188" i="8"/>
  <c r="W188" i="8" s="1"/>
  <c r="U193" i="8"/>
  <c r="W193" i="8" s="1"/>
  <c r="U195" i="8"/>
  <c r="L197" i="8"/>
  <c r="U200" i="8"/>
  <c r="W200" i="8" s="1"/>
  <c r="U203" i="8"/>
  <c r="W203" i="8" s="1"/>
  <c r="P220" i="8"/>
  <c r="L215" i="8"/>
  <c r="M215" i="8" s="1"/>
  <c r="L218" i="8"/>
  <c r="U224" i="8"/>
  <c r="W224" i="8" s="1"/>
  <c r="U225" i="8"/>
  <c r="W225" i="8" s="1"/>
  <c r="L227" i="8"/>
  <c r="H212" i="8"/>
  <c r="J212" i="8"/>
  <c r="J211" i="8" s="1"/>
  <c r="U228" i="8"/>
  <c r="W228" i="8" s="1"/>
  <c r="F236" i="8"/>
  <c r="F237" i="8" s="1"/>
  <c r="R236" i="8"/>
  <c r="T235" i="8"/>
  <c r="U235" i="8" s="1"/>
  <c r="U238" i="8"/>
  <c r="W238" i="8" s="1"/>
  <c r="F251" i="8"/>
  <c r="F252" i="8" s="1"/>
  <c r="G252" i="8" s="1"/>
  <c r="N251" i="8"/>
  <c r="R251" i="8"/>
  <c r="U248" i="8"/>
  <c r="M241" i="8"/>
  <c r="L512" i="8"/>
  <c r="M512" i="8" s="1"/>
  <c r="U183" i="8"/>
  <c r="U198" i="8"/>
  <c r="J216" i="8"/>
  <c r="U239" i="8"/>
  <c r="W239" i="8" s="1"/>
  <c r="H439" i="8"/>
  <c r="K407" i="8"/>
  <c r="O407" i="8"/>
  <c r="U433" i="8"/>
  <c r="W433" i="8" s="1"/>
  <c r="J439" i="8"/>
  <c r="U466" i="8"/>
  <c r="W466" i="8" s="1"/>
  <c r="U574" i="8"/>
  <c r="H578" i="8"/>
  <c r="J608" i="8"/>
  <c r="I527" i="8"/>
  <c r="O641" i="8"/>
  <c r="S641" i="8"/>
  <c r="U369" i="8"/>
  <c r="N375" i="8"/>
  <c r="R375" i="8"/>
  <c r="U395" i="8"/>
  <c r="W395" i="8" s="1"/>
  <c r="L398" i="8"/>
  <c r="S403" i="8"/>
  <c r="G405" i="8"/>
  <c r="G360" i="8" s="1"/>
  <c r="I405" i="8"/>
  <c r="I360" i="8" s="1"/>
  <c r="U426" i="8"/>
  <c r="U427" i="8"/>
  <c r="U428" i="8"/>
  <c r="U431" i="8"/>
  <c r="U432" i="8"/>
  <c r="G439" i="8"/>
  <c r="H437" i="8"/>
  <c r="I439" i="8"/>
  <c r="N437" i="8"/>
  <c r="P437" i="8"/>
  <c r="R437" i="8"/>
  <c r="U457" i="8"/>
  <c r="W457" i="8" s="1"/>
  <c r="L460" i="8"/>
  <c r="G469" i="8"/>
  <c r="K469" i="8"/>
  <c r="O469" i="8"/>
  <c r="L468" i="8"/>
  <c r="M468" i="8" s="1"/>
  <c r="T468" i="8"/>
  <c r="L471" i="8"/>
  <c r="L472" i="8"/>
  <c r="L476" i="8"/>
  <c r="H484" i="8"/>
  <c r="V483" i="8"/>
  <c r="F479" i="8"/>
  <c r="L478" i="8"/>
  <c r="M478" i="8" s="1"/>
  <c r="I479" i="8"/>
  <c r="T481" i="8"/>
  <c r="K497" i="8"/>
  <c r="T498" i="8"/>
  <c r="U506" i="8"/>
  <c r="U511" i="8"/>
  <c r="W511" i="8" s="1"/>
  <c r="L550" i="8"/>
  <c r="L551" i="8"/>
  <c r="L557" i="8"/>
  <c r="L558" i="8"/>
  <c r="L562" i="8"/>
  <c r="O20" i="8"/>
  <c r="I554" i="8"/>
  <c r="U572" i="8"/>
  <c r="W572" i="8" s="1"/>
  <c r="U573" i="8"/>
  <c r="F580" i="8"/>
  <c r="J580" i="8"/>
  <c r="N580" i="8"/>
  <c r="P580" i="8"/>
  <c r="U599" i="8"/>
  <c r="L601" i="8"/>
  <c r="F610" i="8"/>
  <c r="F611" i="8" s="1"/>
  <c r="G611" i="8" s="1"/>
  <c r="H610" i="8"/>
  <c r="H565" i="8" s="1"/>
  <c r="N610" i="8"/>
  <c r="P610" i="8"/>
  <c r="R610" i="8"/>
  <c r="F564" i="8"/>
  <c r="J564" i="8"/>
  <c r="F630" i="8"/>
  <c r="H630" i="8"/>
  <c r="L634" i="8"/>
  <c r="U634" i="8" s="1"/>
  <c r="W634" i="8" s="1"/>
  <c r="U644" i="8"/>
  <c r="U645" i="8"/>
  <c r="U649" i="8"/>
  <c r="U654" i="8"/>
  <c r="W654" i="8" s="1"/>
  <c r="T656" i="8"/>
  <c r="U680" i="8"/>
  <c r="W680" i="8" s="1"/>
  <c r="U681" i="8"/>
  <c r="W681" i="8" s="1"/>
  <c r="U684" i="8"/>
  <c r="W684" i="8" s="1"/>
  <c r="P212" i="7"/>
  <c r="V215" i="7"/>
  <c r="J219" i="7"/>
  <c r="T468" i="7"/>
  <c r="U462" i="7"/>
  <c r="W462" i="7" s="1"/>
  <c r="N467" i="7"/>
  <c r="N390" i="23" s="1"/>
  <c r="R469" i="7"/>
  <c r="P469" i="7"/>
  <c r="N469" i="7"/>
  <c r="T137" i="7"/>
  <c r="T136" i="7" s="1"/>
  <c r="N144" i="7"/>
  <c r="L165" i="7"/>
  <c r="G100" i="7"/>
  <c r="G101" i="7" s="1"/>
  <c r="O144" i="7"/>
  <c r="O482" i="7"/>
  <c r="V530" i="7"/>
  <c r="J167" i="7"/>
  <c r="S212" i="7"/>
  <c r="S211" i="7" s="1"/>
  <c r="G217" i="7"/>
  <c r="G221" i="7" s="1"/>
  <c r="K217" i="7"/>
  <c r="K216" i="7" s="1"/>
  <c r="V218" i="7"/>
  <c r="N530" i="7"/>
  <c r="T476" i="7"/>
  <c r="T634" i="7"/>
  <c r="U634" i="7" s="1"/>
  <c r="T636" i="7"/>
  <c r="U557" i="7"/>
  <c r="W557" i="7" s="1"/>
  <c r="R167" i="7"/>
  <c r="N206" i="7"/>
  <c r="T213" i="7"/>
  <c r="V226" i="7"/>
  <c r="L242" i="7"/>
  <c r="K313" i="7"/>
  <c r="O313" i="7"/>
  <c r="K166" i="7"/>
  <c r="U194" i="7"/>
  <c r="W194" i="7" s="1"/>
  <c r="I206" i="7"/>
  <c r="K206" i="7"/>
  <c r="O206" i="7"/>
  <c r="Q206" i="7"/>
  <c r="T282" i="7"/>
  <c r="U305" i="7"/>
  <c r="W305" i="7" s="1"/>
  <c r="I313" i="7"/>
  <c r="K311" i="7"/>
  <c r="O311" i="7"/>
  <c r="T312" i="7"/>
  <c r="U312" i="7" s="1"/>
  <c r="U573" i="7"/>
  <c r="W573" i="7" s="1"/>
  <c r="E479" i="7"/>
  <c r="U399" i="7"/>
  <c r="W399" i="7" s="1"/>
  <c r="L468" i="7"/>
  <c r="M468" i="7" s="1"/>
  <c r="T471" i="7"/>
  <c r="U471" i="7" s="1"/>
  <c r="L476" i="7"/>
  <c r="M476" i="7" s="1"/>
  <c r="U486" i="7"/>
  <c r="U487" i="7"/>
  <c r="V489" i="7"/>
  <c r="R499" i="7"/>
  <c r="F283" i="7"/>
  <c r="F284" i="7" s="1"/>
  <c r="G284" i="7" s="1"/>
  <c r="P283" i="7"/>
  <c r="R283" i="7"/>
  <c r="U369" i="7"/>
  <c r="X374" i="7" s="1"/>
  <c r="J377" i="7"/>
  <c r="N377" i="7"/>
  <c r="R377" i="7"/>
  <c r="J407" i="7"/>
  <c r="N407" i="7"/>
  <c r="R407" i="7"/>
  <c r="V459" i="7"/>
  <c r="I530" i="7"/>
  <c r="L550" i="7"/>
  <c r="M550" i="7" s="1"/>
  <c r="T627" i="7"/>
  <c r="T629" i="7"/>
  <c r="U629" i="7" s="1"/>
  <c r="T635" i="7"/>
  <c r="U650" i="7"/>
  <c r="W650" i="7" s="1"/>
  <c r="I657" i="7"/>
  <c r="U636" i="7"/>
  <c r="L678" i="7"/>
  <c r="U678" i="7" s="1"/>
  <c r="V231" i="7"/>
  <c r="V235" i="7"/>
  <c r="K204" i="7"/>
  <c r="O204" i="7"/>
  <c r="P206" i="7"/>
  <c r="P216" i="7"/>
  <c r="U229" i="7"/>
  <c r="W229" i="7" s="1"/>
  <c r="G236" i="7"/>
  <c r="U244" i="7"/>
  <c r="W244" i="7" s="1"/>
  <c r="G251" i="7"/>
  <c r="G252" i="7" s="1"/>
  <c r="I251" i="7"/>
  <c r="K251" i="7"/>
  <c r="Q251" i="7"/>
  <c r="L250" i="7"/>
  <c r="M250" i="7" s="1"/>
  <c r="T250" i="7"/>
  <c r="U271" i="7"/>
  <c r="W271" i="7" s="1"/>
  <c r="U272" i="7"/>
  <c r="U282" i="7"/>
  <c r="W636" i="7"/>
  <c r="M678" i="7"/>
  <c r="M677" i="7" s="1"/>
  <c r="M629" i="7"/>
  <c r="S525" i="7"/>
  <c r="L209" i="7"/>
  <c r="M209" i="7" s="1"/>
  <c r="F236" i="7"/>
  <c r="F237" i="7" s="1"/>
  <c r="H236" i="7"/>
  <c r="L274" i="7"/>
  <c r="M274" i="7" s="1"/>
  <c r="M273" i="7" s="1"/>
  <c r="T513" i="7"/>
  <c r="E543" i="7"/>
  <c r="L551" i="7"/>
  <c r="M551" i="7" s="1"/>
  <c r="V570" i="7"/>
  <c r="I630" i="7"/>
  <c r="J687" i="7"/>
  <c r="J642" i="7" s="1"/>
  <c r="S630" i="7"/>
  <c r="G174" i="7"/>
  <c r="U198" i="7"/>
  <c r="W198" i="7" s="1"/>
  <c r="S202" i="7"/>
  <c r="S202" i="23" s="1"/>
  <c r="S201" i="23" s="1"/>
  <c r="I204" i="7"/>
  <c r="H211" i="7"/>
  <c r="I212" i="7"/>
  <c r="K212" i="7"/>
  <c r="O212" i="7"/>
  <c r="O211" i="7" s="1"/>
  <c r="H482" i="7"/>
  <c r="U577" i="7"/>
  <c r="W577" i="7" s="1"/>
  <c r="V559" i="7"/>
  <c r="N610" i="7"/>
  <c r="P610" i="7"/>
  <c r="P565" i="7" s="1"/>
  <c r="R610" i="7"/>
  <c r="R565" i="7" s="1"/>
  <c r="V534" i="7"/>
  <c r="V517" i="7" s="1"/>
  <c r="J630" i="7"/>
  <c r="K657" i="7"/>
  <c r="K642" i="7" s="1"/>
  <c r="S657" i="7"/>
  <c r="S642" i="7" s="1"/>
  <c r="U679" i="7"/>
  <c r="W679" i="7" s="1"/>
  <c r="U681" i="7"/>
  <c r="T708" i="7"/>
  <c r="O499" i="7"/>
  <c r="Q480" i="7"/>
  <c r="M303" i="7"/>
  <c r="Q20" i="7"/>
  <c r="L163" i="7"/>
  <c r="M163" i="7" s="1"/>
  <c r="V167" i="7"/>
  <c r="T205" i="7"/>
  <c r="U205" i="7" s="1"/>
  <c r="W205" i="7" s="1"/>
  <c r="L208" i="7"/>
  <c r="M208" i="7" s="1"/>
  <c r="T218" i="7"/>
  <c r="H234" i="7"/>
  <c r="H234" i="23" s="1"/>
  <c r="I236" i="7"/>
  <c r="U233" i="7"/>
  <c r="L235" i="7"/>
  <c r="M235" i="7" s="1"/>
  <c r="U239" i="7"/>
  <c r="W239" i="7" s="1"/>
  <c r="V219" i="7"/>
  <c r="N375" i="7"/>
  <c r="O439" i="7"/>
  <c r="P437" i="7"/>
  <c r="R437" i="7"/>
  <c r="U457" i="7"/>
  <c r="W457" i="7" s="1"/>
  <c r="L460" i="7"/>
  <c r="T472" i="7"/>
  <c r="L481" i="7"/>
  <c r="M481" i="7" s="1"/>
  <c r="U491" i="7"/>
  <c r="W491" i="7" s="1"/>
  <c r="K514" i="7"/>
  <c r="O484" i="7"/>
  <c r="O525" i="7"/>
  <c r="R630" i="7"/>
  <c r="G631" i="7"/>
  <c r="K638" i="7"/>
  <c r="O641" i="7"/>
  <c r="U714" i="7"/>
  <c r="W714" i="7" s="1"/>
  <c r="L96" i="7"/>
  <c r="T140" i="7"/>
  <c r="F146" i="7"/>
  <c r="F147" i="7" s="1"/>
  <c r="L145" i="7"/>
  <c r="M145" i="7" s="1"/>
  <c r="G167" i="7"/>
  <c r="P167" i="7"/>
  <c r="T185" i="7"/>
  <c r="U185" i="7" s="1"/>
  <c r="W185" i="7" s="1"/>
  <c r="S187" i="7"/>
  <c r="S187" i="23" s="1"/>
  <c r="V170" i="7"/>
  <c r="F212" i="7"/>
  <c r="R212" i="7"/>
  <c r="R211" i="7" s="1"/>
  <c r="Q212" i="7"/>
  <c r="V279" i="7"/>
  <c r="V273" i="7"/>
  <c r="O281" i="7"/>
  <c r="O283" i="7"/>
  <c r="Q283" i="7"/>
  <c r="T307" i="7"/>
  <c r="U307" i="7" s="1"/>
  <c r="S309" i="7"/>
  <c r="G311" i="7"/>
  <c r="P311" i="7"/>
  <c r="P375" i="7"/>
  <c r="S403" i="7"/>
  <c r="S326" i="23" s="1"/>
  <c r="G407" i="7"/>
  <c r="G405" i="7"/>
  <c r="I407" i="7"/>
  <c r="I405" i="7"/>
  <c r="I328" i="23" s="1"/>
  <c r="K407" i="7"/>
  <c r="K405" i="7"/>
  <c r="K328" i="23" s="1"/>
  <c r="O407" i="7"/>
  <c r="O405" i="7"/>
  <c r="O328" i="23" s="1"/>
  <c r="Q407" i="7"/>
  <c r="Q405" i="7"/>
  <c r="Q328" i="23" s="1"/>
  <c r="F553" i="7"/>
  <c r="W552" i="7"/>
  <c r="R530" i="7"/>
  <c r="R547" i="7"/>
  <c r="T568" i="7"/>
  <c r="U568" i="7" s="1"/>
  <c r="T628" i="7"/>
  <c r="N534" i="7"/>
  <c r="N517" i="7" s="1"/>
  <c r="G657" i="7"/>
  <c r="K631" i="7"/>
  <c r="F685" i="7"/>
  <c r="F687" i="7"/>
  <c r="H687" i="7"/>
  <c r="Q685" i="7"/>
  <c r="Q608" i="23" s="1"/>
  <c r="S685" i="7"/>
  <c r="V640" i="7"/>
  <c r="K717" i="7"/>
  <c r="Q717" i="7"/>
  <c r="M557" i="7"/>
  <c r="N553" i="7"/>
  <c r="O717" i="7"/>
  <c r="J146" i="7"/>
  <c r="P20" i="7"/>
  <c r="L182" i="7"/>
  <c r="F167" i="7"/>
  <c r="S167" i="7"/>
  <c r="I191" i="7"/>
  <c r="I189" i="7"/>
  <c r="I189" i="23" s="1"/>
  <c r="K191" i="7"/>
  <c r="K172" i="7"/>
  <c r="O191" i="7"/>
  <c r="Q191" i="7"/>
  <c r="Q189" i="7"/>
  <c r="Q172" i="7"/>
  <c r="F220" i="7"/>
  <c r="L220" i="7" s="1"/>
  <c r="M220" i="7" s="1"/>
  <c r="R236" i="7"/>
  <c r="V247" i="7"/>
  <c r="V247" i="23" s="1"/>
  <c r="V246" i="23" s="1"/>
  <c r="V241" i="7"/>
  <c r="V212" i="7"/>
  <c r="H251" i="7"/>
  <c r="H217" i="7"/>
  <c r="H221" i="7" s="1"/>
  <c r="N251" i="7"/>
  <c r="N283" i="7"/>
  <c r="N281" i="7"/>
  <c r="T433" i="7"/>
  <c r="F469" i="7"/>
  <c r="F470" i="7" s="1"/>
  <c r="F467" i="7"/>
  <c r="F390" i="23" s="1"/>
  <c r="H469" i="7"/>
  <c r="T493" i="7"/>
  <c r="U493" i="7" s="1"/>
  <c r="W493" i="7" s="1"/>
  <c r="P499" i="7"/>
  <c r="P480" i="7"/>
  <c r="R20" i="7"/>
  <c r="H166" i="7"/>
  <c r="E171" i="7"/>
  <c r="G191" i="7"/>
  <c r="G192" i="7" s="1"/>
  <c r="L190" i="7"/>
  <c r="M190" i="7" s="1"/>
  <c r="U203" i="7"/>
  <c r="W203" i="7" s="1"/>
  <c r="G212" i="7"/>
  <c r="G211" i="7" s="1"/>
  <c r="U224" i="7"/>
  <c r="W224" i="7" s="1"/>
  <c r="U276" i="7"/>
  <c r="W276" i="7" s="1"/>
  <c r="H283" i="7"/>
  <c r="N528" i="7"/>
  <c r="S638" i="7"/>
  <c r="S637" i="7" s="1"/>
  <c r="H376" i="7"/>
  <c r="L370" i="7"/>
  <c r="M370" i="7" s="1"/>
  <c r="L513" i="7"/>
  <c r="L507" i="7"/>
  <c r="F407" i="7"/>
  <c r="F408" i="7" s="1"/>
  <c r="G408" i="7" s="1"/>
  <c r="H407" i="7"/>
  <c r="P405" i="7"/>
  <c r="P328" i="23" s="1"/>
  <c r="P407" i="7"/>
  <c r="T463" i="7"/>
  <c r="U463" i="7" s="1"/>
  <c r="W463" i="7" s="1"/>
  <c r="S465" i="7"/>
  <c r="S388" i="23" s="1"/>
  <c r="G469" i="7"/>
  <c r="G467" i="7"/>
  <c r="I469" i="7"/>
  <c r="I467" i="7"/>
  <c r="I390" i="23" s="1"/>
  <c r="T574" i="7"/>
  <c r="U574" i="7" s="1"/>
  <c r="H610" i="7"/>
  <c r="H565" i="7" s="1"/>
  <c r="O655" i="7"/>
  <c r="O578" i="23" s="1"/>
  <c r="O657" i="7"/>
  <c r="O638" i="7"/>
  <c r="O637" i="7" s="1"/>
  <c r="V683" i="7"/>
  <c r="V677" i="7"/>
  <c r="F20" i="7"/>
  <c r="U133" i="7"/>
  <c r="U134" i="7"/>
  <c r="P146" i="7"/>
  <c r="R146" i="7"/>
  <c r="U143" i="7"/>
  <c r="W143" i="7" s="1"/>
  <c r="L168" i="7"/>
  <c r="M168" i="7" s="1"/>
  <c r="L175" i="7"/>
  <c r="M175" i="7" s="1"/>
  <c r="N175" i="7"/>
  <c r="P175" i="7"/>
  <c r="P176" i="7" s="1"/>
  <c r="R175" i="7"/>
  <c r="R176" i="7" s="1"/>
  <c r="U179" i="7"/>
  <c r="W179" i="7" s="1"/>
  <c r="U183" i="7"/>
  <c r="W183" i="7" s="1"/>
  <c r="J174" i="7"/>
  <c r="U188" i="7"/>
  <c r="W188" i="7" s="1"/>
  <c r="U193" i="7"/>
  <c r="W193" i="7" s="1"/>
  <c r="U195" i="7"/>
  <c r="L197" i="7"/>
  <c r="M197" i="7" s="1"/>
  <c r="M196" i="7" s="1"/>
  <c r="U199" i="7"/>
  <c r="W199" i="7" s="1"/>
  <c r="U200" i="7"/>
  <c r="W200" i="7" s="1"/>
  <c r="G206" i="7"/>
  <c r="R206" i="7"/>
  <c r="J211" i="7"/>
  <c r="P211" i="7"/>
  <c r="T214" i="7"/>
  <c r="U214" i="7" s="1"/>
  <c r="W214" i="7" s="1"/>
  <c r="P220" i="7"/>
  <c r="P221" i="7" s="1"/>
  <c r="R220" i="7"/>
  <c r="L215" i="7"/>
  <c r="M215" i="7" s="1"/>
  <c r="E216" i="7"/>
  <c r="L218" i="7"/>
  <c r="U223" i="7"/>
  <c r="W223" i="7" s="1"/>
  <c r="K236" i="7"/>
  <c r="O236" i="7"/>
  <c r="Q236" i="7"/>
  <c r="T235" i="7"/>
  <c r="U243" i="7"/>
  <c r="U275" i="7"/>
  <c r="W275" i="7" s="1"/>
  <c r="J283" i="7"/>
  <c r="T304" i="7"/>
  <c r="U395" i="7"/>
  <c r="W395" i="7" s="1"/>
  <c r="U466" i="7"/>
  <c r="W466" i="7" s="1"/>
  <c r="I477" i="7"/>
  <c r="I483" i="7" s="1"/>
  <c r="U511" i="7"/>
  <c r="G535" i="7"/>
  <c r="G518" i="7" s="1"/>
  <c r="I535" i="7"/>
  <c r="I518" i="7" s="1"/>
  <c r="K535" i="7"/>
  <c r="K518" i="7" s="1"/>
  <c r="T562" i="7"/>
  <c r="U562" i="7" s="1"/>
  <c r="W562" i="7" s="1"/>
  <c r="S545" i="7"/>
  <c r="S528" i="7" s="1"/>
  <c r="U644" i="7"/>
  <c r="W644" i="7" s="1"/>
  <c r="U646" i="7"/>
  <c r="O631" i="7"/>
  <c r="Q641" i="7"/>
  <c r="S641" i="7"/>
  <c r="U675" i="7"/>
  <c r="W675" i="7" s="1"/>
  <c r="U676" i="7"/>
  <c r="U710" i="7"/>
  <c r="W710" i="7" s="1"/>
  <c r="J439" i="7"/>
  <c r="H313" i="7"/>
  <c r="U310" i="7"/>
  <c r="U366" i="7"/>
  <c r="U394" i="7"/>
  <c r="W394" i="7" s="1"/>
  <c r="T398" i="7"/>
  <c r="U404" i="7"/>
  <c r="T406" i="7"/>
  <c r="U406" i="7" s="1"/>
  <c r="N439" i="7"/>
  <c r="U461" i="7"/>
  <c r="V464" i="7"/>
  <c r="L472" i="7"/>
  <c r="T473" i="7"/>
  <c r="G479" i="7"/>
  <c r="U496" i="7"/>
  <c r="U501" i="7"/>
  <c r="U502" i="7"/>
  <c r="T505" i="7"/>
  <c r="G515" i="7"/>
  <c r="H515" i="7" s="1"/>
  <c r="L533" i="7"/>
  <c r="M533" i="7" s="1"/>
  <c r="N533" i="7"/>
  <c r="N516" i="7" s="1"/>
  <c r="P533" i="7"/>
  <c r="P516" i="7" s="1"/>
  <c r="R533" i="7"/>
  <c r="R516" i="7" s="1"/>
  <c r="V533" i="7"/>
  <c r="V516" i="7" s="1"/>
  <c r="R534" i="7"/>
  <c r="R517" i="7" s="1"/>
  <c r="P553" i="7"/>
  <c r="G545" i="7"/>
  <c r="I545" i="7"/>
  <c r="I528" i="7" s="1"/>
  <c r="K545" i="7"/>
  <c r="K528" i="7" s="1"/>
  <c r="K20" i="7" s="1"/>
  <c r="U567" i="7"/>
  <c r="U572" i="7"/>
  <c r="K580" i="7"/>
  <c r="K565" i="7" s="1"/>
  <c r="L579" i="7"/>
  <c r="M579" i="7" s="1"/>
  <c r="T579" i="7"/>
  <c r="U599" i="7"/>
  <c r="T601" i="7"/>
  <c r="U603" i="7"/>
  <c r="L639" i="7"/>
  <c r="M639" i="7" s="1"/>
  <c r="T639" i="7"/>
  <c r="U645" i="7"/>
  <c r="W645" i="7" s="1"/>
  <c r="Q631" i="7"/>
  <c r="U654" i="7"/>
  <c r="W654" i="7" s="1"/>
  <c r="K641" i="7"/>
  <c r="T686" i="7"/>
  <c r="U686" i="7" s="1"/>
  <c r="U704" i="7"/>
  <c r="W704" i="7" s="1"/>
  <c r="U706" i="7"/>
  <c r="W706" i="7" s="1"/>
  <c r="U709" i="7"/>
  <c r="W709" i="7" s="1"/>
  <c r="U88" i="7"/>
  <c r="U89" i="7"/>
  <c r="T92" i="7"/>
  <c r="U98" i="7"/>
  <c r="W98" i="7" s="1"/>
  <c r="R144" i="7"/>
  <c r="T100" i="7"/>
  <c r="U706" i="11"/>
  <c r="M90" i="15"/>
  <c r="S483" i="19"/>
  <c r="T513" i="19"/>
  <c r="L477" i="19"/>
  <c r="M477" i="19" s="1"/>
  <c r="U492" i="18"/>
  <c r="W492" i="18" s="1"/>
  <c r="L513" i="18"/>
  <c r="M513" i="18" s="1"/>
  <c r="U507" i="18"/>
  <c r="W507" i="18" s="1"/>
  <c r="T477" i="18"/>
  <c r="T513" i="18"/>
  <c r="T498" i="18"/>
  <c r="T498" i="15"/>
  <c r="L498" i="15"/>
  <c r="M498" i="15" s="1"/>
  <c r="L498" i="13"/>
  <c r="M498" i="13" s="1"/>
  <c r="U492" i="13"/>
  <c r="W492" i="13" s="1"/>
  <c r="L498" i="9"/>
  <c r="M498" i="9" s="1"/>
  <c r="U507" i="9"/>
  <c r="W507" i="9" s="1"/>
  <c r="U507" i="8"/>
  <c r="W507" i="8" s="1"/>
  <c r="M507" i="8"/>
  <c r="U370" i="8"/>
  <c r="V656" i="8"/>
  <c r="V638" i="8"/>
  <c r="V652" i="8"/>
  <c r="J641" i="8"/>
  <c r="U428" i="18"/>
  <c r="I642" i="15"/>
  <c r="L170" i="19"/>
  <c r="M170" i="19" s="1"/>
  <c r="L165" i="19"/>
  <c r="M165" i="19" s="1"/>
  <c r="M180" i="19"/>
  <c r="L608" i="19"/>
  <c r="M608" i="19" s="1"/>
  <c r="J610" i="19"/>
  <c r="J565" i="19" s="1"/>
  <c r="U488" i="19"/>
  <c r="W488" i="19" s="1"/>
  <c r="M434" i="19"/>
  <c r="M372" i="19"/>
  <c r="U366" i="19"/>
  <c r="U369" i="19"/>
  <c r="G378" i="19"/>
  <c r="H378" i="19" s="1"/>
  <c r="I378" i="19" s="1"/>
  <c r="M195" i="19"/>
  <c r="M605" i="18"/>
  <c r="L605" i="18"/>
  <c r="J610" i="18"/>
  <c r="L478" i="18"/>
  <c r="M478" i="18" s="1"/>
  <c r="L497" i="18"/>
  <c r="L494" i="18"/>
  <c r="U488" i="18"/>
  <c r="H474" i="18"/>
  <c r="L435" i="18"/>
  <c r="U433" i="18"/>
  <c r="I437" i="18"/>
  <c r="I543" i="8"/>
  <c r="M634" i="8"/>
  <c r="X681" i="8"/>
  <c r="O640" i="8"/>
  <c r="U675" i="8"/>
  <c r="W675" i="8" s="1"/>
  <c r="U679" i="8"/>
  <c r="W679" i="8" s="1"/>
  <c r="R685" i="8"/>
  <c r="L627" i="8"/>
  <c r="M627" i="8" s="1"/>
  <c r="T628" i="8"/>
  <c r="R630" i="8"/>
  <c r="I637" i="8"/>
  <c r="T639" i="8"/>
  <c r="U674" i="8"/>
  <c r="W674" i="8" s="1"/>
  <c r="F687" i="8"/>
  <c r="J687" i="8"/>
  <c r="P687" i="8"/>
  <c r="U488" i="8"/>
  <c r="M372" i="8"/>
  <c r="J437" i="7"/>
  <c r="M435" i="7"/>
  <c r="M434" i="7" s="1"/>
  <c r="M606" i="7"/>
  <c r="M605" i="7" s="1"/>
  <c r="M576" i="7"/>
  <c r="M575" i="7" s="1"/>
  <c r="I580" i="7"/>
  <c r="I565" i="7" s="1"/>
  <c r="L559" i="7"/>
  <c r="J525" i="7"/>
  <c r="U569" i="7"/>
  <c r="X574" i="7" s="1"/>
  <c r="U488" i="7"/>
  <c r="M366" i="7"/>
  <c r="U90" i="7"/>
  <c r="X95" i="7" s="1"/>
  <c r="H630" i="15"/>
  <c r="L535" i="15"/>
  <c r="U653" i="13"/>
  <c r="U366" i="13"/>
  <c r="L478" i="11"/>
  <c r="M478" i="11" s="1"/>
  <c r="U493" i="11"/>
  <c r="W493" i="11" s="1"/>
  <c r="H474" i="11"/>
  <c r="U488" i="11"/>
  <c r="U90" i="11"/>
  <c r="W90" i="11" s="1"/>
  <c r="I512" i="9"/>
  <c r="I514" i="9"/>
  <c r="L478" i="9"/>
  <c r="M478" i="9" s="1"/>
  <c r="I474" i="9"/>
  <c r="K375" i="9"/>
  <c r="K360" i="9" s="1"/>
  <c r="U428" i="9"/>
  <c r="U366" i="9"/>
  <c r="W366" i="9" s="1"/>
  <c r="U94" i="9"/>
  <c r="W94" i="9" s="1"/>
  <c r="U139" i="7"/>
  <c r="T145" i="7"/>
  <c r="U145" i="7" s="1"/>
  <c r="M139" i="7"/>
  <c r="L605" i="19"/>
  <c r="I610" i="19"/>
  <c r="I525" i="19"/>
  <c r="U599" i="19"/>
  <c r="X604" i="19" s="1"/>
  <c r="U711" i="11"/>
  <c r="W230" i="8"/>
  <c r="W231" i="8" s="1"/>
  <c r="X463" i="13"/>
  <c r="W463" i="13"/>
  <c r="X307" i="13"/>
  <c r="W307" i="13"/>
  <c r="T542" i="15"/>
  <c r="O166" i="7"/>
  <c r="V186" i="7"/>
  <c r="V172" i="7"/>
  <c r="V190" i="7"/>
  <c r="W195" i="7"/>
  <c r="W230" i="9"/>
  <c r="H688" i="13"/>
  <c r="I688" i="13" s="1"/>
  <c r="W574" i="18"/>
  <c r="W200" i="19"/>
  <c r="W180" i="7"/>
  <c r="I166" i="7"/>
  <c r="U208" i="7"/>
  <c r="W208" i="7" s="1"/>
  <c r="J547" i="7"/>
  <c r="J530" i="7"/>
  <c r="R514" i="8"/>
  <c r="R480" i="8"/>
  <c r="N638" i="8"/>
  <c r="N655" i="8"/>
  <c r="N578" i="23" s="1"/>
  <c r="S101" i="9"/>
  <c r="S99" i="9"/>
  <c r="V190" i="9"/>
  <c r="V186" i="9"/>
  <c r="S211" i="9"/>
  <c r="U433" i="9"/>
  <c r="M433" i="9"/>
  <c r="U493" i="9"/>
  <c r="M493" i="9"/>
  <c r="W428" i="11"/>
  <c r="F528" i="11"/>
  <c r="F611" i="11"/>
  <c r="G611" i="11" s="1"/>
  <c r="H611" i="11" s="1"/>
  <c r="I611" i="11" s="1"/>
  <c r="J611" i="11" s="1"/>
  <c r="K611" i="11" s="1"/>
  <c r="N611" i="11" s="1"/>
  <c r="O611" i="11" s="1"/>
  <c r="F565" i="11"/>
  <c r="O630" i="11"/>
  <c r="L516" i="13"/>
  <c r="M516" i="13" s="1"/>
  <c r="F518" i="13"/>
  <c r="F523" i="13"/>
  <c r="L523" i="13" s="1"/>
  <c r="M523" i="13" s="1"/>
  <c r="U650" i="8"/>
  <c r="H544" i="11"/>
  <c r="L204" i="18"/>
  <c r="M204" i="18" s="1"/>
  <c r="P144" i="7"/>
  <c r="M180" i="7"/>
  <c r="K189" i="7"/>
  <c r="K189" i="23" s="1"/>
  <c r="O189" i="7"/>
  <c r="O189" i="23" s="1"/>
  <c r="Q204" i="7"/>
  <c r="Q204" i="23" s="1"/>
  <c r="F484" i="8"/>
  <c r="F485" i="8" s="1"/>
  <c r="J484" i="8"/>
  <c r="L564" i="8"/>
  <c r="M564" i="8" s="1"/>
  <c r="G440" i="9"/>
  <c r="H440" i="9" s="1"/>
  <c r="G237" i="11"/>
  <c r="T227" i="7"/>
  <c r="N212" i="7"/>
  <c r="N26" i="7" s="1"/>
  <c r="Q547" i="7"/>
  <c r="S377" i="8"/>
  <c r="U371" i="9"/>
  <c r="M371" i="9"/>
  <c r="I497" i="9"/>
  <c r="L534" i="9"/>
  <c r="I517" i="9"/>
  <c r="L459" i="11"/>
  <c r="G537" i="11"/>
  <c r="G539" i="11" s="1"/>
  <c r="K547" i="13"/>
  <c r="K524" i="13"/>
  <c r="Q553" i="13"/>
  <c r="L608" i="7"/>
  <c r="M608" i="7" s="1"/>
  <c r="F484" i="9"/>
  <c r="F485" i="9" s="1"/>
  <c r="G658" i="11"/>
  <c r="T144" i="11"/>
  <c r="O534" i="15"/>
  <c r="L249" i="18"/>
  <c r="M165" i="18"/>
  <c r="N220" i="7"/>
  <c r="G515" i="8"/>
  <c r="H515" i="8" s="1"/>
  <c r="I515" i="8" s="1"/>
  <c r="J515" i="8" s="1"/>
  <c r="K515" i="8" s="1"/>
  <c r="N515" i="8" s="1"/>
  <c r="W466" i="9"/>
  <c r="W651" i="11"/>
  <c r="J655" i="13"/>
  <c r="J657" i="13"/>
  <c r="J685" i="13"/>
  <c r="J687" i="13"/>
  <c r="N685" i="13"/>
  <c r="N687" i="13"/>
  <c r="R685" i="13"/>
  <c r="R687" i="13"/>
  <c r="P236" i="7"/>
  <c r="J236" i="7"/>
  <c r="U240" i="7"/>
  <c r="J251" i="7"/>
  <c r="P251" i="7"/>
  <c r="R251" i="7"/>
  <c r="U306" i="7"/>
  <c r="V309" i="7"/>
  <c r="G313" i="7"/>
  <c r="G314" i="7" s="1"/>
  <c r="H314" i="7" s="1"/>
  <c r="I314" i="7" s="1"/>
  <c r="J314" i="7" s="1"/>
  <c r="Q313" i="7"/>
  <c r="U400" i="7"/>
  <c r="T401" i="7"/>
  <c r="V403" i="7"/>
  <c r="V326" i="23" s="1"/>
  <c r="V325" i="23" s="1"/>
  <c r="U458" i="7"/>
  <c r="K469" i="7"/>
  <c r="V495" i="7"/>
  <c r="I498" i="7"/>
  <c r="P560" i="7"/>
  <c r="K578" i="7"/>
  <c r="F580" i="7"/>
  <c r="U602" i="7"/>
  <c r="W602" i="7" s="1"/>
  <c r="U651" i="7"/>
  <c r="W651" i="7" s="1"/>
  <c r="G655" i="7"/>
  <c r="K655" i="7"/>
  <c r="K578" i="23" s="1"/>
  <c r="Q655" i="7"/>
  <c r="Q578" i="23" s="1"/>
  <c r="H685" i="7"/>
  <c r="N685" i="7"/>
  <c r="P685" i="7"/>
  <c r="Q687" i="7"/>
  <c r="S717" i="7"/>
  <c r="U178" i="8"/>
  <c r="W178" i="8" s="1"/>
  <c r="I206" i="8"/>
  <c r="F220" i="8"/>
  <c r="L220" i="8" s="1"/>
  <c r="M220" i="8" s="1"/>
  <c r="J221" i="8"/>
  <c r="I249" i="8"/>
  <c r="I249" i="23" s="1"/>
  <c r="H251" i="8"/>
  <c r="P251" i="8"/>
  <c r="J251" i="8"/>
  <c r="T463" i="8"/>
  <c r="I469" i="8"/>
  <c r="N530" i="8"/>
  <c r="L646" i="8"/>
  <c r="M646" i="8" s="1"/>
  <c r="I655" i="8"/>
  <c r="H685" i="8"/>
  <c r="N685" i="8"/>
  <c r="N608" i="23" s="1"/>
  <c r="N175" i="9"/>
  <c r="U178" i="9"/>
  <c r="W178" i="9" s="1"/>
  <c r="O191" i="9"/>
  <c r="F220" i="9"/>
  <c r="U223" i="9"/>
  <c r="W223" i="9" s="1"/>
  <c r="F236" i="9"/>
  <c r="F237" i="9" s="1"/>
  <c r="G237" i="9" s="1"/>
  <c r="H237" i="9" s="1"/>
  <c r="I237" i="9" s="1"/>
  <c r="J236" i="9"/>
  <c r="U395" i="9"/>
  <c r="W395" i="9" s="1"/>
  <c r="H407" i="9"/>
  <c r="N407" i="9"/>
  <c r="V435" i="9"/>
  <c r="V420" i="9" s="1"/>
  <c r="Q439" i="9"/>
  <c r="H469" i="9"/>
  <c r="N469" i="9"/>
  <c r="R469" i="9"/>
  <c r="L508" i="9"/>
  <c r="V510" i="9"/>
  <c r="O514" i="9"/>
  <c r="S514" i="9"/>
  <c r="J146" i="11"/>
  <c r="U194" i="11"/>
  <c r="W194" i="11" s="1"/>
  <c r="T200" i="11"/>
  <c r="I206" i="11"/>
  <c r="Q206" i="11"/>
  <c r="F234" i="11"/>
  <c r="U239" i="11"/>
  <c r="W239" i="11" s="1"/>
  <c r="R283" i="11"/>
  <c r="U300" i="11"/>
  <c r="W300" i="11" s="1"/>
  <c r="I313" i="11"/>
  <c r="I377" i="11"/>
  <c r="U395" i="11"/>
  <c r="W395" i="11" s="1"/>
  <c r="H407" i="11"/>
  <c r="F407" i="11"/>
  <c r="F408" i="11" s="1"/>
  <c r="G408" i="11" s="1"/>
  <c r="U433" i="11"/>
  <c r="J469" i="11"/>
  <c r="S512" i="11"/>
  <c r="N514" i="11"/>
  <c r="U572" i="11"/>
  <c r="W572" i="11" s="1"/>
  <c r="G579" i="11"/>
  <c r="G564" i="11" s="1"/>
  <c r="U602" i="11"/>
  <c r="F608" i="11"/>
  <c r="F563" i="11" s="1"/>
  <c r="J608" i="11"/>
  <c r="J563" i="11" s="1"/>
  <c r="U645" i="11"/>
  <c r="W645" i="11" s="1"/>
  <c r="K146" i="13"/>
  <c r="Q146" i="13"/>
  <c r="U223" i="13"/>
  <c r="W223" i="13" s="1"/>
  <c r="T277" i="13"/>
  <c r="K377" i="13"/>
  <c r="S377" i="13"/>
  <c r="U395" i="13"/>
  <c r="W395" i="13" s="1"/>
  <c r="H407" i="13"/>
  <c r="N407" i="13"/>
  <c r="R407" i="13"/>
  <c r="K439" i="13"/>
  <c r="S439" i="13"/>
  <c r="U457" i="13"/>
  <c r="W457" i="13" s="1"/>
  <c r="H469" i="13"/>
  <c r="N469" i="13"/>
  <c r="R469" i="13"/>
  <c r="L486" i="13"/>
  <c r="M486" i="13" s="1"/>
  <c r="L488" i="13"/>
  <c r="M488" i="13" s="1"/>
  <c r="T498" i="13"/>
  <c r="G578" i="13"/>
  <c r="G563" i="13" s="1"/>
  <c r="K578" i="13"/>
  <c r="U604" i="13"/>
  <c r="W604" i="13" s="1"/>
  <c r="S608" i="13"/>
  <c r="S563" i="13" s="1"/>
  <c r="F610" i="13"/>
  <c r="H685" i="13"/>
  <c r="F217" i="7"/>
  <c r="J217" i="7"/>
  <c r="N217" i="7"/>
  <c r="R217" i="7"/>
  <c r="F234" i="7"/>
  <c r="F234" i="23" s="1"/>
  <c r="R234" i="7"/>
  <c r="H249" i="7"/>
  <c r="H249" i="23" s="1"/>
  <c r="N249" i="7"/>
  <c r="O251" i="7"/>
  <c r="F281" i="7"/>
  <c r="J281" i="7"/>
  <c r="P281" i="7"/>
  <c r="R281" i="7"/>
  <c r="I311" i="7"/>
  <c r="J375" i="7"/>
  <c r="R375" i="7"/>
  <c r="H477" i="7"/>
  <c r="H483" i="7" s="1"/>
  <c r="J477" i="7"/>
  <c r="J483" i="7" s="1"/>
  <c r="N477" i="7"/>
  <c r="N483" i="7" s="1"/>
  <c r="N498" i="7"/>
  <c r="R535" i="7"/>
  <c r="R518" i="7" s="1"/>
  <c r="P547" i="7"/>
  <c r="J610" i="7"/>
  <c r="Q638" i="7"/>
  <c r="R687" i="7"/>
  <c r="G717" i="7"/>
  <c r="V91" i="8"/>
  <c r="V181" i="8"/>
  <c r="G204" i="8"/>
  <c r="G174" i="8" s="1"/>
  <c r="K204" i="8"/>
  <c r="K174" i="8" s="1"/>
  <c r="O204" i="8"/>
  <c r="F212" i="8"/>
  <c r="H217" i="8"/>
  <c r="N217" i="8"/>
  <c r="P217" i="8"/>
  <c r="R217" i="8"/>
  <c r="P234" i="8"/>
  <c r="V241" i="8"/>
  <c r="F249" i="8"/>
  <c r="N249" i="8"/>
  <c r="R249" i="8"/>
  <c r="R219" i="8" s="1"/>
  <c r="T371" i="8"/>
  <c r="G467" i="8"/>
  <c r="G422" i="8" s="1"/>
  <c r="K467" i="8"/>
  <c r="K422" i="8" s="1"/>
  <c r="O467" i="8"/>
  <c r="O422" i="8" s="1"/>
  <c r="H475" i="8"/>
  <c r="J479" i="8"/>
  <c r="N542" i="8"/>
  <c r="F545" i="8"/>
  <c r="N553" i="8"/>
  <c r="R580" i="8"/>
  <c r="I631" i="8"/>
  <c r="N631" i="8"/>
  <c r="P638" i="8"/>
  <c r="P637" i="8" s="1"/>
  <c r="T95" i="9"/>
  <c r="V136" i="9"/>
  <c r="T140" i="9"/>
  <c r="N144" i="9"/>
  <c r="N69" i="9" s="1"/>
  <c r="F166" i="9"/>
  <c r="N167" i="9"/>
  <c r="V167" i="9"/>
  <c r="O172" i="9"/>
  <c r="V181" i="9"/>
  <c r="Q189" i="9"/>
  <c r="F216" i="9"/>
  <c r="G217" i="9"/>
  <c r="K217" i="9"/>
  <c r="O217" i="9"/>
  <c r="N234" i="9"/>
  <c r="R234" i="9"/>
  <c r="R219" i="9" s="1"/>
  <c r="V367" i="9"/>
  <c r="R405" i="9"/>
  <c r="K437" i="9"/>
  <c r="K422" i="9" s="1"/>
  <c r="S437" i="9"/>
  <c r="J467" i="9"/>
  <c r="G479" i="9"/>
  <c r="E525" i="9"/>
  <c r="E526" i="9" s="1"/>
  <c r="V91" i="11"/>
  <c r="H144" i="11"/>
  <c r="H69" i="11" s="1"/>
  <c r="F167" i="11"/>
  <c r="N167" i="11"/>
  <c r="V167" i="11"/>
  <c r="T169" i="11"/>
  <c r="U169" i="11" s="1"/>
  <c r="S170" i="11"/>
  <c r="G172" i="11"/>
  <c r="K172" i="11"/>
  <c r="Q172" i="11"/>
  <c r="K189" i="11"/>
  <c r="G204" i="11"/>
  <c r="K204" i="11"/>
  <c r="O204" i="11"/>
  <c r="T204" i="11" s="1"/>
  <c r="K216" i="11"/>
  <c r="F217" i="11"/>
  <c r="J217" i="11"/>
  <c r="I234" i="11"/>
  <c r="J236" i="11"/>
  <c r="O311" i="11"/>
  <c r="V367" i="11"/>
  <c r="N376" i="11"/>
  <c r="Q375" i="11"/>
  <c r="Q360" i="11" s="1"/>
  <c r="Q343" i="11" s="1"/>
  <c r="N405" i="11"/>
  <c r="N360" i="11" s="1"/>
  <c r="F467" i="11"/>
  <c r="F422" i="11" s="1"/>
  <c r="H467" i="11"/>
  <c r="H422" i="11" s="1"/>
  <c r="I469" i="11"/>
  <c r="F475" i="11"/>
  <c r="S478" i="11"/>
  <c r="F480" i="11"/>
  <c r="J480" i="11"/>
  <c r="F512" i="11"/>
  <c r="J512" i="11"/>
  <c r="O514" i="11"/>
  <c r="R512" i="11"/>
  <c r="R482" i="11" s="1"/>
  <c r="S524" i="11"/>
  <c r="S530" i="11" s="1"/>
  <c r="F533" i="11"/>
  <c r="F516" i="11" s="1"/>
  <c r="Q535" i="11"/>
  <c r="Q518" i="11" s="1"/>
  <c r="F540" i="11"/>
  <c r="N545" i="11"/>
  <c r="O551" i="11"/>
  <c r="G541" i="11"/>
  <c r="N580" i="11"/>
  <c r="R580" i="11"/>
  <c r="V96" i="13"/>
  <c r="N172" i="13"/>
  <c r="N189" i="13"/>
  <c r="R189" i="13"/>
  <c r="I217" i="13"/>
  <c r="I50" i="13" s="1"/>
  <c r="H234" i="13"/>
  <c r="I236" i="13"/>
  <c r="N234" i="13"/>
  <c r="R234" i="13"/>
  <c r="I281" i="13"/>
  <c r="Q281" i="13"/>
  <c r="Q266" i="13" s="1"/>
  <c r="I375" i="13"/>
  <c r="I360" i="13" s="1"/>
  <c r="Q375" i="13"/>
  <c r="Q360" i="13" s="1"/>
  <c r="F405" i="13"/>
  <c r="F360" i="13" s="1"/>
  <c r="J405" i="13"/>
  <c r="J360" i="13" s="1"/>
  <c r="J467" i="13"/>
  <c r="J422" i="13" s="1"/>
  <c r="V475" i="13"/>
  <c r="N480" i="13"/>
  <c r="R480" i="13"/>
  <c r="V489" i="13"/>
  <c r="T516" i="13"/>
  <c r="U516" i="13" s="1"/>
  <c r="H524" i="13"/>
  <c r="R524" i="13"/>
  <c r="R530" i="13" s="1"/>
  <c r="F534" i="13"/>
  <c r="F517" i="13" s="1"/>
  <c r="G560" i="13"/>
  <c r="Q610" i="13"/>
  <c r="U684" i="13"/>
  <c r="W684" i="13" s="1"/>
  <c r="G146" i="15"/>
  <c r="G147" i="15" s="1"/>
  <c r="H147" i="15" s="1"/>
  <c r="G144" i="15"/>
  <c r="G69" i="15" s="1"/>
  <c r="I146" i="15"/>
  <c r="I144" i="15"/>
  <c r="I69" i="15" s="1"/>
  <c r="L241" i="15"/>
  <c r="M242" i="15"/>
  <c r="M241" i="15" s="1"/>
  <c r="W428" i="15"/>
  <c r="W569" i="15"/>
  <c r="U139" i="15"/>
  <c r="W140" i="15"/>
  <c r="S146" i="15"/>
  <c r="L145" i="15"/>
  <c r="Q146" i="15"/>
  <c r="T471" i="15"/>
  <c r="U471" i="15" s="1"/>
  <c r="G640" i="15"/>
  <c r="H219" i="18"/>
  <c r="X310" i="18"/>
  <c r="O146" i="15"/>
  <c r="O144" i="15"/>
  <c r="O69" i="15" s="1"/>
  <c r="O523" i="15"/>
  <c r="T523" i="15" s="1"/>
  <c r="O547" i="15"/>
  <c r="Q524" i="15"/>
  <c r="T648" i="15"/>
  <c r="T631" i="15"/>
  <c r="V468" i="18"/>
  <c r="V464" i="18"/>
  <c r="R191" i="15"/>
  <c r="U193" i="15"/>
  <c r="W193" i="15" s="1"/>
  <c r="K236" i="15"/>
  <c r="U239" i="15"/>
  <c r="W239" i="15" s="1"/>
  <c r="U244" i="15"/>
  <c r="T245" i="15"/>
  <c r="K251" i="15"/>
  <c r="Q251" i="15"/>
  <c r="F283" i="15"/>
  <c r="F284" i="15" s="1"/>
  <c r="G284" i="15" s="1"/>
  <c r="H284" i="15" s="1"/>
  <c r="I284" i="15" s="1"/>
  <c r="N283" i="15"/>
  <c r="U306" i="15"/>
  <c r="T307" i="15"/>
  <c r="H407" i="15"/>
  <c r="F407" i="15"/>
  <c r="F408" i="15" s="1"/>
  <c r="G408" i="15" s="1"/>
  <c r="U433" i="15"/>
  <c r="X433" i="15" s="1"/>
  <c r="I439" i="15"/>
  <c r="S439" i="15"/>
  <c r="Q439" i="15"/>
  <c r="T486" i="15"/>
  <c r="U486" i="15" s="1"/>
  <c r="R514" i="15"/>
  <c r="E543" i="15"/>
  <c r="U574" i="15"/>
  <c r="U602" i="15"/>
  <c r="W602" i="15" s="1"/>
  <c r="U649" i="15"/>
  <c r="W649" i="15" s="1"/>
  <c r="J655" i="15"/>
  <c r="J685" i="15"/>
  <c r="L685" i="15" s="1"/>
  <c r="M685" i="15" s="1"/>
  <c r="T685" i="15"/>
  <c r="U705" i="15"/>
  <c r="W705" i="15" s="1"/>
  <c r="G100" i="18"/>
  <c r="S100" i="18"/>
  <c r="S101" i="18" s="1"/>
  <c r="U193" i="18"/>
  <c r="W193" i="18" s="1"/>
  <c r="N206" i="18"/>
  <c r="J206" i="18"/>
  <c r="H251" i="18"/>
  <c r="H252" i="18" s="1"/>
  <c r="I252" i="18" s="1"/>
  <c r="J252" i="18" s="1"/>
  <c r="K252" i="18" s="1"/>
  <c r="N252" i="18" s="1"/>
  <c r="O252" i="18" s="1"/>
  <c r="P252" i="18" s="1"/>
  <c r="Q252" i="18" s="1"/>
  <c r="T277" i="18"/>
  <c r="I283" i="18"/>
  <c r="T307" i="18"/>
  <c r="V406" i="18"/>
  <c r="V402" i="18"/>
  <c r="V494" i="18"/>
  <c r="I560" i="18"/>
  <c r="H172" i="15"/>
  <c r="H33" i="15" s="1"/>
  <c r="R172" i="15"/>
  <c r="R33" i="15" s="1"/>
  <c r="R37" i="15" s="1"/>
  <c r="H189" i="15"/>
  <c r="R204" i="15"/>
  <c r="V212" i="15"/>
  <c r="G217" i="15"/>
  <c r="G50" i="15" s="1"/>
  <c r="K217" i="15"/>
  <c r="K50" i="15" s="1"/>
  <c r="K54" i="15" s="1"/>
  <c r="Q217" i="15"/>
  <c r="Q50" i="15" s="1"/>
  <c r="Q49" i="15" s="1"/>
  <c r="G234" i="15"/>
  <c r="Q234" i="15"/>
  <c r="V273" i="15"/>
  <c r="O283" i="15"/>
  <c r="R281" i="15"/>
  <c r="R266" i="15" s="1"/>
  <c r="V303" i="15"/>
  <c r="I311" i="15"/>
  <c r="O311" i="15"/>
  <c r="N405" i="15"/>
  <c r="N360" i="15" s="1"/>
  <c r="G437" i="15"/>
  <c r="G422" i="15" s="1"/>
  <c r="G343" i="15" s="1"/>
  <c r="H439" i="15"/>
  <c r="K437" i="15"/>
  <c r="K422" i="15" s="1"/>
  <c r="K343" i="15" s="1"/>
  <c r="O437" i="15"/>
  <c r="O422" i="15" s="1"/>
  <c r="O343" i="15" s="1"/>
  <c r="F467" i="15"/>
  <c r="F422" i="15" s="1"/>
  <c r="J467" i="15"/>
  <c r="J422" i="15" s="1"/>
  <c r="F517" i="15"/>
  <c r="L517" i="15" s="1"/>
  <c r="M517" i="15" s="1"/>
  <c r="F518" i="15"/>
  <c r="F523" i="15"/>
  <c r="L523" i="15" s="1"/>
  <c r="M523" i="15" s="1"/>
  <c r="H524" i="15"/>
  <c r="R524" i="15"/>
  <c r="N533" i="15"/>
  <c r="G547" i="15"/>
  <c r="I544" i="15"/>
  <c r="N564" i="15"/>
  <c r="N638" i="15"/>
  <c r="R638" i="15"/>
  <c r="F641" i="15"/>
  <c r="N641" i="15"/>
  <c r="T646" i="15"/>
  <c r="U646" i="15" s="1"/>
  <c r="N657" i="15"/>
  <c r="R657" i="15"/>
  <c r="H687" i="15"/>
  <c r="N687" i="15"/>
  <c r="R687" i="15"/>
  <c r="I99" i="18"/>
  <c r="H172" i="18"/>
  <c r="N172" i="18"/>
  <c r="H189" i="18"/>
  <c r="N189" i="18"/>
  <c r="U394" i="18"/>
  <c r="W394" i="18" s="1"/>
  <c r="U396" i="18"/>
  <c r="X466" i="18"/>
  <c r="W681" i="18"/>
  <c r="W682" i="18" s="1"/>
  <c r="R219" i="19"/>
  <c r="V609" i="19"/>
  <c r="V605" i="19"/>
  <c r="G407" i="18"/>
  <c r="G408" i="18" s="1"/>
  <c r="H408" i="18" s="1"/>
  <c r="I408" i="18" s="1"/>
  <c r="J408" i="18" s="1"/>
  <c r="L432" i="18"/>
  <c r="J439" i="18"/>
  <c r="U456" i="18"/>
  <c r="W456" i="18" s="1"/>
  <c r="G469" i="18"/>
  <c r="G470" i="18" s="1"/>
  <c r="H470" i="18" s="1"/>
  <c r="I470" i="18" s="1"/>
  <c r="J470" i="18" s="1"/>
  <c r="K470" i="18" s="1"/>
  <c r="N470" i="18" s="1"/>
  <c r="V510" i="18"/>
  <c r="V480" i="18" s="1"/>
  <c r="U572" i="18"/>
  <c r="W572" i="18" s="1"/>
  <c r="N578" i="18"/>
  <c r="N563" i="18" s="1"/>
  <c r="R578" i="18"/>
  <c r="U602" i="18"/>
  <c r="W602" i="18" s="1"/>
  <c r="K608" i="18"/>
  <c r="K563" i="18" s="1"/>
  <c r="U644" i="18"/>
  <c r="W644" i="18" s="1"/>
  <c r="U675" i="18"/>
  <c r="W675" i="18" s="1"/>
  <c r="I685" i="18"/>
  <c r="S685" i="18"/>
  <c r="U704" i="18"/>
  <c r="W704" i="18" s="1"/>
  <c r="U706" i="18"/>
  <c r="N101" i="19"/>
  <c r="V141" i="19"/>
  <c r="I146" i="19"/>
  <c r="Q146" i="19"/>
  <c r="L185" i="19"/>
  <c r="K191" i="19"/>
  <c r="Q206" i="19"/>
  <c r="U239" i="19"/>
  <c r="W239" i="19" s="1"/>
  <c r="I251" i="19"/>
  <c r="Q251" i="19"/>
  <c r="H298" i="19"/>
  <c r="N298" i="19"/>
  <c r="R298" i="19"/>
  <c r="U300" i="19"/>
  <c r="W300" i="19" s="1"/>
  <c r="V309" i="19"/>
  <c r="I313" i="19"/>
  <c r="Q313" i="19"/>
  <c r="P630" i="19"/>
  <c r="R630" i="19"/>
  <c r="V397" i="18"/>
  <c r="V459" i="18"/>
  <c r="S473" i="18"/>
  <c r="T473" i="18" s="1"/>
  <c r="I475" i="18"/>
  <c r="I474" i="18" s="1"/>
  <c r="N475" i="18"/>
  <c r="V475" i="18"/>
  <c r="J480" i="18"/>
  <c r="N480" i="18"/>
  <c r="R480" i="18"/>
  <c r="K512" i="18"/>
  <c r="N514" i="18"/>
  <c r="G524" i="18"/>
  <c r="F533" i="18"/>
  <c r="N534" i="18"/>
  <c r="F535" i="18"/>
  <c r="N537" i="18"/>
  <c r="N539" i="18" s="1"/>
  <c r="N540" i="18"/>
  <c r="N17" i="18" s="1"/>
  <c r="F637" i="18"/>
  <c r="G638" i="18"/>
  <c r="I638" i="18"/>
  <c r="I637" i="18" s="1"/>
  <c r="K638" i="18"/>
  <c r="K637" i="18" s="1"/>
  <c r="N638" i="18"/>
  <c r="R638" i="18"/>
  <c r="N641" i="18"/>
  <c r="G687" i="18"/>
  <c r="K687" i="18"/>
  <c r="F99" i="19"/>
  <c r="F69" i="19" s="1"/>
  <c r="G144" i="19"/>
  <c r="K144" i="19"/>
  <c r="O144" i="19"/>
  <c r="S144" i="19"/>
  <c r="H169" i="19"/>
  <c r="S170" i="19"/>
  <c r="N172" i="19"/>
  <c r="P172" i="19"/>
  <c r="R172" i="19"/>
  <c r="O204" i="19"/>
  <c r="G217" i="19"/>
  <c r="I217" i="19"/>
  <c r="K217" i="19"/>
  <c r="Q217" i="19"/>
  <c r="O234" i="19"/>
  <c r="G249" i="19"/>
  <c r="K249" i="19"/>
  <c r="O249" i="19"/>
  <c r="G311" i="19"/>
  <c r="K311" i="19"/>
  <c r="O311" i="19"/>
  <c r="U364" i="19"/>
  <c r="U365" i="19"/>
  <c r="X463" i="19"/>
  <c r="L641" i="19"/>
  <c r="M641" i="19" s="1"/>
  <c r="T641" i="19"/>
  <c r="M395" i="19"/>
  <c r="H405" i="19"/>
  <c r="H360" i="19" s="1"/>
  <c r="J405" i="19"/>
  <c r="J360" i="19" s="1"/>
  <c r="N405" i="19"/>
  <c r="N360" i="19" s="1"/>
  <c r="P405" i="19"/>
  <c r="P360" i="19" s="1"/>
  <c r="R405" i="19"/>
  <c r="R360" i="19" s="1"/>
  <c r="V429" i="19"/>
  <c r="I437" i="19"/>
  <c r="I422" i="19" s="1"/>
  <c r="I343" i="19" s="1"/>
  <c r="K437" i="19"/>
  <c r="K422" i="19" s="1"/>
  <c r="K343" i="19" s="1"/>
  <c r="F467" i="19"/>
  <c r="F422" i="19" s="1"/>
  <c r="T493" i="19"/>
  <c r="V504" i="19"/>
  <c r="L508" i="19"/>
  <c r="R512" i="19"/>
  <c r="M645" i="19"/>
  <c r="M649" i="19"/>
  <c r="G657" i="19"/>
  <c r="K657" i="19"/>
  <c r="O657" i="19"/>
  <c r="S657" i="19"/>
  <c r="M674" i="19"/>
  <c r="F687" i="19"/>
  <c r="H687" i="19"/>
  <c r="J687" i="19"/>
  <c r="N687" i="19"/>
  <c r="P687" i="19"/>
  <c r="R687" i="19"/>
  <c r="M709" i="19"/>
  <c r="L428" i="19"/>
  <c r="U428" i="19" s="1"/>
  <c r="L493" i="19"/>
  <c r="P531" i="23" l="1"/>
  <c r="I350" i="7"/>
  <c r="O563" i="15"/>
  <c r="N563" i="13"/>
  <c r="Q189" i="23"/>
  <c r="F26" i="9"/>
  <c r="F28" i="9" s="1"/>
  <c r="Q69" i="9"/>
  <c r="Q144" i="23"/>
  <c r="J390" i="23"/>
  <c r="H328" i="23"/>
  <c r="J328" i="23"/>
  <c r="R328" i="23"/>
  <c r="R234" i="23"/>
  <c r="M540" i="9"/>
  <c r="U540" i="9"/>
  <c r="W540" i="9" s="1"/>
  <c r="M557" i="9"/>
  <c r="U557" i="9"/>
  <c r="Q422" i="9"/>
  <c r="Q360" i="23"/>
  <c r="J249" i="23"/>
  <c r="K234" i="23"/>
  <c r="G189" i="23"/>
  <c r="N328" i="23"/>
  <c r="N234" i="23"/>
  <c r="F171" i="9"/>
  <c r="F33" i="9"/>
  <c r="F19" i="9" s="1"/>
  <c r="F12" i="9" s="1"/>
  <c r="V266" i="23"/>
  <c r="O144" i="23"/>
  <c r="R514" i="19"/>
  <c r="N361" i="11"/>
  <c r="N377" i="11"/>
  <c r="U633" i="13"/>
  <c r="L575" i="15"/>
  <c r="U559" i="15"/>
  <c r="W559" i="15" s="1"/>
  <c r="L563" i="15"/>
  <c r="M563" i="15" s="1"/>
  <c r="K563" i="19"/>
  <c r="K546" i="19" s="1"/>
  <c r="K529" i="19" s="1"/>
  <c r="J345" i="19"/>
  <c r="K531" i="23"/>
  <c r="K563" i="13"/>
  <c r="S484" i="23"/>
  <c r="G18" i="28"/>
  <c r="H18" i="28" s="1"/>
  <c r="L480" i="8"/>
  <c r="U552" i="15"/>
  <c r="J525" i="9"/>
  <c r="J526" i="9" s="1"/>
  <c r="K18" i="9"/>
  <c r="J36" i="9"/>
  <c r="J18" i="9"/>
  <c r="I36" i="9"/>
  <c r="I18" i="9"/>
  <c r="J420" i="23"/>
  <c r="V68" i="23"/>
  <c r="W68" i="23" s="1"/>
  <c r="X574" i="15"/>
  <c r="S141" i="23"/>
  <c r="H563" i="13"/>
  <c r="U556" i="11"/>
  <c r="W603" i="19"/>
  <c r="V51" i="23"/>
  <c r="W558" i="15"/>
  <c r="W573" i="15"/>
  <c r="H483" i="9"/>
  <c r="H484" i="9" s="1"/>
  <c r="H18" i="9"/>
  <c r="G36" i="9"/>
  <c r="G18" i="9"/>
  <c r="I298" i="23"/>
  <c r="O298" i="23"/>
  <c r="Q298" i="23"/>
  <c r="W508" i="13"/>
  <c r="X508" i="13"/>
  <c r="H608" i="23"/>
  <c r="R608" i="23"/>
  <c r="W706" i="13"/>
  <c r="X711" i="13"/>
  <c r="W710" i="13"/>
  <c r="W680" i="13"/>
  <c r="W679" i="13"/>
  <c r="X684" i="13"/>
  <c r="W709" i="13"/>
  <c r="X714" i="13"/>
  <c r="V630" i="13"/>
  <c r="V633" i="13"/>
  <c r="W633" i="13" s="1"/>
  <c r="L608" i="13"/>
  <c r="M608" i="13" s="1"/>
  <c r="J563" i="13"/>
  <c r="H537" i="13"/>
  <c r="H539" i="13" s="1"/>
  <c r="H556" i="13"/>
  <c r="Q537" i="13"/>
  <c r="Q539" i="13" s="1"/>
  <c r="Q556" i="13"/>
  <c r="W603" i="13"/>
  <c r="S531" i="23"/>
  <c r="I537" i="13"/>
  <c r="I556" i="13"/>
  <c r="X607" i="13"/>
  <c r="X604" i="13"/>
  <c r="W557" i="13"/>
  <c r="F546" i="13"/>
  <c r="F529" i="13" s="1"/>
  <c r="G537" i="13"/>
  <c r="G556" i="13"/>
  <c r="R537" i="13"/>
  <c r="R539" i="13" s="1"/>
  <c r="R556" i="13"/>
  <c r="W569" i="13"/>
  <c r="X574" i="13"/>
  <c r="Q630" i="15"/>
  <c r="Q633" i="15"/>
  <c r="T633" i="15" s="1"/>
  <c r="U633" i="15" s="1"/>
  <c r="W633" i="15" s="1"/>
  <c r="V638" i="15"/>
  <c r="V637" i="15" s="1"/>
  <c r="V652" i="15"/>
  <c r="V656" i="15"/>
  <c r="V641" i="15" s="1"/>
  <c r="F537" i="18"/>
  <c r="F539" i="18" s="1"/>
  <c r="F633" i="18"/>
  <c r="K523" i="18"/>
  <c r="K17" i="18"/>
  <c r="G523" i="18"/>
  <c r="G530" i="18" s="1"/>
  <c r="G17" i="18"/>
  <c r="J523" i="18"/>
  <c r="J17" i="18"/>
  <c r="S608" i="23"/>
  <c r="G630" i="18"/>
  <c r="G633" i="18"/>
  <c r="J630" i="18"/>
  <c r="J633" i="18"/>
  <c r="S523" i="18"/>
  <c r="S17" i="18"/>
  <c r="I523" i="18"/>
  <c r="I17" i="18"/>
  <c r="R523" i="18"/>
  <c r="R17" i="18"/>
  <c r="H523" i="18"/>
  <c r="H530" i="18" s="1"/>
  <c r="H531" i="18" s="1"/>
  <c r="H17" i="18"/>
  <c r="T633" i="18"/>
  <c r="F520" i="18"/>
  <c r="F522" i="18" s="1"/>
  <c r="V633" i="19"/>
  <c r="V630" i="19"/>
  <c r="F523" i="19"/>
  <c r="L523" i="19" s="1"/>
  <c r="L540" i="19"/>
  <c r="W602" i="11"/>
  <c r="X607" i="11"/>
  <c r="Q563" i="23"/>
  <c r="W646" i="11"/>
  <c r="X651" i="11"/>
  <c r="X604" i="11"/>
  <c r="S546" i="11"/>
  <c r="S529" i="11" s="1"/>
  <c r="W679" i="11"/>
  <c r="X684" i="11"/>
  <c r="W649" i="11"/>
  <c r="X654" i="11"/>
  <c r="W676" i="11"/>
  <c r="X681" i="11"/>
  <c r="W603" i="11"/>
  <c r="N531" i="23"/>
  <c r="J608" i="23"/>
  <c r="U634" i="11"/>
  <c r="J531" i="23"/>
  <c r="Q546" i="11"/>
  <c r="Q529" i="11" s="1"/>
  <c r="Q563" i="11"/>
  <c r="Q531" i="23"/>
  <c r="Q486" i="23" s="1"/>
  <c r="W650" i="11"/>
  <c r="R531" i="23"/>
  <c r="F608" i="23"/>
  <c r="U633" i="11"/>
  <c r="W633" i="11" s="1"/>
  <c r="W569" i="11"/>
  <c r="X574" i="11"/>
  <c r="X636" i="7"/>
  <c r="P608" i="23"/>
  <c r="P563" i="23" s="1"/>
  <c r="I578" i="23"/>
  <c r="G642" i="7"/>
  <c r="U628" i="7"/>
  <c r="W628" i="7" s="1"/>
  <c r="I642" i="7"/>
  <c r="U635" i="7"/>
  <c r="U627" i="7"/>
  <c r="W627" i="7" s="1"/>
  <c r="W634" i="7"/>
  <c r="F530" i="7"/>
  <c r="M683" i="7"/>
  <c r="M682" i="7" s="1"/>
  <c r="I605" i="23"/>
  <c r="O608" i="23"/>
  <c r="O563" i="23" s="1"/>
  <c r="K608" i="23"/>
  <c r="K563" i="23" s="1"/>
  <c r="I608" i="23"/>
  <c r="G608" i="23"/>
  <c r="V559" i="23"/>
  <c r="W604" i="7"/>
  <c r="X604" i="7"/>
  <c r="W599" i="7"/>
  <c r="L523" i="8"/>
  <c r="N249" i="23"/>
  <c r="H537" i="8"/>
  <c r="H556" i="8"/>
  <c r="P69" i="8"/>
  <c r="P144" i="23"/>
  <c r="J537" i="8"/>
  <c r="J556" i="8"/>
  <c r="V358" i="8"/>
  <c r="V296" i="23"/>
  <c r="V295" i="23" s="1"/>
  <c r="N69" i="8"/>
  <c r="N144" i="23"/>
  <c r="F249" i="23"/>
  <c r="F524" i="8"/>
  <c r="F530" i="8" s="1"/>
  <c r="T578" i="8"/>
  <c r="O563" i="8"/>
  <c r="R501" i="23"/>
  <c r="R486" i="23" s="1"/>
  <c r="R563" i="8"/>
  <c r="I563" i="8"/>
  <c r="K553" i="8"/>
  <c r="K556" i="8"/>
  <c r="V187" i="23"/>
  <c r="V186" i="23" s="1"/>
  <c r="P563" i="8"/>
  <c r="J563" i="8"/>
  <c r="P234" i="23"/>
  <c r="J234" i="23"/>
  <c r="V513" i="8"/>
  <c r="V433" i="23"/>
  <c r="V432" i="23" s="1"/>
  <c r="F563" i="8"/>
  <c r="S556" i="8"/>
  <c r="P556" i="8"/>
  <c r="N556" i="8"/>
  <c r="N537" i="8"/>
  <c r="F537" i="8"/>
  <c r="V562" i="23"/>
  <c r="W562" i="23" s="1"/>
  <c r="W577" i="23"/>
  <c r="V575" i="23"/>
  <c r="V485" i="23"/>
  <c r="W500" i="23"/>
  <c r="R556" i="8"/>
  <c r="R537" i="8"/>
  <c r="O556" i="8"/>
  <c r="O537" i="8"/>
  <c r="N563" i="23"/>
  <c r="I556" i="8"/>
  <c r="I537" i="8"/>
  <c r="H501" i="23"/>
  <c r="H563" i="8"/>
  <c r="R69" i="8"/>
  <c r="R144" i="23"/>
  <c r="V67" i="8"/>
  <c r="V97" i="23"/>
  <c r="V96" i="23" s="1"/>
  <c r="V498" i="8"/>
  <c r="V418" i="23"/>
  <c r="V417" i="23" s="1"/>
  <c r="K501" i="23"/>
  <c r="K563" i="8"/>
  <c r="G501" i="23"/>
  <c r="G563" i="8"/>
  <c r="G556" i="8"/>
  <c r="G537" i="8"/>
  <c r="R249" i="23"/>
  <c r="S247" i="23"/>
  <c r="N501" i="23"/>
  <c r="N486" i="23" s="1"/>
  <c r="N563" i="8"/>
  <c r="V686" i="8"/>
  <c r="V641" i="8" s="1"/>
  <c r="V606" i="23"/>
  <c r="V605" i="23" s="1"/>
  <c r="S563" i="8"/>
  <c r="V554" i="23"/>
  <c r="V570" i="23"/>
  <c r="X711" i="11"/>
  <c r="V609" i="18"/>
  <c r="V529" i="23"/>
  <c r="V528" i="23" s="1"/>
  <c r="V605" i="18"/>
  <c r="U210" i="18"/>
  <c r="W210" i="18" s="1"/>
  <c r="J36" i="19"/>
  <c r="J18" i="19"/>
  <c r="J3" i="19" s="1"/>
  <c r="K36" i="19"/>
  <c r="K18" i="19"/>
  <c r="K3" i="19" s="1"/>
  <c r="I36" i="19"/>
  <c r="I18" i="19"/>
  <c r="I3" i="19" s="1"/>
  <c r="G36" i="19"/>
  <c r="G18" i="19"/>
  <c r="G3" i="19" s="1"/>
  <c r="T211" i="18"/>
  <c r="T231" i="18"/>
  <c r="O204" i="23"/>
  <c r="R422" i="8"/>
  <c r="R360" i="23"/>
  <c r="H422" i="8"/>
  <c r="K390" i="23"/>
  <c r="F328" i="23"/>
  <c r="O390" i="23"/>
  <c r="N422" i="8"/>
  <c r="G390" i="23"/>
  <c r="G328" i="23"/>
  <c r="G470" i="8"/>
  <c r="H470" i="8" s="1"/>
  <c r="I470" i="8" s="1"/>
  <c r="J470" i="8" s="1"/>
  <c r="K470" i="8" s="1"/>
  <c r="N470" i="8" s="1"/>
  <c r="O470" i="8" s="1"/>
  <c r="P470" i="8" s="1"/>
  <c r="P422" i="8"/>
  <c r="J422" i="8"/>
  <c r="V420" i="8"/>
  <c r="V358" i="23"/>
  <c r="V357" i="23" s="1"/>
  <c r="R424" i="8"/>
  <c r="O415" i="8"/>
  <c r="N353" i="8"/>
  <c r="O424" i="8"/>
  <c r="R360" i="8"/>
  <c r="N360" i="8"/>
  <c r="N298" i="23"/>
  <c r="I412" i="7"/>
  <c r="I334" i="7"/>
  <c r="V468" i="7"/>
  <c r="V388" i="23"/>
  <c r="V387" i="23" s="1"/>
  <c r="V265" i="23"/>
  <c r="W265" i="23" s="1"/>
  <c r="W282" i="23"/>
  <c r="I219" i="7"/>
  <c r="I234" i="23"/>
  <c r="S189" i="7"/>
  <c r="U163" i="7"/>
  <c r="W163" i="7" s="1"/>
  <c r="H192" i="7"/>
  <c r="V48" i="7"/>
  <c r="X230" i="7"/>
  <c r="U242" i="7"/>
  <c r="U213" i="7"/>
  <c r="W213" i="7" s="1"/>
  <c r="U247" i="7"/>
  <c r="P219" i="7"/>
  <c r="G219" i="7"/>
  <c r="R174" i="7"/>
  <c r="N263" i="7"/>
  <c r="K219" i="7"/>
  <c r="Q36" i="7"/>
  <c r="K36" i="7"/>
  <c r="G36" i="7"/>
  <c r="V34" i="23"/>
  <c r="W51" i="23"/>
  <c r="V530" i="19"/>
  <c r="V18" i="19"/>
  <c r="V579" i="19"/>
  <c r="V561" i="19"/>
  <c r="V560" i="19" s="1"/>
  <c r="V575" i="19"/>
  <c r="W579" i="19"/>
  <c r="V556" i="19"/>
  <c r="W556" i="19" s="1"/>
  <c r="V537" i="19"/>
  <c r="V575" i="18"/>
  <c r="V556" i="18"/>
  <c r="V537" i="18"/>
  <c r="V579" i="15"/>
  <c r="V564" i="15" s="1"/>
  <c r="V561" i="15"/>
  <c r="V575" i="15"/>
  <c r="W576" i="15"/>
  <c r="V556" i="15"/>
  <c r="V537" i="15"/>
  <c r="V556" i="13"/>
  <c r="V537" i="13"/>
  <c r="V539" i="13" s="1"/>
  <c r="V561" i="13"/>
  <c r="V544" i="13" s="1"/>
  <c r="V575" i="13"/>
  <c r="V579" i="13"/>
  <c r="V564" i="13" s="1"/>
  <c r="W573" i="13"/>
  <c r="S524" i="13"/>
  <c r="S530" i="13" s="1"/>
  <c r="V524" i="13"/>
  <c r="U558" i="13"/>
  <c r="V579" i="11"/>
  <c r="V564" i="11" s="1"/>
  <c r="V575" i="11"/>
  <c r="V556" i="11"/>
  <c r="W556" i="11" s="1"/>
  <c r="V537" i="11"/>
  <c r="V537" i="7"/>
  <c r="V520" i="7" s="1"/>
  <c r="V519" i="7" s="1"/>
  <c r="V579" i="7"/>
  <c r="V499" i="23"/>
  <c r="V609" i="7"/>
  <c r="V561" i="7"/>
  <c r="V563" i="7" s="1"/>
  <c r="V546" i="7" s="1"/>
  <c r="V529" i="7" s="1"/>
  <c r="V477" i="23"/>
  <c r="W603" i="7"/>
  <c r="U524" i="7"/>
  <c r="W524" i="7" s="1"/>
  <c r="R539" i="19"/>
  <c r="R520" i="19"/>
  <c r="R522" i="19" s="1"/>
  <c r="P539" i="19"/>
  <c r="P520" i="19"/>
  <c r="P522" i="19" s="1"/>
  <c r="N539" i="19"/>
  <c r="N520" i="19"/>
  <c r="N522" i="19" s="1"/>
  <c r="S539" i="19"/>
  <c r="S520" i="19"/>
  <c r="S522" i="19" s="1"/>
  <c r="Q539" i="19"/>
  <c r="Q520" i="19"/>
  <c r="Q522" i="19" s="1"/>
  <c r="O539" i="19"/>
  <c r="O520" i="19"/>
  <c r="O522" i="19" s="1"/>
  <c r="T633" i="19"/>
  <c r="K539" i="19"/>
  <c r="K520" i="19"/>
  <c r="K522" i="19" s="1"/>
  <c r="G539" i="19"/>
  <c r="G520" i="19"/>
  <c r="G522" i="19" s="1"/>
  <c r="J539" i="19"/>
  <c r="J520" i="19"/>
  <c r="J522" i="19" s="1"/>
  <c r="H520" i="19"/>
  <c r="H522" i="19" s="1"/>
  <c r="H539" i="19"/>
  <c r="I539" i="19"/>
  <c r="I520" i="19"/>
  <c r="I522" i="19" s="1"/>
  <c r="F520" i="19"/>
  <c r="F539" i="19"/>
  <c r="L539" i="19" s="1"/>
  <c r="M633" i="19"/>
  <c r="U633" i="19"/>
  <c r="W633" i="19" s="1"/>
  <c r="M523" i="19"/>
  <c r="U523" i="19"/>
  <c r="W523" i="19" s="1"/>
  <c r="F519" i="19"/>
  <c r="F522" i="19"/>
  <c r="J548" i="19"/>
  <c r="N221" i="19"/>
  <c r="I211" i="19"/>
  <c r="J340" i="19"/>
  <c r="Q333" i="19"/>
  <c r="N345" i="19"/>
  <c r="H340" i="19"/>
  <c r="I345" i="19"/>
  <c r="P479" i="19"/>
  <c r="L212" i="19"/>
  <c r="T202" i="19"/>
  <c r="T201" i="19" s="1"/>
  <c r="S206" i="19"/>
  <c r="S204" i="19"/>
  <c r="T204" i="19" s="1"/>
  <c r="R36" i="19"/>
  <c r="P36" i="19"/>
  <c r="J536" i="19"/>
  <c r="J519" i="19"/>
  <c r="J543" i="19"/>
  <c r="J527" i="19"/>
  <c r="T564" i="19"/>
  <c r="R563" i="18"/>
  <c r="R546" i="18" s="1"/>
  <c r="R529" i="18" s="1"/>
  <c r="T472" i="18"/>
  <c r="U472" i="18" s="1"/>
  <c r="R268" i="18"/>
  <c r="G547" i="18"/>
  <c r="F547" i="18"/>
  <c r="K20" i="18"/>
  <c r="O537" i="15"/>
  <c r="O539" i="15" s="1"/>
  <c r="O556" i="15"/>
  <c r="N553" i="15"/>
  <c r="N537" i="15"/>
  <c r="N539" i="15" s="1"/>
  <c r="N556" i="15"/>
  <c r="S556" i="15"/>
  <c r="Q537" i="15"/>
  <c r="Q539" i="15" s="1"/>
  <c r="Q556" i="15"/>
  <c r="R537" i="15"/>
  <c r="R539" i="15" s="1"/>
  <c r="R556" i="15"/>
  <c r="F556" i="15"/>
  <c r="L556" i="15" s="1"/>
  <c r="F537" i="15"/>
  <c r="F539" i="15" s="1"/>
  <c r="W636" i="15"/>
  <c r="T535" i="13"/>
  <c r="S537" i="13"/>
  <c r="S539" i="13" s="1"/>
  <c r="S556" i="13"/>
  <c r="T556" i="13" s="1"/>
  <c r="U629" i="13"/>
  <c r="V17" i="13"/>
  <c r="R18" i="13"/>
  <c r="R3" i="13" s="1"/>
  <c r="J18" i="13"/>
  <c r="J3" i="13" s="1"/>
  <c r="H36" i="13"/>
  <c r="H18" i="13"/>
  <c r="H3" i="13" s="1"/>
  <c r="Q18" i="13"/>
  <c r="Q3" i="13" s="1"/>
  <c r="K18" i="13"/>
  <c r="K3" i="13" s="1"/>
  <c r="I18" i="13"/>
  <c r="I3" i="13" s="1"/>
  <c r="G36" i="13"/>
  <c r="V530" i="13"/>
  <c r="V18" i="13"/>
  <c r="S18" i="13"/>
  <c r="S3" i="13" s="1"/>
  <c r="V546" i="13"/>
  <c r="V529" i="13" s="1"/>
  <c r="L712" i="13"/>
  <c r="U165" i="13"/>
  <c r="S544" i="13"/>
  <c r="G20" i="13"/>
  <c r="R176" i="13"/>
  <c r="H221" i="13"/>
  <c r="R36" i="13"/>
  <c r="J36" i="13"/>
  <c r="Q605" i="23"/>
  <c r="V53" i="13"/>
  <c r="R53" i="13"/>
  <c r="J53" i="13"/>
  <c r="H53" i="13"/>
  <c r="F53" i="13"/>
  <c r="U472" i="13"/>
  <c r="Q216" i="13"/>
  <c r="U218" i="13"/>
  <c r="W218" i="13" s="1"/>
  <c r="U163" i="13"/>
  <c r="W163" i="13" s="1"/>
  <c r="T212" i="13"/>
  <c r="T211" i="13" s="1"/>
  <c r="V553" i="11"/>
  <c r="S48" i="11"/>
  <c r="F43" i="11"/>
  <c r="J524" i="11"/>
  <c r="J530" i="11" s="1"/>
  <c r="H630" i="11"/>
  <c r="N537" i="11"/>
  <c r="N539" i="11" s="1"/>
  <c r="V35" i="11"/>
  <c r="R221" i="11"/>
  <c r="P320" i="23"/>
  <c r="I524" i="11"/>
  <c r="N43" i="11"/>
  <c r="U481" i="11"/>
  <c r="W481" i="11" s="1"/>
  <c r="T220" i="11"/>
  <c r="U213" i="11"/>
  <c r="U168" i="11"/>
  <c r="W168" i="11" s="1"/>
  <c r="Q43" i="11"/>
  <c r="Q45" i="11" s="1"/>
  <c r="N419" i="11"/>
  <c r="U214" i="11"/>
  <c r="W214" i="11" s="1"/>
  <c r="E32" i="11"/>
  <c r="H605" i="23"/>
  <c r="Q325" i="23"/>
  <c r="O206" i="23"/>
  <c r="I221" i="11"/>
  <c r="S610" i="23"/>
  <c r="K595" i="23"/>
  <c r="R221" i="9"/>
  <c r="F50" i="9"/>
  <c r="F49" i="9" s="1"/>
  <c r="O20" i="9"/>
  <c r="R424" i="9"/>
  <c r="H554" i="23"/>
  <c r="N392" i="23"/>
  <c r="I610" i="23"/>
  <c r="P528" i="23"/>
  <c r="P477" i="23"/>
  <c r="G605" i="23"/>
  <c r="N513" i="23"/>
  <c r="S530" i="9"/>
  <c r="U559" i="9"/>
  <c r="W559" i="9" s="1"/>
  <c r="T559" i="23"/>
  <c r="U559" i="23" s="1"/>
  <c r="X559" i="23" s="1"/>
  <c r="O610" i="23"/>
  <c r="J518" i="23"/>
  <c r="L514" i="23"/>
  <c r="L513" i="23" s="1"/>
  <c r="H20" i="9"/>
  <c r="T48" i="9"/>
  <c r="J221" i="9"/>
  <c r="I560" i="9"/>
  <c r="U476" i="9"/>
  <c r="H32" i="9"/>
  <c r="T215" i="9"/>
  <c r="Q20" i="9"/>
  <c r="S221" i="9"/>
  <c r="N171" i="9"/>
  <c r="S17" i="9"/>
  <c r="S3" i="9" s="1"/>
  <c r="N554" i="23"/>
  <c r="Q281" i="23"/>
  <c r="Q280" i="23" s="1"/>
  <c r="L242" i="23"/>
  <c r="M242" i="23" s="1"/>
  <c r="M241" i="23" s="1"/>
  <c r="O217" i="23"/>
  <c r="O216" i="23" s="1"/>
  <c r="R236" i="23"/>
  <c r="J20" i="9"/>
  <c r="J212" i="23"/>
  <c r="J211" i="23" s="1"/>
  <c r="F518" i="23"/>
  <c r="F519" i="23" s="1"/>
  <c r="G519" i="23" s="1"/>
  <c r="H519" i="23" s="1"/>
  <c r="I519" i="23" s="1"/>
  <c r="K536" i="9"/>
  <c r="T533" i="9"/>
  <c r="K530" i="9"/>
  <c r="T516" i="9"/>
  <c r="P533" i="23"/>
  <c r="V556" i="8"/>
  <c r="V537" i="8"/>
  <c r="T220" i="8"/>
  <c r="H20" i="8"/>
  <c r="O341" i="8"/>
  <c r="N419" i="8"/>
  <c r="G611" i="23"/>
  <c r="H611" i="23" s="1"/>
  <c r="J554" i="23"/>
  <c r="F554" i="23"/>
  <c r="Q320" i="23"/>
  <c r="J241" i="23"/>
  <c r="N186" i="23"/>
  <c r="R146" i="23"/>
  <c r="Q167" i="23"/>
  <c r="Q554" i="23"/>
  <c r="T616" i="23"/>
  <c r="T615" i="23" s="1"/>
  <c r="O554" i="23"/>
  <c r="U481" i="8"/>
  <c r="I343" i="8"/>
  <c r="T212" i="8"/>
  <c r="T211" i="8" s="1"/>
  <c r="K221" i="8"/>
  <c r="O211" i="8"/>
  <c r="V51" i="8"/>
  <c r="N166" i="8"/>
  <c r="H212" i="23"/>
  <c r="H211" i="23" s="1"/>
  <c r="H201" i="23"/>
  <c r="N580" i="23"/>
  <c r="G201" i="23"/>
  <c r="H186" i="23"/>
  <c r="R67" i="23"/>
  <c r="H231" i="23"/>
  <c r="O560" i="23"/>
  <c r="U145" i="8"/>
  <c r="W145" i="8" s="1"/>
  <c r="W649" i="8"/>
  <c r="X654" i="8"/>
  <c r="U559" i="8"/>
  <c r="W559" i="8" s="1"/>
  <c r="S518" i="23"/>
  <c r="S513" i="23"/>
  <c r="P513" i="23"/>
  <c r="P518" i="23"/>
  <c r="T514" i="23"/>
  <c r="T509" i="23"/>
  <c r="O20" i="7"/>
  <c r="R537" i="7"/>
  <c r="R520" i="7" s="1"/>
  <c r="R522" i="7" s="1"/>
  <c r="R633" i="7"/>
  <c r="N537" i="7"/>
  <c r="N520" i="7" s="1"/>
  <c r="N522" i="7" s="1"/>
  <c r="N633" i="7"/>
  <c r="H630" i="7"/>
  <c r="H633" i="7"/>
  <c r="V522" i="7"/>
  <c r="I537" i="7"/>
  <c r="I520" i="7" s="1"/>
  <c r="I522" i="7" s="1"/>
  <c r="I633" i="7"/>
  <c r="I539" i="7" s="1"/>
  <c r="U541" i="7"/>
  <c r="Q537" i="7"/>
  <c r="Q520" i="7" s="1"/>
  <c r="Q522" i="7" s="1"/>
  <c r="Q633" i="7"/>
  <c r="Q539" i="7" s="1"/>
  <c r="O633" i="7"/>
  <c r="K537" i="7"/>
  <c r="K520" i="7" s="1"/>
  <c r="K522" i="7" s="1"/>
  <c r="K633" i="7"/>
  <c r="K539" i="7" s="1"/>
  <c r="G633" i="7"/>
  <c r="P630" i="7"/>
  <c r="P537" i="7"/>
  <c r="P520" i="7" s="1"/>
  <c r="P522" i="7" s="1"/>
  <c r="P633" i="7"/>
  <c r="P539" i="7" s="1"/>
  <c r="J633" i="7"/>
  <c r="F630" i="7"/>
  <c r="F537" i="7"/>
  <c r="F520" i="7" s="1"/>
  <c r="F522" i="7" s="1"/>
  <c r="F633" i="7"/>
  <c r="S537" i="7"/>
  <c r="S520" i="7" s="1"/>
  <c r="S522" i="7" s="1"/>
  <c r="S633" i="7"/>
  <c r="V553" i="7"/>
  <c r="Q477" i="23"/>
  <c r="Q479" i="23" s="1"/>
  <c r="S556" i="7"/>
  <c r="R553" i="7"/>
  <c r="R556" i="7"/>
  <c r="U168" i="7"/>
  <c r="Q53" i="7"/>
  <c r="K53" i="7"/>
  <c r="G53" i="7"/>
  <c r="G485" i="7"/>
  <c r="S357" i="23"/>
  <c r="W140" i="23"/>
  <c r="S256" i="7"/>
  <c r="P256" i="7"/>
  <c r="R36" i="7"/>
  <c r="P36" i="7"/>
  <c r="N36" i="7"/>
  <c r="J36" i="7"/>
  <c r="H36" i="7"/>
  <c r="F36" i="7"/>
  <c r="R640" i="7"/>
  <c r="T620" i="23"/>
  <c r="S590" i="23"/>
  <c r="S595" i="23"/>
  <c r="Q590" i="23"/>
  <c r="Q595" i="23"/>
  <c r="O595" i="23"/>
  <c r="O590" i="23"/>
  <c r="I590" i="23"/>
  <c r="I595" i="23"/>
  <c r="G590" i="23"/>
  <c r="G595" i="23"/>
  <c r="N585" i="23"/>
  <c r="T586" i="23"/>
  <c r="F585" i="23"/>
  <c r="L586" i="23"/>
  <c r="R548" i="23"/>
  <c r="P548" i="23"/>
  <c r="T544" i="23"/>
  <c r="V624" i="23"/>
  <c r="W624" i="23" s="1"/>
  <c r="T591" i="23"/>
  <c r="V547" i="23"/>
  <c r="T539" i="23"/>
  <c r="P17" i="7"/>
  <c r="R53" i="7"/>
  <c r="P53" i="7"/>
  <c r="N53" i="7"/>
  <c r="J53" i="7"/>
  <c r="H53" i="7"/>
  <c r="F53" i="7"/>
  <c r="W386" i="23"/>
  <c r="K580" i="23"/>
  <c r="V215" i="23"/>
  <c r="I236" i="23"/>
  <c r="P186" i="23"/>
  <c r="Q212" i="23"/>
  <c r="Q211" i="23" s="1"/>
  <c r="V170" i="23"/>
  <c r="V48" i="23" s="1"/>
  <c r="V31" i="23" s="1"/>
  <c r="Q172" i="23"/>
  <c r="Q176" i="23" s="1"/>
  <c r="L446" i="23"/>
  <c r="M446" i="23" s="1"/>
  <c r="S523" i="23"/>
  <c r="F523" i="23"/>
  <c r="T527" i="23"/>
  <c r="U527" i="23" s="1"/>
  <c r="T444" i="23"/>
  <c r="Q523" i="23"/>
  <c r="T441" i="23"/>
  <c r="R523" i="23"/>
  <c r="O533" i="23"/>
  <c r="U231" i="18"/>
  <c r="S357" i="13"/>
  <c r="S339" i="13"/>
  <c r="T339" i="13" s="1"/>
  <c r="V43" i="9"/>
  <c r="V45" i="9" s="1"/>
  <c r="V59" i="9"/>
  <c r="P560" i="19"/>
  <c r="V421" i="23"/>
  <c r="W421" i="23" s="1"/>
  <c r="O543" i="15"/>
  <c r="N53" i="13"/>
  <c r="L707" i="11"/>
  <c r="O530" i="19"/>
  <c r="K547" i="18"/>
  <c r="Q498" i="23"/>
  <c r="T528" i="18"/>
  <c r="W577" i="18"/>
  <c r="X577" i="18"/>
  <c r="K333" i="18"/>
  <c r="U370" i="7"/>
  <c r="W370" i="7" s="1"/>
  <c r="S219" i="18"/>
  <c r="V479" i="13"/>
  <c r="W654" i="13"/>
  <c r="W607" i="18"/>
  <c r="X607" i="18"/>
  <c r="U562" i="18"/>
  <c r="N547" i="8"/>
  <c r="E526" i="8"/>
  <c r="F553" i="8"/>
  <c r="K547" i="8"/>
  <c r="U606" i="8"/>
  <c r="W606" i="8" s="1"/>
  <c r="W605" i="8" s="1"/>
  <c r="L575" i="8"/>
  <c r="V482" i="23"/>
  <c r="L201" i="8"/>
  <c r="N212" i="23"/>
  <c r="N211" i="23" s="1"/>
  <c r="O231" i="23"/>
  <c r="Q186" i="23"/>
  <c r="R53" i="8"/>
  <c r="O53" i="8"/>
  <c r="L601" i="23"/>
  <c r="L600" i="23" s="1"/>
  <c r="F186" i="23"/>
  <c r="U173" i="18"/>
  <c r="I630" i="18"/>
  <c r="N524" i="18"/>
  <c r="N18" i="18" s="1"/>
  <c r="N3" i="18" s="1"/>
  <c r="N547" i="18"/>
  <c r="S547" i="18"/>
  <c r="I524" i="18"/>
  <c r="I530" i="18" s="1"/>
  <c r="I547" i="18"/>
  <c r="J530" i="18"/>
  <c r="R547" i="18"/>
  <c r="M182" i="18"/>
  <c r="M181" i="18" s="1"/>
  <c r="I47" i="18"/>
  <c r="I53" i="18" s="1"/>
  <c r="N333" i="18"/>
  <c r="H547" i="18"/>
  <c r="H483" i="18"/>
  <c r="H484" i="18" s="1"/>
  <c r="J547" i="18"/>
  <c r="T528" i="15"/>
  <c r="I256" i="13"/>
  <c r="I20" i="13"/>
  <c r="S167" i="23"/>
  <c r="K167" i="23"/>
  <c r="G554" i="23"/>
  <c r="K560" i="23"/>
  <c r="S336" i="23"/>
  <c r="S335" i="23" s="1"/>
  <c r="F212" i="23"/>
  <c r="F211" i="23" s="1"/>
  <c r="Q191" i="23"/>
  <c r="S554" i="23"/>
  <c r="K554" i="23"/>
  <c r="L571" i="23"/>
  <c r="L570" i="23" s="1"/>
  <c r="W200" i="23"/>
  <c r="J191" i="23"/>
  <c r="G167" i="23"/>
  <c r="S212" i="23"/>
  <c r="S211" i="23" s="1"/>
  <c r="G483" i="13"/>
  <c r="G484" i="13" s="1"/>
  <c r="G485" i="13" s="1"/>
  <c r="H485" i="13" s="1"/>
  <c r="I485" i="13" s="1"/>
  <c r="J485" i="13" s="1"/>
  <c r="I53" i="13"/>
  <c r="I54" i="13" s="1"/>
  <c r="G53" i="13"/>
  <c r="I36" i="13"/>
  <c r="J526" i="13"/>
  <c r="S236" i="13"/>
  <c r="I174" i="13"/>
  <c r="T232" i="13"/>
  <c r="L715" i="13"/>
  <c r="M715" i="13" s="1"/>
  <c r="S53" i="13"/>
  <c r="Q53" i="13"/>
  <c r="K53" i="13"/>
  <c r="O43" i="11"/>
  <c r="S43" i="11"/>
  <c r="U173" i="11"/>
  <c r="L516" i="9"/>
  <c r="M516" i="9" s="1"/>
  <c r="H102" i="9"/>
  <c r="I102" i="9" s="1"/>
  <c r="J102" i="9" s="1"/>
  <c r="K102" i="9" s="1"/>
  <c r="N102" i="9" s="1"/>
  <c r="S53" i="9"/>
  <c r="Q53" i="9"/>
  <c r="S36" i="8"/>
  <c r="P36" i="8"/>
  <c r="U609" i="18"/>
  <c r="W609" i="18" s="1"/>
  <c r="V513" i="18"/>
  <c r="M492" i="8"/>
  <c r="V52" i="18"/>
  <c r="H50" i="8"/>
  <c r="I547" i="19"/>
  <c r="U498" i="19"/>
  <c r="I580" i="18"/>
  <c r="I565" i="18" s="1"/>
  <c r="G54" i="15"/>
  <c r="V45" i="18"/>
  <c r="J47" i="18"/>
  <c r="J53" i="18" s="1"/>
  <c r="N50" i="18"/>
  <c r="J30" i="18"/>
  <c r="F53" i="18"/>
  <c r="E32" i="18"/>
  <c r="I217" i="23"/>
  <c r="I221" i="23" s="1"/>
  <c r="L100" i="18"/>
  <c r="M100" i="18" s="1"/>
  <c r="F36" i="18"/>
  <c r="H47" i="18"/>
  <c r="H53" i="18" s="1"/>
  <c r="L483" i="15"/>
  <c r="M483" i="15" s="1"/>
  <c r="L477" i="15"/>
  <c r="U477" i="15" s="1"/>
  <c r="W477" i="15" s="1"/>
  <c r="U376" i="9"/>
  <c r="F547" i="19"/>
  <c r="F548" i="19" s="1"/>
  <c r="F549" i="19" s="1"/>
  <c r="G363" i="19"/>
  <c r="H363" i="19" s="1"/>
  <c r="I363" i="19" s="1"/>
  <c r="J363" i="19" s="1"/>
  <c r="K363" i="19" s="1"/>
  <c r="N363" i="19" s="1"/>
  <c r="O363" i="19" s="1"/>
  <c r="P363" i="19" s="1"/>
  <c r="Q363" i="19" s="1"/>
  <c r="R363" i="19" s="1"/>
  <c r="S363" i="19" s="1"/>
  <c r="G566" i="18"/>
  <c r="F546" i="15"/>
  <c r="F529" i="15" s="1"/>
  <c r="F543" i="13"/>
  <c r="F548" i="13"/>
  <c r="F549" i="13" s="1"/>
  <c r="G101" i="13"/>
  <c r="F362" i="8"/>
  <c r="F363" i="8" s="1"/>
  <c r="N560" i="13"/>
  <c r="N544" i="13"/>
  <c r="N543" i="13" s="1"/>
  <c r="F553" i="13"/>
  <c r="F537" i="13"/>
  <c r="F520" i="13" s="1"/>
  <c r="F522" i="13" s="1"/>
  <c r="S36" i="19"/>
  <c r="Q36" i="19"/>
  <c r="O36" i="19"/>
  <c r="S65" i="23"/>
  <c r="V65" i="23"/>
  <c r="K546" i="13"/>
  <c r="K529" i="13" s="1"/>
  <c r="X245" i="19"/>
  <c r="X559" i="8"/>
  <c r="G544" i="13"/>
  <c r="G543" i="13" s="1"/>
  <c r="F526" i="13"/>
  <c r="Q560" i="13"/>
  <c r="Q544" i="13"/>
  <c r="F531" i="13"/>
  <c r="F532" i="13" s="1"/>
  <c r="K537" i="13"/>
  <c r="K539" i="13" s="1"/>
  <c r="H560" i="13"/>
  <c r="H544" i="13"/>
  <c r="H543" i="13" s="1"/>
  <c r="R560" i="13"/>
  <c r="R544" i="13"/>
  <c r="N553" i="13"/>
  <c r="N537" i="13"/>
  <c r="O528" i="23"/>
  <c r="R565" i="19"/>
  <c r="K637" i="13"/>
  <c r="K544" i="13"/>
  <c r="L638" i="13"/>
  <c r="L637" i="13" s="1"/>
  <c r="K524" i="11"/>
  <c r="K530" i="11" s="1"/>
  <c r="T483" i="8"/>
  <c r="J378" i="19"/>
  <c r="K378" i="19" s="1"/>
  <c r="N378" i="19" s="1"/>
  <c r="O378" i="19" s="1"/>
  <c r="P378" i="19" s="1"/>
  <c r="Q378" i="19" s="1"/>
  <c r="R378" i="19" s="1"/>
  <c r="U376" i="19"/>
  <c r="W376" i="19" s="1"/>
  <c r="T361" i="11"/>
  <c r="U361" i="11" s="1"/>
  <c r="W361" i="11" s="1"/>
  <c r="H37" i="15"/>
  <c r="T473" i="15"/>
  <c r="U473" i="15" s="1"/>
  <c r="W473" i="15" s="1"/>
  <c r="N333" i="19"/>
  <c r="X371" i="9"/>
  <c r="G35" i="9"/>
  <c r="H206" i="23"/>
  <c r="H408" i="7"/>
  <c r="I408" i="7" s="1"/>
  <c r="J408" i="7" s="1"/>
  <c r="K408" i="7" s="1"/>
  <c r="N408" i="7" s="1"/>
  <c r="O408" i="7" s="1"/>
  <c r="P408" i="7" s="1"/>
  <c r="Q408" i="7" s="1"/>
  <c r="R408" i="7" s="1"/>
  <c r="L483" i="9"/>
  <c r="M483" i="9" s="1"/>
  <c r="U636" i="11"/>
  <c r="W636" i="11" s="1"/>
  <c r="V48" i="13"/>
  <c r="W562" i="15"/>
  <c r="U478" i="7"/>
  <c r="W478" i="7" s="1"/>
  <c r="U164" i="7"/>
  <c r="W164" i="7" s="1"/>
  <c r="J20" i="15"/>
  <c r="S20" i="18"/>
  <c r="I20" i="18"/>
  <c r="H485" i="19"/>
  <c r="J147" i="9"/>
  <c r="K378" i="9"/>
  <c r="N378" i="9" s="1"/>
  <c r="O378" i="9" s="1"/>
  <c r="P378" i="9" s="1"/>
  <c r="Q378" i="9" s="1"/>
  <c r="R378" i="9" s="1"/>
  <c r="S378" i="9" s="1"/>
  <c r="U274" i="7"/>
  <c r="Q176" i="19"/>
  <c r="K174" i="13"/>
  <c r="G174" i="13"/>
  <c r="G52" i="13" s="1"/>
  <c r="J221" i="19"/>
  <c r="U208" i="13"/>
  <c r="W208" i="13" s="1"/>
  <c r="O531" i="15"/>
  <c r="S537" i="18"/>
  <c r="S539" i="18" s="1"/>
  <c r="F526" i="19"/>
  <c r="F543" i="19"/>
  <c r="U558" i="18"/>
  <c r="J611" i="18"/>
  <c r="K611" i="18" s="1"/>
  <c r="N611" i="18" s="1"/>
  <c r="O611" i="18" s="1"/>
  <c r="P611" i="18" s="1"/>
  <c r="Q611" i="18" s="1"/>
  <c r="R611" i="18" s="1"/>
  <c r="S611" i="18" s="1"/>
  <c r="F546" i="18"/>
  <c r="F529" i="18" s="1"/>
  <c r="G547" i="13"/>
  <c r="G548" i="13" s="1"/>
  <c r="L541" i="13"/>
  <c r="M541" i="13" s="1"/>
  <c r="G440" i="13"/>
  <c r="U145" i="13"/>
  <c r="W145" i="13" s="1"/>
  <c r="S553" i="7"/>
  <c r="T605" i="7"/>
  <c r="G547" i="7"/>
  <c r="G530" i="7"/>
  <c r="L498" i="7"/>
  <c r="M498" i="7" s="1"/>
  <c r="U513" i="13"/>
  <c r="W513" i="13" s="1"/>
  <c r="S477" i="23"/>
  <c r="S479" i="23" s="1"/>
  <c r="N560" i="19"/>
  <c r="S546" i="19"/>
  <c r="S529" i="19" s="1"/>
  <c r="S519" i="19"/>
  <c r="L438" i="19"/>
  <c r="M438" i="19" s="1"/>
  <c r="F336" i="19"/>
  <c r="W205" i="19"/>
  <c r="S189" i="19"/>
  <c r="S174" i="19" s="1"/>
  <c r="T187" i="19"/>
  <c r="S191" i="19"/>
  <c r="S172" i="19"/>
  <c r="S176" i="19" s="1"/>
  <c r="S544" i="18"/>
  <c r="S527" i="18" s="1"/>
  <c r="S553" i="18"/>
  <c r="V560" i="18"/>
  <c r="S524" i="18"/>
  <c r="S18" i="18" s="1"/>
  <c r="S3" i="18" s="1"/>
  <c r="T553" i="18"/>
  <c r="U498" i="18"/>
  <c r="W498" i="18" s="1"/>
  <c r="T423" i="18"/>
  <c r="U423" i="18" s="1"/>
  <c r="W423" i="18" s="1"/>
  <c r="S53" i="18"/>
  <c r="N71" i="18"/>
  <c r="O67" i="23"/>
  <c r="V53" i="18"/>
  <c r="O642" i="15"/>
  <c r="L641" i="15"/>
  <c r="M641" i="15" s="1"/>
  <c r="F524" i="15"/>
  <c r="F18" i="15" s="1"/>
  <c r="L541" i="15"/>
  <c r="V542" i="15"/>
  <c r="V525" i="15" s="1"/>
  <c r="L100" i="15"/>
  <c r="U100" i="15" s="1"/>
  <c r="U656" i="13"/>
  <c r="W656" i="13" s="1"/>
  <c r="R554" i="23"/>
  <c r="L477" i="13"/>
  <c r="M477" i="13" s="1"/>
  <c r="L483" i="13"/>
  <c r="W356" i="13"/>
  <c r="L376" i="13"/>
  <c r="M376" i="13" s="1"/>
  <c r="R350" i="13"/>
  <c r="T351" i="13"/>
  <c r="U351" i="13" s="1"/>
  <c r="V51" i="13"/>
  <c r="U716" i="11"/>
  <c r="V279" i="23"/>
  <c r="U100" i="11"/>
  <c r="V62" i="11"/>
  <c r="L513" i="9"/>
  <c r="M513" i="9" s="1"/>
  <c r="T372" i="9"/>
  <c r="M372" i="9"/>
  <c r="P524" i="8"/>
  <c r="P18" i="8" s="1"/>
  <c r="P3" i="8" s="1"/>
  <c r="F547" i="8"/>
  <c r="P642" i="8"/>
  <c r="O580" i="23"/>
  <c r="K637" i="8"/>
  <c r="U498" i="8"/>
  <c r="W498" i="8" s="1"/>
  <c r="N565" i="7"/>
  <c r="V334" i="7"/>
  <c r="V336" i="7" s="1"/>
  <c r="V18" i="15"/>
  <c r="I343" i="13"/>
  <c r="T518" i="18"/>
  <c r="V52" i="9"/>
  <c r="V67" i="9"/>
  <c r="V50" i="9" s="1"/>
  <c r="V49" i="9" s="1"/>
  <c r="V412" i="7"/>
  <c r="S484" i="11"/>
  <c r="W713" i="15"/>
  <c r="W712" i="15" s="1"/>
  <c r="U712" i="15"/>
  <c r="L141" i="13"/>
  <c r="U142" i="13"/>
  <c r="W142" i="13" s="1"/>
  <c r="R537" i="18"/>
  <c r="R630" i="18"/>
  <c r="F439" i="18"/>
  <c r="F440" i="18" s="1"/>
  <c r="G440" i="18" s="1"/>
  <c r="H440" i="18" s="1"/>
  <c r="L438" i="18"/>
  <c r="M438" i="18" s="1"/>
  <c r="L358" i="7"/>
  <c r="M358" i="7" s="1"/>
  <c r="M357" i="7" s="1"/>
  <c r="T636" i="13"/>
  <c r="U636" i="13" s="1"/>
  <c r="S525" i="13"/>
  <c r="H580" i="11"/>
  <c r="H565" i="11" s="1"/>
  <c r="F528" i="15"/>
  <c r="L545" i="15"/>
  <c r="M545" i="15" s="1"/>
  <c r="I537" i="15"/>
  <c r="I553" i="15"/>
  <c r="S341" i="15"/>
  <c r="G25" i="28" s="1"/>
  <c r="H25" i="28" s="1"/>
  <c r="S419" i="15"/>
  <c r="L652" i="11"/>
  <c r="U653" i="11"/>
  <c r="W653" i="11" s="1"/>
  <c r="M197" i="11"/>
  <c r="M196" i="11" s="1"/>
  <c r="L196" i="11"/>
  <c r="M169" i="7"/>
  <c r="U169" i="7"/>
  <c r="W169" i="7" s="1"/>
  <c r="H415" i="7"/>
  <c r="H334" i="7"/>
  <c r="M232" i="13"/>
  <c r="M231" i="13" s="1"/>
  <c r="L231" i="13"/>
  <c r="K36" i="15"/>
  <c r="K18" i="15"/>
  <c r="K3" i="15" s="1"/>
  <c r="K340" i="19"/>
  <c r="K345" i="19"/>
  <c r="K20" i="13"/>
  <c r="L635" i="8"/>
  <c r="M635" i="8" s="1"/>
  <c r="L541" i="8"/>
  <c r="R547" i="19"/>
  <c r="R530" i="19"/>
  <c r="F216" i="19"/>
  <c r="F221" i="19"/>
  <c r="F222" i="19" s="1"/>
  <c r="K630" i="18"/>
  <c r="T231" i="13"/>
  <c r="U232" i="13"/>
  <c r="W232" i="13" s="1"/>
  <c r="N26" i="13"/>
  <c r="N211" i="13"/>
  <c r="L296" i="19"/>
  <c r="M296" i="19" s="1"/>
  <c r="L303" i="19"/>
  <c r="M304" i="19"/>
  <c r="M303" i="19" s="1"/>
  <c r="T402" i="15"/>
  <c r="U403" i="15"/>
  <c r="V264" i="11"/>
  <c r="V263" i="11" s="1"/>
  <c r="V282" i="11"/>
  <c r="V267" i="11" s="1"/>
  <c r="W267" i="11" s="1"/>
  <c r="F176" i="9"/>
  <c r="F177" i="9" s="1"/>
  <c r="L175" i="9"/>
  <c r="M175" i="9" s="1"/>
  <c r="J360" i="9"/>
  <c r="L405" i="9"/>
  <c r="M405" i="9" s="1"/>
  <c r="V67" i="11"/>
  <c r="V96" i="11"/>
  <c r="L175" i="13"/>
  <c r="M175" i="13" s="1"/>
  <c r="U427" i="18"/>
  <c r="I266" i="13"/>
  <c r="I35" i="13" s="1"/>
  <c r="H216" i="9"/>
  <c r="H252" i="8"/>
  <c r="J221" i="13"/>
  <c r="U476" i="11"/>
  <c r="M460" i="11"/>
  <c r="M459" i="11" s="1"/>
  <c r="H237" i="11"/>
  <c r="I237" i="11" s="1"/>
  <c r="J237" i="11" s="1"/>
  <c r="K237" i="11" s="1"/>
  <c r="N237" i="11" s="1"/>
  <c r="O237" i="11" s="1"/>
  <c r="P237" i="11" s="1"/>
  <c r="Q237" i="11" s="1"/>
  <c r="R237" i="11" s="1"/>
  <c r="G221" i="11"/>
  <c r="O537" i="11"/>
  <c r="O539" i="11" s="1"/>
  <c r="L528" i="11"/>
  <c r="M528" i="11" s="1"/>
  <c r="U564" i="13"/>
  <c r="R536" i="8"/>
  <c r="U182" i="19"/>
  <c r="L477" i="18"/>
  <c r="M477" i="18" s="1"/>
  <c r="U473" i="7"/>
  <c r="G207" i="7"/>
  <c r="H207" i="7" s="1"/>
  <c r="S392" i="23"/>
  <c r="G470" i="7"/>
  <c r="H470" i="7" s="1"/>
  <c r="T525" i="7"/>
  <c r="U170" i="7"/>
  <c r="R553" i="8"/>
  <c r="T554" i="8"/>
  <c r="Q565" i="9"/>
  <c r="H252" i="9"/>
  <c r="I252" i="9" s="1"/>
  <c r="L641" i="11"/>
  <c r="M641" i="11" s="1"/>
  <c r="W562" i="11"/>
  <c r="U242" i="11"/>
  <c r="G565" i="13"/>
  <c r="U213" i="13"/>
  <c r="S191" i="13"/>
  <c r="T167" i="13"/>
  <c r="L534" i="15"/>
  <c r="M534" i="15" s="1"/>
  <c r="I221" i="15"/>
  <c r="X466" i="15"/>
  <c r="T545" i="18"/>
  <c r="L483" i="18"/>
  <c r="M483" i="18" s="1"/>
  <c r="U476" i="19"/>
  <c r="T517" i="19"/>
  <c r="P69" i="19"/>
  <c r="P52" i="19" s="1"/>
  <c r="G524" i="8"/>
  <c r="G530" i="8" s="1"/>
  <c r="V35" i="8"/>
  <c r="L100" i="9"/>
  <c r="O526" i="9"/>
  <c r="U403" i="9"/>
  <c r="G252" i="11"/>
  <c r="U210" i="11"/>
  <c r="W210" i="11" s="1"/>
  <c r="N553" i="11"/>
  <c r="V278" i="11"/>
  <c r="W513" i="11"/>
  <c r="R524" i="11"/>
  <c r="R530" i="11" s="1"/>
  <c r="S469" i="13"/>
  <c r="H284" i="13"/>
  <c r="K546" i="15"/>
  <c r="K529" i="15" s="1"/>
  <c r="L533" i="15"/>
  <c r="M533" i="15" s="1"/>
  <c r="U197" i="15"/>
  <c r="T196" i="15"/>
  <c r="U401" i="19"/>
  <c r="X401" i="19" s="1"/>
  <c r="S553" i="19"/>
  <c r="T631" i="18"/>
  <c r="G439" i="19"/>
  <c r="G440" i="19" s="1"/>
  <c r="H440" i="19" s="1"/>
  <c r="I440" i="19" s="1"/>
  <c r="J440" i="19" s="1"/>
  <c r="K440" i="19" s="1"/>
  <c r="N440" i="19" s="1"/>
  <c r="U242" i="18"/>
  <c r="M242" i="18"/>
  <c r="M241" i="18" s="1"/>
  <c r="N718" i="18"/>
  <c r="O718" i="18" s="1"/>
  <c r="P718" i="18" s="1"/>
  <c r="Q718" i="18" s="1"/>
  <c r="L545" i="18"/>
  <c r="M545" i="18" s="1"/>
  <c r="V524" i="18"/>
  <c r="M678" i="19"/>
  <c r="M677" i="19" s="1"/>
  <c r="L677" i="19"/>
  <c r="M202" i="11"/>
  <c r="M201" i="11" s="1"/>
  <c r="K524" i="18"/>
  <c r="H537" i="15"/>
  <c r="H539" i="15" s="1"/>
  <c r="H553" i="15"/>
  <c r="L554" i="15"/>
  <c r="T545" i="15"/>
  <c r="L246" i="8"/>
  <c r="M247" i="8"/>
  <c r="M246" i="8" s="1"/>
  <c r="H482" i="8"/>
  <c r="L141" i="8"/>
  <c r="M140" i="8"/>
  <c r="M141" i="8" s="1"/>
  <c r="L278" i="13"/>
  <c r="L534" i="7"/>
  <c r="M534" i="7" s="1"/>
  <c r="U559" i="11"/>
  <c r="N216" i="15"/>
  <c r="M710" i="11"/>
  <c r="U710" i="11"/>
  <c r="R268" i="15"/>
  <c r="G263" i="15"/>
  <c r="R341" i="11"/>
  <c r="R340" i="11" s="1"/>
  <c r="R419" i="11"/>
  <c r="H341" i="11"/>
  <c r="H340" i="11" s="1"/>
  <c r="H424" i="11"/>
  <c r="G610" i="19"/>
  <c r="G564" i="19"/>
  <c r="T647" i="7"/>
  <c r="U648" i="7"/>
  <c r="W648" i="7" s="1"/>
  <c r="I336" i="7"/>
  <c r="I333" i="7"/>
  <c r="O259" i="7"/>
  <c r="O256" i="7"/>
  <c r="L402" i="13"/>
  <c r="M403" i="13"/>
  <c r="M402" i="13" s="1"/>
  <c r="F259" i="7"/>
  <c r="F256" i="7"/>
  <c r="M247" i="11"/>
  <c r="M246" i="11" s="1"/>
  <c r="L246" i="11"/>
  <c r="O479" i="11"/>
  <c r="O484" i="11"/>
  <c r="S553" i="13"/>
  <c r="G637" i="7"/>
  <c r="R333" i="18"/>
  <c r="O62" i="19"/>
  <c r="G343" i="19"/>
  <c r="V336" i="19"/>
  <c r="T60" i="19"/>
  <c r="T59" i="19" s="1"/>
  <c r="P333" i="19"/>
  <c r="J419" i="8"/>
  <c r="J341" i="8"/>
  <c r="U140" i="8"/>
  <c r="U513" i="8"/>
  <c r="W513" i="8" s="1"/>
  <c r="L464" i="9"/>
  <c r="M465" i="9"/>
  <c r="M464" i="9" s="1"/>
  <c r="S236" i="9"/>
  <c r="S234" i="9"/>
  <c r="S219" i="9" s="1"/>
  <c r="T232" i="9"/>
  <c r="O544" i="8"/>
  <c r="O543" i="8" s="1"/>
  <c r="K48" i="8"/>
  <c r="S48" i="8"/>
  <c r="N500" i="8"/>
  <c r="O500" i="8" s="1"/>
  <c r="P500" i="8" s="1"/>
  <c r="K20" i="9"/>
  <c r="I422" i="11"/>
  <c r="I343" i="11" s="1"/>
  <c r="U197" i="11"/>
  <c r="U652" i="11"/>
  <c r="W559" i="11"/>
  <c r="V545" i="11"/>
  <c r="V528" i="11" s="1"/>
  <c r="V20" i="11" s="1"/>
  <c r="I544" i="11"/>
  <c r="I548" i="11" s="1"/>
  <c r="T554" i="13"/>
  <c r="T553" i="13" s="1"/>
  <c r="R43" i="13"/>
  <c r="R45" i="13" s="1"/>
  <c r="U473" i="13"/>
  <c r="W473" i="13" s="1"/>
  <c r="W231" i="13"/>
  <c r="T630" i="13"/>
  <c r="T545" i="13"/>
  <c r="T483" i="13"/>
  <c r="U557" i="15"/>
  <c r="W557" i="15" s="1"/>
  <c r="N33" i="15"/>
  <c r="H546" i="15"/>
  <c r="H529" i="15" s="1"/>
  <c r="U187" i="15"/>
  <c r="X187" i="15" s="1"/>
  <c r="K519" i="19"/>
  <c r="K176" i="13"/>
  <c r="J176" i="11"/>
  <c r="H176" i="7"/>
  <c r="L516" i="15"/>
  <c r="M516" i="15" s="1"/>
  <c r="J20" i="18"/>
  <c r="S343" i="11"/>
  <c r="I362" i="7"/>
  <c r="S146" i="7"/>
  <c r="T652" i="13"/>
  <c r="G269" i="19"/>
  <c r="U258" i="19"/>
  <c r="W258" i="19" s="1"/>
  <c r="S536" i="15"/>
  <c r="N424" i="8"/>
  <c r="I412" i="8"/>
  <c r="P334" i="8"/>
  <c r="L196" i="18"/>
  <c r="O36" i="15"/>
  <c r="S53" i="15"/>
  <c r="R53" i="18"/>
  <c r="K53" i="18"/>
  <c r="T48" i="18"/>
  <c r="S53" i="19"/>
  <c r="Q53" i="19"/>
  <c r="O53" i="19"/>
  <c r="V53" i="19"/>
  <c r="T334" i="19"/>
  <c r="T333" i="19" s="1"/>
  <c r="G363" i="18"/>
  <c r="H363" i="18" s="1"/>
  <c r="I363" i="18" s="1"/>
  <c r="J363" i="18" s="1"/>
  <c r="K363" i="18" s="1"/>
  <c r="N363" i="18" s="1"/>
  <c r="O363" i="18" s="1"/>
  <c r="P363" i="18" s="1"/>
  <c r="Q363" i="18" s="1"/>
  <c r="R363" i="18" s="1"/>
  <c r="S363" i="18" s="1"/>
  <c r="T353" i="13"/>
  <c r="R20" i="13"/>
  <c r="S53" i="11"/>
  <c r="V53" i="9"/>
  <c r="R53" i="9"/>
  <c r="O36" i="9"/>
  <c r="E32" i="8"/>
  <c r="R36" i="8"/>
  <c r="E49" i="13"/>
  <c r="R53" i="11"/>
  <c r="S36" i="9"/>
  <c r="Q36" i="9"/>
  <c r="T601" i="23"/>
  <c r="T600" i="23" s="1"/>
  <c r="F643" i="11"/>
  <c r="V401" i="23"/>
  <c r="F174" i="9"/>
  <c r="F35" i="9" s="1"/>
  <c r="T483" i="18"/>
  <c r="T478" i="13"/>
  <c r="U478" i="13" s="1"/>
  <c r="W478" i="13" s="1"/>
  <c r="T494" i="15"/>
  <c r="T497" i="15"/>
  <c r="W373" i="9"/>
  <c r="X493" i="9"/>
  <c r="Q424" i="9"/>
  <c r="P530" i="19"/>
  <c r="V26" i="15"/>
  <c r="V25" i="15" s="1"/>
  <c r="S18" i="15"/>
  <c r="S3" i="15" s="1"/>
  <c r="V43" i="11"/>
  <c r="T423" i="9"/>
  <c r="U423" i="9" s="1"/>
  <c r="W423" i="9" s="1"/>
  <c r="T361" i="9"/>
  <c r="U361" i="9" s="1"/>
  <c r="W361" i="9" s="1"/>
  <c r="S547" i="8"/>
  <c r="S215" i="23"/>
  <c r="T215" i="23" s="1"/>
  <c r="U215" i="23" s="1"/>
  <c r="X215" i="23" s="1"/>
  <c r="N536" i="19"/>
  <c r="O484" i="15"/>
  <c r="X371" i="7"/>
  <c r="K314" i="7"/>
  <c r="N314" i="7" s="1"/>
  <c r="O314" i="7" s="1"/>
  <c r="P314" i="7" s="1"/>
  <c r="X433" i="8"/>
  <c r="W91" i="18"/>
  <c r="T91" i="18"/>
  <c r="U91" i="18"/>
  <c r="L24" i="19"/>
  <c r="L341" i="19"/>
  <c r="L340" i="19" s="1"/>
  <c r="T34" i="13"/>
  <c r="O36" i="8"/>
  <c r="L561" i="8"/>
  <c r="L560" i="8" s="1"/>
  <c r="H48" i="8"/>
  <c r="J536" i="8"/>
  <c r="S53" i="8"/>
  <c r="P53" i="8"/>
  <c r="G536" i="8"/>
  <c r="K535" i="8"/>
  <c r="K518" i="8" s="1"/>
  <c r="W706" i="11"/>
  <c r="I553" i="8"/>
  <c r="H553" i="8"/>
  <c r="F48" i="8"/>
  <c r="J560" i="8"/>
  <c r="V35" i="13"/>
  <c r="V21" i="13" s="1"/>
  <c r="L518" i="15"/>
  <c r="S48" i="7"/>
  <c r="U100" i="13"/>
  <c r="W100" i="13" s="1"/>
  <c r="V52" i="13"/>
  <c r="X98" i="13"/>
  <c r="H207" i="13"/>
  <c r="I207" i="13" s="1"/>
  <c r="K221" i="13"/>
  <c r="J553" i="15"/>
  <c r="J537" i="15"/>
  <c r="J539" i="15" s="1"/>
  <c r="F553" i="15"/>
  <c r="J544" i="11"/>
  <c r="J527" i="11" s="1"/>
  <c r="J560" i="11"/>
  <c r="K36" i="13"/>
  <c r="G560" i="15"/>
  <c r="G544" i="15"/>
  <c r="G548" i="15" s="1"/>
  <c r="J548" i="13"/>
  <c r="F536" i="7"/>
  <c r="J543" i="15"/>
  <c r="J527" i="15"/>
  <c r="J548" i="15"/>
  <c r="U573" i="11"/>
  <c r="W94" i="13"/>
  <c r="W195" i="19"/>
  <c r="L41" i="19"/>
  <c r="M41" i="19" s="1"/>
  <c r="W371" i="13"/>
  <c r="M137" i="13"/>
  <c r="M136" i="13" s="1"/>
  <c r="L24" i="18"/>
  <c r="M24" i="18" s="1"/>
  <c r="W181" i="18"/>
  <c r="U181" i="18"/>
  <c r="X230" i="18"/>
  <c r="R211" i="18"/>
  <c r="W243" i="18"/>
  <c r="I166" i="18"/>
  <c r="R50" i="18"/>
  <c r="R49" i="18" s="1"/>
  <c r="I30" i="18"/>
  <c r="H30" i="18"/>
  <c r="S36" i="18"/>
  <c r="L31" i="18"/>
  <c r="M31" i="18" s="1"/>
  <c r="L41" i="18"/>
  <c r="M41" i="18" s="1"/>
  <c r="E49" i="18"/>
  <c r="L232" i="23"/>
  <c r="M232" i="23" s="1"/>
  <c r="M231" i="23" s="1"/>
  <c r="I266" i="7"/>
  <c r="F266" i="7"/>
  <c r="J422" i="7"/>
  <c r="I422" i="7"/>
  <c r="G422" i="7"/>
  <c r="N266" i="7"/>
  <c r="T715" i="7"/>
  <c r="S640" i="7"/>
  <c r="F640" i="7"/>
  <c r="I360" i="7"/>
  <c r="G360" i="7"/>
  <c r="S358" i="7"/>
  <c r="O266" i="7"/>
  <c r="R422" i="7"/>
  <c r="R266" i="7"/>
  <c r="J266" i="7"/>
  <c r="X98" i="7"/>
  <c r="R69" i="7"/>
  <c r="F422" i="7"/>
  <c r="Q174" i="23"/>
  <c r="T187" i="7"/>
  <c r="T187" i="23"/>
  <c r="P422" i="7"/>
  <c r="N360" i="7"/>
  <c r="T202" i="23"/>
  <c r="R546" i="7"/>
  <c r="R529" i="7" s="1"/>
  <c r="O69" i="7"/>
  <c r="G43" i="11"/>
  <c r="G45" i="11" s="1"/>
  <c r="H343" i="11"/>
  <c r="J43" i="15"/>
  <c r="J33" i="15"/>
  <c r="P546" i="8"/>
  <c r="P529" i="8" s="1"/>
  <c r="J35" i="8"/>
  <c r="R43" i="9"/>
  <c r="R45" i="9" s="1"/>
  <c r="J207" i="13"/>
  <c r="K207" i="13" s="1"/>
  <c r="Q266" i="19"/>
  <c r="H266" i="7"/>
  <c r="J640" i="7"/>
  <c r="Q422" i="7"/>
  <c r="K422" i="7"/>
  <c r="F174" i="7"/>
  <c r="T232" i="23"/>
  <c r="N174" i="7"/>
  <c r="H174" i="7"/>
  <c r="W58" i="23"/>
  <c r="T426" i="23"/>
  <c r="U426" i="23" s="1"/>
  <c r="S396" i="23"/>
  <c r="R528" i="23"/>
  <c r="R533" i="23"/>
  <c r="K528" i="23"/>
  <c r="K533" i="23"/>
  <c r="I528" i="23"/>
  <c r="I533" i="23"/>
  <c r="G528" i="23"/>
  <c r="G533" i="23"/>
  <c r="R503" i="23"/>
  <c r="R498" i="23"/>
  <c r="W639" i="23"/>
  <c r="R605" i="23"/>
  <c r="R610" i="23"/>
  <c r="P605" i="23"/>
  <c r="P610" i="23"/>
  <c r="P565" i="23" s="1"/>
  <c r="N605" i="23"/>
  <c r="T606" i="23"/>
  <c r="N610" i="23"/>
  <c r="J605" i="23"/>
  <c r="J610" i="23"/>
  <c r="J565" i="23" s="1"/>
  <c r="S482" i="23"/>
  <c r="T497" i="23"/>
  <c r="U497" i="23" s="1"/>
  <c r="T431" i="23"/>
  <c r="U431" i="23" s="1"/>
  <c r="W431" i="23" s="1"/>
  <c r="R387" i="23"/>
  <c r="R392" i="23"/>
  <c r="J387" i="23"/>
  <c r="J392" i="23"/>
  <c r="H387" i="23"/>
  <c r="H392" i="23"/>
  <c r="F387" i="23"/>
  <c r="F392" i="23"/>
  <c r="F393" i="23" s="1"/>
  <c r="G393" i="23" s="1"/>
  <c r="H393" i="23" s="1"/>
  <c r="L388" i="23"/>
  <c r="O285" i="23"/>
  <c r="O280" i="23"/>
  <c r="Q273" i="23"/>
  <c r="Q276" i="23"/>
  <c r="I320" i="23"/>
  <c r="V274" i="23"/>
  <c r="J246" i="23"/>
  <c r="J251" i="23"/>
  <c r="H246" i="23"/>
  <c r="H251" i="23"/>
  <c r="R212" i="23"/>
  <c r="R211" i="23" s="1"/>
  <c r="R241" i="23"/>
  <c r="T242" i="23"/>
  <c r="K231" i="23"/>
  <c r="K236" i="23"/>
  <c r="K217" i="23"/>
  <c r="K212" i="23"/>
  <c r="K226" i="23"/>
  <c r="G212" i="23"/>
  <c r="G226" i="23"/>
  <c r="P206" i="23"/>
  <c r="N206" i="23"/>
  <c r="N167" i="23"/>
  <c r="H167" i="23"/>
  <c r="H196" i="23"/>
  <c r="K186" i="23"/>
  <c r="K191" i="23"/>
  <c r="G172" i="23"/>
  <c r="G186" i="23"/>
  <c r="G191" i="23"/>
  <c r="G192" i="23" s="1"/>
  <c r="H192" i="23" s="1"/>
  <c r="S170" i="23"/>
  <c r="T185" i="23"/>
  <c r="U185" i="23" s="1"/>
  <c r="N181" i="23"/>
  <c r="T182" i="23"/>
  <c r="L182" i="23"/>
  <c r="S249" i="7"/>
  <c r="S249" i="23" s="1"/>
  <c r="T247" i="23"/>
  <c r="S251" i="7"/>
  <c r="K605" i="23"/>
  <c r="K610" i="23"/>
  <c r="V609" i="23"/>
  <c r="W609" i="23" s="1"/>
  <c r="J560" i="23"/>
  <c r="I387" i="23"/>
  <c r="I392" i="23"/>
  <c r="F382" i="23"/>
  <c r="L383" i="23"/>
  <c r="L321" i="23"/>
  <c r="L227" i="23"/>
  <c r="N172" i="23"/>
  <c r="G347" i="23"/>
  <c r="G342" i="23"/>
  <c r="I554" i="23"/>
  <c r="O387" i="23"/>
  <c r="O392" i="23"/>
  <c r="T383" i="23"/>
  <c r="H320" i="23"/>
  <c r="Q246" i="23"/>
  <c r="Q251" i="23"/>
  <c r="P217" i="23"/>
  <c r="P231" i="23"/>
  <c r="P236" i="23"/>
  <c r="N217" i="23"/>
  <c r="N236" i="23"/>
  <c r="N231" i="23"/>
  <c r="J217" i="23"/>
  <c r="J231" i="23"/>
  <c r="J236" i="23"/>
  <c r="H217" i="23"/>
  <c r="W230" i="23"/>
  <c r="P172" i="23"/>
  <c r="L187" i="23"/>
  <c r="O181" i="23"/>
  <c r="O167" i="23"/>
  <c r="I181" i="23"/>
  <c r="I167" i="23"/>
  <c r="O219" i="7"/>
  <c r="I147" i="15"/>
  <c r="J147" i="15" s="1"/>
  <c r="K147" i="15" s="1"/>
  <c r="N147" i="15" s="1"/>
  <c r="O147" i="15" s="1"/>
  <c r="P147" i="15" s="1"/>
  <c r="Q147" i="15" s="1"/>
  <c r="R147" i="15" s="1"/>
  <c r="S147" i="15" s="1"/>
  <c r="U550" i="7"/>
  <c r="N69" i="7"/>
  <c r="N43" i="18"/>
  <c r="N42" i="18" s="1"/>
  <c r="X203" i="18"/>
  <c r="L311" i="18"/>
  <c r="M311" i="18" s="1"/>
  <c r="L175" i="18"/>
  <c r="M175" i="18" s="1"/>
  <c r="I343" i="15"/>
  <c r="R343" i="11"/>
  <c r="L360" i="9"/>
  <c r="M360" i="9" s="1"/>
  <c r="L525" i="15"/>
  <c r="M525" i="15" s="1"/>
  <c r="H422" i="7"/>
  <c r="O422" i="7"/>
  <c r="I640" i="7"/>
  <c r="Q266" i="7"/>
  <c r="T279" i="7"/>
  <c r="I219" i="23"/>
  <c r="P174" i="7"/>
  <c r="P174" i="23"/>
  <c r="V34" i="7"/>
  <c r="V21" i="11"/>
  <c r="T34" i="18"/>
  <c r="T46" i="18"/>
  <c r="L415" i="9"/>
  <c r="M415" i="9" s="1"/>
  <c r="T41" i="9"/>
  <c r="T23" i="9"/>
  <c r="T39" i="9"/>
  <c r="T24" i="23"/>
  <c r="U24" i="23" s="1"/>
  <c r="T27" i="19"/>
  <c r="L27" i="19"/>
  <c r="M27" i="19" s="1"/>
  <c r="R271" i="23"/>
  <c r="R254" i="23" s="1"/>
  <c r="T318" i="23"/>
  <c r="U318" i="23" s="1"/>
  <c r="W574" i="23"/>
  <c r="T324" i="23"/>
  <c r="U324" i="23" s="1"/>
  <c r="S279" i="23"/>
  <c r="O271" i="23"/>
  <c r="T288" i="23"/>
  <c r="K498" i="23"/>
  <c r="K503" i="23"/>
  <c r="G498" i="23"/>
  <c r="G503" i="23"/>
  <c r="S343" i="23"/>
  <c r="L606" i="23"/>
  <c r="Q560" i="23"/>
  <c r="Q580" i="23"/>
  <c r="I560" i="23"/>
  <c r="I580" i="23"/>
  <c r="S514" i="7"/>
  <c r="T416" i="23"/>
  <c r="U416" i="23" s="1"/>
  <c r="Q285" i="23"/>
  <c r="R246" i="23"/>
  <c r="R251" i="23"/>
  <c r="P246" i="23"/>
  <c r="P251" i="23"/>
  <c r="N246" i="23"/>
  <c r="N251" i="23"/>
  <c r="F246" i="23"/>
  <c r="L247" i="23"/>
  <c r="F251" i="23"/>
  <c r="F252" i="23" s="1"/>
  <c r="G252" i="23" s="1"/>
  <c r="V212" i="23"/>
  <c r="L241" i="23"/>
  <c r="Q231" i="23"/>
  <c r="Q236" i="23"/>
  <c r="Q217" i="23"/>
  <c r="G231" i="23"/>
  <c r="G236" i="23"/>
  <c r="G237" i="23" s="1"/>
  <c r="H237" i="23" s="1"/>
  <c r="G217" i="23"/>
  <c r="O226" i="23"/>
  <c r="O212" i="23"/>
  <c r="O211" i="23" s="1"/>
  <c r="I226" i="23"/>
  <c r="I212" i="23"/>
  <c r="I211" i="23" s="1"/>
  <c r="R206" i="23"/>
  <c r="F201" i="23"/>
  <c r="F206" i="23"/>
  <c r="F207" i="23" s="1"/>
  <c r="G207" i="23" s="1"/>
  <c r="J167" i="23"/>
  <c r="J196" i="23"/>
  <c r="F167" i="23"/>
  <c r="L197" i="23"/>
  <c r="U197" i="23" s="1"/>
  <c r="F196" i="23"/>
  <c r="O172" i="23"/>
  <c r="O186" i="23"/>
  <c r="O191" i="23"/>
  <c r="I186" i="23"/>
  <c r="I191" i="23"/>
  <c r="V167" i="23"/>
  <c r="R167" i="23"/>
  <c r="R181" i="23"/>
  <c r="P167" i="23"/>
  <c r="T95" i="23"/>
  <c r="U95" i="23" s="1"/>
  <c r="T636" i="23"/>
  <c r="R477" i="23"/>
  <c r="R479" i="23" s="1"/>
  <c r="R493" i="23"/>
  <c r="V398" i="23"/>
  <c r="X341" i="23"/>
  <c r="V341" i="23"/>
  <c r="W341" i="23" s="1"/>
  <c r="W356" i="23"/>
  <c r="V336" i="23"/>
  <c r="P276" i="23"/>
  <c r="P273" i="23"/>
  <c r="J320" i="23"/>
  <c r="F273" i="23"/>
  <c r="F276" i="23"/>
  <c r="O251" i="23"/>
  <c r="O246" i="23"/>
  <c r="W245" i="23"/>
  <c r="X245" i="23"/>
  <c r="R217" i="23"/>
  <c r="F217" i="23"/>
  <c r="R172" i="23"/>
  <c r="R186" i="23"/>
  <c r="R191" i="23"/>
  <c r="H176" i="23"/>
  <c r="H171" i="23"/>
  <c r="L568" i="23"/>
  <c r="F271" i="23"/>
  <c r="L288" i="23"/>
  <c r="M288" i="23" s="1"/>
  <c r="Q528" i="23"/>
  <c r="Q533" i="23"/>
  <c r="Q488" i="23" s="1"/>
  <c r="Q476" i="23"/>
  <c r="N528" i="23"/>
  <c r="N533" i="23"/>
  <c r="J528" i="23"/>
  <c r="J533" i="23"/>
  <c r="H528" i="23"/>
  <c r="H533" i="23"/>
  <c r="F528" i="23"/>
  <c r="L529" i="23"/>
  <c r="F533" i="23"/>
  <c r="F534" i="23" s="1"/>
  <c r="N523" i="23"/>
  <c r="T440" i="23" s="1"/>
  <c r="T524" i="23"/>
  <c r="N503" i="23"/>
  <c r="N498" i="23"/>
  <c r="H498" i="23"/>
  <c r="H503" i="23"/>
  <c r="N477" i="23"/>
  <c r="N479" i="23" s="1"/>
  <c r="P560" i="23"/>
  <c r="T529" i="23"/>
  <c r="S608" i="7"/>
  <c r="R325" i="23"/>
  <c r="R330" i="23"/>
  <c r="N325" i="23"/>
  <c r="N330" i="23"/>
  <c r="N281" i="23"/>
  <c r="N273" i="23"/>
  <c r="N276" i="23"/>
  <c r="S274" i="23"/>
  <c r="P219" i="23"/>
  <c r="T227" i="23"/>
  <c r="F172" i="23"/>
  <c r="L48" i="18"/>
  <c r="M48" i="18" s="1"/>
  <c r="N343" i="11"/>
  <c r="T360" i="11"/>
  <c r="N45" i="11"/>
  <c r="H35" i="11"/>
  <c r="H52" i="11"/>
  <c r="R52" i="8"/>
  <c r="R35" i="8"/>
  <c r="R54" i="9"/>
  <c r="R49" i="9"/>
  <c r="S45" i="11"/>
  <c r="S42" i="11"/>
  <c r="T341" i="15"/>
  <c r="N345" i="15"/>
  <c r="N340" i="15"/>
  <c r="S345" i="15"/>
  <c r="S340" i="15"/>
  <c r="N336" i="11"/>
  <c r="N333" i="11"/>
  <c r="I345" i="13"/>
  <c r="I340" i="13"/>
  <c r="J345" i="13"/>
  <c r="J340" i="13"/>
  <c r="F340" i="13"/>
  <c r="I49" i="13"/>
  <c r="F45" i="11"/>
  <c r="F42" i="11"/>
  <c r="H37" i="9"/>
  <c r="R52" i="11"/>
  <c r="R35" i="11"/>
  <c r="L360" i="19"/>
  <c r="M360" i="19" s="1"/>
  <c r="O45" i="11"/>
  <c r="O42" i="11"/>
  <c r="N52" i="11"/>
  <c r="N35" i="11"/>
  <c r="J52" i="11"/>
  <c r="J35" i="11"/>
  <c r="F343" i="11"/>
  <c r="I340" i="11"/>
  <c r="I345" i="11"/>
  <c r="K345" i="11"/>
  <c r="K340" i="11"/>
  <c r="G340" i="11"/>
  <c r="G345" i="11"/>
  <c r="J345" i="11"/>
  <c r="J340" i="11"/>
  <c r="R345" i="15"/>
  <c r="R340" i="15"/>
  <c r="H345" i="11"/>
  <c r="K345" i="13"/>
  <c r="K340" i="13"/>
  <c r="F336" i="13"/>
  <c r="F333" i="13"/>
  <c r="N33" i="13"/>
  <c r="N50" i="13"/>
  <c r="O33" i="9"/>
  <c r="O50" i="9"/>
  <c r="N43" i="9"/>
  <c r="N26" i="9"/>
  <c r="J360" i="7"/>
  <c r="J343" i="7" s="1"/>
  <c r="I422" i="18"/>
  <c r="I343" i="18" s="1"/>
  <c r="W572" i="7"/>
  <c r="X577" i="7"/>
  <c r="F43" i="7"/>
  <c r="F42" i="7" s="1"/>
  <c r="F26" i="7"/>
  <c r="F25" i="7" s="1"/>
  <c r="F28" i="7"/>
  <c r="R166" i="7"/>
  <c r="R43" i="7"/>
  <c r="R45" i="7" s="1"/>
  <c r="R26" i="7"/>
  <c r="R25" i="7" s="1"/>
  <c r="Q360" i="9"/>
  <c r="Q343" i="9" s="1"/>
  <c r="Q33" i="9"/>
  <c r="Q50" i="9"/>
  <c r="F25" i="9"/>
  <c r="F43" i="9"/>
  <c r="F45" i="9" s="1"/>
  <c r="G33" i="9"/>
  <c r="G50" i="9"/>
  <c r="H43" i="13"/>
  <c r="H45" i="13" s="1"/>
  <c r="H26" i="13"/>
  <c r="H25" i="13" s="1"/>
  <c r="J343" i="15"/>
  <c r="S43" i="15"/>
  <c r="S45" i="15" s="1"/>
  <c r="R33" i="8"/>
  <c r="R37" i="8" s="1"/>
  <c r="R50" i="8"/>
  <c r="R54" i="8" s="1"/>
  <c r="P33" i="8"/>
  <c r="P37" i="8" s="1"/>
  <c r="P50" i="8"/>
  <c r="N33" i="8"/>
  <c r="N32" i="8" s="1"/>
  <c r="N50" i="8"/>
  <c r="H33" i="8"/>
  <c r="S43" i="8"/>
  <c r="S45" i="8" s="1"/>
  <c r="S26" i="8"/>
  <c r="S25" i="8" s="1"/>
  <c r="S28" i="8"/>
  <c r="O50" i="8"/>
  <c r="O54" i="8" s="1"/>
  <c r="O33" i="8"/>
  <c r="K33" i="8"/>
  <c r="K50" i="8"/>
  <c r="K54" i="8" s="1"/>
  <c r="I50" i="8"/>
  <c r="I54" i="8" s="1"/>
  <c r="I33" i="8"/>
  <c r="F26" i="8"/>
  <c r="F25" i="8" s="1"/>
  <c r="F43" i="8"/>
  <c r="F45" i="8" s="1"/>
  <c r="F28" i="8"/>
  <c r="S26" i="9"/>
  <c r="S43" i="9"/>
  <c r="K26" i="9"/>
  <c r="K43" i="9"/>
  <c r="H166" i="9"/>
  <c r="J166" i="13"/>
  <c r="J43" i="13"/>
  <c r="J45" i="13" s="1"/>
  <c r="J26" i="13"/>
  <c r="J25" i="13" s="1"/>
  <c r="J28" i="13"/>
  <c r="T641" i="13"/>
  <c r="U641" i="13" s="1"/>
  <c r="W641" i="13" s="1"/>
  <c r="O43" i="15"/>
  <c r="O45" i="15" s="1"/>
  <c r="K500" i="18"/>
  <c r="N500" i="18" s="1"/>
  <c r="O500" i="18" s="1"/>
  <c r="P500" i="18" s="1"/>
  <c r="Q500" i="18" s="1"/>
  <c r="R500" i="18" s="1"/>
  <c r="Q43" i="13"/>
  <c r="Q45" i="13" s="1"/>
  <c r="Q26" i="13"/>
  <c r="Q28" i="13"/>
  <c r="K166" i="13"/>
  <c r="K43" i="13"/>
  <c r="K45" i="13" s="1"/>
  <c r="K26" i="13"/>
  <c r="K25" i="13" s="1"/>
  <c r="K28" i="13"/>
  <c r="I166" i="13"/>
  <c r="I43" i="13"/>
  <c r="I45" i="13" s="1"/>
  <c r="I26" i="13"/>
  <c r="I25" i="13" s="1"/>
  <c r="I28" i="13"/>
  <c r="G166" i="13"/>
  <c r="G43" i="13"/>
  <c r="G45" i="13" s="1"/>
  <c r="G26" i="13"/>
  <c r="G25" i="13" s="1"/>
  <c r="G28" i="13"/>
  <c r="H343" i="19"/>
  <c r="T467" i="19"/>
  <c r="L360" i="18"/>
  <c r="M360" i="18" s="1"/>
  <c r="G422" i="13"/>
  <c r="G343" i="13" s="1"/>
  <c r="K422" i="18"/>
  <c r="K343" i="18" s="1"/>
  <c r="N548" i="7"/>
  <c r="L420" i="7"/>
  <c r="L419" i="7" s="1"/>
  <c r="P171" i="7"/>
  <c r="N360" i="13"/>
  <c r="O33" i="7"/>
  <c r="O37" i="7" s="1"/>
  <c r="O50" i="7"/>
  <c r="W29" i="7"/>
  <c r="R422" i="18"/>
  <c r="R343" i="18" s="1"/>
  <c r="Q343" i="19"/>
  <c r="G43" i="8"/>
  <c r="G45" i="8" s="1"/>
  <c r="G26" i="8"/>
  <c r="G25" i="8" s="1"/>
  <c r="G28" i="8"/>
  <c r="N360" i="9"/>
  <c r="G50" i="13"/>
  <c r="G33" i="13"/>
  <c r="R50" i="7"/>
  <c r="R33" i="7"/>
  <c r="G52" i="9"/>
  <c r="F52" i="9"/>
  <c r="V35" i="9"/>
  <c r="V21" i="9" s="1"/>
  <c r="I52" i="13"/>
  <c r="V26" i="13"/>
  <c r="V25" i="13" s="1"/>
  <c r="V34" i="13"/>
  <c r="S362" i="13"/>
  <c r="I658" i="15"/>
  <c r="J658" i="15" s="1"/>
  <c r="K658" i="15" s="1"/>
  <c r="N658" i="15" s="1"/>
  <c r="F26" i="18"/>
  <c r="F25" i="18" s="1"/>
  <c r="N33" i="18"/>
  <c r="N32" i="18" s="1"/>
  <c r="R33" i="18"/>
  <c r="R32" i="18" s="1"/>
  <c r="V35" i="18"/>
  <c r="V26" i="18"/>
  <c r="R43" i="18"/>
  <c r="R45" i="18" s="1"/>
  <c r="V26" i="11"/>
  <c r="V25" i="11" s="1"/>
  <c r="V52" i="11"/>
  <c r="W58" i="13"/>
  <c r="S610" i="19"/>
  <c r="S565" i="19" s="1"/>
  <c r="T606" i="19"/>
  <c r="R336" i="19"/>
  <c r="R333" i="19"/>
  <c r="T350" i="19"/>
  <c r="T353" i="19"/>
  <c r="R424" i="18"/>
  <c r="R419" i="18"/>
  <c r="I415" i="18"/>
  <c r="I412" i="18"/>
  <c r="G415" i="18"/>
  <c r="G412" i="18"/>
  <c r="G422" i="18"/>
  <c r="G343" i="18" s="1"/>
  <c r="S357" i="18"/>
  <c r="L51" i="18"/>
  <c r="M51" i="18" s="1"/>
  <c r="L29" i="18"/>
  <c r="M29" i="18" s="1"/>
  <c r="O345" i="15"/>
  <c r="O340" i="15"/>
  <c r="K345" i="15"/>
  <c r="K340" i="15"/>
  <c r="G340" i="15"/>
  <c r="G345" i="15"/>
  <c r="V336" i="15"/>
  <c r="V333" i="15"/>
  <c r="R336" i="15"/>
  <c r="R333" i="15"/>
  <c r="K336" i="15"/>
  <c r="K333" i="15"/>
  <c r="T412" i="13"/>
  <c r="I363" i="13"/>
  <c r="J363" i="13" s="1"/>
  <c r="K363" i="13" s="1"/>
  <c r="N363" i="13" s="1"/>
  <c r="O363" i="13" s="1"/>
  <c r="M351" i="13"/>
  <c r="M350" i="13" s="1"/>
  <c r="L350" i="13"/>
  <c r="N43" i="13"/>
  <c r="F26" i="13"/>
  <c r="L34" i="13"/>
  <c r="M34" i="13" s="1"/>
  <c r="T48" i="13"/>
  <c r="L48" i="13"/>
  <c r="M48" i="13" s="1"/>
  <c r="T30" i="13"/>
  <c r="N36" i="13"/>
  <c r="L30" i="13"/>
  <c r="M30" i="13" s="1"/>
  <c r="F36" i="13"/>
  <c r="Q25" i="13"/>
  <c r="I42" i="13"/>
  <c r="T40" i="13"/>
  <c r="L40" i="13"/>
  <c r="M40" i="13" s="1"/>
  <c r="O341" i="11"/>
  <c r="R334" i="11"/>
  <c r="O334" i="11"/>
  <c r="I334" i="11"/>
  <c r="G334" i="11"/>
  <c r="V336" i="11"/>
  <c r="S20" i="11"/>
  <c r="Q20" i="11"/>
  <c r="T51" i="11"/>
  <c r="J20" i="11"/>
  <c r="L34" i="11"/>
  <c r="M34" i="11" s="1"/>
  <c r="F20" i="11"/>
  <c r="T30" i="11"/>
  <c r="S18" i="11"/>
  <c r="S3" i="11" s="1"/>
  <c r="S36" i="11"/>
  <c r="Q36" i="11"/>
  <c r="Q18" i="11"/>
  <c r="Q3" i="11" s="1"/>
  <c r="N36" i="11"/>
  <c r="J36" i="11"/>
  <c r="J18" i="11"/>
  <c r="J3" i="11" s="1"/>
  <c r="F36" i="11"/>
  <c r="L30" i="11"/>
  <c r="M30" i="11" s="1"/>
  <c r="F18" i="11"/>
  <c r="Q17" i="11"/>
  <c r="T29" i="11"/>
  <c r="N17" i="11"/>
  <c r="J17" i="11"/>
  <c r="H17" i="11"/>
  <c r="L29" i="11"/>
  <c r="M29" i="11" s="1"/>
  <c r="F17" i="11"/>
  <c r="R50" i="11"/>
  <c r="R33" i="11"/>
  <c r="R66" i="11"/>
  <c r="R71" i="11"/>
  <c r="O33" i="11"/>
  <c r="O50" i="11"/>
  <c r="O66" i="11"/>
  <c r="O71" i="11"/>
  <c r="K33" i="11"/>
  <c r="K66" i="11"/>
  <c r="K71" i="11"/>
  <c r="K50" i="11"/>
  <c r="I66" i="11"/>
  <c r="I33" i="11"/>
  <c r="I32" i="11" s="1"/>
  <c r="I50" i="11"/>
  <c r="I71" i="11"/>
  <c r="K62" i="11"/>
  <c r="K28" i="11" s="1"/>
  <c r="K26" i="11"/>
  <c r="K25" i="11" s="1"/>
  <c r="K59" i="11"/>
  <c r="V51" i="11"/>
  <c r="V31" i="11"/>
  <c r="T412" i="9"/>
  <c r="U413" i="9"/>
  <c r="M413" i="9"/>
  <c r="M412" i="9" s="1"/>
  <c r="L412" i="9"/>
  <c r="T357" i="9"/>
  <c r="U358" i="9"/>
  <c r="U357" i="9" s="1"/>
  <c r="M351" i="9"/>
  <c r="M350" i="9" s="1"/>
  <c r="L350" i="9"/>
  <c r="V336" i="9"/>
  <c r="L48" i="9"/>
  <c r="M48" i="9" s="1"/>
  <c r="L41" i="9"/>
  <c r="M41" i="9" s="1"/>
  <c r="L23" i="9"/>
  <c r="M23" i="9" s="1"/>
  <c r="L39" i="9"/>
  <c r="M39" i="9" s="1"/>
  <c r="V34" i="9"/>
  <c r="P32" i="8"/>
  <c r="L31" i="8"/>
  <c r="M31" i="8" s="1"/>
  <c r="V52" i="8"/>
  <c r="S66" i="8"/>
  <c r="S31" i="8"/>
  <c r="T31" i="8" s="1"/>
  <c r="T65" i="8"/>
  <c r="U65" i="8" s="1"/>
  <c r="X65" i="8" s="1"/>
  <c r="V43" i="8"/>
  <c r="O26" i="7"/>
  <c r="O25" i="7" s="1"/>
  <c r="E32" i="7"/>
  <c r="T29" i="7"/>
  <c r="L46" i="7"/>
  <c r="M46" i="7" s="1"/>
  <c r="T41" i="7"/>
  <c r="L24" i="7"/>
  <c r="M24" i="7" s="1"/>
  <c r="T22" i="7"/>
  <c r="L22" i="7"/>
  <c r="M22" i="7" s="1"/>
  <c r="I33" i="13"/>
  <c r="H50" i="9"/>
  <c r="N32" i="9"/>
  <c r="X143" i="7"/>
  <c r="J52" i="8"/>
  <c r="S31" i="13"/>
  <c r="T31" i="13" s="1"/>
  <c r="T65" i="13"/>
  <c r="S66" i="13"/>
  <c r="S71" i="13"/>
  <c r="U358" i="19"/>
  <c r="U357" i="19" s="1"/>
  <c r="T357" i="19"/>
  <c r="L357" i="19"/>
  <c r="M358" i="19"/>
  <c r="M357" i="19" s="1"/>
  <c r="N424" i="18"/>
  <c r="N419" i="18"/>
  <c r="H425" i="18"/>
  <c r="I425" i="18" s="1"/>
  <c r="J425" i="18" s="1"/>
  <c r="K425" i="18" s="1"/>
  <c r="N425" i="18" s="1"/>
  <c r="O425" i="18" s="1"/>
  <c r="P425" i="18" s="1"/>
  <c r="Q425" i="18" s="1"/>
  <c r="J415" i="18"/>
  <c r="J412" i="18"/>
  <c r="H415" i="18"/>
  <c r="H412" i="18"/>
  <c r="F415" i="18"/>
  <c r="L415" i="18" s="1"/>
  <c r="M415" i="18" s="1"/>
  <c r="L413" i="18"/>
  <c r="F412" i="18"/>
  <c r="V419" i="18"/>
  <c r="L357" i="18"/>
  <c r="M358" i="18"/>
  <c r="M357" i="18" s="1"/>
  <c r="T350" i="18"/>
  <c r="T353" i="18"/>
  <c r="T41" i="18"/>
  <c r="T39" i="18"/>
  <c r="X339" i="15"/>
  <c r="T357" i="15"/>
  <c r="V339" i="15"/>
  <c r="V340" i="15" s="1"/>
  <c r="S334" i="15"/>
  <c r="T350" i="15"/>
  <c r="T353" i="15"/>
  <c r="J336" i="15"/>
  <c r="J333" i="15"/>
  <c r="F336" i="15"/>
  <c r="F333" i="15"/>
  <c r="T47" i="13"/>
  <c r="T46" i="13"/>
  <c r="L46" i="13"/>
  <c r="M46" i="13" s="1"/>
  <c r="R42" i="13"/>
  <c r="T41" i="13"/>
  <c r="H42" i="13"/>
  <c r="L41" i="13"/>
  <c r="M41" i="13" s="1"/>
  <c r="T39" i="13"/>
  <c r="L39" i="13"/>
  <c r="M39" i="13" s="1"/>
  <c r="Q341" i="11"/>
  <c r="N341" i="11"/>
  <c r="G17" i="28" s="1"/>
  <c r="H17" i="28" s="1"/>
  <c r="N362" i="11"/>
  <c r="L341" i="11"/>
  <c r="F340" i="11"/>
  <c r="F345" i="11"/>
  <c r="F346" i="11" s="1"/>
  <c r="G363" i="11"/>
  <c r="H363" i="11" s="1"/>
  <c r="I363" i="11" s="1"/>
  <c r="J363" i="11" s="1"/>
  <c r="K363" i="11" s="1"/>
  <c r="N363" i="11" s="1"/>
  <c r="O363" i="11" s="1"/>
  <c r="P363" i="11" s="1"/>
  <c r="Q363" i="11" s="1"/>
  <c r="R363" i="11" s="1"/>
  <c r="S363" i="11" s="1"/>
  <c r="U351" i="11"/>
  <c r="T350" i="11"/>
  <c r="H334" i="11"/>
  <c r="F336" i="11"/>
  <c r="F333" i="11"/>
  <c r="O343" i="11"/>
  <c r="U331" i="11"/>
  <c r="O20" i="11"/>
  <c r="K20" i="11"/>
  <c r="I20" i="11"/>
  <c r="G20" i="11"/>
  <c r="T48" i="11"/>
  <c r="L48" i="11"/>
  <c r="M48" i="11" s="1"/>
  <c r="K36" i="11"/>
  <c r="K18" i="11"/>
  <c r="K3" i="11" s="1"/>
  <c r="G36" i="11"/>
  <c r="V17" i="11"/>
  <c r="R17" i="11"/>
  <c r="K17" i="11"/>
  <c r="G17" i="11"/>
  <c r="Q42" i="11"/>
  <c r="N42" i="11"/>
  <c r="T41" i="11"/>
  <c r="L41" i="11"/>
  <c r="M41" i="11" s="1"/>
  <c r="T40" i="11"/>
  <c r="L23" i="11"/>
  <c r="M23" i="11" s="1"/>
  <c r="T22" i="11"/>
  <c r="L22" i="11"/>
  <c r="M22" i="11" s="1"/>
  <c r="Q33" i="11"/>
  <c r="Q32" i="11" s="1"/>
  <c r="Q50" i="11"/>
  <c r="Q66" i="11"/>
  <c r="Q71" i="11"/>
  <c r="N50" i="11"/>
  <c r="N33" i="11"/>
  <c r="G16" i="28" s="1"/>
  <c r="H16" i="28" s="1"/>
  <c r="N66" i="11"/>
  <c r="T67" i="11"/>
  <c r="N71" i="11"/>
  <c r="J50" i="11"/>
  <c r="J33" i="11"/>
  <c r="J66" i="11"/>
  <c r="J71" i="11"/>
  <c r="Q62" i="11"/>
  <c r="Q28" i="11" s="1"/>
  <c r="Q59" i="11"/>
  <c r="Q26" i="11"/>
  <c r="Q25" i="11" s="1"/>
  <c r="J62" i="11"/>
  <c r="J28" i="11" s="1"/>
  <c r="J26" i="11"/>
  <c r="J25" i="11" s="1"/>
  <c r="J59" i="11"/>
  <c r="H62" i="11"/>
  <c r="H28" i="11" s="1"/>
  <c r="H59" i="11"/>
  <c r="H26" i="11"/>
  <c r="H25" i="11" s="1"/>
  <c r="S31" i="11"/>
  <c r="T31" i="11" s="1"/>
  <c r="T65" i="11"/>
  <c r="U65" i="11" s="1"/>
  <c r="O424" i="9"/>
  <c r="O419" i="9"/>
  <c r="G425" i="9"/>
  <c r="H425" i="9" s="1"/>
  <c r="S419" i="9"/>
  <c r="G363" i="9"/>
  <c r="H363" i="9" s="1"/>
  <c r="I363" i="9" s="1"/>
  <c r="J363" i="9" s="1"/>
  <c r="K363" i="9" s="1"/>
  <c r="N363" i="9" s="1"/>
  <c r="O363" i="9" s="1"/>
  <c r="P363" i="9" s="1"/>
  <c r="Q363" i="9" s="1"/>
  <c r="R363" i="9" s="1"/>
  <c r="S363" i="9" s="1"/>
  <c r="R353" i="9"/>
  <c r="R350" i="9"/>
  <c r="T51" i="9"/>
  <c r="L51" i="9"/>
  <c r="M51" i="9" s="1"/>
  <c r="E32" i="9"/>
  <c r="N53" i="9"/>
  <c r="N54" i="9" s="1"/>
  <c r="T47" i="9"/>
  <c r="L30" i="9"/>
  <c r="M30" i="9" s="1"/>
  <c r="F36" i="9"/>
  <c r="L36" i="9" s="1"/>
  <c r="M36" i="9" s="1"/>
  <c r="T29" i="9"/>
  <c r="L29" i="9"/>
  <c r="M29" i="9" s="1"/>
  <c r="R42" i="9"/>
  <c r="R26" i="9"/>
  <c r="R59" i="9"/>
  <c r="R62" i="9"/>
  <c r="T34" i="8"/>
  <c r="L34" i="8"/>
  <c r="M34" i="8" s="1"/>
  <c r="T30" i="8"/>
  <c r="N36" i="8"/>
  <c r="F53" i="8"/>
  <c r="L53" i="8" s="1"/>
  <c r="M53" i="8" s="1"/>
  <c r="L47" i="8"/>
  <c r="M47" i="8" s="1"/>
  <c r="T46" i="8"/>
  <c r="L46" i="8"/>
  <c r="M46" i="8" s="1"/>
  <c r="N42" i="8"/>
  <c r="T41" i="8"/>
  <c r="L41" i="8"/>
  <c r="M41" i="8" s="1"/>
  <c r="T40" i="8"/>
  <c r="L23" i="8"/>
  <c r="M23" i="8" s="1"/>
  <c r="T39" i="8"/>
  <c r="L39" i="8"/>
  <c r="M39" i="8" s="1"/>
  <c r="K52" i="8"/>
  <c r="K35" i="8"/>
  <c r="V34" i="8"/>
  <c r="V66" i="8"/>
  <c r="V31" i="8"/>
  <c r="N43" i="7"/>
  <c r="T51" i="7"/>
  <c r="L51" i="7"/>
  <c r="M51" i="7" s="1"/>
  <c r="L48" i="7"/>
  <c r="M48" i="7" s="1"/>
  <c r="T47" i="7"/>
  <c r="L53" i="7"/>
  <c r="M53" i="7" s="1"/>
  <c r="L47" i="7"/>
  <c r="M47" i="7" s="1"/>
  <c r="T23" i="7"/>
  <c r="L40" i="7"/>
  <c r="M40" i="7" s="1"/>
  <c r="T142" i="7"/>
  <c r="V51" i="7"/>
  <c r="S31" i="7"/>
  <c r="T65" i="7"/>
  <c r="U65" i="7" s="1"/>
  <c r="J33" i="9"/>
  <c r="R33" i="9"/>
  <c r="T360" i="15"/>
  <c r="N343" i="15"/>
  <c r="R360" i="7"/>
  <c r="W652" i="11"/>
  <c r="Q50" i="7"/>
  <c r="Q33" i="7"/>
  <c r="Q32" i="7" s="1"/>
  <c r="K50" i="7"/>
  <c r="K33" i="7"/>
  <c r="K37" i="7" s="1"/>
  <c r="S43" i="7"/>
  <c r="S45" i="7" s="1"/>
  <c r="S26" i="7"/>
  <c r="S25" i="7" s="1"/>
  <c r="S28" i="7"/>
  <c r="P43" i="7"/>
  <c r="P45" i="7" s="1"/>
  <c r="P26" i="7"/>
  <c r="P25" i="7" s="1"/>
  <c r="P28" i="7"/>
  <c r="J166" i="7"/>
  <c r="H33" i="13"/>
  <c r="H50" i="13"/>
  <c r="Q43" i="15"/>
  <c r="Q45" i="15" s="1"/>
  <c r="N422" i="18"/>
  <c r="N343" i="18" s="1"/>
  <c r="J33" i="8"/>
  <c r="G8" i="28" s="1"/>
  <c r="H8" i="28" s="1"/>
  <c r="J50" i="8"/>
  <c r="J54" i="8" s="1"/>
  <c r="X463" i="9"/>
  <c r="R216" i="9"/>
  <c r="O26" i="9"/>
  <c r="O43" i="9"/>
  <c r="O45" i="9" s="1"/>
  <c r="J543" i="9"/>
  <c r="O530" i="9"/>
  <c r="I50" i="9"/>
  <c r="I33" i="9"/>
  <c r="Q166" i="9"/>
  <c r="U190" i="9"/>
  <c r="J166" i="9"/>
  <c r="J43" i="9"/>
  <c r="J45" i="9" s="1"/>
  <c r="J26" i="9"/>
  <c r="H252" i="11"/>
  <c r="T278" i="11"/>
  <c r="W634" i="11"/>
  <c r="V479" i="11"/>
  <c r="R33" i="13"/>
  <c r="R32" i="13" s="1"/>
  <c r="R50" i="13"/>
  <c r="V52" i="15"/>
  <c r="N343" i="19"/>
  <c r="J343" i="19"/>
  <c r="S420" i="18"/>
  <c r="K422" i="13"/>
  <c r="K343" i="13" s="1"/>
  <c r="F422" i="13"/>
  <c r="S420" i="13"/>
  <c r="S341" i="13" s="1"/>
  <c r="S48" i="15"/>
  <c r="T48" i="15" s="1"/>
  <c r="U468" i="18"/>
  <c r="W468" i="18" s="1"/>
  <c r="N543" i="7"/>
  <c r="N527" i="7"/>
  <c r="N171" i="7"/>
  <c r="N50" i="7"/>
  <c r="N33" i="7"/>
  <c r="H50" i="7"/>
  <c r="H33" i="7"/>
  <c r="V358" i="13"/>
  <c r="I33" i="7"/>
  <c r="I37" i="7" s="1"/>
  <c r="I50" i="7"/>
  <c r="H343" i="18"/>
  <c r="V358" i="19"/>
  <c r="L528" i="18"/>
  <c r="M528" i="18" s="1"/>
  <c r="V358" i="11"/>
  <c r="J343" i="18"/>
  <c r="V358" i="9"/>
  <c r="K166" i="8"/>
  <c r="Q43" i="7"/>
  <c r="Q45" i="7" s="1"/>
  <c r="Q26" i="7"/>
  <c r="Q25" i="7" s="1"/>
  <c r="Q28" i="7"/>
  <c r="R360" i="9"/>
  <c r="K33" i="13"/>
  <c r="K50" i="13"/>
  <c r="V34" i="18"/>
  <c r="V20" i="18" s="1"/>
  <c r="W356" i="19"/>
  <c r="X356" i="19"/>
  <c r="I334" i="18"/>
  <c r="G334" i="18"/>
  <c r="R415" i="18"/>
  <c r="R412" i="18"/>
  <c r="W356" i="18"/>
  <c r="X356" i="18"/>
  <c r="V336" i="18"/>
  <c r="T51" i="18"/>
  <c r="U51" i="18" s="1"/>
  <c r="W51" i="18" s="1"/>
  <c r="L34" i="18"/>
  <c r="M34" i="18" s="1"/>
  <c r="T29" i="18"/>
  <c r="L46" i="18"/>
  <c r="M46" i="18" s="1"/>
  <c r="I345" i="15"/>
  <c r="I340" i="15"/>
  <c r="O334" i="15"/>
  <c r="T334" i="15" s="1"/>
  <c r="T333" i="15" s="1"/>
  <c r="G336" i="15"/>
  <c r="G333" i="15"/>
  <c r="K419" i="13"/>
  <c r="K424" i="13"/>
  <c r="I419" i="13"/>
  <c r="I424" i="13"/>
  <c r="T415" i="13"/>
  <c r="F415" i="13"/>
  <c r="L415" i="13" s="1"/>
  <c r="M415" i="13" s="1"/>
  <c r="F412" i="13"/>
  <c r="L413" i="13"/>
  <c r="T350" i="13"/>
  <c r="L353" i="13"/>
  <c r="M353" i="13" s="1"/>
  <c r="F28" i="13"/>
  <c r="F16" i="13" s="1"/>
  <c r="F43" i="13"/>
  <c r="T51" i="13"/>
  <c r="L51" i="13"/>
  <c r="M51" i="13" s="1"/>
  <c r="L31" i="13"/>
  <c r="M31" i="13" s="1"/>
  <c r="L47" i="13"/>
  <c r="M47" i="13" s="1"/>
  <c r="T23" i="13"/>
  <c r="L23" i="13"/>
  <c r="M23" i="13" s="1"/>
  <c r="R62" i="13"/>
  <c r="R26" i="13"/>
  <c r="R59" i="13"/>
  <c r="K334" i="11"/>
  <c r="V333" i="11"/>
  <c r="T34" i="11"/>
  <c r="H20" i="11"/>
  <c r="L51" i="11"/>
  <c r="M51" i="11" s="1"/>
  <c r="N53" i="11"/>
  <c r="T53" i="11" s="1"/>
  <c r="T47" i="11"/>
  <c r="H36" i="11"/>
  <c r="L47" i="11"/>
  <c r="M47" i="11" s="1"/>
  <c r="F53" i="11"/>
  <c r="L53" i="11" s="1"/>
  <c r="M53" i="11" s="1"/>
  <c r="S17" i="11"/>
  <c r="T46" i="11"/>
  <c r="L46" i="11"/>
  <c r="M46" i="11" s="1"/>
  <c r="G50" i="11"/>
  <c r="G66" i="11"/>
  <c r="G71" i="11"/>
  <c r="G33" i="11"/>
  <c r="O62" i="11"/>
  <c r="O28" i="11" s="1"/>
  <c r="O26" i="11"/>
  <c r="O25" i="11" s="1"/>
  <c r="O59" i="11"/>
  <c r="K43" i="11"/>
  <c r="K45" i="11" s="1"/>
  <c r="G62" i="11"/>
  <c r="G28" i="11" s="1"/>
  <c r="G59" i="11"/>
  <c r="G26" i="11"/>
  <c r="G25" i="11" s="1"/>
  <c r="T420" i="9"/>
  <c r="T415" i="9"/>
  <c r="M358" i="9"/>
  <c r="M357" i="9" s="1"/>
  <c r="L357" i="9"/>
  <c r="L353" i="9"/>
  <c r="M353" i="9" s="1"/>
  <c r="L31" i="9"/>
  <c r="M31" i="9" s="1"/>
  <c r="R36" i="9"/>
  <c r="O53" i="9"/>
  <c r="T24" i="9"/>
  <c r="L24" i="9"/>
  <c r="M24" i="9" s="1"/>
  <c r="T40" i="9"/>
  <c r="L40" i="9"/>
  <c r="M40" i="9" s="1"/>
  <c r="T22" i="9"/>
  <c r="L22" i="9"/>
  <c r="M22" i="9" s="1"/>
  <c r="T48" i="8"/>
  <c r="V53" i="8"/>
  <c r="V25" i="8"/>
  <c r="S71" i="8"/>
  <c r="T67" i="8"/>
  <c r="O28" i="7"/>
  <c r="O43" i="7"/>
  <c r="O45" i="7" s="1"/>
  <c r="T46" i="7"/>
  <c r="U46" i="7" s="1"/>
  <c r="W46" i="7" s="1"/>
  <c r="L29" i="7"/>
  <c r="M29" i="7" s="1"/>
  <c r="N25" i="7"/>
  <c r="T24" i="7"/>
  <c r="L41" i="7"/>
  <c r="M41" i="7" s="1"/>
  <c r="T39" i="7"/>
  <c r="L39" i="7"/>
  <c r="M39" i="7" s="1"/>
  <c r="V31" i="7"/>
  <c r="S341" i="11"/>
  <c r="N49" i="9"/>
  <c r="S336" i="19"/>
  <c r="S333" i="19"/>
  <c r="M420" i="18"/>
  <c r="M419" i="18" s="1"/>
  <c r="L419" i="18"/>
  <c r="T413" i="18"/>
  <c r="T415" i="18"/>
  <c r="J334" i="18"/>
  <c r="F334" i="18"/>
  <c r="F422" i="18"/>
  <c r="T358" i="18"/>
  <c r="V357" i="18"/>
  <c r="T24" i="18"/>
  <c r="T22" i="18"/>
  <c r="S70" i="18"/>
  <c r="T70" i="18" s="1"/>
  <c r="T64" i="18"/>
  <c r="L64" i="18"/>
  <c r="M64" i="18" s="1"/>
  <c r="V342" i="15"/>
  <c r="W342" i="15" s="1"/>
  <c r="Q345" i="15"/>
  <c r="Q340" i="15"/>
  <c r="J345" i="15"/>
  <c r="J340" i="15"/>
  <c r="Q336" i="15"/>
  <c r="Q333" i="15"/>
  <c r="N336" i="15"/>
  <c r="N333" i="15"/>
  <c r="J419" i="13"/>
  <c r="J424" i="13"/>
  <c r="F419" i="13"/>
  <c r="F424" i="13"/>
  <c r="F425" i="13" s="1"/>
  <c r="G425" i="13" s="1"/>
  <c r="M358" i="13"/>
  <c r="M357" i="13" s="1"/>
  <c r="L357" i="13"/>
  <c r="E32" i="13"/>
  <c r="S36" i="13"/>
  <c r="Q36" i="13"/>
  <c r="T29" i="13"/>
  <c r="L29" i="13"/>
  <c r="M29" i="13" s="1"/>
  <c r="R25" i="13"/>
  <c r="N25" i="13"/>
  <c r="T24" i="13"/>
  <c r="L24" i="13"/>
  <c r="M24" i="13" s="1"/>
  <c r="T22" i="13"/>
  <c r="L22" i="13"/>
  <c r="M22" i="13" s="1"/>
  <c r="W339" i="11"/>
  <c r="X339" i="11"/>
  <c r="U358" i="11"/>
  <c r="U357" i="11" s="1"/>
  <c r="T357" i="11"/>
  <c r="M358" i="11"/>
  <c r="M357" i="11" s="1"/>
  <c r="L357" i="11"/>
  <c r="S334" i="11"/>
  <c r="Q334" i="11"/>
  <c r="T353" i="11"/>
  <c r="J334" i="11"/>
  <c r="L353" i="11"/>
  <c r="M353" i="11" s="1"/>
  <c r="M351" i="11"/>
  <c r="M350" i="11" s="1"/>
  <c r="L350" i="11"/>
  <c r="G343" i="11"/>
  <c r="U348" i="11"/>
  <c r="R20" i="11"/>
  <c r="E49" i="11"/>
  <c r="L31" i="11"/>
  <c r="M31" i="11" s="1"/>
  <c r="V53" i="11"/>
  <c r="R36" i="11"/>
  <c r="R18" i="11"/>
  <c r="R3" i="11" s="1"/>
  <c r="O36" i="11"/>
  <c r="I36" i="11"/>
  <c r="I18" i="11"/>
  <c r="I3" i="11" s="1"/>
  <c r="O17" i="11"/>
  <c r="I17" i="11"/>
  <c r="T24" i="11"/>
  <c r="L24" i="11"/>
  <c r="M24" i="11" s="1"/>
  <c r="T23" i="11"/>
  <c r="L40" i="11"/>
  <c r="M40" i="11" s="1"/>
  <c r="T39" i="11"/>
  <c r="L39" i="11"/>
  <c r="M39" i="11" s="1"/>
  <c r="H50" i="11"/>
  <c r="H66" i="11"/>
  <c r="H33" i="11"/>
  <c r="H71" i="11"/>
  <c r="F33" i="11"/>
  <c r="F71" i="11"/>
  <c r="F72" i="11" s="1"/>
  <c r="F50" i="11"/>
  <c r="F66" i="11"/>
  <c r="L67" i="11"/>
  <c r="S62" i="11"/>
  <c r="S28" i="11" s="1"/>
  <c r="S59" i="11"/>
  <c r="S26" i="11"/>
  <c r="N59" i="11"/>
  <c r="N26" i="11"/>
  <c r="N25" i="11" s="1"/>
  <c r="N62" i="11"/>
  <c r="N28" i="11" s="1"/>
  <c r="J43" i="11"/>
  <c r="J45" i="11" s="1"/>
  <c r="H43" i="11"/>
  <c r="H45" i="11" s="1"/>
  <c r="F62" i="11"/>
  <c r="F26" i="11"/>
  <c r="F59" i="11"/>
  <c r="S71" i="11"/>
  <c r="S66" i="11"/>
  <c r="V419" i="9"/>
  <c r="T34" i="9"/>
  <c r="L34" i="9"/>
  <c r="M34" i="9" s="1"/>
  <c r="E49" i="9"/>
  <c r="T30" i="9"/>
  <c r="N36" i="9"/>
  <c r="F53" i="9"/>
  <c r="L53" i="9" s="1"/>
  <c r="M53" i="9" s="1"/>
  <c r="L47" i="9"/>
  <c r="M47" i="9" s="1"/>
  <c r="T46" i="9"/>
  <c r="L46" i="9"/>
  <c r="M46" i="9" s="1"/>
  <c r="O42" i="9"/>
  <c r="S514" i="8"/>
  <c r="T51" i="8"/>
  <c r="L51" i="8"/>
  <c r="M51" i="8" s="1"/>
  <c r="R49" i="8"/>
  <c r="K49" i="8"/>
  <c r="E49" i="8"/>
  <c r="N53" i="8"/>
  <c r="T53" i="8" s="1"/>
  <c r="T47" i="8"/>
  <c r="L30" i="8"/>
  <c r="M30" i="8" s="1"/>
  <c r="F36" i="8"/>
  <c r="L36" i="8" s="1"/>
  <c r="M36" i="8" s="1"/>
  <c r="T29" i="8"/>
  <c r="L29" i="8"/>
  <c r="M29" i="8" s="1"/>
  <c r="N25" i="8"/>
  <c r="T24" i="8"/>
  <c r="L24" i="8"/>
  <c r="M24" i="8" s="1"/>
  <c r="T23" i="8"/>
  <c r="L40" i="8"/>
  <c r="M40" i="8" s="1"/>
  <c r="T22" i="8"/>
  <c r="L22" i="8"/>
  <c r="M22" i="8" s="1"/>
  <c r="T142" i="8"/>
  <c r="S144" i="8"/>
  <c r="S146" i="8"/>
  <c r="T34" i="7"/>
  <c r="L34" i="7"/>
  <c r="M34" i="7" s="1"/>
  <c r="T48" i="7"/>
  <c r="L31" i="7"/>
  <c r="T30" i="7"/>
  <c r="L36" i="7"/>
  <c r="M36" i="7" s="1"/>
  <c r="L30" i="7"/>
  <c r="M30" i="7" s="1"/>
  <c r="T40" i="7"/>
  <c r="L23" i="7"/>
  <c r="M23" i="7" s="1"/>
  <c r="S480" i="15"/>
  <c r="S484" i="15" s="1"/>
  <c r="S499" i="15"/>
  <c r="J50" i="9"/>
  <c r="H479" i="11"/>
  <c r="G35" i="13"/>
  <c r="W435" i="7"/>
  <c r="V42" i="11"/>
  <c r="V66" i="11"/>
  <c r="V45" i="11"/>
  <c r="N565" i="19"/>
  <c r="S536" i="19"/>
  <c r="F536" i="19"/>
  <c r="Q536" i="19"/>
  <c r="T554" i="19"/>
  <c r="T553" i="19" s="1"/>
  <c r="M344" i="19"/>
  <c r="U344" i="19"/>
  <c r="W344" i="19" s="1"/>
  <c r="M338" i="19"/>
  <c r="U338" i="19"/>
  <c r="W338" i="19" s="1"/>
  <c r="L422" i="19"/>
  <c r="M422" i="19" s="1"/>
  <c r="F343" i="19"/>
  <c r="G340" i="19"/>
  <c r="G345" i="19"/>
  <c r="G346" i="19" s="1"/>
  <c r="H346" i="19" s="1"/>
  <c r="I346" i="19" s="1"/>
  <c r="J346" i="19" s="1"/>
  <c r="Q340" i="19"/>
  <c r="Q345" i="19"/>
  <c r="T339" i="19"/>
  <c r="U339" i="19" s="1"/>
  <c r="S31" i="19"/>
  <c r="S48" i="19"/>
  <c r="T48" i="19" s="1"/>
  <c r="V34" i="19"/>
  <c r="V51" i="19"/>
  <c r="W68" i="19"/>
  <c r="P66" i="19"/>
  <c r="P71" i="19"/>
  <c r="J66" i="19"/>
  <c r="J71" i="19"/>
  <c r="F66" i="19"/>
  <c r="F71" i="19"/>
  <c r="F72" i="19" s="1"/>
  <c r="G72" i="19" s="1"/>
  <c r="L67" i="19"/>
  <c r="S499" i="19"/>
  <c r="S480" i="19"/>
  <c r="S484" i="19" s="1"/>
  <c r="T495" i="19"/>
  <c r="U495" i="19" s="1"/>
  <c r="W495" i="19" s="1"/>
  <c r="T412" i="19"/>
  <c r="G424" i="19"/>
  <c r="G425" i="19" s="1"/>
  <c r="H425" i="19" s="1"/>
  <c r="I425" i="19" s="1"/>
  <c r="J425" i="19" s="1"/>
  <c r="K425" i="19" s="1"/>
  <c r="N425" i="19" s="1"/>
  <c r="L423" i="19"/>
  <c r="M423" i="19" s="1"/>
  <c r="M420" i="19"/>
  <c r="M419" i="19" s="1"/>
  <c r="L419" i="19"/>
  <c r="O176" i="19"/>
  <c r="G519" i="19"/>
  <c r="Q519" i="19"/>
  <c r="T516" i="19"/>
  <c r="T638" i="19"/>
  <c r="T637" i="19" s="1"/>
  <c r="G718" i="19"/>
  <c r="Q544" i="19"/>
  <c r="Q527" i="19" s="1"/>
  <c r="Q526" i="19" s="1"/>
  <c r="V553" i="19"/>
  <c r="G530" i="19"/>
  <c r="U712" i="19"/>
  <c r="N69" i="19"/>
  <c r="S69" i="19"/>
  <c r="Q69" i="19"/>
  <c r="Q52" i="19" s="1"/>
  <c r="O69" i="19"/>
  <c r="K69" i="19"/>
  <c r="I69" i="19"/>
  <c r="G69" i="19"/>
  <c r="R266" i="19"/>
  <c r="R35" i="19" s="1"/>
  <c r="P266" i="19"/>
  <c r="N266" i="19"/>
  <c r="I266" i="19"/>
  <c r="J266" i="19"/>
  <c r="H266" i="19"/>
  <c r="F266" i="19"/>
  <c r="H519" i="19"/>
  <c r="G28" i="19"/>
  <c r="G43" i="19"/>
  <c r="G45" i="19" s="1"/>
  <c r="I26" i="19"/>
  <c r="I25" i="19" s="1"/>
  <c r="F28" i="19"/>
  <c r="F26" i="19"/>
  <c r="F25" i="19" s="1"/>
  <c r="T415" i="19"/>
  <c r="S420" i="19"/>
  <c r="S419" i="19" s="1"/>
  <c r="T51" i="19"/>
  <c r="L51" i="19"/>
  <c r="M51" i="19" s="1"/>
  <c r="T46" i="19"/>
  <c r="L46" i="19"/>
  <c r="M46" i="19" s="1"/>
  <c r="E32" i="19"/>
  <c r="T24" i="19"/>
  <c r="L62" i="19"/>
  <c r="M62" i="19" s="1"/>
  <c r="R66" i="19"/>
  <c r="R71" i="19"/>
  <c r="T67" i="19"/>
  <c r="N66" i="19"/>
  <c r="N71" i="19"/>
  <c r="H66" i="19"/>
  <c r="H71" i="19"/>
  <c r="V66" i="19"/>
  <c r="W65" i="19"/>
  <c r="T418" i="19"/>
  <c r="U418" i="19" s="1"/>
  <c r="M417" i="19"/>
  <c r="U417" i="19"/>
  <c r="M410" i="19"/>
  <c r="U410" i="19"/>
  <c r="U60" i="19"/>
  <c r="L59" i="19"/>
  <c r="M60" i="19"/>
  <c r="M59" i="19" s="1"/>
  <c r="V420" i="19"/>
  <c r="V341" i="19" s="1"/>
  <c r="V340" i="19" s="1"/>
  <c r="G26" i="19"/>
  <c r="G25" i="19" s="1"/>
  <c r="I28" i="19"/>
  <c r="F43" i="19"/>
  <c r="T31" i="19"/>
  <c r="T34" i="19"/>
  <c r="L34" i="19"/>
  <c r="M34" i="19" s="1"/>
  <c r="T29" i="19"/>
  <c r="L29" i="19"/>
  <c r="M29" i="19" s="1"/>
  <c r="T41" i="19"/>
  <c r="T62" i="19"/>
  <c r="M24" i="19"/>
  <c r="S166" i="19"/>
  <c r="S43" i="19"/>
  <c r="S26" i="19"/>
  <c r="S25" i="19" s="1"/>
  <c r="S28" i="19"/>
  <c r="R43" i="19"/>
  <c r="R26" i="19"/>
  <c r="R25" i="19" s="1"/>
  <c r="R28" i="19"/>
  <c r="T40" i="19"/>
  <c r="T39" i="19"/>
  <c r="T23" i="19"/>
  <c r="T22" i="19"/>
  <c r="V43" i="19"/>
  <c r="V26" i="19"/>
  <c r="V25" i="19" s="1"/>
  <c r="V52" i="19"/>
  <c r="V35" i="19"/>
  <c r="V21" i="19" s="1"/>
  <c r="V171" i="19"/>
  <c r="V50" i="19"/>
  <c r="H47" i="19"/>
  <c r="H53" i="19" s="1"/>
  <c r="H30" i="19"/>
  <c r="F53" i="19"/>
  <c r="L53" i="19" s="1"/>
  <c r="M53" i="19" s="1"/>
  <c r="L30" i="19"/>
  <c r="M30" i="19" s="1"/>
  <c r="F36" i="19"/>
  <c r="V48" i="19"/>
  <c r="V31" i="19"/>
  <c r="L31" i="19"/>
  <c r="L48" i="19"/>
  <c r="T30" i="19"/>
  <c r="N36" i="19"/>
  <c r="T36" i="19" s="1"/>
  <c r="N53" i="19"/>
  <c r="T53" i="19" s="1"/>
  <c r="T47" i="19"/>
  <c r="P50" i="19"/>
  <c r="P33" i="19"/>
  <c r="Q171" i="19"/>
  <c r="Q33" i="19"/>
  <c r="Q50" i="19"/>
  <c r="R50" i="19"/>
  <c r="R33" i="19"/>
  <c r="N50" i="19"/>
  <c r="N33" i="19"/>
  <c r="O33" i="19"/>
  <c r="O50" i="19"/>
  <c r="R52" i="19"/>
  <c r="O166" i="19"/>
  <c r="O43" i="19"/>
  <c r="O26" i="19"/>
  <c r="O25" i="19" s="1"/>
  <c r="O28" i="19"/>
  <c r="Q166" i="19"/>
  <c r="Q43" i="19"/>
  <c r="Q26" i="19"/>
  <c r="Q25" i="19" s="1"/>
  <c r="Q28" i="19"/>
  <c r="P26" i="19"/>
  <c r="P25" i="19" s="1"/>
  <c r="P43" i="19"/>
  <c r="P28" i="19"/>
  <c r="N26" i="19"/>
  <c r="N43" i="19"/>
  <c r="N28" i="19"/>
  <c r="K43" i="19"/>
  <c r="K26" i="19"/>
  <c r="K25" i="19" s="1"/>
  <c r="K28" i="19"/>
  <c r="J166" i="19"/>
  <c r="J26" i="19"/>
  <c r="J25" i="19" s="1"/>
  <c r="J43" i="19"/>
  <c r="J28" i="19"/>
  <c r="I45" i="19"/>
  <c r="I42" i="19"/>
  <c r="L23" i="19"/>
  <c r="L39" i="19"/>
  <c r="L40" i="19"/>
  <c r="L22" i="19"/>
  <c r="F524" i="18"/>
  <c r="F18" i="18" s="1"/>
  <c r="M601" i="18"/>
  <c r="M600" i="18" s="1"/>
  <c r="R524" i="18"/>
  <c r="L517" i="18"/>
  <c r="M517" i="18" s="1"/>
  <c r="L471" i="18"/>
  <c r="M471" i="18" s="1"/>
  <c r="V339" i="18"/>
  <c r="W339" i="18" s="1"/>
  <c r="H338" i="18"/>
  <c r="G345" i="18"/>
  <c r="G340" i="18"/>
  <c r="K345" i="18"/>
  <c r="K340" i="18"/>
  <c r="I345" i="18"/>
  <c r="I340" i="18"/>
  <c r="H340" i="18"/>
  <c r="J345" i="18"/>
  <c r="J340" i="18"/>
  <c r="L341" i="18"/>
  <c r="F345" i="18"/>
  <c r="F346" i="18" s="1"/>
  <c r="F340" i="18"/>
  <c r="N341" i="18"/>
  <c r="G33" i="28" s="1"/>
  <c r="H33" i="28" s="1"/>
  <c r="S336" i="18"/>
  <c r="T336" i="18" s="1"/>
  <c r="S333" i="18"/>
  <c r="T334" i="18"/>
  <c r="R345" i="18"/>
  <c r="R340" i="18"/>
  <c r="M331" i="18"/>
  <c r="U331" i="18"/>
  <c r="R62" i="18"/>
  <c r="R26" i="18"/>
  <c r="R25" i="18" s="1"/>
  <c r="R59" i="18"/>
  <c r="S28" i="18"/>
  <c r="S26" i="18"/>
  <c r="S25" i="18" s="1"/>
  <c r="S59" i="18"/>
  <c r="N45" i="18"/>
  <c r="S66" i="18"/>
  <c r="S31" i="18"/>
  <c r="T31" i="18" s="1"/>
  <c r="T65" i="18"/>
  <c r="U65" i="18" s="1"/>
  <c r="X65" i="18" s="1"/>
  <c r="S45" i="18"/>
  <c r="S42" i="18"/>
  <c r="N62" i="18"/>
  <c r="N26" i="18"/>
  <c r="N59" i="18"/>
  <c r="T60" i="18"/>
  <c r="T67" i="18"/>
  <c r="V28" i="18"/>
  <c r="V59" i="18"/>
  <c r="V216" i="18"/>
  <c r="V31" i="18"/>
  <c r="V48" i="18"/>
  <c r="V42" i="18"/>
  <c r="G220" i="18"/>
  <c r="G221" i="18" s="1"/>
  <c r="G222" i="18" s="1"/>
  <c r="H222" i="18" s="1"/>
  <c r="I222" i="18" s="1"/>
  <c r="G30" i="18"/>
  <c r="G18" i="18" s="1"/>
  <c r="G3" i="18" s="1"/>
  <c r="G47" i="18"/>
  <c r="G53" i="18" s="1"/>
  <c r="U215" i="18"/>
  <c r="W215" i="18" s="1"/>
  <c r="T30" i="18"/>
  <c r="N36" i="18"/>
  <c r="N53" i="18"/>
  <c r="S216" i="18"/>
  <c r="S50" i="18"/>
  <c r="R37" i="18"/>
  <c r="R52" i="18"/>
  <c r="R35" i="18"/>
  <c r="N49" i="18"/>
  <c r="L219" i="18"/>
  <c r="K221" i="18"/>
  <c r="L212" i="18"/>
  <c r="M212" i="18" s="1"/>
  <c r="M211" i="18" s="1"/>
  <c r="F42" i="18"/>
  <c r="T23" i="18"/>
  <c r="T40" i="18"/>
  <c r="L23" i="18"/>
  <c r="L40" i="18"/>
  <c r="L39" i="18"/>
  <c r="L22" i="18"/>
  <c r="V547" i="15"/>
  <c r="S547" i="15"/>
  <c r="T547" i="15" s="1"/>
  <c r="N524" i="15"/>
  <c r="T524" i="15" s="1"/>
  <c r="T541" i="15"/>
  <c r="U541" i="15" s="1"/>
  <c r="J524" i="15"/>
  <c r="U656" i="15"/>
  <c r="W656" i="15" s="1"/>
  <c r="O52" i="15"/>
  <c r="O32" i="15"/>
  <c r="O37" i="15"/>
  <c r="N45" i="15"/>
  <c r="J45" i="15"/>
  <c r="J42" i="15"/>
  <c r="N52" i="15"/>
  <c r="N35" i="15"/>
  <c r="K52" i="15"/>
  <c r="N42" i="15"/>
  <c r="T41" i="15"/>
  <c r="S26" i="15"/>
  <c r="S25" i="15" s="1"/>
  <c r="S62" i="15"/>
  <c r="S28" i="15" s="1"/>
  <c r="S59" i="15"/>
  <c r="Q26" i="15"/>
  <c r="Q25" i="15" s="1"/>
  <c r="Q59" i="15"/>
  <c r="Q62" i="15"/>
  <c r="T30" i="15"/>
  <c r="N36" i="15"/>
  <c r="F53" i="15"/>
  <c r="L53" i="15" s="1"/>
  <c r="M53" i="15" s="1"/>
  <c r="L47" i="15"/>
  <c r="M47" i="15" s="1"/>
  <c r="R62" i="15"/>
  <c r="R28" i="15" s="1"/>
  <c r="R26" i="15"/>
  <c r="R25" i="15" s="1"/>
  <c r="R59" i="15"/>
  <c r="V35" i="15"/>
  <c r="V43" i="15"/>
  <c r="V42" i="15" s="1"/>
  <c r="L48" i="15"/>
  <c r="M48" i="15" s="1"/>
  <c r="O53" i="15"/>
  <c r="Q42" i="15"/>
  <c r="L41" i="15"/>
  <c r="M41" i="15" s="1"/>
  <c r="T23" i="15"/>
  <c r="L40" i="15"/>
  <c r="M40" i="15" s="1"/>
  <c r="T39" i="15"/>
  <c r="L39" i="15"/>
  <c r="M39" i="15" s="1"/>
  <c r="Q33" i="15"/>
  <c r="Q32" i="15" s="1"/>
  <c r="N50" i="15"/>
  <c r="J50" i="15"/>
  <c r="J54" i="15" s="1"/>
  <c r="H50" i="15"/>
  <c r="H54" i="15" s="1"/>
  <c r="H43" i="15"/>
  <c r="T51" i="15"/>
  <c r="L51" i="15"/>
  <c r="M51" i="15" s="1"/>
  <c r="R32" i="15"/>
  <c r="K49" i="15"/>
  <c r="I49" i="15"/>
  <c r="G49" i="15"/>
  <c r="E49" i="15"/>
  <c r="S36" i="15"/>
  <c r="T29" i="15"/>
  <c r="L46" i="15"/>
  <c r="M46" i="15" s="1"/>
  <c r="K42" i="15"/>
  <c r="R50" i="15"/>
  <c r="R54" i="15" s="1"/>
  <c r="O50" i="15"/>
  <c r="K33" i="15"/>
  <c r="K37" i="15" s="1"/>
  <c r="I33" i="15"/>
  <c r="G33" i="15"/>
  <c r="G37" i="15" s="1"/>
  <c r="W30" i="15"/>
  <c r="L31" i="15"/>
  <c r="M31" i="15" s="1"/>
  <c r="T24" i="15"/>
  <c r="L24" i="15"/>
  <c r="M24" i="15" s="1"/>
  <c r="N62" i="15"/>
  <c r="N26" i="15"/>
  <c r="N25" i="15" s="1"/>
  <c r="N59" i="15"/>
  <c r="T60" i="15"/>
  <c r="J62" i="15"/>
  <c r="J26" i="15"/>
  <c r="J25" i="15" s="1"/>
  <c r="J59" i="15"/>
  <c r="H62" i="15"/>
  <c r="H28" i="15" s="1"/>
  <c r="H26" i="15"/>
  <c r="H25" i="15" s="1"/>
  <c r="H59" i="15"/>
  <c r="N53" i="15"/>
  <c r="T47" i="15"/>
  <c r="L30" i="15"/>
  <c r="M30" i="15" s="1"/>
  <c r="F36" i="15"/>
  <c r="L36" i="15" s="1"/>
  <c r="M36" i="15" s="1"/>
  <c r="O26" i="15"/>
  <c r="O25" i="15" s="1"/>
  <c r="O62" i="15"/>
  <c r="O28" i="15" s="1"/>
  <c r="O59" i="15"/>
  <c r="K62" i="15"/>
  <c r="K26" i="15"/>
  <c r="K25" i="15" s="1"/>
  <c r="K59" i="15"/>
  <c r="N32" i="15"/>
  <c r="H32" i="15"/>
  <c r="T40" i="15"/>
  <c r="L23" i="15"/>
  <c r="M23" i="15" s="1"/>
  <c r="T22" i="15"/>
  <c r="L22" i="15"/>
  <c r="M22" i="15" s="1"/>
  <c r="T34" i="15"/>
  <c r="L34" i="15"/>
  <c r="M34" i="15" s="1"/>
  <c r="E32" i="15"/>
  <c r="Q54" i="15"/>
  <c r="T46" i="15"/>
  <c r="L29" i="15"/>
  <c r="M29" i="15" s="1"/>
  <c r="R42" i="15"/>
  <c r="O42" i="15"/>
  <c r="V45" i="15"/>
  <c r="V100" i="15"/>
  <c r="V67" i="15"/>
  <c r="V66" i="15" s="1"/>
  <c r="S66" i="15"/>
  <c r="S71" i="15"/>
  <c r="T67" i="15"/>
  <c r="S31" i="15"/>
  <c r="T31" i="15" s="1"/>
  <c r="T65" i="15"/>
  <c r="U65" i="15" s="1"/>
  <c r="X65" i="15" s="1"/>
  <c r="V31" i="15"/>
  <c r="V342" i="13"/>
  <c r="W342" i="13" s="1"/>
  <c r="G338" i="13"/>
  <c r="G18" i="13" s="1"/>
  <c r="G3" i="13" s="1"/>
  <c r="M339" i="13"/>
  <c r="U339" i="13"/>
  <c r="X339" i="13" s="1"/>
  <c r="K334" i="13"/>
  <c r="H334" i="13"/>
  <c r="G334" i="13"/>
  <c r="I334" i="13"/>
  <c r="J334" i="13"/>
  <c r="Q334" i="13"/>
  <c r="N336" i="13"/>
  <c r="N333" i="13"/>
  <c r="S334" i="13"/>
  <c r="R334" i="13"/>
  <c r="M330" i="13"/>
  <c r="U330" i="13"/>
  <c r="V333" i="13"/>
  <c r="V357" i="13"/>
  <c r="V336" i="13"/>
  <c r="L360" i="13"/>
  <c r="M360" i="13" s="1"/>
  <c r="K52" i="13"/>
  <c r="K35" i="13"/>
  <c r="U137" i="13"/>
  <c r="W137" i="13" s="1"/>
  <c r="V31" i="13"/>
  <c r="V66" i="13"/>
  <c r="V45" i="13"/>
  <c r="V28" i="13" s="1"/>
  <c r="V42" i="13"/>
  <c r="X95" i="13"/>
  <c r="J526" i="11"/>
  <c r="I252" i="11"/>
  <c r="J252" i="11" s="1"/>
  <c r="K252" i="11" s="1"/>
  <c r="N252" i="11" s="1"/>
  <c r="O252" i="11" s="1"/>
  <c r="L477" i="9"/>
  <c r="M477" i="9" s="1"/>
  <c r="U513" i="9"/>
  <c r="U438" i="9"/>
  <c r="H343" i="9"/>
  <c r="V145" i="9"/>
  <c r="V141" i="9"/>
  <c r="V26" i="9"/>
  <c r="V25" i="9" s="1"/>
  <c r="S31" i="9"/>
  <c r="T31" i="9" s="1"/>
  <c r="T65" i="9"/>
  <c r="U65" i="9" s="1"/>
  <c r="X65" i="9" s="1"/>
  <c r="S146" i="9"/>
  <c r="T142" i="9"/>
  <c r="S144" i="9"/>
  <c r="S69" i="9" s="1"/>
  <c r="O52" i="9"/>
  <c r="O35" i="9"/>
  <c r="V42" i="9"/>
  <c r="V31" i="9"/>
  <c r="R52" i="9"/>
  <c r="R35" i="9"/>
  <c r="K546" i="8"/>
  <c r="K529" i="8" s="1"/>
  <c r="T516" i="8"/>
  <c r="K20" i="8"/>
  <c r="N147" i="8"/>
  <c r="O147" i="8" s="1"/>
  <c r="P147" i="8" s="1"/>
  <c r="Q147" i="8" s="1"/>
  <c r="R147" i="8" s="1"/>
  <c r="N18" i="8"/>
  <c r="N3" i="8" s="1"/>
  <c r="L241" i="7"/>
  <c r="M242" i="7"/>
  <c r="M241" i="7" s="1"/>
  <c r="L641" i="7"/>
  <c r="M641" i="7" s="1"/>
  <c r="O642" i="7"/>
  <c r="L677" i="7"/>
  <c r="P544" i="7"/>
  <c r="P527" i="7" s="1"/>
  <c r="R548" i="7"/>
  <c r="V630" i="7"/>
  <c r="L564" i="7"/>
  <c r="M564" i="7" s="1"/>
  <c r="T564" i="7"/>
  <c r="F519" i="7"/>
  <c r="R560" i="7"/>
  <c r="T423" i="7"/>
  <c r="U423" i="7" s="1"/>
  <c r="W423" i="7" s="1"/>
  <c r="P718" i="15"/>
  <c r="Q718" i="15" s="1"/>
  <c r="R718" i="15" s="1"/>
  <c r="S718" i="15" s="1"/>
  <c r="W682" i="13"/>
  <c r="U682" i="13"/>
  <c r="M678" i="13"/>
  <c r="M677" i="13" s="1"/>
  <c r="U678" i="15"/>
  <c r="U677" i="15" s="1"/>
  <c r="H536" i="19"/>
  <c r="G536" i="9"/>
  <c r="I520" i="15"/>
  <c r="K553" i="13"/>
  <c r="I536" i="13"/>
  <c r="L600" i="15"/>
  <c r="J536" i="9"/>
  <c r="P611" i="11"/>
  <c r="Q611" i="11" s="1"/>
  <c r="R611" i="11" s="1"/>
  <c r="S611" i="11" s="1"/>
  <c r="S544" i="11"/>
  <c r="S548" i="11" s="1"/>
  <c r="N536" i="15"/>
  <c r="S474" i="13"/>
  <c r="L422" i="15"/>
  <c r="M422" i="15" s="1"/>
  <c r="G470" i="11"/>
  <c r="H470" i="11" s="1"/>
  <c r="I470" i="11" s="1"/>
  <c r="J470" i="11" s="1"/>
  <c r="K470" i="11" s="1"/>
  <c r="N470" i="11" s="1"/>
  <c r="O470" i="11" s="1"/>
  <c r="W465" i="15"/>
  <c r="W464" i="15" s="1"/>
  <c r="G470" i="19"/>
  <c r="G412" i="11"/>
  <c r="P440" i="11"/>
  <c r="Q440" i="11" s="1"/>
  <c r="R440" i="11" s="1"/>
  <c r="S440" i="11" s="1"/>
  <c r="U278" i="11"/>
  <c r="W279" i="11"/>
  <c r="W278" i="11" s="1"/>
  <c r="L273" i="7"/>
  <c r="U231" i="13"/>
  <c r="S166" i="7"/>
  <c r="T167" i="7"/>
  <c r="Q174" i="7"/>
  <c r="Q35" i="7" s="1"/>
  <c r="T187" i="13"/>
  <c r="T186" i="8"/>
  <c r="S176" i="15"/>
  <c r="M187" i="18"/>
  <c r="M186" i="18" s="1"/>
  <c r="L186" i="18"/>
  <c r="M187" i="15"/>
  <c r="M186" i="15" s="1"/>
  <c r="L186" i="15"/>
  <c r="G166" i="15"/>
  <c r="W187" i="15"/>
  <c r="H192" i="18"/>
  <c r="I192" i="18" s="1"/>
  <c r="J192" i="18" s="1"/>
  <c r="K192" i="18" s="1"/>
  <c r="N192" i="18" s="1"/>
  <c r="O192" i="18" s="1"/>
  <c r="P192" i="18" s="1"/>
  <c r="Q192" i="18" s="1"/>
  <c r="P102" i="11"/>
  <c r="Q102" i="11" s="1"/>
  <c r="R102" i="11" s="1"/>
  <c r="L175" i="11"/>
  <c r="M175" i="11" s="1"/>
  <c r="G192" i="11"/>
  <c r="H192" i="11" s="1"/>
  <c r="I192" i="11" s="1"/>
  <c r="J192" i="11" s="1"/>
  <c r="K192" i="11" s="1"/>
  <c r="N192" i="11" s="1"/>
  <c r="O192" i="11" s="1"/>
  <c r="L175" i="15"/>
  <c r="M175" i="15" s="1"/>
  <c r="R560" i="19"/>
  <c r="R527" i="19"/>
  <c r="R526" i="19" s="1"/>
  <c r="R548" i="19"/>
  <c r="R546" i="19"/>
  <c r="R529" i="19" s="1"/>
  <c r="O718" i="13"/>
  <c r="P718" i="13" s="1"/>
  <c r="Q718" i="13" s="1"/>
  <c r="R718" i="13" s="1"/>
  <c r="S718" i="13" s="1"/>
  <c r="R537" i="11"/>
  <c r="V480" i="8"/>
  <c r="T483" i="9"/>
  <c r="O470" i="18"/>
  <c r="P470" i="18" s="1"/>
  <c r="Q470" i="18" s="1"/>
  <c r="R470" i="18" s="1"/>
  <c r="O314" i="18"/>
  <c r="P314" i="18" s="1"/>
  <c r="Q314" i="18" s="1"/>
  <c r="R314" i="18" s="1"/>
  <c r="T464" i="15"/>
  <c r="T542" i="7"/>
  <c r="L220" i="18"/>
  <c r="T361" i="8"/>
  <c r="O102" i="9"/>
  <c r="P102" i="9" s="1"/>
  <c r="Q102" i="9" s="1"/>
  <c r="R102" i="9" s="1"/>
  <c r="S102" i="9" s="1"/>
  <c r="K553" i="19"/>
  <c r="P565" i="19"/>
  <c r="W629" i="18"/>
  <c r="X636" i="18"/>
  <c r="I440" i="18"/>
  <c r="J440" i="18" s="1"/>
  <c r="K440" i="18" s="1"/>
  <c r="N440" i="18" s="1"/>
  <c r="S578" i="18"/>
  <c r="S563" i="18" s="1"/>
  <c r="T576" i="18"/>
  <c r="T575" i="18" s="1"/>
  <c r="S580" i="18"/>
  <c r="S565" i="18" s="1"/>
  <c r="K408" i="18"/>
  <c r="N408" i="18" s="1"/>
  <c r="L540" i="18"/>
  <c r="M540" i="18" s="1"/>
  <c r="T541" i="18"/>
  <c r="T535" i="18"/>
  <c r="R536" i="18"/>
  <c r="J222" i="18"/>
  <c r="X574" i="18"/>
  <c r="L542" i="18"/>
  <c r="M542" i="18" s="1"/>
  <c r="U639" i="18"/>
  <c r="W639" i="18" s="1"/>
  <c r="H548" i="18"/>
  <c r="U481" i="18"/>
  <c r="W481" i="18" s="1"/>
  <c r="W170" i="18"/>
  <c r="K266" i="18"/>
  <c r="U218" i="18"/>
  <c r="W218" i="18" s="1"/>
  <c r="L534" i="18"/>
  <c r="M534" i="18" s="1"/>
  <c r="H529" i="18"/>
  <c r="L541" i="18"/>
  <c r="M541" i="18" s="1"/>
  <c r="U713" i="18"/>
  <c r="W713" i="18" s="1"/>
  <c r="G207" i="18"/>
  <c r="H207" i="18" s="1"/>
  <c r="I207" i="18" s="1"/>
  <c r="J207" i="18" s="1"/>
  <c r="K207" i="18" s="1"/>
  <c r="N207" i="18" s="1"/>
  <c r="U312" i="18"/>
  <c r="W312" i="18" s="1"/>
  <c r="G642" i="11"/>
  <c r="U628" i="11"/>
  <c r="W628" i="11" s="1"/>
  <c r="T541" i="11"/>
  <c r="L605" i="11"/>
  <c r="M606" i="11"/>
  <c r="M605" i="11" s="1"/>
  <c r="T434" i="7"/>
  <c r="X493" i="15"/>
  <c r="V498" i="11"/>
  <c r="V494" i="11"/>
  <c r="N216" i="19"/>
  <c r="U433" i="7"/>
  <c r="U434" i="7" s="1"/>
  <c r="U508" i="7"/>
  <c r="X508" i="7" s="1"/>
  <c r="J176" i="7"/>
  <c r="F176" i="7"/>
  <c r="F177" i="7" s="1"/>
  <c r="U279" i="7"/>
  <c r="L303" i="7"/>
  <c r="M232" i="7"/>
  <c r="M231" i="7" s="1"/>
  <c r="L231" i="7"/>
  <c r="P266" i="7"/>
  <c r="X203" i="7"/>
  <c r="X185" i="7"/>
  <c r="L196" i="7"/>
  <c r="U235" i="7"/>
  <c r="W235" i="7" s="1"/>
  <c r="I207" i="7"/>
  <c r="J207" i="7" s="1"/>
  <c r="K207" i="7" s="1"/>
  <c r="N207" i="7" s="1"/>
  <c r="O207" i="7" s="1"/>
  <c r="P207" i="7" s="1"/>
  <c r="Q207" i="7" s="1"/>
  <c r="R207" i="7" s="1"/>
  <c r="L516" i="8"/>
  <c r="L540" i="8"/>
  <c r="L533" i="8"/>
  <c r="M533" i="8" s="1"/>
  <c r="O637" i="8"/>
  <c r="T533" i="8"/>
  <c r="U533" i="8" s="1"/>
  <c r="T523" i="8"/>
  <c r="U523" i="8" s="1"/>
  <c r="W523" i="8" s="1"/>
  <c r="K17" i="8"/>
  <c r="X433" i="9"/>
  <c r="M142" i="11"/>
  <c r="M141" i="11" s="1"/>
  <c r="Q221" i="11"/>
  <c r="W218" i="11"/>
  <c r="Q166" i="11"/>
  <c r="V172" i="11"/>
  <c r="V171" i="11" s="1"/>
  <c r="W246" i="18"/>
  <c r="R252" i="18"/>
  <c r="S252" i="18" s="1"/>
  <c r="T246" i="18"/>
  <c r="T541" i="13"/>
  <c r="R553" i="13"/>
  <c r="M606" i="13"/>
  <c r="M605" i="13" s="1"/>
  <c r="L605" i="13"/>
  <c r="U606" i="13"/>
  <c r="W606" i="13" s="1"/>
  <c r="W605" i="13" s="1"/>
  <c r="L281" i="15"/>
  <c r="M281" i="15" s="1"/>
  <c r="U168" i="15"/>
  <c r="W168" i="15" s="1"/>
  <c r="R343" i="8"/>
  <c r="O343" i="9"/>
  <c r="W135" i="9"/>
  <c r="R192" i="18"/>
  <c r="S192" i="18" s="1"/>
  <c r="U234" i="18"/>
  <c r="X234" i="18" s="1"/>
  <c r="M678" i="18"/>
  <c r="M677" i="18" s="1"/>
  <c r="U173" i="19"/>
  <c r="W173" i="19" s="1"/>
  <c r="Q412" i="11"/>
  <c r="K412" i="11"/>
  <c r="O412" i="11"/>
  <c r="I252" i="19"/>
  <c r="J252" i="19" s="1"/>
  <c r="K252" i="19" s="1"/>
  <c r="N252" i="19" s="1"/>
  <c r="O252" i="19" s="1"/>
  <c r="P252" i="19" s="1"/>
  <c r="S424" i="11"/>
  <c r="L257" i="18"/>
  <c r="M257" i="18" s="1"/>
  <c r="M256" i="18" s="1"/>
  <c r="T264" i="13"/>
  <c r="T263" i="13" s="1"/>
  <c r="R17" i="8"/>
  <c r="M309" i="7"/>
  <c r="M308" i="7" s="1"/>
  <c r="L308" i="7"/>
  <c r="U605" i="7"/>
  <c r="W605" i="7"/>
  <c r="L570" i="7"/>
  <c r="K565" i="18"/>
  <c r="U473" i="11"/>
  <c r="W473" i="11" s="1"/>
  <c r="U366" i="11"/>
  <c r="X371" i="11" s="1"/>
  <c r="G343" i="8"/>
  <c r="S268" i="15"/>
  <c r="S263" i="15"/>
  <c r="K343" i="8"/>
  <c r="H336" i="8"/>
  <c r="H333" i="8"/>
  <c r="O343" i="8"/>
  <c r="T264" i="15"/>
  <c r="G340" i="8"/>
  <c r="S424" i="8"/>
  <c r="S419" i="8"/>
  <c r="S263" i="19"/>
  <c r="S268" i="19"/>
  <c r="V264" i="7"/>
  <c r="T564" i="11"/>
  <c r="U163" i="19"/>
  <c r="S264" i="18"/>
  <c r="S263" i="18" s="1"/>
  <c r="I266" i="15"/>
  <c r="O266" i="11"/>
  <c r="L144" i="13"/>
  <c r="M144" i="13" s="1"/>
  <c r="N266" i="13"/>
  <c r="N424" i="7"/>
  <c r="F17" i="19"/>
  <c r="K259" i="18"/>
  <c r="K256" i="18"/>
  <c r="I524" i="15"/>
  <c r="I530" i="15" s="1"/>
  <c r="I547" i="15"/>
  <c r="T423" i="15"/>
  <c r="U423" i="15" s="1"/>
  <c r="W423" i="15" s="1"/>
  <c r="H419" i="15"/>
  <c r="H424" i="15"/>
  <c r="H425" i="15" s="1"/>
  <c r="I425" i="15" s="1"/>
  <c r="J425" i="15" s="1"/>
  <c r="K425" i="15" s="1"/>
  <c r="I263" i="15"/>
  <c r="I268" i="15"/>
  <c r="F259" i="15"/>
  <c r="F256" i="15"/>
  <c r="L257" i="15"/>
  <c r="J268" i="13"/>
  <c r="J263" i="13"/>
  <c r="H256" i="13"/>
  <c r="H259" i="13"/>
  <c r="H28" i="13" s="1"/>
  <c r="J263" i="11"/>
  <c r="J268" i="11"/>
  <c r="H259" i="11"/>
  <c r="H256" i="11"/>
  <c r="G345" i="9"/>
  <c r="G340" i="9"/>
  <c r="T413" i="8"/>
  <c r="N415" i="8"/>
  <c r="N412" i="8"/>
  <c r="I340" i="8"/>
  <c r="I345" i="8"/>
  <c r="O345" i="8"/>
  <c r="O340" i="8"/>
  <c r="G362" i="8"/>
  <c r="L361" i="8"/>
  <c r="M361" i="8" s="1"/>
  <c r="O353" i="8"/>
  <c r="O334" i="8"/>
  <c r="O350" i="8"/>
  <c r="T413" i="15"/>
  <c r="O268" i="19"/>
  <c r="O263" i="19"/>
  <c r="G268" i="18"/>
  <c r="G263" i="18"/>
  <c r="W418" i="15"/>
  <c r="X418" i="15"/>
  <c r="L259" i="13"/>
  <c r="M259" i="13" s="1"/>
  <c r="S412" i="11"/>
  <c r="J336" i="9"/>
  <c r="J333" i="9"/>
  <c r="N17" i="9"/>
  <c r="N3" i="9" s="1"/>
  <c r="W262" i="19"/>
  <c r="J263" i="18"/>
  <c r="J268" i="18"/>
  <c r="H259" i="18"/>
  <c r="H256" i="18"/>
  <c r="L413" i="15"/>
  <c r="K259" i="15"/>
  <c r="K256" i="15"/>
  <c r="G18" i="15"/>
  <c r="G3" i="15" s="1"/>
  <c r="W262" i="13"/>
  <c r="X262" i="13"/>
  <c r="G268" i="11"/>
  <c r="G263" i="11"/>
  <c r="J340" i="8"/>
  <c r="J345" i="8"/>
  <c r="M358" i="8"/>
  <c r="M357" i="8" s="1"/>
  <c r="L357" i="8"/>
  <c r="J412" i="7"/>
  <c r="G268" i="7"/>
  <c r="G263" i="7"/>
  <c r="S412" i="7"/>
  <c r="R259" i="7"/>
  <c r="R28" i="7" s="1"/>
  <c r="R256" i="7"/>
  <c r="R341" i="9"/>
  <c r="N336" i="9"/>
  <c r="N333" i="9"/>
  <c r="I17" i="9"/>
  <c r="N340" i="8"/>
  <c r="N345" i="8"/>
  <c r="I18" i="8"/>
  <c r="I3" i="8" s="1"/>
  <c r="F17" i="8"/>
  <c r="L413" i="8"/>
  <c r="U716" i="7"/>
  <c r="W716" i="7" s="1"/>
  <c r="L564" i="9"/>
  <c r="M564" i="9" s="1"/>
  <c r="Q536" i="9"/>
  <c r="U205" i="18"/>
  <c r="W205" i="18" s="1"/>
  <c r="X604" i="18"/>
  <c r="T296" i="19"/>
  <c r="I266" i="18"/>
  <c r="S422" i="15"/>
  <c r="V263" i="13"/>
  <c r="Q544" i="15"/>
  <c r="V560" i="9"/>
  <c r="Q424" i="11"/>
  <c r="J266" i="13"/>
  <c r="Q353" i="7"/>
  <c r="K353" i="7"/>
  <c r="K334" i="7"/>
  <c r="K336" i="7" s="1"/>
  <c r="F353" i="7"/>
  <c r="S264" i="7"/>
  <c r="S268" i="7" s="1"/>
  <c r="M257" i="19"/>
  <c r="M256" i="19" s="1"/>
  <c r="L256" i="19"/>
  <c r="G259" i="18"/>
  <c r="G256" i="18"/>
  <c r="O18" i="15"/>
  <c r="O3" i="15" s="1"/>
  <c r="W262" i="15"/>
  <c r="X262" i="15"/>
  <c r="V256" i="15"/>
  <c r="R18" i="15"/>
  <c r="R3" i="15" s="1"/>
  <c r="H18" i="15"/>
  <c r="H3" i="15" s="1"/>
  <c r="O17" i="15"/>
  <c r="F263" i="13"/>
  <c r="F268" i="13"/>
  <c r="F269" i="13" s="1"/>
  <c r="L264" i="13"/>
  <c r="F17" i="13"/>
  <c r="F263" i="11"/>
  <c r="L264" i="11"/>
  <c r="F268" i="11"/>
  <c r="F269" i="11" s="1"/>
  <c r="F343" i="9"/>
  <c r="O341" i="9"/>
  <c r="V17" i="9"/>
  <c r="J17" i="9"/>
  <c r="K419" i="8"/>
  <c r="K424" i="8"/>
  <c r="H415" i="8"/>
  <c r="H412" i="8"/>
  <c r="F336" i="8"/>
  <c r="L334" i="8"/>
  <c r="F333" i="8"/>
  <c r="W356" i="8"/>
  <c r="X356" i="8"/>
  <c r="M355" i="8"/>
  <c r="U355" i="8"/>
  <c r="G191" i="19"/>
  <c r="G192" i="19" s="1"/>
  <c r="H192" i="19" s="1"/>
  <c r="I192" i="19" s="1"/>
  <c r="J192" i="19" s="1"/>
  <c r="K192" i="19" s="1"/>
  <c r="N192" i="19" s="1"/>
  <c r="O192" i="19" s="1"/>
  <c r="P192" i="19" s="1"/>
  <c r="Q192" i="19" s="1"/>
  <c r="R192" i="19" s="1"/>
  <c r="S192" i="19" s="1"/>
  <c r="L190" i="19"/>
  <c r="M190" i="19" s="1"/>
  <c r="V263" i="15"/>
  <c r="N17" i="15"/>
  <c r="H610" i="19"/>
  <c r="H565" i="19" s="1"/>
  <c r="H564" i="19"/>
  <c r="V438" i="19"/>
  <c r="V434" i="19"/>
  <c r="V372" i="19"/>
  <c r="T259" i="19"/>
  <c r="I268" i="19"/>
  <c r="I263" i="19"/>
  <c r="T262" i="18"/>
  <c r="U262" i="18" s="1"/>
  <c r="F17" i="18"/>
  <c r="F3" i="18" s="1"/>
  <c r="K17" i="15"/>
  <c r="L257" i="13"/>
  <c r="I412" i="11"/>
  <c r="V376" i="11"/>
  <c r="V372" i="11"/>
  <c r="S467" i="9"/>
  <c r="S422" i="9" s="1"/>
  <c r="S469" i="9"/>
  <c r="Q341" i="9"/>
  <c r="K341" i="9"/>
  <c r="R263" i="19"/>
  <c r="R268" i="19"/>
  <c r="V256" i="19"/>
  <c r="F263" i="18"/>
  <c r="L264" i="18"/>
  <c r="F268" i="18"/>
  <c r="F269" i="18" s="1"/>
  <c r="J268" i="15"/>
  <c r="J263" i="15"/>
  <c r="G259" i="15"/>
  <c r="G256" i="15"/>
  <c r="F17" i="15"/>
  <c r="Q263" i="13"/>
  <c r="Q268" i="13"/>
  <c r="S263" i="13"/>
  <c r="S263" i="11"/>
  <c r="T262" i="11"/>
  <c r="U262" i="11" s="1"/>
  <c r="H340" i="9"/>
  <c r="H345" i="9"/>
  <c r="Q17" i="9"/>
  <c r="Q3" i="9" s="1"/>
  <c r="G17" i="9"/>
  <c r="N17" i="8"/>
  <c r="L415" i="11"/>
  <c r="M415" i="11" s="1"/>
  <c r="T262" i="7"/>
  <c r="U262" i="7" s="1"/>
  <c r="I237" i="19"/>
  <c r="J237" i="19" s="1"/>
  <c r="K237" i="19" s="1"/>
  <c r="N237" i="19" s="1"/>
  <c r="O237" i="19" s="1"/>
  <c r="P237" i="19" s="1"/>
  <c r="Q237" i="19" s="1"/>
  <c r="R237" i="19" s="1"/>
  <c r="G266" i="11"/>
  <c r="L266" i="11" s="1"/>
  <c r="M266" i="11" s="1"/>
  <c r="M338" i="7"/>
  <c r="U338" i="7"/>
  <c r="W338" i="7" s="1"/>
  <c r="P263" i="7"/>
  <c r="P268" i="7"/>
  <c r="N259" i="7"/>
  <c r="N256" i="7"/>
  <c r="T257" i="7"/>
  <c r="F340" i="9"/>
  <c r="F345" i="9"/>
  <c r="F346" i="9" s="1"/>
  <c r="R343" i="9"/>
  <c r="R336" i="9"/>
  <c r="R333" i="9"/>
  <c r="O17" i="9"/>
  <c r="O3" i="9" s="1"/>
  <c r="I336" i="8"/>
  <c r="I333" i="8"/>
  <c r="R340" i="8"/>
  <c r="R345" i="8"/>
  <c r="N334" i="8"/>
  <c r="H412" i="7"/>
  <c r="R18" i="8"/>
  <c r="R3" i="8" s="1"/>
  <c r="G412" i="7"/>
  <c r="K412" i="7"/>
  <c r="Q548" i="15"/>
  <c r="I519" i="9"/>
  <c r="U212" i="18"/>
  <c r="U211" i="18" s="1"/>
  <c r="X636" i="19"/>
  <c r="L241" i="19"/>
  <c r="O266" i="19"/>
  <c r="V264" i="19"/>
  <c r="V263" i="19" s="1"/>
  <c r="K266" i="15"/>
  <c r="K35" i="15" s="1"/>
  <c r="K266" i="7"/>
  <c r="T533" i="13"/>
  <c r="S358" i="8"/>
  <c r="R266" i="13"/>
  <c r="H266" i="13"/>
  <c r="L259" i="19"/>
  <c r="M259" i="19" s="1"/>
  <c r="R424" i="15"/>
  <c r="R419" i="15"/>
  <c r="R256" i="13"/>
  <c r="R259" i="13"/>
  <c r="R259" i="11"/>
  <c r="R256" i="11"/>
  <c r="H336" i="9"/>
  <c r="H333" i="9"/>
  <c r="S336" i="9"/>
  <c r="S333" i="9"/>
  <c r="G419" i="8"/>
  <c r="G424" i="8"/>
  <c r="L353" i="8"/>
  <c r="M353" i="8" s="1"/>
  <c r="T339" i="8"/>
  <c r="U339" i="8" s="1"/>
  <c r="L338" i="8"/>
  <c r="G344" i="8"/>
  <c r="L344" i="8" s="1"/>
  <c r="F18" i="8"/>
  <c r="F3" i="8" s="1"/>
  <c r="M645" i="13"/>
  <c r="U645" i="13"/>
  <c r="T257" i="15"/>
  <c r="E19" i="13"/>
  <c r="Q334" i="9"/>
  <c r="R17" i="9"/>
  <c r="R3" i="9" s="1"/>
  <c r="H17" i="9"/>
  <c r="N263" i="19"/>
  <c r="N268" i="19"/>
  <c r="T264" i="19"/>
  <c r="R259" i="18"/>
  <c r="R256" i="18"/>
  <c r="M678" i="15"/>
  <c r="M677" i="15" s="1"/>
  <c r="L677" i="15"/>
  <c r="S424" i="15"/>
  <c r="F263" i="15"/>
  <c r="F268" i="15"/>
  <c r="F269" i="15" s="1"/>
  <c r="L264" i="15"/>
  <c r="K263" i="13"/>
  <c r="K268" i="13"/>
  <c r="T413" i="11"/>
  <c r="N415" i="11"/>
  <c r="T415" i="11" s="1"/>
  <c r="U415" i="11" s="1"/>
  <c r="Q263" i="11"/>
  <c r="Q268" i="11"/>
  <c r="M88" i="11"/>
  <c r="U88" i="11"/>
  <c r="G343" i="9"/>
  <c r="V334" i="9"/>
  <c r="V333" i="9" s="1"/>
  <c r="T423" i="8"/>
  <c r="U423" i="8" s="1"/>
  <c r="W423" i="8" s="1"/>
  <c r="T420" i="8"/>
  <c r="G336" i="8"/>
  <c r="G333" i="8"/>
  <c r="H343" i="8"/>
  <c r="P336" i="8"/>
  <c r="P333" i="8"/>
  <c r="L413" i="11"/>
  <c r="M413" i="11" s="1"/>
  <c r="Q263" i="7"/>
  <c r="Q268" i="7"/>
  <c r="M227" i="7"/>
  <c r="M226" i="7" s="1"/>
  <c r="L226" i="7"/>
  <c r="S637" i="13"/>
  <c r="S547" i="7"/>
  <c r="S530" i="7"/>
  <c r="M417" i="7"/>
  <c r="U417" i="7"/>
  <c r="W417" i="7" s="1"/>
  <c r="J263" i="7"/>
  <c r="J268" i="7"/>
  <c r="H259" i="7"/>
  <c r="H256" i="7"/>
  <c r="N341" i="9"/>
  <c r="N19" i="9" s="1"/>
  <c r="N12" i="9" s="1"/>
  <c r="W418" i="8"/>
  <c r="X418" i="8"/>
  <c r="H340" i="8"/>
  <c r="H345" i="8"/>
  <c r="J343" i="8"/>
  <c r="G176" i="7"/>
  <c r="U478" i="9"/>
  <c r="W478" i="9" s="1"/>
  <c r="N343" i="8"/>
  <c r="S18" i="8"/>
  <c r="S3" i="8" s="1"/>
  <c r="K266" i="19"/>
  <c r="G266" i="19"/>
  <c r="O266" i="15"/>
  <c r="O35" i="15" s="1"/>
  <c r="F266" i="13"/>
  <c r="S353" i="7"/>
  <c r="S334" i="7"/>
  <c r="G266" i="7"/>
  <c r="N424" i="15"/>
  <c r="N419" i="15"/>
  <c r="T420" i="15"/>
  <c r="O263" i="15"/>
  <c r="O268" i="15"/>
  <c r="J259" i="15"/>
  <c r="J256" i="15"/>
  <c r="N18" i="15"/>
  <c r="N3" i="15" s="1"/>
  <c r="S17" i="15"/>
  <c r="I17" i="15"/>
  <c r="N256" i="13"/>
  <c r="T257" i="13"/>
  <c r="N259" i="13"/>
  <c r="N28" i="13" s="1"/>
  <c r="N259" i="11"/>
  <c r="T259" i="11" s="1"/>
  <c r="N256" i="11"/>
  <c r="T257" i="11"/>
  <c r="V339" i="9"/>
  <c r="F17" i="9"/>
  <c r="O553" i="8"/>
  <c r="R415" i="8"/>
  <c r="R412" i="8"/>
  <c r="J336" i="8"/>
  <c r="J333" i="8"/>
  <c r="M351" i="8"/>
  <c r="M350" i="8" s="1"/>
  <c r="L350" i="8"/>
  <c r="S353" i="8"/>
  <c r="S334" i="8"/>
  <c r="S350" i="8"/>
  <c r="J18" i="8"/>
  <c r="J3" i="8" s="1"/>
  <c r="G18" i="8"/>
  <c r="G3" i="8" s="1"/>
  <c r="L263" i="19"/>
  <c r="M264" i="19"/>
  <c r="M263" i="19" s="1"/>
  <c r="Q18" i="15"/>
  <c r="Q3" i="15" s="1"/>
  <c r="U257" i="19"/>
  <c r="U256" i="19" s="1"/>
  <c r="T256" i="19"/>
  <c r="K263" i="18"/>
  <c r="K268" i="18"/>
  <c r="L420" i="15"/>
  <c r="G269" i="15"/>
  <c r="H269" i="15" s="1"/>
  <c r="J18" i="15"/>
  <c r="J3" i="15" s="1"/>
  <c r="Q17" i="15"/>
  <c r="G17" i="15"/>
  <c r="G377" i="11"/>
  <c r="G378" i="11" s="1"/>
  <c r="H378" i="11" s="1"/>
  <c r="I378" i="11" s="1"/>
  <c r="J378" i="11" s="1"/>
  <c r="L376" i="11"/>
  <c r="M376" i="11" s="1"/>
  <c r="T264" i="11"/>
  <c r="L257" i="11"/>
  <c r="F336" i="9"/>
  <c r="F333" i="9"/>
  <c r="K334" i="9"/>
  <c r="H525" i="19"/>
  <c r="H526" i="19" s="1"/>
  <c r="H543" i="19"/>
  <c r="H268" i="19"/>
  <c r="H269" i="19" s="1"/>
  <c r="H263" i="19"/>
  <c r="N259" i="18"/>
  <c r="N256" i="18"/>
  <c r="T257" i="18"/>
  <c r="Q259" i="15"/>
  <c r="Q256" i="15"/>
  <c r="V20" i="15"/>
  <c r="G268" i="13"/>
  <c r="G263" i="13"/>
  <c r="K268" i="11"/>
  <c r="K263" i="11"/>
  <c r="I336" i="9"/>
  <c r="I333" i="9"/>
  <c r="V376" i="9"/>
  <c r="W376" i="9" s="1"/>
  <c r="V372" i="9"/>
  <c r="K17" i="9"/>
  <c r="V419" i="8"/>
  <c r="H17" i="8"/>
  <c r="K263" i="7"/>
  <c r="K268" i="7"/>
  <c r="T97" i="8"/>
  <c r="O547" i="7"/>
  <c r="T547" i="7" s="1"/>
  <c r="O530" i="7"/>
  <c r="F263" i="7"/>
  <c r="L264" i="7"/>
  <c r="F268" i="7"/>
  <c r="F269" i="7" s="1"/>
  <c r="G336" i="9"/>
  <c r="G333" i="9"/>
  <c r="V342" i="9"/>
  <c r="W342" i="9" s="1"/>
  <c r="L360" i="8"/>
  <c r="M360" i="8" s="1"/>
  <c r="R334" i="8"/>
  <c r="T351" i="8"/>
  <c r="J334" i="7"/>
  <c r="J336" i="7" s="1"/>
  <c r="L415" i="8"/>
  <c r="M415" i="8" s="1"/>
  <c r="K341" i="8"/>
  <c r="V342" i="8"/>
  <c r="W342" i="8" s="1"/>
  <c r="K336" i="8"/>
  <c r="K333" i="8"/>
  <c r="L257" i="7"/>
  <c r="V341" i="18"/>
  <c r="V434" i="18"/>
  <c r="V438" i="18"/>
  <c r="K483" i="11"/>
  <c r="K484" i="11" s="1"/>
  <c r="V18" i="8"/>
  <c r="K530" i="8"/>
  <c r="K18" i="8"/>
  <c r="K3" i="8" s="1"/>
  <c r="O18" i="8"/>
  <c r="O3" i="8" s="1"/>
  <c r="V341" i="8"/>
  <c r="V357" i="8"/>
  <c r="V333" i="8"/>
  <c r="I171" i="7"/>
  <c r="P18" i="7"/>
  <c r="P3" i="7" s="1"/>
  <c r="N18" i="7"/>
  <c r="N3" i="7" s="1"/>
  <c r="Q176" i="7"/>
  <c r="K221" i="7"/>
  <c r="T361" i="7"/>
  <c r="U361" i="7" s="1"/>
  <c r="W361" i="7" s="1"/>
  <c r="W173" i="7"/>
  <c r="S17" i="7"/>
  <c r="R18" i="7"/>
  <c r="J18" i="7"/>
  <c r="N17" i="7"/>
  <c r="F17" i="7"/>
  <c r="I18" i="7"/>
  <c r="I3" i="7" s="1"/>
  <c r="K18" i="7"/>
  <c r="K3" i="7" s="1"/>
  <c r="U246" i="7"/>
  <c r="J17" i="7"/>
  <c r="H17" i="7"/>
  <c r="I176" i="7"/>
  <c r="O17" i="7"/>
  <c r="V372" i="13"/>
  <c r="S99" i="11"/>
  <c r="S69" i="11" s="1"/>
  <c r="T97" i="11"/>
  <c r="S101" i="11"/>
  <c r="H546" i="11"/>
  <c r="L534" i="11"/>
  <c r="M534" i="11" s="1"/>
  <c r="I642" i="11"/>
  <c r="U163" i="11"/>
  <c r="W163" i="11" s="1"/>
  <c r="L631" i="11"/>
  <c r="L630" i="11" s="1"/>
  <c r="O547" i="11"/>
  <c r="T641" i="11"/>
  <c r="H284" i="11"/>
  <c r="I284" i="11" s="1"/>
  <c r="J284" i="11" s="1"/>
  <c r="K284" i="11" s="1"/>
  <c r="N284" i="11" s="1"/>
  <c r="O284" i="11" s="1"/>
  <c r="N536" i="11"/>
  <c r="H524" i="11"/>
  <c r="H530" i="11" s="1"/>
  <c r="U552" i="11"/>
  <c r="X559" i="11" s="1"/>
  <c r="X173" i="11"/>
  <c r="L420" i="11"/>
  <c r="L419" i="11" s="1"/>
  <c r="L545" i="11"/>
  <c r="M545" i="11" s="1"/>
  <c r="I546" i="11"/>
  <c r="J548" i="11"/>
  <c r="S362" i="7"/>
  <c r="S357" i="7"/>
  <c r="I343" i="7"/>
  <c r="G343" i="7"/>
  <c r="Q424" i="7"/>
  <c r="Q419" i="7"/>
  <c r="M420" i="7"/>
  <c r="M419" i="7" s="1"/>
  <c r="G344" i="7"/>
  <c r="L344" i="7" s="1"/>
  <c r="I340" i="7"/>
  <c r="I345" i="7"/>
  <c r="R362" i="7"/>
  <c r="R341" i="7"/>
  <c r="R357" i="7"/>
  <c r="P362" i="7"/>
  <c r="P341" i="7"/>
  <c r="P357" i="7"/>
  <c r="N362" i="7"/>
  <c r="N341" i="7"/>
  <c r="N357" i="7"/>
  <c r="T358" i="7"/>
  <c r="T357" i="7" s="1"/>
  <c r="W356" i="7"/>
  <c r="X356" i="7"/>
  <c r="V358" i="7"/>
  <c r="V357" i="7" s="1"/>
  <c r="V376" i="7"/>
  <c r="V372" i="7"/>
  <c r="X653" i="7"/>
  <c r="W653" i="7"/>
  <c r="T712" i="7"/>
  <c r="T682" i="7"/>
  <c r="U683" i="7"/>
  <c r="X683" i="7" s="1"/>
  <c r="H345" i="7"/>
  <c r="H340" i="7"/>
  <c r="V342" i="7"/>
  <c r="W342" i="7" s="1"/>
  <c r="W359" i="7"/>
  <c r="O362" i="7"/>
  <c r="O341" i="7"/>
  <c r="O357" i="7"/>
  <c r="V333" i="7"/>
  <c r="V350" i="7"/>
  <c r="L278" i="7"/>
  <c r="M279" i="7"/>
  <c r="M278" i="7" s="1"/>
  <c r="L464" i="7"/>
  <c r="M465" i="7"/>
  <c r="M464" i="7" s="1"/>
  <c r="S420" i="7"/>
  <c r="S424" i="7" s="1"/>
  <c r="S439" i="7"/>
  <c r="S437" i="7"/>
  <c r="V420" i="7"/>
  <c r="V438" i="7"/>
  <c r="V434" i="7"/>
  <c r="M403" i="7"/>
  <c r="M402" i="7" s="1"/>
  <c r="L402" i="7"/>
  <c r="M398" i="7"/>
  <c r="M397" i="7" s="1"/>
  <c r="L397" i="7"/>
  <c r="H171" i="7"/>
  <c r="W652" i="7"/>
  <c r="P360" i="7"/>
  <c r="P343" i="7" s="1"/>
  <c r="G216" i="7"/>
  <c r="K360" i="7"/>
  <c r="O360" i="7"/>
  <c r="O343" i="7" s="1"/>
  <c r="H343" i="7"/>
  <c r="V536" i="7"/>
  <c r="U558" i="7"/>
  <c r="W558" i="7" s="1"/>
  <c r="Q360" i="7"/>
  <c r="O424" i="7"/>
  <c r="O419" i="7"/>
  <c r="G340" i="7"/>
  <c r="T339" i="7"/>
  <c r="U339" i="7" s="1"/>
  <c r="S350" i="7"/>
  <c r="Q350" i="7"/>
  <c r="K350" i="7"/>
  <c r="L186" i="7"/>
  <c r="M187" i="7"/>
  <c r="M186" i="7" s="1"/>
  <c r="M609" i="7"/>
  <c r="U609" i="7"/>
  <c r="W609" i="7" s="1"/>
  <c r="R543" i="7"/>
  <c r="R526" i="7"/>
  <c r="K419" i="7"/>
  <c r="K424" i="7"/>
  <c r="V339" i="7"/>
  <c r="L201" i="7"/>
  <c r="M202" i="7"/>
  <c r="M201" i="7" s="1"/>
  <c r="J171" i="7"/>
  <c r="F171" i="7"/>
  <c r="G419" i="7"/>
  <c r="G424" i="7"/>
  <c r="G425" i="7" s="1"/>
  <c r="H425" i="7" s="1"/>
  <c r="I425" i="7" s="1"/>
  <c r="J425" i="7" s="1"/>
  <c r="T418" i="7"/>
  <c r="U418" i="7" s="1"/>
  <c r="X418" i="7" s="1"/>
  <c r="J341" i="7"/>
  <c r="G5" i="28" s="1"/>
  <c r="H5" i="28" s="1"/>
  <c r="J362" i="7"/>
  <c r="J357" i="7"/>
  <c r="F341" i="7"/>
  <c r="F362" i="7"/>
  <c r="F363" i="7" s="1"/>
  <c r="G363" i="7" s="1"/>
  <c r="H363" i="7" s="1"/>
  <c r="I363" i="7" s="1"/>
  <c r="F357" i="7"/>
  <c r="F350" i="7"/>
  <c r="Q362" i="7"/>
  <c r="Q341" i="7"/>
  <c r="Q357" i="7"/>
  <c r="S281" i="7"/>
  <c r="S283" i="7"/>
  <c r="M247" i="7"/>
  <c r="M246" i="7" s="1"/>
  <c r="L246" i="7"/>
  <c r="I221" i="7"/>
  <c r="I216" i="7"/>
  <c r="T232" i="7"/>
  <c r="S236" i="7"/>
  <c r="S217" i="7"/>
  <c r="T217" i="7" s="1"/>
  <c r="S234" i="7"/>
  <c r="N422" i="7"/>
  <c r="F343" i="7"/>
  <c r="W366" i="7"/>
  <c r="V547" i="11"/>
  <c r="T682" i="11"/>
  <c r="U683" i="11"/>
  <c r="W683" i="11" s="1"/>
  <c r="N524" i="11"/>
  <c r="N530" i="11" s="1"/>
  <c r="N547" i="11"/>
  <c r="I537" i="11"/>
  <c r="O524" i="11"/>
  <c r="O18" i="11" s="1"/>
  <c r="O3" i="11" s="1"/>
  <c r="F566" i="11"/>
  <c r="Q537" i="11"/>
  <c r="U686" i="11"/>
  <c r="W686" i="11" s="1"/>
  <c r="J630" i="11"/>
  <c r="R642" i="11"/>
  <c r="S642" i="11"/>
  <c r="O642" i="11"/>
  <c r="T523" i="11"/>
  <c r="S520" i="11"/>
  <c r="S522" i="11" s="1"/>
  <c r="T422" i="11"/>
  <c r="V412" i="11"/>
  <c r="F412" i="11"/>
  <c r="V419" i="11"/>
  <c r="J424" i="11"/>
  <c r="J419" i="11"/>
  <c r="I424" i="11"/>
  <c r="I419" i="11"/>
  <c r="N412" i="11"/>
  <c r="K424" i="11"/>
  <c r="K419" i="11"/>
  <c r="G424" i="11"/>
  <c r="G425" i="11" s="1"/>
  <c r="H425" i="11" s="1"/>
  <c r="G419" i="11"/>
  <c r="W418" i="11"/>
  <c r="X418" i="11"/>
  <c r="O424" i="11"/>
  <c r="T420" i="11"/>
  <c r="J422" i="11"/>
  <c r="J343" i="11" s="1"/>
  <c r="V406" i="11"/>
  <c r="I147" i="11"/>
  <c r="J147" i="11" s="1"/>
  <c r="K147" i="11" s="1"/>
  <c r="N147" i="11" s="1"/>
  <c r="O147" i="11" s="1"/>
  <c r="U215" i="11"/>
  <c r="W215" i="11" s="1"/>
  <c r="U145" i="11"/>
  <c r="W145" i="11" s="1"/>
  <c r="U304" i="11"/>
  <c r="R166" i="11"/>
  <c r="U164" i="11"/>
  <c r="W164" i="11" s="1"/>
  <c r="O176" i="11"/>
  <c r="V553" i="9"/>
  <c r="T517" i="9"/>
  <c r="O543" i="9"/>
  <c r="L517" i="9"/>
  <c r="M517" i="9" s="1"/>
  <c r="L542" i="9"/>
  <c r="M542" i="9" s="1"/>
  <c r="I553" i="9"/>
  <c r="U550" i="9"/>
  <c r="N543" i="9"/>
  <c r="N560" i="9"/>
  <c r="K343" i="9"/>
  <c r="K345" i="7"/>
  <c r="K340" i="7"/>
  <c r="P221" i="19"/>
  <c r="H102" i="19"/>
  <c r="I102" i="19" s="1"/>
  <c r="F548" i="18"/>
  <c r="F549" i="18" s="1"/>
  <c r="L579" i="18"/>
  <c r="G236" i="18"/>
  <c r="G237" i="18" s="1"/>
  <c r="H237" i="18" s="1"/>
  <c r="I237" i="18" s="1"/>
  <c r="J237" i="18" s="1"/>
  <c r="K237" i="18" s="1"/>
  <c r="N237" i="18" s="1"/>
  <c r="L235" i="18"/>
  <c r="T516" i="18"/>
  <c r="L641" i="18"/>
  <c r="M641" i="18" s="1"/>
  <c r="L523" i="18"/>
  <c r="M523" i="18" s="1"/>
  <c r="L525" i="18"/>
  <c r="M525" i="18" s="1"/>
  <c r="M142" i="13"/>
  <c r="M141" i="13" s="1"/>
  <c r="U140" i="13"/>
  <c r="T141" i="13"/>
  <c r="W309" i="13"/>
  <c r="W308" i="13" s="1"/>
  <c r="U308" i="13"/>
  <c r="V100" i="11"/>
  <c r="T97" i="9"/>
  <c r="U97" i="9" s="1"/>
  <c r="W97" i="9" s="1"/>
  <c r="W235" i="9"/>
  <c r="J548" i="9"/>
  <c r="T564" i="9"/>
  <c r="L554" i="9"/>
  <c r="M554" i="9" s="1"/>
  <c r="M553" i="9" s="1"/>
  <c r="S565" i="9"/>
  <c r="T564" i="8"/>
  <c r="L479" i="8"/>
  <c r="V376" i="8"/>
  <c r="V372" i="8"/>
  <c r="V96" i="8"/>
  <c r="V100" i="8"/>
  <c r="L517" i="8"/>
  <c r="I252" i="8"/>
  <c r="J252" i="8" s="1"/>
  <c r="K252" i="8" s="1"/>
  <c r="N252" i="8" s="1"/>
  <c r="O252" i="8" s="1"/>
  <c r="P252" i="8" s="1"/>
  <c r="H211" i="8"/>
  <c r="L608" i="8"/>
  <c r="X230" i="8"/>
  <c r="U639" i="8"/>
  <c r="W639" i="8" s="1"/>
  <c r="U628" i="8"/>
  <c r="W481" i="8"/>
  <c r="G237" i="8"/>
  <c r="H237" i="8" s="1"/>
  <c r="I237" i="8" s="1"/>
  <c r="J237" i="8" s="1"/>
  <c r="K237" i="8" s="1"/>
  <c r="N237" i="8" s="1"/>
  <c r="O237" i="8" s="1"/>
  <c r="P237" i="8" s="1"/>
  <c r="S478" i="8"/>
  <c r="T478" i="8" s="1"/>
  <c r="U478" i="8" s="1"/>
  <c r="W478" i="8" s="1"/>
  <c r="G408" i="8"/>
  <c r="H408" i="8" s="1"/>
  <c r="I408" i="8" s="1"/>
  <c r="J408" i="8" s="1"/>
  <c r="K408" i="8" s="1"/>
  <c r="N408" i="8" s="1"/>
  <c r="O408" i="8" s="1"/>
  <c r="P408" i="8" s="1"/>
  <c r="U190" i="8"/>
  <c r="T144" i="8"/>
  <c r="U144" i="8" s="1"/>
  <c r="W144" i="8" s="1"/>
  <c r="G192" i="8"/>
  <c r="H192" i="8" s="1"/>
  <c r="U205" i="8"/>
  <c r="W205" i="8" s="1"/>
  <c r="G207" i="8"/>
  <c r="N657" i="8"/>
  <c r="N642" i="8" s="1"/>
  <c r="G641" i="8"/>
  <c r="L641" i="8" s="1"/>
  <c r="L656" i="8"/>
  <c r="M656" i="8" s="1"/>
  <c r="S636" i="8"/>
  <c r="S542" i="8" s="1"/>
  <c r="S525" i="8" s="1"/>
  <c r="T651" i="8"/>
  <c r="U651" i="8" s="1"/>
  <c r="W651" i="8" s="1"/>
  <c r="S375" i="8"/>
  <c r="G377" i="8"/>
  <c r="G378" i="8" s="1"/>
  <c r="H378" i="8" s="1"/>
  <c r="I378" i="8" s="1"/>
  <c r="J378" i="8" s="1"/>
  <c r="K378" i="8" s="1"/>
  <c r="N378" i="8" s="1"/>
  <c r="O378" i="8" s="1"/>
  <c r="L376" i="8"/>
  <c r="U210" i="8"/>
  <c r="W210" i="8" s="1"/>
  <c r="W165" i="15"/>
  <c r="T170" i="15"/>
  <c r="U170" i="15" s="1"/>
  <c r="W170" i="15" s="1"/>
  <c r="S171" i="15"/>
  <c r="T564" i="15"/>
  <c r="J284" i="15"/>
  <c r="K284" i="15" s="1"/>
  <c r="N284" i="15" s="1"/>
  <c r="O284" i="15" s="1"/>
  <c r="T212" i="15"/>
  <c r="T211" i="15" s="1"/>
  <c r="W141" i="15"/>
  <c r="L512" i="15"/>
  <c r="M512" i="15" s="1"/>
  <c r="U635" i="15"/>
  <c r="W635" i="15" s="1"/>
  <c r="S565" i="15"/>
  <c r="I515" i="15"/>
  <c r="J515" i="15" s="1"/>
  <c r="K515" i="15" s="1"/>
  <c r="N515" i="15" s="1"/>
  <c r="O515" i="15" s="1"/>
  <c r="Q314" i="15"/>
  <c r="R314" i="15" s="1"/>
  <c r="I216" i="15"/>
  <c r="H252" i="15"/>
  <c r="I252" i="15" s="1"/>
  <c r="J252" i="15" s="1"/>
  <c r="K252" i="15" s="1"/>
  <c r="N252" i="15" s="1"/>
  <c r="O252" i="15" s="1"/>
  <c r="U141" i="15"/>
  <c r="J207" i="15"/>
  <c r="K207" i="15" s="1"/>
  <c r="N207" i="15" s="1"/>
  <c r="O207" i="15" s="1"/>
  <c r="N176" i="15"/>
  <c r="X143" i="15"/>
  <c r="U686" i="15"/>
  <c r="W686" i="15" s="1"/>
  <c r="U190" i="15"/>
  <c r="W190" i="15" s="1"/>
  <c r="G611" i="15"/>
  <c r="H611" i="15" s="1"/>
  <c r="U608" i="15"/>
  <c r="W608" i="15" s="1"/>
  <c r="W605" i="15"/>
  <c r="N520" i="15"/>
  <c r="S657" i="15"/>
  <c r="S642" i="15" s="1"/>
  <c r="T653" i="15"/>
  <c r="S655" i="15"/>
  <c r="T372" i="7"/>
  <c r="U373" i="7"/>
  <c r="W373" i="7" s="1"/>
  <c r="W372" i="7" s="1"/>
  <c r="N482" i="7"/>
  <c r="U468" i="7"/>
  <c r="W468" i="7" s="1"/>
  <c r="G439" i="7"/>
  <c r="G440" i="7" s="1"/>
  <c r="H440" i="7" s="1"/>
  <c r="I440" i="7" s="1"/>
  <c r="J440" i="7" s="1"/>
  <c r="K440" i="7" s="1"/>
  <c r="N440" i="7" s="1"/>
  <c r="O440" i="7" s="1"/>
  <c r="P440" i="7" s="1"/>
  <c r="Q440" i="7" s="1"/>
  <c r="R440" i="7" s="1"/>
  <c r="S440" i="7" s="1"/>
  <c r="L438" i="7"/>
  <c r="J252" i="9"/>
  <c r="K252" i="9" s="1"/>
  <c r="N252" i="9" s="1"/>
  <c r="O252" i="9" s="1"/>
  <c r="P252" i="9" s="1"/>
  <c r="Q252" i="9" s="1"/>
  <c r="R252" i="9" s="1"/>
  <c r="S252" i="9" s="1"/>
  <c r="U163" i="9"/>
  <c r="W163" i="9" s="1"/>
  <c r="L212" i="9"/>
  <c r="L211" i="9" s="1"/>
  <c r="U215" i="9"/>
  <c r="W215" i="9" s="1"/>
  <c r="L542" i="13"/>
  <c r="M542" i="13" s="1"/>
  <c r="Q528" i="13"/>
  <c r="T528" i="13" s="1"/>
  <c r="T542" i="13"/>
  <c r="U542" i="13" s="1"/>
  <c r="W542" i="13" s="1"/>
  <c r="S548" i="13"/>
  <c r="N525" i="13"/>
  <c r="N524" i="13"/>
  <c r="N18" i="13" s="1"/>
  <c r="N3" i="13" s="1"/>
  <c r="T517" i="13"/>
  <c r="L525" i="13"/>
  <c r="M525" i="13" s="1"/>
  <c r="G527" i="13"/>
  <c r="G526" i="13" s="1"/>
  <c r="L540" i="13"/>
  <c r="M540" i="13" s="1"/>
  <c r="L535" i="13"/>
  <c r="M535" i="13" s="1"/>
  <c r="L533" i="13"/>
  <c r="U639" i="13"/>
  <c r="L545" i="13"/>
  <c r="M545" i="13" s="1"/>
  <c r="G536" i="13"/>
  <c r="J543" i="13"/>
  <c r="U713" i="13"/>
  <c r="W713" i="13" s="1"/>
  <c r="T547" i="8"/>
  <c r="L534" i="8"/>
  <c r="M534" i="8" s="1"/>
  <c r="T528" i="8"/>
  <c r="O546" i="8"/>
  <c r="O529" i="8" s="1"/>
  <c r="I548" i="8"/>
  <c r="T563" i="8"/>
  <c r="F560" i="8"/>
  <c r="U579" i="8"/>
  <c r="W579" i="8" s="1"/>
  <c r="X508" i="8"/>
  <c r="S469" i="8"/>
  <c r="T465" i="8"/>
  <c r="U465" i="8" s="1"/>
  <c r="W465" i="8" s="1"/>
  <c r="S467" i="8"/>
  <c r="S422" i="8" s="1"/>
  <c r="T422" i="8" s="1"/>
  <c r="S166" i="8"/>
  <c r="S217" i="8"/>
  <c r="L570" i="15"/>
  <c r="U571" i="15"/>
  <c r="M571" i="15"/>
  <c r="M570" i="15" s="1"/>
  <c r="F560" i="15"/>
  <c r="M606" i="15"/>
  <c r="M605" i="15" s="1"/>
  <c r="L605" i="15"/>
  <c r="G536" i="15"/>
  <c r="G520" i="15"/>
  <c r="K637" i="15"/>
  <c r="K544" i="15"/>
  <c r="T641" i="15"/>
  <c r="U641" i="15" s="1"/>
  <c r="W641" i="15" s="1"/>
  <c r="L542" i="15"/>
  <c r="M542" i="15" s="1"/>
  <c r="L540" i="15"/>
  <c r="M540" i="15" s="1"/>
  <c r="U716" i="15"/>
  <c r="W716" i="15" s="1"/>
  <c r="T715" i="15"/>
  <c r="U715" i="15" s="1"/>
  <c r="W715" i="15" s="1"/>
  <c r="M653" i="18"/>
  <c r="M652" i="18" s="1"/>
  <c r="L652" i="18"/>
  <c r="T641" i="18"/>
  <c r="H543" i="18"/>
  <c r="X681" i="18"/>
  <c r="V542" i="18"/>
  <c r="S637" i="18"/>
  <c r="H637" i="18"/>
  <c r="T533" i="18"/>
  <c r="L631" i="18"/>
  <c r="M631" i="18" s="1"/>
  <c r="M630" i="18" s="1"/>
  <c r="F543" i="18"/>
  <c r="V546" i="18"/>
  <c r="V529" i="18" s="1"/>
  <c r="N526" i="9"/>
  <c r="T525" i="9"/>
  <c r="V526" i="9"/>
  <c r="V543" i="9"/>
  <c r="O536" i="9"/>
  <c r="O553" i="9"/>
  <c r="T535" i="9"/>
  <c r="L533" i="9"/>
  <c r="M533" i="9" s="1"/>
  <c r="O548" i="9"/>
  <c r="H543" i="9"/>
  <c r="H560" i="9"/>
  <c r="R560" i="9"/>
  <c r="T464" i="9"/>
  <c r="U465" i="9"/>
  <c r="V402" i="9"/>
  <c r="V406" i="9"/>
  <c r="U608" i="19"/>
  <c r="X608" i="19" s="1"/>
  <c r="M182" i="19"/>
  <c r="M181" i="19" s="1"/>
  <c r="J500" i="19"/>
  <c r="K500" i="19" s="1"/>
  <c r="N500" i="19" s="1"/>
  <c r="O500" i="19" s="1"/>
  <c r="P500" i="19" s="1"/>
  <c r="Q500" i="19" s="1"/>
  <c r="R500" i="19" s="1"/>
  <c r="G237" i="7"/>
  <c r="H237" i="7" s="1"/>
  <c r="I237" i="7" s="1"/>
  <c r="J237" i="7" s="1"/>
  <c r="K237" i="7" s="1"/>
  <c r="N237" i="7" s="1"/>
  <c r="O237" i="7" s="1"/>
  <c r="P237" i="7" s="1"/>
  <c r="Q237" i="7" s="1"/>
  <c r="R237" i="7" s="1"/>
  <c r="W170" i="7"/>
  <c r="V166" i="7"/>
  <c r="T278" i="7"/>
  <c r="U277" i="7"/>
  <c r="X277" i="7" s="1"/>
  <c r="S166" i="9"/>
  <c r="O166" i="9"/>
  <c r="I176" i="9"/>
  <c r="X95" i="15"/>
  <c r="S283" i="13"/>
  <c r="T279" i="13"/>
  <c r="U279" i="13" s="1"/>
  <c r="W279" i="13" s="1"/>
  <c r="S281" i="13"/>
  <c r="S266" i="13" s="1"/>
  <c r="V278" i="13"/>
  <c r="V282" i="13"/>
  <c r="V267" i="13" s="1"/>
  <c r="W267" i="13" s="1"/>
  <c r="M304" i="13"/>
  <c r="M303" i="13" s="1"/>
  <c r="S405" i="13"/>
  <c r="S360" i="13" s="1"/>
  <c r="S407" i="13"/>
  <c r="T403" i="13"/>
  <c r="V406" i="13"/>
  <c r="W406" i="13" s="1"/>
  <c r="V402" i="13"/>
  <c r="W468" i="13"/>
  <c r="H470" i="15"/>
  <c r="I470" i="15" s="1"/>
  <c r="J470" i="15" s="1"/>
  <c r="K470" i="15" s="1"/>
  <c r="N470" i="15" s="1"/>
  <c r="O470" i="15" s="1"/>
  <c r="G440" i="15"/>
  <c r="L405" i="15"/>
  <c r="M405" i="15" s="1"/>
  <c r="M398" i="15"/>
  <c r="M397" i="15" s="1"/>
  <c r="V145" i="15"/>
  <c r="T144" i="15"/>
  <c r="S311" i="15"/>
  <c r="S266" i="15" s="1"/>
  <c r="S313" i="15"/>
  <c r="V282" i="15"/>
  <c r="V267" i="15" s="1"/>
  <c r="W267" i="15" s="1"/>
  <c r="V278" i="15"/>
  <c r="T311" i="15"/>
  <c r="S313" i="18"/>
  <c r="S311" i="18"/>
  <c r="T311" i="18" s="1"/>
  <c r="T309" i="18"/>
  <c r="U309" i="18" s="1"/>
  <c r="W309" i="18" s="1"/>
  <c r="S283" i="18"/>
  <c r="S281" i="18"/>
  <c r="T281" i="18" s="1"/>
  <c r="T279" i="18"/>
  <c r="U279" i="18" s="1"/>
  <c r="W279" i="18" s="1"/>
  <c r="X98" i="18"/>
  <c r="V468" i="19"/>
  <c r="W468" i="19" s="1"/>
  <c r="V464" i="19"/>
  <c r="L467" i="19"/>
  <c r="U312" i="19"/>
  <c r="V297" i="19"/>
  <c r="V293" i="19"/>
  <c r="W297" i="19"/>
  <c r="U296" i="19"/>
  <c r="W296" i="19" s="1"/>
  <c r="T215" i="19"/>
  <c r="V100" i="19"/>
  <c r="V96" i="19"/>
  <c r="I147" i="19"/>
  <c r="J147" i="19" s="1"/>
  <c r="K147" i="19" s="1"/>
  <c r="N147" i="19" s="1"/>
  <c r="O147" i="19" s="1"/>
  <c r="P147" i="19" s="1"/>
  <c r="Q147" i="19" s="1"/>
  <c r="R147" i="19" s="1"/>
  <c r="S147" i="19" s="1"/>
  <c r="J174" i="13"/>
  <c r="J219" i="13"/>
  <c r="Q219" i="13"/>
  <c r="R166" i="13"/>
  <c r="T170" i="13"/>
  <c r="R171" i="13"/>
  <c r="F171" i="13"/>
  <c r="V250" i="13"/>
  <c r="W250" i="13" s="1"/>
  <c r="V246" i="13"/>
  <c r="V201" i="13"/>
  <c r="V205" i="13"/>
  <c r="W205" i="13" s="1"/>
  <c r="S251" i="13"/>
  <c r="T247" i="13"/>
  <c r="S217" i="13"/>
  <c r="S50" i="13" s="1"/>
  <c r="S49" i="13" s="1"/>
  <c r="S249" i="13"/>
  <c r="T249" i="13" s="1"/>
  <c r="V231" i="13"/>
  <c r="V235" i="13"/>
  <c r="V217" i="13"/>
  <c r="V216" i="13" s="1"/>
  <c r="U100" i="8"/>
  <c r="R718" i="18"/>
  <c r="S718" i="18" s="1"/>
  <c r="W242" i="18"/>
  <c r="W241" i="18" s="1"/>
  <c r="U241" i="18"/>
  <c r="X247" i="18"/>
  <c r="F526" i="18"/>
  <c r="S542" i="18"/>
  <c r="S543" i="18" s="1"/>
  <c r="T559" i="18"/>
  <c r="U559" i="18" s="1"/>
  <c r="W559" i="18" s="1"/>
  <c r="S560" i="18"/>
  <c r="W295" i="19"/>
  <c r="X188" i="19"/>
  <c r="T504" i="19"/>
  <c r="G408" i="19"/>
  <c r="H408" i="19" s="1"/>
  <c r="I408" i="19" s="1"/>
  <c r="J408" i="19" s="1"/>
  <c r="K408" i="19" s="1"/>
  <c r="N408" i="19" s="1"/>
  <c r="O408" i="19" s="1"/>
  <c r="P408" i="19" s="1"/>
  <c r="Q408" i="19" s="1"/>
  <c r="R408" i="19" s="1"/>
  <c r="S408" i="19" s="1"/>
  <c r="U639" i="19"/>
  <c r="W639" i="19" s="1"/>
  <c r="V166" i="19"/>
  <c r="H547" i="19"/>
  <c r="H548" i="19" s="1"/>
  <c r="X653" i="19"/>
  <c r="M227" i="19"/>
  <c r="M226" i="19" s="1"/>
  <c r="V536" i="19"/>
  <c r="M289" i="19"/>
  <c r="M288" i="19" s="1"/>
  <c r="L288" i="19"/>
  <c r="S249" i="19"/>
  <c r="T249" i="19" s="1"/>
  <c r="S251" i="19"/>
  <c r="T247" i="19"/>
  <c r="U164" i="19"/>
  <c r="U289" i="19"/>
  <c r="W289" i="19" s="1"/>
  <c r="T288" i="19"/>
  <c r="U250" i="19"/>
  <c r="W250" i="19" s="1"/>
  <c r="S467" i="18"/>
  <c r="T465" i="18"/>
  <c r="S469" i="18"/>
  <c r="U473" i="18"/>
  <c r="W473" i="18" s="1"/>
  <c r="I284" i="18"/>
  <c r="J284" i="18" s="1"/>
  <c r="K284" i="18" s="1"/>
  <c r="N284" i="18" s="1"/>
  <c r="L467" i="18"/>
  <c r="M467" i="18" s="1"/>
  <c r="U716" i="18"/>
  <c r="W716" i="18" s="1"/>
  <c r="T647" i="18"/>
  <c r="U648" i="18"/>
  <c r="W648" i="18" s="1"/>
  <c r="L564" i="18"/>
  <c r="M564" i="18" s="1"/>
  <c r="U227" i="18"/>
  <c r="T204" i="18"/>
  <c r="U204" i="18" s="1"/>
  <c r="L647" i="18"/>
  <c r="M648" i="18"/>
  <c r="M647" i="18" s="1"/>
  <c r="V637" i="18"/>
  <c r="V544" i="18"/>
  <c r="V527" i="18" s="1"/>
  <c r="L226" i="18"/>
  <c r="M227" i="18"/>
  <c r="M226" i="18" s="1"/>
  <c r="U715" i="18"/>
  <c r="W715" i="18" s="1"/>
  <c r="T219" i="18"/>
  <c r="U219" i="18" s="1"/>
  <c r="V211" i="18"/>
  <c r="M94" i="18"/>
  <c r="U94" i="18"/>
  <c r="W94" i="18" s="1"/>
  <c r="T249" i="18"/>
  <c r="U249" i="18" s="1"/>
  <c r="K536" i="19"/>
  <c r="P543" i="19"/>
  <c r="P527" i="19"/>
  <c r="P526" i="19" s="1"/>
  <c r="U716" i="19"/>
  <c r="W716" i="19" s="1"/>
  <c r="S542" i="19"/>
  <c r="T559" i="19"/>
  <c r="S560" i="19"/>
  <c r="T483" i="19"/>
  <c r="U483" i="19" s="1"/>
  <c r="W483" i="19" s="1"/>
  <c r="T167" i="19"/>
  <c r="T166" i="19" s="1"/>
  <c r="R484" i="19"/>
  <c r="P548" i="19"/>
  <c r="T640" i="19"/>
  <c r="T631" i="19"/>
  <c r="T630" i="19" s="1"/>
  <c r="J171" i="18"/>
  <c r="J176" i="18"/>
  <c r="S221" i="18"/>
  <c r="T217" i="18"/>
  <c r="T216" i="18" s="1"/>
  <c r="S176" i="18"/>
  <c r="S171" i="18"/>
  <c r="M214" i="18"/>
  <c r="U214" i="18"/>
  <c r="W214" i="18" s="1"/>
  <c r="U208" i="18"/>
  <c r="L211" i="18"/>
  <c r="R171" i="18"/>
  <c r="R176" i="18"/>
  <c r="U246" i="18"/>
  <c r="U634" i="18"/>
  <c r="W634" i="18" s="1"/>
  <c r="W557" i="18"/>
  <c r="U406" i="18"/>
  <c r="W406" i="18" s="1"/>
  <c r="W503" i="19"/>
  <c r="G611" i="19"/>
  <c r="G565" i="19"/>
  <c r="G637" i="19"/>
  <c r="G544" i="19"/>
  <c r="O553" i="19"/>
  <c r="T537" i="19"/>
  <c r="M609" i="19"/>
  <c r="U609" i="19"/>
  <c r="W609" i="19" s="1"/>
  <c r="J102" i="19"/>
  <c r="K102" i="19" s="1"/>
  <c r="N102" i="19" s="1"/>
  <c r="O102" i="19" s="1"/>
  <c r="P102" i="19" s="1"/>
  <c r="Q102" i="19" s="1"/>
  <c r="R102" i="19" s="1"/>
  <c r="S102" i="19" s="1"/>
  <c r="U472" i="19"/>
  <c r="L631" i="19"/>
  <c r="U471" i="19"/>
  <c r="S499" i="18"/>
  <c r="S497" i="18"/>
  <c r="T497" i="18" s="1"/>
  <c r="U497" i="18" s="1"/>
  <c r="T495" i="18"/>
  <c r="T397" i="18"/>
  <c r="U398" i="18"/>
  <c r="W398" i="18" s="1"/>
  <c r="W213" i="18"/>
  <c r="F176" i="18"/>
  <c r="F177" i="18" s="1"/>
  <c r="G177" i="18" s="1"/>
  <c r="F171" i="18"/>
  <c r="X245" i="18"/>
  <c r="U635" i="18"/>
  <c r="W635" i="18" s="1"/>
  <c r="T630" i="18"/>
  <c r="T600" i="18"/>
  <c r="U601" i="18"/>
  <c r="T504" i="18"/>
  <c r="U503" i="18"/>
  <c r="W503" i="18" s="1"/>
  <c r="W431" i="18"/>
  <c r="X436" i="18"/>
  <c r="L397" i="18"/>
  <c r="M398" i="18"/>
  <c r="M397" i="18" s="1"/>
  <c r="W275" i="18"/>
  <c r="X280" i="18"/>
  <c r="K216" i="18"/>
  <c r="L217" i="18"/>
  <c r="M505" i="18"/>
  <c r="M504" i="18" s="1"/>
  <c r="U505" i="18"/>
  <c r="L504" i="18"/>
  <c r="U197" i="18"/>
  <c r="M686" i="19"/>
  <c r="U686" i="19"/>
  <c r="W686" i="19" s="1"/>
  <c r="S637" i="19"/>
  <c r="S544" i="19"/>
  <c r="I637" i="19"/>
  <c r="L638" i="19"/>
  <c r="T570" i="19"/>
  <c r="O544" i="19"/>
  <c r="T561" i="19"/>
  <c r="W287" i="19"/>
  <c r="I640" i="19"/>
  <c r="L640" i="19" s="1"/>
  <c r="L655" i="19"/>
  <c r="W90" i="19"/>
  <c r="X95" i="19"/>
  <c r="M427" i="19"/>
  <c r="U427" i="19"/>
  <c r="I314" i="19"/>
  <c r="J314" i="19" s="1"/>
  <c r="K314" i="19" s="1"/>
  <c r="N314" i="19" s="1"/>
  <c r="O314" i="19" s="1"/>
  <c r="P314" i="19" s="1"/>
  <c r="Q314" i="19" s="1"/>
  <c r="R314" i="19" s="1"/>
  <c r="U165" i="19"/>
  <c r="W165" i="19" s="1"/>
  <c r="T175" i="19"/>
  <c r="T220" i="19"/>
  <c r="U220" i="19" s="1"/>
  <c r="U215" i="19"/>
  <c r="W215" i="19" s="1"/>
  <c r="N547" i="19"/>
  <c r="T547" i="19" s="1"/>
  <c r="W461" i="19"/>
  <c r="X466" i="19"/>
  <c r="W401" i="19"/>
  <c r="U402" i="19"/>
  <c r="X404" i="19"/>
  <c r="W399" i="19"/>
  <c r="M92" i="19"/>
  <c r="M91" i="19" s="1"/>
  <c r="O484" i="19"/>
  <c r="O479" i="19"/>
  <c r="P482" i="19"/>
  <c r="T497" i="19"/>
  <c r="U497" i="19" s="1"/>
  <c r="K479" i="19"/>
  <c r="K484" i="19"/>
  <c r="S236" i="19"/>
  <c r="S217" i="19"/>
  <c r="S234" i="19"/>
  <c r="T234" i="19" s="1"/>
  <c r="T232" i="19"/>
  <c r="W95" i="19"/>
  <c r="W96" i="19" s="1"/>
  <c r="U96" i="19"/>
  <c r="Q479" i="19"/>
  <c r="Q484" i="19"/>
  <c r="S311" i="19"/>
  <c r="S266" i="19" s="1"/>
  <c r="T309" i="19"/>
  <c r="S313" i="19"/>
  <c r="G536" i="19"/>
  <c r="U145" i="19"/>
  <c r="W145" i="19" s="1"/>
  <c r="H718" i="19"/>
  <c r="I718" i="19" s="1"/>
  <c r="J718" i="19" s="1"/>
  <c r="K718" i="19" s="1"/>
  <c r="N718" i="19" s="1"/>
  <c r="O718" i="19" s="1"/>
  <c r="P718" i="19" s="1"/>
  <c r="Q718" i="19" s="1"/>
  <c r="R718" i="19" s="1"/>
  <c r="S718" i="19" s="1"/>
  <c r="R221" i="19"/>
  <c r="X685" i="19"/>
  <c r="U92" i="19"/>
  <c r="F216" i="15"/>
  <c r="F221" i="15"/>
  <c r="F222" i="15" s="1"/>
  <c r="U708" i="15"/>
  <c r="W708" i="15" s="1"/>
  <c r="T707" i="15"/>
  <c r="M708" i="15"/>
  <c r="M707" i="15" s="1"/>
  <c r="L707" i="15"/>
  <c r="U505" i="15"/>
  <c r="U504" i="15" s="1"/>
  <c r="V479" i="15"/>
  <c r="R221" i="15"/>
  <c r="U278" i="15"/>
  <c r="W279" i="15"/>
  <c r="W278" i="15" s="1"/>
  <c r="T478" i="15"/>
  <c r="U478" i="15" s="1"/>
  <c r="W478" i="15" s="1"/>
  <c r="X202" i="15"/>
  <c r="H536" i="15"/>
  <c r="H520" i="15"/>
  <c r="U215" i="15"/>
  <c r="W215" i="15" s="1"/>
  <c r="X310" i="15"/>
  <c r="I611" i="15"/>
  <c r="J611" i="15" s="1"/>
  <c r="K611" i="15" s="1"/>
  <c r="N611" i="15" s="1"/>
  <c r="O611" i="15" s="1"/>
  <c r="U545" i="15"/>
  <c r="W545" i="15" s="1"/>
  <c r="T189" i="15"/>
  <c r="U398" i="15"/>
  <c r="W398" i="15" s="1"/>
  <c r="U476" i="15"/>
  <c r="W476" i="15" s="1"/>
  <c r="G237" i="15"/>
  <c r="H237" i="15" s="1"/>
  <c r="I237" i="15" s="1"/>
  <c r="J237" i="15" s="1"/>
  <c r="K237" i="15" s="1"/>
  <c r="N237" i="15" s="1"/>
  <c r="O237" i="15" s="1"/>
  <c r="T91" i="15"/>
  <c r="O565" i="15"/>
  <c r="U208" i="15"/>
  <c r="W208" i="15" s="1"/>
  <c r="U628" i="15"/>
  <c r="U205" i="15"/>
  <c r="W205" i="15" s="1"/>
  <c r="X463" i="15"/>
  <c r="W458" i="15"/>
  <c r="F20" i="15"/>
  <c r="N20" i="15"/>
  <c r="T20" i="15" s="1"/>
  <c r="X683" i="15"/>
  <c r="W678" i="15"/>
  <c r="W677" i="15" s="1"/>
  <c r="U513" i="15"/>
  <c r="W513" i="15" s="1"/>
  <c r="N479" i="15"/>
  <c r="N484" i="15"/>
  <c r="X606" i="15"/>
  <c r="W601" i="15"/>
  <c r="U600" i="15"/>
  <c r="K520" i="15"/>
  <c r="K536" i="15"/>
  <c r="H20" i="15"/>
  <c r="L528" i="15"/>
  <c r="L204" i="15"/>
  <c r="M204" i="15" s="1"/>
  <c r="U210" i="15"/>
  <c r="T629" i="15"/>
  <c r="U629" i="15" s="1"/>
  <c r="X636" i="15" s="1"/>
  <c r="X604" i="15"/>
  <c r="W599" i="15"/>
  <c r="W552" i="15"/>
  <c r="N171" i="15"/>
  <c r="M554" i="15"/>
  <c r="M553" i="15" s="1"/>
  <c r="L553" i="15"/>
  <c r="U304" i="15"/>
  <c r="X309" i="15" s="1"/>
  <c r="U173" i="15"/>
  <c r="X230" i="15"/>
  <c r="W230" i="15"/>
  <c r="U402" i="15"/>
  <c r="W403" i="15"/>
  <c r="W402" i="15" s="1"/>
  <c r="W681" i="15"/>
  <c r="W682" i="15" s="1"/>
  <c r="U682" i="15"/>
  <c r="X681" i="15"/>
  <c r="W396" i="15"/>
  <c r="X401" i="15"/>
  <c r="X280" i="15"/>
  <c r="W275" i="15"/>
  <c r="W272" i="15"/>
  <c r="X277" i="15"/>
  <c r="W242" i="15"/>
  <c r="W241" i="15" s="1"/>
  <c r="U241" i="15"/>
  <c r="G530" i="15"/>
  <c r="U609" i="15"/>
  <c r="W609" i="15" s="1"/>
  <c r="T483" i="15"/>
  <c r="U481" i="15"/>
  <c r="U639" i="15"/>
  <c r="W639" i="15" s="1"/>
  <c r="G565" i="15"/>
  <c r="G581" i="15"/>
  <c r="M430" i="15"/>
  <c r="M429" i="15" s="1"/>
  <c r="U430" i="15"/>
  <c r="L429" i="15"/>
  <c r="F176" i="15"/>
  <c r="F177" i="15" s="1"/>
  <c r="G177" i="15" s="1"/>
  <c r="F171" i="15"/>
  <c r="R536" i="15"/>
  <c r="R520" i="15"/>
  <c r="M541" i="15"/>
  <c r="M100" i="15"/>
  <c r="W397" i="15"/>
  <c r="H408" i="15"/>
  <c r="I408" i="15" s="1"/>
  <c r="J408" i="15" s="1"/>
  <c r="K408" i="15" s="1"/>
  <c r="N408" i="15" s="1"/>
  <c r="O408" i="15" s="1"/>
  <c r="U523" i="15"/>
  <c r="W523" i="15" s="1"/>
  <c r="T175" i="15"/>
  <c r="N192" i="15"/>
  <c r="O192" i="15" s="1"/>
  <c r="T220" i="15"/>
  <c r="U220" i="15" s="1"/>
  <c r="W220" i="15" s="1"/>
  <c r="U460" i="15"/>
  <c r="U627" i="15"/>
  <c r="U498" i="13"/>
  <c r="W498" i="13" s="1"/>
  <c r="I284" i="13"/>
  <c r="J284" i="13" s="1"/>
  <c r="K284" i="13" s="1"/>
  <c r="N284" i="13" s="1"/>
  <c r="S565" i="13"/>
  <c r="U715" i="13"/>
  <c r="W715" i="13" s="1"/>
  <c r="R221" i="13"/>
  <c r="H548" i="13"/>
  <c r="L528" i="13"/>
  <c r="M528" i="13" s="1"/>
  <c r="N527" i="13"/>
  <c r="L600" i="13"/>
  <c r="M601" i="13"/>
  <c r="M600" i="13" s="1"/>
  <c r="U477" i="13"/>
  <c r="W477" i="13" s="1"/>
  <c r="U562" i="13"/>
  <c r="W562" i="13" s="1"/>
  <c r="H237" i="13"/>
  <c r="N637" i="13"/>
  <c r="J531" i="13"/>
  <c r="N548" i="13"/>
  <c r="U601" i="13"/>
  <c r="X606" i="13" s="1"/>
  <c r="U627" i="13"/>
  <c r="I237" i="13"/>
  <c r="J237" i="13" s="1"/>
  <c r="K237" i="13" s="1"/>
  <c r="N237" i="13" s="1"/>
  <c r="U471" i="13"/>
  <c r="U170" i="13"/>
  <c r="W170" i="13" s="1"/>
  <c r="U716" i="13"/>
  <c r="W716" i="13" s="1"/>
  <c r="U628" i="13"/>
  <c r="T534" i="13"/>
  <c r="H314" i="13"/>
  <c r="I314" i="13" s="1"/>
  <c r="J314" i="13" s="1"/>
  <c r="K314" i="13" s="1"/>
  <c r="N314" i="13" s="1"/>
  <c r="U173" i="13"/>
  <c r="W173" i="13" s="1"/>
  <c r="U164" i="13"/>
  <c r="W164" i="13" s="1"/>
  <c r="U376" i="13"/>
  <c r="U476" i="13"/>
  <c r="W476" i="13" s="1"/>
  <c r="S543" i="13"/>
  <c r="S527" i="13"/>
  <c r="S560" i="13"/>
  <c r="L241" i="13"/>
  <c r="M242" i="13"/>
  <c r="M241" i="13" s="1"/>
  <c r="X232" i="13"/>
  <c r="U226" i="13"/>
  <c r="W227" i="13"/>
  <c r="W226" i="13" s="1"/>
  <c r="G216" i="13"/>
  <c r="W676" i="13"/>
  <c r="M648" i="13"/>
  <c r="M647" i="13" s="1"/>
  <c r="L647" i="13"/>
  <c r="T518" i="13"/>
  <c r="W711" i="13"/>
  <c r="U648" i="13"/>
  <c r="T647" i="13"/>
  <c r="W136" i="13"/>
  <c r="U136" i="13"/>
  <c r="T547" i="13"/>
  <c r="H252" i="13"/>
  <c r="I252" i="13" s="1"/>
  <c r="G221" i="13"/>
  <c r="G658" i="13"/>
  <c r="U242" i="13"/>
  <c r="U241" i="13" s="1"/>
  <c r="M274" i="13"/>
  <c r="M273" i="13" s="1"/>
  <c r="L273" i="13"/>
  <c r="V211" i="13"/>
  <c r="U182" i="13"/>
  <c r="T181" i="13"/>
  <c r="J176" i="13"/>
  <c r="J171" i="13"/>
  <c r="L707" i="13"/>
  <c r="M708" i="13"/>
  <c r="M707" i="13" s="1"/>
  <c r="T570" i="13"/>
  <c r="W396" i="13"/>
  <c r="X401" i="13"/>
  <c r="T494" i="13"/>
  <c r="U465" i="13"/>
  <c r="T464" i="13"/>
  <c r="J252" i="13"/>
  <c r="K252" i="13" s="1"/>
  <c r="N252" i="13" s="1"/>
  <c r="Q482" i="13"/>
  <c r="U168" i="13"/>
  <c r="W168" i="13" s="1"/>
  <c r="W310" i="13"/>
  <c r="X310" i="13"/>
  <c r="L196" i="13"/>
  <c r="M197" i="13"/>
  <c r="M196" i="13" s="1"/>
  <c r="T707" i="13"/>
  <c r="U708" i="13"/>
  <c r="M579" i="13"/>
  <c r="U579" i="13"/>
  <c r="W579" i="13" s="1"/>
  <c r="M505" i="13"/>
  <c r="M504" i="13" s="1"/>
  <c r="L504" i="13"/>
  <c r="M398" i="13"/>
  <c r="M397" i="13" s="1"/>
  <c r="L397" i="13"/>
  <c r="Q484" i="13"/>
  <c r="Q479" i="13"/>
  <c r="S479" i="13"/>
  <c r="S484" i="13"/>
  <c r="R219" i="13"/>
  <c r="H470" i="13"/>
  <c r="I470" i="13" s="1"/>
  <c r="J470" i="13" s="1"/>
  <c r="K470" i="13" s="1"/>
  <c r="N470" i="13" s="1"/>
  <c r="H408" i="13"/>
  <c r="I408" i="13" s="1"/>
  <c r="J408" i="13" s="1"/>
  <c r="K408" i="13" s="1"/>
  <c r="N408" i="13" s="1"/>
  <c r="K378" i="13"/>
  <c r="N378" i="13" s="1"/>
  <c r="O378" i="13" s="1"/>
  <c r="J688" i="13"/>
  <c r="K688" i="13" s="1"/>
  <c r="W466" i="13"/>
  <c r="W599" i="13"/>
  <c r="T204" i="13"/>
  <c r="U169" i="13"/>
  <c r="W169" i="13" s="1"/>
  <c r="U209" i="13"/>
  <c r="W209" i="13" s="1"/>
  <c r="U481" i="13"/>
  <c r="U274" i="13"/>
  <c r="U505" i="13"/>
  <c r="U398" i="13"/>
  <c r="U197" i="13"/>
  <c r="X143" i="11"/>
  <c r="U235" i="11"/>
  <c r="J520" i="11"/>
  <c r="J536" i="11"/>
  <c r="L542" i="11"/>
  <c r="M542" i="11" s="1"/>
  <c r="H216" i="11"/>
  <c r="H221" i="11"/>
  <c r="L181" i="11"/>
  <c r="M182" i="11"/>
  <c r="M181" i="11" s="1"/>
  <c r="J543" i="11"/>
  <c r="T525" i="11"/>
  <c r="T542" i="11"/>
  <c r="U141" i="11"/>
  <c r="W142" i="11"/>
  <c r="W141" i="11" s="1"/>
  <c r="F543" i="11"/>
  <c r="L561" i="11"/>
  <c r="M498" i="11"/>
  <c r="U498" i="11"/>
  <c r="W498" i="11" s="1"/>
  <c r="N484" i="11"/>
  <c r="N479" i="11"/>
  <c r="L397" i="11"/>
  <c r="U398" i="11"/>
  <c r="U397" i="11" s="1"/>
  <c r="M398" i="11"/>
  <c r="M397" i="11" s="1"/>
  <c r="S311" i="11"/>
  <c r="S266" i="11" s="1"/>
  <c r="T309" i="11"/>
  <c r="S313" i="11"/>
  <c r="W235" i="11"/>
  <c r="V220" i="11"/>
  <c r="V36" i="11" s="1"/>
  <c r="U403" i="11"/>
  <c r="T402" i="11"/>
  <c r="T494" i="11"/>
  <c r="M557" i="11"/>
  <c r="U557" i="11"/>
  <c r="W557" i="11" s="1"/>
  <c r="T554" i="11"/>
  <c r="T553" i="11" s="1"/>
  <c r="U406" i="11"/>
  <c r="W406" i="11" s="1"/>
  <c r="U550" i="11"/>
  <c r="H482" i="11"/>
  <c r="J515" i="11"/>
  <c r="K515" i="11" s="1"/>
  <c r="N515" i="11" s="1"/>
  <c r="O515" i="11" s="1"/>
  <c r="U639" i="11"/>
  <c r="W639" i="11" s="1"/>
  <c r="U468" i="11"/>
  <c r="W468" i="11" s="1"/>
  <c r="U471" i="11"/>
  <c r="V542" i="11"/>
  <c r="V525" i="11" s="1"/>
  <c r="V560" i="11"/>
  <c r="W282" i="11"/>
  <c r="W436" i="11"/>
  <c r="X436" i="11"/>
  <c r="X404" i="11"/>
  <c r="W404" i="11"/>
  <c r="L677" i="11"/>
  <c r="M678" i="11"/>
  <c r="M677" i="11" s="1"/>
  <c r="I314" i="11"/>
  <c r="J314" i="11" s="1"/>
  <c r="K314" i="11" s="1"/>
  <c r="N314" i="11" s="1"/>
  <c r="O314" i="11" s="1"/>
  <c r="T631" i="11"/>
  <c r="T630" i="11" s="1"/>
  <c r="U438" i="11"/>
  <c r="W438" i="11" s="1"/>
  <c r="U678" i="11"/>
  <c r="X683" i="11" s="1"/>
  <c r="L429" i="11"/>
  <c r="U430" i="11"/>
  <c r="M430" i="11"/>
  <c r="M429" i="11" s="1"/>
  <c r="T136" i="11"/>
  <c r="U137" i="11"/>
  <c r="U136" i="11" s="1"/>
  <c r="L517" i="11"/>
  <c r="M517" i="11" s="1"/>
  <c r="U165" i="11"/>
  <c r="W165" i="11" s="1"/>
  <c r="L437" i="11"/>
  <c r="M437" i="11" s="1"/>
  <c r="T212" i="11"/>
  <c r="T211" i="11" s="1"/>
  <c r="N211" i="11"/>
  <c r="W681" i="11"/>
  <c r="V637" i="11"/>
  <c r="V544" i="11"/>
  <c r="V527" i="11" s="1"/>
  <c r="L608" i="11"/>
  <c r="M608" i="11" s="1"/>
  <c r="U220" i="11"/>
  <c r="W220" i="11" s="1"/>
  <c r="U208" i="11"/>
  <c r="W208" i="11" s="1"/>
  <c r="U205" i="11"/>
  <c r="W205" i="11" s="1"/>
  <c r="H207" i="11"/>
  <c r="I207" i="11" s="1"/>
  <c r="J207" i="11" s="1"/>
  <c r="K207" i="11" s="1"/>
  <c r="N207" i="11" s="1"/>
  <c r="O207" i="11" s="1"/>
  <c r="X280" i="11"/>
  <c r="U209" i="11"/>
  <c r="W209" i="11" s="1"/>
  <c r="T516" i="11"/>
  <c r="T533" i="11"/>
  <c r="T437" i="11"/>
  <c r="X401" i="11"/>
  <c r="W396" i="11"/>
  <c r="W240" i="11"/>
  <c r="X245" i="11"/>
  <c r="S189" i="11"/>
  <c r="S174" i="11" s="1"/>
  <c r="T187" i="11"/>
  <c r="S191" i="11"/>
  <c r="O166" i="11"/>
  <c r="T540" i="11"/>
  <c r="I515" i="9"/>
  <c r="S216" i="9"/>
  <c r="G530" i="9"/>
  <c r="X230" i="9"/>
  <c r="U562" i="9"/>
  <c r="W562" i="9" s="1"/>
  <c r="O560" i="9"/>
  <c r="L545" i="9"/>
  <c r="M545" i="9" s="1"/>
  <c r="G408" i="9"/>
  <c r="H408" i="9" s="1"/>
  <c r="I408" i="9" s="1"/>
  <c r="J408" i="9" s="1"/>
  <c r="K408" i="9" s="1"/>
  <c r="N408" i="9" s="1"/>
  <c r="O408" i="9" s="1"/>
  <c r="U168" i="9"/>
  <c r="W168" i="9" s="1"/>
  <c r="U164" i="9"/>
  <c r="W164" i="9" s="1"/>
  <c r="T220" i="9"/>
  <c r="T534" i="9"/>
  <c r="R536" i="9"/>
  <c r="X248" i="9"/>
  <c r="Q221" i="9"/>
  <c r="U213" i="9"/>
  <c r="W213" i="9" s="1"/>
  <c r="U205" i="9"/>
  <c r="W205" i="9" s="1"/>
  <c r="J530" i="9"/>
  <c r="J531" i="9" s="1"/>
  <c r="F553" i="9"/>
  <c r="N474" i="9"/>
  <c r="L204" i="9"/>
  <c r="M204" i="9" s="1"/>
  <c r="U472" i="9"/>
  <c r="N553" i="9"/>
  <c r="T554" i="9"/>
  <c r="T553" i="9" s="1"/>
  <c r="H553" i="9"/>
  <c r="J174" i="9"/>
  <c r="S560" i="9"/>
  <c r="T542" i="9"/>
  <c r="L535" i="9"/>
  <c r="M535" i="9" s="1"/>
  <c r="F536" i="9"/>
  <c r="G485" i="9"/>
  <c r="H485" i="9" s="1"/>
  <c r="I485" i="9" s="1"/>
  <c r="U481" i="9"/>
  <c r="W481" i="9" s="1"/>
  <c r="U471" i="9"/>
  <c r="L241" i="9"/>
  <c r="M242" i="9"/>
  <c r="M241" i="9" s="1"/>
  <c r="U242" i="9"/>
  <c r="L226" i="9"/>
  <c r="M227" i="9"/>
  <c r="M226" i="9" s="1"/>
  <c r="X98" i="9"/>
  <c r="W93" i="9"/>
  <c r="N536" i="9"/>
  <c r="H470" i="9"/>
  <c r="I470" i="9" s="1"/>
  <c r="J470" i="9" s="1"/>
  <c r="K470" i="9" s="1"/>
  <c r="L249" i="9"/>
  <c r="M249" i="9" s="1"/>
  <c r="U406" i="9"/>
  <c r="W406" i="9" s="1"/>
  <c r="U173" i="9"/>
  <c r="W173" i="9" s="1"/>
  <c r="U218" i="9"/>
  <c r="X218" i="9" s="1"/>
  <c r="W461" i="9"/>
  <c r="X466" i="9"/>
  <c r="M398" i="9"/>
  <c r="M397" i="9" s="1"/>
  <c r="L397" i="9"/>
  <c r="L196" i="9"/>
  <c r="M197" i="9"/>
  <c r="M196" i="9" s="1"/>
  <c r="M139" i="9"/>
  <c r="U139" i="9"/>
  <c r="W139" i="9" s="1"/>
  <c r="U552" i="9"/>
  <c r="X559" i="9" s="1"/>
  <c r="L495" i="9"/>
  <c r="K499" i="9"/>
  <c r="K500" i="9" s="1"/>
  <c r="N500" i="9" s="1"/>
  <c r="I192" i="9"/>
  <c r="J192" i="9" s="1"/>
  <c r="K192" i="9" s="1"/>
  <c r="N192" i="9" s="1"/>
  <c r="O192" i="9" s="1"/>
  <c r="W396" i="9"/>
  <c r="X401" i="9"/>
  <c r="T196" i="9"/>
  <c r="U197" i="9"/>
  <c r="W197" i="9" s="1"/>
  <c r="F565" i="9"/>
  <c r="J519" i="9"/>
  <c r="U398" i="9"/>
  <c r="T20" i="8"/>
  <c r="V564" i="8"/>
  <c r="V479" i="8"/>
  <c r="K543" i="8"/>
  <c r="K548" i="8"/>
  <c r="K527" i="8"/>
  <c r="V21" i="8"/>
  <c r="T99" i="8"/>
  <c r="U605" i="8"/>
  <c r="H207" i="8"/>
  <c r="I207" i="8" s="1"/>
  <c r="J207" i="8" s="1"/>
  <c r="K207" i="8" s="1"/>
  <c r="N207" i="8" s="1"/>
  <c r="O207" i="8" s="1"/>
  <c r="P207" i="8" s="1"/>
  <c r="T545" i="8"/>
  <c r="U686" i="8"/>
  <c r="W686" i="8" s="1"/>
  <c r="U208" i="8"/>
  <c r="W208" i="8" s="1"/>
  <c r="L677" i="8"/>
  <c r="M678" i="8"/>
  <c r="M677" i="8" s="1"/>
  <c r="S204" i="8"/>
  <c r="S174" i="8" s="1"/>
  <c r="S206" i="8"/>
  <c r="T202" i="8"/>
  <c r="M95" i="8"/>
  <c r="U95" i="8"/>
  <c r="U468" i="8"/>
  <c r="W468" i="8" s="1"/>
  <c r="L405" i="8"/>
  <c r="M405" i="8" s="1"/>
  <c r="T641" i="8"/>
  <c r="U209" i="8"/>
  <c r="W209" i="8" s="1"/>
  <c r="S172" i="8"/>
  <c r="U678" i="8"/>
  <c r="X683" i="8" s="1"/>
  <c r="T493" i="8"/>
  <c r="U493" i="8" s="1"/>
  <c r="W493" i="8" s="1"/>
  <c r="T534" i="8"/>
  <c r="T517" i="8"/>
  <c r="U430" i="8"/>
  <c r="U429" i="8" s="1"/>
  <c r="T429" i="8"/>
  <c r="M430" i="8"/>
  <c r="M429" i="8" s="1"/>
  <c r="L429" i="8"/>
  <c r="T167" i="8"/>
  <c r="T166" i="8" s="1"/>
  <c r="U250" i="8"/>
  <c r="W250" i="8" s="1"/>
  <c r="U406" i="8"/>
  <c r="W406" i="8" s="1"/>
  <c r="M571" i="8"/>
  <c r="M570" i="8" s="1"/>
  <c r="L570" i="8"/>
  <c r="W491" i="8"/>
  <c r="X496" i="8"/>
  <c r="W245" i="8"/>
  <c r="X245" i="8"/>
  <c r="T241" i="8"/>
  <c r="U242" i="8"/>
  <c r="T570" i="8"/>
  <c r="U571" i="8"/>
  <c r="V553" i="8"/>
  <c r="P484" i="8"/>
  <c r="P479" i="8"/>
  <c r="G483" i="8"/>
  <c r="L477" i="8"/>
  <c r="M368" i="8"/>
  <c r="M367" i="8" s="1"/>
  <c r="L367" i="8"/>
  <c r="X307" i="8"/>
  <c r="W173" i="8"/>
  <c r="S530" i="8"/>
  <c r="V166" i="8"/>
  <c r="J171" i="8"/>
  <c r="J176" i="8"/>
  <c r="F171" i="8"/>
  <c r="L172" i="8"/>
  <c r="F176" i="8"/>
  <c r="F177" i="8" s="1"/>
  <c r="T181" i="8"/>
  <c r="U182" i="8"/>
  <c r="W139" i="8"/>
  <c r="O171" i="8"/>
  <c r="O176" i="8"/>
  <c r="K171" i="8"/>
  <c r="K176" i="8"/>
  <c r="I171" i="8"/>
  <c r="I176" i="8"/>
  <c r="T170" i="8"/>
  <c r="U170" i="8" s="1"/>
  <c r="F166" i="8"/>
  <c r="L167" i="8"/>
  <c r="M480" i="8"/>
  <c r="M479" i="8" s="1"/>
  <c r="P565" i="8"/>
  <c r="L174" i="8"/>
  <c r="M174" i="8" s="1"/>
  <c r="U213" i="8"/>
  <c r="W213" i="8" s="1"/>
  <c r="I192" i="8"/>
  <c r="J192" i="8" s="1"/>
  <c r="K192" i="8" s="1"/>
  <c r="N192" i="8" s="1"/>
  <c r="O192" i="8" s="1"/>
  <c r="P192" i="8" s="1"/>
  <c r="W401" i="8"/>
  <c r="X401" i="8"/>
  <c r="O548" i="8"/>
  <c r="P535" i="8"/>
  <c r="P518" i="8" s="1"/>
  <c r="T629" i="8"/>
  <c r="U629" i="8" s="1"/>
  <c r="G525" i="8"/>
  <c r="K479" i="8"/>
  <c r="K484" i="8"/>
  <c r="X404" i="8"/>
  <c r="W399" i="8"/>
  <c r="U368" i="8"/>
  <c r="T367" i="8"/>
  <c r="X310" i="8"/>
  <c r="H219" i="8"/>
  <c r="H35" i="8" s="1"/>
  <c r="L234" i="8"/>
  <c r="M234" i="8" s="1"/>
  <c r="R171" i="8"/>
  <c r="R176" i="8"/>
  <c r="P171" i="8"/>
  <c r="P176" i="8"/>
  <c r="N171" i="8"/>
  <c r="N176" i="8"/>
  <c r="V190" i="8"/>
  <c r="V175" i="8" s="1"/>
  <c r="V172" i="8"/>
  <c r="V50" i="8" s="1"/>
  <c r="V49" i="8" s="1"/>
  <c r="V186" i="8"/>
  <c r="H171" i="8"/>
  <c r="H176" i="8"/>
  <c r="W140" i="8"/>
  <c r="W138" i="8"/>
  <c r="X143" i="8"/>
  <c r="O174" i="8"/>
  <c r="O35" i="8" s="1"/>
  <c r="T189" i="8"/>
  <c r="U189" i="8" s="1"/>
  <c r="G171" i="8"/>
  <c r="G176" i="8"/>
  <c r="M182" i="8"/>
  <c r="M181" i="8" s="1"/>
  <c r="L181" i="8"/>
  <c r="H611" i="8"/>
  <c r="I611" i="8" s="1"/>
  <c r="J611" i="8" s="1"/>
  <c r="K611" i="8" s="1"/>
  <c r="N611" i="8" s="1"/>
  <c r="O611" i="8" s="1"/>
  <c r="P611" i="8" s="1"/>
  <c r="O221" i="8"/>
  <c r="U214" i="8"/>
  <c r="W214" i="8" s="1"/>
  <c r="U708" i="19"/>
  <c r="M708" i="19"/>
  <c r="M707" i="19" s="1"/>
  <c r="L707" i="19"/>
  <c r="W681" i="19"/>
  <c r="X681" i="19"/>
  <c r="W491" i="19"/>
  <c r="X496" i="19"/>
  <c r="X436" i="19"/>
  <c r="W431" i="19"/>
  <c r="W302" i="19"/>
  <c r="X307" i="19"/>
  <c r="W291" i="19"/>
  <c r="W225" i="19"/>
  <c r="X230" i="19"/>
  <c r="X98" i="19"/>
  <c r="W93" i="19"/>
  <c r="T475" i="19"/>
  <c r="T474" i="19" s="1"/>
  <c r="N474" i="19"/>
  <c r="X310" i="19"/>
  <c r="W305" i="19"/>
  <c r="U242" i="19"/>
  <c r="T241" i="19"/>
  <c r="M235" i="19"/>
  <c r="U235" i="19"/>
  <c r="W235" i="19" s="1"/>
  <c r="M209" i="19"/>
  <c r="U209" i="19"/>
  <c r="W209" i="19" s="1"/>
  <c r="T99" i="19"/>
  <c r="N20" i="19"/>
  <c r="F20" i="19"/>
  <c r="F516" i="19"/>
  <c r="F531" i="19"/>
  <c r="F532" i="19" s="1"/>
  <c r="U465" i="19"/>
  <c r="T464" i="19"/>
  <c r="V175" i="19"/>
  <c r="V220" i="19"/>
  <c r="X294" i="19"/>
  <c r="W294" i="19"/>
  <c r="W293" i="19" s="1"/>
  <c r="U293" i="19"/>
  <c r="W683" i="19"/>
  <c r="U682" i="19"/>
  <c r="H299" i="19"/>
  <c r="I299" i="19" s="1"/>
  <c r="J299" i="19" s="1"/>
  <c r="K299" i="19" s="1"/>
  <c r="G219" i="19"/>
  <c r="W653" i="19"/>
  <c r="W652" i="19" s="1"/>
  <c r="U213" i="19"/>
  <c r="T677" i="19"/>
  <c r="U678" i="19"/>
  <c r="W646" i="19"/>
  <c r="W647" i="19" s="1"/>
  <c r="X651" i="19"/>
  <c r="U647" i="19"/>
  <c r="K560" i="19"/>
  <c r="K544" i="19"/>
  <c r="T578" i="19"/>
  <c r="W476" i="19"/>
  <c r="M460" i="19"/>
  <c r="M459" i="19" s="1"/>
  <c r="L459" i="19"/>
  <c r="U460" i="19"/>
  <c r="U398" i="19"/>
  <c r="T397" i="19"/>
  <c r="T303" i="19"/>
  <c r="U304" i="19"/>
  <c r="X248" i="19"/>
  <c r="W243" i="19"/>
  <c r="W233" i="19"/>
  <c r="X233" i="19"/>
  <c r="W140" i="19"/>
  <c r="W141" i="19" s="1"/>
  <c r="U141" i="19"/>
  <c r="P518" i="19"/>
  <c r="T518" i="19" s="1"/>
  <c r="T535" i="19"/>
  <c r="I518" i="19"/>
  <c r="F517" i="19"/>
  <c r="N484" i="19"/>
  <c r="N479" i="19"/>
  <c r="V494" i="19"/>
  <c r="V498" i="19"/>
  <c r="V480" i="19"/>
  <c r="V479" i="19" s="1"/>
  <c r="V402" i="19"/>
  <c r="V406" i="19"/>
  <c r="W406" i="19" s="1"/>
  <c r="W403" i="19"/>
  <c r="W402" i="19" s="1"/>
  <c r="T478" i="19"/>
  <c r="U478" i="19" s="1"/>
  <c r="W478" i="19" s="1"/>
  <c r="H216" i="19"/>
  <c r="H221" i="19"/>
  <c r="T212" i="19"/>
  <c r="T211" i="19" s="1"/>
  <c r="W203" i="19"/>
  <c r="X203" i="19"/>
  <c r="W168" i="19"/>
  <c r="X143" i="19"/>
  <c r="W227" i="19"/>
  <c r="U226" i="19"/>
  <c r="V544" i="19"/>
  <c r="V637" i="19"/>
  <c r="N543" i="19"/>
  <c r="N527" i="19"/>
  <c r="H470" i="19"/>
  <c r="I470" i="19" s="1"/>
  <c r="J470" i="19" s="1"/>
  <c r="K470" i="19" s="1"/>
  <c r="N470" i="19" s="1"/>
  <c r="O470" i="19" s="1"/>
  <c r="P470" i="19" s="1"/>
  <c r="Q470" i="19" s="1"/>
  <c r="R470" i="19" s="1"/>
  <c r="S470" i="19" s="1"/>
  <c r="L234" i="19"/>
  <c r="M234" i="19" s="1"/>
  <c r="P20" i="19"/>
  <c r="U210" i="19"/>
  <c r="U208" i="19"/>
  <c r="W208" i="19" s="1"/>
  <c r="X170" i="18"/>
  <c r="W165" i="18"/>
  <c r="W651" i="18"/>
  <c r="W652" i="18" s="1"/>
  <c r="U652" i="18"/>
  <c r="X496" i="18"/>
  <c r="W491" i="18"/>
  <c r="U678" i="18"/>
  <c r="T677" i="18"/>
  <c r="J642" i="18"/>
  <c r="F658" i="18"/>
  <c r="F642" i="18"/>
  <c r="W650" i="18"/>
  <c r="X655" i="18"/>
  <c r="W646" i="18"/>
  <c r="W647" i="18" s="1"/>
  <c r="U647" i="18"/>
  <c r="X651" i="18"/>
  <c r="M628" i="18"/>
  <c r="U628" i="18"/>
  <c r="W628" i="18" s="1"/>
  <c r="M552" i="18"/>
  <c r="U552" i="18"/>
  <c r="M550" i="18"/>
  <c r="U550" i="18"/>
  <c r="W511" i="18"/>
  <c r="X511" i="18"/>
  <c r="T489" i="18"/>
  <c r="W463" i="18"/>
  <c r="X463" i="18"/>
  <c r="W458" i="18"/>
  <c r="T437" i="18"/>
  <c r="S407" i="18"/>
  <c r="T403" i="18"/>
  <c r="S405" i="18"/>
  <c r="S360" i="18" s="1"/>
  <c r="T360" i="18" s="1"/>
  <c r="T273" i="18"/>
  <c r="U274" i="18"/>
  <c r="W233" i="18"/>
  <c r="X233" i="18"/>
  <c r="T220" i="18"/>
  <c r="U220" i="18" s="1"/>
  <c r="W220" i="18" s="1"/>
  <c r="N221" i="18"/>
  <c r="G166" i="18"/>
  <c r="S99" i="18"/>
  <c r="S69" i="18" s="1"/>
  <c r="T97" i="18"/>
  <c r="W202" i="18"/>
  <c r="W201" i="18" s="1"/>
  <c r="U201" i="18"/>
  <c r="W95" i="18"/>
  <c r="X95" i="18"/>
  <c r="L281" i="18"/>
  <c r="M281" i="18" s="1"/>
  <c r="W711" i="18"/>
  <c r="U712" i="18"/>
  <c r="L707" i="18"/>
  <c r="M708" i="18"/>
  <c r="M707" i="18" s="1"/>
  <c r="U708" i="18"/>
  <c r="W708" i="18" s="1"/>
  <c r="M686" i="18"/>
  <c r="U686" i="18"/>
  <c r="W686" i="18" s="1"/>
  <c r="N642" i="18"/>
  <c r="H642" i="18"/>
  <c r="V525" i="18"/>
  <c r="M627" i="18"/>
  <c r="U627" i="18"/>
  <c r="W627" i="18" s="1"/>
  <c r="M476" i="18"/>
  <c r="U476" i="18"/>
  <c r="T459" i="18"/>
  <c r="U460" i="18"/>
  <c r="T429" i="18"/>
  <c r="X404" i="18"/>
  <c r="W399" i="18"/>
  <c r="L303" i="18"/>
  <c r="M304" i="18"/>
  <c r="M303" i="18" s="1"/>
  <c r="U304" i="18"/>
  <c r="W276" i="18"/>
  <c r="F166" i="18"/>
  <c r="L167" i="18"/>
  <c r="T175" i="18"/>
  <c r="U175" i="18" s="1"/>
  <c r="W175" i="18" s="1"/>
  <c r="W187" i="18"/>
  <c r="U186" i="18"/>
  <c r="X187" i="18"/>
  <c r="W185" i="18"/>
  <c r="X185" i="18"/>
  <c r="L638" i="18"/>
  <c r="L637" i="18" s="1"/>
  <c r="U513" i="18"/>
  <c r="L405" i="18"/>
  <c r="M405" i="18" s="1"/>
  <c r="T167" i="18"/>
  <c r="W706" i="15"/>
  <c r="L647" i="15"/>
  <c r="M648" i="15"/>
  <c r="M647" i="15" s="1"/>
  <c r="I565" i="15"/>
  <c r="O553" i="15"/>
  <c r="T554" i="15"/>
  <c r="W506" i="15"/>
  <c r="X511" i="15"/>
  <c r="O474" i="15"/>
  <c r="T475" i="15"/>
  <c r="W404" i="15"/>
  <c r="X404" i="15"/>
  <c r="S234" i="15"/>
  <c r="S219" i="15" s="1"/>
  <c r="T232" i="15"/>
  <c r="S217" i="15"/>
  <c r="T217" i="15" s="1"/>
  <c r="O221" i="15"/>
  <c r="O216" i="15"/>
  <c r="H216" i="15"/>
  <c r="H221" i="15"/>
  <c r="W508" i="15"/>
  <c r="W509" i="15" s="1"/>
  <c r="U509" i="15"/>
  <c r="X508" i="15"/>
  <c r="Q166" i="15"/>
  <c r="T167" i="15"/>
  <c r="U185" i="15"/>
  <c r="T186" i="15"/>
  <c r="J166" i="15"/>
  <c r="J171" i="15"/>
  <c r="J176" i="15"/>
  <c r="L212" i="15"/>
  <c r="U212" i="15" s="1"/>
  <c r="W212" i="15" s="1"/>
  <c r="F211" i="15"/>
  <c r="V175" i="15"/>
  <c r="V36" i="15" s="1"/>
  <c r="F174" i="15"/>
  <c r="L167" i="15"/>
  <c r="F688" i="15"/>
  <c r="F642" i="15"/>
  <c r="W603" i="15"/>
  <c r="K565" i="15"/>
  <c r="T561" i="15"/>
  <c r="T560" i="15" s="1"/>
  <c r="N560" i="15"/>
  <c r="M473" i="15"/>
  <c r="W436" i="15"/>
  <c r="X436" i="15"/>
  <c r="M406" i="15"/>
  <c r="U406" i="15"/>
  <c r="W406" i="15" s="1"/>
  <c r="L273" i="15"/>
  <c r="M274" i="15"/>
  <c r="M273" i="15" s="1"/>
  <c r="U274" i="15"/>
  <c r="W247" i="15"/>
  <c r="X247" i="15"/>
  <c r="W228" i="15"/>
  <c r="X233" i="15"/>
  <c r="J216" i="15"/>
  <c r="J221" i="15"/>
  <c r="M213" i="15"/>
  <c r="U213" i="15"/>
  <c r="T578" i="15"/>
  <c r="U578" i="15" s="1"/>
  <c r="X578" i="15" s="1"/>
  <c r="W248" i="15"/>
  <c r="X248" i="15"/>
  <c r="S166" i="15"/>
  <c r="T97" i="15"/>
  <c r="T96" i="15" s="1"/>
  <c r="S101" i="15"/>
  <c r="S99" i="15"/>
  <c r="S69" i="15" s="1"/>
  <c r="W203" i="15"/>
  <c r="X203" i="15"/>
  <c r="L226" i="15"/>
  <c r="U227" i="15"/>
  <c r="M227" i="15"/>
  <c r="M226" i="15" s="1"/>
  <c r="U136" i="15"/>
  <c r="W137" i="15"/>
  <c r="W136" i="15" s="1"/>
  <c r="X142" i="15"/>
  <c r="V171" i="15"/>
  <c r="L564" i="15"/>
  <c r="M564" i="15" s="1"/>
  <c r="I219" i="15"/>
  <c r="I52" i="15" s="1"/>
  <c r="U249" i="15"/>
  <c r="W249" i="15" s="1"/>
  <c r="M635" i="13"/>
  <c r="U635" i="13"/>
  <c r="W635" i="13" s="1"/>
  <c r="M631" i="13"/>
  <c r="M630" i="13" s="1"/>
  <c r="U631" i="13"/>
  <c r="L630" i="13"/>
  <c r="W574" i="13"/>
  <c r="H553" i="13"/>
  <c r="U552" i="13"/>
  <c r="X511" i="13"/>
  <c r="W506" i="13"/>
  <c r="T497" i="13"/>
  <c r="X436" i="13"/>
  <c r="W399" i="13"/>
  <c r="X404" i="13"/>
  <c r="T311" i="13"/>
  <c r="L311" i="13"/>
  <c r="M311" i="13" s="1"/>
  <c r="W243" i="13"/>
  <c r="X248" i="13"/>
  <c r="W240" i="13"/>
  <c r="X245" i="13"/>
  <c r="W233" i="13"/>
  <c r="X233" i="13"/>
  <c r="R216" i="13"/>
  <c r="X218" i="13"/>
  <c r="W213" i="13"/>
  <c r="H166" i="13"/>
  <c r="L167" i="13"/>
  <c r="U167" i="13" s="1"/>
  <c r="L172" i="13"/>
  <c r="H171" i="13"/>
  <c r="T175" i="13"/>
  <c r="U175" i="13" s="1"/>
  <c r="X143" i="13"/>
  <c r="W138" i="13"/>
  <c r="W93" i="13"/>
  <c r="W215" i="13"/>
  <c r="X215" i="13"/>
  <c r="L249" i="13"/>
  <c r="M249" i="13" s="1"/>
  <c r="F219" i="13"/>
  <c r="S171" i="13"/>
  <c r="S176" i="13"/>
  <c r="W190" i="13"/>
  <c r="V175" i="13"/>
  <c r="V171" i="13"/>
  <c r="U202" i="13"/>
  <c r="T201" i="13"/>
  <c r="T166" i="13"/>
  <c r="X280" i="13"/>
  <c r="L20" i="13"/>
  <c r="M20" i="13" s="1"/>
  <c r="H174" i="13"/>
  <c r="T677" i="13"/>
  <c r="U678" i="13"/>
  <c r="X683" i="13" s="1"/>
  <c r="W646" i="13"/>
  <c r="M641" i="13"/>
  <c r="M634" i="13"/>
  <c r="U634" i="13"/>
  <c r="M609" i="13"/>
  <c r="U609" i="13"/>
  <c r="W609" i="13" s="1"/>
  <c r="Q546" i="13"/>
  <c r="Q529" i="13" s="1"/>
  <c r="T578" i="13"/>
  <c r="M559" i="13"/>
  <c r="U559" i="13"/>
  <c r="W559" i="13" s="1"/>
  <c r="M551" i="13"/>
  <c r="U551" i="13"/>
  <c r="X496" i="13"/>
  <c r="W491" i="13"/>
  <c r="L459" i="13"/>
  <c r="M460" i="13"/>
  <c r="M459" i="13" s="1"/>
  <c r="U460" i="13"/>
  <c r="W369" i="13"/>
  <c r="X374" i="13"/>
  <c r="U304" i="13"/>
  <c r="T303" i="13"/>
  <c r="N216" i="13"/>
  <c r="T217" i="13"/>
  <c r="T216" i="13" s="1"/>
  <c r="F221" i="13"/>
  <c r="F222" i="13" s="1"/>
  <c r="F216" i="13"/>
  <c r="L204" i="13"/>
  <c r="M204" i="13" s="1"/>
  <c r="F174" i="13"/>
  <c r="L189" i="13"/>
  <c r="M189" i="13" s="1"/>
  <c r="V543" i="13"/>
  <c r="V527" i="13"/>
  <c r="V526" i="13" s="1"/>
  <c r="T186" i="13"/>
  <c r="U187" i="13"/>
  <c r="W165" i="13"/>
  <c r="X173" i="13"/>
  <c r="K565" i="13"/>
  <c r="T220" i="13"/>
  <c r="U220" i="13" s="1"/>
  <c r="N207" i="13"/>
  <c r="H176" i="13"/>
  <c r="H177" i="13" s="1"/>
  <c r="I177" i="13" s="1"/>
  <c r="H192" i="13"/>
  <c r="I192" i="13" s="1"/>
  <c r="J192" i="13" s="1"/>
  <c r="K192" i="13" s="1"/>
  <c r="N192" i="13" s="1"/>
  <c r="S174" i="13"/>
  <c r="L212" i="13"/>
  <c r="W599" i="11"/>
  <c r="W503" i="11"/>
  <c r="X508" i="11"/>
  <c r="W463" i="11"/>
  <c r="W464" i="11" s="1"/>
  <c r="U464" i="11"/>
  <c r="W371" i="11"/>
  <c r="X188" i="11"/>
  <c r="W183" i="11"/>
  <c r="W135" i="11"/>
  <c r="V716" i="11"/>
  <c r="W716" i="11" s="1"/>
  <c r="V712" i="11"/>
  <c r="N640" i="11"/>
  <c r="N546" i="11" s="1"/>
  <c r="T685" i="11"/>
  <c r="T655" i="11"/>
  <c r="O640" i="11"/>
  <c r="G637" i="11"/>
  <c r="G544" i="11"/>
  <c r="L638" i="11"/>
  <c r="L535" i="11"/>
  <c r="M535" i="11" s="1"/>
  <c r="M656" i="11"/>
  <c r="U656" i="11"/>
  <c r="W656" i="11" s="1"/>
  <c r="X496" i="11"/>
  <c r="W496" i="11"/>
  <c r="W458" i="11"/>
  <c r="X463" i="11"/>
  <c r="W310" i="11"/>
  <c r="X310" i="11"/>
  <c r="T281" i="11"/>
  <c r="W272" i="11"/>
  <c r="X277" i="11"/>
  <c r="Q219" i="11"/>
  <c r="Q52" i="11" s="1"/>
  <c r="O219" i="11"/>
  <c r="S249" i="11"/>
  <c r="T247" i="11"/>
  <c r="S251" i="11"/>
  <c r="I211" i="11"/>
  <c r="S236" i="11"/>
  <c r="S234" i="11"/>
  <c r="T232" i="11"/>
  <c r="S217" i="11"/>
  <c r="S50" i="11" s="1"/>
  <c r="X215" i="11"/>
  <c r="W213" i="11"/>
  <c r="X218" i="11"/>
  <c r="X203" i="11"/>
  <c r="W198" i="11"/>
  <c r="W185" i="11"/>
  <c r="G166" i="11"/>
  <c r="I176" i="11"/>
  <c r="I171" i="11"/>
  <c r="L405" i="11"/>
  <c r="M405" i="11" s="1"/>
  <c r="H520" i="11"/>
  <c r="H536" i="11"/>
  <c r="U241" i="11"/>
  <c r="W242" i="11"/>
  <c r="X511" i="11"/>
  <c r="R546" i="11"/>
  <c r="R529" i="11" s="1"/>
  <c r="H688" i="11"/>
  <c r="I688" i="11" s="1"/>
  <c r="J688" i="11" s="1"/>
  <c r="K688" i="11" s="1"/>
  <c r="N688" i="11" s="1"/>
  <c r="O688" i="11" s="1"/>
  <c r="J642" i="11"/>
  <c r="Q637" i="11"/>
  <c r="W173" i="11"/>
  <c r="T483" i="11"/>
  <c r="U490" i="11"/>
  <c r="U489" i="11" s="1"/>
  <c r="X233" i="11"/>
  <c r="U627" i="11"/>
  <c r="W627" i="11" s="1"/>
  <c r="T600" i="11"/>
  <c r="U601" i="11"/>
  <c r="X606" i="11" s="1"/>
  <c r="T570" i="11"/>
  <c r="W508" i="11"/>
  <c r="W509" i="11" s="1"/>
  <c r="U509" i="11"/>
  <c r="L504" i="11"/>
  <c r="U505" i="11"/>
  <c r="M505" i="11"/>
  <c r="M504" i="11" s="1"/>
  <c r="W466" i="11"/>
  <c r="X466" i="11"/>
  <c r="W460" i="11"/>
  <c r="X465" i="11"/>
  <c r="U459" i="11"/>
  <c r="W374" i="11"/>
  <c r="X374" i="11"/>
  <c r="G640" i="11"/>
  <c r="G546" i="11" s="1"/>
  <c r="L655" i="11"/>
  <c r="M655" i="11" s="1"/>
  <c r="X230" i="11"/>
  <c r="W230" i="11"/>
  <c r="N176" i="11"/>
  <c r="T175" i="11"/>
  <c r="Q548" i="11"/>
  <c r="Q527" i="11"/>
  <c r="Q543" i="11"/>
  <c r="K637" i="11"/>
  <c r="K544" i="11"/>
  <c r="M629" i="11"/>
  <c r="U629" i="11"/>
  <c r="X636" i="11" s="1"/>
  <c r="T608" i="11"/>
  <c r="L685" i="11"/>
  <c r="M685" i="11" s="1"/>
  <c r="F640" i="11"/>
  <c r="W680" i="11"/>
  <c r="L647" i="11"/>
  <c r="U648" i="11"/>
  <c r="X653" i="11" s="1"/>
  <c r="M648" i="11"/>
  <c r="M647" i="11" s="1"/>
  <c r="T475" i="11"/>
  <c r="T474" i="11" s="1"/>
  <c r="W307" i="11"/>
  <c r="X307" i="11"/>
  <c r="L281" i="11"/>
  <c r="M281" i="11" s="1"/>
  <c r="L273" i="11"/>
  <c r="M274" i="11"/>
  <c r="M273" i="11" s="1"/>
  <c r="U274" i="11"/>
  <c r="W243" i="11"/>
  <c r="X248" i="11"/>
  <c r="T226" i="11"/>
  <c r="U227" i="11"/>
  <c r="L226" i="11"/>
  <c r="M227" i="11"/>
  <c r="M226" i="11" s="1"/>
  <c r="O221" i="11"/>
  <c r="F211" i="11"/>
  <c r="L212" i="11"/>
  <c r="U182" i="11"/>
  <c r="T181" i="11"/>
  <c r="W98" i="11"/>
  <c r="X98" i="11"/>
  <c r="M631" i="11"/>
  <c r="W197" i="11"/>
  <c r="W196" i="11" s="1"/>
  <c r="X202" i="11"/>
  <c r="U196" i="11"/>
  <c r="J546" i="11"/>
  <c r="J529" i="11" s="1"/>
  <c r="U641" i="11"/>
  <c r="W641" i="11" s="1"/>
  <c r="N642" i="11"/>
  <c r="L249" i="11"/>
  <c r="M249" i="11" s="1"/>
  <c r="U635" i="11"/>
  <c r="U605" i="11"/>
  <c r="T547" i="11"/>
  <c r="X185" i="11"/>
  <c r="T638" i="11"/>
  <c r="W476" i="9"/>
  <c r="U473" i="9"/>
  <c r="W473" i="9" s="1"/>
  <c r="U460" i="9"/>
  <c r="T459" i="9"/>
  <c r="X436" i="9"/>
  <c r="W431" i="9"/>
  <c r="L429" i="9"/>
  <c r="M430" i="9"/>
  <c r="M429" i="9" s="1"/>
  <c r="W399" i="9"/>
  <c r="X404" i="9"/>
  <c r="X374" i="9"/>
  <c r="W369" i="9"/>
  <c r="X203" i="9"/>
  <c r="W198" i="9"/>
  <c r="X188" i="9"/>
  <c r="W183" i="9"/>
  <c r="T91" i="9"/>
  <c r="I216" i="9"/>
  <c r="I221" i="9"/>
  <c r="H221" i="9"/>
  <c r="I174" i="9"/>
  <c r="L189" i="9"/>
  <c r="M189" i="9" s="1"/>
  <c r="L167" i="9"/>
  <c r="K219" i="9"/>
  <c r="N211" i="9"/>
  <c r="T212" i="9"/>
  <c r="K171" i="9"/>
  <c r="K176" i="9"/>
  <c r="G176" i="9"/>
  <c r="G177" i="9" s="1"/>
  <c r="H177" i="9" s="1"/>
  <c r="G171" i="9"/>
  <c r="L172" i="9"/>
  <c r="X185" i="9"/>
  <c r="W185" i="9"/>
  <c r="M170" i="9"/>
  <c r="U170" i="9"/>
  <c r="V96" i="9"/>
  <c r="V100" i="9"/>
  <c r="L217" i="9"/>
  <c r="L216" i="9" s="1"/>
  <c r="N221" i="9"/>
  <c r="U145" i="9"/>
  <c r="X511" i="9"/>
  <c r="W506" i="9"/>
  <c r="X496" i="9"/>
  <c r="W491" i="9"/>
  <c r="T429" i="9"/>
  <c r="U430" i="9"/>
  <c r="W430" i="9" s="1"/>
  <c r="T375" i="9"/>
  <c r="X233" i="9"/>
  <c r="W233" i="9"/>
  <c r="V171" i="9"/>
  <c r="X143" i="9"/>
  <c r="W138" i="9"/>
  <c r="W195" i="9"/>
  <c r="X200" i="9"/>
  <c r="Q176" i="9"/>
  <c r="Q171" i="9"/>
  <c r="H219" i="9"/>
  <c r="H52" i="9" s="1"/>
  <c r="L234" i="9"/>
  <c r="M234" i="9" s="1"/>
  <c r="M182" i="9"/>
  <c r="M181" i="9" s="1"/>
  <c r="U182" i="9"/>
  <c r="L181" i="9"/>
  <c r="U227" i="9"/>
  <c r="T226" i="9"/>
  <c r="S204" i="9"/>
  <c r="T204" i="9" s="1"/>
  <c r="S206" i="9"/>
  <c r="T202" i="9"/>
  <c r="S172" i="9"/>
  <c r="S191" i="9"/>
  <c r="S189" i="9"/>
  <c r="T189" i="9" s="1"/>
  <c r="T187" i="9"/>
  <c r="I565" i="9"/>
  <c r="U169" i="9"/>
  <c r="W169" i="9" s="1"/>
  <c r="U214" i="9"/>
  <c r="W214" i="9" s="1"/>
  <c r="I207" i="9"/>
  <c r="J207" i="9" s="1"/>
  <c r="K207" i="9" s="1"/>
  <c r="N207" i="9" s="1"/>
  <c r="O207" i="9" s="1"/>
  <c r="X604" i="8"/>
  <c r="W599" i="8"/>
  <c r="J565" i="8"/>
  <c r="W573" i="8"/>
  <c r="M561" i="8"/>
  <c r="M560" i="8" s="1"/>
  <c r="M558" i="8"/>
  <c r="U558" i="8"/>
  <c r="M551" i="8"/>
  <c r="U551" i="8"/>
  <c r="M523" i="8"/>
  <c r="W506" i="8"/>
  <c r="X511" i="8"/>
  <c r="K482" i="8"/>
  <c r="M476" i="8"/>
  <c r="U476" i="8"/>
  <c r="M472" i="8"/>
  <c r="U472" i="8"/>
  <c r="T437" i="8"/>
  <c r="W431" i="8"/>
  <c r="X436" i="8"/>
  <c r="W428" i="8"/>
  <c r="L397" i="8"/>
  <c r="U398" i="8"/>
  <c r="M398" i="8"/>
  <c r="M397" i="8" s="1"/>
  <c r="W369" i="8"/>
  <c r="X374" i="8"/>
  <c r="X203" i="8"/>
  <c r="W198" i="8"/>
  <c r="X277" i="8"/>
  <c r="W248" i="8"/>
  <c r="X248" i="8"/>
  <c r="M218" i="8"/>
  <c r="U218" i="8"/>
  <c r="W195" i="8"/>
  <c r="X200" i="8"/>
  <c r="W185" i="8"/>
  <c r="X185" i="8"/>
  <c r="T136" i="8"/>
  <c r="W93" i="8"/>
  <c r="X98" i="8"/>
  <c r="V220" i="8"/>
  <c r="W235" i="8"/>
  <c r="W187" i="8"/>
  <c r="W186" i="8" s="1"/>
  <c r="U186" i="8"/>
  <c r="X187" i="8"/>
  <c r="W683" i="8"/>
  <c r="W682" i="8" s="1"/>
  <c r="U682" i="8"/>
  <c r="U627" i="8"/>
  <c r="T608" i="8"/>
  <c r="U608" i="8" s="1"/>
  <c r="H560" i="8"/>
  <c r="L554" i="8"/>
  <c r="U554" i="8" s="1"/>
  <c r="L600" i="8"/>
  <c r="M601" i="8"/>
  <c r="M600" i="8" s="1"/>
  <c r="U601" i="8"/>
  <c r="N565" i="8"/>
  <c r="F581" i="8"/>
  <c r="F565" i="8"/>
  <c r="M562" i="8"/>
  <c r="U562" i="8"/>
  <c r="W562" i="8" s="1"/>
  <c r="M557" i="8"/>
  <c r="U557" i="8"/>
  <c r="W557" i="8" s="1"/>
  <c r="M550" i="8"/>
  <c r="U550" i="8"/>
  <c r="M471" i="8"/>
  <c r="U471" i="8"/>
  <c r="L459" i="8"/>
  <c r="U460" i="8"/>
  <c r="M460" i="8"/>
  <c r="M459" i="8" s="1"/>
  <c r="W432" i="8"/>
  <c r="S405" i="8"/>
  <c r="T403" i="8"/>
  <c r="S407" i="8"/>
  <c r="L518" i="8"/>
  <c r="M518" i="8" s="1"/>
  <c r="L535" i="8"/>
  <c r="L563" i="8"/>
  <c r="L578" i="8"/>
  <c r="W574" i="8"/>
  <c r="W575" i="8" s="1"/>
  <c r="X574" i="8"/>
  <c r="T553" i="8"/>
  <c r="X188" i="8"/>
  <c r="W183" i="8"/>
  <c r="X280" i="8"/>
  <c r="L226" i="8"/>
  <c r="M227" i="8"/>
  <c r="M226" i="8" s="1"/>
  <c r="U227" i="8"/>
  <c r="L196" i="8"/>
  <c r="U197" i="8"/>
  <c r="M197" i="8"/>
  <c r="M196" i="8" s="1"/>
  <c r="U247" i="8"/>
  <c r="T246" i="8"/>
  <c r="X466" i="8"/>
  <c r="L497" i="8"/>
  <c r="U215" i="8"/>
  <c r="X233" i="8"/>
  <c r="U575" i="8"/>
  <c r="N20" i="7"/>
  <c r="I211" i="7"/>
  <c r="M165" i="7"/>
  <c r="U165" i="7"/>
  <c r="W165" i="7" s="1"/>
  <c r="T220" i="7"/>
  <c r="U220" i="7" s="1"/>
  <c r="W646" i="7"/>
  <c r="W647" i="7" s="1"/>
  <c r="I470" i="7"/>
  <c r="J470" i="7" s="1"/>
  <c r="K470" i="7" s="1"/>
  <c r="N470" i="7" s="1"/>
  <c r="O470" i="7" s="1"/>
  <c r="P470" i="7" s="1"/>
  <c r="Q470" i="7" s="1"/>
  <c r="R470" i="7" s="1"/>
  <c r="T517" i="7"/>
  <c r="U517" i="7" s="1"/>
  <c r="U197" i="7"/>
  <c r="U196" i="7" s="1"/>
  <c r="V211" i="7"/>
  <c r="K211" i="7"/>
  <c r="U551" i="7"/>
  <c r="U209" i="7"/>
  <c r="W209" i="7" s="1"/>
  <c r="G102" i="7"/>
  <c r="H102" i="7" s="1"/>
  <c r="I102" i="7" s="1"/>
  <c r="J102" i="7" s="1"/>
  <c r="K102" i="7" s="1"/>
  <c r="N102" i="7" s="1"/>
  <c r="O102" i="7" s="1"/>
  <c r="P102" i="7" s="1"/>
  <c r="Q102" i="7" s="1"/>
  <c r="R102" i="7" s="1"/>
  <c r="L100" i="7"/>
  <c r="M100" i="7" s="1"/>
  <c r="N526" i="7"/>
  <c r="N531" i="7"/>
  <c r="U476" i="7"/>
  <c r="W476" i="7" s="1"/>
  <c r="U639" i="7"/>
  <c r="W639" i="7" s="1"/>
  <c r="T534" i="7"/>
  <c r="U534" i="7" s="1"/>
  <c r="G658" i="7"/>
  <c r="H658" i="7" s="1"/>
  <c r="I658" i="7" s="1"/>
  <c r="W629" i="7"/>
  <c r="W369" i="7"/>
  <c r="U579" i="7"/>
  <c r="W579" i="7" s="1"/>
  <c r="H284" i="7"/>
  <c r="I284" i="7" s="1"/>
  <c r="J284" i="7" s="1"/>
  <c r="K284" i="7" s="1"/>
  <c r="N284" i="7" s="1"/>
  <c r="O284" i="7" s="1"/>
  <c r="P284" i="7" s="1"/>
  <c r="Q284" i="7" s="1"/>
  <c r="R284" i="7" s="1"/>
  <c r="U250" i="7"/>
  <c r="W272" i="7"/>
  <c r="W242" i="7"/>
  <c r="X247" i="7"/>
  <c r="H252" i="7"/>
  <c r="I252" i="7" s="1"/>
  <c r="J252" i="7" s="1"/>
  <c r="K252" i="7" s="1"/>
  <c r="N252" i="7" s="1"/>
  <c r="O252" i="7" s="1"/>
  <c r="P252" i="7" s="1"/>
  <c r="Q252" i="7" s="1"/>
  <c r="R252" i="7" s="1"/>
  <c r="S252" i="7" s="1"/>
  <c r="W678" i="7"/>
  <c r="I519" i="7"/>
  <c r="I192" i="7"/>
  <c r="J192" i="7" s="1"/>
  <c r="K192" i="7" s="1"/>
  <c r="N192" i="7" s="1"/>
  <c r="O192" i="7" s="1"/>
  <c r="P192" i="7" s="1"/>
  <c r="Q192" i="7" s="1"/>
  <c r="R192" i="7" s="1"/>
  <c r="G630" i="7"/>
  <c r="Q484" i="7"/>
  <c r="Q479" i="7"/>
  <c r="T707" i="7"/>
  <c r="U708" i="7"/>
  <c r="V560" i="7"/>
  <c r="V542" i="7"/>
  <c r="V525" i="7" s="1"/>
  <c r="S204" i="7"/>
  <c r="S206" i="7"/>
  <c r="T202" i="7"/>
  <c r="N536" i="7"/>
  <c r="N519" i="7"/>
  <c r="L467" i="7"/>
  <c r="M467" i="7" s="1"/>
  <c r="I20" i="7"/>
  <c r="U481" i="7"/>
  <c r="K637" i="7"/>
  <c r="L638" i="7"/>
  <c r="L459" i="7"/>
  <c r="M460" i="7"/>
  <c r="M459" i="7" s="1"/>
  <c r="U460" i="7"/>
  <c r="W460" i="7" s="1"/>
  <c r="W233" i="7"/>
  <c r="X233" i="7"/>
  <c r="W681" i="7"/>
  <c r="W274" i="7"/>
  <c r="X279" i="7"/>
  <c r="U273" i="7"/>
  <c r="S20" i="7"/>
  <c r="X188" i="7"/>
  <c r="L204" i="7"/>
  <c r="M204" i="7" s="1"/>
  <c r="V682" i="7"/>
  <c r="V686" i="7"/>
  <c r="V638" i="7"/>
  <c r="S580" i="7"/>
  <c r="S565" i="7" s="1"/>
  <c r="S578" i="7"/>
  <c r="S501" i="23" s="1"/>
  <c r="S486" i="23" s="1"/>
  <c r="U507" i="7"/>
  <c r="W507" i="7" s="1"/>
  <c r="M507" i="7"/>
  <c r="K530" i="7"/>
  <c r="Q171" i="7"/>
  <c r="I174" i="7"/>
  <c r="L167" i="7"/>
  <c r="U167" i="7" s="1"/>
  <c r="F166" i="7"/>
  <c r="P543" i="7"/>
  <c r="L631" i="7"/>
  <c r="K630" i="7"/>
  <c r="S405" i="7"/>
  <c r="S407" i="7"/>
  <c r="S408" i="7" s="1"/>
  <c r="T403" i="7"/>
  <c r="U403" i="7" s="1"/>
  <c r="W403" i="7" s="1"/>
  <c r="S311" i="7"/>
  <c r="T311" i="7" s="1"/>
  <c r="S313" i="7"/>
  <c r="V282" i="7"/>
  <c r="V278" i="7"/>
  <c r="W279" i="7"/>
  <c r="Q211" i="7"/>
  <c r="F211" i="7"/>
  <c r="L212" i="7"/>
  <c r="S191" i="7"/>
  <c r="S172" i="7"/>
  <c r="Q630" i="7"/>
  <c r="T600" i="7"/>
  <c r="G528" i="7"/>
  <c r="L545" i="7"/>
  <c r="M545" i="7" s="1"/>
  <c r="W496" i="7"/>
  <c r="X496" i="7"/>
  <c r="T397" i="7"/>
  <c r="U398" i="7"/>
  <c r="W310" i="7"/>
  <c r="X310" i="7"/>
  <c r="W676" i="7"/>
  <c r="X681" i="7"/>
  <c r="U677" i="7"/>
  <c r="O630" i="7"/>
  <c r="T631" i="7"/>
  <c r="W511" i="7"/>
  <c r="X511" i="7"/>
  <c r="T186" i="7"/>
  <c r="U187" i="7"/>
  <c r="T175" i="7"/>
  <c r="U175" i="7" s="1"/>
  <c r="N176" i="7"/>
  <c r="T533" i="7"/>
  <c r="U533" i="7" s="1"/>
  <c r="T516" i="7"/>
  <c r="U516" i="7" s="1"/>
  <c r="T504" i="7"/>
  <c r="M472" i="7"/>
  <c r="U472" i="7"/>
  <c r="W461" i="7"/>
  <c r="X466" i="7"/>
  <c r="W404" i="7"/>
  <c r="X404" i="7"/>
  <c r="T303" i="7"/>
  <c r="U304" i="7"/>
  <c r="X248" i="7"/>
  <c r="W243" i="7"/>
  <c r="M218" i="7"/>
  <c r="U218" i="7"/>
  <c r="O640" i="7"/>
  <c r="S467" i="7"/>
  <c r="S469" i="7"/>
  <c r="T465" i="7"/>
  <c r="M513" i="7"/>
  <c r="U513" i="7"/>
  <c r="W513" i="7" s="1"/>
  <c r="L376" i="7"/>
  <c r="H377" i="7"/>
  <c r="H378" i="7" s="1"/>
  <c r="I378" i="7" s="1"/>
  <c r="J378" i="7" s="1"/>
  <c r="K378" i="7" s="1"/>
  <c r="N378" i="7" s="1"/>
  <c r="O378" i="7" s="1"/>
  <c r="P378" i="7" s="1"/>
  <c r="Q378" i="7" s="1"/>
  <c r="R378" i="7" s="1"/>
  <c r="S378" i="7" s="1"/>
  <c r="P479" i="7"/>
  <c r="P484" i="7"/>
  <c r="S497" i="7"/>
  <c r="T495" i="7"/>
  <c r="S499" i="7"/>
  <c r="S480" i="7"/>
  <c r="H216" i="7"/>
  <c r="V246" i="7"/>
  <c r="V250" i="7"/>
  <c r="V217" i="7"/>
  <c r="V216" i="7" s="1"/>
  <c r="W247" i="7"/>
  <c r="W246" i="7" s="1"/>
  <c r="K171" i="7"/>
  <c r="K176" i="7"/>
  <c r="L172" i="7"/>
  <c r="L181" i="7"/>
  <c r="M182" i="7"/>
  <c r="M181" i="7" s="1"/>
  <c r="U182" i="7"/>
  <c r="H642" i="7"/>
  <c r="F688" i="7"/>
  <c r="F642" i="7"/>
  <c r="P536" i="7"/>
  <c r="P519" i="7"/>
  <c r="L405" i="7"/>
  <c r="M405" i="7" s="1"/>
  <c r="W307" i="7"/>
  <c r="X307" i="7"/>
  <c r="P166" i="7"/>
  <c r="G166" i="7"/>
  <c r="T141" i="7"/>
  <c r="U140" i="7"/>
  <c r="X140" i="7" s="1"/>
  <c r="Q314" i="7"/>
  <c r="R314" i="7" s="1"/>
  <c r="X280" i="7"/>
  <c r="Q530" i="7"/>
  <c r="L535" i="7"/>
  <c r="M535" i="7" s="1"/>
  <c r="X200" i="7"/>
  <c r="I536" i="7"/>
  <c r="T309" i="7"/>
  <c r="T641" i="7"/>
  <c r="U641" i="7" s="1"/>
  <c r="T528" i="7"/>
  <c r="U190" i="7"/>
  <c r="W190" i="7" s="1"/>
  <c r="U215" i="7"/>
  <c r="T545" i="7"/>
  <c r="U545" i="7" s="1"/>
  <c r="W545" i="7" s="1"/>
  <c r="H611" i="7"/>
  <c r="I611" i="7" s="1"/>
  <c r="J611" i="7" s="1"/>
  <c r="K611" i="7" s="1"/>
  <c r="N611" i="7" s="1"/>
  <c r="O611" i="7" s="1"/>
  <c r="P611" i="7" s="1"/>
  <c r="Q611" i="7" s="1"/>
  <c r="R611" i="7" s="1"/>
  <c r="S611" i="7" s="1"/>
  <c r="T91" i="7"/>
  <c r="U477" i="19"/>
  <c r="W477" i="19" s="1"/>
  <c r="U498" i="15"/>
  <c r="W498" i="15" s="1"/>
  <c r="U498" i="9"/>
  <c r="W498" i="9" s="1"/>
  <c r="W370" i="8"/>
  <c r="V637" i="8"/>
  <c r="V544" i="8"/>
  <c r="M477" i="15"/>
  <c r="W428" i="18"/>
  <c r="W473" i="7"/>
  <c r="U181" i="19"/>
  <c r="W182" i="19"/>
  <c r="W181" i="19" s="1"/>
  <c r="X371" i="19"/>
  <c r="W366" i="19"/>
  <c r="X374" i="19"/>
  <c r="W369" i="19"/>
  <c r="M497" i="18"/>
  <c r="W493" i="18"/>
  <c r="X493" i="18"/>
  <c r="W488" i="18"/>
  <c r="W433" i="18"/>
  <c r="X433" i="18"/>
  <c r="L437" i="18"/>
  <c r="L434" i="18"/>
  <c r="U435" i="18"/>
  <c r="M435" i="18"/>
  <c r="M434" i="18" s="1"/>
  <c r="I526" i="8"/>
  <c r="I531" i="8"/>
  <c r="F688" i="8"/>
  <c r="T685" i="8"/>
  <c r="W473" i="8"/>
  <c r="W488" i="8"/>
  <c r="L437" i="7"/>
  <c r="M559" i="7"/>
  <c r="U559" i="7"/>
  <c r="X559" i="7" s="1"/>
  <c r="W574" i="7"/>
  <c r="W569" i="7"/>
  <c r="W508" i="7"/>
  <c r="W488" i="7"/>
  <c r="X493" i="7"/>
  <c r="W90" i="7"/>
  <c r="M535" i="15"/>
  <c r="W651" i="15"/>
  <c r="W653" i="13"/>
  <c r="W652" i="13" s="1"/>
  <c r="U652" i="13"/>
  <c r="M638" i="13"/>
  <c r="M637" i="13" s="1"/>
  <c r="W493" i="13"/>
  <c r="X371" i="13"/>
  <c r="W366" i="13"/>
  <c r="W488" i="11"/>
  <c r="X493" i="11"/>
  <c r="W366" i="11"/>
  <c r="X95" i="11"/>
  <c r="L375" i="9"/>
  <c r="W428" i="9"/>
  <c r="S101" i="13"/>
  <c r="T97" i="13"/>
  <c r="S99" i="13"/>
  <c r="W599" i="19"/>
  <c r="W711" i="11"/>
  <c r="R642" i="19"/>
  <c r="N642" i="19"/>
  <c r="H642" i="19"/>
  <c r="M493" i="19"/>
  <c r="M494" i="19" s="1"/>
  <c r="L494" i="19"/>
  <c r="G642" i="19"/>
  <c r="G658" i="19"/>
  <c r="M467" i="19"/>
  <c r="U467" i="19"/>
  <c r="T405" i="19"/>
  <c r="S377" i="19"/>
  <c r="S375" i="19"/>
  <c r="S360" i="19" s="1"/>
  <c r="T360" i="19" s="1"/>
  <c r="T373" i="19"/>
  <c r="W574" i="19"/>
  <c r="O219" i="19"/>
  <c r="K221" i="19"/>
  <c r="K216" i="19"/>
  <c r="G221" i="19"/>
  <c r="G222" i="19" s="1"/>
  <c r="G216" i="19"/>
  <c r="L217" i="19"/>
  <c r="M428" i="19"/>
  <c r="P642" i="19"/>
  <c r="J642" i="19"/>
  <c r="F688" i="19"/>
  <c r="F642" i="19"/>
  <c r="S642" i="19"/>
  <c r="K642" i="19"/>
  <c r="I578" i="19"/>
  <c r="I563" i="19" s="1"/>
  <c r="I580" i="19"/>
  <c r="L576" i="19"/>
  <c r="M508" i="19"/>
  <c r="U508" i="19"/>
  <c r="U493" i="19"/>
  <c r="S437" i="19"/>
  <c r="S422" i="19" s="1"/>
  <c r="S439" i="19"/>
  <c r="Q216" i="19"/>
  <c r="Q221" i="19"/>
  <c r="I221" i="19"/>
  <c r="I216" i="19"/>
  <c r="P176" i="19"/>
  <c r="P171" i="19"/>
  <c r="H175" i="19"/>
  <c r="L169" i="19"/>
  <c r="L99" i="19"/>
  <c r="G642" i="18"/>
  <c r="G688" i="18"/>
  <c r="R637" i="18"/>
  <c r="R544" i="18"/>
  <c r="N637" i="18"/>
  <c r="T638" i="18"/>
  <c r="N544" i="18"/>
  <c r="K544" i="18"/>
  <c r="K560" i="18"/>
  <c r="N536" i="18"/>
  <c r="N520" i="18"/>
  <c r="N522" i="18" s="1"/>
  <c r="T537" i="18"/>
  <c r="F518" i="18"/>
  <c r="F536" i="18"/>
  <c r="L535" i="18"/>
  <c r="M535" i="18" s="1"/>
  <c r="F516" i="18"/>
  <c r="L516" i="18" s="1"/>
  <c r="M516" i="18" s="1"/>
  <c r="L533" i="18"/>
  <c r="K482" i="18"/>
  <c r="J479" i="18"/>
  <c r="J484" i="18"/>
  <c r="N474" i="18"/>
  <c r="T475" i="18"/>
  <c r="T685" i="18"/>
  <c r="T608" i="18"/>
  <c r="V509" i="18"/>
  <c r="M432" i="18"/>
  <c r="U432" i="18"/>
  <c r="W396" i="18"/>
  <c r="X401" i="18"/>
  <c r="N174" i="18"/>
  <c r="N52" i="18" s="1"/>
  <c r="T189" i="18"/>
  <c r="N171" i="18"/>
  <c r="N176" i="18"/>
  <c r="T172" i="18"/>
  <c r="F20" i="18"/>
  <c r="H642" i="15"/>
  <c r="X651" i="15"/>
  <c r="W646" i="15"/>
  <c r="N637" i="15"/>
  <c r="N544" i="15"/>
  <c r="T638" i="15"/>
  <c r="L631" i="15"/>
  <c r="F630" i="15"/>
  <c r="I560" i="15"/>
  <c r="L561" i="15"/>
  <c r="Q520" i="15"/>
  <c r="Q522" i="15" s="1"/>
  <c r="Q536" i="15"/>
  <c r="R530" i="15"/>
  <c r="N530" i="15"/>
  <c r="H530" i="15"/>
  <c r="T437" i="15"/>
  <c r="T405" i="15"/>
  <c r="L311" i="15"/>
  <c r="M311" i="15" s="1"/>
  <c r="T281" i="15"/>
  <c r="U281" i="15" s="1"/>
  <c r="G219" i="15"/>
  <c r="G52" i="15" s="1"/>
  <c r="L234" i="15"/>
  <c r="M234" i="15" s="1"/>
  <c r="K221" i="15"/>
  <c r="K216" i="15"/>
  <c r="V211" i="15"/>
  <c r="H174" i="15"/>
  <c r="L189" i="15"/>
  <c r="H176" i="15"/>
  <c r="H171" i="15"/>
  <c r="L172" i="15"/>
  <c r="M212" i="19"/>
  <c r="M211" i="19" s="1"/>
  <c r="L211" i="19"/>
  <c r="J640" i="15"/>
  <c r="J546" i="15" s="1"/>
  <c r="J529" i="15" s="1"/>
  <c r="L655" i="15"/>
  <c r="W306" i="15"/>
  <c r="W244" i="15"/>
  <c r="M220" i="18"/>
  <c r="T647" i="15"/>
  <c r="U648" i="15"/>
  <c r="S530" i="15"/>
  <c r="M219" i="18"/>
  <c r="M145" i="15"/>
  <c r="U145" i="15"/>
  <c r="T638" i="13"/>
  <c r="T561" i="13"/>
  <c r="L534" i="13"/>
  <c r="L517" i="13"/>
  <c r="M517" i="13" s="1"/>
  <c r="H530" i="13"/>
  <c r="L524" i="13"/>
  <c r="M524" i="13" s="1"/>
  <c r="R479" i="13"/>
  <c r="R484" i="13"/>
  <c r="V474" i="13"/>
  <c r="T467" i="13"/>
  <c r="T405" i="13"/>
  <c r="L405" i="13"/>
  <c r="M405" i="13" s="1"/>
  <c r="L375" i="13"/>
  <c r="M375" i="13" s="1"/>
  <c r="L281" i="13"/>
  <c r="M281" i="13" s="1"/>
  <c r="L217" i="13"/>
  <c r="I216" i="13"/>
  <c r="I221" i="13"/>
  <c r="N174" i="13"/>
  <c r="T189" i="13"/>
  <c r="U189" i="13" s="1"/>
  <c r="T144" i="13"/>
  <c r="U641" i="19"/>
  <c r="W641" i="19" s="1"/>
  <c r="N299" i="19"/>
  <c r="O299" i="19" s="1"/>
  <c r="P299" i="19" s="1"/>
  <c r="Q299" i="19" s="1"/>
  <c r="R299" i="19" s="1"/>
  <c r="S299" i="19" s="1"/>
  <c r="Q252" i="19"/>
  <c r="R252" i="19" s="1"/>
  <c r="L311" i="19"/>
  <c r="M311" i="19" s="1"/>
  <c r="K219" i="19"/>
  <c r="U516" i="18"/>
  <c r="S474" i="18"/>
  <c r="H440" i="15"/>
  <c r="I440" i="15" s="1"/>
  <c r="J440" i="15" s="1"/>
  <c r="K440" i="15" s="1"/>
  <c r="N440" i="15" s="1"/>
  <c r="O440" i="15" s="1"/>
  <c r="I544" i="18"/>
  <c r="U685" i="15"/>
  <c r="T100" i="18"/>
  <c r="O642" i="19"/>
  <c r="R482" i="19"/>
  <c r="T512" i="19"/>
  <c r="L437" i="19"/>
  <c r="M437" i="19" s="1"/>
  <c r="L405" i="19"/>
  <c r="M405" i="19" s="1"/>
  <c r="R176" i="19"/>
  <c r="R171" i="19"/>
  <c r="N171" i="19"/>
  <c r="N176" i="19"/>
  <c r="T144" i="19"/>
  <c r="L144" i="19"/>
  <c r="M144" i="19" s="1"/>
  <c r="K642" i="18"/>
  <c r="G637" i="18"/>
  <c r="G544" i="18"/>
  <c r="T561" i="18"/>
  <c r="N523" i="18"/>
  <c r="T523" i="18" s="1"/>
  <c r="T540" i="18"/>
  <c r="N517" i="18"/>
  <c r="T517" i="18" s="1"/>
  <c r="T534" i="18"/>
  <c r="U534" i="18" s="1"/>
  <c r="S478" i="18"/>
  <c r="T478" i="18" s="1"/>
  <c r="U478" i="18" s="1"/>
  <c r="W478" i="18" s="1"/>
  <c r="T508" i="18"/>
  <c r="U508" i="18" s="1"/>
  <c r="R484" i="18"/>
  <c r="R479" i="18"/>
  <c r="N484" i="18"/>
  <c r="N479" i="18"/>
  <c r="V474" i="18"/>
  <c r="R536" i="19"/>
  <c r="P536" i="19"/>
  <c r="N519" i="19"/>
  <c r="W428" i="19"/>
  <c r="X433" i="19"/>
  <c r="V312" i="19"/>
  <c r="V308" i="19"/>
  <c r="M185" i="19"/>
  <c r="M186" i="19" s="1"/>
  <c r="L186" i="19"/>
  <c r="U185" i="19"/>
  <c r="W706" i="18"/>
  <c r="W707" i="18" s="1"/>
  <c r="S640" i="18"/>
  <c r="L685" i="18"/>
  <c r="M685" i="18" s="1"/>
  <c r="I640" i="18"/>
  <c r="L608" i="18"/>
  <c r="M608" i="18" s="1"/>
  <c r="I581" i="18"/>
  <c r="I566" i="18" s="1"/>
  <c r="T578" i="18"/>
  <c r="V564" i="19"/>
  <c r="M220" i="19"/>
  <c r="H174" i="18"/>
  <c r="L189" i="18"/>
  <c r="M189" i="18" s="1"/>
  <c r="H176" i="18"/>
  <c r="L172" i="18"/>
  <c r="H171" i="18"/>
  <c r="R642" i="15"/>
  <c r="N642" i="15"/>
  <c r="R637" i="15"/>
  <c r="R544" i="15"/>
  <c r="H637" i="15"/>
  <c r="L547" i="15"/>
  <c r="M547" i="15" s="1"/>
  <c r="T533" i="15"/>
  <c r="U533" i="15" s="1"/>
  <c r="N516" i="15"/>
  <c r="T516" i="15" s="1"/>
  <c r="U516" i="15" s="1"/>
  <c r="J530" i="15"/>
  <c r="J531" i="15" s="1"/>
  <c r="F530" i="15"/>
  <c r="M518" i="15"/>
  <c r="T482" i="15"/>
  <c r="T512" i="15"/>
  <c r="J479" i="15"/>
  <c r="J484" i="15"/>
  <c r="L467" i="15"/>
  <c r="L437" i="15"/>
  <c r="M437" i="15" s="1"/>
  <c r="Q219" i="15"/>
  <c r="Q52" i="15" s="1"/>
  <c r="Q221" i="15"/>
  <c r="Q216" i="15"/>
  <c r="G216" i="15"/>
  <c r="G221" i="15"/>
  <c r="L217" i="15"/>
  <c r="T204" i="15"/>
  <c r="R171" i="15"/>
  <c r="T172" i="15"/>
  <c r="R176" i="15"/>
  <c r="S520" i="18"/>
  <c r="S522" i="18" s="1"/>
  <c r="V479" i="18"/>
  <c r="U307" i="18"/>
  <c r="T308" i="18"/>
  <c r="U277" i="18"/>
  <c r="T278" i="18"/>
  <c r="W574" i="15"/>
  <c r="W575" i="15" s="1"/>
  <c r="U575" i="15"/>
  <c r="W433" i="15"/>
  <c r="W434" i="15" s="1"/>
  <c r="U434" i="15"/>
  <c r="U307" i="15"/>
  <c r="T308" i="15"/>
  <c r="U245" i="15"/>
  <c r="T246" i="15"/>
  <c r="N20" i="18"/>
  <c r="Q530" i="15"/>
  <c r="O548" i="15"/>
  <c r="G546" i="15"/>
  <c r="O546" i="15"/>
  <c r="T563" i="15"/>
  <c r="U563" i="15" s="1"/>
  <c r="X563" i="15" s="1"/>
  <c r="W139" i="15"/>
  <c r="L144" i="15"/>
  <c r="M144" i="15" s="1"/>
  <c r="Q565" i="13"/>
  <c r="K560" i="13"/>
  <c r="N523" i="13"/>
  <c r="T523" i="13" s="1"/>
  <c r="U523" i="13" s="1"/>
  <c r="T540" i="13"/>
  <c r="U540" i="13" s="1"/>
  <c r="N530" i="13"/>
  <c r="N479" i="13"/>
  <c r="N484" i="13"/>
  <c r="L467" i="13"/>
  <c r="M467" i="13" s="1"/>
  <c r="T281" i="13"/>
  <c r="N219" i="13"/>
  <c r="T234" i="13"/>
  <c r="H219" i="13"/>
  <c r="L234" i="13"/>
  <c r="M234" i="13" s="1"/>
  <c r="M217" i="9"/>
  <c r="M216" i="9" s="1"/>
  <c r="O174" i="19"/>
  <c r="T170" i="19"/>
  <c r="U170" i="19" s="1"/>
  <c r="L249" i="19"/>
  <c r="M249" i="19" s="1"/>
  <c r="R174" i="15"/>
  <c r="R35" i="15" s="1"/>
  <c r="R174" i="13"/>
  <c r="R52" i="13" s="1"/>
  <c r="N176" i="13"/>
  <c r="T172" i="13"/>
  <c r="N171" i="13"/>
  <c r="R565" i="11"/>
  <c r="R560" i="11"/>
  <c r="R544" i="11"/>
  <c r="G547" i="11"/>
  <c r="G524" i="11"/>
  <c r="G530" i="11" s="1"/>
  <c r="L541" i="11"/>
  <c r="N528" i="11"/>
  <c r="T528" i="11" s="1"/>
  <c r="U528" i="11" s="1"/>
  <c r="W528" i="11" s="1"/>
  <c r="T545" i="11"/>
  <c r="U545" i="11" s="1"/>
  <c r="W545" i="11" s="1"/>
  <c r="L516" i="11"/>
  <c r="L533" i="11"/>
  <c r="O530" i="11"/>
  <c r="F530" i="11"/>
  <c r="T480" i="11"/>
  <c r="F484" i="11"/>
  <c r="F485" i="11" s="1"/>
  <c r="F479" i="11"/>
  <c r="J483" i="11"/>
  <c r="J484" i="11" s="1"/>
  <c r="G483" i="11"/>
  <c r="L477" i="11"/>
  <c r="L467" i="11"/>
  <c r="T405" i="11"/>
  <c r="I219" i="11"/>
  <c r="I52" i="11" s="1"/>
  <c r="F221" i="11"/>
  <c r="F222" i="11" s="1"/>
  <c r="G222" i="11" s="1"/>
  <c r="L217" i="11"/>
  <c r="F216" i="11"/>
  <c r="Q171" i="11"/>
  <c r="Q176" i="11"/>
  <c r="T172" i="11"/>
  <c r="G176" i="11"/>
  <c r="G177" i="11" s="1"/>
  <c r="H177" i="11" s="1"/>
  <c r="L172" i="11"/>
  <c r="G171" i="11"/>
  <c r="W169" i="11"/>
  <c r="N166" i="11"/>
  <c r="T167" i="11"/>
  <c r="L144" i="11"/>
  <c r="M144" i="11" s="1"/>
  <c r="R565" i="9"/>
  <c r="K565" i="9"/>
  <c r="Q560" i="9"/>
  <c r="T561" i="9"/>
  <c r="G560" i="9"/>
  <c r="L561" i="9"/>
  <c r="I548" i="9"/>
  <c r="I543" i="9"/>
  <c r="L467" i="9"/>
  <c r="M467" i="9" s="1"/>
  <c r="E19" i="9"/>
  <c r="T234" i="9"/>
  <c r="U234" i="9" s="1"/>
  <c r="N219" i="9"/>
  <c r="K216" i="9"/>
  <c r="K221" i="9"/>
  <c r="Q174" i="9"/>
  <c r="Q35" i="9" s="1"/>
  <c r="O176" i="9"/>
  <c r="O171" i="9"/>
  <c r="N166" i="9"/>
  <c r="T167" i="9"/>
  <c r="U95" i="9"/>
  <c r="N630" i="8"/>
  <c r="R565" i="8"/>
  <c r="N525" i="8"/>
  <c r="T542" i="8"/>
  <c r="M516" i="8"/>
  <c r="U516" i="8"/>
  <c r="H474" i="8"/>
  <c r="U371" i="8"/>
  <c r="N219" i="8"/>
  <c r="N35" i="8" s="1"/>
  <c r="T249" i="8"/>
  <c r="R216" i="8"/>
  <c r="R221" i="8"/>
  <c r="N216" i="8"/>
  <c r="N221" i="8"/>
  <c r="T217" i="8"/>
  <c r="L212" i="8"/>
  <c r="F211" i="8"/>
  <c r="R642" i="7"/>
  <c r="J565" i="7"/>
  <c r="P548" i="7"/>
  <c r="R536" i="7"/>
  <c r="T498" i="7"/>
  <c r="N499" i="7"/>
  <c r="T375" i="7"/>
  <c r="L311" i="7"/>
  <c r="T281" i="7"/>
  <c r="L281" i="7"/>
  <c r="M281" i="7" s="1"/>
  <c r="L249" i="7"/>
  <c r="M249" i="7" s="1"/>
  <c r="F219" i="7"/>
  <c r="L234" i="7"/>
  <c r="M234" i="7" s="1"/>
  <c r="N221" i="7"/>
  <c r="N216" i="7"/>
  <c r="L217" i="7"/>
  <c r="F221" i="7"/>
  <c r="F222" i="7" s="1"/>
  <c r="G222" i="7" s="1"/>
  <c r="H222" i="7" s="1"/>
  <c r="F216" i="7"/>
  <c r="H475" i="13"/>
  <c r="U277" i="13"/>
  <c r="L579" i="11"/>
  <c r="G580" i="11"/>
  <c r="T375" i="11"/>
  <c r="V513" i="9"/>
  <c r="V509" i="9"/>
  <c r="V480" i="9"/>
  <c r="V438" i="9"/>
  <c r="V434" i="9"/>
  <c r="F221" i="9"/>
  <c r="F222" i="9" s="1"/>
  <c r="L220" i="9"/>
  <c r="L685" i="8"/>
  <c r="M685" i="8" s="1"/>
  <c r="S631" i="8"/>
  <c r="S537" i="8" s="1"/>
  <c r="I219" i="8"/>
  <c r="I35" i="8" s="1"/>
  <c r="P640" i="7"/>
  <c r="P546" i="7" s="1"/>
  <c r="P529" i="7" s="1"/>
  <c r="H640" i="7"/>
  <c r="L685" i="7"/>
  <c r="M685" i="7" s="1"/>
  <c r="K640" i="7"/>
  <c r="F581" i="7"/>
  <c r="F565" i="7"/>
  <c r="V406" i="7"/>
  <c r="W406" i="7" s="1"/>
  <c r="V402" i="7"/>
  <c r="W400" i="7"/>
  <c r="W306" i="7"/>
  <c r="W240" i="7"/>
  <c r="U241" i="7"/>
  <c r="X245" i="7"/>
  <c r="R640" i="13"/>
  <c r="R546" i="13" s="1"/>
  <c r="R529" i="13" s="1"/>
  <c r="T685" i="13"/>
  <c r="N640" i="13"/>
  <c r="J640" i="13"/>
  <c r="J546" i="13" s="1"/>
  <c r="J529" i="13" s="1"/>
  <c r="L655" i="13"/>
  <c r="M655" i="13" s="1"/>
  <c r="W476" i="11"/>
  <c r="X481" i="11"/>
  <c r="M249" i="18"/>
  <c r="G643" i="11"/>
  <c r="H658" i="11"/>
  <c r="Q536" i="13"/>
  <c r="Q520" i="13"/>
  <c r="Q522" i="13" s="1"/>
  <c r="G536" i="11"/>
  <c r="G520" i="11"/>
  <c r="G522" i="11" s="1"/>
  <c r="K519" i="9"/>
  <c r="M534" i="9"/>
  <c r="U534" i="9"/>
  <c r="I482" i="9"/>
  <c r="L497" i="9"/>
  <c r="L547" i="7"/>
  <c r="M547" i="7" s="1"/>
  <c r="T212" i="7"/>
  <c r="N211" i="7"/>
  <c r="M608" i="8"/>
  <c r="O174" i="7"/>
  <c r="O52" i="7" s="1"/>
  <c r="T189" i="7"/>
  <c r="T144" i="7"/>
  <c r="L518" i="13"/>
  <c r="O536" i="11"/>
  <c r="T537" i="11"/>
  <c r="W493" i="9"/>
  <c r="W433" i="9"/>
  <c r="N637" i="8"/>
  <c r="N544" i="8"/>
  <c r="L518" i="7"/>
  <c r="M518" i="7" s="1"/>
  <c r="V171" i="7"/>
  <c r="X173" i="7"/>
  <c r="W168" i="7"/>
  <c r="W27" i="7" s="1"/>
  <c r="T525" i="15"/>
  <c r="U525" i="15" s="1"/>
  <c r="W525" i="15" s="1"/>
  <c r="T512" i="11"/>
  <c r="L204" i="11"/>
  <c r="M204" i="11" s="1"/>
  <c r="K147" i="13"/>
  <c r="N147" i="13" s="1"/>
  <c r="H219" i="7"/>
  <c r="H35" i="7" s="1"/>
  <c r="U486" i="13"/>
  <c r="G174" i="11"/>
  <c r="G35" i="11" s="1"/>
  <c r="U564" i="8"/>
  <c r="U488" i="13"/>
  <c r="N565" i="11"/>
  <c r="N560" i="11"/>
  <c r="N544" i="11"/>
  <c r="O534" i="11"/>
  <c r="O517" i="11" s="1"/>
  <c r="T551" i="11"/>
  <c r="U551" i="11" s="1"/>
  <c r="F523" i="11"/>
  <c r="L523" i="11" s="1"/>
  <c r="L540" i="11"/>
  <c r="T535" i="11"/>
  <c r="I530" i="11"/>
  <c r="F482" i="11"/>
  <c r="L512" i="11"/>
  <c r="M512" i="11" s="1"/>
  <c r="J479" i="11"/>
  <c r="T478" i="11"/>
  <c r="U478" i="11" s="1"/>
  <c r="S479" i="11"/>
  <c r="H483" i="11"/>
  <c r="H484" i="11" s="1"/>
  <c r="F474" i="11"/>
  <c r="L475" i="11"/>
  <c r="T376" i="11"/>
  <c r="J221" i="11"/>
  <c r="J216" i="11"/>
  <c r="K174" i="11"/>
  <c r="L189" i="11"/>
  <c r="K176" i="11"/>
  <c r="K171" i="11"/>
  <c r="T170" i="11"/>
  <c r="U170" i="11" s="1"/>
  <c r="S171" i="11"/>
  <c r="V166" i="11"/>
  <c r="L167" i="11"/>
  <c r="F166" i="11"/>
  <c r="N565" i="9"/>
  <c r="H565" i="9"/>
  <c r="G565" i="9"/>
  <c r="K560" i="9"/>
  <c r="T545" i="9"/>
  <c r="T528" i="9"/>
  <c r="L528" i="9"/>
  <c r="M528" i="9" s="1"/>
  <c r="F20" i="9"/>
  <c r="L20" i="9" s="1"/>
  <c r="M20" i="9" s="1"/>
  <c r="T518" i="9"/>
  <c r="N519" i="9"/>
  <c r="T467" i="9"/>
  <c r="T437" i="9"/>
  <c r="T405" i="9"/>
  <c r="U405" i="9" s="1"/>
  <c r="T217" i="9"/>
  <c r="O216" i="9"/>
  <c r="O221" i="9"/>
  <c r="G216" i="9"/>
  <c r="G221" i="9"/>
  <c r="V166" i="9"/>
  <c r="U140" i="9"/>
  <c r="X140" i="9" s="1"/>
  <c r="T141" i="9"/>
  <c r="I630" i="8"/>
  <c r="R560" i="8"/>
  <c r="T561" i="8"/>
  <c r="F528" i="8"/>
  <c r="L545" i="8"/>
  <c r="H525" i="8"/>
  <c r="L542" i="8"/>
  <c r="M542" i="8" s="1"/>
  <c r="U517" i="8"/>
  <c r="M517" i="8"/>
  <c r="L467" i="8"/>
  <c r="M467" i="8" s="1"/>
  <c r="F219" i="8"/>
  <c r="L249" i="8"/>
  <c r="M249" i="8" s="1"/>
  <c r="P219" i="8"/>
  <c r="P35" i="8" s="1"/>
  <c r="T234" i="8"/>
  <c r="P221" i="8"/>
  <c r="P216" i="8"/>
  <c r="H221" i="8"/>
  <c r="H216" i="8"/>
  <c r="L217" i="8"/>
  <c r="L204" i="8"/>
  <c r="M204" i="8" s="1"/>
  <c r="Q637" i="7"/>
  <c r="Q544" i="7"/>
  <c r="Q527" i="7" s="1"/>
  <c r="T638" i="7"/>
  <c r="L542" i="7"/>
  <c r="E526" i="7"/>
  <c r="E19" i="7"/>
  <c r="T477" i="7"/>
  <c r="L477" i="7"/>
  <c r="M477" i="7" s="1"/>
  <c r="L375" i="7"/>
  <c r="M375" i="7" s="1"/>
  <c r="N219" i="7"/>
  <c r="N35" i="7" s="1"/>
  <c r="T249" i="7"/>
  <c r="R219" i="7"/>
  <c r="R52" i="7" s="1"/>
  <c r="R221" i="7"/>
  <c r="R216" i="7"/>
  <c r="J221" i="7"/>
  <c r="J216" i="7"/>
  <c r="T655" i="13"/>
  <c r="H640" i="13"/>
  <c r="L685" i="13"/>
  <c r="M685" i="13" s="1"/>
  <c r="F611" i="13"/>
  <c r="F565" i="13"/>
  <c r="S482" i="11"/>
  <c r="W433" i="11"/>
  <c r="W434" i="11" s="1"/>
  <c r="U434" i="11"/>
  <c r="F219" i="11"/>
  <c r="F35" i="11" s="1"/>
  <c r="L234" i="11"/>
  <c r="U200" i="11"/>
  <c r="T201" i="11"/>
  <c r="M508" i="9"/>
  <c r="T175" i="9"/>
  <c r="N176" i="9"/>
  <c r="I640" i="8"/>
  <c r="I546" i="8" s="1"/>
  <c r="I529" i="8" s="1"/>
  <c r="K631" i="8"/>
  <c r="K537" i="8" s="1"/>
  <c r="U463" i="8"/>
  <c r="Q642" i="7"/>
  <c r="T685" i="7"/>
  <c r="N640" i="7"/>
  <c r="Q640" i="7"/>
  <c r="Q546" i="7" s="1"/>
  <c r="Q529" i="7" s="1"/>
  <c r="T655" i="7"/>
  <c r="L655" i="7"/>
  <c r="M655" i="7" s="1"/>
  <c r="G640" i="7"/>
  <c r="L578" i="7"/>
  <c r="V498" i="7"/>
  <c r="V480" i="7"/>
  <c r="V494" i="7"/>
  <c r="W458" i="7"/>
  <c r="W459" i="7" s="1"/>
  <c r="X463" i="7"/>
  <c r="U459" i="7"/>
  <c r="U401" i="7"/>
  <c r="V308" i="7"/>
  <c r="V312" i="7"/>
  <c r="R642" i="13"/>
  <c r="N688" i="13"/>
  <c r="N642" i="13"/>
  <c r="J642" i="13"/>
  <c r="T534" i="15"/>
  <c r="U534" i="15" s="1"/>
  <c r="O517" i="15"/>
  <c r="T517" i="15" s="1"/>
  <c r="U517" i="15" s="1"/>
  <c r="H581" i="13"/>
  <c r="K530" i="13"/>
  <c r="I530" i="9"/>
  <c r="W371" i="9"/>
  <c r="U372" i="9"/>
  <c r="H536" i="8"/>
  <c r="T226" i="7"/>
  <c r="U227" i="7"/>
  <c r="K174" i="7"/>
  <c r="K52" i="7" s="1"/>
  <c r="L189" i="7"/>
  <c r="M189" i="7" s="1"/>
  <c r="H543" i="11"/>
  <c r="H548" i="11"/>
  <c r="W650" i="8"/>
  <c r="G530" i="13"/>
  <c r="M533" i="13"/>
  <c r="X433" i="13"/>
  <c r="R530" i="9"/>
  <c r="W190" i="9"/>
  <c r="V175" i="9"/>
  <c r="V36" i="9" s="1"/>
  <c r="T99" i="9"/>
  <c r="U99" i="9" s="1"/>
  <c r="N640" i="8"/>
  <c r="R484" i="8"/>
  <c r="R479" i="8"/>
  <c r="V175" i="7"/>
  <c r="T166" i="7"/>
  <c r="H408" i="11"/>
  <c r="I408" i="11" s="1"/>
  <c r="J408" i="11" s="1"/>
  <c r="K408" i="11" s="1"/>
  <c r="N408" i="11" s="1"/>
  <c r="O408" i="11" s="1"/>
  <c r="N470" i="9"/>
  <c r="O470" i="9" s="1"/>
  <c r="J237" i="9"/>
  <c r="K237" i="9" s="1"/>
  <c r="N237" i="9" s="1"/>
  <c r="O237" i="9" s="1"/>
  <c r="S546" i="13"/>
  <c r="S529" i="13" s="1"/>
  <c r="J482" i="11"/>
  <c r="U508" i="9"/>
  <c r="P544" i="8"/>
  <c r="F221" i="8"/>
  <c r="F222" i="8" s="1"/>
  <c r="G222" i="8" s="1"/>
  <c r="T535" i="7"/>
  <c r="X651" i="7"/>
  <c r="T608" i="13"/>
  <c r="U608" i="13" s="1"/>
  <c r="X608" i="13" s="1"/>
  <c r="L558" i="11"/>
  <c r="O174" i="11"/>
  <c r="L648" i="8"/>
  <c r="I499" i="7"/>
  <c r="I500" i="7" s="1"/>
  <c r="J500" i="7" s="1"/>
  <c r="X433" i="11"/>
  <c r="U652" i="7"/>
  <c r="U646" i="8"/>
  <c r="U220" i="8"/>
  <c r="O527" i="8" l="1"/>
  <c r="X559" i="15"/>
  <c r="U535" i="13"/>
  <c r="K536" i="13"/>
  <c r="S144" i="23"/>
  <c r="G3" i="9"/>
  <c r="I3" i="9"/>
  <c r="J3" i="9"/>
  <c r="K3" i="9"/>
  <c r="V20" i="9"/>
  <c r="X562" i="9"/>
  <c r="W557" i="9"/>
  <c r="J526" i="15"/>
  <c r="S360" i="23"/>
  <c r="J531" i="11"/>
  <c r="J3" i="7"/>
  <c r="J37" i="15"/>
  <c r="U41" i="19"/>
  <c r="W41" i="19" s="1"/>
  <c r="H3" i="9"/>
  <c r="U570" i="15"/>
  <c r="X576" i="15"/>
  <c r="W552" i="18"/>
  <c r="X559" i="18"/>
  <c r="W558" i="18"/>
  <c r="W541" i="15"/>
  <c r="V33" i="9"/>
  <c r="S298" i="23"/>
  <c r="S25" i="9"/>
  <c r="S28" i="9"/>
  <c r="O25" i="9"/>
  <c r="O28" i="9"/>
  <c r="R25" i="9"/>
  <c r="R28" i="9"/>
  <c r="R16" i="9" s="1"/>
  <c r="N25" i="9"/>
  <c r="N28" i="9"/>
  <c r="N16" i="9" s="1"/>
  <c r="K25" i="9"/>
  <c r="J25" i="9"/>
  <c r="J28" i="9"/>
  <c r="I32" i="9"/>
  <c r="J32" i="9"/>
  <c r="G32" i="9"/>
  <c r="G19" i="9"/>
  <c r="G12" i="9" s="1"/>
  <c r="W634" i="13"/>
  <c r="X639" i="13"/>
  <c r="X715" i="13"/>
  <c r="W708" i="13"/>
  <c r="W707" i="13" s="1"/>
  <c r="X713" i="13"/>
  <c r="X636" i="13"/>
  <c r="W629" i="13"/>
  <c r="W648" i="13"/>
  <c r="X653" i="13"/>
  <c r="I539" i="13"/>
  <c r="I520" i="13"/>
  <c r="G539" i="13"/>
  <c r="G520" i="13"/>
  <c r="X562" i="13"/>
  <c r="G519" i="15"/>
  <c r="G522" i="15"/>
  <c r="N519" i="15"/>
  <c r="N522" i="15"/>
  <c r="I519" i="15"/>
  <c r="I522" i="15"/>
  <c r="R519" i="15"/>
  <c r="R522" i="15"/>
  <c r="R16" i="15" s="1"/>
  <c r="K519" i="15"/>
  <c r="K522" i="15"/>
  <c r="H519" i="15"/>
  <c r="H522" i="15"/>
  <c r="U540" i="15"/>
  <c r="W540" i="15" s="1"/>
  <c r="G32" i="15"/>
  <c r="K530" i="18"/>
  <c r="K18" i="18"/>
  <c r="K3" i="18" s="1"/>
  <c r="R520" i="18"/>
  <c r="R539" i="18"/>
  <c r="T547" i="18"/>
  <c r="R530" i="18"/>
  <c r="R18" i="18"/>
  <c r="R3" i="18" s="1"/>
  <c r="T539" i="18"/>
  <c r="L633" i="18"/>
  <c r="M633" i="18" s="1"/>
  <c r="M540" i="19"/>
  <c r="U540" i="19"/>
  <c r="W540" i="19" s="1"/>
  <c r="Q536" i="11"/>
  <c r="Q539" i="11"/>
  <c r="T539" i="11" s="1"/>
  <c r="I563" i="23"/>
  <c r="X562" i="11"/>
  <c r="H519" i="11"/>
  <c r="H522" i="11"/>
  <c r="I536" i="11"/>
  <c r="I539" i="11"/>
  <c r="R520" i="11"/>
  <c r="R539" i="11"/>
  <c r="X639" i="11"/>
  <c r="W635" i="7"/>
  <c r="X639" i="7"/>
  <c r="K520" i="8"/>
  <c r="K522" i="8" s="1"/>
  <c r="K539" i="8"/>
  <c r="S539" i="8"/>
  <c r="S520" i="8"/>
  <c r="S522" i="8" s="1"/>
  <c r="M540" i="8"/>
  <c r="U540" i="8"/>
  <c r="W540" i="8" s="1"/>
  <c r="M541" i="8"/>
  <c r="U541" i="8"/>
  <c r="V539" i="8"/>
  <c r="V520" i="8"/>
  <c r="V522" i="8" s="1"/>
  <c r="O539" i="8"/>
  <c r="O520" i="8"/>
  <c r="O522" i="8" s="1"/>
  <c r="R539" i="8"/>
  <c r="R520" i="8"/>
  <c r="N539" i="8"/>
  <c r="N520" i="8"/>
  <c r="N522" i="8" s="1"/>
  <c r="V556" i="23"/>
  <c r="V553" i="23"/>
  <c r="G520" i="8"/>
  <c r="G522" i="8" s="1"/>
  <c r="G539" i="8"/>
  <c r="I539" i="8"/>
  <c r="I520" i="8"/>
  <c r="I522" i="8" s="1"/>
  <c r="V468" i="23"/>
  <c r="W485" i="23"/>
  <c r="V561" i="23"/>
  <c r="F520" i="8"/>
  <c r="T556" i="8"/>
  <c r="J520" i="8"/>
  <c r="J539" i="8"/>
  <c r="H520" i="8"/>
  <c r="H539" i="8"/>
  <c r="W710" i="11"/>
  <c r="J519" i="11"/>
  <c r="J522" i="11"/>
  <c r="U547" i="15"/>
  <c r="W573" i="11"/>
  <c r="W547" i="23"/>
  <c r="V498" i="23"/>
  <c r="V484" i="23"/>
  <c r="T172" i="19"/>
  <c r="S171" i="19"/>
  <c r="H36" i="18"/>
  <c r="H18" i="18"/>
  <c r="H3" i="18" s="1"/>
  <c r="J36" i="18"/>
  <c r="J18" i="18"/>
  <c r="J3" i="18" s="1"/>
  <c r="I36" i="18"/>
  <c r="I18" i="18"/>
  <c r="I3" i="18" s="1"/>
  <c r="H36" i="19"/>
  <c r="H18" i="19"/>
  <c r="H3" i="19" s="1"/>
  <c r="S189" i="23"/>
  <c r="O16" i="19"/>
  <c r="Q16" i="19"/>
  <c r="S16" i="19"/>
  <c r="P16" i="19"/>
  <c r="R16" i="19"/>
  <c r="T467" i="8"/>
  <c r="S390" i="23"/>
  <c r="S328" i="23"/>
  <c r="G363" i="8"/>
  <c r="H363" i="8" s="1"/>
  <c r="I363" i="8" s="1"/>
  <c r="J363" i="8" s="1"/>
  <c r="K363" i="8" s="1"/>
  <c r="N363" i="8" s="1"/>
  <c r="O363" i="8" s="1"/>
  <c r="S174" i="7"/>
  <c r="S204" i="23"/>
  <c r="T170" i="23"/>
  <c r="U170" i="23" s="1"/>
  <c r="S48" i="23"/>
  <c r="S31" i="23" s="1"/>
  <c r="G166" i="23"/>
  <c r="S166" i="23"/>
  <c r="Q166" i="23"/>
  <c r="T234" i="7"/>
  <c r="S234" i="23"/>
  <c r="H166" i="23"/>
  <c r="K166" i="23"/>
  <c r="W34" i="23"/>
  <c r="R71" i="23"/>
  <c r="R50" i="23"/>
  <c r="R33" i="23" s="1"/>
  <c r="O71" i="23"/>
  <c r="O50" i="23"/>
  <c r="O33" i="23" s="1"/>
  <c r="V539" i="19"/>
  <c r="V520" i="19"/>
  <c r="V530" i="18"/>
  <c r="V18" i="18"/>
  <c r="V539" i="18"/>
  <c r="V520" i="18"/>
  <c r="V522" i="18" s="1"/>
  <c r="V16" i="18" s="1"/>
  <c r="U3" i="18" s="1"/>
  <c r="S548" i="18"/>
  <c r="S16" i="18"/>
  <c r="S536" i="18"/>
  <c r="W547" i="15"/>
  <c r="W579" i="15"/>
  <c r="V544" i="15"/>
  <c r="V560" i="15"/>
  <c r="V520" i="15"/>
  <c r="V522" i="15" s="1"/>
  <c r="V16" i="15" s="1"/>
  <c r="U3" i="15" s="1"/>
  <c r="V539" i="15"/>
  <c r="W564" i="13"/>
  <c r="V560" i="13"/>
  <c r="W558" i="13"/>
  <c r="V539" i="11"/>
  <c r="V520" i="11"/>
  <c r="V522" i="11" s="1"/>
  <c r="P476" i="23"/>
  <c r="P479" i="23"/>
  <c r="V460" i="23"/>
  <c r="V479" i="23"/>
  <c r="S536" i="7"/>
  <c r="R539" i="7"/>
  <c r="W527" i="23"/>
  <c r="X527" i="23"/>
  <c r="T516" i="23"/>
  <c r="S563" i="7"/>
  <c r="S519" i="7"/>
  <c r="S539" i="7"/>
  <c r="U541" i="13"/>
  <c r="W541" i="13" s="1"/>
  <c r="G549" i="13"/>
  <c r="I553" i="23"/>
  <c r="I556" i="23"/>
  <c r="K553" i="23"/>
  <c r="K556" i="23"/>
  <c r="G553" i="23"/>
  <c r="G556" i="23"/>
  <c r="F553" i="23"/>
  <c r="F556" i="23"/>
  <c r="J553" i="23"/>
  <c r="J556" i="23"/>
  <c r="H553" i="23"/>
  <c r="H556" i="23"/>
  <c r="O553" i="23"/>
  <c r="O556" i="23"/>
  <c r="Q553" i="23"/>
  <c r="Q556" i="23"/>
  <c r="R553" i="23"/>
  <c r="R556" i="23"/>
  <c r="S553" i="23"/>
  <c r="S556" i="23"/>
  <c r="N553" i="23"/>
  <c r="N556" i="23"/>
  <c r="O221" i="23"/>
  <c r="U196" i="23"/>
  <c r="W197" i="23"/>
  <c r="W196" i="23" s="1"/>
  <c r="N16" i="19"/>
  <c r="T522" i="19"/>
  <c r="T539" i="19"/>
  <c r="M539" i="19"/>
  <c r="U539" i="19"/>
  <c r="L522" i="19"/>
  <c r="P35" i="19"/>
  <c r="T336" i="19"/>
  <c r="U212" i="19"/>
  <c r="S479" i="19"/>
  <c r="T480" i="19"/>
  <c r="T266" i="19"/>
  <c r="J531" i="19"/>
  <c r="J526" i="19"/>
  <c r="T623" i="23"/>
  <c r="U707" i="18"/>
  <c r="S460" i="23"/>
  <c r="S443" i="23" s="1"/>
  <c r="S445" i="23" s="1"/>
  <c r="K222" i="18"/>
  <c r="N222" i="18" s="1"/>
  <c r="O222" i="18" s="1"/>
  <c r="P222" i="18" s="1"/>
  <c r="Q222" i="18" s="1"/>
  <c r="R222" i="18" s="1"/>
  <c r="S222" i="18" s="1"/>
  <c r="H177" i="18"/>
  <c r="I177" i="18" s="1"/>
  <c r="J177" i="18" s="1"/>
  <c r="K177" i="18" s="1"/>
  <c r="U517" i="18"/>
  <c r="X218" i="18"/>
  <c r="U311" i="18"/>
  <c r="V340" i="18"/>
  <c r="L547" i="18"/>
  <c r="M547" i="18" s="1"/>
  <c r="S539" i="15"/>
  <c r="T539" i="15" s="1"/>
  <c r="S520" i="15"/>
  <c r="T556" i="15"/>
  <c r="U556" i="15" s="1"/>
  <c r="I536" i="15"/>
  <c r="I539" i="15"/>
  <c r="L539" i="15" s="1"/>
  <c r="M539" i="15" s="1"/>
  <c r="M556" i="15"/>
  <c r="I269" i="15"/>
  <c r="I18" i="15"/>
  <c r="I3" i="15" s="1"/>
  <c r="T3" i="15" s="1"/>
  <c r="V465" i="23"/>
  <c r="V448" i="23" s="1"/>
  <c r="I37" i="15"/>
  <c r="H527" i="13"/>
  <c r="H526" i="13" s="1"/>
  <c r="J177" i="13"/>
  <c r="K177" i="13" s="1"/>
  <c r="X170" i="13"/>
  <c r="K565" i="23"/>
  <c r="Q171" i="23"/>
  <c r="N539" i="13"/>
  <c r="T539" i="13" s="1"/>
  <c r="K520" i="13"/>
  <c r="F539" i="13"/>
  <c r="V520" i="13"/>
  <c r="V522" i="13" s="1"/>
  <c r="V16" i="13" s="1"/>
  <c r="U3" i="13" s="1"/>
  <c r="F536" i="13"/>
  <c r="S526" i="13"/>
  <c r="T525" i="13"/>
  <c r="U525" i="13" s="1"/>
  <c r="W525" i="13" s="1"/>
  <c r="L53" i="13"/>
  <c r="M53" i="13" s="1"/>
  <c r="Q42" i="13"/>
  <c r="I37" i="13"/>
  <c r="O565" i="23"/>
  <c r="M514" i="23"/>
  <c r="M513" i="23" s="1"/>
  <c r="G222" i="13"/>
  <c r="H222" i="13" s="1"/>
  <c r="I611" i="23"/>
  <c r="J611" i="23" s="1"/>
  <c r="K611" i="23" s="1"/>
  <c r="N611" i="23" s="1"/>
  <c r="O611" i="23" s="1"/>
  <c r="P611" i="23" s="1"/>
  <c r="Q611" i="23" s="1"/>
  <c r="R611" i="23" s="1"/>
  <c r="S611" i="23" s="1"/>
  <c r="O37" i="11"/>
  <c r="G42" i="11"/>
  <c r="U23" i="11"/>
  <c r="U415" i="9"/>
  <c r="W415" i="9" s="1"/>
  <c r="I237" i="23"/>
  <c r="J237" i="23" s="1"/>
  <c r="K237" i="23" s="1"/>
  <c r="N237" i="23" s="1"/>
  <c r="O237" i="23" s="1"/>
  <c r="P237" i="23" s="1"/>
  <c r="Q237" i="23" s="1"/>
  <c r="R237" i="23" s="1"/>
  <c r="S476" i="23"/>
  <c r="S465" i="23"/>
  <c r="S448" i="23" s="1"/>
  <c r="S387" i="23"/>
  <c r="W559" i="23"/>
  <c r="J519" i="23"/>
  <c r="K519" i="23" s="1"/>
  <c r="N519" i="23" s="1"/>
  <c r="O519" i="23" s="1"/>
  <c r="P519" i="23" s="1"/>
  <c r="Q519" i="23" s="1"/>
  <c r="R519" i="23" s="1"/>
  <c r="S519" i="23" s="1"/>
  <c r="U554" i="9"/>
  <c r="W554" i="9" s="1"/>
  <c r="U516" i="9"/>
  <c r="U517" i="9"/>
  <c r="U175" i="9"/>
  <c r="W175" i="9" s="1"/>
  <c r="U564" i="9"/>
  <c r="W564" i="9" s="1"/>
  <c r="O531" i="9"/>
  <c r="T219" i="9"/>
  <c r="X173" i="9"/>
  <c r="U542" i="9"/>
  <c r="R66" i="23"/>
  <c r="R32" i="23"/>
  <c r="T388" i="23"/>
  <c r="T387" i="23" s="1"/>
  <c r="Q460" i="23"/>
  <c r="Q443" i="23" s="1"/>
  <c r="Q445" i="23" s="1"/>
  <c r="U533" i="9"/>
  <c r="U545" i="9"/>
  <c r="W545" i="9" s="1"/>
  <c r="X481" i="9"/>
  <c r="F543" i="9"/>
  <c r="I536" i="9"/>
  <c r="N565" i="23"/>
  <c r="T593" i="23"/>
  <c r="T513" i="23"/>
  <c r="U514" i="23"/>
  <c r="U513" i="23" s="1"/>
  <c r="X639" i="8"/>
  <c r="T508" i="23"/>
  <c r="F539" i="7"/>
  <c r="L633" i="7"/>
  <c r="M633" i="7" s="1"/>
  <c r="N539" i="7"/>
  <c r="T633" i="7"/>
  <c r="U633" i="7" s="1"/>
  <c r="W541" i="7"/>
  <c r="T402" i="7"/>
  <c r="I222" i="7"/>
  <c r="G177" i="7"/>
  <c r="H177" i="7" s="1"/>
  <c r="T204" i="7"/>
  <c r="U204" i="7" s="1"/>
  <c r="W683" i="7"/>
  <c r="U682" i="7"/>
  <c r="S284" i="7"/>
  <c r="S263" i="7"/>
  <c r="O42" i="7"/>
  <c r="I32" i="7"/>
  <c r="T590" i="23"/>
  <c r="M586" i="23"/>
  <c r="M585" i="23" s="1"/>
  <c r="L585" i="23"/>
  <c r="U586" i="23"/>
  <c r="T585" i="23"/>
  <c r="V594" i="23"/>
  <c r="W594" i="23" s="1"/>
  <c r="V517" i="23"/>
  <c r="T538" i="23"/>
  <c r="T543" i="23"/>
  <c r="O66" i="23"/>
  <c r="M601" i="23"/>
  <c r="M600" i="23" s="1"/>
  <c r="W215" i="23"/>
  <c r="M571" i="23"/>
  <c r="M570" i="23" s="1"/>
  <c r="T396" i="23"/>
  <c r="U396" i="23" s="1"/>
  <c r="W396" i="23" s="1"/>
  <c r="W636" i="13"/>
  <c r="X478" i="7"/>
  <c r="Q343" i="7"/>
  <c r="T53" i="13"/>
  <c r="V66" i="9"/>
  <c r="R49" i="15"/>
  <c r="T53" i="15"/>
  <c r="T36" i="8"/>
  <c r="T45" i="15"/>
  <c r="Q42" i="7"/>
  <c r="O49" i="23"/>
  <c r="W416" i="23"/>
  <c r="X416" i="23"/>
  <c r="S338" i="23"/>
  <c r="U601" i="23"/>
  <c r="W372" i="9"/>
  <c r="U438" i="18"/>
  <c r="W438" i="18" s="1"/>
  <c r="U415" i="18"/>
  <c r="W415" i="18" s="1"/>
  <c r="U528" i="18"/>
  <c r="W528" i="18" s="1"/>
  <c r="K346" i="19"/>
  <c r="N346" i="19" s="1"/>
  <c r="W639" i="13"/>
  <c r="W562" i="18"/>
  <c r="U540" i="18"/>
  <c r="W540" i="18" s="1"/>
  <c r="I543" i="11"/>
  <c r="T524" i="8"/>
  <c r="P530" i="8"/>
  <c r="X173" i="19"/>
  <c r="G36" i="18"/>
  <c r="L36" i="18" s="1"/>
  <c r="M36" i="18" s="1"/>
  <c r="F530" i="18"/>
  <c r="F531" i="18" s="1"/>
  <c r="F532" i="18" s="1"/>
  <c r="H344" i="18"/>
  <c r="L344" i="18" s="1"/>
  <c r="S530" i="18"/>
  <c r="S531" i="18" s="1"/>
  <c r="N530" i="18"/>
  <c r="W173" i="18"/>
  <c r="X173" i="18"/>
  <c r="L524" i="15"/>
  <c r="M524" i="15" s="1"/>
  <c r="W100" i="15"/>
  <c r="U655" i="13"/>
  <c r="H207" i="23"/>
  <c r="G344" i="13"/>
  <c r="G345" i="13" s="1"/>
  <c r="U65" i="13"/>
  <c r="X65" i="13" s="1"/>
  <c r="H219" i="23"/>
  <c r="U360" i="19"/>
  <c r="T53" i="18"/>
  <c r="U483" i="13"/>
  <c r="W483" i="13" s="1"/>
  <c r="M483" i="13"/>
  <c r="W498" i="19"/>
  <c r="W220" i="8"/>
  <c r="U534" i="8"/>
  <c r="T390" i="23"/>
  <c r="W100" i="8"/>
  <c r="U23" i="8"/>
  <c r="R32" i="8"/>
  <c r="P54" i="8"/>
  <c r="I216" i="23"/>
  <c r="O174" i="23"/>
  <c r="U498" i="7"/>
  <c r="W498" i="7" s="1"/>
  <c r="U53" i="15"/>
  <c r="W53" i="15" s="1"/>
  <c r="U144" i="13"/>
  <c r="W144" i="13" s="1"/>
  <c r="T20" i="18"/>
  <c r="U100" i="18"/>
  <c r="W100" i="18" s="1"/>
  <c r="R54" i="18"/>
  <c r="T50" i="18"/>
  <c r="T49" i="18" s="1"/>
  <c r="T43" i="18"/>
  <c r="V25" i="18"/>
  <c r="L20" i="18"/>
  <c r="M20" i="18" s="1"/>
  <c r="U29" i="18"/>
  <c r="U31" i="18"/>
  <c r="T99" i="18"/>
  <c r="R42" i="18"/>
  <c r="U48" i="18"/>
  <c r="W48" i="18" s="1"/>
  <c r="V21" i="18"/>
  <c r="T47" i="18"/>
  <c r="L231" i="23"/>
  <c r="W513" i="9"/>
  <c r="L48" i="8"/>
  <c r="M48" i="8" s="1"/>
  <c r="U483" i="18"/>
  <c r="W483" i="18" s="1"/>
  <c r="U483" i="15"/>
  <c r="W483" i="15" s="1"/>
  <c r="U477" i="9"/>
  <c r="W477" i="9" s="1"/>
  <c r="U483" i="9"/>
  <c r="W483" i="9" s="1"/>
  <c r="U30" i="9"/>
  <c r="U635" i="8"/>
  <c r="W635" i="8" s="1"/>
  <c r="L343" i="19"/>
  <c r="M343" i="19" s="1"/>
  <c r="U547" i="18"/>
  <c r="W547" i="18" s="1"/>
  <c r="X142" i="13"/>
  <c r="U53" i="8"/>
  <c r="W53" i="8" s="1"/>
  <c r="W197" i="7"/>
  <c r="W196" i="7" s="1"/>
  <c r="R531" i="19"/>
  <c r="N526" i="13"/>
  <c r="L547" i="13"/>
  <c r="M547" i="13" s="1"/>
  <c r="H549" i="13"/>
  <c r="L524" i="11"/>
  <c r="M524" i="11" s="1"/>
  <c r="L564" i="11"/>
  <c r="S18" i="7"/>
  <c r="S3" i="7" s="1"/>
  <c r="S378" i="19"/>
  <c r="X144" i="8"/>
  <c r="L482" i="8"/>
  <c r="M482" i="8" s="1"/>
  <c r="S479" i="15"/>
  <c r="M341" i="19"/>
  <c r="M340" i="19" s="1"/>
  <c r="T343" i="11"/>
  <c r="G346" i="11"/>
  <c r="H346" i="11" s="1"/>
  <c r="I346" i="11" s="1"/>
  <c r="J346" i="11" s="1"/>
  <c r="K346" i="11" s="1"/>
  <c r="L357" i="7"/>
  <c r="S336" i="7"/>
  <c r="S333" i="7"/>
  <c r="U234" i="19"/>
  <c r="W220" i="19"/>
  <c r="V42" i="19"/>
  <c r="V45" i="19"/>
  <c r="V28" i="19" s="1"/>
  <c r="S207" i="7"/>
  <c r="F42" i="19"/>
  <c r="F45" i="19"/>
  <c r="U647" i="7"/>
  <c r="T36" i="9"/>
  <c r="G534" i="23"/>
  <c r="L422" i="7"/>
  <c r="M422" i="7" s="1"/>
  <c r="M31" i="7"/>
  <c r="U438" i="19"/>
  <c r="W438" i="19" s="1"/>
  <c r="U24" i="19"/>
  <c r="W24" i="19" s="1"/>
  <c r="T186" i="19"/>
  <c r="U187" i="19"/>
  <c r="T189" i="19"/>
  <c r="U189" i="19" s="1"/>
  <c r="T524" i="18"/>
  <c r="U535" i="18"/>
  <c r="V526" i="18"/>
  <c r="U477" i="18"/>
  <c r="W477" i="18" s="1"/>
  <c r="S500" i="18"/>
  <c r="R425" i="18"/>
  <c r="U31" i="15"/>
  <c r="T537" i="13"/>
  <c r="U533" i="13"/>
  <c r="V20" i="13"/>
  <c r="R345" i="11"/>
  <c r="K37" i="11"/>
  <c r="W438" i="9"/>
  <c r="S50" i="9"/>
  <c r="S54" i="9" s="1"/>
  <c r="R69" i="23"/>
  <c r="W541" i="8"/>
  <c r="S147" i="8"/>
  <c r="T66" i="8"/>
  <c r="T530" i="7"/>
  <c r="S42" i="7"/>
  <c r="V530" i="15"/>
  <c r="R343" i="7"/>
  <c r="T42" i="18"/>
  <c r="T36" i="18"/>
  <c r="S536" i="13"/>
  <c r="S520" i="13"/>
  <c r="N536" i="13"/>
  <c r="N520" i="13"/>
  <c r="U402" i="9"/>
  <c r="W403" i="9"/>
  <c r="W402" i="9" s="1"/>
  <c r="M100" i="9"/>
  <c r="U100" i="9"/>
  <c r="O52" i="11"/>
  <c r="T204" i="8"/>
  <c r="U234" i="8"/>
  <c r="T311" i="11"/>
  <c r="U311" i="11" s="1"/>
  <c r="U605" i="13"/>
  <c r="T144" i="9"/>
  <c r="T524" i="11"/>
  <c r="I520" i="11"/>
  <c r="U512" i="15"/>
  <c r="U523" i="18"/>
  <c r="W523" i="18" s="1"/>
  <c r="L219" i="19"/>
  <c r="M219" i="19" s="1"/>
  <c r="U564" i="7"/>
  <c r="W564" i="7" s="1"/>
  <c r="H531" i="13"/>
  <c r="U405" i="15"/>
  <c r="T480" i="15"/>
  <c r="L524" i="18"/>
  <c r="M524" i="18" s="1"/>
  <c r="V536" i="18"/>
  <c r="T494" i="19"/>
  <c r="T630" i="15"/>
  <c r="M638" i="18"/>
  <c r="M637" i="18" s="1"/>
  <c r="W608" i="19"/>
  <c r="X170" i="7"/>
  <c r="M212" i="9"/>
  <c r="M211" i="9" s="1"/>
  <c r="W145" i="9"/>
  <c r="U608" i="11"/>
  <c r="X608" i="11" s="1"/>
  <c r="U175" i="11"/>
  <c r="W175" i="11" s="1"/>
  <c r="U707" i="13"/>
  <c r="X608" i="15"/>
  <c r="W712" i="18"/>
  <c r="U360" i="18"/>
  <c r="X360" i="18" s="1"/>
  <c r="I519" i="19"/>
  <c r="V20" i="8"/>
  <c r="S50" i="8"/>
  <c r="S49" i="8" s="1"/>
  <c r="S519" i="11"/>
  <c r="W552" i="11"/>
  <c r="U175" i="15"/>
  <c r="U638" i="19"/>
  <c r="W638" i="19" s="1"/>
  <c r="W637" i="19" s="1"/>
  <c r="U631" i="18"/>
  <c r="U630" i="18" s="1"/>
  <c r="L630" i="18"/>
  <c r="Q543" i="19"/>
  <c r="Q548" i="19"/>
  <c r="W212" i="18"/>
  <c r="W211" i="18" s="1"/>
  <c r="V220" i="13"/>
  <c r="V36" i="13" s="1"/>
  <c r="S314" i="15"/>
  <c r="S500" i="19"/>
  <c r="K333" i="7"/>
  <c r="L360" i="7"/>
  <c r="M360" i="7" s="1"/>
  <c r="R536" i="11"/>
  <c r="I269" i="19"/>
  <c r="J269" i="19" s="1"/>
  <c r="K269" i="19" s="1"/>
  <c r="N269" i="19" s="1"/>
  <c r="O269" i="19" s="1"/>
  <c r="P269" i="19" s="1"/>
  <c r="Q269" i="19" s="1"/>
  <c r="R269" i="19" s="1"/>
  <c r="S269" i="19" s="1"/>
  <c r="T259" i="7"/>
  <c r="Q531" i="19"/>
  <c r="U471" i="18"/>
  <c r="U31" i="9"/>
  <c r="J32" i="15"/>
  <c r="S42" i="15"/>
  <c r="T43" i="15"/>
  <c r="U423" i="19"/>
  <c r="W423" i="19" s="1"/>
  <c r="H72" i="19"/>
  <c r="I72" i="19" s="1"/>
  <c r="L69" i="19"/>
  <c r="M69" i="19" s="1"/>
  <c r="O49" i="8"/>
  <c r="I32" i="13"/>
  <c r="L422" i="18"/>
  <c r="M422" i="18" s="1"/>
  <c r="K37" i="13"/>
  <c r="O32" i="7"/>
  <c r="U31" i="8"/>
  <c r="G42" i="8"/>
  <c r="L36" i="13"/>
  <c r="M36" i="13" s="1"/>
  <c r="N219" i="23"/>
  <c r="T48" i="23"/>
  <c r="U48" i="23" s="1"/>
  <c r="X48" i="23" s="1"/>
  <c r="T231" i="9"/>
  <c r="U232" i="9"/>
  <c r="U196" i="15"/>
  <c r="W197" i="15"/>
  <c r="W196" i="15" s="1"/>
  <c r="U545" i="18"/>
  <c r="W545" i="18" s="1"/>
  <c r="H547" i="8"/>
  <c r="L547" i="8" s="1"/>
  <c r="M547" i="8" s="1"/>
  <c r="H524" i="8"/>
  <c r="H336" i="7"/>
  <c r="H333" i="7"/>
  <c r="R174" i="23"/>
  <c r="P49" i="8"/>
  <c r="S401" i="23"/>
  <c r="T401" i="23" s="1"/>
  <c r="U401" i="23" s="1"/>
  <c r="W401" i="23" s="1"/>
  <c r="W513" i="18"/>
  <c r="T17" i="8"/>
  <c r="U22" i="13"/>
  <c r="U34" i="8"/>
  <c r="N343" i="7"/>
  <c r="U24" i="18"/>
  <c r="W24" i="18" s="1"/>
  <c r="K32" i="13"/>
  <c r="U41" i="18"/>
  <c r="W41" i="18" s="1"/>
  <c r="K425" i="7"/>
  <c r="N425" i="7" s="1"/>
  <c r="U288" i="23"/>
  <c r="V50" i="13"/>
  <c r="V49" i="13" s="1"/>
  <c r="L256" i="18"/>
  <c r="W234" i="18"/>
  <c r="K32" i="15"/>
  <c r="G42" i="19"/>
  <c r="Q35" i="19"/>
  <c r="U23" i="13"/>
  <c r="G527" i="15"/>
  <c r="G526" i="15" s="1"/>
  <c r="G543" i="15"/>
  <c r="L554" i="23"/>
  <c r="L553" i="23" s="1"/>
  <c r="S69" i="8"/>
  <c r="S35" i="8" s="1"/>
  <c r="T35" i="8" s="1"/>
  <c r="T144" i="23"/>
  <c r="J49" i="8"/>
  <c r="S69" i="13"/>
  <c r="T99" i="13"/>
  <c r="U48" i="11"/>
  <c r="W48" i="11" s="1"/>
  <c r="U31" i="11"/>
  <c r="I49" i="8"/>
  <c r="U31" i="13"/>
  <c r="U24" i="13"/>
  <c r="W24" i="13" s="1"/>
  <c r="O37" i="23"/>
  <c r="V262" i="23"/>
  <c r="I393" i="23"/>
  <c r="J393" i="23" s="1"/>
  <c r="K393" i="23" s="1"/>
  <c r="N393" i="23" s="1"/>
  <c r="O393" i="23" s="1"/>
  <c r="P393" i="23" s="1"/>
  <c r="Q393" i="23" s="1"/>
  <c r="R393" i="23" s="1"/>
  <c r="S393" i="23" s="1"/>
  <c r="U53" i="13"/>
  <c r="W53" i="13" s="1"/>
  <c r="R21" i="18"/>
  <c r="T528" i="23"/>
  <c r="U529" i="23"/>
  <c r="U528" i="23" s="1"/>
  <c r="S360" i="7"/>
  <c r="T360" i="7" s="1"/>
  <c r="U360" i="7" s="1"/>
  <c r="W360" i="7" s="1"/>
  <c r="S266" i="18"/>
  <c r="T266" i="18" s="1"/>
  <c r="I425" i="11"/>
  <c r="S219" i="7"/>
  <c r="T234" i="23"/>
  <c r="T437" i="7"/>
  <c r="U437" i="7" s="1"/>
  <c r="O18" i="7"/>
  <c r="O3" i="7" s="1"/>
  <c r="U46" i="15"/>
  <c r="W46" i="15" s="1"/>
  <c r="I32" i="15"/>
  <c r="U34" i="15"/>
  <c r="W34" i="15" s="1"/>
  <c r="U40" i="15"/>
  <c r="U47" i="15"/>
  <c r="W47" i="15" s="1"/>
  <c r="U53" i="19"/>
  <c r="W53" i="19" s="1"/>
  <c r="U62" i="19"/>
  <c r="U48" i="7"/>
  <c r="W48" i="7" s="1"/>
  <c r="U47" i="8"/>
  <c r="W47" i="8" s="1"/>
  <c r="U51" i="8"/>
  <c r="W51" i="8" s="1"/>
  <c r="U36" i="9"/>
  <c r="W36" i="9" s="1"/>
  <c r="U34" i="9"/>
  <c r="W34" i="9" s="1"/>
  <c r="U24" i="7"/>
  <c r="W24" i="7" s="1"/>
  <c r="U40" i="9"/>
  <c r="U47" i="11"/>
  <c r="W47" i="11" s="1"/>
  <c r="U34" i="11"/>
  <c r="W34" i="11" s="1"/>
  <c r="U51" i="13"/>
  <c r="W51" i="13" s="1"/>
  <c r="U48" i="9"/>
  <c r="W48" i="9" s="1"/>
  <c r="T53" i="7"/>
  <c r="U53" i="7" s="1"/>
  <c r="F42" i="8"/>
  <c r="S42" i="8"/>
  <c r="U29" i="9"/>
  <c r="J42" i="13"/>
  <c r="R42" i="7"/>
  <c r="G42" i="13"/>
  <c r="K42" i="13"/>
  <c r="T226" i="23"/>
  <c r="U227" i="23"/>
  <c r="V217" i="23"/>
  <c r="V216" i="23" s="1"/>
  <c r="V235" i="23"/>
  <c r="J219" i="23"/>
  <c r="S273" i="23"/>
  <c r="S276" i="23"/>
  <c r="S257" i="23"/>
  <c r="T608" i="7"/>
  <c r="U608" i="7" s="1"/>
  <c r="X608" i="7" s="1"/>
  <c r="H488" i="23"/>
  <c r="L528" i="23"/>
  <c r="M529" i="23"/>
  <c r="M528" i="23" s="1"/>
  <c r="M568" i="23"/>
  <c r="U568" i="23"/>
  <c r="T186" i="23"/>
  <c r="U187" i="23"/>
  <c r="U186" i="23" s="1"/>
  <c r="V361" i="23"/>
  <c r="W361" i="23" s="1"/>
  <c r="V343" i="23"/>
  <c r="R460" i="23"/>
  <c r="R443" i="23" s="1"/>
  <c r="R445" i="23" s="1"/>
  <c r="R476" i="23"/>
  <c r="T635" i="23"/>
  <c r="T31" i="23"/>
  <c r="U31" i="23" s="1"/>
  <c r="X31" i="23" s="1"/>
  <c r="T65" i="23"/>
  <c r="U65" i="23" s="1"/>
  <c r="X65" i="23" s="1"/>
  <c r="V190" i="23"/>
  <c r="W190" i="23" s="1"/>
  <c r="O176" i="23"/>
  <c r="O171" i="23"/>
  <c r="L196" i="23"/>
  <c r="M197" i="23"/>
  <c r="M196" i="23" s="1"/>
  <c r="K219" i="23"/>
  <c r="T212" i="23"/>
  <c r="V250" i="23"/>
  <c r="W250" i="23" s="1"/>
  <c r="S432" i="23"/>
  <c r="S437" i="23"/>
  <c r="I565" i="23"/>
  <c r="S560" i="23"/>
  <c r="S580" i="23"/>
  <c r="S342" i="23"/>
  <c r="S347" i="23"/>
  <c r="O254" i="23"/>
  <c r="T254" i="23" s="1"/>
  <c r="T271" i="23"/>
  <c r="X324" i="23"/>
  <c r="W324" i="23"/>
  <c r="U27" i="19"/>
  <c r="I166" i="23"/>
  <c r="O166" i="23"/>
  <c r="M187" i="23"/>
  <c r="M186" i="23" s="1"/>
  <c r="L186" i="23"/>
  <c r="J221" i="23"/>
  <c r="J216" i="23"/>
  <c r="N221" i="23"/>
  <c r="N216" i="23"/>
  <c r="V532" i="23"/>
  <c r="N171" i="23"/>
  <c r="N176" i="23"/>
  <c r="M227" i="23"/>
  <c r="M226" i="23" s="1"/>
  <c r="L226" i="23"/>
  <c r="M321" i="23"/>
  <c r="M320" i="23" s="1"/>
  <c r="L320" i="23"/>
  <c r="L382" i="23"/>
  <c r="M383" i="23"/>
  <c r="M382" i="23" s="1"/>
  <c r="S251" i="23"/>
  <c r="S246" i="23"/>
  <c r="U182" i="23"/>
  <c r="T181" i="23"/>
  <c r="X185" i="23"/>
  <c r="W185" i="23"/>
  <c r="I192" i="23"/>
  <c r="J192" i="23" s="1"/>
  <c r="K192" i="23" s="1"/>
  <c r="N192" i="23" s="1"/>
  <c r="O192" i="23" s="1"/>
  <c r="P192" i="23" s="1"/>
  <c r="Q192" i="23" s="1"/>
  <c r="R192" i="23" s="1"/>
  <c r="G176" i="23"/>
  <c r="G171" i="23"/>
  <c r="N166" i="23"/>
  <c r="T167" i="23"/>
  <c r="T201" i="23"/>
  <c r="G211" i="23"/>
  <c r="K211" i="23"/>
  <c r="K216" i="23"/>
  <c r="K221" i="23"/>
  <c r="L212" i="23"/>
  <c r="T241" i="23"/>
  <c r="U242" i="23"/>
  <c r="M388" i="23"/>
  <c r="M387" i="23" s="1"/>
  <c r="L387" i="23"/>
  <c r="V502" i="23"/>
  <c r="W497" i="23"/>
  <c r="R483" i="23"/>
  <c r="W426" i="23"/>
  <c r="X431" i="23"/>
  <c r="L189" i="23"/>
  <c r="M189" i="23" s="1"/>
  <c r="N283" i="23"/>
  <c r="S172" i="23"/>
  <c r="S186" i="23"/>
  <c r="S191" i="23"/>
  <c r="T608" i="23"/>
  <c r="Q283" i="23"/>
  <c r="T638" i="23"/>
  <c r="N52" i="13"/>
  <c r="T204" i="23"/>
  <c r="U30" i="13"/>
  <c r="O219" i="23"/>
  <c r="F171" i="23"/>
  <c r="F176" i="23"/>
  <c r="F177" i="23" s="1"/>
  <c r="N280" i="23"/>
  <c r="N285" i="23"/>
  <c r="S528" i="23"/>
  <c r="S533" i="23"/>
  <c r="N460" i="23"/>
  <c r="N443" i="23" s="1"/>
  <c r="N445" i="23" s="1"/>
  <c r="N476" i="23"/>
  <c r="N488" i="23"/>
  <c r="N483" i="23"/>
  <c r="N467" i="23"/>
  <c r="N450" i="23" s="1"/>
  <c r="T523" i="23"/>
  <c r="Q483" i="23"/>
  <c r="Q467" i="23"/>
  <c r="Q450" i="23" s="1"/>
  <c r="L271" i="23"/>
  <c r="M271" i="23" s="1"/>
  <c r="F254" i="23"/>
  <c r="L254" i="23" s="1"/>
  <c r="M254" i="23" s="1"/>
  <c r="L551" i="23"/>
  <c r="I457" i="23"/>
  <c r="I440" i="23" s="1"/>
  <c r="R176" i="23"/>
  <c r="R171" i="23"/>
  <c r="L217" i="23"/>
  <c r="F221" i="23"/>
  <c r="F222" i="23" s="1"/>
  <c r="F216" i="23"/>
  <c r="R221" i="23"/>
  <c r="R216" i="23"/>
  <c r="V338" i="23"/>
  <c r="V335" i="23"/>
  <c r="V397" i="23"/>
  <c r="V436" i="23"/>
  <c r="W436" i="23" s="1"/>
  <c r="N560" i="23"/>
  <c r="W95" i="23"/>
  <c r="X95" i="23"/>
  <c r="P166" i="23"/>
  <c r="R166" i="23"/>
  <c r="V166" i="23"/>
  <c r="V172" i="23"/>
  <c r="F166" i="23"/>
  <c r="L167" i="23"/>
  <c r="J166" i="23"/>
  <c r="V205" i="23"/>
  <c r="W205" i="23" s="1"/>
  <c r="G216" i="23"/>
  <c r="G221" i="23"/>
  <c r="Q216" i="23"/>
  <c r="Q221" i="23"/>
  <c r="V211" i="23"/>
  <c r="L246" i="23"/>
  <c r="M247" i="23"/>
  <c r="M246" i="23" s="1"/>
  <c r="T246" i="23"/>
  <c r="U247" i="23"/>
  <c r="U246" i="23" s="1"/>
  <c r="S503" i="23"/>
  <c r="S498" i="23"/>
  <c r="Q565" i="23"/>
  <c r="M606" i="23"/>
  <c r="M605" i="23" s="1"/>
  <c r="L605" i="23"/>
  <c r="G488" i="23"/>
  <c r="K488" i="23"/>
  <c r="S262" i="23"/>
  <c r="T262" i="23" s="1"/>
  <c r="U262" i="23" s="1"/>
  <c r="X262" i="23" s="1"/>
  <c r="T279" i="23"/>
  <c r="U279" i="23" s="1"/>
  <c r="W24" i="23"/>
  <c r="L249" i="23"/>
  <c r="M249" i="23" s="1"/>
  <c r="P176" i="23"/>
  <c r="P171" i="23"/>
  <c r="H221" i="23"/>
  <c r="H216" i="23"/>
  <c r="T231" i="23"/>
  <c r="U232" i="23"/>
  <c r="U231" i="23" s="1"/>
  <c r="P221" i="23"/>
  <c r="P216" i="23"/>
  <c r="R320" i="23"/>
  <c r="R274" i="23"/>
  <c r="T321" i="23"/>
  <c r="V329" i="23"/>
  <c r="W329" i="23" s="1"/>
  <c r="T382" i="23"/>
  <c r="U383" i="23"/>
  <c r="V391" i="23"/>
  <c r="W391" i="23" s="1"/>
  <c r="V403" i="23"/>
  <c r="T249" i="23"/>
  <c r="L181" i="23"/>
  <c r="M182" i="23"/>
  <c r="M181" i="23" s="1"/>
  <c r="W170" i="23"/>
  <c r="X170" i="23"/>
  <c r="L234" i="23"/>
  <c r="M234" i="23" s="1"/>
  <c r="G219" i="23"/>
  <c r="Q219" i="23"/>
  <c r="H252" i="23"/>
  <c r="I252" i="23" s="1"/>
  <c r="J252" i="23" s="1"/>
  <c r="K252" i="23" s="1"/>
  <c r="N252" i="23" s="1"/>
  <c r="O252" i="23" s="1"/>
  <c r="P252" i="23" s="1"/>
  <c r="Q252" i="23" s="1"/>
  <c r="R252" i="23" s="1"/>
  <c r="V273" i="23"/>
  <c r="V257" i="23"/>
  <c r="V276" i="23"/>
  <c r="V281" i="23"/>
  <c r="V299" i="23"/>
  <c r="W299" i="23" s="1"/>
  <c r="V476" i="23"/>
  <c r="T446" i="23"/>
  <c r="U446" i="23" s="1"/>
  <c r="T482" i="23"/>
  <c r="U482" i="23" s="1"/>
  <c r="V579" i="23"/>
  <c r="T605" i="23"/>
  <c r="U606" i="23"/>
  <c r="R488" i="23"/>
  <c r="S146" i="23"/>
  <c r="T142" i="23"/>
  <c r="N174" i="23"/>
  <c r="S231" i="23"/>
  <c r="S236" i="23"/>
  <c r="S217" i="23"/>
  <c r="S206" i="23"/>
  <c r="F219" i="23"/>
  <c r="L608" i="23"/>
  <c r="M608" i="23" s="1"/>
  <c r="L390" i="23"/>
  <c r="M390" i="23" s="1"/>
  <c r="R219" i="23"/>
  <c r="O69" i="23"/>
  <c r="U40" i="7"/>
  <c r="T36" i="7"/>
  <c r="U36" i="7" s="1"/>
  <c r="U22" i="7"/>
  <c r="W65" i="7"/>
  <c r="X65" i="7"/>
  <c r="L47" i="18"/>
  <c r="M47" i="18" s="1"/>
  <c r="S343" i="13"/>
  <c r="T422" i="9"/>
  <c r="S343" i="9"/>
  <c r="T69" i="8"/>
  <c r="S345" i="13"/>
  <c r="S340" i="13"/>
  <c r="X360" i="19"/>
  <c r="W360" i="19"/>
  <c r="S49" i="11"/>
  <c r="S54" i="11"/>
  <c r="S54" i="8"/>
  <c r="U144" i="11"/>
  <c r="W29" i="11"/>
  <c r="W30" i="11"/>
  <c r="W30" i="8"/>
  <c r="W29" i="8"/>
  <c r="Q408" i="8"/>
  <c r="R408" i="8" s="1"/>
  <c r="S408" i="8" s="1"/>
  <c r="W29" i="13"/>
  <c r="W30" i="13"/>
  <c r="P408" i="15"/>
  <c r="Q408" i="15" s="1"/>
  <c r="R408" i="15" s="1"/>
  <c r="S408" i="15" s="1"/>
  <c r="T422" i="15"/>
  <c r="U422" i="15" s="1"/>
  <c r="S343" i="15"/>
  <c r="T343" i="15" s="1"/>
  <c r="S33" i="9"/>
  <c r="Q52" i="9"/>
  <c r="N35" i="13"/>
  <c r="R35" i="13"/>
  <c r="N35" i="18"/>
  <c r="R28" i="18"/>
  <c r="U51" i="19"/>
  <c r="W51" i="19" s="1"/>
  <c r="V50" i="11"/>
  <c r="U30" i="7"/>
  <c r="O52" i="8"/>
  <c r="U46" i="9"/>
  <c r="S33" i="11"/>
  <c r="T33" i="11" s="1"/>
  <c r="F28" i="11"/>
  <c r="L66" i="11"/>
  <c r="M67" i="11"/>
  <c r="M66" i="11" s="1"/>
  <c r="F49" i="11"/>
  <c r="F54" i="11"/>
  <c r="F55" i="11" s="1"/>
  <c r="L50" i="11"/>
  <c r="F37" i="11"/>
  <c r="F38" i="11" s="1"/>
  <c r="F32" i="11"/>
  <c r="L33" i="11"/>
  <c r="H32" i="11"/>
  <c r="H37" i="11"/>
  <c r="H54" i="11"/>
  <c r="H49" i="11"/>
  <c r="U39" i="11"/>
  <c r="U24" i="11"/>
  <c r="J336" i="11"/>
  <c r="J333" i="11"/>
  <c r="Q336" i="11"/>
  <c r="Q333" i="11"/>
  <c r="U29" i="13"/>
  <c r="L70" i="18"/>
  <c r="M70" i="18" s="1"/>
  <c r="F333" i="18"/>
  <c r="F336" i="18"/>
  <c r="J336" i="18"/>
  <c r="J333" i="18"/>
  <c r="U413" i="18"/>
  <c r="T412" i="18"/>
  <c r="S345" i="11"/>
  <c r="S340" i="11"/>
  <c r="K35" i="7"/>
  <c r="U39" i="7"/>
  <c r="S33" i="8"/>
  <c r="T33" i="8" s="1"/>
  <c r="T32" i="8" s="1"/>
  <c r="U22" i="9"/>
  <c r="U24" i="9"/>
  <c r="W24" i="9" s="1"/>
  <c r="Q35" i="11"/>
  <c r="Q21" i="11" s="1"/>
  <c r="G37" i="11"/>
  <c r="G32" i="11"/>
  <c r="U53" i="11"/>
  <c r="W53" i="11" s="1"/>
  <c r="N20" i="11"/>
  <c r="T20" i="11" s="1"/>
  <c r="F45" i="13"/>
  <c r="L45" i="13" s="1"/>
  <c r="M45" i="13" s="1"/>
  <c r="L43" i="13"/>
  <c r="U350" i="13"/>
  <c r="W351" i="13"/>
  <c r="W350" i="13" s="1"/>
  <c r="U415" i="13"/>
  <c r="W415" i="13" s="1"/>
  <c r="O336" i="15"/>
  <c r="O333" i="15"/>
  <c r="G333" i="18"/>
  <c r="G336" i="18"/>
  <c r="H52" i="7"/>
  <c r="K54" i="13"/>
  <c r="K49" i="13"/>
  <c r="W358" i="9"/>
  <c r="W357" i="9" s="1"/>
  <c r="V357" i="9"/>
  <c r="I54" i="7"/>
  <c r="I49" i="7"/>
  <c r="H37" i="7"/>
  <c r="H32" i="7"/>
  <c r="N37" i="7"/>
  <c r="N32" i="7"/>
  <c r="V33" i="8"/>
  <c r="V32" i="8" s="1"/>
  <c r="F343" i="13"/>
  <c r="S424" i="18"/>
  <c r="S419" i="18"/>
  <c r="R49" i="13"/>
  <c r="R54" i="13"/>
  <c r="I54" i="9"/>
  <c r="I49" i="9"/>
  <c r="H54" i="13"/>
  <c r="H49" i="13"/>
  <c r="J37" i="9"/>
  <c r="T31" i="7"/>
  <c r="U31" i="7" s="1"/>
  <c r="U51" i="7"/>
  <c r="N45" i="7"/>
  <c r="T45" i="7" s="1"/>
  <c r="T43" i="7"/>
  <c r="U39" i="8"/>
  <c r="U40" i="8"/>
  <c r="U41" i="8"/>
  <c r="U36" i="8"/>
  <c r="W34" i="8"/>
  <c r="U47" i="9"/>
  <c r="W47" i="9" s="1"/>
  <c r="U51" i="9"/>
  <c r="W51" i="9" s="1"/>
  <c r="W65" i="11"/>
  <c r="X65" i="11"/>
  <c r="J49" i="11"/>
  <c r="J54" i="11"/>
  <c r="T66" i="11"/>
  <c r="U67" i="11"/>
  <c r="N37" i="11"/>
  <c r="N32" i="11"/>
  <c r="Q49" i="11"/>
  <c r="Q54" i="11"/>
  <c r="J42" i="11"/>
  <c r="G18" i="11"/>
  <c r="G3" i="11" s="1"/>
  <c r="H336" i="11"/>
  <c r="H333" i="11"/>
  <c r="U350" i="11"/>
  <c r="X358" i="11"/>
  <c r="W351" i="11"/>
  <c r="W350" i="11" s="1"/>
  <c r="L340" i="11"/>
  <c r="M341" i="11"/>
  <c r="M340" i="11" s="1"/>
  <c r="Q340" i="11"/>
  <c r="Q345" i="11"/>
  <c r="U39" i="13"/>
  <c r="F42" i="13"/>
  <c r="U46" i="13"/>
  <c r="U47" i="13"/>
  <c r="W339" i="15"/>
  <c r="M413" i="18"/>
  <c r="M412" i="18" s="1"/>
  <c r="L412" i="18"/>
  <c r="S33" i="13"/>
  <c r="N37" i="9"/>
  <c r="H54" i="9"/>
  <c r="H49" i="9"/>
  <c r="Q52" i="7"/>
  <c r="N42" i="7"/>
  <c r="Q37" i="7"/>
  <c r="K32" i="7"/>
  <c r="W65" i="8"/>
  <c r="J42" i="9"/>
  <c r="U412" i="9"/>
  <c r="W413" i="9"/>
  <c r="W412" i="9" s="1"/>
  <c r="I49" i="11"/>
  <c r="I54" i="11"/>
  <c r="O32" i="11"/>
  <c r="R49" i="11"/>
  <c r="R54" i="11"/>
  <c r="K42" i="11"/>
  <c r="U29" i="11"/>
  <c r="X34" i="11" s="1"/>
  <c r="L36" i="11"/>
  <c r="M36" i="11" s="1"/>
  <c r="T36" i="11"/>
  <c r="Q37" i="11"/>
  <c r="L20" i="11"/>
  <c r="M20" i="11" s="1"/>
  <c r="G336" i="11"/>
  <c r="G16" i="11" s="1"/>
  <c r="G333" i="11"/>
  <c r="O333" i="11"/>
  <c r="O336" i="11"/>
  <c r="O345" i="11"/>
  <c r="O340" i="11"/>
  <c r="U40" i="13"/>
  <c r="T36" i="13"/>
  <c r="R37" i="13"/>
  <c r="U48" i="13"/>
  <c r="W48" i="13" s="1"/>
  <c r="U34" i="13"/>
  <c r="W34" i="13" s="1"/>
  <c r="N45" i="13"/>
  <c r="N42" i="13"/>
  <c r="U353" i="13"/>
  <c r="W353" i="13" s="1"/>
  <c r="R54" i="7"/>
  <c r="R49" i="7"/>
  <c r="G49" i="13"/>
  <c r="G54" i="13"/>
  <c r="S422" i="18"/>
  <c r="S343" i="18" s="1"/>
  <c r="T343" i="18" s="1"/>
  <c r="O49" i="7"/>
  <c r="O54" i="7"/>
  <c r="K32" i="8"/>
  <c r="K37" i="8"/>
  <c r="H32" i="8"/>
  <c r="H37" i="8"/>
  <c r="N49" i="8"/>
  <c r="N54" i="8"/>
  <c r="G37" i="9"/>
  <c r="F42" i="9"/>
  <c r="Q49" i="9"/>
  <c r="Q54" i="9"/>
  <c r="O49" i="9"/>
  <c r="O54" i="9"/>
  <c r="N32" i="13"/>
  <c r="N37" i="13"/>
  <c r="N52" i="8"/>
  <c r="O35" i="11"/>
  <c r="J21" i="11"/>
  <c r="H35" i="9"/>
  <c r="P52" i="8"/>
  <c r="O35" i="7"/>
  <c r="T26" i="7"/>
  <c r="G52" i="11"/>
  <c r="I35" i="11"/>
  <c r="T334" i="11"/>
  <c r="F52" i="11"/>
  <c r="N52" i="7"/>
  <c r="R35" i="7"/>
  <c r="N35" i="9"/>
  <c r="P408" i="11"/>
  <c r="Q408" i="11" s="1"/>
  <c r="R408" i="11" s="1"/>
  <c r="S408" i="11" s="1"/>
  <c r="S470" i="7"/>
  <c r="I35" i="7"/>
  <c r="I52" i="7"/>
  <c r="P207" i="9"/>
  <c r="Q207" i="9" s="1"/>
  <c r="R207" i="9" s="1"/>
  <c r="S207" i="9" s="1"/>
  <c r="W29" i="9"/>
  <c r="W30" i="9"/>
  <c r="I35" i="9"/>
  <c r="I52" i="9"/>
  <c r="H35" i="13"/>
  <c r="H52" i="13"/>
  <c r="V36" i="8"/>
  <c r="Q207" i="8"/>
  <c r="R207" i="8" s="1"/>
  <c r="S207" i="8" s="1"/>
  <c r="J35" i="9"/>
  <c r="J52" i="9"/>
  <c r="P408" i="9"/>
  <c r="Q408" i="9" s="1"/>
  <c r="R408" i="9" s="1"/>
  <c r="S408" i="9" s="1"/>
  <c r="W27" i="13"/>
  <c r="V33" i="13"/>
  <c r="V32" i="13" s="1"/>
  <c r="U39" i="15"/>
  <c r="S33" i="18"/>
  <c r="T33" i="18" s="1"/>
  <c r="T32" i="18" s="1"/>
  <c r="V33" i="11"/>
  <c r="V32" i="11" s="1"/>
  <c r="J54" i="9"/>
  <c r="J49" i="9"/>
  <c r="U34" i="7"/>
  <c r="W34" i="7" s="1"/>
  <c r="T141" i="8"/>
  <c r="U142" i="8"/>
  <c r="U22" i="8"/>
  <c r="U24" i="8"/>
  <c r="U29" i="8"/>
  <c r="X34" i="8" s="1"/>
  <c r="F25" i="11"/>
  <c r="S25" i="11"/>
  <c r="U353" i="11"/>
  <c r="W353" i="11" s="1"/>
  <c r="S336" i="11"/>
  <c r="S16" i="11" s="1"/>
  <c r="S333" i="11"/>
  <c r="U64" i="18"/>
  <c r="U358" i="18"/>
  <c r="T357" i="18"/>
  <c r="U48" i="8"/>
  <c r="W48" i="8" s="1"/>
  <c r="T419" i="9"/>
  <c r="G72" i="11"/>
  <c r="H72" i="11" s="1"/>
  <c r="I72" i="11" s="1"/>
  <c r="J72" i="11" s="1"/>
  <c r="K72" i="11" s="1"/>
  <c r="N72" i="11" s="1"/>
  <c r="O72" i="11" s="1"/>
  <c r="P72" i="11" s="1"/>
  <c r="Q72" i="11" s="1"/>
  <c r="R72" i="11" s="1"/>
  <c r="S72" i="11" s="1"/>
  <c r="G54" i="11"/>
  <c r="G49" i="11"/>
  <c r="U46" i="11"/>
  <c r="H18" i="11"/>
  <c r="K333" i="11"/>
  <c r="K336" i="11"/>
  <c r="R28" i="13"/>
  <c r="L28" i="13"/>
  <c r="M28" i="13" s="1"/>
  <c r="M413" i="13"/>
  <c r="M412" i="13" s="1"/>
  <c r="L412" i="13"/>
  <c r="I333" i="18"/>
  <c r="I336" i="18"/>
  <c r="F343" i="18"/>
  <c r="L343" i="18" s="1"/>
  <c r="M343" i="18" s="1"/>
  <c r="V341" i="11"/>
  <c r="V357" i="11"/>
  <c r="W358" i="11"/>
  <c r="W357" i="11" s="1"/>
  <c r="W358" i="19"/>
  <c r="W357" i="19" s="1"/>
  <c r="V357" i="19"/>
  <c r="H49" i="7"/>
  <c r="H54" i="7"/>
  <c r="N49" i="7"/>
  <c r="N54" i="7"/>
  <c r="S424" i="13"/>
  <c r="S419" i="13"/>
  <c r="S341" i="18"/>
  <c r="I37" i="9"/>
  <c r="J37" i="8"/>
  <c r="J32" i="8"/>
  <c r="T422" i="18"/>
  <c r="H32" i="13"/>
  <c r="H37" i="13"/>
  <c r="K54" i="7"/>
  <c r="K49" i="7"/>
  <c r="Q49" i="7"/>
  <c r="Q54" i="7"/>
  <c r="R32" i="9"/>
  <c r="R37" i="9"/>
  <c r="F32" i="9"/>
  <c r="F37" i="9"/>
  <c r="F38" i="9" s="1"/>
  <c r="U23" i="7"/>
  <c r="U47" i="7"/>
  <c r="N28" i="7"/>
  <c r="U46" i="8"/>
  <c r="U30" i="8"/>
  <c r="X34" i="9"/>
  <c r="T53" i="9"/>
  <c r="U53" i="9" s="1"/>
  <c r="W53" i="9" s="1"/>
  <c r="J19" i="11"/>
  <c r="J12" i="11" s="1"/>
  <c r="J37" i="11"/>
  <c r="J32" i="11"/>
  <c r="N49" i="11"/>
  <c r="T50" i="11"/>
  <c r="N54" i="11"/>
  <c r="Q19" i="11"/>
  <c r="Q12" i="11" s="1"/>
  <c r="U22" i="11"/>
  <c r="U40" i="11"/>
  <c r="H42" i="11"/>
  <c r="U41" i="11"/>
  <c r="L334" i="11"/>
  <c r="N345" i="11"/>
  <c r="T341" i="11"/>
  <c r="N340" i="11"/>
  <c r="U41" i="13"/>
  <c r="S54" i="13"/>
  <c r="S336" i="15"/>
  <c r="S333" i="15"/>
  <c r="T420" i="18"/>
  <c r="U41" i="7"/>
  <c r="W41" i="7" s="1"/>
  <c r="P42" i="7"/>
  <c r="U29" i="7"/>
  <c r="V45" i="8"/>
  <c r="V28" i="8" s="1"/>
  <c r="V42" i="8"/>
  <c r="I52" i="8"/>
  <c r="U39" i="9"/>
  <c r="U23" i="9"/>
  <c r="U41" i="9"/>
  <c r="W41" i="9" s="1"/>
  <c r="I37" i="11"/>
  <c r="K49" i="11"/>
  <c r="K54" i="11"/>
  <c r="O49" i="11"/>
  <c r="O54" i="11"/>
  <c r="R37" i="11"/>
  <c r="R32" i="11"/>
  <c r="L17" i="11"/>
  <c r="M17" i="11" s="1"/>
  <c r="T17" i="11"/>
  <c r="N18" i="11"/>
  <c r="U30" i="11"/>
  <c r="K32" i="11"/>
  <c r="U51" i="11"/>
  <c r="W51" i="11" s="1"/>
  <c r="I336" i="11"/>
  <c r="I333" i="11"/>
  <c r="R333" i="11"/>
  <c r="R336" i="11"/>
  <c r="F25" i="13"/>
  <c r="L26" i="13"/>
  <c r="U413" i="13"/>
  <c r="U46" i="18"/>
  <c r="W46" i="18" s="1"/>
  <c r="U34" i="18"/>
  <c r="X34" i="18" s="1"/>
  <c r="T605" i="19"/>
  <c r="U606" i="19"/>
  <c r="H52" i="8"/>
  <c r="R37" i="7"/>
  <c r="R32" i="7"/>
  <c r="G32" i="13"/>
  <c r="G37" i="13"/>
  <c r="T360" i="9"/>
  <c r="U360" i="9" s="1"/>
  <c r="W360" i="9" s="1"/>
  <c r="K42" i="9"/>
  <c r="S42" i="9"/>
  <c r="S45" i="9"/>
  <c r="I37" i="8"/>
  <c r="I32" i="8"/>
  <c r="O37" i="8"/>
  <c r="O32" i="8"/>
  <c r="H49" i="8"/>
  <c r="H54" i="8"/>
  <c r="N37" i="8"/>
  <c r="S71" i="18"/>
  <c r="G54" i="9"/>
  <c r="G49" i="9"/>
  <c r="Q32" i="9"/>
  <c r="Q37" i="9"/>
  <c r="F45" i="7"/>
  <c r="N45" i="9"/>
  <c r="N42" i="9"/>
  <c r="O32" i="9"/>
  <c r="O37" i="9"/>
  <c r="N54" i="13"/>
  <c r="N49" i="13"/>
  <c r="R21" i="11"/>
  <c r="T340" i="15"/>
  <c r="F54" i="9"/>
  <c r="F55" i="9" s="1"/>
  <c r="N52" i="9"/>
  <c r="W433" i="7"/>
  <c r="W434" i="7" s="1"/>
  <c r="X433" i="7"/>
  <c r="U41" i="15"/>
  <c r="W41" i="15" s="1"/>
  <c r="V28" i="11"/>
  <c r="V49" i="11"/>
  <c r="T69" i="11"/>
  <c r="N548" i="19"/>
  <c r="S343" i="19"/>
  <c r="S424" i="19"/>
  <c r="S341" i="19"/>
  <c r="W339" i="19"/>
  <c r="X339" i="19"/>
  <c r="V419" i="19"/>
  <c r="U59" i="19"/>
  <c r="W60" i="19"/>
  <c r="W59" i="19" s="1"/>
  <c r="W417" i="19"/>
  <c r="W418" i="19"/>
  <c r="X418" i="19"/>
  <c r="T66" i="19"/>
  <c r="U67" i="19"/>
  <c r="X67" i="19" s="1"/>
  <c r="L66" i="19"/>
  <c r="M67" i="19"/>
  <c r="M66" i="19" s="1"/>
  <c r="V33" i="19"/>
  <c r="V32" i="19" s="1"/>
  <c r="S33" i="19"/>
  <c r="S50" i="19"/>
  <c r="T50" i="19" s="1"/>
  <c r="T69" i="19"/>
  <c r="U69" i="19" s="1"/>
  <c r="N35" i="19"/>
  <c r="N52" i="19"/>
  <c r="T28" i="19"/>
  <c r="L36" i="19"/>
  <c r="M36" i="19" s="1"/>
  <c r="U29" i="19"/>
  <c r="U34" i="19"/>
  <c r="W34" i="19" s="1"/>
  <c r="U46" i="19"/>
  <c r="W62" i="19"/>
  <c r="J72" i="19"/>
  <c r="K72" i="19" s="1"/>
  <c r="N72" i="19" s="1"/>
  <c r="O72" i="19" s="1"/>
  <c r="P72" i="19" s="1"/>
  <c r="Q72" i="19" s="1"/>
  <c r="R72" i="19" s="1"/>
  <c r="S72" i="19" s="1"/>
  <c r="U30" i="19"/>
  <c r="R45" i="19"/>
  <c r="R42" i="19"/>
  <c r="S45" i="19"/>
  <c r="S42" i="19"/>
  <c r="V49" i="19"/>
  <c r="L47" i="19"/>
  <c r="M47" i="19" s="1"/>
  <c r="M48" i="19"/>
  <c r="U48" i="19"/>
  <c r="M31" i="19"/>
  <c r="U31" i="19"/>
  <c r="X31" i="19" s="1"/>
  <c r="O32" i="19"/>
  <c r="O37" i="19"/>
  <c r="N49" i="19"/>
  <c r="N54" i="19"/>
  <c r="R49" i="19"/>
  <c r="R54" i="19"/>
  <c r="Q49" i="19"/>
  <c r="Q54" i="19"/>
  <c r="P49" i="19"/>
  <c r="P54" i="19"/>
  <c r="T174" i="19"/>
  <c r="O35" i="19"/>
  <c r="O52" i="19"/>
  <c r="O49" i="19"/>
  <c r="O54" i="19"/>
  <c r="T33" i="19"/>
  <c r="N37" i="19"/>
  <c r="N32" i="19"/>
  <c r="R37" i="19"/>
  <c r="R32" i="19"/>
  <c r="Q32" i="19"/>
  <c r="Q37" i="19"/>
  <c r="P32" i="19"/>
  <c r="P37" i="19"/>
  <c r="N45" i="19"/>
  <c r="N42" i="19"/>
  <c r="T43" i="19"/>
  <c r="T42" i="19" s="1"/>
  <c r="T26" i="19"/>
  <c r="T25" i="19" s="1"/>
  <c r="N25" i="19"/>
  <c r="P45" i="19"/>
  <c r="P42" i="19"/>
  <c r="Q45" i="19"/>
  <c r="Q42" i="19"/>
  <c r="O45" i="19"/>
  <c r="O42" i="19"/>
  <c r="J45" i="19"/>
  <c r="J42" i="19"/>
  <c r="K45" i="19"/>
  <c r="K42" i="19"/>
  <c r="M40" i="19"/>
  <c r="U40" i="19"/>
  <c r="M23" i="19"/>
  <c r="U23" i="19"/>
  <c r="M22" i="19"/>
  <c r="U22" i="19"/>
  <c r="M39" i="19"/>
  <c r="U39" i="19"/>
  <c r="U541" i="18"/>
  <c r="H345" i="18"/>
  <c r="L338" i="18"/>
  <c r="G346" i="18"/>
  <c r="H346" i="18" s="1"/>
  <c r="I346" i="18" s="1"/>
  <c r="J346" i="18" s="1"/>
  <c r="K346" i="18" s="1"/>
  <c r="M341" i="18"/>
  <c r="M340" i="18" s="1"/>
  <c r="L340" i="18"/>
  <c r="O440" i="18"/>
  <c r="P440" i="18" s="1"/>
  <c r="Q440" i="18" s="1"/>
  <c r="R440" i="18" s="1"/>
  <c r="S440" i="18" s="1"/>
  <c r="N345" i="18"/>
  <c r="N340" i="18"/>
  <c r="T333" i="18"/>
  <c r="N54" i="18"/>
  <c r="T69" i="18"/>
  <c r="S35" i="18"/>
  <c r="S52" i="18"/>
  <c r="T52" i="18" s="1"/>
  <c r="T66" i="18"/>
  <c r="T62" i="18"/>
  <c r="N28" i="18"/>
  <c r="N16" i="18" s="1"/>
  <c r="T45" i="18"/>
  <c r="T59" i="18"/>
  <c r="T26" i="18"/>
  <c r="T25" i="18" s="1"/>
  <c r="N25" i="18"/>
  <c r="W65" i="18"/>
  <c r="W31" i="18" s="1"/>
  <c r="N37" i="18"/>
  <c r="L30" i="18"/>
  <c r="M30" i="18" s="1"/>
  <c r="V33" i="18"/>
  <c r="V32" i="18" s="1"/>
  <c r="V66" i="18"/>
  <c r="V50" i="18"/>
  <c r="V49" i="18" s="1"/>
  <c r="L53" i="18"/>
  <c r="M53" i="18" s="1"/>
  <c r="X215" i="18"/>
  <c r="W29" i="18"/>
  <c r="S49" i="18"/>
  <c r="S54" i="18"/>
  <c r="O237" i="18"/>
  <c r="P237" i="18" s="1"/>
  <c r="Q237" i="18" s="1"/>
  <c r="R237" i="18" s="1"/>
  <c r="S237" i="18" s="1"/>
  <c r="M23" i="18"/>
  <c r="U23" i="18"/>
  <c r="M40" i="18"/>
  <c r="U40" i="18"/>
  <c r="M39" i="18"/>
  <c r="U39" i="18"/>
  <c r="M22" i="18"/>
  <c r="U22" i="18"/>
  <c r="H35" i="15"/>
  <c r="H52" i="15"/>
  <c r="T59" i="15"/>
  <c r="O49" i="15"/>
  <c r="O54" i="15"/>
  <c r="H45" i="15"/>
  <c r="H42" i="15"/>
  <c r="N54" i="15"/>
  <c r="N49" i="15"/>
  <c r="T42" i="15"/>
  <c r="W65" i="15"/>
  <c r="W31" i="15" s="1"/>
  <c r="S33" i="15"/>
  <c r="T33" i="15" s="1"/>
  <c r="U22" i="15"/>
  <c r="K28" i="15"/>
  <c r="T26" i="15"/>
  <c r="U24" i="15"/>
  <c r="Q37" i="15"/>
  <c r="U51" i="15"/>
  <c r="W51" i="15" s="1"/>
  <c r="H49" i="15"/>
  <c r="U30" i="15"/>
  <c r="Q35" i="15"/>
  <c r="R52" i="15"/>
  <c r="G35" i="15"/>
  <c r="I35" i="15"/>
  <c r="I21" i="15" s="1"/>
  <c r="N28" i="15"/>
  <c r="T62" i="15"/>
  <c r="S50" i="15"/>
  <c r="T50" i="15" s="1"/>
  <c r="J28" i="15"/>
  <c r="U29" i="15"/>
  <c r="U23" i="15"/>
  <c r="J49" i="15"/>
  <c r="T36" i="15"/>
  <c r="U36" i="15" s="1"/>
  <c r="W36" i="15" s="1"/>
  <c r="Q28" i="15"/>
  <c r="Q16" i="15" s="1"/>
  <c r="U48" i="15"/>
  <c r="N37" i="15"/>
  <c r="V28" i="15"/>
  <c r="V33" i="15"/>
  <c r="V50" i="15"/>
  <c r="V49" i="15" s="1"/>
  <c r="V32" i="15"/>
  <c r="T66" i="15"/>
  <c r="S35" i="15"/>
  <c r="T35" i="15" s="1"/>
  <c r="S52" i="15"/>
  <c r="T69" i="15"/>
  <c r="U647" i="13"/>
  <c r="V341" i="13"/>
  <c r="V340" i="13" s="1"/>
  <c r="L344" i="13"/>
  <c r="F345" i="13"/>
  <c r="F346" i="13" s="1"/>
  <c r="L338" i="13"/>
  <c r="W339" i="13"/>
  <c r="J336" i="13"/>
  <c r="J333" i="13"/>
  <c r="I336" i="13"/>
  <c r="I333" i="13"/>
  <c r="G336" i="13"/>
  <c r="G333" i="13"/>
  <c r="L334" i="13"/>
  <c r="H336" i="13"/>
  <c r="H333" i="13"/>
  <c r="K336" i="13"/>
  <c r="K333" i="13"/>
  <c r="R336" i="13"/>
  <c r="R333" i="13"/>
  <c r="S336" i="13"/>
  <c r="S333" i="13"/>
  <c r="T334" i="13"/>
  <c r="Q336" i="13"/>
  <c r="Q16" i="13" s="1"/>
  <c r="Q333" i="13"/>
  <c r="V519" i="11"/>
  <c r="V536" i="11"/>
  <c r="T69" i="9"/>
  <c r="T67" i="9"/>
  <c r="S71" i="9"/>
  <c r="S66" i="9"/>
  <c r="W65" i="9"/>
  <c r="V28" i="9"/>
  <c r="V32" i="9"/>
  <c r="T18" i="13"/>
  <c r="Q500" i="8"/>
  <c r="R500" i="8" s="1"/>
  <c r="S237" i="7"/>
  <c r="G345" i="7"/>
  <c r="W707" i="15"/>
  <c r="P688" i="11"/>
  <c r="Q688" i="11" s="1"/>
  <c r="R688" i="11" s="1"/>
  <c r="S688" i="11" s="1"/>
  <c r="U685" i="8"/>
  <c r="W685" i="8" s="1"/>
  <c r="Q611" i="8"/>
  <c r="R611" i="8" s="1"/>
  <c r="S611" i="8" s="1"/>
  <c r="P611" i="15"/>
  <c r="Q611" i="15" s="1"/>
  <c r="R611" i="15" s="1"/>
  <c r="S611" i="15" s="1"/>
  <c r="R519" i="9"/>
  <c r="R527" i="13"/>
  <c r="R543" i="13"/>
  <c r="S527" i="11"/>
  <c r="S543" i="11"/>
  <c r="R548" i="13"/>
  <c r="W505" i="15"/>
  <c r="W504" i="15" s="1"/>
  <c r="P515" i="11"/>
  <c r="Q515" i="11" s="1"/>
  <c r="R515" i="11" s="1"/>
  <c r="S515" i="11" s="1"/>
  <c r="P515" i="15"/>
  <c r="Q515" i="15" s="1"/>
  <c r="R515" i="15" s="1"/>
  <c r="S515" i="15" s="1"/>
  <c r="P470" i="15"/>
  <c r="Q470" i="15" s="1"/>
  <c r="R470" i="15" s="1"/>
  <c r="S470" i="15" s="1"/>
  <c r="Q470" i="8"/>
  <c r="R470" i="8" s="1"/>
  <c r="S470" i="8" s="1"/>
  <c r="P470" i="9"/>
  <c r="Q470" i="9" s="1"/>
  <c r="R470" i="9" s="1"/>
  <c r="S470" i="9" s="1"/>
  <c r="P470" i="11"/>
  <c r="Q470" i="11" s="1"/>
  <c r="R470" i="11" s="1"/>
  <c r="S470" i="11" s="1"/>
  <c r="P440" i="15"/>
  <c r="Q440" i="15" s="1"/>
  <c r="R440" i="15" s="1"/>
  <c r="S440" i="15" s="1"/>
  <c r="T420" i="7"/>
  <c r="U420" i="7" s="1"/>
  <c r="S419" i="7"/>
  <c r="L266" i="7"/>
  <c r="M266" i="7" s="1"/>
  <c r="L266" i="19"/>
  <c r="M266" i="19" s="1"/>
  <c r="T264" i="7"/>
  <c r="T263" i="7" s="1"/>
  <c r="Q252" i="8"/>
  <c r="R252" i="8" s="1"/>
  <c r="S252" i="8" s="1"/>
  <c r="P237" i="9"/>
  <c r="Q237" i="9" s="1"/>
  <c r="R237" i="9" s="1"/>
  <c r="S237" i="9" s="1"/>
  <c r="Q237" i="8"/>
  <c r="R237" i="8" s="1"/>
  <c r="S237" i="8" s="1"/>
  <c r="L219" i="15"/>
  <c r="M219" i="15" s="1"/>
  <c r="I177" i="7"/>
  <c r="J177" i="7" s="1"/>
  <c r="K177" i="7" s="1"/>
  <c r="N177" i="7" s="1"/>
  <c r="O177" i="7" s="1"/>
  <c r="P177" i="7" s="1"/>
  <c r="Q177" i="7" s="1"/>
  <c r="R177" i="7" s="1"/>
  <c r="Q192" i="8"/>
  <c r="R192" i="8" s="1"/>
  <c r="S192" i="8" s="1"/>
  <c r="P192" i="9"/>
  <c r="Q192" i="9" s="1"/>
  <c r="R192" i="9" s="1"/>
  <c r="S192" i="9" s="1"/>
  <c r="G177" i="8"/>
  <c r="P147" i="11"/>
  <c r="Q147" i="11" s="1"/>
  <c r="R147" i="11" s="1"/>
  <c r="S147" i="11" s="1"/>
  <c r="P192" i="11"/>
  <c r="Q192" i="11" s="1"/>
  <c r="R192" i="11" s="1"/>
  <c r="S192" i="11" s="1"/>
  <c r="S102" i="11"/>
  <c r="P207" i="11"/>
  <c r="Q207" i="11" s="1"/>
  <c r="R207" i="11" s="1"/>
  <c r="S207" i="11" s="1"/>
  <c r="P284" i="11"/>
  <c r="Q284" i="11" s="1"/>
  <c r="R284" i="11" s="1"/>
  <c r="S284" i="11" s="1"/>
  <c r="P314" i="11"/>
  <c r="Q314" i="11" s="1"/>
  <c r="R314" i="11" s="1"/>
  <c r="S314" i="11" s="1"/>
  <c r="P252" i="11"/>
  <c r="Q252" i="11" s="1"/>
  <c r="R252" i="11" s="1"/>
  <c r="S252" i="11" s="1"/>
  <c r="S237" i="11"/>
  <c r="P252" i="15"/>
  <c r="Q252" i="15" s="1"/>
  <c r="R252" i="15" s="1"/>
  <c r="S252" i="15" s="1"/>
  <c r="P192" i="15"/>
  <c r="Q192" i="15" s="1"/>
  <c r="R192" i="15" s="1"/>
  <c r="S192" i="15" s="1"/>
  <c r="P284" i="15"/>
  <c r="Q284" i="15" s="1"/>
  <c r="R284" i="15" s="1"/>
  <c r="S284" i="15" s="1"/>
  <c r="P237" i="15"/>
  <c r="Q237" i="15" s="1"/>
  <c r="R237" i="15" s="1"/>
  <c r="S237" i="15" s="1"/>
  <c r="P207" i="15"/>
  <c r="Q207" i="15" s="1"/>
  <c r="R207" i="15" s="1"/>
  <c r="S207" i="15" s="1"/>
  <c r="T18" i="9"/>
  <c r="T544" i="19"/>
  <c r="O688" i="13"/>
  <c r="P688" i="13" s="1"/>
  <c r="Q688" i="13" s="1"/>
  <c r="R688" i="13" s="1"/>
  <c r="S688" i="13" s="1"/>
  <c r="O147" i="13"/>
  <c r="P147" i="13" s="1"/>
  <c r="Q147" i="13" s="1"/>
  <c r="R147" i="13" s="1"/>
  <c r="S147" i="13" s="1"/>
  <c r="O470" i="13"/>
  <c r="P470" i="13" s="1"/>
  <c r="Q470" i="13" s="1"/>
  <c r="R470" i="13" s="1"/>
  <c r="S470" i="13" s="1"/>
  <c r="O252" i="13"/>
  <c r="P252" i="13" s="1"/>
  <c r="Q252" i="13" s="1"/>
  <c r="R252" i="13" s="1"/>
  <c r="S252" i="13" s="1"/>
  <c r="O192" i="13"/>
  <c r="P192" i="13" s="1"/>
  <c r="Q192" i="13" s="1"/>
  <c r="R192" i="13" s="1"/>
  <c r="S192" i="13" s="1"/>
  <c r="O207" i="13"/>
  <c r="P207" i="13" s="1"/>
  <c r="Q207" i="13" s="1"/>
  <c r="R207" i="13" s="1"/>
  <c r="S207" i="13" s="1"/>
  <c r="O408" i="13"/>
  <c r="P408" i="13" s="1"/>
  <c r="Q408" i="13" s="1"/>
  <c r="R408" i="13" s="1"/>
  <c r="S408" i="13" s="1"/>
  <c r="O314" i="13"/>
  <c r="P314" i="13" s="1"/>
  <c r="Q314" i="13" s="1"/>
  <c r="R314" i="13" s="1"/>
  <c r="S314" i="13" s="1"/>
  <c r="O237" i="13"/>
  <c r="P237" i="13" s="1"/>
  <c r="Q237" i="13" s="1"/>
  <c r="R237" i="13" s="1"/>
  <c r="S237" i="13" s="1"/>
  <c r="O284" i="13"/>
  <c r="P284" i="13" s="1"/>
  <c r="Q284" i="13" s="1"/>
  <c r="R284" i="13" s="1"/>
  <c r="S284" i="13" s="1"/>
  <c r="O284" i="18"/>
  <c r="P284" i="18" s="1"/>
  <c r="Q284" i="18" s="1"/>
  <c r="R284" i="18" s="1"/>
  <c r="S284" i="18" s="1"/>
  <c r="O408" i="18"/>
  <c r="P408" i="18" s="1"/>
  <c r="Q408" i="18" s="1"/>
  <c r="R408" i="18" s="1"/>
  <c r="S408" i="18" s="1"/>
  <c r="S470" i="18"/>
  <c r="S314" i="18"/>
  <c r="O207" i="18"/>
  <c r="P207" i="18" s="1"/>
  <c r="Q207" i="18" s="1"/>
  <c r="R207" i="18" s="1"/>
  <c r="S207" i="18" s="1"/>
  <c r="X653" i="18"/>
  <c r="X403" i="15"/>
  <c r="U397" i="15"/>
  <c r="T482" i="19"/>
  <c r="S546" i="18"/>
  <c r="S529" i="18" s="1"/>
  <c r="L18" i="15"/>
  <c r="M18" i="15" s="1"/>
  <c r="O425" i="7"/>
  <c r="P425" i="7" s="1"/>
  <c r="Q425" i="7" s="1"/>
  <c r="R425" i="7" s="1"/>
  <c r="S425" i="7" s="1"/>
  <c r="X478" i="15"/>
  <c r="X478" i="13"/>
  <c r="T525" i="8"/>
  <c r="X296" i="19"/>
  <c r="J363" i="7"/>
  <c r="K363" i="7" s="1"/>
  <c r="N363" i="7" s="1"/>
  <c r="O363" i="7" s="1"/>
  <c r="P363" i="7" s="1"/>
  <c r="Q363" i="7" s="1"/>
  <c r="R363" i="7" s="1"/>
  <c r="S363" i="7" s="1"/>
  <c r="L341" i="7"/>
  <c r="M341" i="7" s="1"/>
  <c r="M340" i="7" s="1"/>
  <c r="J333" i="7"/>
  <c r="T20" i="7"/>
  <c r="R536" i="13"/>
  <c r="R520" i="13"/>
  <c r="V21" i="15"/>
  <c r="U311" i="15"/>
  <c r="W311" i="15" s="1"/>
  <c r="U204" i="15"/>
  <c r="W204" i="15" s="1"/>
  <c r="G222" i="15"/>
  <c r="H222" i="15" s="1"/>
  <c r="I222" i="15" s="1"/>
  <c r="J222" i="15" s="1"/>
  <c r="K222" i="15" s="1"/>
  <c r="N222" i="15" s="1"/>
  <c r="O222" i="15" s="1"/>
  <c r="U376" i="11"/>
  <c r="W376" i="11" s="1"/>
  <c r="S266" i="7"/>
  <c r="T266" i="7" s="1"/>
  <c r="L266" i="18"/>
  <c r="M266" i="18" s="1"/>
  <c r="T17" i="19"/>
  <c r="P531" i="19"/>
  <c r="T18" i="15"/>
  <c r="U259" i="19"/>
  <c r="W259" i="19" s="1"/>
  <c r="L266" i="15"/>
  <c r="M266" i="15" s="1"/>
  <c r="T353" i="8"/>
  <c r="U353" i="8" s="1"/>
  <c r="W353" i="8" s="1"/>
  <c r="L259" i="15"/>
  <c r="M259" i="15" s="1"/>
  <c r="U358" i="7"/>
  <c r="W358" i="7" s="1"/>
  <c r="W357" i="7" s="1"/>
  <c r="U429" i="9"/>
  <c r="K343" i="7"/>
  <c r="L343" i="7" s="1"/>
  <c r="M343" i="7" s="1"/>
  <c r="X478" i="8"/>
  <c r="T96" i="8"/>
  <c r="T560" i="19"/>
  <c r="X478" i="19"/>
  <c r="W422" i="15"/>
  <c r="X422" i="15"/>
  <c r="T266" i="11"/>
  <c r="U266" i="11" s="1"/>
  <c r="R336" i="8"/>
  <c r="R333" i="8"/>
  <c r="K336" i="9"/>
  <c r="L336" i="9" s="1"/>
  <c r="M336" i="9" s="1"/>
  <c r="K333" i="9"/>
  <c r="L18" i="13"/>
  <c r="U257" i="13"/>
  <c r="T256" i="13"/>
  <c r="N345" i="9"/>
  <c r="N340" i="9"/>
  <c r="U257" i="15"/>
  <c r="T256" i="15"/>
  <c r="W339" i="8"/>
  <c r="X339" i="8"/>
  <c r="L259" i="7"/>
  <c r="M259" i="7" s="1"/>
  <c r="W262" i="11"/>
  <c r="X262" i="11"/>
  <c r="L17" i="15"/>
  <c r="M17" i="15" s="1"/>
  <c r="S341" i="9"/>
  <c r="S345" i="9" s="1"/>
  <c r="M257" i="13"/>
  <c r="M256" i="13" s="1"/>
  <c r="L256" i="13"/>
  <c r="M334" i="8"/>
  <c r="M333" i="8" s="1"/>
  <c r="L333" i="8"/>
  <c r="O340" i="9"/>
  <c r="O345" i="9"/>
  <c r="L17" i="13"/>
  <c r="M17" i="13" s="1"/>
  <c r="G269" i="7"/>
  <c r="H269" i="7" s="1"/>
  <c r="I269" i="7" s="1"/>
  <c r="J269" i="7" s="1"/>
  <c r="K269" i="7" s="1"/>
  <c r="N269" i="7" s="1"/>
  <c r="O269" i="7" s="1"/>
  <c r="P269" i="7" s="1"/>
  <c r="Q269" i="7" s="1"/>
  <c r="R269" i="7" s="1"/>
  <c r="S269" i="7" s="1"/>
  <c r="T259" i="15"/>
  <c r="U413" i="15"/>
  <c r="T412" i="15"/>
  <c r="T415" i="8"/>
  <c r="U415" i="8" s="1"/>
  <c r="T464" i="8"/>
  <c r="T518" i="11"/>
  <c r="H222" i="11"/>
  <c r="I222" i="11" s="1"/>
  <c r="T524" i="13"/>
  <c r="U524" i="13" s="1"/>
  <c r="W524" i="13" s="1"/>
  <c r="W145" i="15"/>
  <c r="S192" i="7"/>
  <c r="W647" i="13"/>
  <c r="L553" i="9"/>
  <c r="U682" i="11"/>
  <c r="W712" i="13"/>
  <c r="U542" i="15"/>
  <c r="W542" i="15" s="1"/>
  <c r="X510" i="15"/>
  <c r="Q20" i="13"/>
  <c r="T20" i="13" s="1"/>
  <c r="U20" i="13" s="1"/>
  <c r="W20" i="13" s="1"/>
  <c r="T18" i="8"/>
  <c r="N343" i="9"/>
  <c r="L263" i="7"/>
  <c r="M264" i="7"/>
  <c r="M263" i="7" s="1"/>
  <c r="V341" i="9"/>
  <c r="V340" i="9" s="1"/>
  <c r="T259" i="18"/>
  <c r="M257" i="11"/>
  <c r="M256" i="11" s="1"/>
  <c r="L256" i="11"/>
  <c r="S336" i="8"/>
  <c r="S333" i="8"/>
  <c r="O519" i="8"/>
  <c r="O536" i="8"/>
  <c r="L266" i="13"/>
  <c r="M266" i="13" s="1"/>
  <c r="T419" i="8"/>
  <c r="U413" i="11"/>
  <c r="W413" i="11" s="1"/>
  <c r="M264" i="15"/>
  <c r="M263" i="15" s="1"/>
  <c r="L263" i="15"/>
  <c r="Q336" i="9"/>
  <c r="Q333" i="9"/>
  <c r="L259" i="18"/>
  <c r="M259" i="18" s="1"/>
  <c r="S341" i="8"/>
  <c r="S357" i="8"/>
  <c r="L259" i="11"/>
  <c r="M259" i="11" s="1"/>
  <c r="L336" i="8"/>
  <c r="M336" i="8" s="1"/>
  <c r="T266" i="15"/>
  <c r="U266" i="15" s="1"/>
  <c r="L17" i="8"/>
  <c r="M17" i="8" s="1"/>
  <c r="R340" i="9"/>
  <c r="R345" i="9"/>
  <c r="S362" i="8"/>
  <c r="M413" i="15"/>
  <c r="M412" i="15" s="1"/>
  <c r="L412" i="15"/>
  <c r="T17" i="9"/>
  <c r="T17" i="13"/>
  <c r="U413" i="8"/>
  <c r="T412" i="8"/>
  <c r="U361" i="8"/>
  <c r="W361" i="8" s="1"/>
  <c r="U190" i="19"/>
  <c r="W190" i="19" s="1"/>
  <c r="V530" i="9"/>
  <c r="X249" i="15"/>
  <c r="U196" i="9"/>
  <c r="I177" i="9"/>
  <c r="J177" i="9" s="1"/>
  <c r="K177" i="9" s="1"/>
  <c r="N177" i="9" s="1"/>
  <c r="O177" i="9" s="1"/>
  <c r="W241" i="11"/>
  <c r="H177" i="8"/>
  <c r="I177" i="8" s="1"/>
  <c r="J177" i="8" s="1"/>
  <c r="K177" i="8" s="1"/>
  <c r="N177" i="8" s="1"/>
  <c r="O177" i="8" s="1"/>
  <c r="P177" i="8" s="1"/>
  <c r="U288" i="19"/>
  <c r="U641" i="18"/>
  <c r="W641" i="18" s="1"/>
  <c r="M420" i="11"/>
  <c r="M419" i="11" s="1"/>
  <c r="T263" i="11"/>
  <c r="U264" i="11"/>
  <c r="M420" i="15"/>
  <c r="M419" i="15" s="1"/>
  <c r="L419" i="15"/>
  <c r="J269" i="15"/>
  <c r="K269" i="15" s="1"/>
  <c r="N269" i="15" s="1"/>
  <c r="O269" i="15" s="1"/>
  <c r="L17" i="9"/>
  <c r="M17" i="9" s="1"/>
  <c r="U257" i="11"/>
  <c r="T256" i="11"/>
  <c r="U420" i="15"/>
  <c r="T419" i="15"/>
  <c r="H18" i="8"/>
  <c r="H3" i="8" s="1"/>
  <c r="M344" i="8"/>
  <c r="U344" i="8"/>
  <c r="W344" i="8" s="1"/>
  <c r="T17" i="18"/>
  <c r="M264" i="18"/>
  <c r="M263" i="18" s="1"/>
  <c r="L263" i="18"/>
  <c r="K345" i="9"/>
  <c r="K340" i="9"/>
  <c r="T17" i="15"/>
  <c r="M264" i="11"/>
  <c r="M263" i="11" s="1"/>
  <c r="L263" i="11"/>
  <c r="M264" i="13"/>
  <c r="M263" i="13" s="1"/>
  <c r="L263" i="13"/>
  <c r="Q543" i="15"/>
  <c r="Q527" i="15"/>
  <c r="Q526" i="15" s="1"/>
  <c r="M413" i="8"/>
  <c r="M412" i="8" s="1"/>
  <c r="L412" i="8"/>
  <c r="G269" i="11"/>
  <c r="H269" i="11" s="1"/>
  <c r="I269" i="11" s="1"/>
  <c r="J269" i="11" s="1"/>
  <c r="K269" i="11" s="1"/>
  <c r="N269" i="11" s="1"/>
  <c r="O269" i="11" s="1"/>
  <c r="T339" i="9"/>
  <c r="U339" i="9" s="1"/>
  <c r="G346" i="9"/>
  <c r="H346" i="9" s="1"/>
  <c r="L256" i="15"/>
  <c r="M257" i="15"/>
  <c r="M256" i="15" s="1"/>
  <c r="V263" i="7"/>
  <c r="U234" i="7"/>
  <c r="X234" i="7" s="1"/>
  <c r="I177" i="11"/>
  <c r="J177" i="11" s="1"/>
  <c r="K177" i="11" s="1"/>
  <c r="N177" i="11" s="1"/>
  <c r="O177" i="11" s="1"/>
  <c r="V267" i="7"/>
  <c r="W267" i="7" s="1"/>
  <c r="W273" i="7"/>
  <c r="W682" i="11"/>
  <c r="W376" i="13"/>
  <c r="S237" i="19"/>
  <c r="S314" i="19"/>
  <c r="W288" i="19"/>
  <c r="V267" i="19"/>
  <c r="W267" i="19" s="1"/>
  <c r="F548" i="9"/>
  <c r="F549" i="9" s="1"/>
  <c r="S360" i="8"/>
  <c r="M257" i="7"/>
  <c r="M256" i="7" s="1"/>
  <c r="L256" i="7"/>
  <c r="K345" i="8"/>
  <c r="K340" i="8"/>
  <c r="U351" i="8"/>
  <c r="T350" i="8"/>
  <c r="U257" i="18"/>
  <c r="T256" i="18"/>
  <c r="L334" i="9"/>
  <c r="T259" i="13"/>
  <c r="U259" i="13" s="1"/>
  <c r="T263" i="19"/>
  <c r="U264" i="19"/>
  <c r="U263" i="19" s="1"/>
  <c r="M338" i="8"/>
  <c r="U338" i="8"/>
  <c r="T334" i="8"/>
  <c r="N336" i="8"/>
  <c r="N333" i="8"/>
  <c r="U257" i="7"/>
  <c r="T256" i="7"/>
  <c r="W262" i="7"/>
  <c r="X262" i="7"/>
  <c r="N425" i="15"/>
  <c r="O425" i="15" s="1"/>
  <c r="W257" i="19"/>
  <c r="W256" i="19" s="1"/>
  <c r="Q340" i="9"/>
  <c r="Q345" i="9"/>
  <c r="L17" i="18"/>
  <c r="M17" i="18" s="1"/>
  <c r="W262" i="18"/>
  <c r="X262" i="18"/>
  <c r="W355" i="8"/>
  <c r="G269" i="13"/>
  <c r="H269" i="13" s="1"/>
  <c r="I269" i="13" s="1"/>
  <c r="J269" i="13" s="1"/>
  <c r="K269" i="13" s="1"/>
  <c r="N269" i="13" s="1"/>
  <c r="X418" i="9"/>
  <c r="G269" i="18"/>
  <c r="H269" i="18" s="1"/>
  <c r="I269" i="18" s="1"/>
  <c r="J269" i="18" s="1"/>
  <c r="K269" i="18" s="1"/>
  <c r="N269" i="18" s="1"/>
  <c r="O269" i="18" s="1"/>
  <c r="P269" i="18" s="1"/>
  <c r="Q269" i="18" s="1"/>
  <c r="O336" i="8"/>
  <c r="O333" i="8"/>
  <c r="T266" i="13"/>
  <c r="S268" i="18"/>
  <c r="T264" i="18"/>
  <c r="U264" i="13"/>
  <c r="G345" i="8"/>
  <c r="U264" i="15"/>
  <c r="T263" i="15"/>
  <c r="V340" i="8"/>
  <c r="H18" i="7"/>
  <c r="H3" i="7" s="1"/>
  <c r="Q18" i="7"/>
  <c r="Q3" i="7" s="1"/>
  <c r="L17" i="7"/>
  <c r="M17" i="7" s="1"/>
  <c r="T17" i="7"/>
  <c r="T99" i="11"/>
  <c r="U99" i="11" s="1"/>
  <c r="W282" i="13"/>
  <c r="V543" i="11"/>
  <c r="U542" i="11"/>
  <c r="W542" i="11" s="1"/>
  <c r="W100" i="11"/>
  <c r="T96" i="11"/>
  <c r="U97" i="11"/>
  <c r="S221" i="7"/>
  <c r="S216" i="7"/>
  <c r="U232" i="7"/>
  <c r="T231" i="7"/>
  <c r="F340" i="7"/>
  <c r="F345" i="7"/>
  <c r="F346" i="7" s="1"/>
  <c r="G346" i="7" s="1"/>
  <c r="H346" i="7" s="1"/>
  <c r="I346" i="7" s="1"/>
  <c r="W418" i="7"/>
  <c r="V419" i="7"/>
  <c r="O340" i="7"/>
  <c r="O345" i="7"/>
  <c r="N345" i="7"/>
  <c r="N340" i="7"/>
  <c r="R345" i="7"/>
  <c r="R340" i="7"/>
  <c r="W682" i="7"/>
  <c r="V341" i="7"/>
  <c r="V340" i="7" s="1"/>
  <c r="Q340" i="7"/>
  <c r="Q345" i="7"/>
  <c r="J340" i="7"/>
  <c r="J345" i="7"/>
  <c r="W339" i="7"/>
  <c r="X339" i="7"/>
  <c r="P340" i="7"/>
  <c r="P345" i="7"/>
  <c r="M344" i="7"/>
  <c r="U344" i="7"/>
  <c r="W344" i="7" s="1"/>
  <c r="R531" i="7"/>
  <c r="S422" i="7"/>
  <c r="S343" i="7" s="1"/>
  <c r="T343" i="7" s="1"/>
  <c r="S341" i="7"/>
  <c r="T96" i="9"/>
  <c r="U372" i="7"/>
  <c r="T278" i="13"/>
  <c r="U281" i="13"/>
  <c r="W220" i="13"/>
  <c r="V530" i="11"/>
  <c r="U535" i="11"/>
  <c r="S536" i="11"/>
  <c r="U420" i="11"/>
  <c r="T419" i="11"/>
  <c r="M412" i="11"/>
  <c r="L412" i="11"/>
  <c r="J425" i="11"/>
  <c r="K425" i="11" s="1"/>
  <c r="N425" i="11" s="1"/>
  <c r="O425" i="11" s="1"/>
  <c r="L422" i="11"/>
  <c r="M422" i="11" s="1"/>
  <c r="T412" i="11"/>
  <c r="U437" i="11"/>
  <c r="W437" i="11" s="1"/>
  <c r="U303" i="11"/>
  <c r="W304" i="11"/>
  <c r="W303" i="11" s="1"/>
  <c r="O519" i="9"/>
  <c r="V536" i="9"/>
  <c r="S252" i="19"/>
  <c r="T217" i="19"/>
  <c r="T216" i="19" s="1"/>
  <c r="H222" i="19"/>
  <c r="I222" i="19" s="1"/>
  <c r="J222" i="19" s="1"/>
  <c r="K222" i="19" s="1"/>
  <c r="N222" i="19" s="1"/>
  <c r="O222" i="19" s="1"/>
  <c r="P222" i="19" s="1"/>
  <c r="Q222" i="19" s="1"/>
  <c r="R222" i="19" s="1"/>
  <c r="Q21" i="19"/>
  <c r="M579" i="18"/>
  <c r="U579" i="18"/>
  <c r="W579" i="18" s="1"/>
  <c r="U235" i="18"/>
  <c r="W235" i="18" s="1"/>
  <c r="M235" i="18"/>
  <c r="U141" i="13"/>
  <c r="W140" i="13"/>
  <c r="W141" i="13" s="1"/>
  <c r="L544" i="11"/>
  <c r="M544" i="11" s="1"/>
  <c r="M543" i="11" s="1"/>
  <c r="L547" i="9"/>
  <c r="M547" i="9" s="1"/>
  <c r="N20" i="9"/>
  <c r="T20" i="9" s="1"/>
  <c r="U20" i="9" s="1"/>
  <c r="W20" i="9" s="1"/>
  <c r="U189" i="9"/>
  <c r="W189" i="9" s="1"/>
  <c r="U641" i="8"/>
  <c r="W641" i="8" s="1"/>
  <c r="M641" i="8"/>
  <c r="M376" i="8"/>
  <c r="U376" i="8"/>
  <c r="W376" i="8" s="1"/>
  <c r="T530" i="8"/>
  <c r="T636" i="8"/>
  <c r="U636" i="8" s="1"/>
  <c r="W636" i="8" s="1"/>
  <c r="S655" i="8"/>
  <c r="S578" i="23" s="1"/>
  <c r="S563" i="23" s="1"/>
  <c r="S657" i="8"/>
  <c r="S642" i="8" s="1"/>
  <c r="S638" i="8"/>
  <c r="S544" i="8" s="1"/>
  <c r="U656" i="8"/>
  <c r="W656" i="8" s="1"/>
  <c r="T652" i="15"/>
  <c r="U653" i="15"/>
  <c r="X653" i="15" s="1"/>
  <c r="S640" i="15"/>
  <c r="S546" i="15" s="1"/>
  <c r="S529" i="15" s="1"/>
  <c r="T655" i="15"/>
  <c r="U655" i="15" s="1"/>
  <c r="S544" i="15"/>
  <c r="T544" i="15" s="1"/>
  <c r="S637" i="15"/>
  <c r="X170" i="15"/>
  <c r="M438" i="7"/>
  <c r="U438" i="7"/>
  <c r="W438" i="7" s="1"/>
  <c r="W241" i="7"/>
  <c r="W677" i="7"/>
  <c r="V20" i="7"/>
  <c r="X215" i="9"/>
  <c r="U517" i="13"/>
  <c r="V536" i="13"/>
  <c r="U545" i="13"/>
  <c r="W545" i="13" s="1"/>
  <c r="U712" i="13"/>
  <c r="L525" i="8"/>
  <c r="M525" i="8" s="1"/>
  <c r="W564" i="8"/>
  <c r="W175" i="8"/>
  <c r="S221" i="8"/>
  <c r="S216" i="8"/>
  <c r="T172" i="8"/>
  <c r="T171" i="8" s="1"/>
  <c r="J520" i="15"/>
  <c r="J536" i="15"/>
  <c r="V536" i="15"/>
  <c r="W571" i="15"/>
  <c r="W570" i="15" s="1"/>
  <c r="K527" i="15"/>
  <c r="K543" i="15"/>
  <c r="K548" i="15"/>
  <c r="V543" i="18"/>
  <c r="R526" i="9"/>
  <c r="R543" i="9"/>
  <c r="H548" i="9"/>
  <c r="R531" i="9"/>
  <c r="R548" i="9"/>
  <c r="W465" i="9"/>
  <c r="W464" i="9" s="1"/>
  <c r="U464" i="9"/>
  <c r="T405" i="7"/>
  <c r="U405" i="7" s="1"/>
  <c r="W282" i="7"/>
  <c r="W277" i="7"/>
  <c r="W278" i="7" s="1"/>
  <c r="U278" i="7"/>
  <c r="T172" i="9"/>
  <c r="U172" i="9" s="1"/>
  <c r="L174" i="9"/>
  <c r="M174" i="9" s="1"/>
  <c r="H21" i="9"/>
  <c r="T402" i="13"/>
  <c r="U403" i="13"/>
  <c r="W282" i="15"/>
  <c r="S219" i="19"/>
  <c r="W100" i="19"/>
  <c r="S219" i="13"/>
  <c r="T246" i="13"/>
  <c r="U247" i="13"/>
  <c r="X247" i="13" s="1"/>
  <c r="W235" i="13"/>
  <c r="S216" i="13"/>
  <c r="S221" i="13"/>
  <c r="S525" i="18"/>
  <c r="T525" i="18" s="1"/>
  <c r="U525" i="18" s="1"/>
  <c r="W525" i="18" s="1"/>
  <c r="T542" i="18"/>
  <c r="U542" i="18" s="1"/>
  <c r="W542" i="18" s="1"/>
  <c r="T246" i="19"/>
  <c r="U247" i="19"/>
  <c r="X247" i="19" s="1"/>
  <c r="T467" i="18"/>
  <c r="U467" i="18" s="1"/>
  <c r="U465" i="18"/>
  <c r="X465" i="18" s="1"/>
  <c r="T464" i="18"/>
  <c r="U564" i="18"/>
  <c r="W564" i="18" s="1"/>
  <c r="W227" i="18"/>
  <c r="W226" i="18" s="1"/>
  <c r="X232" i="18"/>
  <c r="U226" i="18"/>
  <c r="W311" i="18"/>
  <c r="X311" i="18"/>
  <c r="W226" i="19"/>
  <c r="W682" i="19"/>
  <c r="I536" i="19"/>
  <c r="S525" i="19"/>
  <c r="T525" i="19" s="1"/>
  <c r="T542" i="19"/>
  <c r="U397" i="18"/>
  <c r="W397" i="18"/>
  <c r="O536" i="19"/>
  <c r="G527" i="19"/>
  <c r="G543" i="19"/>
  <c r="G548" i="19"/>
  <c r="G549" i="19" s="1"/>
  <c r="H549" i="19" s="1"/>
  <c r="H611" i="19"/>
  <c r="G566" i="19"/>
  <c r="T479" i="19"/>
  <c r="M631" i="19"/>
  <c r="M630" i="19" s="1"/>
  <c r="U631" i="19"/>
  <c r="X638" i="19" s="1"/>
  <c r="L630" i="19"/>
  <c r="L216" i="18"/>
  <c r="M217" i="18"/>
  <c r="M216" i="18" s="1"/>
  <c r="U217" i="18"/>
  <c r="U600" i="18"/>
  <c r="W601" i="18"/>
  <c r="W600" i="18" s="1"/>
  <c r="W631" i="18"/>
  <c r="W630" i="18" s="1"/>
  <c r="T494" i="18"/>
  <c r="U495" i="18"/>
  <c r="U196" i="18"/>
  <c r="W197" i="18"/>
  <c r="W196" i="18" s="1"/>
  <c r="X202" i="18"/>
  <c r="W505" i="18"/>
  <c r="W504" i="18" s="1"/>
  <c r="U504" i="18"/>
  <c r="T405" i="18"/>
  <c r="U405" i="18" s="1"/>
  <c r="W186" i="18"/>
  <c r="U91" i="19"/>
  <c r="W92" i="19"/>
  <c r="W91" i="19" s="1"/>
  <c r="X97" i="19"/>
  <c r="T308" i="19"/>
  <c r="U309" i="19"/>
  <c r="X309" i="19" s="1"/>
  <c r="T231" i="19"/>
  <c r="U232" i="19"/>
  <c r="S221" i="19"/>
  <c r="S216" i="19"/>
  <c r="X497" i="19"/>
  <c r="W497" i="19"/>
  <c r="M640" i="19"/>
  <c r="U640" i="19"/>
  <c r="O527" i="19"/>
  <c r="O543" i="19"/>
  <c r="O548" i="19"/>
  <c r="N530" i="19"/>
  <c r="T530" i="19" s="1"/>
  <c r="T524" i="19"/>
  <c r="M655" i="19"/>
  <c r="U655" i="19"/>
  <c r="L637" i="19"/>
  <c r="M638" i="19"/>
  <c r="M637" i="19" s="1"/>
  <c r="S543" i="19"/>
  <c r="S548" i="19"/>
  <c r="S527" i="19"/>
  <c r="T311" i="19"/>
  <c r="T234" i="15"/>
  <c r="U234" i="15" s="1"/>
  <c r="X234" i="15" s="1"/>
  <c r="H177" i="15"/>
  <c r="I177" i="15" s="1"/>
  <c r="J177" i="15" s="1"/>
  <c r="K177" i="15" s="1"/>
  <c r="N177" i="15" s="1"/>
  <c r="O177" i="15" s="1"/>
  <c r="U707" i="15"/>
  <c r="L20" i="15"/>
  <c r="M20" i="15" s="1"/>
  <c r="W173" i="15"/>
  <c r="X173" i="15"/>
  <c r="T518" i="15"/>
  <c r="U518" i="15" s="1"/>
  <c r="X525" i="15" s="1"/>
  <c r="T535" i="15"/>
  <c r="U535" i="15" s="1"/>
  <c r="X542" i="15" s="1"/>
  <c r="X215" i="15"/>
  <c r="W210" i="15"/>
  <c r="W211" i="15" s="1"/>
  <c r="M528" i="15"/>
  <c r="U528" i="15"/>
  <c r="U144" i="15"/>
  <c r="W144" i="15" s="1"/>
  <c r="L640" i="15"/>
  <c r="M640" i="15" s="1"/>
  <c r="W304" i="15"/>
  <c r="W303" i="15" s="1"/>
  <c r="U303" i="15"/>
  <c r="W629" i="15"/>
  <c r="W175" i="15"/>
  <c r="W600" i="15"/>
  <c r="U459" i="15"/>
  <c r="W460" i="15"/>
  <c r="W459" i="15" s="1"/>
  <c r="X465" i="15"/>
  <c r="U429" i="15"/>
  <c r="W430" i="15"/>
  <c r="W429" i="15" s="1"/>
  <c r="X435" i="15"/>
  <c r="H581" i="15"/>
  <c r="G566" i="15"/>
  <c r="W481" i="15"/>
  <c r="X481" i="15"/>
  <c r="U528" i="13"/>
  <c r="W528" i="13" s="1"/>
  <c r="W601" i="13"/>
  <c r="W600" i="13" s="1"/>
  <c r="L530" i="13"/>
  <c r="M530" i="13" s="1"/>
  <c r="U600" i="13"/>
  <c r="Q543" i="13"/>
  <c r="Q527" i="13"/>
  <c r="Q548" i="13"/>
  <c r="S531" i="13"/>
  <c r="W242" i="13"/>
  <c r="W241" i="13" s="1"/>
  <c r="H658" i="13"/>
  <c r="G643" i="13"/>
  <c r="U405" i="13"/>
  <c r="W405" i="13" s="1"/>
  <c r="W197" i="13"/>
  <c r="W196" i="13" s="1"/>
  <c r="U196" i="13"/>
  <c r="W505" i="13"/>
  <c r="W504" i="13" s="1"/>
  <c r="U504" i="13"/>
  <c r="W274" i="13"/>
  <c r="W273" i="13" s="1"/>
  <c r="U273" i="13"/>
  <c r="X279" i="13"/>
  <c r="X481" i="13"/>
  <c r="W481" i="13"/>
  <c r="W465" i="13"/>
  <c r="W464" i="13" s="1"/>
  <c r="U464" i="13"/>
  <c r="U397" i="13"/>
  <c r="W398" i="13"/>
  <c r="W397" i="13" s="1"/>
  <c r="X403" i="13"/>
  <c r="W182" i="13"/>
  <c r="W181" i="13" s="1"/>
  <c r="U181" i="13"/>
  <c r="L640" i="11"/>
  <c r="M640" i="11" s="1"/>
  <c r="L525" i="11"/>
  <c r="M525" i="11" s="1"/>
  <c r="U405" i="11"/>
  <c r="M630" i="11"/>
  <c r="U631" i="11"/>
  <c r="U630" i="11" s="1"/>
  <c r="T217" i="11"/>
  <c r="T216" i="11" s="1"/>
  <c r="W459" i="11"/>
  <c r="T640" i="11"/>
  <c r="U640" i="11" s="1"/>
  <c r="X640" i="11" s="1"/>
  <c r="M561" i="11"/>
  <c r="M560" i="11" s="1"/>
  <c r="L560" i="11"/>
  <c r="U402" i="11"/>
  <c r="W403" i="11"/>
  <c r="W402" i="11" s="1"/>
  <c r="U309" i="11"/>
  <c r="T308" i="11"/>
  <c r="X403" i="11"/>
  <c r="W398" i="11"/>
  <c r="W397" i="11" s="1"/>
  <c r="U429" i="11"/>
  <c r="W430" i="11"/>
  <c r="W429" i="11" s="1"/>
  <c r="X435" i="11"/>
  <c r="X142" i="11"/>
  <c r="W137" i="11"/>
  <c r="W136" i="11" s="1"/>
  <c r="U677" i="11"/>
  <c r="W678" i="11"/>
  <c r="W677" i="11" s="1"/>
  <c r="U187" i="11"/>
  <c r="X187" i="11" s="1"/>
  <c r="T186" i="11"/>
  <c r="X437" i="11"/>
  <c r="T189" i="11"/>
  <c r="T537" i="9"/>
  <c r="T536" i="9" s="1"/>
  <c r="L537" i="9"/>
  <c r="M537" i="9" s="1"/>
  <c r="M536" i="9" s="1"/>
  <c r="U467" i="9"/>
  <c r="W467" i="9" s="1"/>
  <c r="X478" i="9"/>
  <c r="U204" i="9"/>
  <c r="X204" i="9" s="1"/>
  <c r="W196" i="9"/>
  <c r="W218" i="9"/>
  <c r="U249" i="9"/>
  <c r="W249" i="9" s="1"/>
  <c r="H536" i="9"/>
  <c r="H519" i="9"/>
  <c r="S536" i="9"/>
  <c r="G222" i="9"/>
  <c r="H222" i="9" s="1"/>
  <c r="I222" i="9" s="1"/>
  <c r="J222" i="9" s="1"/>
  <c r="S548" i="9"/>
  <c r="S543" i="9"/>
  <c r="W429" i="9"/>
  <c r="U535" i="9"/>
  <c r="L518" i="9"/>
  <c r="M518" i="9" s="1"/>
  <c r="F519" i="9"/>
  <c r="F526" i="9"/>
  <c r="L525" i="9"/>
  <c r="W242" i="9"/>
  <c r="W241" i="9" s="1"/>
  <c r="X247" i="9"/>
  <c r="U241" i="9"/>
  <c r="F566" i="9"/>
  <c r="W552" i="9"/>
  <c r="W398" i="9"/>
  <c r="W397" i="9" s="1"/>
  <c r="U397" i="9"/>
  <c r="X403" i="9"/>
  <c r="X249" i="9"/>
  <c r="M495" i="9"/>
  <c r="M494" i="9" s="1"/>
  <c r="L494" i="9"/>
  <c r="K531" i="8"/>
  <c r="K526" i="8"/>
  <c r="W190" i="8"/>
  <c r="W678" i="8"/>
  <c r="W677" i="8" s="1"/>
  <c r="U677" i="8"/>
  <c r="W95" i="8"/>
  <c r="X95" i="8"/>
  <c r="T201" i="8"/>
  <c r="U202" i="8"/>
  <c r="X202" i="8" s="1"/>
  <c r="T174" i="8"/>
  <c r="U174" i="8" s="1"/>
  <c r="X174" i="8" s="1"/>
  <c r="S171" i="8"/>
  <c r="S176" i="8"/>
  <c r="W242" i="8"/>
  <c r="W241" i="8" s="1"/>
  <c r="U241" i="8"/>
  <c r="W430" i="8"/>
  <c r="W429" i="8" s="1"/>
  <c r="X493" i="8"/>
  <c r="S497" i="8"/>
  <c r="S499" i="8"/>
  <c r="T495" i="8"/>
  <c r="S480" i="8"/>
  <c r="X309" i="8"/>
  <c r="W629" i="8"/>
  <c r="O526" i="8"/>
  <c r="O531" i="8"/>
  <c r="M167" i="8"/>
  <c r="M166" i="8" s="1"/>
  <c r="L166" i="8"/>
  <c r="W182" i="8"/>
  <c r="W181" i="8" s="1"/>
  <c r="U181" i="8"/>
  <c r="L171" i="8"/>
  <c r="M172" i="8"/>
  <c r="M171" i="8" s="1"/>
  <c r="X279" i="8"/>
  <c r="G484" i="8"/>
  <c r="G485" i="8" s="1"/>
  <c r="H485" i="8" s="1"/>
  <c r="I485" i="8" s="1"/>
  <c r="J485" i="8" s="1"/>
  <c r="K485" i="8" s="1"/>
  <c r="N485" i="8" s="1"/>
  <c r="L483" i="8"/>
  <c r="V16" i="8"/>
  <c r="U3" i="8" s="1"/>
  <c r="V536" i="8"/>
  <c r="V171" i="8"/>
  <c r="U172" i="8"/>
  <c r="U171" i="8" s="1"/>
  <c r="W368" i="8"/>
  <c r="W367" i="8" s="1"/>
  <c r="U367" i="8"/>
  <c r="T518" i="8"/>
  <c r="U518" i="8" s="1"/>
  <c r="W518" i="8" s="1"/>
  <c r="T535" i="8"/>
  <c r="U535" i="8" s="1"/>
  <c r="W535" i="8" s="1"/>
  <c r="W170" i="8"/>
  <c r="X170" i="8"/>
  <c r="M477" i="8"/>
  <c r="U477" i="8"/>
  <c r="W477" i="8" s="1"/>
  <c r="U570" i="8"/>
  <c r="W571" i="8"/>
  <c r="W570" i="8" s="1"/>
  <c r="X576" i="8"/>
  <c r="U167" i="8"/>
  <c r="U303" i="19"/>
  <c r="W304" i="19"/>
  <c r="W303" i="19" s="1"/>
  <c r="U459" i="19"/>
  <c r="W460" i="19"/>
  <c r="W459" i="19" s="1"/>
  <c r="T563" i="19"/>
  <c r="P546" i="19"/>
  <c r="W678" i="19"/>
  <c r="W677" i="19" s="1"/>
  <c r="U677" i="19"/>
  <c r="X683" i="19"/>
  <c r="W213" i="19"/>
  <c r="W27" i="19" s="1"/>
  <c r="X218" i="19"/>
  <c r="U637" i="19"/>
  <c r="X465" i="19"/>
  <c r="U464" i="19"/>
  <c r="W465" i="19"/>
  <c r="W464" i="19" s="1"/>
  <c r="U241" i="19"/>
  <c r="W242" i="19"/>
  <c r="W241" i="19" s="1"/>
  <c r="U144" i="19"/>
  <c r="X144" i="19" s="1"/>
  <c r="T20" i="19"/>
  <c r="X215" i="19"/>
  <c r="W210" i="19"/>
  <c r="N526" i="19"/>
  <c r="V543" i="19"/>
  <c r="V527" i="19"/>
  <c r="V526" i="19" s="1"/>
  <c r="W398" i="19"/>
  <c r="W397" i="19" s="1"/>
  <c r="U397" i="19"/>
  <c r="X403" i="19"/>
  <c r="K527" i="19"/>
  <c r="G39" i="28" s="1"/>
  <c r="H39" i="28" s="1"/>
  <c r="K548" i="19"/>
  <c r="K543" i="19"/>
  <c r="U707" i="19"/>
  <c r="W708" i="19"/>
  <c r="W707" i="19" s="1"/>
  <c r="M167" i="18"/>
  <c r="M166" i="18" s="1"/>
  <c r="L166" i="18"/>
  <c r="W460" i="18"/>
  <c r="W459" i="18" s="1"/>
  <c r="U459" i="18"/>
  <c r="W476" i="18"/>
  <c r="X481" i="18"/>
  <c r="T96" i="18"/>
  <c r="X279" i="18"/>
  <c r="W274" i="18"/>
  <c r="W273" i="18" s="1"/>
  <c r="U273" i="18"/>
  <c r="F643" i="18"/>
  <c r="G658" i="18"/>
  <c r="H658" i="18" s="1"/>
  <c r="I658" i="18" s="1"/>
  <c r="J658" i="18" s="1"/>
  <c r="K658" i="18" s="1"/>
  <c r="N658" i="18" s="1"/>
  <c r="W678" i="18"/>
  <c r="W677" i="18" s="1"/>
  <c r="U677" i="18"/>
  <c r="X683" i="18"/>
  <c r="U281" i="18"/>
  <c r="T166" i="18"/>
  <c r="U167" i="18"/>
  <c r="W304" i="18"/>
  <c r="W303" i="18" s="1"/>
  <c r="X309" i="18"/>
  <c r="U303" i="18"/>
  <c r="U403" i="18"/>
  <c r="T402" i="18"/>
  <c r="W213" i="15"/>
  <c r="W27" i="15" s="1"/>
  <c r="X218" i="15"/>
  <c r="X279" i="15"/>
  <c r="W274" i="15"/>
  <c r="W273" i="15" s="1"/>
  <c r="U273" i="15"/>
  <c r="F643" i="15"/>
  <c r="G688" i="15"/>
  <c r="L166" i="15"/>
  <c r="M167" i="15"/>
  <c r="M166" i="15" s="1"/>
  <c r="U167" i="15"/>
  <c r="T166" i="15"/>
  <c r="U232" i="15"/>
  <c r="X232" i="15" s="1"/>
  <c r="T231" i="15"/>
  <c r="T474" i="15"/>
  <c r="U554" i="15"/>
  <c r="T553" i="15"/>
  <c r="U226" i="15"/>
  <c r="W227" i="15"/>
  <c r="W226" i="15" s="1"/>
  <c r="T99" i="15"/>
  <c r="W578" i="15"/>
  <c r="L211" i="15"/>
  <c r="M212" i="15"/>
  <c r="M211" i="15" s="1"/>
  <c r="W185" i="15"/>
  <c r="W186" i="15" s="1"/>
  <c r="U186" i="15"/>
  <c r="X185" i="15"/>
  <c r="S221" i="15"/>
  <c r="S216" i="15"/>
  <c r="O520" i="15"/>
  <c r="O522" i="15" s="1"/>
  <c r="O16" i="15" s="1"/>
  <c r="O536" i="15"/>
  <c r="U564" i="15"/>
  <c r="W564" i="15" s="1"/>
  <c r="U212" i="13"/>
  <c r="M212" i="13"/>
  <c r="M211" i="13" s="1"/>
  <c r="L211" i="13"/>
  <c r="U303" i="13"/>
  <c r="W304" i="13"/>
  <c r="W303" i="13" s="1"/>
  <c r="X309" i="13"/>
  <c r="W678" i="13"/>
  <c r="W677" i="13" s="1"/>
  <c r="U677" i="13"/>
  <c r="U166" i="13"/>
  <c r="W167" i="13"/>
  <c r="L166" i="13"/>
  <c r="M167" i="13"/>
  <c r="M166" i="13" s="1"/>
  <c r="W631" i="13"/>
  <c r="W630" i="13" s="1"/>
  <c r="U630" i="13"/>
  <c r="U249" i="13"/>
  <c r="U186" i="13"/>
  <c r="X187" i="13"/>
  <c r="W187" i="13"/>
  <c r="W186" i="13" s="1"/>
  <c r="L174" i="13"/>
  <c r="M174" i="13" s="1"/>
  <c r="X465" i="13"/>
  <c r="U459" i="13"/>
  <c r="W460" i="13"/>
  <c r="W459" i="13" s="1"/>
  <c r="X202" i="13"/>
  <c r="W202" i="13"/>
  <c r="W201" i="13" s="1"/>
  <c r="U201" i="13"/>
  <c r="W175" i="13"/>
  <c r="L171" i="13"/>
  <c r="M172" i="13"/>
  <c r="M171" i="13" s="1"/>
  <c r="W552" i="13"/>
  <c r="H520" i="13"/>
  <c r="H536" i="13"/>
  <c r="N177" i="13"/>
  <c r="I222" i="13"/>
  <c r="J222" i="13" s="1"/>
  <c r="K222" i="13" s="1"/>
  <c r="N222" i="13" s="1"/>
  <c r="U311" i="13"/>
  <c r="U204" i="13"/>
  <c r="T637" i="11"/>
  <c r="U638" i="11"/>
  <c r="X638" i="11" s="1"/>
  <c r="W631" i="11"/>
  <c r="W182" i="11"/>
  <c r="W181" i="11" s="1"/>
  <c r="U181" i="11"/>
  <c r="W648" i="11"/>
  <c r="W647" i="11" s="1"/>
  <c r="U647" i="11"/>
  <c r="W629" i="11"/>
  <c r="K527" i="11"/>
  <c r="K19" i="11" s="1"/>
  <c r="K12" i="11" s="1"/>
  <c r="K548" i="11"/>
  <c r="K543" i="11"/>
  <c r="W505" i="11"/>
  <c r="W504" i="11" s="1"/>
  <c r="U504" i="11"/>
  <c r="X510" i="11"/>
  <c r="N529" i="11"/>
  <c r="N21" i="11" s="1"/>
  <c r="W601" i="11"/>
  <c r="W600" i="11" s="1"/>
  <c r="U600" i="11"/>
  <c r="W490" i="11"/>
  <c r="W489" i="11" s="1"/>
  <c r="U232" i="11"/>
  <c r="X232" i="11" s="1"/>
  <c r="T231" i="11"/>
  <c r="M638" i="11"/>
  <c r="M637" i="11" s="1"/>
  <c r="L637" i="11"/>
  <c r="U655" i="11"/>
  <c r="X655" i="11" s="1"/>
  <c r="W635" i="11"/>
  <c r="M212" i="11"/>
  <c r="M211" i="11" s="1"/>
  <c r="U212" i="11"/>
  <c r="L211" i="11"/>
  <c r="U226" i="11"/>
  <c r="W227" i="11"/>
  <c r="W226" i="11" s="1"/>
  <c r="W274" i="11"/>
  <c r="W273" i="11" s="1"/>
  <c r="U273" i="11"/>
  <c r="X279" i="11"/>
  <c r="Q526" i="11"/>
  <c r="Q531" i="11"/>
  <c r="S216" i="11"/>
  <c r="S221" i="11"/>
  <c r="S219" i="11"/>
  <c r="T219" i="11" s="1"/>
  <c r="T234" i="11"/>
  <c r="U234" i="11" s="1"/>
  <c r="U247" i="11"/>
  <c r="T246" i="11"/>
  <c r="L518" i="11"/>
  <c r="M518" i="11" s="1"/>
  <c r="G543" i="11"/>
  <c r="V526" i="11"/>
  <c r="T249" i="11"/>
  <c r="U249" i="11" s="1"/>
  <c r="U281" i="11"/>
  <c r="U685" i="11"/>
  <c r="X685" i="11" s="1"/>
  <c r="S176" i="9"/>
  <c r="S171" i="9"/>
  <c r="L219" i="9"/>
  <c r="M219" i="9" s="1"/>
  <c r="U212" i="9"/>
  <c r="T211" i="9"/>
  <c r="S174" i="9"/>
  <c r="S35" i="9" s="1"/>
  <c r="W100" i="9"/>
  <c r="T186" i="9"/>
  <c r="U187" i="9"/>
  <c r="T201" i="9"/>
  <c r="U202" i="9"/>
  <c r="X232" i="9"/>
  <c r="W227" i="9"/>
  <c r="W226" i="9" s="1"/>
  <c r="U226" i="9"/>
  <c r="X187" i="9"/>
  <c r="W182" i="9"/>
  <c r="W181" i="9" s="1"/>
  <c r="U181" i="9"/>
  <c r="W170" i="9"/>
  <c r="X170" i="9"/>
  <c r="L171" i="9"/>
  <c r="M172" i="9"/>
  <c r="M171" i="9" s="1"/>
  <c r="M167" i="9"/>
  <c r="M166" i="9" s="1"/>
  <c r="L166" i="9"/>
  <c r="W460" i="9"/>
  <c r="W459" i="9" s="1"/>
  <c r="X465" i="9"/>
  <c r="U459" i="9"/>
  <c r="M563" i="8"/>
  <c r="U563" i="8"/>
  <c r="W563" i="8" s="1"/>
  <c r="W189" i="8"/>
  <c r="X189" i="8"/>
  <c r="W554" i="8"/>
  <c r="W553" i="8" s="1"/>
  <c r="U553" i="8"/>
  <c r="M578" i="8"/>
  <c r="U578" i="8"/>
  <c r="M535" i="8"/>
  <c r="U403" i="8"/>
  <c r="T402" i="8"/>
  <c r="G581" i="8"/>
  <c r="F566" i="8"/>
  <c r="M554" i="8"/>
  <c r="M553" i="8" s="1"/>
  <c r="L553" i="8"/>
  <c r="W218" i="8"/>
  <c r="X218" i="8"/>
  <c r="X403" i="8"/>
  <c r="U397" i="8"/>
  <c r="W398" i="8"/>
  <c r="W397" i="8" s="1"/>
  <c r="U204" i="8"/>
  <c r="X204" i="8" s="1"/>
  <c r="W215" i="8"/>
  <c r="X215" i="8"/>
  <c r="M497" i="8"/>
  <c r="X247" i="8"/>
  <c r="W247" i="8"/>
  <c r="W246" i="8" s="1"/>
  <c r="U246" i="8"/>
  <c r="W197" i="8"/>
  <c r="W196" i="8" s="1"/>
  <c r="U196" i="8"/>
  <c r="W227" i="8"/>
  <c r="W226" i="8" s="1"/>
  <c r="X232" i="8"/>
  <c r="U226" i="8"/>
  <c r="U459" i="8"/>
  <c r="W460" i="8"/>
  <c r="W459" i="8" s="1"/>
  <c r="X465" i="8"/>
  <c r="W601" i="8"/>
  <c r="W600" i="8" s="1"/>
  <c r="U600" i="8"/>
  <c r="X606" i="8"/>
  <c r="W476" i="8"/>
  <c r="X481" i="8"/>
  <c r="W558" i="8"/>
  <c r="T405" i="8"/>
  <c r="U405" i="8" s="1"/>
  <c r="U100" i="7"/>
  <c r="U249" i="7"/>
  <c r="X249" i="7" s="1"/>
  <c r="M638" i="7"/>
  <c r="M637" i="7" s="1"/>
  <c r="L637" i="7"/>
  <c r="U202" i="7"/>
  <c r="T201" i="7"/>
  <c r="X481" i="7"/>
  <c r="W481" i="7"/>
  <c r="W708" i="7"/>
  <c r="W707" i="7" s="1"/>
  <c r="U707" i="7"/>
  <c r="U281" i="7"/>
  <c r="X281" i="7" s="1"/>
  <c r="W215" i="7"/>
  <c r="X215" i="7"/>
  <c r="W140" i="7"/>
  <c r="W182" i="7"/>
  <c r="W181" i="7" s="1"/>
  <c r="X187" i="7"/>
  <c r="U181" i="7"/>
  <c r="V220" i="7"/>
  <c r="W220" i="7" s="1"/>
  <c r="W250" i="7"/>
  <c r="S482" i="7"/>
  <c r="T497" i="7"/>
  <c r="T467" i="7"/>
  <c r="U467" i="7" s="1"/>
  <c r="X545" i="7"/>
  <c r="W540" i="7"/>
  <c r="U186" i="7"/>
  <c r="W187" i="7"/>
  <c r="W186" i="7" s="1"/>
  <c r="X403" i="7"/>
  <c r="U397" i="7"/>
  <c r="W398" i="7"/>
  <c r="W397" i="7" s="1"/>
  <c r="Q536" i="7"/>
  <c r="S176" i="7"/>
  <c r="S171" i="7"/>
  <c r="L630" i="7"/>
  <c r="M631" i="7"/>
  <c r="M630" i="7" s="1"/>
  <c r="P531" i="7"/>
  <c r="P526" i="7"/>
  <c r="M167" i="7"/>
  <c r="M166" i="7" s="1"/>
  <c r="L166" i="7"/>
  <c r="S560" i="7"/>
  <c r="S544" i="7"/>
  <c r="V544" i="7"/>
  <c r="V637" i="7"/>
  <c r="U309" i="7"/>
  <c r="X309" i="7" s="1"/>
  <c r="T308" i="7"/>
  <c r="G688" i="7"/>
  <c r="F643" i="7"/>
  <c r="L171" i="7"/>
  <c r="M172" i="7"/>
  <c r="M171" i="7" s="1"/>
  <c r="S484" i="7"/>
  <c r="S479" i="7"/>
  <c r="T494" i="7"/>
  <c r="M376" i="7"/>
  <c r="U376" i="7"/>
  <c r="W376" i="7" s="1"/>
  <c r="T464" i="7"/>
  <c r="U465" i="7"/>
  <c r="W218" i="7"/>
  <c r="X218" i="7"/>
  <c r="W304" i="7"/>
  <c r="W303" i="7" s="1"/>
  <c r="U303" i="7"/>
  <c r="T630" i="7"/>
  <c r="U631" i="7"/>
  <c r="G20" i="7"/>
  <c r="L20" i="7" s="1"/>
  <c r="L528" i="7"/>
  <c r="M528" i="7" s="1"/>
  <c r="M212" i="7"/>
  <c r="M211" i="7" s="1"/>
  <c r="L211" i="7"/>
  <c r="K519" i="7"/>
  <c r="K536" i="7"/>
  <c r="W686" i="7"/>
  <c r="V641" i="7"/>
  <c r="W641" i="7" s="1"/>
  <c r="J222" i="7"/>
  <c r="K222" i="7" s="1"/>
  <c r="N222" i="7" s="1"/>
  <c r="O222" i="7" s="1"/>
  <c r="P222" i="7" s="1"/>
  <c r="Q222" i="7" s="1"/>
  <c r="R222" i="7" s="1"/>
  <c r="S222" i="7" s="1"/>
  <c r="U685" i="7"/>
  <c r="W685" i="7" s="1"/>
  <c r="S314" i="7"/>
  <c r="T172" i="7"/>
  <c r="V543" i="8"/>
  <c r="V527" i="8"/>
  <c r="W497" i="18"/>
  <c r="X497" i="18"/>
  <c r="U434" i="18"/>
  <c r="W435" i="18"/>
  <c r="W434" i="18" s="1"/>
  <c r="M437" i="18"/>
  <c r="U437" i="18"/>
  <c r="W437" i="18" s="1"/>
  <c r="G688" i="8"/>
  <c r="M437" i="7"/>
  <c r="W559" i="7"/>
  <c r="M375" i="9"/>
  <c r="U375" i="9"/>
  <c r="U477" i="7"/>
  <c r="W477" i="7" s="1"/>
  <c r="T96" i="13"/>
  <c r="X651" i="8"/>
  <c r="W646" i="8"/>
  <c r="M648" i="8"/>
  <c r="M647" i="8" s="1"/>
  <c r="L647" i="8"/>
  <c r="W608" i="13"/>
  <c r="W508" i="9"/>
  <c r="X508" i="9"/>
  <c r="W167" i="7"/>
  <c r="U166" i="7"/>
  <c r="W99" i="9"/>
  <c r="X99" i="9"/>
  <c r="L536" i="9"/>
  <c r="T174" i="11"/>
  <c r="M558" i="11"/>
  <c r="U558" i="11"/>
  <c r="T563" i="13"/>
  <c r="U535" i="7"/>
  <c r="P548" i="8"/>
  <c r="P543" i="8"/>
  <c r="P527" i="8"/>
  <c r="X685" i="8"/>
  <c r="J658" i="7"/>
  <c r="W175" i="7"/>
  <c r="N546" i="8"/>
  <c r="G519" i="9"/>
  <c r="W535" i="13"/>
  <c r="X542" i="13"/>
  <c r="X204" i="7"/>
  <c r="W204" i="7"/>
  <c r="U226" i="7"/>
  <c r="X232" i="7"/>
  <c r="W227" i="7"/>
  <c r="W226" i="7" s="1"/>
  <c r="W312" i="7"/>
  <c r="W401" i="7"/>
  <c r="W402" i="7" s="1"/>
  <c r="U402" i="7"/>
  <c r="X401" i="7"/>
  <c r="V479" i="7"/>
  <c r="T640" i="7"/>
  <c r="N546" i="7"/>
  <c r="X463" i="8"/>
  <c r="U464" i="8"/>
  <c r="W463" i="8"/>
  <c r="W464" i="8" s="1"/>
  <c r="K630" i="8"/>
  <c r="L537" i="8"/>
  <c r="X200" i="11"/>
  <c r="U201" i="11"/>
  <c r="W200" i="11"/>
  <c r="W201" i="11" s="1"/>
  <c r="L219" i="11"/>
  <c r="F566" i="13"/>
  <c r="G611" i="13"/>
  <c r="H546" i="13"/>
  <c r="H529" i="13" s="1"/>
  <c r="L640" i="13"/>
  <c r="M640" i="13" s="1"/>
  <c r="M542" i="7"/>
  <c r="Q548" i="7"/>
  <c r="Q543" i="7"/>
  <c r="M217" i="8"/>
  <c r="M216" i="8" s="1"/>
  <c r="L216" i="8"/>
  <c r="W234" i="8"/>
  <c r="X234" i="8"/>
  <c r="L219" i="8"/>
  <c r="M219" i="8" s="1"/>
  <c r="X281" i="8"/>
  <c r="M545" i="8"/>
  <c r="U545" i="8"/>
  <c r="T560" i="8"/>
  <c r="U561" i="8"/>
  <c r="T216" i="9"/>
  <c r="U217" i="9"/>
  <c r="N530" i="9"/>
  <c r="K548" i="9"/>
  <c r="K543" i="9"/>
  <c r="W170" i="11"/>
  <c r="X170" i="11"/>
  <c r="X311" i="11"/>
  <c r="W311" i="11"/>
  <c r="X478" i="11"/>
  <c r="W478" i="11"/>
  <c r="U540" i="11"/>
  <c r="M540" i="11"/>
  <c r="W488" i="13"/>
  <c r="X493" i="13"/>
  <c r="F546" i="11"/>
  <c r="L563" i="11"/>
  <c r="X144" i="11"/>
  <c r="W144" i="11"/>
  <c r="Q519" i="9"/>
  <c r="T536" i="11"/>
  <c r="M518" i="13"/>
  <c r="U518" i="13"/>
  <c r="T211" i="7"/>
  <c r="U212" i="7"/>
  <c r="T536" i="13"/>
  <c r="T640" i="13"/>
  <c r="N546" i="13"/>
  <c r="F566" i="7"/>
  <c r="G581" i="7"/>
  <c r="I21" i="8"/>
  <c r="M220" i="9"/>
  <c r="U220" i="9"/>
  <c r="W220" i="9" s="1"/>
  <c r="M579" i="11"/>
  <c r="U579" i="11"/>
  <c r="W579" i="11" s="1"/>
  <c r="H474" i="13"/>
  <c r="M217" i="7"/>
  <c r="M216" i="7" s="1"/>
  <c r="L216" i="7"/>
  <c r="U217" i="7"/>
  <c r="T216" i="7"/>
  <c r="L219" i="7"/>
  <c r="M219" i="7" s="1"/>
  <c r="K21" i="8"/>
  <c r="M212" i="8"/>
  <c r="M211" i="8" s="1"/>
  <c r="U212" i="8"/>
  <c r="L211" i="8"/>
  <c r="U217" i="8"/>
  <c r="T216" i="8"/>
  <c r="T219" i="8"/>
  <c r="W371" i="8"/>
  <c r="X371" i="8"/>
  <c r="N536" i="8"/>
  <c r="W95" i="9"/>
  <c r="W96" i="9" s="1"/>
  <c r="X95" i="9"/>
  <c r="U96" i="9"/>
  <c r="U167" i="9"/>
  <c r="T166" i="9"/>
  <c r="W234" i="9"/>
  <c r="X234" i="9"/>
  <c r="L560" i="9"/>
  <c r="M561" i="9"/>
  <c r="M560" i="9" s="1"/>
  <c r="Q548" i="9"/>
  <c r="Q543" i="9"/>
  <c r="T544" i="9"/>
  <c r="M217" i="11"/>
  <c r="M216" i="11" s="1"/>
  <c r="L216" i="11"/>
  <c r="W405" i="11"/>
  <c r="X405" i="11"/>
  <c r="M467" i="11"/>
  <c r="U467" i="11"/>
  <c r="G484" i="11"/>
  <c r="G485" i="11" s="1"/>
  <c r="H485" i="11" s="1"/>
  <c r="L483" i="11"/>
  <c r="T479" i="11"/>
  <c r="L530" i="11"/>
  <c r="M530" i="11" s="1"/>
  <c r="U533" i="11"/>
  <c r="M533" i="11"/>
  <c r="M541" i="11"/>
  <c r="U541" i="11"/>
  <c r="L547" i="11"/>
  <c r="G548" i="11"/>
  <c r="G549" i="11" s="1"/>
  <c r="H549" i="11" s="1"/>
  <c r="I549" i="11" s="1"/>
  <c r="J549" i="11" s="1"/>
  <c r="K549" i="11" s="1"/>
  <c r="X170" i="19"/>
  <c r="W170" i="19"/>
  <c r="W31" i="19" s="1"/>
  <c r="W281" i="13"/>
  <c r="X281" i="13"/>
  <c r="G19" i="13"/>
  <c r="G12" i="13" s="1"/>
  <c r="T530" i="13"/>
  <c r="N531" i="13"/>
  <c r="W540" i="13"/>
  <c r="X545" i="13"/>
  <c r="T546" i="15"/>
  <c r="O529" i="15"/>
  <c r="L546" i="15"/>
  <c r="M546" i="15" s="1"/>
  <c r="G529" i="15"/>
  <c r="L529" i="15" s="1"/>
  <c r="M529" i="15" s="1"/>
  <c r="T537" i="15"/>
  <c r="W245" i="15"/>
  <c r="W246" i="15" s="1"/>
  <c r="X245" i="15"/>
  <c r="U246" i="15"/>
  <c r="X307" i="15"/>
  <c r="W307" i="15"/>
  <c r="W308" i="15" s="1"/>
  <c r="U308" i="15"/>
  <c r="U172" i="15"/>
  <c r="T171" i="15"/>
  <c r="G19" i="15"/>
  <c r="G12" i="15" s="1"/>
  <c r="T216" i="15"/>
  <c r="U217" i="15"/>
  <c r="Q21" i="15"/>
  <c r="T219" i="15"/>
  <c r="M467" i="15"/>
  <c r="U467" i="15"/>
  <c r="L174" i="18"/>
  <c r="M174" i="18" s="1"/>
  <c r="T563" i="18"/>
  <c r="N546" i="18"/>
  <c r="W185" i="19"/>
  <c r="X185" i="19"/>
  <c r="U186" i="19"/>
  <c r="W312" i="19"/>
  <c r="P519" i="19"/>
  <c r="R519" i="19"/>
  <c r="W508" i="18"/>
  <c r="X508" i="18"/>
  <c r="S480" i="18"/>
  <c r="G34" i="28" s="1"/>
  <c r="H34" i="28" s="1"/>
  <c r="S512" i="18"/>
  <c r="S514" i="18"/>
  <c r="T510" i="18"/>
  <c r="T560" i="18"/>
  <c r="V20" i="19"/>
  <c r="W685" i="15"/>
  <c r="X685" i="15"/>
  <c r="T174" i="13"/>
  <c r="U174" i="13" s="1"/>
  <c r="T560" i="13"/>
  <c r="W648" i="15"/>
  <c r="W647" i="15" s="1"/>
  <c r="U647" i="15"/>
  <c r="M189" i="15"/>
  <c r="U189" i="15"/>
  <c r="X281" i="15"/>
  <c r="W281" i="15"/>
  <c r="T479" i="15"/>
  <c r="Q519" i="15"/>
  <c r="I543" i="15"/>
  <c r="I527" i="15"/>
  <c r="I19" i="15" s="1"/>
  <c r="I12" i="15" s="1"/>
  <c r="I548" i="15"/>
  <c r="L537" i="15"/>
  <c r="F520" i="15"/>
  <c r="F522" i="15" s="1"/>
  <c r="F536" i="15"/>
  <c r="M631" i="15"/>
  <c r="M630" i="15" s="1"/>
  <c r="L630" i="15"/>
  <c r="N527" i="15"/>
  <c r="N548" i="15"/>
  <c r="N543" i="15"/>
  <c r="W432" i="18"/>
  <c r="T640" i="18"/>
  <c r="M533" i="18"/>
  <c r="U533" i="18"/>
  <c r="L518" i="18"/>
  <c r="F519" i="18"/>
  <c r="T520" i="18"/>
  <c r="N519" i="18"/>
  <c r="V519" i="18"/>
  <c r="K527" i="18"/>
  <c r="K543" i="18"/>
  <c r="K548" i="18"/>
  <c r="U638" i="18"/>
  <c r="T637" i="18"/>
  <c r="R548" i="18"/>
  <c r="R543" i="18"/>
  <c r="R527" i="18"/>
  <c r="R19" i="18" s="1"/>
  <c r="R12" i="18" s="1"/>
  <c r="H688" i="18"/>
  <c r="G643" i="18"/>
  <c r="U169" i="19"/>
  <c r="M169" i="19"/>
  <c r="U217" i="19"/>
  <c r="X217" i="19" s="1"/>
  <c r="W508" i="19"/>
  <c r="X508" i="19"/>
  <c r="I565" i="19"/>
  <c r="I581" i="19"/>
  <c r="I560" i="19"/>
  <c r="I544" i="19"/>
  <c r="U373" i="19"/>
  <c r="T372" i="19"/>
  <c r="X467" i="19"/>
  <c r="W467" i="19"/>
  <c r="H658" i="19"/>
  <c r="U655" i="7"/>
  <c r="H222" i="8"/>
  <c r="I222" i="8" s="1"/>
  <c r="J222" i="8" s="1"/>
  <c r="K222" i="8" s="1"/>
  <c r="N222" i="8" s="1"/>
  <c r="O222" i="8" s="1"/>
  <c r="P222" i="8" s="1"/>
  <c r="U467" i="8"/>
  <c r="U528" i="9"/>
  <c r="W528" i="9" s="1"/>
  <c r="J222" i="11"/>
  <c r="K222" i="11" s="1"/>
  <c r="N222" i="11" s="1"/>
  <c r="O222" i="11" s="1"/>
  <c r="U204" i="11"/>
  <c r="U512" i="11"/>
  <c r="U189" i="7"/>
  <c r="U375" i="7"/>
  <c r="X375" i="7" s="1"/>
  <c r="U542" i="8"/>
  <c r="L631" i="8"/>
  <c r="U234" i="13"/>
  <c r="U437" i="15"/>
  <c r="T530" i="15"/>
  <c r="U189" i="18"/>
  <c r="U685" i="18"/>
  <c r="U249" i="19"/>
  <c r="U405" i="19"/>
  <c r="L174" i="7"/>
  <c r="M174" i="7" s="1"/>
  <c r="L530" i="7"/>
  <c r="M530" i="7" s="1"/>
  <c r="M578" i="7"/>
  <c r="L640" i="7"/>
  <c r="M640" i="7" s="1"/>
  <c r="M234" i="11"/>
  <c r="W234" i="7"/>
  <c r="H484" i="7"/>
  <c r="H485" i="7" s="1"/>
  <c r="L483" i="7"/>
  <c r="M483" i="7" s="1"/>
  <c r="L525" i="7"/>
  <c r="T637" i="7"/>
  <c r="U638" i="7"/>
  <c r="I19" i="8"/>
  <c r="I12" i="8" s="1"/>
  <c r="L528" i="8"/>
  <c r="F20" i="8"/>
  <c r="L20" i="8" s="1"/>
  <c r="I536" i="8"/>
  <c r="I519" i="8"/>
  <c r="W140" i="9"/>
  <c r="X405" i="9"/>
  <c r="W405" i="9"/>
  <c r="T547" i="9"/>
  <c r="U547" i="9" s="1"/>
  <c r="W547" i="9" s="1"/>
  <c r="N548" i="9"/>
  <c r="M167" i="11"/>
  <c r="M166" i="11" s="1"/>
  <c r="L166" i="11"/>
  <c r="M189" i="11"/>
  <c r="U189" i="11"/>
  <c r="M475" i="11"/>
  <c r="M474" i="11" s="1"/>
  <c r="L474" i="11"/>
  <c r="U475" i="11"/>
  <c r="M523" i="11"/>
  <c r="U523" i="11"/>
  <c r="W523" i="11" s="1"/>
  <c r="T517" i="11"/>
  <c r="U517" i="11" s="1"/>
  <c r="T534" i="11"/>
  <c r="U534" i="11" s="1"/>
  <c r="N543" i="11"/>
  <c r="N548" i="11"/>
  <c r="N527" i="11"/>
  <c r="N19" i="11" s="1"/>
  <c r="N12" i="11" s="1"/>
  <c r="X204" i="18"/>
  <c r="W204" i="18"/>
  <c r="L174" i="11"/>
  <c r="M174" i="11" s="1"/>
  <c r="N548" i="8"/>
  <c r="N543" i="8"/>
  <c r="N527" i="8"/>
  <c r="N19" i="8" s="1"/>
  <c r="N12" i="8" s="1"/>
  <c r="W542" i="9"/>
  <c r="T174" i="7"/>
  <c r="W608" i="8"/>
  <c r="X608" i="8"/>
  <c r="M497" i="9"/>
  <c r="G519" i="11"/>
  <c r="Q519" i="13"/>
  <c r="T520" i="13"/>
  <c r="H643" i="11"/>
  <c r="I658" i="11"/>
  <c r="W249" i="18"/>
  <c r="X249" i="18"/>
  <c r="S630" i="8"/>
  <c r="V479" i="9"/>
  <c r="T563" i="9"/>
  <c r="L563" i="9"/>
  <c r="M563" i="9" s="1"/>
  <c r="G565" i="11"/>
  <c r="G581" i="11"/>
  <c r="W608" i="11"/>
  <c r="U278" i="13"/>
  <c r="X277" i="13"/>
  <c r="W277" i="13"/>
  <c r="W278" i="13" s="1"/>
  <c r="G546" i="13"/>
  <c r="N19" i="7"/>
  <c r="N12" i="7" s="1"/>
  <c r="W281" i="7"/>
  <c r="M311" i="7"/>
  <c r="U311" i="7"/>
  <c r="T483" i="7"/>
  <c r="N484" i="7"/>
  <c r="R519" i="7"/>
  <c r="T518" i="7"/>
  <c r="K19" i="8"/>
  <c r="K12" i="8" s="1"/>
  <c r="F519" i="8"/>
  <c r="T171" i="9"/>
  <c r="X189" i="9"/>
  <c r="I531" i="9"/>
  <c r="I526" i="9"/>
  <c r="G548" i="9"/>
  <c r="G543" i="9"/>
  <c r="L544" i="9"/>
  <c r="U561" i="9"/>
  <c r="T560" i="9"/>
  <c r="T166" i="11"/>
  <c r="U167" i="11"/>
  <c r="M172" i="11"/>
  <c r="M171" i="11" s="1"/>
  <c r="L171" i="11"/>
  <c r="U172" i="11"/>
  <c r="T171" i="11"/>
  <c r="M477" i="11"/>
  <c r="U477" i="11"/>
  <c r="T530" i="11"/>
  <c r="M516" i="11"/>
  <c r="U516" i="11"/>
  <c r="R548" i="11"/>
  <c r="R527" i="11"/>
  <c r="R19" i="11" s="1"/>
  <c r="R12" i="11" s="1"/>
  <c r="R543" i="11"/>
  <c r="U172" i="13"/>
  <c r="T171" i="13"/>
  <c r="T174" i="15"/>
  <c r="R21" i="15"/>
  <c r="T536" i="19"/>
  <c r="L219" i="13"/>
  <c r="M219" i="13" s="1"/>
  <c r="X528" i="13"/>
  <c r="W523" i="13"/>
  <c r="K548" i="13"/>
  <c r="K527" i="13"/>
  <c r="G23" i="28" s="1"/>
  <c r="H23" i="28" s="1"/>
  <c r="K543" i="13"/>
  <c r="W563" i="15"/>
  <c r="W277" i="18"/>
  <c r="W278" i="18" s="1"/>
  <c r="X277" i="18"/>
  <c r="U278" i="18"/>
  <c r="X307" i="18"/>
  <c r="W307" i="18"/>
  <c r="W308" i="18" s="1"/>
  <c r="U308" i="18"/>
  <c r="S519" i="18"/>
  <c r="X204" i="15"/>
  <c r="M217" i="15"/>
  <c r="M216" i="15" s="1"/>
  <c r="L216" i="15"/>
  <c r="X512" i="15"/>
  <c r="W512" i="15"/>
  <c r="L530" i="15"/>
  <c r="M530" i="15" s="1"/>
  <c r="H548" i="15"/>
  <c r="H543" i="15"/>
  <c r="H527" i="15"/>
  <c r="R527" i="15"/>
  <c r="R548" i="15"/>
  <c r="R543" i="15"/>
  <c r="O658" i="15"/>
  <c r="P658" i="15" s="1"/>
  <c r="M172" i="18"/>
  <c r="M171" i="18" s="1"/>
  <c r="L171" i="18"/>
  <c r="K546" i="18"/>
  <c r="K529" i="18" s="1"/>
  <c r="I546" i="18"/>
  <c r="L640" i="18"/>
  <c r="M640" i="18" s="1"/>
  <c r="G527" i="18"/>
  <c r="G548" i="18"/>
  <c r="G549" i="18" s="1"/>
  <c r="H549" i="18" s="1"/>
  <c r="G543" i="18"/>
  <c r="W144" i="19"/>
  <c r="N19" i="19"/>
  <c r="N12" i="19" s="1"/>
  <c r="T171" i="19"/>
  <c r="I527" i="18"/>
  <c r="I543" i="18"/>
  <c r="I548" i="18"/>
  <c r="X189" i="13"/>
  <c r="W189" i="13"/>
  <c r="L216" i="13"/>
  <c r="U217" i="13"/>
  <c r="M217" i="13"/>
  <c r="M216" i="13" s="1"/>
  <c r="M534" i="13"/>
  <c r="U534" i="13"/>
  <c r="T544" i="13"/>
  <c r="U638" i="13"/>
  <c r="X638" i="13" s="1"/>
  <c r="T637" i="13"/>
  <c r="U211" i="15"/>
  <c r="W219" i="18"/>
  <c r="X219" i="18"/>
  <c r="M655" i="15"/>
  <c r="W212" i="19"/>
  <c r="U211" i="19"/>
  <c r="M172" i="15"/>
  <c r="M171" i="15" s="1"/>
  <c r="L171" i="15"/>
  <c r="L174" i="15"/>
  <c r="M174" i="15" s="1"/>
  <c r="X405" i="15"/>
  <c r="W405" i="15"/>
  <c r="M561" i="15"/>
  <c r="M560" i="15" s="1"/>
  <c r="U561" i="15"/>
  <c r="L560" i="15"/>
  <c r="T637" i="15"/>
  <c r="U172" i="18"/>
  <c r="T171" i="18"/>
  <c r="T174" i="18"/>
  <c r="T474" i="18"/>
  <c r="T536" i="18"/>
  <c r="N548" i="18"/>
  <c r="N543" i="18"/>
  <c r="N527" i="18"/>
  <c r="T544" i="18"/>
  <c r="M99" i="19"/>
  <c r="U99" i="19"/>
  <c r="L175" i="19"/>
  <c r="Q19" i="19"/>
  <c r="Q12" i="19" s="1"/>
  <c r="W493" i="19"/>
  <c r="W494" i="19" s="1"/>
  <c r="U494" i="19"/>
  <c r="X493" i="19"/>
  <c r="U576" i="19"/>
  <c r="M576" i="19"/>
  <c r="M575" i="19" s="1"/>
  <c r="L575" i="19"/>
  <c r="L578" i="19"/>
  <c r="F643" i="19"/>
  <c r="G688" i="19"/>
  <c r="H688" i="19" s="1"/>
  <c r="I688" i="19" s="1"/>
  <c r="J688" i="19" s="1"/>
  <c r="K688" i="19" s="1"/>
  <c r="N688" i="19" s="1"/>
  <c r="O688" i="19" s="1"/>
  <c r="P688" i="19" s="1"/>
  <c r="Q688" i="19" s="1"/>
  <c r="R688" i="19" s="1"/>
  <c r="S688" i="19" s="1"/>
  <c r="M217" i="19"/>
  <c r="M216" i="19" s="1"/>
  <c r="L216" i="19"/>
  <c r="W234" i="19"/>
  <c r="X234" i="19"/>
  <c r="T375" i="19"/>
  <c r="U375" i="19" s="1"/>
  <c r="G531" i="13"/>
  <c r="G532" i="13" s="1"/>
  <c r="H532" i="13" s="1"/>
  <c r="T219" i="7"/>
  <c r="U542" i="7"/>
  <c r="W542" i="7" s="1"/>
  <c r="T482" i="11"/>
  <c r="U685" i="13"/>
  <c r="X685" i="13" s="1"/>
  <c r="U547" i="7"/>
  <c r="W547" i="7" s="1"/>
  <c r="U249" i="8"/>
  <c r="K222" i="9"/>
  <c r="N222" i="9" s="1"/>
  <c r="O222" i="9" s="1"/>
  <c r="Q21" i="7"/>
  <c r="U311" i="19"/>
  <c r="U467" i="13"/>
  <c r="U524" i="15"/>
  <c r="N177" i="18"/>
  <c r="O177" i="18" s="1"/>
  <c r="P177" i="18" s="1"/>
  <c r="Q177" i="18" s="1"/>
  <c r="U608" i="18"/>
  <c r="X478" i="18"/>
  <c r="U631" i="15"/>
  <c r="G24" i="28" l="1"/>
  <c r="G27" i="28"/>
  <c r="H27" i="28" s="1"/>
  <c r="V19" i="9"/>
  <c r="T3" i="18"/>
  <c r="T18" i="11"/>
  <c r="N3" i="11"/>
  <c r="H24" i="28"/>
  <c r="W608" i="7"/>
  <c r="W556" i="15"/>
  <c r="X561" i="15"/>
  <c r="W539" i="19"/>
  <c r="W535" i="18"/>
  <c r="X542" i="18"/>
  <c r="W541" i="18"/>
  <c r="L18" i="11"/>
  <c r="M18" i="11" s="1"/>
  <c r="H3" i="11"/>
  <c r="T3" i="7"/>
  <c r="V16" i="9"/>
  <c r="U3" i="9" s="1"/>
  <c r="N16" i="15"/>
  <c r="K16" i="15"/>
  <c r="H16" i="11"/>
  <c r="T50" i="8"/>
  <c r="T49" i="8" s="1"/>
  <c r="S37" i="9"/>
  <c r="S19" i="9"/>
  <c r="W655" i="13"/>
  <c r="X655" i="13"/>
  <c r="G522" i="13"/>
  <c r="G16" i="13" s="1"/>
  <c r="G519" i="13"/>
  <c r="I522" i="13"/>
  <c r="I519" i="13"/>
  <c r="J519" i="15"/>
  <c r="J522" i="15"/>
  <c r="T530" i="18"/>
  <c r="U633" i="18"/>
  <c r="W633" i="18" s="1"/>
  <c r="R522" i="18"/>
  <c r="T522" i="18" s="1"/>
  <c r="R519" i="18"/>
  <c r="I519" i="11"/>
  <c r="I522" i="11"/>
  <c r="R519" i="11"/>
  <c r="R522" i="11"/>
  <c r="W535" i="11"/>
  <c r="X542" i="11"/>
  <c r="W633" i="7"/>
  <c r="X638" i="7"/>
  <c r="U600" i="23"/>
  <c r="X606" i="23"/>
  <c r="R522" i="8"/>
  <c r="R519" i="8"/>
  <c r="H522" i="8"/>
  <c r="H519" i="8"/>
  <c r="J522" i="8"/>
  <c r="J519" i="8"/>
  <c r="V451" i="23"/>
  <c r="V20" i="23" s="1"/>
  <c r="W468" i="23"/>
  <c r="O52" i="23"/>
  <c r="O35" i="23" s="1"/>
  <c r="J16" i="11"/>
  <c r="U564" i="11"/>
  <c r="W564" i="11" s="1"/>
  <c r="U539" i="15"/>
  <c r="W535" i="9"/>
  <c r="X542" i="9"/>
  <c r="W517" i="23"/>
  <c r="V487" i="23"/>
  <c r="R52" i="23"/>
  <c r="R35" i="23" s="1"/>
  <c r="W532" i="23"/>
  <c r="V522" i="19"/>
  <c r="V16" i="19" s="1"/>
  <c r="U3" i="19" s="1"/>
  <c r="V519" i="19"/>
  <c r="T531" i="23"/>
  <c r="V527" i="15"/>
  <c r="V526" i="15" s="1"/>
  <c r="V543" i="15"/>
  <c r="S519" i="15"/>
  <c r="S522" i="15"/>
  <c r="T529" i="15"/>
  <c r="V16" i="11"/>
  <c r="U3" i="11" s="1"/>
  <c r="U553" i="9"/>
  <c r="V443" i="23"/>
  <c r="V462" i="23"/>
  <c r="Q459" i="23"/>
  <c r="Q462" i="23"/>
  <c r="N462" i="23"/>
  <c r="R462" i="23"/>
  <c r="S459" i="23"/>
  <c r="S462" i="23"/>
  <c r="L556" i="23"/>
  <c r="M522" i="19"/>
  <c r="U522" i="19"/>
  <c r="L530" i="18"/>
  <c r="M530" i="18" s="1"/>
  <c r="U266" i="18"/>
  <c r="U174" i="18"/>
  <c r="Q19" i="15"/>
  <c r="Q12" i="15" s="1"/>
  <c r="X34" i="15"/>
  <c r="R37" i="23"/>
  <c r="T28" i="7"/>
  <c r="H522" i="13"/>
  <c r="H16" i="13" s="1"/>
  <c r="F519" i="13"/>
  <c r="K519" i="13"/>
  <c r="K522" i="13"/>
  <c r="K16" i="13" s="1"/>
  <c r="R519" i="13"/>
  <c r="R522" i="13"/>
  <c r="R16" i="13" s="1"/>
  <c r="N519" i="13"/>
  <c r="N522" i="13"/>
  <c r="S519" i="13"/>
  <c r="S522" i="13"/>
  <c r="U388" i="23"/>
  <c r="U387" i="23" s="1"/>
  <c r="W65" i="13"/>
  <c r="W31" i="13" s="1"/>
  <c r="V19" i="11"/>
  <c r="U524" i="11"/>
  <c r="W524" i="11" s="1"/>
  <c r="S340" i="9"/>
  <c r="O54" i="23"/>
  <c r="U537" i="9"/>
  <c r="W537" i="9" s="1"/>
  <c r="X545" i="9"/>
  <c r="U17" i="8"/>
  <c r="W17" i="8" s="1"/>
  <c r="W601" i="23"/>
  <c r="W600" i="23" s="1"/>
  <c r="Q469" i="23"/>
  <c r="Q452" i="23" s="1"/>
  <c r="W514" i="23"/>
  <c r="W513" i="23" s="1"/>
  <c r="X685" i="7"/>
  <c r="S177" i="7"/>
  <c r="T419" i="7"/>
  <c r="W586" i="23"/>
  <c r="W585" i="23" s="1"/>
  <c r="U585" i="23"/>
  <c r="H534" i="23"/>
  <c r="W446" i="23"/>
  <c r="X401" i="23"/>
  <c r="U344" i="18"/>
  <c r="W344" i="18" s="1"/>
  <c r="M344" i="18"/>
  <c r="M554" i="23"/>
  <c r="M553" i="23" s="1"/>
  <c r="S345" i="23"/>
  <c r="G346" i="13"/>
  <c r="N346" i="11"/>
  <c r="O346" i="11" s="1"/>
  <c r="P346" i="11" s="1"/>
  <c r="Q346" i="11" s="1"/>
  <c r="R346" i="11" s="1"/>
  <c r="S346" i="11" s="1"/>
  <c r="W174" i="8"/>
  <c r="S425" i="18"/>
  <c r="T18" i="18"/>
  <c r="U36" i="13"/>
  <c r="U530" i="11"/>
  <c r="W530" i="11" s="1"/>
  <c r="U524" i="18"/>
  <c r="L543" i="11"/>
  <c r="X144" i="13"/>
  <c r="U36" i="18"/>
  <c r="W36" i="18" s="1"/>
  <c r="U20" i="18"/>
  <c r="W20" i="18" s="1"/>
  <c r="U422" i="18"/>
  <c r="W422" i="18" s="1"/>
  <c r="W360" i="18"/>
  <c r="U47" i="18"/>
  <c r="W47" i="18" s="1"/>
  <c r="X48" i="18"/>
  <c r="T28" i="18"/>
  <c r="S32" i="18"/>
  <c r="S237" i="23"/>
  <c r="U70" i="18"/>
  <c r="W70" i="18" s="1"/>
  <c r="L18" i="8"/>
  <c r="M18" i="8" s="1"/>
  <c r="W204" i="8"/>
  <c r="R49" i="23"/>
  <c r="R54" i="23"/>
  <c r="T18" i="19"/>
  <c r="U547" i="13"/>
  <c r="W547" i="13" s="1"/>
  <c r="M564" i="11"/>
  <c r="S32" i="9"/>
  <c r="T33" i="9"/>
  <c r="T32" i="9" s="1"/>
  <c r="W31" i="7"/>
  <c r="T35" i="9"/>
  <c r="S49" i="9"/>
  <c r="T50" i="9"/>
  <c r="T49" i="9" s="1"/>
  <c r="W187" i="19"/>
  <c r="W186" i="19" s="1"/>
  <c r="X187" i="19"/>
  <c r="W189" i="19"/>
  <c r="X189" i="19"/>
  <c r="X31" i="18"/>
  <c r="S19" i="11"/>
  <c r="S12" i="11" s="1"/>
  <c r="S52" i="13"/>
  <c r="X31" i="13"/>
  <c r="W48" i="23"/>
  <c r="S52" i="8"/>
  <c r="T52" i="8" s="1"/>
  <c r="U547" i="8"/>
  <c r="W547" i="8" s="1"/>
  <c r="X311" i="15"/>
  <c r="X405" i="13"/>
  <c r="G549" i="9"/>
  <c r="H549" i="9" s="1"/>
  <c r="I549" i="9" s="1"/>
  <c r="J549" i="9" s="1"/>
  <c r="U219" i="15"/>
  <c r="W204" i="9"/>
  <c r="U266" i="13"/>
  <c r="U259" i="7"/>
  <c r="W259" i="7" s="1"/>
  <c r="U264" i="7"/>
  <c r="U263" i="7" s="1"/>
  <c r="S37" i="18"/>
  <c r="T35" i="18"/>
  <c r="T336" i="11"/>
  <c r="W36" i="13"/>
  <c r="U249" i="23"/>
  <c r="X249" i="23" s="1"/>
  <c r="G177" i="23"/>
  <c r="H177" i="23" s="1"/>
  <c r="H530" i="8"/>
  <c r="L530" i="8" s="1"/>
  <c r="M530" i="8" s="1"/>
  <c r="L524" i="8"/>
  <c r="U231" i="9"/>
  <c r="W232" i="9"/>
  <c r="W231" i="9" s="1"/>
  <c r="W24" i="15"/>
  <c r="X31" i="15"/>
  <c r="S37" i="15"/>
  <c r="T52" i="15"/>
  <c r="S32" i="15"/>
  <c r="T18" i="7"/>
  <c r="L219" i="23"/>
  <c r="M219" i="23" s="1"/>
  <c r="G222" i="23"/>
  <c r="H222" i="23" s="1"/>
  <c r="I222" i="23" s="1"/>
  <c r="J222" i="23" s="1"/>
  <c r="K222" i="23" s="1"/>
  <c r="N222" i="23" s="1"/>
  <c r="O222" i="23" s="1"/>
  <c r="P222" i="23" s="1"/>
  <c r="Q222" i="23" s="1"/>
  <c r="R222" i="23" s="1"/>
  <c r="S174" i="23"/>
  <c r="T174" i="23" s="1"/>
  <c r="S252" i="23"/>
  <c r="W187" i="23"/>
  <c r="W518" i="15"/>
  <c r="O32" i="23"/>
  <c r="W529" i="23"/>
  <c r="W528" i="23" s="1"/>
  <c r="W249" i="7"/>
  <c r="G519" i="8"/>
  <c r="G16" i="8"/>
  <c r="U357" i="7"/>
  <c r="S49" i="15"/>
  <c r="X51" i="15"/>
  <c r="G531" i="15"/>
  <c r="L18" i="18"/>
  <c r="M18" i="18" s="1"/>
  <c r="G55" i="9"/>
  <c r="H55" i="9" s="1"/>
  <c r="I55" i="9" s="1"/>
  <c r="J55" i="9" s="1"/>
  <c r="S54" i="15"/>
  <c r="W64" i="18"/>
  <c r="W30" i="18" s="1"/>
  <c r="W47" i="13"/>
  <c r="U18" i="11"/>
  <c r="W18" i="11" s="1"/>
  <c r="S192" i="23"/>
  <c r="N469" i="23"/>
  <c r="N452" i="23" s="1"/>
  <c r="S216" i="23"/>
  <c r="S221" i="23"/>
  <c r="U605" i="23"/>
  <c r="W606" i="23"/>
  <c r="W605" i="23" s="1"/>
  <c r="W579" i="23"/>
  <c r="V564" i="23"/>
  <c r="T465" i="23"/>
  <c r="U465" i="23" s="1"/>
  <c r="V259" i="23"/>
  <c r="V256" i="23"/>
  <c r="U382" i="23"/>
  <c r="W383" i="23"/>
  <c r="W382" i="23" s="1"/>
  <c r="R276" i="23"/>
  <c r="R273" i="23"/>
  <c r="W279" i="23"/>
  <c r="X279" i="23"/>
  <c r="S488" i="23"/>
  <c r="W262" i="23"/>
  <c r="V171" i="23"/>
  <c r="V175" i="23"/>
  <c r="M551" i="23"/>
  <c r="U551" i="23"/>
  <c r="N471" i="23"/>
  <c r="N466" i="23"/>
  <c r="N459" i="23"/>
  <c r="U608" i="23"/>
  <c r="X608" i="23" s="1"/>
  <c r="S176" i="23"/>
  <c r="S171" i="23"/>
  <c r="V483" i="23"/>
  <c r="V467" i="23"/>
  <c r="X247" i="23"/>
  <c r="U241" i="23"/>
  <c r="W242" i="23"/>
  <c r="W241" i="23" s="1"/>
  <c r="L211" i="23"/>
  <c r="M212" i="23"/>
  <c r="M211" i="23" s="1"/>
  <c r="U167" i="23"/>
  <c r="T166" i="23"/>
  <c r="U181" i="23"/>
  <c r="X187" i="23"/>
  <c r="W182" i="23"/>
  <c r="W181" i="23" s="1"/>
  <c r="T172" i="23"/>
  <c r="T217" i="23"/>
  <c r="U254" i="23"/>
  <c r="S565" i="23"/>
  <c r="W247" i="23"/>
  <c r="W246" i="23" s="1"/>
  <c r="V342" i="23"/>
  <c r="S259" i="23"/>
  <c r="S256" i="23"/>
  <c r="W232" i="23"/>
  <c r="U226" i="23"/>
  <c r="X232" i="23"/>
  <c r="W227" i="23"/>
  <c r="W226" i="23" s="1"/>
  <c r="S283" i="23"/>
  <c r="U219" i="8"/>
  <c r="X219" i="8" s="1"/>
  <c r="L336" i="11"/>
  <c r="M336" i="11" s="1"/>
  <c r="T336" i="15"/>
  <c r="U390" i="23"/>
  <c r="T189" i="23"/>
  <c r="U189" i="23" s="1"/>
  <c r="T141" i="23"/>
  <c r="V560" i="23"/>
  <c r="W482" i="23"/>
  <c r="V459" i="23"/>
  <c r="V280" i="23"/>
  <c r="V264" i="23"/>
  <c r="V402" i="23"/>
  <c r="T320" i="23"/>
  <c r="U321" i="23"/>
  <c r="S483" i="23"/>
  <c r="S467" i="23"/>
  <c r="S450" i="23" s="1"/>
  <c r="M167" i="23"/>
  <c r="M166" i="23" s="1"/>
  <c r="L166" i="23"/>
  <c r="M217" i="23"/>
  <c r="M216" i="23" s="1"/>
  <c r="L216" i="23"/>
  <c r="Q466" i="23"/>
  <c r="Q471" i="23"/>
  <c r="U234" i="23"/>
  <c r="S325" i="23"/>
  <c r="S330" i="23"/>
  <c r="S281" i="23"/>
  <c r="T326" i="23"/>
  <c r="W502" i="23"/>
  <c r="O283" i="23"/>
  <c r="U271" i="23"/>
  <c r="T211" i="23"/>
  <c r="U212" i="23"/>
  <c r="W186" i="23"/>
  <c r="W65" i="23"/>
  <c r="W31" i="23" s="1"/>
  <c r="R459" i="23"/>
  <c r="W235" i="23"/>
  <c r="W220" i="23" s="1"/>
  <c r="V220" i="23"/>
  <c r="S219" i="23"/>
  <c r="T219" i="23" s="1"/>
  <c r="U343" i="18"/>
  <c r="W343" i="18" s="1"/>
  <c r="D14" i="27" s="1"/>
  <c r="W31" i="9"/>
  <c r="S52" i="9"/>
  <c r="T52" i="9" s="1"/>
  <c r="S35" i="13"/>
  <c r="S35" i="11"/>
  <c r="S21" i="11" s="1"/>
  <c r="W606" i="19"/>
  <c r="W605" i="19" s="1"/>
  <c r="U605" i="19"/>
  <c r="M26" i="13"/>
  <c r="M25" i="13" s="1"/>
  <c r="L25" i="13"/>
  <c r="U420" i="18"/>
  <c r="X420" i="18" s="1"/>
  <c r="T419" i="18"/>
  <c r="X51" i="8"/>
  <c r="W46" i="8"/>
  <c r="S340" i="18"/>
  <c r="T341" i="18"/>
  <c r="S345" i="18"/>
  <c r="W34" i="18"/>
  <c r="W142" i="8"/>
  <c r="W141" i="8" s="1"/>
  <c r="U141" i="8"/>
  <c r="U334" i="11"/>
  <c r="T333" i="11"/>
  <c r="G38" i="9"/>
  <c r="H38" i="9" s="1"/>
  <c r="I38" i="9" s="1"/>
  <c r="J38" i="9" s="1"/>
  <c r="U36" i="11"/>
  <c r="W36" i="11" s="1"/>
  <c r="W31" i="8"/>
  <c r="X51" i="13"/>
  <c r="W46" i="13"/>
  <c r="T32" i="11"/>
  <c r="U33" i="11"/>
  <c r="U32" i="11" s="1"/>
  <c r="U66" i="11"/>
  <c r="W67" i="11"/>
  <c r="X48" i="8"/>
  <c r="W41" i="8"/>
  <c r="T42" i="7"/>
  <c r="W51" i="7"/>
  <c r="X51" i="7"/>
  <c r="S37" i="8"/>
  <c r="S32" i="8"/>
  <c r="X34" i="13"/>
  <c r="M50" i="11"/>
  <c r="M49" i="11" s="1"/>
  <c r="L49" i="11"/>
  <c r="W46" i="9"/>
  <c r="X51" i="9"/>
  <c r="X31" i="9"/>
  <c r="S527" i="7"/>
  <c r="T28" i="15"/>
  <c r="S52" i="11"/>
  <c r="T52" i="11" s="1"/>
  <c r="U412" i="13"/>
  <c r="W413" i="13"/>
  <c r="W412" i="13" s="1"/>
  <c r="U17" i="11"/>
  <c r="X48" i="13"/>
  <c r="W41" i="13"/>
  <c r="U341" i="11"/>
  <c r="U340" i="11" s="1"/>
  <c r="T340" i="11"/>
  <c r="M334" i="11"/>
  <c r="M333" i="11" s="1"/>
  <c r="L333" i="11"/>
  <c r="X48" i="11"/>
  <c r="W41" i="11"/>
  <c r="T49" i="11"/>
  <c r="U50" i="11"/>
  <c r="V340" i="11"/>
  <c r="X51" i="18"/>
  <c r="X51" i="11"/>
  <c r="W46" i="11"/>
  <c r="U357" i="18"/>
  <c r="W358" i="18"/>
  <c r="W357" i="18" s="1"/>
  <c r="X31" i="8"/>
  <c r="W24" i="8"/>
  <c r="T25" i="7"/>
  <c r="S32" i="13"/>
  <c r="S37" i="13"/>
  <c r="W31" i="11"/>
  <c r="W36" i="8"/>
  <c r="X48" i="9"/>
  <c r="M43" i="13"/>
  <c r="M42" i="13" s="1"/>
  <c r="L42" i="13"/>
  <c r="U20" i="11"/>
  <c r="W20" i="11" s="1"/>
  <c r="U412" i="18"/>
  <c r="W413" i="18"/>
  <c r="W412" i="18" s="1"/>
  <c r="X31" i="11"/>
  <c r="W24" i="11"/>
  <c r="L32" i="11"/>
  <c r="M33" i="11"/>
  <c r="M32" i="11" s="1"/>
  <c r="G38" i="11"/>
  <c r="H38" i="11" s="1"/>
  <c r="I38" i="11" s="1"/>
  <c r="J38" i="11" s="1"/>
  <c r="K38" i="11" s="1"/>
  <c r="N38" i="11" s="1"/>
  <c r="O38" i="11" s="1"/>
  <c r="P38" i="11" s="1"/>
  <c r="Q38" i="11" s="1"/>
  <c r="R38" i="11" s="1"/>
  <c r="G55" i="11"/>
  <c r="H55" i="11" s="1"/>
  <c r="I55" i="11" s="1"/>
  <c r="J55" i="11" s="1"/>
  <c r="K55" i="11" s="1"/>
  <c r="N55" i="11" s="1"/>
  <c r="O55" i="11" s="1"/>
  <c r="P55" i="11" s="1"/>
  <c r="Q55" i="11" s="1"/>
  <c r="R55" i="11" s="1"/>
  <c r="S55" i="11" s="1"/>
  <c r="S32" i="11"/>
  <c r="S37" i="11"/>
  <c r="X34" i="19"/>
  <c r="X48" i="7"/>
  <c r="Y48" i="7" s="1"/>
  <c r="U266" i="7"/>
  <c r="W266" i="7" s="1"/>
  <c r="X34" i="7"/>
  <c r="L340" i="7"/>
  <c r="X31" i="7"/>
  <c r="W420" i="7"/>
  <c r="W419" i="7" s="1"/>
  <c r="T35" i="11"/>
  <c r="T336" i="13"/>
  <c r="S345" i="19"/>
  <c r="S340" i="19"/>
  <c r="T219" i="19"/>
  <c r="U219" i="19" s="1"/>
  <c r="X219" i="19" s="1"/>
  <c r="S35" i="19"/>
  <c r="S52" i="19"/>
  <c r="T52" i="19" s="1"/>
  <c r="X51" i="19"/>
  <c r="W46" i="19"/>
  <c r="S49" i="19"/>
  <c r="S54" i="19"/>
  <c r="T35" i="19"/>
  <c r="X69" i="19"/>
  <c r="W69" i="19"/>
  <c r="S32" i="19"/>
  <c r="S37" i="19"/>
  <c r="U66" i="19"/>
  <c r="W67" i="19"/>
  <c r="W66" i="19" s="1"/>
  <c r="V36" i="19"/>
  <c r="U36" i="19"/>
  <c r="U47" i="19"/>
  <c r="W47" i="19" s="1"/>
  <c r="W48" i="19"/>
  <c r="X48" i="19"/>
  <c r="T32" i="19"/>
  <c r="T49" i="19"/>
  <c r="T45" i="19"/>
  <c r="M338" i="18"/>
  <c r="U338" i="18"/>
  <c r="N346" i="18"/>
  <c r="O346" i="18" s="1"/>
  <c r="P346" i="18" s="1"/>
  <c r="Q346" i="18" s="1"/>
  <c r="R346" i="18" s="1"/>
  <c r="U30" i="18"/>
  <c r="U53" i="18"/>
  <c r="W53" i="18" s="1"/>
  <c r="V519" i="15"/>
  <c r="U17" i="15"/>
  <c r="W17" i="15" s="1"/>
  <c r="X48" i="15"/>
  <c r="Y48" i="15" s="1"/>
  <c r="W48" i="15"/>
  <c r="T25" i="15"/>
  <c r="T32" i="15"/>
  <c r="T49" i="15"/>
  <c r="U530" i="13"/>
  <c r="W530" i="13" s="1"/>
  <c r="M344" i="13"/>
  <c r="U344" i="13"/>
  <c r="W344" i="13" s="1"/>
  <c r="U338" i="13"/>
  <c r="W338" i="13" s="1"/>
  <c r="M338" i="13"/>
  <c r="M334" i="13"/>
  <c r="M333" i="13" s="1"/>
  <c r="L333" i="13"/>
  <c r="L336" i="13"/>
  <c r="M336" i="13" s="1"/>
  <c r="T333" i="13"/>
  <c r="U334" i="13"/>
  <c r="T66" i="9"/>
  <c r="S500" i="8"/>
  <c r="U17" i="13"/>
  <c r="W17" i="13" s="1"/>
  <c r="W640" i="11"/>
  <c r="S526" i="11"/>
  <c r="S531" i="11"/>
  <c r="R526" i="13"/>
  <c r="R531" i="13"/>
  <c r="L520" i="9"/>
  <c r="M520" i="9" s="1"/>
  <c r="M519" i="9" s="1"/>
  <c r="U343" i="7"/>
  <c r="W343" i="7" s="1"/>
  <c r="D6" i="27" s="1"/>
  <c r="P425" i="11"/>
  <c r="Q425" i="11" s="1"/>
  <c r="R425" i="11" s="1"/>
  <c r="S425" i="11" s="1"/>
  <c r="P425" i="15"/>
  <c r="Q425" i="15" s="1"/>
  <c r="R425" i="15" s="1"/>
  <c r="S425" i="15" s="1"/>
  <c r="U266" i="19"/>
  <c r="U217" i="11"/>
  <c r="U216" i="11" s="1"/>
  <c r="P222" i="9"/>
  <c r="Q222" i="9" s="1"/>
  <c r="R222" i="9" s="1"/>
  <c r="S222" i="9" s="1"/>
  <c r="Q222" i="8"/>
  <c r="R222" i="8" s="1"/>
  <c r="S222" i="8" s="1"/>
  <c r="W234" i="15"/>
  <c r="P177" i="9"/>
  <c r="Q177" i="9" s="1"/>
  <c r="R177" i="9" s="1"/>
  <c r="S177" i="9" s="1"/>
  <c r="Q177" i="8"/>
  <c r="R177" i="8" s="1"/>
  <c r="S177" i="8" s="1"/>
  <c r="P222" i="11"/>
  <c r="Q222" i="11" s="1"/>
  <c r="R222" i="11" s="1"/>
  <c r="S222" i="11" s="1"/>
  <c r="P177" i="11"/>
  <c r="Q177" i="11" s="1"/>
  <c r="R177" i="11" s="1"/>
  <c r="S177" i="11" s="1"/>
  <c r="P269" i="11"/>
  <c r="Q269" i="11" s="1"/>
  <c r="R269" i="11" s="1"/>
  <c r="S269" i="11" s="1"/>
  <c r="U18" i="15"/>
  <c r="W18" i="15" s="1"/>
  <c r="P222" i="15"/>
  <c r="Q222" i="15" s="1"/>
  <c r="R222" i="15" s="1"/>
  <c r="S222" i="15" s="1"/>
  <c r="P177" i="15"/>
  <c r="Q177" i="15" s="1"/>
  <c r="R177" i="15" s="1"/>
  <c r="S177" i="15" s="1"/>
  <c r="P269" i="15"/>
  <c r="Q269" i="15" s="1"/>
  <c r="R269" i="15" s="1"/>
  <c r="S269" i="15" s="1"/>
  <c r="O222" i="13"/>
  <c r="P222" i="13" s="1"/>
  <c r="Q222" i="13" s="1"/>
  <c r="R222" i="13" s="1"/>
  <c r="S222" i="13" s="1"/>
  <c r="O269" i="13"/>
  <c r="P269" i="13" s="1"/>
  <c r="Q269" i="13" s="1"/>
  <c r="R269" i="13" s="1"/>
  <c r="S269" i="13" s="1"/>
  <c r="O177" i="13"/>
  <c r="P177" i="13" s="1"/>
  <c r="Q177" i="13" s="1"/>
  <c r="R177" i="13" s="1"/>
  <c r="S177" i="13" s="1"/>
  <c r="O658" i="18"/>
  <c r="R177" i="18"/>
  <c r="S177" i="18" s="1"/>
  <c r="R269" i="18"/>
  <c r="S269" i="18" s="1"/>
  <c r="X636" i="8"/>
  <c r="T527" i="19"/>
  <c r="T526" i="19" s="1"/>
  <c r="X144" i="15"/>
  <c r="U259" i="15"/>
  <c r="W259" i="15" s="1"/>
  <c r="T520" i="9"/>
  <c r="T519" i="9" s="1"/>
  <c r="T336" i="8"/>
  <c r="U336" i="8" s="1"/>
  <c r="W336" i="8" s="1"/>
  <c r="X360" i="7"/>
  <c r="M18" i="13"/>
  <c r="U18" i="13"/>
  <c r="U256" i="15"/>
  <c r="W257" i="15"/>
  <c r="W256" i="15" s="1"/>
  <c r="U256" i="13"/>
  <c r="W257" i="13"/>
  <c r="W256" i="13" s="1"/>
  <c r="U259" i="11"/>
  <c r="U263" i="11"/>
  <c r="W264" i="11"/>
  <c r="W263" i="11" s="1"/>
  <c r="S345" i="8"/>
  <c r="S340" i="8"/>
  <c r="X467" i="9"/>
  <c r="G566" i="9"/>
  <c r="U528" i="7"/>
  <c r="W528" i="7" s="1"/>
  <c r="S222" i="19"/>
  <c r="U525" i="11"/>
  <c r="W525" i="11" s="1"/>
  <c r="U422" i="11"/>
  <c r="W422" i="11" s="1"/>
  <c r="U263" i="13"/>
  <c r="W264" i="13"/>
  <c r="W263" i="13" s="1"/>
  <c r="U264" i="18"/>
  <c r="T263" i="18"/>
  <c r="W338" i="8"/>
  <c r="F16" i="8"/>
  <c r="S343" i="8"/>
  <c r="W339" i="9"/>
  <c r="X339" i="9"/>
  <c r="U419" i="15"/>
  <c r="W420" i="15"/>
  <c r="W419" i="15" s="1"/>
  <c r="W413" i="8"/>
  <c r="W412" i="8" s="1"/>
  <c r="U412" i="8"/>
  <c r="U17" i="9"/>
  <c r="W17" i="9" s="1"/>
  <c r="T16" i="19"/>
  <c r="T343" i="9"/>
  <c r="Q531" i="15"/>
  <c r="V519" i="9"/>
  <c r="W266" i="15"/>
  <c r="X266" i="15"/>
  <c r="X264" i="7"/>
  <c r="U219" i="7"/>
  <c r="W219" i="7" s="1"/>
  <c r="U483" i="7"/>
  <c r="W483" i="7" s="1"/>
  <c r="U174" i="7"/>
  <c r="X174" i="7" s="1"/>
  <c r="T174" i="9"/>
  <c r="U174" i="9" s="1"/>
  <c r="W174" i="9" s="1"/>
  <c r="V19" i="13"/>
  <c r="U334" i="8"/>
  <c r="T333" i="8"/>
  <c r="X264" i="13"/>
  <c r="W259" i="13"/>
  <c r="M334" i="9"/>
  <c r="M333" i="9" s="1"/>
  <c r="L333" i="9"/>
  <c r="U256" i="18"/>
  <c r="W257" i="18"/>
  <c r="W256" i="18" s="1"/>
  <c r="U350" i="8"/>
  <c r="W351" i="8"/>
  <c r="W350" i="8" s="1"/>
  <c r="W264" i="19"/>
  <c r="W263" i="19" s="1"/>
  <c r="X418" i="13"/>
  <c r="X360" i="9"/>
  <c r="W413" i="15"/>
  <c r="W412" i="15" s="1"/>
  <c r="U412" i="15"/>
  <c r="X420" i="15"/>
  <c r="X264" i="19"/>
  <c r="T341" i="9"/>
  <c r="W266" i="11"/>
  <c r="X266" i="11"/>
  <c r="S19" i="19"/>
  <c r="S12" i="19" s="1"/>
  <c r="U263" i="15"/>
  <c r="W264" i="15"/>
  <c r="W263" i="15" s="1"/>
  <c r="W266" i="13"/>
  <c r="X266" i="13"/>
  <c r="U256" i="7"/>
  <c r="W257" i="7"/>
  <c r="W256" i="7" s="1"/>
  <c r="U17" i="18"/>
  <c r="W17" i="18" s="1"/>
  <c r="U256" i="11"/>
  <c r="W257" i="11"/>
  <c r="W256" i="11" s="1"/>
  <c r="U259" i="18"/>
  <c r="W259" i="18" s="1"/>
  <c r="W266" i="18"/>
  <c r="X266" i="18"/>
  <c r="V19" i="18"/>
  <c r="J346" i="7"/>
  <c r="K346" i="7" s="1"/>
  <c r="N346" i="7" s="1"/>
  <c r="O346" i="7" s="1"/>
  <c r="P346" i="7" s="1"/>
  <c r="Q346" i="7" s="1"/>
  <c r="R346" i="7" s="1"/>
  <c r="L18" i="7"/>
  <c r="M18" i="7" s="1"/>
  <c r="T422" i="7"/>
  <c r="U422" i="7" s="1"/>
  <c r="X422" i="7" s="1"/>
  <c r="U17" i="7"/>
  <c r="W17" i="7" s="1"/>
  <c r="W99" i="11"/>
  <c r="X99" i="11"/>
  <c r="U96" i="11"/>
  <c r="W97" i="11"/>
  <c r="W96" i="11" s="1"/>
  <c r="S345" i="7"/>
  <c r="S340" i="7"/>
  <c r="U231" i="7"/>
  <c r="W232" i="7"/>
  <c r="W231" i="7" s="1"/>
  <c r="U419" i="7"/>
  <c r="T341" i="7"/>
  <c r="S19" i="13"/>
  <c r="S12" i="13" s="1"/>
  <c r="U412" i="11"/>
  <c r="X420" i="11"/>
  <c r="W412" i="11"/>
  <c r="U419" i="11"/>
  <c r="W420" i="11"/>
  <c r="W419" i="11" s="1"/>
  <c r="X422" i="11"/>
  <c r="S640" i="8"/>
  <c r="S637" i="8"/>
  <c r="S527" i="15"/>
  <c r="T527" i="15" s="1"/>
  <c r="S543" i="15"/>
  <c r="S548" i="15"/>
  <c r="W653" i="15"/>
  <c r="W652" i="15" s="1"/>
  <c r="U652" i="15"/>
  <c r="T640" i="15"/>
  <c r="U640" i="15" s="1"/>
  <c r="X640" i="15" s="1"/>
  <c r="V519" i="13"/>
  <c r="U640" i="13"/>
  <c r="X640" i="13" s="1"/>
  <c r="U525" i="8"/>
  <c r="W525" i="8" s="1"/>
  <c r="K526" i="15"/>
  <c r="K531" i="15"/>
  <c r="H526" i="9"/>
  <c r="H531" i="9"/>
  <c r="W166" i="7"/>
  <c r="W403" i="13"/>
  <c r="W402" i="13" s="1"/>
  <c r="U402" i="13"/>
  <c r="T219" i="13"/>
  <c r="U219" i="13" s="1"/>
  <c r="X219" i="13" s="1"/>
  <c r="W166" i="13"/>
  <c r="W247" i="13"/>
  <c r="W246" i="13" s="1"/>
  <c r="U246" i="13"/>
  <c r="U20" i="15"/>
  <c r="W20" i="15" s="1"/>
  <c r="X437" i="18"/>
  <c r="S526" i="18"/>
  <c r="W211" i="19"/>
  <c r="N531" i="19"/>
  <c r="T543" i="19"/>
  <c r="W247" i="19"/>
  <c r="W246" i="19" s="1"/>
  <c r="U246" i="19"/>
  <c r="W465" i="18"/>
  <c r="W464" i="18" s="1"/>
  <c r="U464" i="18"/>
  <c r="W467" i="18"/>
  <c r="X467" i="18"/>
  <c r="W631" i="19"/>
  <c r="W630" i="19" s="1"/>
  <c r="U630" i="19"/>
  <c r="G526" i="19"/>
  <c r="G531" i="19"/>
  <c r="G532" i="19" s="1"/>
  <c r="H532" i="19" s="1"/>
  <c r="O519" i="19"/>
  <c r="T520" i="19"/>
  <c r="H566" i="19"/>
  <c r="I611" i="19"/>
  <c r="J611" i="19" s="1"/>
  <c r="K611" i="19" s="1"/>
  <c r="N611" i="19" s="1"/>
  <c r="O611" i="19" s="1"/>
  <c r="P611" i="19" s="1"/>
  <c r="Q611" i="19" s="1"/>
  <c r="R611" i="19" s="1"/>
  <c r="S611" i="19" s="1"/>
  <c r="W495" i="18"/>
  <c r="W494" i="18" s="1"/>
  <c r="U494" i="18"/>
  <c r="W217" i="18"/>
  <c r="U216" i="18"/>
  <c r="X217" i="18"/>
  <c r="S526" i="19"/>
  <c r="S531" i="19"/>
  <c r="W640" i="19"/>
  <c r="X640" i="19"/>
  <c r="W232" i="19"/>
  <c r="W231" i="19" s="1"/>
  <c r="U231" i="19"/>
  <c r="X232" i="19"/>
  <c r="W309" i="19"/>
  <c r="W308" i="19" s="1"/>
  <c r="U308" i="19"/>
  <c r="X655" i="19"/>
  <c r="W655" i="19"/>
  <c r="O531" i="19"/>
  <c r="O526" i="19"/>
  <c r="W528" i="15"/>
  <c r="W535" i="15"/>
  <c r="H566" i="15"/>
  <c r="I581" i="15"/>
  <c r="G21" i="15"/>
  <c r="Q531" i="13"/>
  <c r="Q526" i="13"/>
  <c r="I658" i="13"/>
  <c r="H643" i="13"/>
  <c r="W309" i="11"/>
  <c r="W308" i="11" s="1"/>
  <c r="X309" i="11"/>
  <c r="U308" i="11"/>
  <c r="W187" i="11"/>
  <c r="W186" i="11" s="1"/>
  <c r="U186" i="11"/>
  <c r="U219" i="9"/>
  <c r="W553" i="9"/>
  <c r="S519" i="9"/>
  <c r="S526" i="9"/>
  <c r="S531" i="9"/>
  <c r="M525" i="9"/>
  <c r="U525" i="9"/>
  <c r="W525" i="9" s="1"/>
  <c r="U518" i="9"/>
  <c r="S21" i="9"/>
  <c r="U563" i="9"/>
  <c r="X563" i="8"/>
  <c r="U201" i="8"/>
  <c r="W202" i="8"/>
  <c r="W201" i="8" s="1"/>
  <c r="T494" i="8"/>
  <c r="U495" i="8"/>
  <c r="S482" i="8"/>
  <c r="T497" i="8"/>
  <c r="U497" i="8" s="1"/>
  <c r="W497" i="8" s="1"/>
  <c r="S484" i="8"/>
  <c r="S479" i="8"/>
  <c r="U166" i="8"/>
  <c r="X172" i="8"/>
  <c r="W167" i="8"/>
  <c r="M483" i="8"/>
  <c r="U483" i="8"/>
  <c r="W483" i="8" s="1"/>
  <c r="W172" i="8"/>
  <c r="V519" i="8"/>
  <c r="K531" i="19"/>
  <c r="K526" i="19"/>
  <c r="T546" i="19"/>
  <c r="P529" i="19"/>
  <c r="T529" i="19" s="1"/>
  <c r="G643" i="19"/>
  <c r="W405" i="18"/>
  <c r="X405" i="18"/>
  <c r="W167" i="18"/>
  <c r="W166" i="18" s="1"/>
  <c r="U166" i="18"/>
  <c r="W281" i="18"/>
  <c r="X281" i="18"/>
  <c r="X403" i="18"/>
  <c r="W403" i="18"/>
  <c r="W402" i="18" s="1"/>
  <c r="U402" i="18"/>
  <c r="S21" i="15"/>
  <c r="G643" i="15"/>
  <c r="H688" i="15"/>
  <c r="O519" i="15"/>
  <c r="S19" i="15"/>
  <c r="S12" i="15" s="1"/>
  <c r="U553" i="15"/>
  <c r="W554" i="15"/>
  <c r="W553" i="15" s="1"/>
  <c r="W232" i="15"/>
  <c r="W231" i="15" s="1"/>
  <c r="U231" i="15"/>
  <c r="W167" i="15"/>
  <c r="W166" i="15" s="1"/>
  <c r="U166" i="15"/>
  <c r="X311" i="13"/>
  <c r="W311" i="13"/>
  <c r="X249" i="13"/>
  <c r="W249" i="13"/>
  <c r="W212" i="13"/>
  <c r="W211" i="13" s="1"/>
  <c r="U211" i="13"/>
  <c r="X204" i="13"/>
  <c r="W204" i="13"/>
  <c r="H519" i="13"/>
  <c r="X281" i="11"/>
  <c r="W281" i="11"/>
  <c r="U246" i="11"/>
  <c r="W247" i="11"/>
  <c r="W246" i="11" s="1"/>
  <c r="X247" i="11"/>
  <c r="U211" i="11"/>
  <c r="W212" i="11"/>
  <c r="W211" i="11" s="1"/>
  <c r="W630" i="11"/>
  <c r="W685" i="11"/>
  <c r="X249" i="11"/>
  <c r="W249" i="11"/>
  <c r="W655" i="11"/>
  <c r="W232" i="11"/>
  <c r="W231" i="11" s="1"/>
  <c r="U231" i="11"/>
  <c r="K526" i="11"/>
  <c r="K531" i="11"/>
  <c r="U637" i="11"/>
  <c r="W638" i="11"/>
  <c r="W637" i="11" s="1"/>
  <c r="U518" i="11"/>
  <c r="U201" i="9"/>
  <c r="X202" i="9"/>
  <c r="W202" i="9"/>
  <c r="W201" i="9" s="1"/>
  <c r="W187" i="9"/>
  <c r="W186" i="9" s="1"/>
  <c r="U186" i="9"/>
  <c r="U211" i="9"/>
  <c r="W212" i="9"/>
  <c r="W211" i="9" s="1"/>
  <c r="X405" i="8"/>
  <c r="W405" i="8"/>
  <c r="G566" i="8"/>
  <c r="H581" i="8"/>
  <c r="W403" i="8"/>
  <c r="W402" i="8" s="1"/>
  <c r="U402" i="8"/>
  <c r="W578" i="8"/>
  <c r="X578" i="8"/>
  <c r="W202" i="7"/>
  <c r="W201" i="7" s="1"/>
  <c r="U201" i="7"/>
  <c r="X202" i="7"/>
  <c r="T171" i="7"/>
  <c r="U172" i="7"/>
  <c r="X528" i="7"/>
  <c r="U630" i="7"/>
  <c r="W631" i="7"/>
  <c r="W630" i="7" s="1"/>
  <c r="G643" i="7"/>
  <c r="H688" i="7"/>
  <c r="W405" i="7"/>
  <c r="X405" i="7"/>
  <c r="V543" i="7"/>
  <c r="V527" i="7"/>
  <c r="V526" i="7" s="1"/>
  <c r="Q519" i="7"/>
  <c r="W467" i="7"/>
  <c r="X467" i="7"/>
  <c r="S546" i="7"/>
  <c r="S529" i="7" s="1"/>
  <c r="M20" i="7"/>
  <c r="U20" i="7"/>
  <c r="W465" i="7"/>
  <c r="W464" i="7" s="1"/>
  <c r="U464" i="7"/>
  <c r="X465" i="7"/>
  <c r="U308" i="7"/>
  <c r="W309" i="7"/>
  <c r="W308" i="7" s="1"/>
  <c r="S543" i="7"/>
  <c r="S548" i="7"/>
  <c r="V526" i="8"/>
  <c r="V19" i="8"/>
  <c r="U2" i="8" s="1"/>
  <c r="H688" i="8"/>
  <c r="X437" i="7"/>
  <c r="W437" i="7"/>
  <c r="X375" i="9"/>
  <c r="W375" i="9"/>
  <c r="X311" i="19"/>
  <c r="W311" i="19"/>
  <c r="L536" i="8"/>
  <c r="M537" i="8"/>
  <c r="M536" i="8" s="1"/>
  <c r="W249" i="8"/>
  <c r="X249" i="8"/>
  <c r="W375" i="19"/>
  <c r="X375" i="19"/>
  <c r="T543" i="13"/>
  <c r="R526" i="11"/>
  <c r="R531" i="11"/>
  <c r="W477" i="11"/>
  <c r="U171" i="9"/>
  <c r="W172" i="9"/>
  <c r="U518" i="7"/>
  <c r="S536" i="8"/>
  <c r="J658" i="11"/>
  <c r="I643" i="11"/>
  <c r="N531" i="11"/>
  <c r="N526" i="11"/>
  <c r="X528" i="11"/>
  <c r="W234" i="11"/>
  <c r="X234" i="11"/>
  <c r="X311" i="8"/>
  <c r="W375" i="7"/>
  <c r="W189" i="7"/>
  <c r="X189" i="7"/>
  <c r="X467" i="8"/>
  <c r="W467" i="8"/>
  <c r="W217" i="19"/>
  <c r="W216" i="19" s="1"/>
  <c r="U216" i="19"/>
  <c r="I688" i="18"/>
  <c r="H643" i="18"/>
  <c r="N529" i="18"/>
  <c r="T529" i="18" s="1"/>
  <c r="T546" i="18"/>
  <c r="W467" i="15"/>
  <c r="X467" i="15"/>
  <c r="U216" i="15"/>
  <c r="W217" i="15"/>
  <c r="W216" i="15" s="1"/>
  <c r="U171" i="15"/>
  <c r="X172" i="15"/>
  <c r="W172" i="15"/>
  <c r="T536" i="15"/>
  <c r="U537" i="15"/>
  <c r="M547" i="11"/>
  <c r="U547" i="11"/>
  <c r="W547" i="11" s="1"/>
  <c r="W219" i="8"/>
  <c r="U216" i="7"/>
  <c r="W217" i="7"/>
  <c r="W216" i="7" s="1"/>
  <c r="G566" i="7"/>
  <c r="H581" i="7"/>
  <c r="W518" i="13"/>
  <c r="X525" i="13"/>
  <c r="L546" i="11"/>
  <c r="X217" i="9"/>
  <c r="W217" i="9"/>
  <c r="W216" i="9" s="1"/>
  <c r="U216" i="9"/>
  <c r="Q531" i="7"/>
  <c r="Q526" i="7"/>
  <c r="Q19" i="7"/>
  <c r="Q12" i="7" s="1"/>
  <c r="U219" i="11"/>
  <c r="M219" i="11"/>
  <c r="N529" i="7"/>
  <c r="L519" i="9"/>
  <c r="K658" i="7"/>
  <c r="W558" i="11"/>
  <c r="U530" i="15"/>
  <c r="W530" i="15" s="1"/>
  <c r="U529" i="15"/>
  <c r="W529" i="15" s="1"/>
  <c r="F12" i="27" s="1"/>
  <c r="K549" i="9"/>
  <c r="N549" i="9" s="1"/>
  <c r="O549" i="9" s="1"/>
  <c r="U174" i="11"/>
  <c r="W608" i="18"/>
  <c r="X608" i="18"/>
  <c r="W219" i="13"/>
  <c r="W685" i="13"/>
  <c r="N21" i="19"/>
  <c r="I546" i="19"/>
  <c r="M175" i="19"/>
  <c r="U175" i="19"/>
  <c r="W175" i="19" s="1"/>
  <c r="X99" i="19"/>
  <c r="W99" i="19"/>
  <c r="T543" i="18"/>
  <c r="X174" i="18"/>
  <c r="W174" i="18"/>
  <c r="U171" i="18"/>
  <c r="W172" i="18"/>
  <c r="W171" i="18" s="1"/>
  <c r="X172" i="18"/>
  <c r="T527" i="13"/>
  <c r="R526" i="15"/>
  <c r="R531" i="15"/>
  <c r="K531" i="13"/>
  <c r="K526" i="13"/>
  <c r="M544" i="9"/>
  <c r="M543" i="9" s="1"/>
  <c r="L543" i="9"/>
  <c r="W311" i="7"/>
  <c r="X311" i="7"/>
  <c r="G566" i="11"/>
  <c r="H581" i="11"/>
  <c r="L546" i="9"/>
  <c r="M546" i="9" s="1"/>
  <c r="T519" i="13"/>
  <c r="U474" i="11"/>
  <c r="W475" i="11"/>
  <c r="W474" i="11" s="1"/>
  <c r="M528" i="8"/>
  <c r="U528" i="8"/>
  <c r="M525" i="7"/>
  <c r="U525" i="7"/>
  <c r="W525" i="7" s="1"/>
  <c r="W249" i="19"/>
  <c r="X249" i="19"/>
  <c r="X685" i="18"/>
  <c r="W685" i="18"/>
  <c r="W189" i="18"/>
  <c r="X189" i="18"/>
  <c r="W204" i="11"/>
  <c r="X204" i="11"/>
  <c r="U372" i="19"/>
  <c r="W373" i="19"/>
  <c r="W372" i="19" s="1"/>
  <c r="I543" i="19"/>
  <c r="I548" i="19"/>
  <c r="I549" i="19" s="1"/>
  <c r="J549" i="19" s="1"/>
  <c r="I527" i="19"/>
  <c r="N526" i="15"/>
  <c r="N531" i="15"/>
  <c r="F519" i="15"/>
  <c r="L520" i="15"/>
  <c r="T509" i="18"/>
  <c r="S484" i="18"/>
  <c r="S19" i="18"/>
  <c r="S12" i="18" s="1"/>
  <c r="S479" i="18"/>
  <c r="T480" i="18"/>
  <c r="V19" i="19"/>
  <c r="W631" i="15"/>
  <c r="W630" i="15" s="1"/>
  <c r="U630" i="15"/>
  <c r="W524" i="15"/>
  <c r="X467" i="13"/>
  <c r="W467" i="13"/>
  <c r="M578" i="19"/>
  <c r="U578" i="19"/>
  <c r="X578" i="19" s="1"/>
  <c r="W576" i="19"/>
  <c r="W575" i="19" s="1"/>
  <c r="U575" i="19"/>
  <c r="N531" i="18"/>
  <c r="N526" i="18"/>
  <c r="T527" i="18"/>
  <c r="U560" i="15"/>
  <c r="W561" i="15"/>
  <c r="W560" i="15" s="1"/>
  <c r="X655" i="15"/>
  <c r="W655" i="15"/>
  <c r="W638" i="13"/>
  <c r="W637" i="13" s="1"/>
  <c r="U637" i="13"/>
  <c r="U216" i="13"/>
  <c r="W217" i="13"/>
  <c r="W216" i="13" s="1"/>
  <c r="X217" i="13"/>
  <c r="I526" i="18"/>
  <c r="I531" i="18"/>
  <c r="G531" i="18"/>
  <c r="G532" i="18" s="1"/>
  <c r="H532" i="18" s="1"/>
  <c r="G526" i="18"/>
  <c r="I529" i="18"/>
  <c r="H531" i="15"/>
  <c r="H526" i="15"/>
  <c r="X172" i="13"/>
  <c r="U171" i="13"/>
  <c r="W172" i="13"/>
  <c r="U171" i="11"/>
  <c r="W172" i="11"/>
  <c r="U166" i="11"/>
  <c r="X172" i="11"/>
  <c r="W167" i="11"/>
  <c r="W561" i="9"/>
  <c r="W560" i="9" s="1"/>
  <c r="U560" i="9"/>
  <c r="G531" i="9"/>
  <c r="G526" i="9"/>
  <c r="L527" i="9"/>
  <c r="G529" i="13"/>
  <c r="T546" i="9"/>
  <c r="U536" i="9"/>
  <c r="N531" i="8"/>
  <c r="N526" i="8"/>
  <c r="X189" i="11"/>
  <c r="W189" i="11"/>
  <c r="M20" i="8"/>
  <c r="U20" i="8"/>
  <c r="U637" i="7"/>
  <c r="W638" i="7"/>
  <c r="W637" i="7" s="1"/>
  <c r="X405" i="19"/>
  <c r="W405" i="19"/>
  <c r="W437" i="15"/>
  <c r="X437" i="15"/>
  <c r="W640" i="15"/>
  <c r="W234" i="13"/>
  <c r="X234" i="13"/>
  <c r="M631" i="8"/>
  <c r="M630" i="8" s="1"/>
  <c r="L630" i="8"/>
  <c r="W542" i="8"/>
  <c r="X542" i="8"/>
  <c r="W512" i="11"/>
  <c r="X512" i="11"/>
  <c r="X655" i="7"/>
  <c r="W655" i="7"/>
  <c r="H643" i="19"/>
  <c r="I658" i="19"/>
  <c r="J581" i="19"/>
  <c r="J566" i="19" s="1"/>
  <c r="W169" i="19"/>
  <c r="R531" i="18"/>
  <c r="R526" i="18"/>
  <c r="X638" i="18"/>
  <c r="W638" i="18"/>
  <c r="W637" i="18" s="1"/>
  <c r="U637" i="18"/>
  <c r="K526" i="18"/>
  <c r="K531" i="18"/>
  <c r="T519" i="18"/>
  <c r="M518" i="18"/>
  <c r="U518" i="18"/>
  <c r="X525" i="18" s="1"/>
  <c r="T543" i="15"/>
  <c r="M537" i="15"/>
  <c r="M536" i="15" s="1"/>
  <c r="L536" i="15"/>
  <c r="I531" i="15"/>
  <c r="I526" i="15"/>
  <c r="W189" i="15"/>
  <c r="X189" i="15"/>
  <c r="W174" i="13"/>
  <c r="X174" i="13"/>
  <c r="S482" i="18"/>
  <c r="T512" i="18"/>
  <c r="X219" i="15"/>
  <c r="W219" i="15"/>
  <c r="T520" i="15"/>
  <c r="W541" i="11"/>
  <c r="M483" i="11"/>
  <c r="U483" i="11"/>
  <c r="W483" i="11" s="1"/>
  <c r="W467" i="11"/>
  <c r="X467" i="11"/>
  <c r="U544" i="9"/>
  <c r="T543" i="9"/>
  <c r="Q531" i="9"/>
  <c r="Q526" i="9"/>
  <c r="T527" i="9"/>
  <c r="U166" i="9"/>
  <c r="X172" i="9"/>
  <c r="W167" i="9"/>
  <c r="N21" i="9"/>
  <c r="N519" i="8"/>
  <c r="U216" i="8"/>
  <c r="W217" i="8"/>
  <c r="W216" i="8" s="1"/>
  <c r="W212" i="8"/>
  <c r="W211" i="8" s="1"/>
  <c r="U211" i="8"/>
  <c r="X217" i="8"/>
  <c r="N529" i="13"/>
  <c r="T529" i="13" s="1"/>
  <c r="T546" i="13"/>
  <c r="U211" i="7"/>
  <c r="W212" i="7"/>
  <c r="W211" i="7" s="1"/>
  <c r="X217" i="7"/>
  <c r="M563" i="11"/>
  <c r="W540" i="11"/>
  <c r="X545" i="11"/>
  <c r="H566" i="9"/>
  <c r="K531" i="9"/>
  <c r="K526" i="9"/>
  <c r="T530" i="9"/>
  <c r="N531" i="9"/>
  <c r="G21" i="9"/>
  <c r="X561" i="8"/>
  <c r="U560" i="8"/>
  <c r="W561" i="8"/>
  <c r="W560" i="8" s="1"/>
  <c r="X545" i="8"/>
  <c r="W545" i="8"/>
  <c r="H611" i="13"/>
  <c r="G566" i="13"/>
  <c r="K536" i="8"/>
  <c r="N529" i="8"/>
  <c r="P531" i="8"/>
  <c r="P526" i="8"/>
  <c r="W535" i="7"/>
  <c r="X542" i="7"/>
  <c r="U640" i="18"/>
  <c r="N21" i="15"/>
  <c r="X217" i="15"/>
  <c r="I549" i="18"/>
  <c r="N19" i="15"/>
  <c r="N12" i="15" s="1"/>
  <c r="U174" i="15"/>
  <c r="X528" i="9"/>
  <c r="N549" i="11"/>
  <c r="U530" i="7"/>
  <c r="W530" i="7" s="1"/>
  <c r="N19" i="18"/>
  <c r="N12" i="18" s="1"/>
  <c r="R19" i="15"/>
  <c r="R12" i="15" s="1"/>
  <c r="U546" i="15"/>
  <c r="X546" i="15" s="1"/>
  <c r="U640" i="7"/>
  <c r="X640" i="7" s="1"/>
  <c r="X529" i="15" l="1"/>
  <c r="W539" i="15"/>
  <c r="W524" i="18"/>
  <c r="S12" i="9"/>
  <c r="L522" i="15"/>
  <c r="M522" i="15" s="1"/>
  <c r="R16" i="18"/>
  <c r="W564" i="23"/>
  <c r="W563" i="9"/>
  <c r="W487" i="23"/>
  <c r="W522" i="19"/>
  <c r="V19" i="15"/>
  <c r="T522" i="15"/>
  <c r="S16" i="15"/>
  <c r="V445" i="23"/>
  <c r="V442" i="23"/>
  <c r="V450" i="23"/>
  <c r="V449" i="23" s="1"/>
  <c r="M556" i="23"/>
  <c r="S266" i="23"/>
  <c r="W388" i="23"/>
  <c r="W387" i="23" s="1"/>
  <c r="U530" i="18"/>
  <c r="W530" i="18" s="1"/>
  <c r="X388" i="23"/>
  <c r="T522" i="13"/>
  <c r="W249" i="23"/>
  <c r="Q449" i="23"/>
  <c r="X219" i="7"/>
  <c r="I534" i="23"/>
  <c r="S442" i="23"/>
  <c r="X422" i="18"/>
  <c r="U219" i="23"/>
  <c r="X219" i="23" s="1"/>
  <c r="U18" i="18"/>
  <c r="W18" i="18" s="1"/>
  <c r="U18" i="8"/>
  <c r="W18" i="8" s="1"/>
  <c r="S21" i="13"/>
  <c r="X264" i="15"/>
  <c r="S346" i="18"/>
  <c r="W264" i="7"/>
  <c r="W263" i="7" s="1"/>
  <c r="W341" i="11"/>
  <c r="W340" i="11" s="1"/>
  <c r="U530" i="8"/>
  <c r="W530" i="8" s="1"/>
  <c r="M524" i="8"/>
  <c r="U524" i="8"/>
  <c r="W524" i="8" s="1"/>
  <c r="X174" i="9"/>
  <c r="W217" i="11"/>
  <c r="W216" i="11" s="1"/>
  <c r="N21" i="18"/>
  <c r="X525" i="8"/>
  <c r="U520" i="9"/>
  <c r="W520" i="9" s="1"/>
  <c r="X20" i="7"/>
  <c r="W640" i="13"/>
  <c r="X20" i="13"/>
  <c r="S222" i="23"/>
  <c r="W18" i="13"/>
  <c r="T328" i="23"/>
  <c r="S466" i="23"/>
  <c r="S471" i="23"/>
  <c r="W390" i="23"/>
  <c r="X390" i="23"/>
  <c r="T216" i="23"/>
  <c r="U217" i="23"/>
  <c r="U216" i="23" s="1"/>
  <c r="V466" i="23"/>
  <c r="S285" i="23"/>
  <c r="S280" i="23"/>
  <c r="S264" i="23"/>
  <c r="W175" i="23"/>
  <c r="S469" i="23"/>
  <c r="S452" i="23" s="1"/>
  <c r="I566" i="19"/>
  <c r="W219" i="19"/>
  <c r="X266" i="7"/>
  <c r="U211" i="23"/>
  <c r="W212" i="23"/>
  <c r="W211" i="23" s="1"/>
  <c r="T325" i="23"/>
  <c r="W234" i="23"/>
  <c r="X234" i="23"/>
  <c r="Q454" i="23"/>
  <c r="U320" i="23"/>
  <c r="W321" i="23"/>
  <c r="W320" i="23" s="1"/>
  <c r="V263" i="23"/>
  <c r="W189" i="23"/>
  <c r="X189" i="23"/>
  <c r="W217" i="23"/>
  <c r="W216" i="23" s="1"/>
  <c r="W231" i="23"/>
  <c r="T171" i="23"/>
  <c r="U166" i="23"/>
  <c r="W167" i="23"/>
  <c r="W166" i="23" s="1"/>
  <c r="W608" i="23"/>
  <c r="W465" i="23"/>
  <c r="U336" i="11"/>
  <c r="W336" i="11" s="1"/>
  <c r="S38" i="11"/>
  <c r="W66" i="11"/>
  <c r="U49" i="11"/>
  <c r="W50" i="11"/>
  <c r="W49" i="11" s="1"/>
  <c r="X20" i="11"/>
  <c r="W17" i="11"/>
  <c r="U333" i="11"/>
  <c r="X341" i="11"/>
  <c r="W334" i="11"/>
  <c r="W333" i="11" s="1"/>
  <c r="T340" i="18"/>
  <c r="U341" i="18"/>
  <c r="U419" i="18"/>
  <c r="W420" i="18"/>
  <c r="W419" i="18" s="1"/>
  <c r="X343" i="7"/>
  <c r="W36" i="19"/>
  <c r="W29" i="19"/>
  <c r="W30" i="19"/>
  <c r="W338" i="18"/>
  <c r="X343" i="18"/>
  <c r="U336" i="13"/>
  <c r="W336" i="13" s="1"/>
  <c r="U333" i="13"/>
  <c r="W334" i="13"/>
  <c r="W333" i="13" s="1"/>
  <c r="W171" i="11"/>
  <c r="X217" i="11"/>
  <c r="X20" i="18"/>
  <c r="X20" i="9"/>
  <c r="W174" i="7"/>
  <c r="S346" i="7"/>
  <c r="P549" i="9"/>
  <c r="Q549" i="9" s="1"/>
  <c r="R549" i="9" s="1"/>
  <c r="S549" i="9" s="1"/>
  <c r="W266" i="19"/>
  <c r="X266" i="19"/>
  <c r="P658" i="18"/>
  <c r="U18" i="7"/>
  <c r="L520" i="8"/>
  <c r="M520" i="8" s="1"/>
  <c r="M519" i="8" s="1"/>
  <c r="X497" i="8"/>
  <c r="U333" i="8"/>
  <c r="W334" i="8"/>
  <c r="W333" i="8" s="1"/>
  <c r="X264" i="11"/>
  <c r="W259" i="11"/>
  <c r="W171" i="15"/>
  <c r="T340" i="9"/>
  <c r="X264" i="18"/>
  <c r="U263" i="18"/>
  <c r="W264" i="18"/>
  <c r="W263" i="18" s="1"/>
  <c r="W216" i="18"/>
  <c r="W422" i="7"/>
  <c r="T340" i="7"/>
  <c r="U341" i="7"/>
  <c r="S21" i="19"/>
  <c r="S546" i="8"/>
  <c r="S527" i="8"/>
  <c r="S543" i="8"/>
  <c r="S548" i="8"/>
  <c r="S526" i="15"/>
  <c r="S531" i="15"/>
  <c r="N21" i="7"/>
  <c r="W171" i="8"/>
  <c r="W166" i="8"/>
  <c r="W166" i="9"/>
  <c r="W171" i="9"/>
  <c r="W166" i="11"/>
  <c r="X20" i="15"/>
  <c r="W171" i="13"/>
  <c r="T519" i="19"/>
  <c r="J581" i="15"/>
  <c r="I566" i="15"/>
  <c r="I643" i="13"/>
  <c r="J658" i="13"/>
  <c r="U546" i="9"/>
  <c r="W219" i="9"/>
  <c r="X219" i="9"/>
  <c r="X525" i="9"/>
  <c r="W518" i="9"/>
  <c r="U494" i="8"/>
  <c r="W495" i="8"/>
  <c r="W494" i="8" s="1"/>
  <c r="I688" i="15"/>
  <c r="H643" i="15"/>
  <c r="W518" i="11"/>
  <c r="X525" i="11"/>
  <c r="H566" i="8"/>
  <c r="I581" i="8"/>
  <c r="S526" i="7"/>
  <c r="S531" i="7"/>
  <c r="I688" i="7"/>
  <c r="H643" i="7"/>
  <c r="W20" i="7"/>
  <c r="U171" i="7"/>
  <c r="W172" i="7"/>
  <c r="X172" i="7"/>
  <c r="I688" i="8"/>
  <c r="W546" i="15"/>
  <c r="U543" i="9"/>
  <c r="W544" i="9"/>
  <c r="W543" i="9" s="1"/>
  <c r="G21" i="13"/>
  <c r="M527" i="9"/>
  <c r="M526" i="9" s="1"/>
  <c r="L526" i="9"/>
  <c r="L519" i="15"/>
  <c r="M520" i="15"/>
  <c r="M519" i="15" s="1"/>
  <c r="W640" i="7"/>
  <c r="W640" i="18"/>
  <c r="X640" i="18"/>
  <c r="K519" i="8"/>
  <c r="I611" i="13"/>
  <c r="H566" i="13"/>
  <c r="U520" i="15"/>
  <c r="T519" i="15"/>
  <c r="W518" i="18"/>
  <c r="K581" i="19"/>
  <c r="T529" i="9"/>
  <c r="T526" i="18"/>
  <c r="T479" i="18"/>
  <c r="I531" i="19"/>
  <c r="I532" i="19" s="1"/>
  <c r="J532" i="19" s="1"/>
  <c r="I526" i="19"/>
  <c r="X528" i="8"/>
  <c r="W528" i="8"/>
  <c r="Q658" i="15"/>
  <c r="I529" i="19"/>
  <c r="X219" i="11"/>
  <c r="W219" i="11"/>
  <c r="M546" i="11"/>
  <c r="U519" i="9"/>
  <c r="H566" i="7"/>
  <c r="I581" i="7"/>
  <c r="J688" i="18"/>
  <c r="I643" i="18"/>
  <c r="K658" i="11"/>
  <c r="J643" i="11"/>
  <c r="S519" i="8"/>
  <c r="T19" i="18"/>
  <c r="X174" i="15"/>
  <c r="W174" i="15"/>
  <c r="I566" i="9"/>
  <c r="U527" i="9"/>
  <c r="T526" i="9"/>
  <c r="T482" i="18"/>
  <c r="S21" i="18"/>
  <c r="I643" i="19"/>
  <c r="J658" i="19"/>
  <c r="W20" i="8"/>
  <c r="X20" i="8"/>
  <c r="W536" i="9"/>
  <c r="W578" i="19"/>
  <c r="T526" i="15"/>
  <c r="F21" i="9"/>
  <c r="L529" i="9"/>
  <c r="M529" i="9" s="1"/>
  <c r="H566" i="11"/>
  <c r="I581" i="11"/>
  <c r="T526" i="13"/>
  <c r="W174" i="11"/>
  <c r="X174" i="11"/>
  <c r="N658" i="7"/>
  <c r="U536" i="15"/>
  <c r="W537" i="15"/>
  <c r="W518" i="7"/>
  <c r="X525" i="7"/>
  <c r="I532" i="18"/>
  <c r="N21" i="8"/>
  <c r="U522" i="15" l="1"/>
  <c r="W522" i="15" s="1"/>
  <c r="W33" i="11"/>
  <c r="W32" i="11" s="1"/>
  <c r="W219" i="23"/>
  <c r="N454" i="23"/>
  <c r="N449" i="23"/>
  <c r="R442" i="23"/>
  <c r="S449" i="23"/>
  <c r="J534" i="23"/>
  <c r="T21" i="18"/>
  <c r="X217" i="23"/>
  <c r="L519" i="8"/>
  <c r="S263" i="23"/>
  <c r="S268" i="23"/>
  <c r="S454" i="23"/>
  <c r="W546" i="9"/>
  <c r="W341" i="18"/>
  <c r="W340" i="18" s="1"/>
  <c r="U340" i="18"/>
  <c r="Q658" i="18"/>
  <c r="U340" i="7"/>
  <c r="W341" i="7"/>
  <c r="W340" i="7" s="1"/>
  <c r="S19" i="8"/>
  <c r="S12" i="8" s="1"/>
  <c r="S531" i="8"/>
  <c r="S526" i="8"/>
  <c r="S529" i="8"/>
  <c r="W171" i="7"/>
  <c r="J566" i="15"/>
  <c r="K581" i="15"/>
  <c r="K658" i="13"/>
  <c r="J643" i="13"/>
  <c r="J688" i="15"/>
  <c r="I643" i="15"/>
  <c r="F11" i="27"/>
  <c r="I566" i="8"/>
  <c r="J581" i="8"/>
  <c r="J688" i="7"/>
  <c r="I643" i="7"/>
  <c r="J688" i="8"/>
  <c r="W536" i="15"/>
  <c r="O658" i="7"/>
  <c r="U526" i="9"/>
  <c r="W527" i="9"/>
  <c r="W526" i="9" s="1"/>
  <c r="J566" i="9"/>
  <c r="K643" i="11"/>
  <c r="N658" i="11"/>
  <c r="E11" i="27"/>
  <c r="R658" i="15"/>
  <c r="U519" i="15"/>
  <c r="W520" i="15"/>
  <c r="J611" i="13"/>
  <c r="I566" i="11"/>
  <c r="J581" i="11"/>
  <c r="J643" i="19"/>
  <c r="K658" i="19"/>
  <c r="J643" i="18"/>
  <c r="K688" i="18"/>
  <c r="I566" i="7"/>
  <c r="J581" i="7"/>
  <c r="W519" i="9"/>
  <c r="N581" i="19"/>
  <c r="K566" i="19"/>
  <c r="U529" i="9"/>
  <c r="K534" i="23" l="1"/>
  <c r="R658" i="18"/>
  <c r="S658" i="18" s="1"/>
  <c r="S21" i="8"/>
  <c r="N581" i="15"/>
  <c r="K566" i="15"/>
  <c r="N658" i="13"/>
  <c r="O658" i="13" s="1"/>
  <c r="K643" i="13"/>
  <c r="K688" i="15"/>
  <c r="J643" i="15"/>
  <c r="K581" i="8"/>
  <c r="J566" i="8"/>
  <c r="K688" i="7"/>
  <c r="J643" i="7"/>
  <c r="K688" i="8"/>
  <c r="W529" i="9"/>
  <c r="J566" i="7"/>
  <c r="K581" i="7"/>
  <c r="N658" i="19"/>
  <c r="K643" i="19"/>
  <c r="K581" i="11"/>
  <c r="J566" i="11"/>
  <c r="W519" i="15"/>
  <c r="S658" i="15"/>
  <c r="K566" i="9"/>
  <c r="P658" i="7"/>
  <c r="O581" i="19"/>
  <c r="N566" i="19"/>
  <c r="N688" i="18"/>
  <c r="O688" i="18" s="1"/>
  <c r="K643" i="18"/>
  <c r="K611" i="13"/>
  <c r="O658" i="11"/>
  <c r="P658" i="11" s="1"/>
  <c r="P643" i="11" s="1"/>
  <c r="N643" i="11"/>
  <c r="N534" i="23" l="1"/>
  <c r="L451" i="23"/>
  <c r="M451" i="23" s="1"/>
  <c r="O643" i="13"/>
  <c r="P658" i="13"/>
  <c r="P643" i="13" s="1"/>
  <c r="P688" i="18"/>
  <c r="O643" i="18"/>
  <c r="O581" i="15"/>
  <c r="P581" i="15" s="1"/>
  <c r="P566" i="15" s="1"/>
  <c r="N566" i="15"/>
  <c r="N643" i="13"/>
  <c r="N688" i="15"/>
  <c r="K643" i="15"/>
  <c r="K566" i="8"/>
  <c r="N581" i="8"/>
  <c r="N688" i="7"/>
  <c r="K643" i="7"/>
  <c r="N688" i="8"/>
  <c r="N611" i="13"/>
  <c r="O611" i="13" s="1"/>
  <c r="N643" i="18"/>
  <c r="O566" i="19"/>
  <c r="P581" i="19"/>
  <c r="Q658" i="7"/>
  <c r="P566" i="9"/>
  <c r="N566" i="9"/>
  <c r="K566" i="11"/>
  <c r="N581" i="11"/>
  <c r="N643" i="19"/>
  <c r="O658" i="19"/>
  <c r="O643" i="11"/>
  <c r="N581" i="7"/>
  <c r="K566" i="7"/>
  <c r="O534" i="23" l="1"/>
  <c r="P611" i="13"/>
  <c r="Q688" i="18"/>
  <c r="Q643" i="18" s="1"/>
  <c r="P643" i="18"/>
  <c r="O566" i="15"/>
  <c r="O688" i="15"/>
  <c r="P688" i="15" s="1"/>
  <c r="P643" i="15" s="1"/>
  <c r="N643" i="15"/>
  <c r="N566" i="8"/>
  <c r="O581" i="8"/>
  <c r="O688" i="7"/>
  <c r="N643" i="7"/>
  <c r="O688" i="8"/>
  <c r="Q658" i="11"/>
  <c r="P658" i="19"/>
  <c r="O643" i="19"/>
  <c r="N566" i="11"/>
  <c r="O566" i="9"/>
  <c r="R658" i="7"/>
  <c r="N566" i="7"/>
  <c r="Q581" i="19"/>
  <c r="P566" i="19"/>
  <c r="P534" i="23" l="1"/>
  <c r="Q581" i="15"/>
  <c r="Q658" i="13"/>
  <c r="O643" i="15"/>
  <c r="P581" i="8"/>
  <c r="Q581" i="8" s="1"/>
  <c r="Q566" i="8" s="1"/>
  <c r="O566" i="8"/>
  <c r="P688" i="7"/>
  <c r="O643" i="7"/>
  <c r="P688" i="8"/>
  <c r="Q688" i="8" s="1"/>
  <c r="Q566" i="19"/>
  <c r="R581" i="19"/>
  <c r="P643" i="19"/>
  <c r="Q658" i="19"/>
  <c r="S658" i="7"/>
  <c r="R658" i="11"/>
  <c r="Q643" i="11"/>
  <c r="Q534" i="23" l="1"/>
  <c r="Q566" i="15"/>
  <c r="R581" i="15"/>
  <c r="Q643" i="13"/>
  <c r="R658" i="13"/>
  <c r="Q688" i="15"/>
  <c r="P566" i="8"/>
  <c r="Q688" i="7"/>
  <c r="P643" i="7"/>
  <c r="S658" i="11"/>
  <c r="S643" i="11" s="1"/>
  <c r="R643" i="11"/>
  <c r="Q611" i="13"/>
  <c r="Q566" i="9"/>
  <c r="Q643" i="19"/>
  <c r="R658" i="19"/>
  <c r="R688" i="18"/>
  <c r="S581" i="19"/>
  <c r="S566" i="19" s="1"/>
  <c r="R566" i="19"/>
  <c r="R534" i="23" l="1"/>
  <c r="R566" i="15"/>
  <c r="S581" i="15"/>
  <c r="S566" i="15" s="1"/>
  <c r="S658" i="13"/>
  <c r="S643" i="13" s="1"/>
  <c r="R643" i="13"/>
  <c r="Q643" i="15"/>
  <c r="R688" i="15"/>
  <c r="R581" i="8"/>
  <c r="R688" i="7"/>
  <c r="Q643" i="7"/>
  <c r="R688" i="8"/>
  <c r="S688" i="18"/>
  <c r="S643" i="18" s="1"/>
  <c r="R643" i="18"/>
  <c r="R566" i="9"/>
  <c r="S566" i="9"/>
  <c r="R611" i="13"/>
  <c r="R643" i="19"/>
  <c r="S658" i="19"/>
  <c r="S643" i="19" s="1"/>
  <c r="S534" i="23" l="1"/>
  <c r="S688" i="15"/>
  <c r="S643" i="15" s="1"/>
  <c r="R643" i="15"/>
  <c r="S581" i="8"/>
  <c r="S566" i="8" s="1"/>
  <c r="R566" i="8"/>
  <c r="S688" i="7"/>
  <c r="S643" i="7" s="1"/>
  <c r="R643" i="7"/>
  <c r="S688" i="8"/>
  <c r="S611" i="13"/>
  <c r="T451" i="23" l="1"/>
  <c r="U451" i="23" s="1"/>
  <c r="X451" i="23" s="1"/>
  <c r="W451" i="23" l="1"/>
  <c r="H475" i="9" l="1"/>
  <c r="H474" i="9" l="1"/>
  <c r="I475" i="13" l="1"/>
  <c r="I16" i="13" s="1"/>
  <c r="I474" i="13" l="1"/>
  <c r="I514" i="7"/>
  <c r="I515" i="7" s="1"/>
  <c r="I480" i="7"/>
  <c r="I484" i="7" s="1"/>
  <c r="I485" i="7" s="1"/>
  <c r="I512" i="7"/>
  <c r="I479" i="7" l="1"/>
  <c r="I482" i="7"/>
  <c r="L505" i="8" l="1"/>
  <c r="L504" i="8" s="1"/>
  <c r="I475" i="8"/>
  <c r="I474" i="8" l="1"/>
  <c r="M505" i="8"/>
  <c r="M504" i="8" s="1"/>
  <c r="L197" i="19" l="1"/>
  <c r="M197" i="19" s="1"/>
  <c r="M196" i="19" s="1"/>
  <c r="H26" i="19" l="1"/>
  <c r="H43" i="19"/>
  <c r="H28" i="19"/>
  <c r="L167" i="19"/>
  <c r="U197" i="19"/>
  <c r="L196" i="19"/>
  <c r="L28" i="19" l="1"/>
  <c r="U28" i="19" s="1"/>
  <c r="H25" i="19"/>
  <c r="L26" i="19"/>
  <c r="H45" i="19"/>
  <c r="L45" i="19" s="1"/>
  <c r="H42" i="19"/>
  <c r="L43" i="19"/>
  <c r="L166" i="19"/>
  <c r="U167" i="19"/>
  <c r="M167" i="19"/>
  <c r="M166" i="19" s="1"/>
  <c r="W197" i="19"/>
  <c r="W196" i="19" s="1"/>
  <c r="U196" i="19"/>
  <c r="M28" i="19" l="1"/>
  <c r="U43" i="19"/>
  <c r="M43" i="19"/>
  <c r="M42" i="19" s="1"/>
  <c r="L42" i="19"/>
  <c r="M45" i="19"/>
  <c r="U45" i="19"/>
  <c r="M26" i="19"/>
  <c r="M25" i="19" s="1"/>
  <c r="L25" i="19"/>
  <c r="U26" i="19"/>
  <c r="U25" i="19" s="1"/>
  <c r="U166" i="19"/>
  <c r="W167" i="19"/>
  <c r="W26" i="19" s="1"/>
  <c r="W28" i="19" l="1"/>
  <c r="W25" i="19"/>
  <c r="W45" i="19"/>
  <c r="W43" i="19"/>
  <c r="W42" i="19" s="1"/>
  <c r="U42" i="19"/>
  <c r="W166" i="19"/>
  <c r="I512" i="19" l="1"/>
  <c r="I435" i="23" s="1"/>
  <c r="I514" i="19"/>
  <c r="I515" i="19" s="1"/>
  <c r="J515" i="19" s="1"/>
  <c r="I480" i="19"/>
  <c r="I479" i="19" s="1"/>
  <c r="I484" i="19" l="1"/>
  <c r="I485" i="19" s="1"/>
  <c r="I482" i="19"/>
  <c r="J99" i="15" l="1"/>
  <c r="J101" i="15"/>
  <c r="J69" i="15" l="1"/>
  <c r="J35" i="15" s="1"/>
  <c r="J52" i="15" l="1"/>
  <c r="G86" i="7"/>
  <c r="I86" i="7"/>
  <c r="H86" i="7"/>
  <c r="I475" i="19" l="1"/>
  <c r="I474" i="19" l="1"/>
  <c r="L505" i="19"/>
  <c r="L504" i="19" s="1"/>
  <c r="J475" i="19"/>
  <c r="J474" i="19" l="1"/>
  <c r="U505" i="19"/>
  <c r="M505" i="19"/>
  <c r="M504" i="19" s="1"/>
  <c r="W505" i="19" l="1"/>
  <c r="W504" i="19" s="1"/>
  <c r="U504" i="19"/>
  <c r="L373" i="22" l="1"/>
  <c r="M373" i="22" s="1"/>
  <c r="M372" i="22" s="1"/>
  <c r="J377" i="22"/>
  <c r="J378" i="22" s="1"/>
  <c r="K378" i="22" s="1"/>
  <c r="N378" i="22" s="1"/>
  <c r="J375" i="22"/>
  <c r="J298" i="23" s="1"/>
  <c r="L375" i="22" l="1"/>
  <c r="U375" i="22" s="1"/>
  <c r="J360" i="22"/>
  <c r="O378" i="22"/>
  <c r="P378" i="22" s="1"/>
  <c r="Q378" i="22" s="1"/>
  <c r="R378" i="22" s="1"/>
  <c r="S378" i="22" s="1"/>
  <c r="L372" i="22"/>
  <c r="U373" i="22"/>
  <c r="M375" i="22" l="1"/>
  <c r="J343" i="22"/>
  <c r="L360" i="22"/>
  <c r="W375" i="22"/>
  <c r="X375" i="22"/>
  <c r="U372" i="22"/>
  <c r="X373" i="22"/>
  <c r="W373" i="22"/>
  <c r="W372" i="22" s="1"/>
  <c r="M360" i="22" l="1"/>
  <c r="U360" i="22"/>
  <c r="W360" i="22" l="1"/>
  <c r="X360" i="22"/>
  <c r="L505" i="9"/>
  <c r="M505" i="9" s="1"/>
  <c r="M504" i="9" s="1"/>
  <c r="L504" i="9" l="1"/>
  <c r="L430" i="18" l="1"/>
  <c r="M430" i="18" s="1"/>
  <c r="M429" i="18" s="1"/>
  <c r="L429" i="18" l="1"/>
  <c r="U430" i="18"/>
  <c r="X435" i="18" l="1"/>
  <c r="U429" i="18"/>
  <c r="W430" i="18"/>
  <c r="W429" i="18" s="1"/>
  <c r="J19" i="15" l="1"/>
  <c r="J12" i="15" s="1"/>
  <c r="J21" i="15" l="1"/>
  <c r="J655" i="8" l="1"/>
  <c r="J578" i="23" s="1"/>
  <c r="J563" i="23" s="1"/>
  <c r="J638" i="8"/>
  <c r="J657" i="8"/>
  <c r="J642" i="8" s="1"/>
  <c r="J637" i="8" l="1"/>
  <c r="J544" i="8"/>
  <c r="J640" i="8"/>
  <c r="J546" i="8" s="1"/>
  <c r="J529" i="8" l="1"/>
  <c r="J527" i="8"/>
  <c r="G11" i="28" s="1"/>
  <c r="H11" i="28" s="1"/>
  <c r="J548" i="8"/>
  <c r="J543" i="8"/>
  <c r="J19" i="8" l="1"/>
  <c r="J12" i="8" s="1"/>
  <c r="J531" i="8"/>
  <c r="J526" i="8"/>
  <c r="J21" i="8"/>
  <c r="L368" i="13" l="1"/>
  <c r="L367" i="13" s="1"/>
  <c r="M368" i="13" l="1"/>
  <c r="M367" i="13" s="1"/>
  <c r="U368" i="13"/>
  <c r="U367" i="13" l="1"/>
  <c r="W368" i="13"/>
  <c r="W367" i="13" s="1"/>
  <c r="J439" i="13" l="1"/>
  <c r="J343" i="13" l="1"/>
  <c r="L490" i="13" l="1"/>
  <c r="L489" i="13" s="1"/>
  <c r="J475" i="13"/>
  <c r="J474" i="13" l="1"/>
  <c r="L475" i="13"/>
  <c r="M490" i="13"/>
  <c r="M489" i="13" s="1"/>
  <c r="L474" i="13" l="1"/>
  <c r="M475" i="13"/>
  <c r="M474" i="13" s="1"/>
  <c r="K499" i="15" l="1"/>
  <c r="K480" i="15"/>
  <c r="G26" i="28" s="1"/>
  <c r="H26" i="28" s="1"/>
  <c r="K497" i="15"/>
  <c r="K482" i="15" l="1"/>
  <c r="K19" i="15"/>
  <c r="K12" i="15" s="1"/>
  <c r="K484" i="15"/>
  <c r="K479" i="15"/>
  <c r="K21" i="15" l="1"/>
  <c r="K499" i="16" l="1"/>
  <c r="K497" i="16"/>
  <c r="K480" i="16"/>
  <c r="K479" i="16" l="1"/>
  <c r="K484" i="16"/>
  <c r="K482" i="16"/>
  <c r="J475" i="22" l="1"/>
  <c r="J474" i="22" l="1"/>
  <c r="J475" i="18" l="1"/>
  <c r="J474" i="18" l="1"/>
  <c r="T97" i="22" l="1"/>
  <c r="T96" i="22" s="1"/>
  <c r="S101" i="22"/>
  <c r="S102" i="22" s="1"/>
  <c r="S99" i="22"/>
  <c r="S69" i="22" l="1"/>
  <c r="T99" i="22"/>
  <c r="U99" i="22" s="1"/>
  <c r="U97" i="22"/>
  <c r="S35" i="22" l="1"/>
  <c r="S21" i="22" s="1"/>
  <c r="S52" i="22"/>
  <c r="U96" i="22"/>
  <c r="W97" i="22"/>
  <c r="W96" i="22" s="1"/>
  <c r="X99" i="22"/>
  <c r="W99" i="22"/>
  <c r="T477" i="22" l="1"/>
  <c r="U477" i="22" s="1"/>
  <c r="W477" i="22" l="1"/>
  <c r="L368" i="11"/>
  <c r="L367" i="11" l="1"/>
  <c r="M368" i="11"/>
  <c r="M367" i="11" s="1"/>
  <c r="K375" i="11" l="1"/>
  <c r="K298" i="23" s="1"/>
  <c r="K360" i="11" l="1"/>
  <c r="L375" i="11"/>
  <c r="K377" i="11"/>
  <c r="K378" i="11" s="1"/>
  <c r="N378" i="11" s="1"/>
  <c r="O378" i="11" s="1"/>
  <c r="L373" i="11"/>
  <c r="K343" i="11" l="1"/>
  <c r="L343" i="11" s="1"/>
  <c r="L360" i="11"/>
  <c r="P378" i="11"/>
  <c r="Q378" i="11" s="1"/>
  <c r="R378" i="11" s="1"/>
  <c r="S378" i="11" s="1"/>
  <c r="M373" i="11"/>
  <c r="M372" i="11" s="1"/>
  <c r="L372" i="11"/>
  <c r="U373" i="11"/>
  <c r="U375" i="11"/>
  <c r="M375" i="11"/>
  <c r="M360" i="11" l="1"/>
  <c r="U360" i="11"/>
  <c r="M343" i="11"/>
  <c r="U343" i="11"/>
  <c r="W375" i="11"/>
  <c r="X375" i="11"/>
  <c r="W373" i="11"/>
  <c r="W372" i="11" s="1"/>
  <c r="U372" i="11"/>
  <c r="X343" i="11" l="1"/>
  <c r="W343" i="11"/>
  <c r="D9" i="27" s="1"/>
  <c r="X360" i="11"/>
  <c r="W360" i="11"/>
  <c r="L435" i="22" l="1"/>
  <c r="L434" i="22" s="1"/>
  <c r="I439" i="22"/>
  <c r="H439" i="22"/>
  <c r="G439" i="22"/>
  <c r="G440" i="22" s="1"/>
  <c r="H437" i="22"/>
  <c r="I437" i="22"/>
  <c r="G437" i="22"/>
  <c r="G360" i="23" s="1"/>
  <c r="I422" i="22" l="1"/>
  <c r="G422" i="22"/>
  <c r="H422" i="22"/>
  <c r="H343" i="22" s="1"/>
  <c r="L437" i="22"/>
  <c r="I343" i="22"/>
  <c r="I21" i="22" s="1"/>
  <c r="H440" i="22"/>
  <c r="I440" i="22" s="1"/>
  <c r="J440" i="22" s="1"/>
  <c r="K440" i="22" s="1"/>
  <c r="M435" i="22"/>
  <c r="M434" i="22" s="1"/>
  <c r="L422" i="22" l="1"/>
  <c r="M422" i="22" s="1"/>
  <c r="M437" i="22"/>
  <c r="G345" i="23"/>
  <c r="G343" i="22"/>
  <c r="L343" i="22" l="1"/>
  <c r="M343" i="22" l="1"/>
  <c r="L490" i="22" l="1"/>
  <c r="M490" i="22" s="1"/>
  <c r="M489" i="22" s="1"/>
  <c r="K475" i="22"/>
  <c r="K474" i="22" l="1"/>
  <c r="L489" i="22"/>
  <c r="L475" i="22"/>
  <c r="L474" i="22" s="1"/>
  <c r="M475" i="22" l="1"/>
  <c r="M474" i="22" s="1"/>
  <c r="N514" i="22" l="1"/>
  <c r="T510" i="22"/>
  <c r="T509" i="22" s="1"/>
  <c r="N512" i="22"/>
  <c r="N435" i="23" s="1"/>
  <c r="N480" i="22"/>
  <c r="N482" i="22" l="1"/>
  <c r="T482" i="22" s="1"/>
  <c r="N479" i="22"/>
  <c r="N484" i="22"/>
  <c r="T512" i="22"/>
  <c r="T480" i="22"/>
  <c r="N405" i="23" l="1"/>
  <c r="T479" i="22"/>
  <c r="K553" i="11" l="1"/>
  <c r="K537" i="11" l="1"/>
  <c r="K536" i="11" l="1"/>
  <c r="K539" i="11"/>
  <c r="K520" i="11"/>
  <c r="K522" i="11" s="1"/>
  <c r="K16" i="11" l="1"/>
  <c r="K519" i="11"/>
  <c r="L92" i="16" l="1"/>
  <c r="M92" i="16" l="1"/>
  <c r="M91" i="16" s="1"/>
  <c r="L91" i="16"/>
  <c r="U92" i="16"/>
  <c r="U91" i="16" l="1"/>
  <c r="X97" i="16"/>
  <c r="W92" i="16"/>
  <c r="W91" i="16" s="1"/>
  <c r="L495" i="13" l="1"/>
  <c r="L494" i="13" s="1"/>
  <c r="K499" i="13"/>
  <c r="K500" i="13" s="1"/>
  <c r="N500" i="13" s="1"/>
  <c r="L497" i="13" l="1"/>
  <c r="U497" i="13" s="1"/>
  <c r="O500" i="13"/>
  <c r="P500" i="13" s="1"/>
  <c r="Q500" i="13" s="1"/>
  <c r="R500" i="13" s="1"/>
  <c r="S500" i="13" s="1"/>
  <c r="M495" i="13"/>
  <c r="M494" i="13" s="1"/>
  <c r="U495" i="13"/>
  <c r="M497" i="13" l="1"/>
  <c r="U494" i="13"/>
  <c r="W495" i="13"/>
  <c r="W494" i="13" s="1"/>
  <c r="X497" i="13"/>
  <c r="W497" i="13"/>
  <c r="O475" i="7" l="1"/>
  <c r="O474" i="7" l="1"/>
  <c r="N439" i="16" l="1"/>
  <c r="N437" i="16"/>
  <c r="N422" i="16" l="1"/>
  <c r="N343" i="16" s="1"/>
  <c r="N341" i="16"/>
  <c r="N19" i="16" s="1"/>
  <c r="N12" i="16" s="1"/>
  <c r="N340" i="16" l="1"/>
  <c r="N345" i="16"/>
  <c r="N21" i="16" l="1"/>
  <c r="L82" i="11" l="1"/>
  <c r="L81" i="11" s="1"/>
  <c r="K86" i="11"/>
  <c r="K87" i="11" s="1"/>
  <c r="N87" i="11" s="1"/>
  <c r="O87" i="11" s="1"/>
  <c r="K84" i="11"/>
  <c r="K84" i="23" s="1"/>
  <c r="K69" i="11" l="1"/>
  <c r="K52" i="11" s="1"/>
  <c r="L52" i="11" s="1"/>
  <c r="L84" i="11"/>
  <c r="M84" i="11" s="1"/>
  <c r="U82" i="11"/>
  <c r="U81" i="11" s="1"/>
  <c r="P87" i="11"/>
  <c r="Q87" i="11" s="1"/>
  <c r="R87" i="11" s="1"/>
  <c r="S87" i="11" s="1"/>
  <c r="M82" i="11"/>
  <c r="M81" i="11" s="1"/>
  <c r="K35" i="11" l="1"/>
  <c r="L35" i="11" s="1"/>
  <c r="L69" i="11"/>
  <c r="M69" i="11" s="1"/>
  <c r="U84" i="11"/>
  <c r="W84" i="11" s="1"/>
  <c r="M52" i="11"/>
  <c r="U52" i="11"/>
  <c r="W82" i="11"/>
  <c r="W81" i="11" s="1"/>
  <c r="U69" i="11" l="1"/>
  <c r="X69" i="11" s="1"/>
  <c r="K21" i="11"/>
  <c r="W52" i="11"/>
  <c r="X52" i="11"/>
  <c r="M35" i="11"/>
  <c r="U35" i="11"/>
  <c r="W69" i="11" l="1"/>
  <c r="W35" i="11"/>
  <c r="C9" i="27" s="1"/>
  <c r="X35" i="11"/>
  <c r="N537" i="22" l="1"/>
  <c r="N539" i="22" s="1"/>
  <c r="N536" i="22" l="1"/>
  <c r="N520" i="22"/>
  <c r="N522" i="22" s="1"/>
  <c r="N553" i="22"/>
  <c r="N519" i="22" l="1"/>
  <c r="N475" i="8" l="1"/>
  <c r="N474" i="8" l="1"/>
  <c r="O19" i="15" l="1"/>
  <c r="O12" i="15" s="1"/>
  <c r="T19" i="15" l="1"/>
  <c r="O21" i="15"/>
  <c r="T21" i="15" s="1"/>
  <c r="T713" i="11" l="1"/>
  <c r="T712" i="11" l="1"/>
  <c r="T715" i="11"/>
  <c r="T142" i="16" l="1"/>
  <c r="T141" i="16" s="1"/>
  <c r="R147" i="16"/>
  <c r="S147" i="16" s="1"/>
  <c r="T144" i="16" l="1"/>
  <c r="U144" i="16" s="1"/>
  <c r="X144" i="16" s="1"/>
  <c r="U142" i="16"/>
  <c r="U141" i="16" l="1"/>
  <c r="X142" i="16"/>
  <c r="N475" i="16" l="1"/>
  <c r="N16" i="16" s="1"/>
  <c r="N474" i="16" l="1"/>
  <c r="T606" i="18" l="1"/>
  <c r="T605" i="18" l="1"/>
  <c r="U606" i="18"/>
  <c r="X606" i="18" l="1"/>
  <c r="W606" i="18"/>
  <c r="W605" i="18" s="1"/>
  <c r="U605" i="18"/>
  <c r="T75" i="9"/>
  <c r="T76" i="9" s="1"/>
  <c r="U75" i="9" l="1"/>
  <c r="X80" i="9" l="1"/>
  <c r="W75" i="9"/>
  <c r="L601" i="19" l="1"/>
  <c r="L600" i="19" s="1"/>
  <c r="U601" i="19" l="1"/>
  <c r="X606" i="19" s="1"/>
  <c r="M601" i="19"/>
  <c r="M600" i="19" s="1"/>
  <c r="W601" i="19" l="1"/>
  <c r="W600" i="19" s="1"/>
  <c r="U600" i="19"/>
  <c r="T368" i="7" l="1"/>
  <c r="T367" i="7" l="1"/>
  <c r="O351" i="7"/>
  <c r="T351" i="7" l="1"/>
  <c r="O353" i="7"/>
  <c r="T353" i="7" s="1"/>
  <c r="O350" i="7"/>
  <c r="T350" i="7" l="1"/>
  <c r="T373" i="8" l="1"/>
  <c r="T372" i="8" l="1"/>
  <c r="U373" i="8"/>
  <c r="P375" i="8"/>
  <c r="P358" i="8"/>
  <c r="P377" i="8"/>
  <c r="P378" i="8" s="1"/>
  <c r="Q378" i="8" l="1"/>
  <c r="R378" i="8" s="1"/>
  <c r="S378" i="8" s="1"/>
  <c r="P341" i="8"/>
  <c r="G9" i="28" s="1"/>
  <c r="H9" i="28" s="1"/>
  <c r="P357" i="8"/>
  <c r="P362" i="8"/>
  <c r="P363" i="8" s="1"/>
  <c r="T358" i="8"/>
  <c r="T375" i="8"/>
  <c r="U375" i="8" s="1"/>
  <c r="P360" i="8"/>
  <c r="U372" i="8"/>
  <c r="W373" i="8"/>
  <c r="W372" i="8" s="1"/>
  <c r="X373" i="8"/>
  <c r="Q363" i="8" l="1"/>
  <c r="R363" i="8" s="1"/>
  <c r="S363" i="8" s="1"/>
  <c r="X375" i="8"/>
  <c r="W375" i="8"/>
  <c r="P345" i="8"/>
  <c r="P340" i="8"/>
  <c r="T341" i="8"/>
  <c r="P19" i="8"/>
  <c r="P12" i="8" s="1"/>
  <c r="T360" i="8"/>
  <c r="U360" i="8" s="1"/>
  <c r="P343" i="8"/>
  <c r="T357" i="8"/>
  <c r="U358" i="8"/>
  <c r="T340" i="8" l="1"/>
  <c r="X360" i="8"/>
  <c r="W360" i="8"/>
  <c r="X358" i="8"/>
  <c r="U357" i="8"/>
  <c r="W358" i="8"/>
  <c r="W357" i="8" s="1"/>
  <c r="T343" i="8"/>
  <c r="P21" i="8"/>
  <c r="T368" i="11" l="1"/>
  <c r="U368" i="11" s="1"/>
  <c r="X373" i="11" l="1"/>
  <c r="U367" i="11"/>
  <c r="W368" i="11"/>
  <c r="W367" i="11" s="1"/>
  <c r="T367" i="11"/>
  <c r="T16" i="15" l="1"/>
  <c r="T505" i="16"/>
  <c r="U505" i="16" s="1"/>
  <c r="U504" i="16" l="1"/>
  <c r="W505" i="16"/>
  <c r="W504" i="16" s="1"/>
  <c r="T504" i="16"/>
  <c r="U490" i="22" l="1"/>
  <c r="P475" i="22"/>
  <c r="P16" i="22" s="1"/>
  <c r="T475" i="22" l="1"/>
  <c r="T474" i="22" s="1"/>
  <c r="U489" i="22"/>
  <c r="W490" i="22"/>
  <c r="W489" i="22" s="1"/>
  <c r="P474" i="22"/>
  <c r="T489" i="22"/>
  <c r="U475" i="22" l="1"/>
  <c r="W475" i="22" s="1"/>
  <c r="W474" i="22" s="1"/>
  <c r="U474" i="22" l="1"/>
  <c r="T80" i="15"/>
  <c r="T81" i="15" s="1"/>
  <c r="U80" i="15" l="1"/>
  <c r="X80" i="15" s="1"/>
  <c r="U81" i="15" l="1"/>
  <c r="W80" i="15"/>
  <c r="W81" i="15" s="1"/>
  <c r="T510" i="9" l="1"/>
  <c r="Q514" i="9"/>
  <c r="Q512" i="9"/>
  <c r="Q435" i="23" s="1"/>
  <c r="T512" i="9" l="1"/>
  <c r="T509" i="9"/>
  <c r="T505" i="8" l="1"/>
  <c r="T504" i="8" s="1"/>
  <c r="P475" i="8"/>
  <c r="P474" i="8" s="1"/>
  <c r="U505" i="8" l="1"/>
  <c r="U504" i="8" l="1"/>
  <c r="W505" i="8"/>
  <c r="W504" i="8" s="1"/>
  <c r="T16" i="18" l="1"/>
  <c r="I325" i="23" l="1"/>
  <c r="I330" i="23"/>
  <c r="I281" i="23"/>
  <c r="G325" i="23"/>
  <c r="G330" i="23"/>
  <c r="G331" i="23" s="1"/>
  <c r="L326" i="23"/>
  <c r="K325" i="23"/>
  <c r="K330" i="23"/>
  <c r="K281" i="23"/>
  <c r="J325" i="23"/>
  <c r="J330" i="23"/>
  <c r="J281" i="23"/>
  <c r="H325" i="23"/>
  <c r="H330" i="23"/>
  <c r="K283" i="23"/>
  <c r="I283" i="23"/>
  <c r="J283" i="23"/>
  <c r="K280" i="23" l="1"/>
  <c r="K285" i="23"/>
  <c r="J280" i="23"/>
  <c r="J285" i="23"/>
  <c r="L325" i="23"/>
  <c r="M326" i="23"/>
  <c r="M325" i="23" s="1"/>
  <c r="U326" i="23"/>
  <c r="H331" i="23"/>
  <c r="I331" i="23" s="1"/>
  <c r="J331" i="23" s="1"/>
  <c r="K331" i="23" s="1"/>
  <c r="N331" i="23" s="1"/>
  <c r="O331" i="23" s="1"/>
  <c r="P331" i="23" s="1"/>
  <c r="Q331" i="23" s="1"/>
  <c r="R331" i="23" s="1"/>
  <c r="S331" i="23" s="1"/>
  <c r="I285" i="23"/>
  <c r="I280" i="23"/>
  <c r="U325" i="23" l="1"/>
  <c r="W326" i="23"/>
  <c r="W325" i="23" s="1"/>
  <c r="X326" i="23"/>
  <c r="L328" i="23"/>
  <c r="D11" i="27" l="1"/>
  <c r="M328" i="23"/>
  <c r="U328" i="23"/>
  <c r="W328" i="23" l="1"/>
  <c r="X328" i="23"/>
  <c r="H204" i="19" l="1"/>
  <c r="F206" i="19"/>
  <c r="F207" i="19" s="1"/>
  <c r="G172" i="19"/>
  <c r="H204" i="23" l="1"/>
  <c r="H174" i="23" s="1"/>
  <c r="K204" i="19"/>
  <c r="I172" i="19"/>
  <c r="I176" i="19" s="1"/>
  <c r="J201" i="23"/>
  <c r="J206" i="23"/>
  <c r="J172" i="23"/>
  <c r="I204" i="19"/>
  <c r="I204" i="23" s="1"/>
  <c r="F204" i="19"/>
  <c r="H174" i="19"/>
  <c r="K174" i="19"/>
  <c r="G171" i="19"/>
  <c r="G33" i="19"/>
  <c r="G176" i="19"/>
  <c r="G50" i="19"/>
  <c r="J204" i="19"/>
  <c r="G204" i="19"/>
  <c r="G204" i="23" s="1"/>
  <c r="L202" i="19"/>
  <c r="H172" i="19"/>
  <c r="J172" i="19"/>
  <c r="G206" i="19"/>
  <c r="G207" i="19" s="1"/>
  <c r="H206" i="19"/>
  <c r="I206" i="19"/>
  <c r="J206" i="19"/>
  <c r="F172" i="19"/>
  <c r="K172" i="19"/>
  <c r="K206" i="19"/>
  <c r="J204" i="23" l="1"/>
  <c r="J174" i="23" s="1"/>
  <c r="F204" i="23"/>
  <c r="F174" i="23" s="1"/>
  <c r="K204" i="23"/>
  <c r="K174" i="23" s="1"/>
  <c r="I50" i="19"/>
  <c r="I54" i="19" s="1"/>
  <c r="I33" i="19"/>
  <c r="I32" i="19" s="1"/>
  <c r="I171" i="19"/>
  <c r="I174" i="19"/>
  <c r="I174" i="23"/>
  <c r="I201" i="23"/>
  <c r="I206" i="23"/>
  <c r="I207" i="23" s="1"/>
  <c r="J207" i="23" s="1"/>
  <c r="L202" i="23"/>
  <c r="I172" i="23"/>
  <c r="K201" i="23"/>
  <c r="K206" i="23"/>
  <c r="K172" i="23"/>
  <c r="G174" i="23"/>
  <c r="J176" i="23"/>
  <c r="J171" i="23"/>
  <c r="F174" i="19"/>
  <c r="F35" i="19" s="1"/>
  <c r="H207" i="19"/>
  <c r="I207" i="19" s="1"/>
  <c r="J207" i="19" s="1"/>
  <c r="K207" i="19" s="1"/>
  <c r="N207" i="19" s="1"/>
  <c r="O207" i="19" s="1"/>
  <c r="P207" i="19" s="1"/>
  <c r="Q207" i="19" s="1"/>
  <c r="R207" i="19" s="1"/>
  <c r="S207" i="19" s="1"/>
  <c r="J33" i="19"/>
  <c r="J171" i="19"/>
  <c r="J50" i="19"/>
  <c r="J176" i="19"/>
  <c r="K176" i="19"/>
  <c r="K171" i="19"/>
  <c r="K33" i="19"/>
  <c r="K50" i="19"/>
  <c r="F171" i="19"/>
  <c r="F176" i="19"/>
  <c r="F177" i="19" s="1"/>
  <c r="G177" i="19" s="1"/>
  <c r="F33" i="19"/>
  <c r="F19" i="19" s="1"/>
  <c r="F12" i="19" s="1"/>
  <c r="F50" i="19"/>
  <c r="L172" i="19"/>
  <c r="H50" i="19"/>
  <c r="H33" i="19"/>
  <c r="H171" i="19"/>
  <c r="H176" i="19"/>
  <c r="M202" i="19"/>
  <c r="M201" i="19" s="1"/>
  <c r="U202" i="19"/>
  <c r="L201" i="19"/>
  <c r="G174" i="19"/>
  <c r="K52" i="19"/>
  <c r="K35" i="19"/>
  <c r="K21" i="19" s="1"/>
  <c r="H35" i="19"/>
  <c r="H21" i="19" s="1"/>
  <c r="H52" i="19"/>
  <c r="J174" i="19"/>
  <c r="G54" i="19"/>
  <c r="G49" i="19"/>
  <c r="G32" i="19"/>
  <c r="G19" i="19"/>
  <c r="G12" i="19" s="1"/>
  <c r="G37" i="19"/>
  <c r="I49" i="19"/>
  <c r="L204" i="19"/>
  <c r="L204" i="23" l="1"/>
  <c r="I19" i="19"/>
  <c r="I12" i="19" s="1"/>
  <c r="F52" i="19"/>
  <c r="I37" i="19"/>
  <c r="L174" i="23"/>
  <c r="M174" i="23" s="1"/>
  <c r="K176" i="23"/>
  <c r="K171" i="23"/>
  <c r="L201" i="23"/>
  <c r="M202" i="23"/>
  <c r="M201" i="23" s="1"/>
  <c r="U202" i="23"/>
  <c r="M204" i="23"/>
  <c r="U204" i="23"/>
  <c r="I176" i="23"/>
  <c r="I177" i="23" s="1"/>
  <c r="J177" i="23" s="1"/>
  <c r="I171" i="23"/>
  <c r="L172" i="23"/>
  <c r="K207" i="23"/>
  <c r="N207" i="23" s="1"/>
  <c r="O207" i="23" s="1"/>
  <c r="P207" i="23" s="1"/>
  <c r="Q207" i="23" s="1"/>
  <c r="R207" i="23" s="1"/>
  <c r="S207" i="23" s="1"/>
  <c r="I52" i="19"/>
  <c r="I35" i="19"/>
  <c r="I21" i="19" s="1"/>
  <c r="U201" i="19"/>
  <c r="X202" i="19"/>
  <c r="W202" i="19"/>
  <c r="W201" i="19" s="1"/>
  <c r="H32" i="19"/>
  <c r="H19" i="19"/>
  <c r="H12" i="19" s="1"/>
  <c r="H37" i="19"/>
  <c r="F49" i="19"/>
  <c r="L50" i="19"/>
  <c r="F54" i="19"/>
  <c r="F55" i="19" s="1"/>
  <c r="G55" i="19" s="1"/>
  <c r="K54" i="19"/>
  <c r="K49" i="19"/>
  <c r="H177" i="19"/>
  <c r="I177" i="19" s="1"/>
  <c r="J177" i="19" s="1"/>
  <c r="K177" i="19" s="1"/>
  <c r="N177" i="19" s="1"/>
  <c r="O177" i="19" s="1"/>
  <c r="P177" i="19" s="1"/>
  <c r="Q177" i="19" s="1"/>
  <c r="R177" i="19" s="1"/>
  <c r="S177" i="19" s="1"/>
  <c r="M204" i="19"/>
  <c r="U204" i="19"/>
  <c r="J35" i="19"/>
  <c r="J52" i="19"/>
  <c r="F21" i="19"/>
  <c r="G52" i="19"/>
  <c r="G35" i="19"/>
  <c r="G21" i="19" s="1"/>
  <c r="H49" i="19"/>
  <c r="H54" i="19"/>
  <c r="U172" i="19"/>
  <c r="L171" i="19"/>
  <c r="M172" i="19"/>
  <c r="M171" i="19" s="1"/>
  <c r="F32" i="19"/>
  <c r="L33" i="19"/>
  <c r="F37" i="19"/>
  <c r="F38" i="19" s="1"/>
  <c r="G38" i="19" s="1"/>
  <c r="K19" i="19"/>
  <c r="K12" i="19" s="1"/>
  <c r="K37" i="19"/>
  <c r="K32" i="19"/>
  <c r="J54" i="19"/>
  <c r="J49" i="19"/>
  <c r="J32" i="19"/>
  <c r="J37" i="19"/>
  <c r="L174" i="19"/>
  <c r="L52" i="19" l="1"/>
  <c r="M52" i="19" s="1"/>
  <c r="K177" i="23"/>
  <c r="N177" i="23" s="1"/>
  <c r="O177" i="23" s="1"/>
  <c r="P177" i="23" s="1"/>
  <c r="Q177" i="23" s="1"/>
  <c r="R177" i="23" s="1"/>
  <c r="S177" i="23" s="1"/>
  <c r="U174" i="23"/>
  <c r="X174" i="23" s="1"/>
  <c r="H55" i="19"/>
  <c r="I55" i="19" s="1"/>
  <c r="J55" i="19" s="1"/>
  <c r="K55" i="19" s="1"/>
  <c r="N55" i="19" s="1"/>
  <c r="O55" i="19" s="1"/>
  <c r="P55" i="19" s="1"/>
  <c r="Q55" i="19" s="1"/>
  <c r="R55" i="19" s="1"/>
  <c r="S55" i="19" s="1"/>
  <c r="W204" i="23"/>
  <c r="X204" i="23"/>
  <c r="W174" i="23"/>
  <c r="M172" i="23"/>
  <c r="M171" i="23" s="1"/>
  <c r="L171" i="23"/>
  <c r="U172" i="23"/>
  <c r="U201" i="23"/>
  <c r="W202" i="23"/>
  <c r="W201" i="23" s="1"/>
  <c r="X202" i="23"/>
  <c r="U174" i="19"/>
  <c r="M174" i="19"/>
  <c r="U33" i="19"/>
  <c r="L32" i="19"/>
  <c r="M33" i="19"/>
  <c r="M32" i="19" s="1"/>
  <c r="X204" i="19"/>
  <c r="W204" i="19"/>
  <c r="L49" i="19"/>
  <c r="M50" i="19"/>
  <c r="M49" i="19" s="1"/>
  <c r="U50" i="19"/>
  <c r="H38" i="19"/>
  <c r="I38" i="19" s="1"/>
  <c r="J38" i="19" s="1"/>
  <c r="K38" i="19" s="1"/>
  <c r="N38" i="19" s="1"/>
  <c r="O38" i="19" s="1"/>
  <c r="P38" i="19" s="1"/>
  <c r="Q38" i="19" s="1"/>
  <c r="R38" i="19" s="1"/>
  <c r="S38" i="19" s="1"/>
  <c r="X172" i="19"/>
  <c r="U171" i="19"/>
  <c r="W172" i="19"/>
  <c r="L35" i="19"/>
  <c r="U52" i="19" l="1"/>
  <c r="X52" i="19" s="1"/>
  <c r="U171" i="23"/>
  <c r="W172" i="23"/>
  <c r="X172" i="23"/>
  <c r="U35" i="19"/>
  <c r="M35" i="19"/>
  <c r="W171" i="19"/>
  <c r="W33" i="19"/>
  <c r="W32" i="19" s="1"/>
  <c r="X50" i="19"/>
  <c r="W50" i="19"/>
  <c r="W49" i="19" s="1"/>
  <c r="U49" i="19"/>
  <c r="U32" i="19"/>
  <c r="X33" i="19"/>
  <c r="X174" i="19"/>
  <c r="W174" i="19"/>
  <c r="W52" i="19" l="1"/>
  <c r="W171" i="23"/>
  <c r="X35" i="19"/>
  <c r="W35" i="19"/>
  <c r="C15" i="27" l="1"/>
  <c r="L430" i="22"/>
  <c r="L429" i="22" s="1"/>
  <c r="M430" i="22" l="1"/>
  <c r="M429" i="22" s="1"/>
  <c r="U430" i="22"/>
  <c r="H334" i="22"/>
  <c r="J334" i="22"/>
  <c r="L334" i="22" l="1"/>
  <c r="M334" i="22" s="1"/>
  <c r="M333" i="22" s="1"/>
  <c r="H333" i="22"/>
  <c r="H336" i="22"/>
  <c r="J333" i="22"/>
  <c r="J336" i="22"/>
  <c r="W430" i="22"/>
  <c r="W429" i="22" s="1"/>
  <c r="U429" i="22"/>
  <c r="L333" i="22" l="1"/>
  <c r="U334" i="22"/>
  <c r="U333" i="22" s="1"/>
  <c r="L336" i="22"/>
  <c r="W334" i="22" l="1"/>
  <c r="W333" i="22" s="1"/>
  <c r="M336" i="22"/>
  <c r="U336" i="22"/>
  <c r="W336" i="22" s="1"/>
  <c r="G67" i="8" l="1"/>
  <c r="G66" i="8" s="1"/>
  <c r="G101" i="8"/>
  <c r="G99" i="8"/>
  <c r="G99" i="23" s="1"/>
  <c r="G71" i="8" l="1"/>
  <c r="G69" i="8"/>
  <c r="G50" i="8"/>
  <c r="G33" i="8"/>
  <c r="G49" i="8" l="1"/>
  <c r="G54" i="8"/>
  <c r="G52" i="8"/>
  <c r="G35" i="8"/>
  <c r="G32" i="8"/>
  <c r="G37" i="8"/>
  <c r="L92" i="8" l="1"/>
  <c r="M92" i="8" s="1"/>
  <c r="M91" i="8" s="1"/>
  <c r="H43" i="8"/>
  <c r="H60" i="8"/>
  <c r="L91" i="8" l="1"/>
  <c r="H59" i="8"/>
  <c r="H26" i="8"/>
  <c r="H62" i="8"/>
  <c r="H42" i="8"/>
  <c r="H45" i="8"/>
  <c r="H25" i="8" l="1"/>
  <c r="H28" i="8"/>
  <c r="H16" i="8" l="1"/>
  <c r="F67" i="13" l="1"/>
  <c r="F66" i="13" s="1"/>
  <c r="F101" i="13"/>
  <c r="F102" i="13" s="1"/>
  <c r="G102" i="13" s="1"/>
  <c r="H102" i="13" s="1"/>
  <c r="I102" i="13" s="1"/>
  <c r="F99" i="13"/>
  <c r="F69" i="13" l="1"/>
  <c r="F50" i="13"/>
  <c r="F71" i="13"/>
  <c r="F72" i="13" s="1"/>
  <c r="G72" i="13" s="1"/>
  <c r="H72" i="13" s="1"/>
  <c r="I72" i="13" s="1"/>
  <c r="F33" i="13"/>
  <c r="F32" i="13" l="1"/>
  <c r="F37" i="13"/>
  <c r="F38" i="13" s="1"/>
  <c r="G38" i="13" s="1"/>
  <c r="H38" i="13" s="1"/>
  <c r="I38" i="13" s="1"/>
  <c r="F19" i="13"/>
  <c r="F12" i="13" s="1"/>
  <c r="F35" i="13"/>
  <c r="F52" i="13"/>
  <c r="F49" i="13"/>
  <c r="F54" i="13"/>
  <c r="F55" i="13" s="1"/>
  <c r="G55" i="13" s="1"/>
  <c r="H55" i="13" s="1"/>
  <c r="I55" i="13" s="1"/>
  <c r="F21" i="13" l="1"/>
  <c r="L570" i="16" l="1"/>
  <c r="G554" i="16"/>
  <c r="L554" i="16" l="1"/>
  <c r="U554" i="16" s="1"/>
  <c r="G537" i="16"/>
  <c r="L537" i="16" s="1"/>
  <c r="M537" i="16" s="1"/>
  <c r="M536" i="16" s="1"/>
  <c r="G556" i="16"/>
  <c r="M570" i="16"/>
  <c r="U571" i="16"/>
  <c r="M554" i="16" l="1"/>
  <c r="M553" i="16" s="1"/>
  <c r="L553" i="16"/>
  <c r="G539" i="16"/>
  <c r="G520" i="16"/>
  <c r="G522" i="16" s="1"/>
  <c r="L536" i="16"/>
  <c r="G536" i="16"/>
  <c r="U537" i="16"/>
  <c r="U536" i="16" s="1"/>
  <c r="W571" i="16"/>
  <c r="W570" i="16" s="1"/>
  <c r="U570" i="16"/>
  <c r="U553" i="16"/>
  <c r="W554" i="16"/>
  <c r="W553" i="16" s="1"/>
  <c r="W537" i="16" l="1"/>
  <c r="W536" i="16" s="1"/>
  <c r="G519" i="16"/>
  <c r="L606" i="16" l="1"/>
  <c r="M606" i="16" s="1"/>
  <c r="M605" i="16" s="1"/>
  <c r="F610" i="16"/>
  <c r="F608" i="16"/>
  <c r="F531" i="23" s="1"/>
  <c r="L608" i="16" l="1"/>
  <c r="M608" i="16" s="1"/>
  <c r="L605" i="16"/>
  <c r="F611" i="16"/>
  <c r="G611" i="16" s="1"/>
  <c r="U606" i="16"/>
  <c r="U608" i="16" l="1"/>
  <c r="W608" i="16" s="1"/>
  <c r="L531" i="23"/>
  <c r="X606" i="16"/>
  <c r="U605" i="16"/>
  <c r="W606" i="16"/>
  <c r="W605" i="16" s="1"/>
  <c r="X608" i="16" l="1"/>
  <c r="M531" i="23"/>
  <c r="U531" i="23"/>
  <c r="X531" i="23" s="1"/>
  <c r="H611" i="16"/>
  <c r="W531" i="23" l="1"/>
  <c r="I611" i="16"/>
  <c r="J611" i="16" l="1"/>
  <c r="K611" i="16" l="1"/>
  <c r="N611" i="16" l="1"/>
  <c r="O611" i="16" l="1"/>
  <c r="P611" i="16" l="1"/>
  <c r="Q611" i="16" l="1"/>
  <c r="R611" i="16" l="1"/>
  <c r="S611" i="16" l="1"/>
  <c r="F101" i="18"/>
  <c r="F102" i="18" s="1"/>
  <c r="F99" i="18"/>
  <c r="L92" i="9" l="1"/>
  <c r="M92" i="9" s="1"/>
  <c r="M91" i="9" s="1"/>
  <c r="G43" i="9"/>
  <c r="G42" i="9" s="1"/>
  <c r="G59" i="9"/>
  <c r="G62" i="9" l="1"/>
  <c r="U92" i="9"/>
  <c r="L91" i="9"/>
  <c r="G45" i="9"/>
  <c r="G26" i="9"/>
  <c r="G25" i="9" l="1"/>
  <c r="G28" i="9"/>
  <c r="G16" i="9" s="1"/>
  <c r="U91" i="9"/>
  <c r="W92" i="9"/>
  <c r="W91" i="9" s="1"/>
  <c r="X97" i="9"/>
  <c r="F101" i="15" l="1"/>
  <c r="F102" i="15" s="1"/>
  <c r="G102" i="15" s="1"/>
  <c r="H102" i="15" s="1"/>
  <c r="I102" i="15" s="1"/>
  <c r="J102" i="15" s="1"/>
  <c r="K102" i="15" s="1"/>
  <c r="N102" i="15" s="1"/>
  <c r="O102" i="15" s="1"/>
  <c r="P102" i="15" s="1"/>
  <c r="Q102" i="15" s="1"/>
  <c r="R102" i="15" s="1"/>
  <c r="S102" i="15" s="1"/>
  <c r="L97" i="15"/>
  <c r="L96" i="15" s="1"/>
  <c r="F67" i="15"/>
  <c r="F66" i="15" s="1"/>
  <c r="F99" i="15"/>
  <c r="F69" i="15" l="1"/>
  <c r="F52" i="15" s="1"/>
  <c r="L52" i="15" s="1"/>
  <c r="F33" i="15"/>
  <c r="U97" i="15"/>
  <c r="U96" i="15" s="1"/>
  <c r="M97" i="15"/>
  <c r="M96" i="15" s="1"/>
  <c r="L99" i="15"/>
  <c r="L67" i="15"/>
  <c r="F50" i="15"/>
  <c r="F71" i="15"/>
  <c r="F72" i="15" s="1"/>
  <c r="G72" i="15" s="1"/>
  <c r="H72" i="15" s="1"/>
  <c r="I72" i="15" s="1"/>
  <c r="J72" i="15" s="1"/>
  <c r="K72" i="15" s="1"/>
  <c r="N72" i="15" s="1"/>
  <c r="O72" i="15" s="1"/>
  <c r="P72" i="15" s="1"/>
  <c r="Q72" i="15" s="1"/>
  <c r="R72" i="15" s="1"/>
  <c r="S72" i="15" s="1"/>
  <c r="L33" i="15" l="1"/>
  <c r="U33" i="15" s="1"/>
  <c r="U32" i="15" s="1"/>
  <c r="L69" i="15"/>
  <c r="M69" i="15" s="1"/>
  <c r="F32" i="15"/>
  <c r="F37" i="15"/>
  <c r="F38" i="15" s="1"/>
  <c r="G38" i="15" s="1"/>
  <c r="H38" i="15" s="1"/>
  <c r="I38" i="15" s="1"/>
  <c r="J38" i="15" s="1"/>
  <c r="K38" i="15" s="1"/>
  <c r="N38" i="15" s="1"/>
  <c r="O38" i="15" s="1"/>
  <c r="P38" i="15" s="1"/>
  <c r="Q38" i="15" s="1"/>
  <c r="R38" i="15" s="1"/>
  <c r="S38" i="15" s="1"/>
  <c r="F35" i="15"/>
  <c r="W97" i="15"/>
  <c r="W96" i="15" s="1"/>
  <c r="F54" i="15"/>
  <c r="F55" i="15" s="1"/>
  <c r="G55" i="15" s="1"/>
  <c r="H55" i="15" s="1"/>
  <c r="I55" i="15" s="1"/>
  <c r="J55" i="15" s="1"/>
  <c r="K55" i="15" s="1"/>
  <c r="N55" i="15" s="1"/>
  <c r="O55" i="15" s="1"/>
  <c r="P55" i="15" s="1"/>
  <c r="Q55" i="15" s="1"/>
  <c r="R55" i="15" s="1"/>
  <c r="S55" i="15" s="1"/>
  <c r="L50" i="15"/>
  <c r="F49" i="15"/>
  <c r="M99" i="15"/>
  <c r="U99" i="15"/>
  <c r="L35" i="15"/>
  <c r="M67" i="15"/>
  <c r="M66" i="15" s="1"/>
  <c r="U67" i="15"/>
  <c r="L66" i="15"/>
  <c r="M52" i="15"/>
  <c r="U52" i="15"/>
  <c r="M33" i="15" l="1"/>
  <c r="M32" i="15" s="1"/>
  <c r="L32" i="15"/>
  <c r="U69" i="15"/>
  <c r="X69" i="15" s="1"/>
  <c r="W52" i="15"/>
  <c r="X52" i="15"/>
  <c r="M35" i="15"/>
  <c r="U35" i="15"/>
  <c r="X99" i="15"/>
  <c r="W99" i="15"/>
  <c r="U66" i="15"/>
  <c r="W67" i="15"/>
  <c r="L49" i="15"/>
  <c r="M50" i="15"/>
  <c r="M49" i="15" s="1"/>
  <c r="U50" i="15"/>
  <c r="W69" i="15" l="1"/>
  <c r="W35" i="15"/>
  <c r="X35" i="15"/>
  <c r="W50" i="15"/>
  <c r="W49" i="15" s="1"/>
  <c r="U49" i="15"/>
  <c r="W33" i="15"/>
  <c r="W32" i="15" s="1"/>
  <c r="W66" i="15"/>
  <c r="C12" i="27" l="1"/>
  <c r="L368" i="7"/>
  <c r="L367" i="7" s="1"/>
  <c r="G351" i="7"/>
  <c r="L351" i="7" s="1"/>
  <c r="G334" i="7" l="1"/>
  <c r="G333" i="7" s="1"/>
  <c r="G353" i="7"/>
  <c r="L353" i="7" s="1"/>
  <c r="U353" i="7" s="1"/>
  <c r="W353" i="7" s="1"/>
  <c r="M351" i="7"/>
  <c r="M350" i="7" s="1"/>
  <c r="L350" i="7"/>
  <c r="U351" i="7"/>
  <c r="G350" i="7"/>
  <c r="M368" i="7"/>
  <c r="M367" i="7" s="1"/>
  <c r="U368" i="7"/>
  <c r="M353" i="7" l="1"/>
  <c r="G336" i="7"/>
  <c r="U367" i="7"/>
  <c r="X373" i="7"/>
  <c r="W368" i="7"/>
  <c r="W367" i="7" s="1"/>
  <c r="U350" i="7"/>
  <c r="X358" i="7"/>
  <c r="W351" i="7"/>
  <c r="W350" i="7" s="1"/>
  <c r="G554" i="7" l="1"/>
  <c r="G556" i="7" l="1"/>
  <c r="G539" i="7" s="1"/>
  <c r="G537" i="7"/>
  <c r="G520" i="7" s="1"/>
  <c r="G522" i="7" s="1"/>
  <c r="G523" i="23"/>
  <c r="G553" i="7"/>
  <c r="G536" i="7" l="1"/>
  <c r="G519" i="7" l="1"/>
  <c r="G44" i="18" l="1"/>
  <c r="G27" i="18" s="1"/>
  <c r="G61" i="18"/>
  <c r="G76" i="23" l="1"/>
  <c r="G61" i="23"/>
  <c r="G44" i="23" s="1"/>
  <c r="G27" i="23" l="1"/>
  <c r="L77" i="18"/>
  <c r="L76" i="18" s="1"/>
  <c r="F44" i="18"/>
  <c r="F61" i="18"/>
  <c r="F62" i="18" s="1"/>
  <c r="F28" i="18" l="1"/>
  <c r="F16" i="18" s="1"/>
  <c r="F27" i="18"/>
  <c r="L27" i="18" s="1"/>
  <c r="U27" i="18" s="1"/>
  <c r="F45" i="18"/>
  <c r="F76" i="23"/>
  <c r="L44" i="18"/>
  <c r="M44" i="18" s="1"/>
  <c r="L61" i="18"/>
  <c r="M61" i="18" s="1"/>
  <c r="M77" i="18"/>
  <c r="M76" i="18" s="1"/>
  <c r="U77" i="18"/>
  <c r="U61" i="18" l="1"/>
  <c r="W61" i="18" s="1"/>
  <c r="W27" i="18" s="1"/>
  <c r="M27" i="18"/>
  <c r="U44" i="18"/>
  <c r="W44" i="18" s="1"/>
  <c r="U76" i="18"/>
  <c r="W77" i="18"/>
  <c r="W76" i="18" s="1"/>
  <c r="F657" i="8" l="1"/>
  <c r="F642" i="8" s="1"/>
  <c r="F638" i="8"/>
  <c r="F544" i="8" s="1"/>
  <c r="F655" i="8"/>
  <c r="F578" i="23" s="1"/>
  <c r="F640" i="8" l="1"/>
  <c r="F546" i="8" s="1"/>
  <c r="F548" i="8"/>
  <c r="F549" i="8" s="1"/>
  <c r="F527" i="8"/>
  <c r="F543" i="8"/>
  <c r="F637" i="8"/>
  <c r="F658" i="8"/>
  <c r="F643" i="8" s="1"/>
  <c r="F580" i="23"/>
  <c r="F565" i="23" l="1"/>
  <c r="F581" i="23"/>
  <c r="F566" i="23" s="1"/>
  <c r="F526" i="8"/>
  <c r="F531" i="8"/>
  <c r="F532" i="8" s="1"/>
  <c r="F529" i="8"/>
  <c r="L653" i="8" l="1"/>
  <c r="H657" i="8"/>
  <c r="G657" i="8"/>
  <c r="G642" i="8" s="1"/>
  <c r="H638" i="8"/>
  <c r="H655" i="8"/>
  <c r="H578" i="23" s="1"/>
  <c r="H563" i="23" s="1"/>
  <c r="G638" i="8"/>
  <c r="G655" i="8"/>
  <c r="G578" i="23" s="1"/>
  <c r="G563" i="23" s="1"/>
  <c r="G640" i="8" l="1"/>
  <c r="H640" i="8"/>
  <c r="H546" i="8" s="1"/>
  <c r="H529" i="8" s="1"/>
  <c r="H21" i="8" s="1"/>
  <c r="L447" i="23"/>
  <c r="M447" i="23" s="1"/>
  <c r="H637" i="8"/>
  <c r="H544" i="8"/>
  <c r="H527" i="8" s="1"/>
  <c r="G637" i="8"/>
  <c r="G544" i="8"/>
  <c r="G543" i="8" s="1"/>
  <c r="G580" i="23"/>
  <c r="G565" i="23" s="1"/>
  <c r="L638" i="8"/>
  <c r="L637" i="8" s="1"/>
  <c r="L578" i="23"/>
  <c r="L655" i="8"/>
  <c r="M655" i="8" s="1"/>
  <c r="H580" i="23"/>
  <c r="G546" i="8"/>
  <c r="M653" i="8"/>
  <c r="M652" i="8" s="1"/>
  <c r="L652" i="8"/>
  <c r="H642" i="8"/>
  <c r="L576" i="23"/>
  <c r="G658" i="8"/>
  <c r="G643" i="8" s="1"/>
  <c r="L640" i="8" l="1"/>
  <c r="G560" i="23"/>
  <c r="H543" i="8"/>
  <c r="G527" i="8"/>
  <c r="G531" i="8" s="1"/>
  <c r="G532" i="8" s="1"/>
  <c r="H548" i="8"/>
  <c r="G548" i="8"/>
  <c r="G549" i="8" s="1"/>
  <c r="L544" i="8"/>
  <c r="L543" i="8" s="1"/>
  <c r="M638" i="8"/>
  <c r="M637" i="8" s="1"/>
  <c r="G581" i="23"/>
  <c r="G566" i="23" s="1"/>
  <c r="L546" i="8"/>
  <c r="G529" i="8"/>
  <c r="H565" i="23"/>
  <c r="G19" i="8"/>
  <c r="G12" i="8" s="1"/>
  <c r="M578" i="23"/>
  <c r="L575" i="23"/>
  <c r="M576" i="23"/>
  <c r="M575" i="23" s="1"/>
  <c r="M640" i="8"/>
  <c r="H560" i="23"/>
  <c r="H526" i="8"/>
  <c r="H19" i="8"/>
  <c r="H12" i="8" s="1"/>
  <c r="H531" i="8"/>
  <c r="H658" i="8"/>
  <c r="G526" i="8" l="1"/>
  <c r="L527" i="8"/>
  <c r="L526" i="8" s="1"/>
  <c r="H549" i="8"/>
  <c r="I549" i="8" s="1"/>
  <c r="J549" i="8" s="1"/>
  <c r="K549" i="8" s="1"/>
  <c r="N549" i="8" s="1"/>
  <c r="O549" i="8" s="1"/>
  <c r="P549" i="8" s="1"/>
  <c r="Q549" i="8" s="1"/>
  <c r="M544" i="8"/>
  <c r="M543" i="8" s="1"/>
  <c r="H581" i="23"/>
  <c r="I581" i="23" s="1"/>
  <c r="M546" i="8"/>
  <c r="H643" i="8"/>
  <c r="I658" i="8"/>
  <c r="L529" i="8"/>
  <c r="G21" i="8"/>
  <c r="H532" i="8"/>
  <c r="I532" i="8" s="1"/>
  <c r="J532" i="8" s="1"/>
  <c r="K532" i="8" s="1"/>
  <c r="N532" i="8" s="1"/>
  <c r="O532" i="8" s="1"/>
  <c r="P532" i="8" s="1"/>
  <c r="Q532" i="8" s="1"/>
  <c r="M527" i="8" l="1"/>
  <c r="M526" i="8" s="1"/>
  <c r="H566" i="23"/>
  <c r="I566" i="23"/>
  <c r="J581" i="23"/>
  <c r="I643" i="8"/>
  <c r="J658" i="8"/>
  <c r="M529" i="8"/>
  <c r="J643" i="8" l="1"/>
  <c r="K658" i="8"/>
  <c r="K581" i="23"/>
  <c r="J566" i="23"/>
  <c r="K566" i="23" l="1"/>
  <c r="N581" i="23"/>
  <c r="K643" i="8"/>
  <c r="N658" i="8"/>
  <c r="N643" i="8" l="1"/>
  <c r="O658" i="8"/>
  <c r="O581" i="23"/>
  <c r="N566" i="23"/>
  <c r="P658" i="8" l="1"/>
  <c r="O643" i="8"/>
  <c r="O566" i="23"/>
  <c r="P581" i="23"/>
  <c r="P566" i="23" l="1"/>
  <c r="Q581" i="23"/>
  <c r="P643" i="8"/>
  <c r="Q658" i="8"/>
  <c r="Q643" i="8" l="1"/>
  <c r="Q566" i="23"/>
  <c r="H514" i="22" l="1"/>
  <c r="H515" i="22" s="1"/>
  <c r="I515" i="22" s="1"/>
  <c r="H432" i="23"/>
  <c r="H512" i="22"/>
  <c r="H435" i="23" s="1"/>
  <c r="H437" i="23" l="1"/>
  <c r="F439" i="8" l="1"/>
  <c r="F440" i="8" s="1"/>
  <c r="G440" i="8" s="1"/>
  <c r="H440" i="8" s="1"/>
  <c r="I440" i="8" s="1"/>
  <c r="J440" i="8" s="1"/>
  <c r="K440" i="8" s="1"/>
  <c r="N440" i="8" s="1"/>
  <c r="O440" i="8" s="1"/>
  <c r="P440" i="8" s="1"/>
  <c r="Q440" i="8" s="1"/>
  <c r="R440" i="8" s="1"/>
  <c r="S440" i="8" s="1"/>
  <c r="F358" i="23"/>
  <c r="F437" i="8"/>
  <c r="F360" i="23" s="1"/>
  <c r="L435" i="8"/>
  <c r="F420" i="8"/>
  <c r="F357" i="23" l="1"/>
  <c r="F362" i="23"/>
  <c r="F363" i="23" s="1"/>
  <c r="G363" i="23" s="1"/>
  <c r="F343" i="23"/>
  <c r="L437" i="8"/>
  <c r="F422" i="8"/>
  <c r="F419" i="8"/>
  <c r="F424" i="8"/>
  <c r="F425" i="8" s="1"/>
  <c r="G425" i="8" s="1"/>
  <c r="H425" i="8" s="1"/>
  <c r="I425" i="8" s="1"/>
  <c r="J425" i="8" s="1"/>
  <c r="K425" i="8" s="1"/>
  <c r="N425" i="8" s="1"/>
  <c r="O425" i="8" s="1"/>
  <c r="P425" i="8" s="1"/>
  <c r="Q425" i="8" s="1"/>
  <c r="R425" i="8" s="1"/>
  <c r="S425" i="8" s="1"/>
  <c r="F341" i="8"/>
  <c r="L420" i="8"/>
  <c r="U435" i="8"/>
  <c r="M435" i="8"/>
  <c r="M434" i="8" s="1"/>
  <c r="F345" i="23" l="1"/>
  <c r="M437" i="8"/>
  <c r="U437" i="8"/>
  <c r="L419" i="8"/>
  <c r="U420" i="8"/>
  <c r="M420" i="8"/>
  <c r="M419" i="8" s="1"/>
  <c r="U434" i="8"/>
  <c r="X435" i="8"/>
  <c r="W435" i="8"/>
  <c r="W434" i="8" s="1"/>
  <c r="F340" i="8"/>
  <c r="L341" i="8"/>
  <c r="F345" i="8"/>
  <c r="F346" i="8" s="1"/>
  <c r="G346" i="8" s="1"/>
  <c r="H346" i="8" s="1"/>
  <c r="I346" i="8" s="1"/>
  <c r="J346" i="8" s="1"/>
  <c r="K346" i="8" s="1"/>
  <c r="N346" i="8" s="1"/>
  <c r="O346" i="8" s="1"/>
  <c r="P346" i="8" s="1"/>
  <c r="Q346" i="8" s="1"/>
  <c r="R346" i="8" s="1"/>
  <c r="S346" i="8" s="1"/>
  <c r="L422" i="8"/>
  <c r="F343" i="8"/>
  <c r="F342" i="23"/>
  <c r="F347" i="23"/>
  <c r="F348" i="23" s="1"/>
  <c r="G348" i="23" s="1"/>
  <c r="L340" i="8" l="1"/>
  <c r="M341" i="8"/>
  <c r="M340" i="8" s="1"/>
  <c r="U341" i="8"/>
  <c r="U419" i="8"/>
  <c r="X420" i="8"/>
  <c r="W420" i="8"/>
  <c r="W419" i="8" s="1"/>
  <c r="L343" i="8"/>
  <c r="M422" i="8"/>
  <c r="U422" i="8"/>
  <c r="X437" i="8"/>
  <c r="W437" i="8"/>
  <c r="W422" i="8" l="1"/>
  <c r="X422" i="8"/>
  <c r="X341" i="8"/>
  <c r="W341" i="8"/>
  <c r="W340" i="8" s="1"/>
  <c r="U340" i="8"/>
  <c r="M343" i="8"/>
  <c r="U343" i="8"/>
  <c r="X343" i="8" l="1"/>
  <c r="W343" i="8"/>
  <c r="D7" i="27" s="1"/>
  <c r="L137" i="7" l="1"/>
  <c r="L136" i="7" l="1"/>
  <c r="M137" i="7"/>
  <c r="M136" i="7" s="1"/>
  <c r="U137" i="7"/>
  <c r="U136" i="7" l="1"/>
  <c r="H554" i="7" l="1"/>
  <c r="H556" i="7" l="1"/>
  <c r="H539" i="7" s="1"/>
  <c r="H537" i="7"/>
  <c r="H520" i="7" s="1"/>
  <c r="H522" i="7" s="1"/>
  <c r="H553" i="7"/>
  <c r="H523" i="23"/>
  <c r="H536" i="7" l="1"/>
  <c r="H519" i="7" l="1"/>
  <c r="L495" i="11" l="1"/>
  <c r="M495" i="11" s="1"/>
  <c r="M494" i="11" s="1"/>
  <c r="I497" i="11"/>
  <c r="I499" i="11"/>
  <c r="I500" i="11" s="1"/>
  <c r="J500" i="11" s="1"/>
  <c r="K500" i="11" s="1"/>
  <c r="N500" i="11" s="1"/>
  <c r="O500" i="11" s="1"/>
  <c r="P500" i="11" s="1"/>
  <c r="Q500" i="11" s="1"/>
  <c r="R500" i="11" s="1"/>
  <c r="S500" i="11" s="1"/>
  <c r="I480" i="11"/>
  <c r="I479" i="11" s="1"/>
  <c r="I417" i="23"/>
  <c r="I482" i="11" l="1"/>
  <c r="I420" i="23"/>
  <c r="L482" i="11"/>
  <c r="I403" i="23"/>
  <c r="I484" i="11"/>
  <c r="I485" i="11" s="1"/>
  <c r="J485" i="11" s="1"/>
  <c r="K485" i="11" s="1"/>
  <c r="N485" i="11" s="1"/>
  <c r="O485" i="11" s="1"/>
  <c r="P485" i="11" s="1"/>
  <c r="Q485" i="11" s="1"/>
  <c r="R485" i="11" s="1"/>
  <c r="S485" i="11" s="1"/>
  <c r="L480" i="11"/>
  <c r="U495" i="11"/>
  <c r="L494" i="11"/>
  <c r="L497" i="11"/>
  <c r="I422" i="23"/>
  <c r="M497" i="11" l="1"/>
  <c r="U497" i="11"/>
  <c r="U494" i="11"/>
  <c r="W495" i="11"/>
  <c r="W494" i="11" s="1"/>
  <c r="X495" i="11"/>
  <c r="U480" i="11"/>
  <c r="L479" i="11"/>
  <c r="M480" i="11"/>
  <c r="M479" i="11" s="1"/>
  <c r="I405" i="23"/>
  <c r="I402" i="23"/>
  <c r="I407" i="23"/>
  <c r="U482" i="11"/>
  <c r="M482" i="11"/>
  <c r="W482" i="11" l="1"/>
  <c r="E9" i="27" s="1"/>
  <c r="X482" i="11"/>
  <c r="X480" i="11"/>
  <c r="U479" i="11"/>
  <c r="W480" i="11"/>
  <c r="W479" i="11" s="1"/>
  <c r="X497" i="11"/>
  <c r="W497" i="11"/>
  <c r="H43" i="9" l="1"/>
  <c r="H42" i="9" s="1"/>
  <c r="H26" i="9"/>
  <c r="H25" i="9" l="1"/>
  <c r="H59" i="9"/>
  <c r="L137" i="9" l="1"/>
  <c r="I43" i="9"/>
  <c r="I42" i="9" s="1"/>
  <c r="I59" i="9"/>
  <c r="I26" i="9" l="1"/>
  <c r="L43" i="9"/>
  <c r="L60" i="9"/>
  <c r="M137" i="9"/>
  <c r="M136" i="9" s="1"/>
  <c r="I45" i="9"/>
  <c r="L136" i="9"/>
  <c r="I62" i="9"/>
  <c r="I25" i="9" l="1"/>
  <c r="I28" i="9"/>
  <c r="I16" i="9" s="1"/>
  <c r="L26" i="9"/>
  <c r="M26" i="9" s="1"/>
  <c r="M25" i="9" s="1"/>
  <c r="L42" i="9"/>
  <c r="M43" i="9"/>
  <c r="M42" i="9" s="1"/>
  <c r="M60" i="9"/>
  <c r="M59" i="9" s="1"/>
  <c r="L59" i="9"/>
  <c r="L25" i="9" l="1"/>
  <c r="H475" i="19"/>
  <c r="H474" i="19" s="1"/>
  <c r="L490" i="19"/>
  <c r="L489" i="19" s="1"/>
  <c r="F475" i="19"/>
  <c r="F16" i="19" s="1"/>
  <c r="L475" i="19" l="1"/>
  <c r="M475" i="19" s="1"/>
  <c r="M474" i="19" s="1"/>
  <c r="M490" i="19"/>
  <c r="M489" i="19" s="1"/>
  <c r="U490" i="19"/>
  <c r="F474" i="19"/>
  <c r="L474" i="19" l="1"/>
  <c r="U475" i="19"/>
  <c r="W475" i="19" s="1"/>
  <c r="W474" i="19" s="1"/>
  <c r="W490" i="19"/>
  <c r="W489" i="19" s="1"/>
  <c r="X495" i="19"/>
  <c r="U489" i="19"/>
  <c r="U474" i="19" l="1"/>
  <c r="G377" i="16" l="1"/>
  <c r="G358" i="16"/>
  <c r="G341" i="16" s="1"/>
  <c r="H377" i="16"/>
  <c r="H375" i="16"/>
  <c r="H358" i="16"/>
  <c r="H357" i="16" s="1"/>
  <c r="G375" i="16"/>
  <c r="G295" i="23"/>
  <c r="G360" i="16" l="1"/>
  <c r="G343" i="16" s="1"/>
  <c r="G298" i="23"/>
  <c r="G283" i="23" s="1"/>
  <c r="G266" i="23" s="1"/>
  <c r="G281" i="23"/>
  <c r="G285" i="23" s="1"/>
  <c r="G340" i="16"/>
  <c r="G345" i="16"/>
  <c r="G362" i="16"/>
  <c r="H362" i="16"/>
  <c r="G300" i="23"/>
  <c r="G357" i="16"/>
  <c r="H341" i="16"/>
  <c r="H360" i="16"/>
  <c r="H343" i="16" s="1"/>
  <c r="G264" i="23" l="1"/>
  <c r="G263" i="23" s="1"/>
  <c r="G280" i="23"/>
  <c r="H340" i="16"/>
  <c r="H345" i="16"/>
  <c r="G268" i="23" l="1"/>
  <c r="J580" i="18" l="1"/>
  <c r="J565" i="18" s="1"/>
  <c r="L576" i="18"/>
  <c r="M576" i="18" s="1"/>
  <c r="M575" i="18" s="1"/>
  <c r="L561" i="18"/>
  <c r="J578" i="18"/>
  <c r="J563" i="18" l="1"/>
  <c r="J501" i="23"/>
  <c r="J544" i="18"/>
  <c r="J543" i="18" s="1"/>
  <c r="J581" i="18"/>
  <c r="J566" i="18" s="1"/>
  <c r="J498" i="23"/>
  <c r="J503" i="23"/>
  <c r="L578" i="18"/>
  <c r="L560" i="18"/>
  <c r="U561" i="18"/>
  <c r="M561" i="18"/>
  <c r="M560" i="18" s="1"/>
  <c r="U576" i="18"/>
  <c r="L575" i="18"/>
  <c r="J560" i="18"/>
  <c r="J527" i="18" l="1"/>
  <c r="K581" i="18"/>
  <c r="N581" i="18" s="1"/>
  <c r="L544" i="18"/>
  <c r="M544" i="18" s="1"/>
  <c r="M543" i="18" s="1"/>
  <c r="J548" i="18"/>
  <c r="J549" i="18" s="1"/>
  <c r="K549" i="18" s="1"/>
  <c r="N549" i="18" s="1"/>
  <c r="O549" i="18" s="1"/>
  <c r="P549" i="18" s="1"/>
  <c r="Q549" i="18" s="1"/>
  <c r="R549" i="18" s="1"/>
  <c r="S549" i="18" s="1"/>
  <c r="U575" i="18"/>
  <c r="W576" i="18"/>
  <c r="W575" i="18" s="1"/>
  <c r="U560" i="18"/>
  <c r="W561" i="18"/>
  <c r="W560" i="18" s="1"/>
  <c r="L563" i="18"/>
  <c r="J546" i="18"/>
  <c r="J488" i="23"/>
  <c r="M578" i="18"/>
  <c r="U578" i="18"/>
  <c r="J526" i="18" l="1"/>
  <c r="G35" i="28"/>
  <c r="H35" i="28" s="1"/>
  <c r="L543" i="18"/>
  <c r="L527" i="18"/>
  <c r="L526" i="18" s="1"/>
  <c r="J531" i="18"/>
  <c r="J532" i="18" s="1"/>
  <c r="K532" i="18" s="1"/>
  <c r="N532" i="18" s="1"/>
  <c r="O532" i="18" s="1"/>
  <c r="P532" i="18" s="1"/>
  <c r="Q532" i="18" s="1"/>
  <c r="R532" i="18" s="1"/>
  <c r="S532" i="18" s="1"/>
  <c r="U544" i="18"/>
  <c r="W544" i="18" s="1"/>
  <c r="K566" i="18"/>
  <c r="W578" i="18"/>
  <c r="X578" i="18"/>
  <c r="M563" i="18"/>
  <c r="U563" i="18"/>
  <c r="X563" i="18" s="1"/>
  <c r="L546" i="18"/>
  <c r="J529" i="18"/>
  <c r="U527" i="18"/>
  <c r="L448" i="23"/>
  <c r="M448" i="23" s="1"/>
  <c r="N566" i="18"/>
  <c r="O581" i="18"/>
  <c r="M527" i="18" l="1"/>
  <c r="M526" i="18" s="1"/>
  <c r="U543" i="18"/>
  <c r="P581" i="18"/>
  <c r="O566" i="18"/>
  <c r="U526" i="18"/>
  <c r="W527" i="18"/>
  <c r="L529" i="18"/>
  <c r="W563" i="18"/>
  <c r="L453" i="23"/>
  <c r="M453" i="23" s="1"/>
  <c r="M546" i="18"/>
  <c r="U546" i="18"/>
  <c r="X546" i="18" s="1"/>
  <c r="W543" i="18"/>
  <c r="M529" i="18" l="1"/>
  <c r="U529" i="18"/>
  <c r="X529" i="18" s="1"/>
  <c r="P566" i="18"/>
  <c r="Q581" i="18"/>
  <c r="W546" i="18"/>
  <c r="W526" i="18"/>
  <c r="Q566" i="18" l="1"/>
  <c r="R581" i="18"/>
  <c r="W529" i="18"/>
  <c r="F14" i="27" s="1"/>
  <c r="R566" i="18" l="1"/>
  <c r="S581" i="18"/>
  <c r="S566" i="18" s="1"/>
  <c r="J439" i="9" l="1"/>
  <c r="J437" i="9" l="1"/>
  <c r="J360" i="23" s="1"/>
  <c r="J420" i="9"/>
  <c r="J419" i="9" l="1"/>
  <c r="J424" i="9"/>
  <c r="J341" i="9"/>
  <c r="G13" i="28" s="1"/>
  <c r="J357" i="23"/>
  <c r="J362" i="23"/>
  <c r="J343" i="23"/>
  <c r="J422" i="9"/>
  <c r="H13" i="28" l="1"/>
  <c r="J345" i="23"/>
  <c r="J342" i="23"/>
  <c r="J347" i="23"/>
  <c r="J264" i="23"/>
  <c r="J340" i="9"/>
  <c r="J345" i="9"/>
  <c r="J343" i="9"/>
  <c r="J268" i="23" l="1"/>
  <c r="J263" i="23"/>
  <c r="J266" i="23"/>
  <c r="L510" i="13" l="1"/>
  <c r="L509" i="13" s="1"/>
  <c r="K514" i="13"/>
  <c r="K515" i="13" s="1"/>
  <c r="N515" i="13" s="1"/>
  <c r="K480" i="13"/>
  <c r="K482" i="13"/>
  <c r="K479" i="13" l="1"/>
  <c r="K484" i="13"/>
  <c r="K485" i="13" s="1"/>
  <c r="N485" i="13" s="1"/>
  <c r="L482" i="13"/>
  <c r="K21" i="13"/>
  <c r="M510" i="13"/>
  <c r="M509" i="13" s="1"/>
  <c r="K19" i="13"/>
  <c r="K12" i="13" s="1"/>
  <c r="L480" i="13"/>
  <c r="L512" i="13"/>
  <c r="M512" i="13" l="1"/>
  <c r="L479" i="13"/>
  <c r="M480" i="13"/>
  <c r="M479" i="13" s="1"/>
  <c r="M482" i="13"/>
  <c r="L495" i="7" l="1"/>
  <c r="M495" i="7" s="1"/>
  <c r="M494" i="7" s="1"/>
  <c r="K499" i="7"/>
  <c r="K500" i="7" s="1"/>
  <c r="N500" i="7" s="1"/>
  <c r="O500" i="7" s="1"/>
  <c r="P500" i="7" s="1"/>
  <c r="Q500" i="7" s="1"/>
  <c r="R500" i="7" s="1"/>
  <c r="S500" i="7" s="1"/>
  <c r="K480" i="7"/>
  <c r="K497" i="7"/>
  <c r="K420" i="23" s="1"/>
  <c r="K417" i="23"/>
  <c r="K484" i="7" l="1"/>
  <c r="K422" i="23"/>
  <c r="K482" i="7"/>
  <c r="K479" i="7"/>
  <c r="L497" i="7"/>
  <c r="U495" i="7"/>
  <c r="L494" i="7"/>
  <c r="U494" i="7" l="1"/>
  <c r="W495" i="7"/>
  <c r="W494" i="7" s="1"/>
  <c r="U497" i="7"/>
  <c r="M497" i="7"/>
  <c r="W497" i="7" l="1"/>
  <c r="X497" i="7"/>
  <c r="J514" i="7"/>
  <c r="J515" i="7" s="1"/>
  <c r="K515" i="7" s="1"/>
  <c r="N515" i="7" s="1"/>
  <c r="O515" i="7" s="1"/>
  <c r="P515" i="7" s="1"/>
  <c r="Q515" i="7" s="1"/>
  <c r="L510" i="7"/>
  <c r="M510" i="7" s="1"/>
  <c r="M509" i="7" s="1"/>
  <c r="J512" i="7"/>
  <c r="J480" i="7"/>
  <c r="L480" i="7" l="1"/>
  <c r="L479" i="7" s="1"/>
  <c r="J484" i="7"/>
  <c r="J485" i="7" s="1"/>
  <c r="K485" i="7" s="1"/>
  <c r="N485" i="7" s="1"/>
  <c r="O485" i="7" s="1"/>
  <c r="P485" i="7" s="1"/>
  <c r="Q485" i="7" s="1"/>
  <c r="J482" i="7"/>
  <c r="J479" i="7"/>
  <c r="L512" i="7"/>
  <c r="L509" i="7"/>
  <c r="M480" i="7" l="1"/>
  <c r="M479" i="7" s="1"/>
  <c r="M512" i="7"/>
  <c r="L482" i="7"/>
  <c r="M482" i="7" l="1"/>
  <c r="L601" i="7" l="1"/>
  <c r="L600" i="7" s="1"/>
  <c r="J554" i="7"/>
  <c r="J537" i="7" s="1"/>
  <c r="J520" i="7" s="1"/>
  <c r="J522" i="7" s="1"/>
  <c r="L522" i="7" s="1"/>
  <c r="J523" i="23"/>
  <c r="M522" i="7" l="1"/>
  <c r="J553" i="7"/>
  <c r="J556" i="7"/>
  <c r="L524" i="23"/>
  <c r="L554" i="7"/>
  <c r="M601" i="7"/>
  <c r="M600" i="7" s="1"/>
  <c r="U601" i="7"/>
  <c r="X606" i="7" s="1"/>
  <c r="L556" i="7" l="1"/>
  <c r="M556" i="7" s="1"/>
  <c r="J539" i="7"/>
  <c r="L539" i="7" s="1"/>
  <c r="U600" i="7"/>
  <c r="W601" i="7"/>
  <c r="W600" i="7" s="1"/>
  <c r="L553" i="7"/>
  <c r="M554" i="7"/>
  <c r="M553" i="7" s="1"/>
  <c r="J536" i="7"/>
  <c r="L537" i="7"/>
  <c r="L523" i="23"/>
  <c r="U524" i="23"/>
  <c r="X529" i="23" s="1"/>
  <c r="M524" i="23"/>
  <c r="M523" i="23" s="1"/>
  <c r="M539" i="7" l="1"/>
  <c r="L536" i="7"/>
  <c r="M537" i="7"/>
  <c r="M536" i="7" s="1"/>
  <c r="U523" i="23"/>
  <c r="W524" i="23"/>
  <c r="W523" i="23" s="1"/>
  <c r="L520" i="7"/>
  <c r="J519" i="7"/>
  <c r="L519" i="7" l="1"/>
  <c r="M520" i="7"/>
  <c r="M519" i="7" s="1"/>
  <c r="N475" i="13" l="1"/>
  <c r="N16" i="13" s="1"/>
  <c r="N474" i="13" l="1"/>
  <c r="T475" i="13"/>
  <c r="T490" i="13"/>
  <c r="U490" i="13" l="1"/>
  <c r="T489" i="13"/>
  <c r="T474" i="13"/>
  <c r="U475" i="13"/>
  <c r="U474" i="13" l="1"/>
  <c r="W475" i="13"/>
  <c r="W474" i="13" s="1"/>
  <c r="X495" i="13"/>
  <c r="U489" i="13"/>
  <c r="W490" i="13"/>
  <c r="W489" i="13" s="1"/>
  <c r="N475" i="7" l="1"/>
  <c r="N474" i="7" l="1"/>
  <c r="O514" i="8" l="1"/>
  <c r="O515" i="8" s="1"/>
  <c r="P515" i="8" s="1"/>
  <c r="Q515" i="8" s="1"/>
  <c r="R515" i="8" s="1"/>
  <c r="S515" i="8" s="1"/>
  <c r="T510" i="8"/>
  <c r="T509" i="8" s="1"/>
  <c r="O480" i="8"/>
  <c r="O512" i="8"/>
  <c r="O479" i="8" l="1"/>
  <c r="G10" i="28"/>
  <c r="H10" i="28" s="1"/>
  <c r="O19" i="8"/>
  <c r="O12" i="8" s="1"/>
  <c r="O484" i="8"/>
  <c r="O485" i="8" s="1"/>
  <c r="P485" i="8" s="1"/>
  <c r="Q485" i="8" s="1"/>
  <c r="R485" i="8" s="1"/>
  <c r="S485" i="8" s="1"/>
  <c r="O482" i="8"/>
  <c r="T512" i="8"/>
  <c r="U512" i="8" s="1"/>
  <c r="T480" i="8"/>
  <c r="U510" i="8"/>
  <c r="T482" i="8" l="1"/>
  <c r="U482" i="8" s="1"/>
  <c r="O21" i="8"/>
  <c r="U509" i="8"/>
  <c r="X510" i="8"/>
  <c r="W510" i="8"/>
  <c r="W509" i="8" s="1"/>
  <c r="T479" i="8"/>
  <c r="U480" i="8"/>
  <c r="X512" i="8"/>
  <c r="W512" i="8"/>
  <c r="U479" i="8" l="1"/>
  <c r="W480" i="8"/>
  <c r="W479" i="8" s="1"/>
  <c r="W482" i="8"/>
  <c r="E7" i="27" s="1"/>
  <c r="X482" i="8"/>
  <c r="O580" i="7" l="1"/>
  <c r="O581" i="7" s="1"/>
  <c r="T576" i="7"/>
  <c r="U576" i="7" s="1"/>
  <c r="O560" i="7"/>
  <c r="O578" i="7"/>
  <c r="O563" i="7" l="1"/>
  <c r="T578" i="7"/>
  <c r="U578" i="7" s="1"/>
  <c r="O566" i="7"/>
  <c r="P581" i="7"/>
  <c r="U575" i="7"/>
  <c r="W576" i="7"/>
  <c r="W575" i="7" s="1"/>
  <c r="T561" i="7"/>
  <c r="O565" i="7"/>
  <c r="O544" i="7"/>
  <c r="X578" i="7" l="1"/>
  <c r="W578" i="7"/>
  <c r="O527" i="7"/>
  <c r="O543" i="7"/>
  <c r="O548" i="7"/>
  <c r="T544" i="7"/>
  <c r="T560" i="7"/>
  <c r="P566" i="7"/>
  <c r="Q581" i="7"/>
  <c r="T563" i="7"/>
  <c r="O546" i="7"/>
  <c r="T546" i="7" l="1"/>
  <c r="O529" i="7"/>
  <c r="T543" i="7"/>
  <c r="Q566" i="7"/>
  <c r="R581" i="7"/>
  <c r="O531" i="7"/>
  <c r="T527" i="7"/>
  <c r="O526" i="7"/>
  <c r="O19" i="7"/>
  <c r="O12" i="7" s="1"/>
  <c r="T529" i="7" l="1"/>
  <c r="O21" i="7"/>
  <c r="T526" i="7"/>
  <c r="R566" i="7"/>
  <c r="S581" i="7"/>
  <c r="S566" i="7" s="1"/>
  <c r="T368" i="9" l="1"/>
  <c r="U368" i="9" s="1"/>
  <c r="X373" i="9" s="1"/>
  <c r="O351" i="9"/>
  <c r="O350" i="9" s="1"/>
  <c r="O290" i="23"/>
  <c r="U367" i="9" l="1"/>
  <c r="W368" i="9"/>
  <c r="W367" i="9" s="1"/>
  <c r="O274" i="23"/>
  <c r="O353" i="9"/>
  <c r="T353" i="9" s="1"/>
  <c r="U353" i="9" s="1"/>
  <c r="W353" i="9" s="1"/>
  <c r="T351" i="9"/>
  <c r="T291" i="23"/>
  <c r="T367" i="9"/>
  <c r="O334" i="9"/>
  <c r="T334" i="9" l="1"/>
  <c r="O333" i="9"/>
  <c r="O336" i="9"/>
  <c r="T290" i="23"/>
  <c r="T350" i="9"/>
  <c r="U351" i="9"/>
  <c r="O276" i="23"/>
  <c r="T276" i="23" s="1"/>
  <c r="T274" i="23"/>
  <c r="O273" i="23"/>
  <c r="T336" i="9" l="1"/>
  <c r="U336" i="9" s="1"/>
  <c r="W336" i="9" s="1"/>
  <c r="O16" i="9"/>
  <c r="T273" i="23"/>
  <c r="X358" i="9"/>
  <c r="U350" i="9"/>
  <c r="W351" i="9"/>
  <c r="W350" i="9" s="1"/>
  <c r="T333" i="9"/>
  <c r="U334" i="9"/>
  <c r="U333" i="9" l="1"/>
  <c r="W334" i="9"/>
  <c r="W333" i="9" s="1"/>
  <c r="O514" i="13" l="1"/>
  <c r="O515" i="13" s="1"/>
  <c r="P515" i="13" s="1"/>
  <c r="Q515" i="13" s="1"/>
  <c r="R515" i="13" s="1"/>
  <c r="S515" i="13" s="1"/>
  <c r="T510" i="13"/>
  <c r="T509" i="13" s="1"/>
  <c r="O480" i="13"/>
  <c r="O512" i="13"/>
  <c r="O437" i="23"/>
  <c r="T512" i="13" l="1"/>
  <c r="U512" i="13" s="1"/>
  <c r="O435" i="23"/>
  <c r="O484" i="13"/>
  <c r="O485" i="13" s="1"/>
  <c r="P485" i="13" s="1"/>
  <c r="Q485" i="13" s="1"/>
  <c r="R485" i="13" s="1"/>
  <c r="S485" i="13" s="1"/>
  <c r="G22" i="28"/>
  <c r="H22" i="28" s="1"/>
  <c r="X512" i="13"/>
  <c r="W512" i="13"/>
  <c r="O432" i="23"/>
  <c r="U510" i="13"/>
  <c r="T480" i="13"/>
  <c r="O479" i="13"/>
  <c r="O482" i="13"/>
  <c r="X510" i="13" l="1"/>
  <c r="W510" i="13"/>
  <c r="W509" i="13" s="1"/>
  <c r="U509" i="13"/>
  <c r="T482" i="13"/>
  <c r="U482" i="13" s="1"/>
  <c r="U480" i="13"/>
  <c r="T479" i="13"/>
  <c r="W480" i="13" l="1"/>
  <c r="W479" i="13" s="1"/>
  <c r="X480" i="13"/>
  <c r="U479" i="13"/>
  <c r="X482" i="13"/>
  <c r="W482" i="13"/>
  <c r="E10" i="27" s="1"/>
  <c r="P578" i="16"/>
  <c r="P563" i="16" l="1"/>
  <c r="P501" i="23"/>
  <c r="P486" i="23" s="1"/>
  <c r="P498" i="23"/>
  <c r="P503" i="23"/>
  <c r="T578" i="16"/>
  <c r="P580" i="16"/>
  <c r="P565" i="16" s="1"/>
  <c r="T576" i="16"/>
  <c r="T575" i="16" l="1"/>
  <c r="P544" i="16"/>
  <c r="P560" i="16"/>
  <c r="T561" i="16"/>
  <c r="T563" i="16"/>
  <c r="P546" i="16"/>
  <c r="P483" i="23"/>
  <c r="P467" i="23"/>
  <c r="P450" i="23" s="1"/>
  <c r="P488" i="23"/>
  <c r="P466" i="23" l="1"/>
  <c r="P471" i="23"/>
  <c r="P529" i="16"/>
  <c r="T546" i="16"/>
  <c r="T560" i="16"/>
  <c r="P543" i="16"/>
  <c r="P548" i="16"/>
  <c r="T544" i="16"/>
  <c r="P527" i="16"/>
  <c r="P469" i="23"/>
  <c r="P452" i="23" s="1"/>
  <c r="P526" i="16" l="1"/>
  <c r="P531" i="16"/>
  <c r="T527" i="16"/>
  <c r="T543" i="16"/>
  <c r="T529" i="16"/>
  <c r="P454" i="23" l="1"/>
  <c r="P449" i="23"/>
  <c r="T526" i="16"/>
  <c r="P514" i="16" l="1"/>
  <c r="P515" i="16" s="1"/>
  <c r="Q515" i="16" s="1"/>
  <c r="R515" i="16" s="1"/>
  <c r="S515" i="16" s="1"/>
  <c r="T510" i="16"/>
  <c r="T509" i="16" s="1"/>
  <c r="P432" i="23"/>
  <c r="P480" i="16"/>
  <c r="P512" i="16"/>
  <c r="P482" i="16" l="1"/>
  <c r="P21" i="16" s="1"/>
  <c r="P435" i="23"/>
  <c r="P19" i="16"/>
  <c r="P12" i="16" s="1"/>
  <c r="U510" i="16"/>
  <c r="T512" i="16"/>
  <c r="U512" i="16" s="1"/>
  <c r="P479" i="16"/>
  <c r="P437" i="23"/>
  <c r="P484" i="16"/>
  <c r="W512" i="16" l="1"/>
  <c r="X512" i="16"/>
  <c r="U509" i="16"/>
  <c r="W510" i="16"/>
  <c r="W509" i="16" s="1"/>
  <c r="X510" i="16"/>
  <c r="T92" i="22" l="1"/>
  <c r="U92" i="22" s="1"/>
  <c r="N43" i="22"/>
  <c r="N42" i="22" s="1"/>
  <c r="N60" i="22"/>
  <c r="N26" i="22" s="1"/>
  <c r="X97" i="22" l="1"/>
  <c r="U91" i="22"/>
  <c r="W92" i="22"/>
  <c r="W91" i="22" s="1"/>
  <c r="N25" i="22"/>
  <c r="N62" i="22"/>
  <c r="N45" i="22"/>
  <c r="T91" i="22"/>
  <c r="N59" i="22"/>
  <c r="N60" i="23"/>
  <c r="N43" i="23" s="1"/>
  <c r="N26" i="23" s="1"/>
  <c r="N42" i="23" l="1"/>
  <c r="N59" i="23"/>
  <c r="N28" i="22"/>
  <c r="N16" i="22" s="1"/>
  <c r="N25" i="23" l="1"/>
  <c r="N439" i="22" l="1"/>
  <c r="N440" i="22" s="1"/>
  <c r="O420" i="22"/>
  <c r="O419" i="22" s="1"/>
  <c r="O439" i="22"/>
  <c r="T435" i="22"/>
  <c r="T434" i="22" s="1"/>
  <c r="N420" i="22"/>
  <c r="N419" i="22" s="1"/>
  <c r="O437" i="22"/>
  <c r="N437" i="22"/>
  <c r="O422" i="22" l="1"/>
  <c r="O343" i="22" s="1"/>
  <c r="O21" i="22" s="1"/>
  <c r="T437" i="22"/>
  <c r="U437" i="22" s="1"/>
  <c r="W437" i="22" s="1"/>
  <c r="O440" i="22"/>
  <c r="P440" i="22" s="1"/>
  <c r="Q440" i="22" s="1"/>
  <c r="R440" i="22" s="1"/>
  <c r="S440" i="22" s="1"/>
  <c r="N341" i="22"/>
  <c r="N422" i="22"/>
  <c r="U435" i="22"/>
  <c r="O341" i="22"/>
  <c r="T420" i="22"/>
  <c r="N424" i="22"/>
  <c r="N425" i="22" s="1"/>
  <c r="O424" i="22"/>
  <c r="N345" i="22" l="1"/>
  <c r="N346" i="22" s="1"/>
  <c r="G41" i="28"/>
  <c r="H41" i="28" s="1"/>
  <c r="X437" i="22"/>
  <c r="N340" i="22"/>
  <c r="T341" i="22"/>
  <c r="T340" i="22" s="1"/>
  <c r="O425" i="22"/>
  <c r="P425" i="22" s="1"/>
  <c r="Q425" i="22" s="1"/>
  <c r="R425" i="22" s="1"/>
  <c r="S425" i="22" s="1"/>
  <c r="X435" i="22"/>
  <c r="W435" i="22"/>
  <c r="W434" i="22" s="1"/>
  <c r="U434" i="22"/>
  <c r="T419" i="22"/>
  <c r="U420" i="22"/>
  <c r="O345" i="22"/>
  <c r="O340" i="22"/>
  <c r="O19" i="22"/>
  <c r="O12" i="22" s="1"/>
  <c r="T422" i="22"/>
  <c r="U422" i="22" s="1"/>
  <c r="N343" i="22"/>
  <c r="O346" i="22" l="1"/>
  <c r="P346" i="22" s="1"/>
  <c r="Q346" i="22" s="1"/>
  <c r="R346" i="22" s="1"/>
  <c r="S346" i="22" s="1"/>
  <c r="U341" i="22"/>
  <c r="X341" i="22" s="1"/>
  <c r="T343" i="22"/>
  <c r="U343" i="22" s="1"/>
  <c r="X422" i="22"/>
  <c r="W422" i="22"/>
  <c r="U419" i="22"/>
  <c r="X420" i="22"/>
  <c r="W420" i="22"/>
  <c r="W419" i="22" s="1"/>
  <c r="U340" i="22" l="1"/>
  <c r="W341" i="22"/>
  <c r="W340" i="22" s="1"/>
  <c r="X343" i="22"/>
  <c r="W343" i="22"/>
  <c r="D16" i="27" s="1"/>
  <c r="O520" i="11" l="1"/>
  <c r="O519" i="11" l="1"/>
  <c r="O522" i="11"/>
  <c r="O16" i="11" s="1"/>
  <c r="N520" i="11"/>
  <c r="N522" i="11" s="1"/>
  <c r="N16" i="11" l="1"/>
  <c r="N519" i="11"/>
  <c r="N442" i="23" l="1"/>
  <c r="T137" i="22" l="1"/>
  <c r="T136" i="22" s="1"/>
  <c r="Q43" i="22"/>
  <c r="Q42" i="22" s="1"/>
  <c r="Q60" i="22"/>
  <c r="Q59" i="22" s="1"/>
  <c r="T60" i="22" l="1"/>
  <c r="T59" i="22" s="1"/>
  <c r="T43" i="22"/>
  <c r="T42" i="22" s="1"/>
  <c r="Q62" i="22"/>
  <c r="Q26" i="22"/>
  <c r="U137" i="22"/>
  <c r="Q45" i="22"/>
  <c r="T45" i="22" s="1"/>
  <c r="U45" i="22" s="1"/>
  <c r="U60" i="22" l="1"/>
  <c r="U59" i="22" s="1"/>
  <c r="U43" i="22"/>
  <c r="U42" i="22" s="1"/>
  <c r="W45" i="22"/>
  <c r="W137" i="22"/>
  <c r="W136" i="22" s="1"/>
  <c r="U136" i="22"/>
  <c r="X142" i="22"/>
  <c r="T26" i="22"/>
  <c r="Q25" i="22"/>
  <c r="T62" i="22"/>
  <c r="U62" i="22" s="1"/>
  <c r="Q28" i="22"/>
  <c r="Q16" i="22" s="1"/>
  <c r="W43" i="22" l="1"/>
  <c r="W42" i="22" s="1"/>
  <c r="W60" i="22"/>
  <c r="W26" i="22" s="1"/>
  <c r="W62" i="22"/>
  <c r="T25" i="22"/>
  <c r="U26" i="22"/>
  <c r="U25" i="22" s="1"/>
  <c r="W59" i="22"/>
  <c r="T28" i="22"/>
  <c r="U28" i="22" s="1"/>
  <c r="W28" i="22" l="1"/>
  <c r="W25" i="22"/>
  <c r="T92" i="11"/>
  <c r="T91" i="11" l="1"/>
  <c r="R60" i="11"/>
  <c r="R43" i="11"/>
  <c r="R42" i="11" l="1"/>
  <c r="R45" i="11"/>
  <c r="T43" i="11"/>
  <c r="R59" i="11"/>
  <c r="T60" i="11"/>
  <c r="R62" i="11"/>
  <c r="R28" i="11" s="1"/>
  <c r="R16" i="11" s="1"/>
  <c r="R26" i="11"/>
  <c r="R25" i="11" l="1"/>
  <c r="T26" i="11"/>
  <c r="T59" i="11"/>
  <c r="T42" i="11"/>
  <c r="T25" i="11" l="1"/>
  <c r="T708" i="11" l="1"/>
  <c r="T707" i="11" s="1"/>
  <c r="Q520" i="11"/>
  <c r="Q519" i="11" l="1"/>
  <c r="Q522" i="11"/>
  <c r="T520" i="11"/>
  <c r="U708" i="11"/>
  <c r="Q16" i="11" l="1"/>
  <c r="T522" i="11"/>
  <c r="Q442" i="23"/>
  <c r="T519" i="11"/>
  <c r="U707" i="11"/>
  <c r="W708" i="11"/>
  <c r="W707" i="11" s="1"/>
  <c r="T490" i="8" l="1"/>
  <c r="T489" i="8" l="1"/>
  <c r="S475" i="8"/>
  <c r="R475" i="8"/>
  <c r="S474" i="8" l="1"/>
  <c r="S16" i="8"/>
  <c r="R474" i="8"/>
  <c r="T475" i="8"/>
  <c r="T474" i="8" l="1"/>
  <c r="T653" i="8" l="1"/>
  <c r="T652" i="8" s="1"/>
  <c r="R657" i="8"/>
  <c r="R642" i="8" s="1"/>
  <c r="R638" i="8"/>
  <c r="R637" i="8" s="1"/>
  <c r="R655" i="8"/>
  <c r="T546" i="23" l="1"/>
  <c r="R578" i="23"/>
  <c r="R563" i="23" s="1"/>
  <c r="R544" i="8"/>
  <c r="T544" i="8" s="1"/>
  <c r="U544" i="8" s="1"/>
  <c r="T655" i="8"/>
  <c r="U655" i="8" s="1"/>
  <c r="R640" i="8"/>
  <c r="R658" i="8"/>
  <c r="T638" i="8"/>
  <c r="U653" i="8"/>
  <c r="R580" i="23"/>
  <c r="T576" i="23"/>
  <c r="R548" i="8" l="1"/>
  <c r="R549" i="8" s="1"/>
  <c r="S549" i="8" s="1"/>
  <c r="R527" i="8"/>
  <c r="T543" i="8"/>
  <c r="R543" i="8"/>
  <c r="R565" i="23"/>
  <c r="R581" i="23"/>
  <c r="U652" i="8"/>
  <c r="W653" i="8"/>
  <c r="W652" i="8" s="1"/>
  <c r="T575" i="23"/>
  <c r="U576" i="23"/>
  <c r="T637" i="8"/>
  <c r="U638" i="8"/>
  <c r="R643" i="8"/>
  <c r="S658" i="8"/>
  <c r="S643" i="8" s="1"/>
  <c r="T561" i="23"/>
  <c r="R560" i="23"/>
  <c r="R467" i="23"/>
  <c r="R450" i="23" s="1"/>
  <c r="AI29" i="23" s="1"/>
  <c r="T640" i="8"/>
  <c r="U640" i="8" s="1"/>
  <c r="R546" i="8"/>
  <c r="R531" i="8"/>
  <c r="R532" i="8" s="1"/>
  <c r="S532" i="8" s="1"/>
  <c r="T527" i="8"/>
  <c r="R19" i="8"/>
  <c r="R12" i="8" s="1"/>
  <c r="R526" i="8"/>
  <c r="W544" i="8"/>
  <c r="W543" i="8" s="1"/>
  <c r="U543" i="8"/>
  <c r="T578" i="23"/>
  <c r="U578" i="23" s="1"/>
  <c r="X578" i="23" s="1"/>
  <c r="W655" i="8"/>
  <c r="X655" i="8"/>
  <c r="W578" i="23" l="1"/>
  <c r="U527" i="8"/>
  <c r="T526" i="8"/>
  <c r="T546" i="8"/>
  <c r="U546" i="8" s="1"/>
  <c r="R529" i="8"/>
  <c r="R466" i="23"/>
  <c r="R471" i="23"/>
  <c r="T560" i="23"/>
  <c r="R566" i="23"/>
  <c r="S581" i="23"/>
  <c r="S566" i="23" s="1"/>
  <c r="T563" i="23"/>
  <c r="R469" i="23"/>
  <c r="R452" i="23" s="1"/>
  <c r="T19" i="8"/>
  <c r="W640" i="8"/>
  <c r="X640" i="8"/>
  <c r="W638" i="8"/>
  <c r="W637" i="8" s="1"/>
  <c r="U637" i="8"/>
  <c r="W576" i="23"/>
  <c r="W575" i="23" s="1"/>
  <c r="U575" i="23"/>
  <c r="R21" i="8" l="1"/>
  <c r="T21" i="8" s="1"/>
  <c r="T529" i="8"/>
  <c r="U529" i="8" s="1"/>
  <c r="X546" i="8"/>
  <c r="W546" i="8"/>
  <c r="U526" i="8"/>
  <c r="W527" i="8"/>
  <c r="R454" i="23" l="1"/>
  <c r="R449" i="23"/>
  <c r="W526" i="8"/>
  <c r="X529" i="8"/>
  <c r="W529" i="8"/>
  <c r="F7" i="27" s="1"/>
  <c r="T137" i="9" l="1"/>
  <c r="U137" i="9" s="1"/>
  <c r="Q43" i="9"/>
  <c r="Q45" i="9" s="1"/>
  <c r="T45" i="9" s="1"/>
  <c r="Q59" i="9"/>
  <c r="W137" i="9" l="1"/>
  <c r="W136" i="9" s="1"/>
  <c r="U136" i="9"/>
  <c r="T137" i="23"/>
  <c r="Q62" i="9"/>
  <c r="T43" i="9"/>
  <c r="T136" i="9"/>
  <c r="Q42" i="9"/>
  <c r="T60" i="9"/>
  <c r="Q26" i="9"/>
  <c r="Q28" i="9" s="1"/>
  <c r="Q16" i="9" s="1"/>
  <c r="Q25" i="9" l="1"/>
  <c r="T26" i="9"/>
  <c r="T62" i="9"/>
  <c r="T59" i="9"/>
  <c r="U60" i="9"/>
  <c r="T42" i="9"/>
  <c r="U43" i="9"/>
  <c r="T136" i="23"/>
  <c r="W60" i="9" l="1"/>
  <c r="U59" i="9"/>
  <c r="U26" i="9"/>
  <c r="U25" i="9" s="1"/>
  <c r="T25" i="9"/>
  <c r="U42" i="9"/>
  <c r="W43" i="9"/>
  <c r="W42" i="9" s="1"/>
  <c r="T28" i="9"/>
  <c r="W59" i="9" l="1"/>
  <c r="W26" i="9"/>
  <c r="W25" i="9" l="1"/>
  <c r="S475" i="9" l="1"/>
  <c r="S16" i="9" s="1"/>
  <c r="T16" i="9" s="1"/>
  <c r="S474" i="9" l="1"/>
  <c r="T475" i="9"/>
  <c r="T505" i="9"/>
  <c r="S427" i="23" l="1"/>
  <c r="T428" i="23"/>
  <c r="T504" i="9"/>
  <c r="U505" i="9"/>
  <c r="T474" i="9"/>
  <c r="T427" i="23" l="1"/>
  <c r="W505" i="9"/>
  <c r="W504" i="9" s="1"/>
  <c r="U504" i="9"/>
  <c r="T92" i="13" l="1"/>
  <c r="T91" i="13" l="1"/>
  <c r="U92" i="13"/>
  <c r="S43" i="13"/>
  <c r="S60" i="13"/>
  <c r="S60" i="23" l="1"/>
  <c r="S43" i="23" s="1"/>
  <c r="S42" i="13"/>
  <c r="T43" i="13"/>
  <c r="S45" i="13"/>
  <c r="T45" i="13" s="1"/>
  <c r="U45" i="13" s="1"/>
  <c r="W92" i="13"/>
  <c r="W91" i="13" s="1"/>
  <c r="U91" i="13"/>
  <c r="S26" i="13"/>
  <c r="S59" i="13"/>
  <c r="T60" i="13"/>
  <c r="S62" i="13"/>
  <c r="S45" i="23" l="1"/>
  <c r="S26" i="23"/>
  <c r="S28" i="23" s="1"/>
  <c r="T59" i="13"/>
  <c r="U60" i="13"/>
  <c r="T62" i="13"/>
  <c r="U62" i="13" s="1"/>
  <c r="S28" i="13"/>
  <c r="S16" i="13" s="1"/>
  <c r="T42" i="13"/>
  <c r="U43" i="13"/>
  <c r="S42" i="23"/>
  <c r="S59" i="23"/>
  <c r="S62" i="23"/>
  <c r="S25" i="13"/>
  <c r="T26" i="13"/>
  <c r="W45" i="13"/>
  <c r="W62" i="13" l="1"/>
  <c r="S25" i="23"/>
  <c r="W43" i="13"/>
  <c r="W42" i="13" s="1"/>
  <c r="U42" i="13"/>
  <c r="T28" i="13"/>
  <c r="U28" i="13" s="1"/>
  <c r="U59" i="13"/>
  <c r="W60" i="13"/>
  <c r="U26" i="13"/>
  <c r="U25" i="13" s="1"/>
  <c r="T25" i="13"/>
  <c r="T16" i="13" l="1"/>
  <c r="T3" i="13"/>
  <c r="W59" i="13"/>
  <c r="W26" i="13"/>
  <c r="W25" i="13" l="1"/>
  <c r="W28" i="13"/>
  <c r="R439" i="16" l="1"/>
  <c r="T435" i="16"/>
  <c r="T434" i="16" s="1"/>
  <c r="R420" i="16"/>
  <c r="R341" i="16" s="1"/>
  <c r="R437" i="16"/>
  <c r="T437" i="16" s="1"/>
  <c r="R345" i="16" l="1"/>
  <c r="R340" i="16"/>
  <c r="R19" i="16"/>
  <c r="R12" i="16" s="1"/>
  <c r="T341" i="16"/>
  <c r="T420" i="16"/>
  <c r="R424" i="16"/>
  <c r="R419" i="16"/>
  <c r="R422" i="16"/>
  <c r="T422" i="16" l="1"/>
  <c r="R343" i="16"/>
  <c r="T340" i="16"/>
  <c r="T419" i="16"/>
  <c r="T343" i="16" l="1"/>
  <c r="R21" i="16"/>
  <c r="S499" i="16" l="1"/>
  <c r="T495" i="16"/>
  <c r="T494" i="16" s="1"/>
  <c r="S480" i="16"/>
  <c r="S417" i="23"/>
  <c r="S497" i="16"/>
  <c r="S482" i="16" l="1"/>
  <c r="S420" i="23"/>
  <c r="S405" i="23" s="1"/>
  <c r="S479" i="16"/>
  <c r="G30" i="28"/>
  <c r="H30" i="28" s="1"/>
  <c r="T497" i="16"/>
  <c r="S403" i="23"/>
  <c r="S402" i="23" s="1"/>
  <c r="S19" i="16"/>
  <c r="S12" i="16" s="1"/>
  <c r="S484" i="16"/>
  <c r="T480" i="16"/>
  <c r="T482" i="16"/>
  <c r="S21" i="16"/>
  <c r="T21" i="16" s="1"/>
  <c r="S422" i="23"/>
  <c r="T19" i="16" l="1"/>
  <c r="T479" i="16"/>
  <c r="S407" i="23"/>
  <c r="T490" i="16" l="1"/>
  <c r="T489" i="16" l="1"/>
  <c r="S475" i="16"/>
  <c r="S16" i="16" s="1"/>
  <c r="S474" i="16" l="1"/>
  <c r="T475" i="16"/>
  <c r="T16" i="16" l="1"/>
  <c r="T474" i="16"/>
  <c r="S101" i="7" l="1"/>
  <c r="S102" i="7" s="1"/>
  <c r="T97" i="7"/>
  <c r="U97" i="7" s="1"/>
  <c r="S67" i="7"/>
  <c r="S71" i="7" s="1"/>
  <c r="S99" i="7"/>
  <c r="T99" i="7" l="1"/>
  <c r="U99" i="7" s="1"/>
  <c r="S99" i="23"/>
  <c r="X99" i="7"/>
  <c r="U96" i="7"/>
  <c r="S69" i="7"/>
  <c r="S67" i="23"/>
  <c r="S50" i="7"/>
  <c r="T96" i="7"/>
  <c r="S66" i="7"/>
  <c r="S33" i="7"/>
  <c r="T97" i="23"/>
  <c r="S71" i="23" l="1"/>
  <c r="S50" i="23"/>
  <c r="S33" i="23" s="1"/>
  <c r="S19" i="23" s="1"/>
  <c r="T99" i="23"/>
  <c r="S69" i="23"/>
  <c r="S52" i="23" s="1"/>
  <c r="S35" i="23" s="1"/>
  <c r="S21" i="23" s="1"/>
  <c r="S66" i="23"/>
  <c r="S54" i="23"/>
  <c r="S52" i="7"/>
  <c r="S35" i="7"/>
  <c r="T96" i="23"/>
  <c r="S32" i="7"/>
  <c r="S37" i="7"/>
  <c r="S19" i="7"/>
  <c r="S12" i="7" s="1"/>
  <c r="S54" i="7"/>
  <c r="S49" i="7"/>
  <c r="S21" i="7" l="1"/>
  <c r="S49" i="23"/>
  <c r="S32" i="23"/>
  <c r="S37" i="23"/>
  <c r="S12" i="23"/>
  <c r="W139" i="7" l="1"/>
  <c r="V144" i="7"/>
  <c r="V137" i="7"/>
  <c r="V136" i="7" l="1"/>
  <c r="V142" i="7"/>
  <c r="W137" i="7"/>
  <c r="W136" i="7" s="1"/>
  <c r="V141" i="7" l="1"/>
  <c r="V145" i="7"/>
  <c r="W145" i="7" s="1"/>
  <c r="G146" i="7" l="1"/>
  <c r="G147" i="7" s="1"/>
  <c r="H147" i="7" s="1"/>
  <c r="I147" i="7" s="1"/>
  <c r="J147" i="7" s="1"/>
  <c r="K147" i="7" s="1"/>
  <c r="N147" i="7" s="1"/>
  <c r="O147" i="7" s="1"/>
  <c r="P147" i="7" s="1"/>
  <c r="Q147" i="7" s="1"/>
  <c r="R147" i="7" s="1"/>
  <c r="S147" i="7" s="1"/>
  <c r="L142" i="7"/>
  <c r="G144" i="7"/>
  <c r="G67" i="7"/>
  <c r="L144" i="7" l="1"/>
  <c r="G69" i="7"/>
  <c r="M142" i="7"/>
  <c r="M141" i="7" s="1"/>
  <c r="U142" i="7"/>
  <c r="L141" i="7"/>
  <c r="G71" i="7"/>
  <c r="G33" i="7"/>
  <c r="G66" i="7"/>
  <c r="G50" i="7"/>
  <c r="G49" i="7" l="1"/>
  <c r="G54" i="7"/>
  <c r="G32" i="7"/>
  <c r="G37" i="7"/>
  <c r="U141" i="7"/>
  <c r="X142" i="7"/>
  <c r="W142" i="7"/>
  <c r="W141" i="7" s="1"/>
  <c r="G52" i="7"/>
  <c r="G35" i="7"/>
  <c r="M144" i="7"/>
  <c r="U144" i="7"/>
  <c r="X144" i="7" l="1"/>
  <c r="W144" i="7"/>
  <c r="P413" i="7" l="1"/>
  <c r="O413" i="7"/>
  <c r="Q413" i="7"/>
  <c r="T430" i="7"/>
  <c r="R352" i="23" l="1"/>
  <c r="R336" i="23"/>
  <c r="P412" i="7"/>
  <c r="P334" i="7"/>
  <c r="P415" i="7"/>
  <c r="T429" i="7"/>
  <c r="Q412" i="7"/>
  <c r="Q415" i="7"/>
  <c r="Q334" i="7"/>
  <c r="O415" i="7"/>
  <c r="O412" i="7"/>
  <c r="O334" i="7"/>
  <c r="N413" i="7"/>
  <c r="R413" i="7"/>
  <c r="P333" i="7" l="1"/>
  <c r="Q333" i="7"/>
  <c r="O333" i="7"/>
  <c r="O336" i="23"/>
  <c r="O352" i="23"/>
  <c r="Q352" i="23"/>
  <c r="Q336" i="23"/>
  <c r="N412" i="7"/>
  <c r="N415" i="7"/>
  <c r="N334" i="7"/>
  <c r="N16" i="7" s="1"/>
  <c r="T413" i="7"/>
  <c r="Q336" i="7"/>
  <c r="P336" i="7"/>
  <c r="R257" i="23"/>
  <c r="R338" i="23"/>
  <c r="R335" i="23"/>
  <c r="P352" i="23"/>
  <c r="P336" i="23"/>
  <c r="R412" i="7"/>
  <c r="R415" i="7"/>
  <c r="R334" i="7"/>
  <c r="T353" i="23"/>
  <c r="N336" i="23"/>
  <c r="N352" i="23"/>
  <c r="O336" i="7"/>
  <c r="R333" i="7" l="1"/>
  <c r="T352" i="23"/>
  <c r="P338" i="23"/>
  <c r="P335" i="23"/>
  <c r="P257" i="23"/>
  <c r="R259" i="23"/>
  <c r="R256" i="23"/>
  <c r="T412" i="7"/>
  <c r="T415" i="7"/>
  <c r="Q338" i="23"/>
  <c r="Q257" i="23"/>
  <c r="Q335" i="23"/>
  <c r="T336" i="23"/>
  <c r="N335" i="23"/>
  <c r="N338" i="23"/>
  <c r="N257" i="23"/>
  <c r="R336" i="7"/>
  <c r="N333" i="7"/>
  <c r="T334" i="7"/>
  <c r="N336" i="7"/>
  <c r="O335" i="23"/>
  <c r="O338" i="23"/>
  <c r="O257" i="23"/>
  <c r="T336" i="7" l="1"/>
  <c r="O259" i="23"/>
  <c r="O256" i="23"/>
  <c r="N256" i="23"/>
  <c r="N259" i="23"/>
  <c r="T257" i="23"/>
  <c r="T333" i="7"/>
  <c r="T338" i="23"/>
  <c r="T335" i="23"/>
  <c r="Q256" i="23"/>
  <c r="Q259" i="23"/>
  <c r="P259" i="23"/>
  <c r="P256" i="23"/>
  <c r="T256" i="23" l="1"/>
  <c r="T259" i="23"/>
  <c r="F101" i="8" l="1"/>
  <c r="F102" i="8" s="1"/>
  <c r="G102" i="8" s="1"/>
  <c r="H102" i="8" s="1"/>
  <c r="I102" i="8" s="1"/>
  <c r="J102" i="8" s="1"/>
  <c r="K102" i="8" s="1"/>
  <c r="N102" i="8" s="1"/>
  <c r="O102" i="8" s="1"/>
  <c r="P102" i="8" s="1"/>
  <c r="Q102" i="8" s="1"/>
  <c r="R102" i="8" s="1"/>
  <c r="S102" i="8" s="1"/>
  <c r="F67" i="8"/>
  <c r="F99" i="8"/>
  <c r="F99" i="23" s="1"/>
  <c r="L97" i="8"/>
  <c r="M97" i="8" l="1"/>
  <c r="M96" i="8" s="1"/>
  <c r="U97" i="8"/>
  <c r="L96" i="8"/>
  <c r="F101" i="23"/>
  <c r="F102" i="23" s="1"/>
  <c r="L99" i="8"/>
  <c r="F69" i="8"/>
  <c r="F71" i="8"/>
  <c r="F72" i="8" s="1"/>
  <c r="G72" i="8" s="1"/>
  <c r="H72" i="8" s="1"/>
  <c r="I72" i="8" s="1"/>
  <c r="J72" i="8" s="1"/>
  <c r="K72" i="8" s="1"/>
  <c r="N72" i="8" s="1"/>
  <c r="O72" i="8" s="1"/>
  <c r="P72" i="8" s="1"/>
  <c r="Q72" i="8" s="1"/>
  <c r="R72" i="8" s="1"/>
  <c r="S72" i="8" s="1"/>
  <c r="F66" i="8"/>
  <c r="F33" i="8"/>
  <c r="F50" i="8"/>
  <c r="L67" i="8"/>
  <c r="F49" i="8" l="1"/>
  <c r="F54" i="8"/>
  <c r="F55" i="8" s="1"/>
  <c r="G55" i="8" s="1"/>
  <c r="H55" i="8" s="1"/>
  <c r="I55" i="8" s="1"/>
  <c r="J55" i="8" s="1"/>
  <c r="K55" i="8" s="1"/>
  <c r="N55" i="8" s="1"/>
  <c r="O55" i="8" s="1"/>
  <c r="P55" i="8" s="1"/>
  <c r="Q55" i="8" s="1"/>
  <c r="R55" i="8" s="1"/>
  <c r="S55" i="8" s="1"/>
  <c r="L50" i="8"/>
  <c r="U99" i="8"/>
  <c r="M99" i="8"/>
  <c r="U96" i="8"/>
  <c r="W97" i="8"/>
  <c r="W96" i="8" s="1"/>
  <c r="M67" i="8"/>
  <c r="M66" i="8" s="1"/>
  <c r="U67" i="8"/>
  <c r="L66" i="8"/>
  <c r="F32" i="8"/>
  <c r="L33" i="8"/>
  <c r="F19" i="8"/>
  <c r="F12" i="8" s="1"/>
  <c r="T12" i="8" s="1"/>
  <c r="F37" i="8"/>
  <c r="F38" i="8" s="1"/>
  <c r="G38" i="8" s="1"/>
  <c r="H38" i="8" s="1"/>
  <c r="I38" i="8" s="1"/>
  <c r="J38" i="8" s="1"/>
  <c r="K38" i="8" s="1"/>
  <c r="N38" i="8" s="1"/>
  <c r="O38" i="8" s="1"/>
  <c r="P38" i="8" s="1"/>
  <c r="Q38" i="8" s="1"/>
  <c r="R38" i="8" s="1"/>
  <c r="S38" i="8" s="1"/>
  <c r="L69" i="8"/>
  <c r="F52" i="8"/>
  <c r="L52" i="8" s="1"/>
  <c r="F35" i="8"/>
  <c r="L19" i="8" l="1"/>
  <c r="M19" i="8" s="1"/>
  <c r="F21" i="8"/>
  <c r="L21" i="8" s="1"/>
  <c r="L35" i="8"/>
  <c r="U69" i="8"/>
  <c r="M69" i="8"/>
  <c r="U66" i="8"/>
  <c r="W67" i="8"/>
  <c r="L49" i="8"/>
  <c r="U50" i="8"/>
  <c r="M50" i="8"/>
  <c r="M49" i="8" s="1"/>
  <c r="M52" i="8"/>
  <c r="U52" i="8"/>
  <c r="U33" i="8"/>
  <c r="M33" i="8"/>
  <c r="M32" i="8" s="1"/>
  <c r="L32" i="8"/>
  <c r="X99" i="8"/>
  <c r="W99" i="8"/>
  <c r="U19" i="8" l="1"/>
  <c r="W52" i="8"/>
  <c r="X52" i="8"/>
  <c r="U49" i="8"/>
  <c r="W50" i="8"/>
  <c r="W49" i="8" s="1"/>
  <c r="W33" i="8"/>
  <c r="W32" i="8" s="1"/>
  <c r="W66" i="8"/>
  <c r="M35" i="8"/>
  <c r="U35" i="8"/>
  <c r="U32" i="8"/>
  <c r="W69" i="8"/>
  <c r="X69" i="8"/>
  <c r="M21" i="8"/>
  <c r="U21" i="8"/>
  <c r="W19" i="8" l="1"/>
  <c r="X21" i="8"/>
  <c r="W21" i="8"/>
  <c r="X35" i="8"/>
  <c r="W35" i="8"/>
  <c r="C7" i="27" s="1"/>
  <c r="G7" i="27" l="1"/>
  <c r="L152" i="23" l="1"/>
  <c r="F61" i="23"/>
  <c r="F44" i="23" s="1"/>
  <c r="L152" i="9"/>
  <c r="F27" i="23" l="1"/>
  <c r="U152" i="9"/>
  <c r="L151" i="9"/>
  <c r="M152" i="9"/>
  <c r="M151" i="9" s="1"/>
  <c r="U152" i="23"/>
  <c r="L151" i="23"/>
  <c r="M152" i="23"/>
  <c r="M151" i="23" s="1"/>
  <c r="U151" i="23" l="1"/>
  <c r="X157" i="23"/>
  <c r="W152" i="23"/>
  <c r="W151" i="23" s="1"/>
  <c r="X157" i="9"/>
  <c r="U151" i="9"/>
  <c r="W152" i="9"/>
  <c r="W151" i="9" s="1"/>
  <c r="Q499" i="9" l="1"/>
  <c r="P499" i="9"/>
  <c r="R480" i="9"/>
  <c r="R484" i="9" l="1"/>
  <c r="R19" i="9"/>
  <c r="R12" i="9" s="1"/>
  <c r="R497" i="9"/>
  <c r="R420" i="23" s="1"/>
  <c r="Q497" i="9"/>
  <c r="Q420" i="23" s="1"/>
  <c r="Q405" i="23" s="1"/>
  <c r="Q480" i="9"/>
  <c r="P497" i="9"/>
  <c r="P420" i="23" s="1"/>
  <c r="Q403" i="23"/>
  <c r="P480" i="9"/>
  <c r="P19" i="9" s="1"/>
  <c r="P12" i="9" s="1"/>
  <c r="R499" i="9"/>
  <c r="Q479" i="9"/>
  <c r="R479" i="9"/>
  <c r="Q482" i="9" l="1"/>
  <c r="Q21" i="9" s="1"/>
  <c r="Q484" i="9"/>
  <c r="Q19" i="9"/>
  <c r="Q12" i="9" s="1"/>
  <c r="P484" i="9"/>
  <c r="P479" i="9"/>
  <c r="R422" i="23"/>
  <c r="R417" i="23"/>
  <c r="Q417" i="23"/>
  <c r="Q422" i="23"/>
  <c r="Q407" i="23"/>
  <c r="Q402" i="23"/>
  <c r="P405" i="23"/>
  <c r="P482" i="9"/>
  <c r="P21" i="9" s="1"/>
  <c r="R482" i="9"/>
  <c r="R21" i="9" s="1"/>
  <c r="P417" i="23"/>
  <c r="P422" i="23"/>
  <c r="P403" i="23"/>
  <c r="AI27" i="23" s="1"/>
  <c r="P402" i="23" l="1"/>
  <c r="P407" i="23"/>
  <c r="L571" i="11" l="1"/>
  <c r="L570" i="11" l="1"/>
  <c r="U571" i="11"/>
  <c r="M571" i="11"/>
  <c r="M570" i="11" s="1"/>
  <c r="L554" i="11" l="1"/>
  <c r="F537" i="11"/>
  <c r="F553" i="11"/>
  <c r="U570" i="11"/>
  <c r="W571" i="11"/>
  <c r="W570" i="11" s="1"/>
  <c r="F520" i="11" l="1"/>
  <c r="F522" i="11" s="1"/>
  <c r="F539" i="11"/>
  <c r="L539" i="11" s="1"/>
  <c r="M554" i="11"/>
  <c r="M553" i="11" s="1"/>
  <c r="L553" i="11"/>
  <c r="U554" i="11"/>
  <c r="F536" i="11"/>
  <c r="L537" i="11"/>
  <c r="M539" i="11" l="1"/>
  <c r="U539" i="11"/>
  <c r="W539" i="11" s="1"/>
  <c r="F16" i="11"/>
  <c r="L522" i="11"/>
  <c r="L520" i="11"/>
  <c r="F519" i="11"/>
  <c r="W554" i="11"/>
  <c r="W553" i="11" s="1"/>
  <c r="U553" i="11"/>
  <c r="L536" i="11"/>
  <c r="U537" i="11"/>
  <c r="M537" i="11"/>
  <c r="M536" i="11" s="1"/>
  <c r="M522" i="11" l="1"/>
  <c r="U522" i="11"/>
  <c r="W522" i="11" s="1"/>
  <c r="U536" i="11"/>
  <c r="W537" i="11"/>
  <c r="W536" i="11" s="1"/>
  <c r="M520" i="11"/>
  <c r="M519" i="11" s="1"/>
  <c r="L519" i="11"/>
  <c r="U520" i="11"/>
  <c r="W520" i="11" l="1"/>
  <c r="U519" i="11"/>
  <c r="W519" i="11" l="1"/>
  <c r="F377" i="15" l="1"/>
  <c r="F378" i="15" s="1"/>
  <c r="G378" i="15" s="1"/>
  <c r="F358" i="15"/>
  <c r="F375" i="15"/>
  <c r="F341" i="15" l="1"/>
  <c r="F357" i="15"/>
  <c r="F362" i="15"/>
  <c r="F363" i="15" s="1"/>
  <c r="G363" i="15" s="1"/>
  <c r="F360" i="15"/>
  <c r="F345" i="15" l="1"/>
  <c r="F346" i="15" s="1"/>
  <c r="G346" i="15" s="1"/>
  <c r="F340" i="15"/>
  <c r="F343" i="15"/>
  <c r="L27" i="8" l="1"/>
  <c r="M27" i="8" s="1"/>
  <c r="F86" i="7" l="1"/>
  <c r="F87" i="7" s="1"/>
  <c r="G87" i="7" s="1"/>
  <c r="H87" i="7" s="1"/>
  <c r="I87" i="7" s="1"/>
  <c r="F67" i="7"/>
  <c r="F66" i="7" s="1"/>
  <c r="F69" i="7" l="1"/>
  <c r="F50" i="7"/>
  <c r="F71" i="7"/>
  <c r="F72" i="7" s="1"/>
  <c r="G72" i="7" s="1"/>
  <c r="H72" i="7" s="1"/>
  <c r="I72" i="7" s="1"/>
  <c r="F81" i="23"/>
  <c r="F86" i="23"/>
  <c r="F87" i="23" s="1"/>
  <c r="F33" i="7"/>
  <c r="F54" i="7" l="1"/>
  <c r="F55" i="7" s="1"/>
  <c r="G55" i="7" s="1"/>
  <c r="H55" i="7" s="1"/>
  <c r="I55" i="7" s="1"/>
  <c r="F49" i="7"/>
  <c r="F32" i="7"/>
  <c r="F37" i="7"/>
  <c r="F38" i="7" s="1"/>
  <c r="G38" i="7" s="1"/>
  <c r="H38" i="7" s="1"/>
  <c r="I38" i="7" s="1"/>
  <c r="F52" i="7"/>
  <c r="F35" i="7"/>
  <c r="F499" i="15" l="1"/>
  <c r="F500" i="15" s="1"/>
  <c r="G500" i="15" s="1"/>
  <c r="H500" i="15" s="1"/>
  <c r="I500" i="15" s="1"/>
  <c r="J500" i="15" s="1"/>
  <c r="K500" i="15" s="1"/>
  <c r="N500" i="15" s="1"/>
  <c r="O500" i="15" s="1"/>
  <c r="P500" i="15" s="1"/>
  <c r="Q500" i="15" s="1"/>
  <c r="R500" i="15" s="1"/>
  <c r="S500" i="15" s="1"/>
  <c r="L495" i="15"/>
  <c r="L494" i="15" s="1"/>
  <c r="F480" i="15"/>
  <c r="F422" i="23"/>
  <c r="F423" i="23" s="1"/>
  <c r="F497" i="15"/>
  <c r="F420" i="23" s="1"/>
  <c r="F479" i="15" l="1"/>
  <c r="U495" i="15"/>
  <c r="U494" i="15" s="1"/>
  <c r="F405" i="23"/>
  <c r="F482" i="15"/>
  <c r="F403" i="23"/>
  <c r="L497" i="15"/>
  <c r="F484" i="15"/>
  <c r="F485" i="15" s="1"/>
  <c r="G485" i="15" s="1"/>
  <c r="H485" i="15" s="1"/>
  <c r="I485" i="15" s="1"/>
  <c r="J485" i="15" s="1"/>
  <c r="K485" i="15" s="1"/>
  <c r="N485" i="15" s="1"/>
  <c r="O485" i="15" s="1"/>
  <c r="P485" i="15" s="1"/>
  <c r="Q485" i="15" s="1"/>
  <c r="R485" i="15" s="1"/>
  <c r="S485" i="15" s="1"/>
  <c r="M495" i="15"/>
  <c r="M494" i="15" s="1"/>
  <c r="F417" i="23"/>
  <c r="L480" i="15"/>
  <c r="W495" i="15" l="1"/>
  <c r="W494" i="15" s="1"/>
  <c r="M497" i="15"/>
  <c r="U497" i="15"/>
  <c r="F21" i="15"/>
  <c r="L482" i="15"/>
  <c r="L479" i="15"/>
  <c r="M480" i="15"/>
  <c r="M479" i="15" s="1"/>
  <c r="U480" i="15"/>
  <c r="F402" i="23"/>
  <c r="F407" i="23"/>
  <c r="F408" i="23" s="1"/>
  <c r="M482" i="15" l="1"/>
  <c r="U482" i="15"/>
  <c r="W497" i="15"/>
  <c r="X497" i="15"/>
  <c r="W480" i="15"/>
  <c r="W479" i="15" s="1"/>
  <c r="U479" i="15"/>
  <c r="X482" i="15" l="1"/>
  <c r="W482" i="15"/>
  <c r="E12" i="27" s="1"/>
  <c r="F475" i="15" l="1"/>
  <c r="F474" i="15" s="1"/>
  <c r="F412" i="23"/>
  <c r="F398" i="23" l="1"/>
  <c r="F397" i="23" l="1"/>
  <c r="G43" i="15" l="1"/>
  <c r="G45" i="15" s="1"/>
  <c r="G60" i="15"/>
  <c r="G59" i="15" s="1"/>
  <c r="F43" i="15"/>
  <c r="F42" i="15" s="1"/>
  <c r="F60" i="15"/>
  <c r="F26" i="15" s="1"/>
  <c r="F60" i="23"/>
  <c r="F43" i="23" s="1"/>
  <c r="F26" i="23" l="1"/>
  <c r="F28" i="23" s="1"/>
  <c r="F45" i="23"/>
  <c r="G62" i="15"/>
  <c r="G28" i="15" s="1"/>
  <c r="G16" i="15" s="1"/>
  <c r="G42" i="15"/>
  <c r="F62" i="15"/>
  <c r="F28" i="15" s="1"/>
  <c r="F16" i="15" s="1"/>
  <c r="F45" i="15"/>
  <c r="F59" i="23"/>
  <c r="F62" i="23"/>
  <c r="F25" i="15"/>
  <c r="G26" i="15"/>
  <c r="G25" i="15" s="1"/>
  <c r="F59" i="15"/>
  <c r="F25" i="23" l="1"/>
  <c r="F42" i="23"/>
  <c r="H375" i="15" l="1"/>
  <c r="L375" i="15" l="1"/>
  <c r="M375" i="15" s="1"/>
  <c r="H298" i="23"/>
  <c r="H283" i="23" s="1"/>
  <c r="H295" i="23"/>
  <c r="H300" i="23"/>
  <c r="H281" i="23"/>
  <c r="H377" i="15"/>
  <c r="H378" i="15" s="1"/>
  <c r="I378" i="15" s="1"/>
  <c r="J378" i="15" s="1"/>
  <c r="K378" i="15" s="1"/>
  <c r="N378" i="15" s="1"/>
  <c r="O378" i="15" s="1"/>
  <c r="P378" i="15" s="1"/>
  <c r="Q378" i="15" s="1"/>
  <c r="R378" i="15" s="1"/>
  <c r="S378" i="15" s="1"/>
  <c r="L373" i="15"/>
  <c r="H358" i="15"/>
  <c r="H360" i="15"/>
  <c r="U375" i="15" l="1"/>
  <c r="W375" i="15" s="1"/>
  <c r="H280" i="23"/>
  <c r="H285" i="23"/>
  <c r="H357" i="15"/>
  <c r="H362" i="15"/>
  <c r="H363" i="15" s="1"/>
  <c r="I363" i="15" s="1"/>
  <c r="J363" i="15" s="1"/>
  <c r="K363" i="15" s="1"/>
  <c r="N363" i="15" s="1"/>
  <c r="O363" i="15" s="1"/>
  <c r="P363" i="15" s="1"/>
  <c r="Q363" i="15" s="1"/>
  <c r="R363" i="15" s="1"/>
  <c r="S363" i="15" s="1"/>
  <c r="L358" i="15"/>
  <c r="H341" i="15"/>
  <c r="L360" i="15"/>
  <c r="H343" i="15"/>
  <c r="L372" i="15"/>
  <c r="U373" i="15"/>
  <c r="M373" i="15"/>
  <c r="M372" i="15" s="1"/>
  <c r="X375" i="15"/>
  <c r="U372" i="15" l="1"/>
  <c r="W373" i="15"/>
  <c r="W372" i="15" s="1"/>
  <c r="L343" i="15"/>
  <c r="H21" i="15"/>
  <c r="L21" i="15" s="1"/>
  <c r="H345" i="15"/>
  <c r="H346" i="15" s="1"/>
  <c r="I346" i="15" s="1"/>
  <c r="J346" i="15" s="1"/>
  <c r="K346" i="15" s="1"/>
  <c r="N346" i="15" s="1"/>
  <c r="O346" i="15" s="1"/>
  <c r="P346" i="15" s="1"/>
  <c r="Q346" i="15" s="1"/>
  <c r="R346" i="15" s="1"/>
  <c r="S346" i="15" s="1"/>
  <c r="L341" i="15"/>
  <c r="H340" i="15"/>
  <c r="H19" i="15"/>
  <c r="H12" i="15" s="1"/>
  <c r="M360" i="15"/>
  <c r="U360" i="15"/>
  <c r="L357" i="15"/>
  <c r="U358" i="15"/>
  <c r="M358" i="15"/>
  <c r="M357" i="15" s="1"/>
  <c r="U357" i="15" l="1"/>
  <c r="W358" i="15"/>
  <c r="W357" i="15" s="1"/>
  <c r="W360" i="15"/>
  <c r="X360" i="15"/>
  <c r="M343" i="15"/>
  <c r="U343" i="15"/>
  <c r="M341" i="15"/>
  <c r="M340" i="15" s="1"/>
  <c r="L340" i="15"/>
  <c r="U341" i="15"/>
  <c r="M21" i="15"/>
  <c r="U21" i="15"/>
  <c r="X343" i="15" l="1"/>
  <c r="W343" i="15"/>
  <c r="D12" i="27" s="1"/>
  <c r="W21" i="15"/>
  <c r="X21" i="15"/>
  <c r="W341" i="15"/>
  <c r="W340" i="15" s="1"/>
  <c r="U340" i="15"/>
  <c r="G12" i="27" l="1"/>
  <c r="F377" i="16"/>
  <c r="F378" i="16" s="1"/>
  <c r="G378" i="16" s="1"/>
  <c r="H378" i="16" s="1"/>
  <c r="I378" i="16" s="1"/>
  <c r="J378" i="16" s="1"/>
  <c r="K378" i="16" s="1"/>
  <c r="N378" i="16" s="1"/>
  <c r="O378" i="16" s="1"/>
  <c r="P378" i="16" s="1"/>
  <c r="Q378" i="16" s="1"/>
  <c r="R378" i="16" s="1"/>
  <c r="S378" i="16" s="1"/>
  <c r="L373" i="16"/>
  <c r="U373" i="16" s="1"/>
  <c r="F358" i="16"/>
  <c r="L358" i="16" s="1"/>
  <c r="F375" i="16"/>
  <c r="L375" i="16" l="1"/>
  <c r="U375" i="16" s="1"/>
  <c r="F298" i="23"/>
  <c r="M375" i="16"/>
  <c r="F295" i="23"/>
  <c r="L296" i="23"/>
  <c r="U372" i="16"/>
  <c r="X373" i="16"/>
  <c r="W373" i="16"/>
  <c r="W372" i="16" s="1"/>
  <c r="F360" i="16"/>
  <c r="F281" i="23"/>
  <c r="F300" i="23"/>
  <c r="F301" i="23" s="1"/>
  <c r="G301" i="23" s="1"/>
  <c r="H301" i="23" s="1"/>
  <c r="I301" i="23" s="1"/>
  <c r="J301" i="23" s="1"/>
  <c r="K301" i="23" s="1"/>
  <c r="N301" i="23" s="1"/>
  <c r="O301" i="23" s="1"/>
  <c r="L357" i="16"/>
  <c r="M358" i="16"/>
  <c r="M357" i="16" s="1"/>
  <c r="U358" i="16"/>
  <c r="F362" i="16"/>
  <c r="F363" i="16" s="1"/>
  <c r="G363" i="16" s="1"/>
  <c r="H363" i="16" s="1"/>
  <c r="I363" i="16" s="1"/>
  <c r="J363" i="16" s="1"/>
  <c r="K363" i="16" s="1"/>
  <c r="N363" i="16" s="1"/>
  <c r="O363" i="16" s="1"/>
  <c r="P363" i="16" s="1"/>
  <c r="Q363" i="16" s="1"/>
  <c r="R363" i="16" s="1"/>
  <c r="S363" i="16" s="1"/>
  <c r="M373" i="16"/>
  <c r="M372" i="16" s="1"/>
  <c r="F357" i="16"/>
  <c r="L372" i="16"/>
  <c r="F341" i="16"/>
  <c r="U357" i="16" l="1"/>
  <c r="W358" i="16"/>
  <c r="W357" i="16" s="1"/>
  <c r="X358" i="16"/>
  <c r="L298" i="23"/>
  <c r="F283" i="23"/>
  <c r="L360" i="16"/>
  <c r="F343" i="16"/>
  <c r="M296" i="23"/>
  <c r="M295" i="23" s="1"/>
  <c r="L295" i="23"/>
  <c r="X375" i="16"/>
  <c r="W375" i="16"/>
  <c r="F340" i="16"/>
  <c r="F345" i="16"/>
  <c r="F346" i="16" s="1"/>
  <c r="G346" i="16" s="1"/>
  <c r="H346" i="16" s="1"/>
  <c r="I346" i="16" s="1"/>
  <c r="J346" i="16" s="1"/>
  <c r="L281" i="23"/>
  <c r="F280" i="23"/>
  <c r="F285" i="23"/>
  <c r="F286" i="23" s="1"/>
  <c r="G286" i="23" s="1"/>
  <c r="H286" i="23" s="1"/>
  <c r="I286" i="23" s="1"/>
  <c r="J286" i="23" s="1"/>
  <c r="K286" i="23" s="1"/>
  <c r="N286" i="23" s="1"/>
  <c r="O286" i="23" s="1"/>
  <c r="F264" i="23"/>
  <c r="M360" i="16" l="1"/>
  <c r="U360" i="16"/>
  <c r="M298" i="23"/>
  <c r="F263" i="23"/>
  <c r="F268" i="23"/>
  <c r="F269" i="23" s="1"/>
  <c r="G269" i="23" s="1"/>
  <c r="L280" i="23"/>
  <c r="M281" i="23"/>
  <c r="M280" i="23" s="1"/>
  <c r="L283" i="23"/>
  <c r="F266" i="23"/>
  <c r="M283" i="23" l="1"/>
  <c r="X360" i="16"/>
  <c r="W360" i="16"/>
  <c r="G101" i="18" l="1"/>
  <c r="G102" i="18" s="1"/>
  <c r="H102" i="18" s="1"/>
  <c r="I102" i="18" s="1"/>
  <c r="J102" i="18" s="1"/>
  <c r="K102" i="18" s="1"/>
  <c r="N102" i="18" s="1"/>
  <c r="O102" i="18" s="1"/>
  <c r="P102" i="18" s="1"/>
  <c r="Q102" i="18" s="1"/>
  <c r="R102" i="18" s="1"/>
  <c r="S102" i="18" s="1"/>
  <c r="L97" i="18"/>
  <c r="L96" i="18" s="1"/>
  <c r="G99" i="18"/>
  <c r="L99" i="18" s="1"/>
  <c r="G96" i="18"/>
  <c r="M97" i="18" l="1"/>
  <c r="M96" i="18" s="1"/>
  <c r="U97" i="18"/>
  <c r="U96" i="18" s="1"/>
  <c r="G101" i="23"/>
  <c r="G102" i="23" s="1"/>
  <c r="H102" i="23" s="1"/>
  <c r="I102" i="23" s="1"/>
  <c r="U99" i="18"/>
  <c r="M99" i="18"/>
  <c r="X97" i="18"/>
  <c r="W97" i="18" l="1"/>
  <c r="W96" i="18" s="1"/>
  <c r="W99" i="18"/>
  <c r="X99" i="18"/>
  <c r="H86" i="18" l="1"/>
  <c r="H87" i="18" s="1"/>
  <c r="H84" i="18"/>
  <c r="H84" i="23" s="1"/>
  <c r="H81" i="23" l="1"/>
  <c r="H86" i="23"/>
  <c r="L82" i="18" l="1"/>
  <c r="I86" i="18"/>
  <c r="I87" i="18" s="1"/>
  <c r="J87" i="18" s="1"/>
  <c r="K87" i="18" s="1"/>
  <c r="N87" i="18" s="1"/>
  <c r="O87" i="18" s="1"/>
  <c r="P87" i="18" s="1"/>
  <c r="Q87" i="18" s="1"/>
  <c r="R87" i="18" s="1"/>
  <c r="S87" i="18" s="1"/>
  <c r="I81" i="23"/>
  <c r="I84" i="18"/>
  <c r="L84" i="18" l="1"/>
  <c r="I84" i="23"/>
  <c r="M84" i="18"/>
  <c r="U84" i="18"/>
  <c r="I86" i="23"/>
  <c r="L81" i="18"/>
  <c r="U82" i="18"/>
  <c r="M82" i="18"/>
  <c r="M81" i="18" s="1"/>
  <c r="X82" i="18" l="1"/>
  <c r="W82" i="18"/>
  <c r="W81" i="18" s="1"/>
  <c r="U81" i="18"/>
  <c r="W84" i="18"/>
  <c r="X84" i="18"/>
  <c r="K101" i="23" l="1"/>
  <c r="C11" i="27" l="1"/>
  <c r="G11" i="27" l="1"/>
  <c r="L490" i="18"/>
  <c r="U490" i="18" l="1"/>
  <c r="L489" i="18"/>
  <c r="M490" i="18"/>
  <c r="M489" i="18" s="1"/>
  <c r="K475" i="18"/>
  <c r="L475" i="18" l="1"/>
  <c r="K474" i="18"/>
  <c r="X495" i="18"/>
  <c r="U489" i="18"/>
  <c r="W490" i="18"/>
  <c r="W489" i="18" s="1"/>
  <c r="L474" i="18" l="1"/>
  <c r="M475" i="18"/>
  <c r="M474" i="18" s="1"/>
  <c r="U475" i="18"/>
  <c r="W475" i="18" l="1"/>
  <c r="W474" i="18" s="1"/>
  <c r="U474" i="18"/>
  <c r="J514" i="9"/>
  <c r="J515" i="9" s="1"/>
  <c r="K514" i="9"/>
  <c r="L510" i="9"/>
  <c r="M510" i="9" s="1"/>
  <c r="M509" i="9" s="1"/>
  <c r="J480" i="9"/>
  <c r="J19" i="9" s="1"/>
  <c r="J12" i="9" s="1"/>
  <c r="K480" i="9"/>
  <c r="K512" i="9"/>
  <c r="J512" i="9"/>
  <c r="K482" i="9" l="1"/>
  <c r="K435" i="23"/>
  <c r="K405" i="23" s="1"/>
  <c r="J482" i="9"/>
  <c r="L482" i="9" s="1"/>
  <c r="L480" i="9"/>
  <c r="L479" i="9" s="1"/>
  <c r="K515" i="9"/>
  <c r="N515" i="9" s="1"/>
  <c r="O515" i="9" s="1"/>
  <c r="P515" i="9" s="1"/>
  <c r="Q515" i="9" s="1"/>
  <c r="R515" i="9" s="1"/>
  <c r="S515" i="9" s="1"/>
  <c r="L512" i="9"/>
  <c r="U512" i="9" s="1"/>
  <c r="W512" i="9" s="1"/>
  <c r="K432" i="23"/>
  <c r="K403" i="23"/>
  <c r="J21" i="9"/>
  <c r="K479" i="9"/>
  <c r="K484" i="9"/>
  <c r="K437" i="23"/>
  <c r="J479" i="9"/>
  <c r="J484" i="9"/>
  <c r="J485" i="9" s="1"/>
  <c r="U510" i="9"/>
  <c r="L509" i="9"/>
  <c r="M512" i="9" l="1"/>
  <c r="M480" i="9"/>
  <c r="M479" i="9" s="1"/>
  <c r="X512" i="9"/>
  <c r="X510" i="9"/>
  <c r="U509" i="9"/>
  <c r="W510" i="9"/>
  <c r="W509" i="9" s="1"/>
  <c r="M482" i="9"/>
  <c r="K485" i="9"/>
  <c r="N485" i="9" s="1"/>
  <c r="K402" i="23"/>
  <c r="K407" i="23"/>
  <c r="K515" i="19" l="1"/>
  <c r="N515" i="19" s="1"/>
  <c r="O515" i="19" s="1"/>
  <c r="P515" i="19" s="1"/>
  <c r="Q515" i="19" s="1"/>
  <c r="R515" i="19" s="1"/>
  <c r="S515" i="19" s="1"/>
  <c r="K532" i="19"/>
  <c r="N532" i="19" s="1"/>
  <c r="O532" i="19" s="1"/>
  <c r="P532" i="19" s="1"/>
  <c r="Q532" i="19" s="1"/>
  <c r="R532" i="19" s="1"/>
  <c r="S532" i="19" s="1"/>
  <c r="K549" i="19"/>
  <c r="N549" i="19" s="1"/>
  <c r="O549" i="19" s="1"/>
  <c r="P549" i="19" s="1"/>
  <c r="Q549" i="19" s="1"/>
  <c r="R549" i="19" s="1"/>
  <c r="S549" i="19" s="1"/>
  <c r="L567" i="19"/>
  <c r="M567" i="19" s="1"/>
  <c r="L568" i="19"/>
  <c r="U568" i="19" s="1"/>
  <c r="L513" i="19"/>
  <c r="M513" i="19" s="1"/>
  <c r="L562" i="19"/>
  <c r="M562" i="19" s="1"/>
  <c r="L528" i="19"/>
  <c r="M528" i="19" s="1"/>
  <c r="L551" i="19"/>
  <c r="M551" i="19" s="1"/>
  <c r="L569" i="19"/>
  <c r="M569" i="19" s="1"/>
  <c r="L511" i="19"/>
  <c r="M511" i="19" s="1"/>
  <c r="L571" i="19"/>
  <c r="U571" i="19" s="1"/>
  <c r="X576" i="19" s="1"/>
  <c r="L559" i="19"/>
  <c r="M559" i="19" s="1"/>
  <c r="L516" i="19"/>
  <c r="U516" i="19" s="1"/>
  <c r="L533" i="19"/>
  <c r="U533" i="19" s="1"/>
  <c r="L564" i="19"/>
  <c r="M564" i="19" s="1"/>
  <c r="L550" i="19"/>
  <c r="L545" i="19"/>
  <c r="M545" i="19" s="1"/>
  <c r="L552" i="19"/>
  <c r="L517" i="19"/>
  <c r="L534" i="19"/>
  <c r="M534" i="19" s="1"/>
  <c r="L542" i="19"/>
  <c r="M542" i="19" s="1"/>
  <c r="L525" i="19"/>
  <c r="M525" i="19" s="1"/>
  <c r="L547" i="19"/>
  <c r="M547" i="19" s="1"/>
  <c r="L535" i="19"/>
  <c r="J481" i="19"/>
  <c r="L481" i="19" s="1"/>
  <c r="L518" i="19"/>
  <c r="U518" i="19" s="1"/>
  <c r="L530" i="19"/>
  <c r="M530" i="19" s="1"/>
  <c r="L561" i="19"/>
  <c r="L563" i="19"/>
  <c r="M563" i="19" s="1"/>
  <c r="L544" i="19"/>
  <c r="L546" i="19"/>
  <c r="M546" i="19" s="1"/>
  <c r="L527" i="19"/>
  <c r="L524" i="19"/>
  <c r="M524" i="19" s="1"/>
  <c r="L510" i="19"/>
  <c r="U510" i="19" s="1"/>
  <c r="L512" i="19"/>
  <c r="M512" i="19" s="1"/>
  <c r="L18" i="19"/>
  <c r="L537" i="19"/>
  <c r="M537" i="19" s="1"/>
  <c r="L554" i="19"/>
  <c r="U554" i="19" s="1"/>
  <c r="L520" i="19"/>
  <c r="J480" i="19"/>
  <c r="L529" i="19"/>
  <c r="M529" i="19" s="1"/>
  <c r="J482" i="19"/>
  <c r="J21" i="19" s="1"/>
  <c r="L21" i="19" s="1"/>
  <c r="J19" i="19" l="1"/>
  <c r="J12" i="19" s="1"/>
  <c r="G38" i="28"/>
  <c r="H38" i="28" s="1"/>
  <c r="L560" i="19"/>
  <c r="U534" i="19"/>
  <c r="U547" i="19"/>
  <c r="W547" i="19" s="1"/>
  <c r="U513" i="19"/>
  <c r="W513" i="19" s="1"/>
  <c r="U564" i="19"/>
  <c r="W564" i="19" s="1"/>
  <c r="M516" i="19"/>
  <c r="U511" i="19"/>
  <c r="X511" i="19" s="1"/>
  <c r="J20" i="19"/>
  <c r="L20" i="19" s="1"/>
  <c r="U20" i="19" s="1"/>
  <c r="W20" i="19" s="1"/>
  <c r="U562" i="19"/>
  <c r="W562" i="19" s="1"/>
  <c r="L519" i="19"/>
  <c r="L526" i="19"/>
  <c r="U569" i="19"/>
  <c r="M518" i="19"/>
  <c r="U559" i="19"/>
  <c r="W559" i="19" s="1"/>
  <c r="U527" i="19"/>
  <c r="U563" i="19"/>
  <c r="U561" i="19"/>
  <c r="X561" i="19" s="1"/>
  <c r="U542" i="19"/>
  <c r="W542" i="19" s="1"/>
  <c r="U520" i="19"/>
  <c r="W520" i="19" s="1"/>
  <c r="M520" i="19"/>
  <c r="M21" i="19"/>
  <c r="W554" i="19"/>
  <c r="L482" i="19"/>
  <c r="U529" i="19"/>
  <c r="W529" i="19" s="1"/>
  <c r="F15" i="27" s="1"/>
  <c r="J479" i="19"/>
  <c r="J484" i="19"/>
  <c r="J485" i="19" s="1"/>
  <c r="K485" i="19" s="1"/>
  <c r="N485" i="19" s="1"/>
  <c r="O485" i="19" s="1"/>
  <c r="P485" i="19" s="1"/>
  <c r="Q485" i="19" s="1"/>
  <c r="R485" i="19" s="1"/>
  <c r="S485" i="19" s="1"/>
  <c r="L480" i="19"/>
  <c r="L536" i="19"/>
  <c r="U537" i="19"/>
  <c r="M554" i="19"/>
  <c r="L553" i="19"/>
  <c r="M18" i="19"/>
  <c r="U18" i="19"/>
  <c r="W510" i="19"/>
  <c r="W509" i="19" s="1"/>
  <c r="U509" i="19"/>
  <c r="X510" i="19"/>
  <c r="M20" i="19"/>
  <c r="M510" i="19"/>
  <c r="M509" i="19" s="1"/>
  <c r="U546" i="19"/>
  <c r="M527" i="19"/>
  <c r="M526" i="19" s="1"/>
  <c r="U530" i="19"/>
  <c r="W530" i="19" s="1"/>
  <c r="L17" i="19"/>
  <c r="U481" i="19"/>
  <c r="M481" i="19"/>
  <c r="M561" i="19"/>
  <c r="M560" i="19" s="1"/>
  <c r="U525" i="19"/>
  <c r="W525" i="19" s="1"/>
  <c r="M552" i="19"/>
  <c r="U552" i="19"/>
  <c r="U545" i="19"/>
  <c r="W545" i="19" s="1"/>
  <c r="M550" i="19"/>
  <c r="U550" i="19"/>
  <c r="U512" i="19"/>
  <c r="L509" i="19"/>
  <c r="W558" i="19"/>
  <c r="W571" i="19"/>
  <c r="L543" i="19"/>
  <c r="M544" i="19"/>
  <c r="M543" i="19" s="1"/>
  <c r="U544" i="19"/>
  <c r="X544" i="19" s="1"/>
  <c r="W518" i="19"/>
  <c r="M535" i="19"/>
  <c r="M536" i="19" s="1"/>
  <c r="U535" i="19"/>
  <c r="X542" i="19" s="1"/>
  <c r="M517" i="19"/>
  <c r="U517" i="19"/>
  <c r="U524" i="19"/>
  <c r="W511" i="19"/>
  <c r="M571" i="19"/>
  <c r="M570" i="19" s="1"/>
  <c r="U551" i="19"/>
  <c r="L570" i="19"/>
  <c r="M568" i="19"/>
  <c r="M533" i="19"/>
  <c r="U528" i="19"/>
  <c r="W528" i="19" s="1"/>
  <c r="U567" i="19"/>
  <c r="X559" i="19" l="1"/>
  <c r="L19" i="19"/>
  <c r="X529" i="19"/>
  <c r="W527" i="19"/>
  <c r="W526" i="19" s="1"/>
  <c r="X527" i="19"/>
  <c r="W546" i="19"/>
  <c r="X546" i="19"/>
  <c r="W563" i="19"/>
  <c r="X563" i="19"/>
  <c r="X525" i="19"/>
  <c r="W569" i="19"/>
  <c r="W570" i="19" s="1"/>
  <c r="X574" i="19"/>
  <c r="W561" i="19"/>
  <c r="W560" i="19" s="1"/>
  <c r="U570" i="19"/>
  <c r="W519" i="19"/>
  <c r="U519" i="19"/>
  <c r="M519" i="19"/>
  <c r="U560" i="19"/>
  <c r="W537" i="19"/>
  <c r="U536" i="19"/>
  <c r="W535" i="19"/>
  <c r="U543" i="19"/>
  <c r="W544" i="19"/>
  <c r="W543" i="19" s="1"/>
  <c r="W512" i="19"/>
  <c r="X512" i="19"/>
  <c r="W552" i="19"/>
  <c r="W553" i="19" s="1"/>
  <c r="W481" i="19"/>
  <c r="X481" i="19"/>
  <c r="M553" i="19"/>
  <c r="L479" i="19"/>
  <c r="U480" i="19"/>
  <c r="M480" i="19"/>
  <c r="M479" i="19" s="1"/>
  <c r="U553" i="19"/>
  <c r="W524" i="19"/>
  <c r="M17" i="19"/>
  <c r="U17" i="19"/>
  <c r="U526" i="19"/>
  <c r="W18" i="19"/>
  <c r="M19" i="19"/>
  <c r="M482" i="19"/>
  <c r="U482" i="19"/>
  <c r="X482" i="19" l="1"/>
  <c r="W482" i="19"/>
  <c r="E15" i="27" s="1"/>
  <c r="W17" i="19"/>
  <c r="X20" i="19"/>
  <c r="U479" i="19"/>
  <c r="W480" i="19"/>
  <c r="W479" i="19" s="1"/>
  <c r="X480" i="19"/>
  <c r="W536" i="19"/>
  <c r="L435" i="16" l="1"/>
  <c r="M435" i="16" s="1"/>
  <c r="M434" i="16" s="1"/>
  <c r="K439" i="16"/>
  <c r="K440" i="16" s="1"/>
  <c r="N440" i="16" s="1"/>
  <c r="O440" i="16" s="1"/>
  <c r="P440" i="16" s="1"/>
  <c r="Q440" i="16" s="1"/>
  <c r="R440" i="16" s="1"/>
  <c r="S440" i="16" s="1"/>
  <c r="K420" i="16"/>
  <c r="K419" i="16" s="1"/>
  <c r="K357" i="23"/>
  <c r="K437" i="16"/>
  <c r="L437" i="16" l="1"/>
  <c r="K360" i="23"/>
  <c r="K341" i="16"/>
  <c r="G29" i="28" s="1"/>
  <c r="H29" i="28" s="1"/>
  <c r="K422" i="16"/>
  <c r="L422" i="16" s="1"/>
  <c r="M422" i="16" s="1"/>
  <c r="M437" i="16"/>
  <c r="U437" i="16"/>
  <c r="K343" i="23"/>
  <c r="K362" i="23"/>
  <c r="K424" i="16"/>
  <c r="K425" i="16" s="1"/>
  <c r="N425" i="16" s="1"/>
  <c r="O425" i="16" s="1"/>
  <c r="P425" i="16" s="1"/>
  <c r="Q425" i="16" s="1"/>
  <c r="R425" i="16" s="1"/>
  <c r="S425" i="16" s="1"/>
  <c r="U435" i="16"/>
  <c r="L434" i="16"/>
  <c r="L420" i="16"/>
  <c r="K340" i="16" l="1"/>
  <c r="L341" i="16"/>
  <c r="K343" i="16"/>
  <c r="U422" i="16"/>
  <c r="K345" i="16"/>
  <c r="K346" i="16" s="1"/>
  <c r="N346" i="16" s="1"/>
  <c r="O346" i="16" s="1"/>
  <c r="P346" i="16" s="1"/>
  <c r="Q346" i="16" s="1"/>
  <c r="R346" i="16" s="1"/>
  <c r="S346" i="16" s="1"/>
  <c r="L419" i="16"/>
  <c r="M420" i="16"/>
  <c r="M419" i="16" s="1"/>
  <c r="U420" i="16"/>
  <c r="W437" i="16"/>
  <c r="X437" i="16"/>
  <c r="L343" i="16"/>
  <c r="X422" i="16"/>
  <c r="W422" i="16"/>
  <c r="L340" i="16"/>
  <c r="M341" i="16"/>
  <c r="M340" i="16" s="1"/>
  <c r="U341" i="16"/>
  <c r="X435" i="16"/>
  <c r="W435" i="16"/>
  <c r="W434" i="16" s="1"/>
  <c r="U434" i="16"/>
  <c r="K342" i="23"/>
  <c r="K347" i="23"/>
  <c r="K264" i="23"/>
  <c r="K345" i="23"/>
  <c r="K266" i="23" l="1"/>
  <c r="K263" i="23"/>
  <c r="K268" i="23"/>
  <c r="M343" i="16"/>
  <c r="U343" i="16"/>
  <c r="X341" i="16"/>
  <c r="W341" i="16"/>
  <c r="W340" i="16" s="1"/>
  <c r="U340" i="16"/>
  <c r="X420" i="16"/>
  <c r="W420" i="16"/>
  <c r="W419" i="16" s="1"/>
  <c r="U419" i="16"/>
  <c r="X343" i="16" l="1"/>
  <c r="W343" i="16"/>
  <c r="D13" i="27" s="1"/>
  <c r="T77" i="8" l="1"/>
  <c r="T76" i="8" s="1"/>
  <c r="N61" i="8"/>
  <c r="T61" i="8" s="1"/>
  <c r="U61" i="8" s="1"/>
  <c r="W61" i="8" s="1"/>
  <c r="W27" i="8" s="1"/>
  <c r="N44" i="8"/>
  <c r="N45" i="8" s="1"/>
  <c r="N27" i="8"/>
  <c r="T27" i="8" s="1"/>
  <c r="U27" i="8" s="1"/>
  <c r="N61" i="23" l="1"/>
  <c r="N44" i="23" s="1"/>
  <c r="N62" i="8"/>
  <c r="U77" i="8"/>
  <c r="T44" i="8"/>
  <c r="U44" i="8" s="1"/>
  <c r="W44" i="8" s="1"/>
  <c r="N76" i="23"/>
  <c r="N27" i="23" l="1"/>
  <c r="N28" i="23" s="1"/>
  <c r="N45" i="23"/>
  <c r="N28" i="8"/>
  <c r="N62" i="23"/>
  <c r="X82" i="8"/>
  <c r="W77" i="8"/>
  <c r="W76" i="8" s="1"/>
  <c r="U76" i="8"/>
  <c r="N16" i="8" l="1"/>
  <c r="M504" i="16" l="1"/>
  <c r="O439" i="19"/>
  <c r="O440" i="19" s="1"/>
  <c r="O420" i="19"/>
  <c r="O419" i="19" s="1"/>
  <c r="O437" i="19"/>
  <c r="O422" i="19" l="1"/>
  <c r="O341" i="19"/>
  <c r="O424" i="19"/>
  <c r="O425" i="19" s="1"/>
  <c r="O343" i="19" l="1"/>
  <c r="O345" i="19"/>
  <c r="O346" i="19" s="1"/>
  <c r="O340" i="19"/>
  <c r="O19" i="19"/>
  <c r="O12" i="19" s="1"/>
  <c r="O21" i="19" l="1"/>
  <c r="T576" i="11" l="1"/>
  <c r="O580" i="11"/>
  <c r="O578" i="11"/>
  <c r="O563" i="11" l="1"/>
  <c r="O501" i="23"/>
  <c r="O486" i="23" s="1"/>
  <c r="T578" i="11"/>
  <c r="U578" i="11" s="1"/>
  <c r="X578" i="11" s="1"/>
  <c r="O560" i="11"/>
  <c r="T561" i="11"/>
  <c r="O544" i="11"/>
  <c r="O503" i="23"/>
  <c r="T499" i="23"/>
  <c r="O498" i="23"/>
  <c r="O581" i="11"/>
  <c r="O565" i="11"/>
  <c r="U576" i="11"/>
  <c r="X576" i="11" s="1"/>
  <c r="T575" i="11"/>
  <c r="O483" i="23" l="1"/>
  <c r="O467" i="23"/>
  <c r="O450" i="23" s="1"/>
  <c r="T484" i="23"/>
  <c r="T498" i="23"/>
  <c r="O543" i="11"/>
  <c r="O548" i="11"/>
  <c r="O549" i="11" s="1"/>
  <c r="P549" i="11" s="1"/>
  <c r="Q549" i="11" s="1"/>
  <c r="R549" i="11" s="1"/>
  <c r="S549" i="11" s="1"/>
  <c r="O527" i="11"/>
  <c r="G19" i="28" s="1"/>
  <c r="H19" i="28" s="1"/>
  <c r="T544" i="11"/>
  <c r="T501" i="23"/>
  <c r="U575" i="11"/>
  <c r="W576" i="11"/>
  <c r="W575" i="11" s="1"/>
  <c r="O566" i="11"/>
  <c r="P581" i="11"/>
  <c r="O488" i="23"/>
  <c r="T560" i="11"/>
  <c r="U561" i="11"/>
  <c r="X561" i="11" s="1"/>
  <c r="O546" i="11"/>
  <c r="T563" i="11"/>
  <c r="W578" i="11"/>
  <c r="U563" i="11" l="1"/>
  <c r="X563" i="11" s="1"/>
  <c r="U560" i="11"/>
  <c r="W561" i="11"/>
  <c r="W560" i="11" s="1"/>
  <c r="P566" i="11"/>
  <c r="Q581" i="11"/>
  <c r="T486" i="23"/>
  <c r="O469" i="23"/>
  <c r="O452" i="23" s="1"/>
  <c r="O526" i="11"/>
  <c r="O531" i="11"/>
  <c r="T527" i="11"/>
  <c r="O19" i="11"/>
  <c r="O12" i="11" s="1"/>
  <c r="T467" i="23"/>
  <c r="O466" i="23"/>
  <c r="O471" i="23"/>
  <c r="T448" i="23"/>
  <c r="U448" i="23" s="1"/>
  <c r="T546" i="11"/>
  <c r="U546" i="11" s="1"/>
  <c r="X546" i="11" s="1"/>
  <c r="O529" i="11"/>
  <c r="U544" i="11"/>
  <c r="X544" i="11" s="1"/>
  <c r="T543" i="11"/>
  <c r="T483" i="23"/>
  <c r="W563" i="11" l="1"/>
  <c r="W448" i="23"/>
  <c r="W544" i="11"/>
  <c r="W543" i="11" s="1"/>
  <c r="U543" i="11"/>
  <c r="W546" i="11"/>
  <c r="T466" i="23"/>
  <c r="T526" i="11"/>
  <c r="O21" i="11"/>
  <c r="T21" i="11" s="1"/>
  <c r="T529" i="11"/>
  <c r="T19" i="11"/>
  <c r="T469" i="23"/>
  <c r="Q566" i="11"/>
  <c r="R581" i="11"/>
  <c r="O449" i="23" l="1"/>
  <c r="T450" i="23"/>
  <c r="U453" i="23"/>
  <c r="W453" i="23" s="1"/>
  <c r="T447" i="23"/>
  <c r="U447" i="23" s="1"/>
  <c r="T452" i="23"/>
  <c r="R566" i="11"/>
  <c r="S581" i="11"/>
  <c r="S566" i="11" s="1"/>
  <c r="W447" i="23" l="1"/>
  <c r="T449" i="23"/>
  <c r="O454" i="23"/>
  <c r="O499" i="9" l="1"/>
  <c r="O500" i="9" s="1"/>
  <c r="P500" i="9" s="1"/>
  <c r="Q500" i="9" s="1"/>
  <c r="R500" i="9" s="1"/>
  <c r="S500" i="9" s="1"/>
  <c r="T495" i="9"/>
  <c r="T494" i="9" s="1"/>
  <c r="O480" i="9"/>
  <c r="G14" i="28" s="1"/>
  <c r="H14" i="28" s="1"/>
  <c r="O417" i="23"/>
  <c r="O497" i="9"/>
  <c r="O482" i="9" l="1"/>
  <c r="O21" i="9" s="1"/>
  <c r="T21" i="9" s="1"/>
  <c r="O420" i="23"/>
  <c r="O405" i="23" s="1"/>
  <c r="O479" i="9"/>
  <c r="O19" i="9"/>
  <c r="U495" i="9"/>
  <c r="U494" i="9" s="1"/>
  <c r="T482" i="9"/>
  <c r="U482" i="9" s="1"/>
  <c r="O484" i="9"/>
  <c r="O485" i="9" s="1"/>
  <c r="P485" i="9" s="1"/>
  <c r="Q485" i="9" s="1"/>
  <c r="R485" i="9" s="1"/>
  <c r="S485" i="9" s="1"/>
  <c r="T480" i="9"/>
  <c r="O422" i="23"/>
  <c r="T497" i="9"/>
  <c r="U497" i="9" s="1"/>
  <c r="O403" i="23"/>
  <c r="T418" i="23"/>
  <c r="O12" i="9" l="1"/>
  <c r="T19" i="9"/>
  <c r="W495" i="9"/>
  <c r="W494" i="9" s="1"/>
  <c r="T420" i="23"/>
  <c r="T417" i="23"/>
  <c r="X482" i="9"/>
  <c r="W482" i="9"/>
  <c r="E8" i="27" s="1"/>
  <c r="O402" i="23"/>
  <c r="O407" i="23"/>
  <c r="W497" i="9"/>
  <c r="X497" i="9"/>
  <c r="U480" i="9"/>
  <c r="T479" i="9"/>
  <c r="U479" i="9" l="1"/>
  <c r="W480" i="9"/>
  <c r="W479" i="9" s="1"/>
  <c r="N398" i="23" l="1"/>
  <c r="N16" i="23" s="1"/>
  <c r="N397" i="23" l="1"/>
  <c r="T82" i="7" l="1"/>
  <c r="T81" i="7" s="1"/>
  <c r="P86" i="7"/>
  <c r="P67" i="7"/>
  <c r="T67" i="7" s="1"/>
  <c r="T84" i="7"/>
  <c r="P69" i="7" l="1"/>
  <c r="P35" i="7" s="1"/>
  <c r="P50" i="7"/>
  <c r="P49" i="7" s="1"/>
  <c r="T66" i="7"/>
  <c r="T69" i="7"/>
  <c r="P54" i="7"/>
  <c r="P33" i="7"/>
  <c r="T50" i="7"/>
  <c r="P66" i="7"/>
  <c r="P71" i="7"/>
  <c r="P52" i="7" l="1"/>
  <c r="T52" i="7" s="1"/>
  <c r="T33" i="7"/>
  <c r="P37" i="7"/>
  <c r="P32" i="7"/>
  <c r="P19" i="7"/>
  <c r="P12" i="7" s="1"/>
  <c r="P21" i="7"/>
  <c r="T35" i="7"/>
  <c r="T49" i="7"/>
  <c r="T32" i="7" l="1"/>
  <c r="T571" i="7" l="1"/>
  <c r="T570" i="7" l="1"/>
  <c r="U571" i="7"/>
  <c r="O554" i="7"/>
  <c r="O556" i="7" l="1"/>
  <c r="O539" i="7" s="1"/>
  <c r="T539" i="7" s="1"/>
  <c r="U539" i="7" s="1"/>
  <c r="W539" i="7" s="1"/>
  <c r="O537" i="7"/>
  <c r="O520" i="7" s="1"/>
  <c r="O553" i="7"/>
  <c r="T554" i="7"/>
  <c r="X576" i="7"/>
  <c r="W571" i="7"/>
  <c r="W570" i="7" s="1"/>
  <c r="U570" i="7"/>
  <c r="T556" i="7" l="1"/>
  <c r="U556" i="7" s="1"/>
  <c r="W556" i="7" s="1"/>
  <c r="O522" i="7"/>
  <c r="T522" i="7" s="1"/>
  <c r="U522" i="7" s="1"/>
  <c r="W522" i="7" s="1"/>
  <c r="O16" i="7"/>
  <c r="O536" i="7"/>
  <c r="T537" i="7"/>
  <c r="T553" i="7"/>
  <c r="U554" i="7"/>
  <c r="U537" i="7" l="1"/>
  <c r="T536" i="7"/>
  <c r="W554" i="7"/>
  <c r="W553" i="7" s="1"/>
  <c r="U553" i="7"/>
  <c r="O519" i="7"/>
  <c r="T520" i="7"/>
  <c r="T519" i="7" l="1"/>
  <c r="U520" i="7"/>
  <c r="U536" i="7"/>
  <c r="W537" i="7"/>
  <c r="W536" i="7" l="1"/>
  <c r="U519" i="7"/>
  <c r="W520" i="7"/>
  <c r="W519" i="7" l="1"/>
  <c r="T77" i="11" l="1"/>
  <c r="P76" i="23"/>
  <c r="T76" i="11" l="1"/>
  <c r="U77" i="11"/>
  <c r="P44" i="11"/>
  <c r="T77" i="23"/>
  <c r="P61" i="23"/>
  <c r="P44" i="23" s="1"/>
  <c r="P61" i="11"/>
  <c r="P27" i="23" l="1"/>
  <c r="T61" i="23"/>
  <c r="T44" i="23"/>
  <c r="T76" i="23"/>
  <c r="U76" i="11"/>
  <c r="W77" i="11"/>
  <c r="W76" i="11" s="1"/>
  <c r="X82" i="11"/>
  <c r="T61" i="11"/>
  <c r="U61" i="11" s="1"/>
  <c r="W61" i="11" s="1"/>
  <c r="W27" i="11" s="1"/>
  <c r="P62" i="11"/>
  <c r="P28" i="11" s="1"/>
  <c r="P16" i="11" s="1"/>
  <c r="P27" i="11"/>
  <c r="T27" i="11" s="1"/>
  <c r="U27" i="11" s="1"/>
  <c r="P45" i="11"/>
  <c r="T45" i="11" s="1"/>
  <c r="T44" i="11"/>
  <c r="U44" i="11" s="1"/>
  <c r="W44" i="11" s="1"/>
  <c r="T27" i="23" l="1"/>
  <c r="T62" i="11"/>
  <c r="T28" i="11" l="1"/>
  <c r="T3" i="11" l="1"/>
  <c r="T16" i="11"/>
  <c r="P439" i="19" l="1"/>
  <c r="P440" i="19" s="1"/>
  <c r="Q440" i="19" s="1"/>
  <c r="P420" i="19"/>
  <c r="P437" i="19"/>
  <c r="P422" i="19" l="1"/>
  <c r="P341" i="19"/>
  <c r="G37" i="28" s="1"/>
  <c r="H37" i="28" s="1"/>
  <c r="P424" i="19"/>
  <c r="P425" i="19" s="1"/>
  <c r="Q425" i="19" s="1"/>
  <c r="P419" i="19"/>
  <c r="P340" i="19" l="1"/>
  <c r="P345" i="19"/>
  <c r="P346" i="19" s="1"/>
  <c r="Q346" i="19" s="1"/>
  <c r="P19" i="19"/>
  <c r="P12" i="19" s="1"/>
  <c r="P343" i="19"/>
  <c r="P21" i="19" l="1"/>
  <c r="Q475" i="7" l="1"/>
  <c r="Q16" i="7" s="1"/>
  <c r="P475" i="7"/>
  <c r="P16" i="7" s="1"/>
  <c r="R398" i="23" l="1"/>
  <c r="P474" i="7"/>
  <c r="Q474" i="7"/>
  <c r="S398" i="23"/>
  <c r="S16" i="23" s="1"/>
  <c r="T490" i="7"/>
  <c r="R475" i="7"/>
  <c r="R16" i="7" s="1"/>
  <c r="S475" i="7"/>
  <c r="S16" i="7" s="1"/>
  <c r="Q398" i="23" l="1"/>
  <c r="S474" i="7"/>
  <c r="R474" i="7"/>
  <c r="T489" i="7"/>
  <c r="S397" i="23"/>
  <c r="T475" i="7"/>
  <c r="R397" i="23"/>
  <c r="T413" i="23"/>
  <c r="P398" i="23"/>
  <c r="T16" i="7" l="1"/>
  <c r="T398" i="23"/>
  <c r="P397" i="23"/>
  <c r="Q397" i="23"/>
  <c r="T412" i="23"/>
  <c r="T474" i="7"/>
  <c r="T397" i="23" l="1"/>
  <c r="T648" i="8" l="1"/>
  <c r="T647" i="8" s="1"/>
  <c r="P631" i="8"/>
  <c r="T571" i="23"/>
  <c r="P630" i="8" l="1"/>
  <c r="P537" i="8"/>
  <c r="T570" i="23"/>
  <c r="U571" i="23"/>
  <c r="X576" i="23" s="1"/>
  <c r="P554" i="23"/>
  <c r="P556" i="23" s="1"/>
  <c r="U648" i="8"/>
  <c r="T631" i="8"/>
  <c r="P539" i="8" l="1"/>
  <c r="T539" i="8" s="1"/>
  <c r="P520" i="8"/>
  <c r="P522" i="8" s="1"/>
  <c r="T522" i="8" s="1"/>
  <c r="T556" i="23"/>
  <c r="U556" i="23" s="1"/>
  <c r="T630" i="8"/>
  <c r="U631" i="8"/>
  <c r="P536" i="8"/>
  <c r="T537" i="8"/>
  <c r="W571" i="23"/>
  <c r="W570" i="23" s="1"/>
  <c r="U570" i="23"/>
  <c r="X653" i="8"/>
  <c r="W648" i="8"/>
  <c r="W647" i="8" s="1"/>
  <c r="U647" i="8"/>
  <c r="P553" i="23"/>
  <c r="T554" i="23"/>
  <c r="P460" i="23"/>
  <c r="P443" i="23" s="1"/>
  <c r="P445" i="23" s="1"/>
  <c r="W556" i="23" l="1"/>
  <c r="P462" i="23"/>
  <c r="P459" i="23"/>
  <c r="T536" i="8"/>
  <c r="U537" i="8"/>
  <c r="U630" i="8"/>
  <c r="X638" i="8"/>
  <c r="W631" i="8"/>
  <c r="W630" i="8" s="1"/>
  <c r="T553" i="23"/>
  <c r="U554" i="23"/>
  <c r="W555" i="23" s="1"/>
  <c r="P519" i="8"/>
  <c r="T520" i="8"/>
  <c r="T3" i="8" l="1"/>
  <c r="P442" i="23"/>
  <c r="T519" i="8"/>
  <c r="U520" i="8"/>
  <c r="W554" i="23"/>
  <c r="W553" i="23" s="1"/>
  <c r="U553" i="23"/>
  <c r="X544" i="8"/>
  <c r="W537" i="8"/>
  <c r="W536" i="8" s="1"/>
  <c r="U536" i="8"/>
  <c r="U519" i="8" l="1"/>
  <c r="X527" i="8"/>
  <c r="W520" i="8"/>
  <c r="W519" i="8" l="1"/>
  <c r="X520" i="8"/>
  <c r="T82" i="13" l="1"/>
  <c r="T81" i="13" s="1"/>
  <c r="Q86" i="13"/>
  <c r="P86" i="13"/>
  <c r="P87" i="13" s="1"/>
  <c r="Q84" i="13"/>
  <c r="Q67" i="13"/>
  <c r="Q66" i="13" s="1"/>
  <c r="Q81" i="23"/>
  <c r="P81" i="23"/>
  <c r="P84" i="13"/>
  <c r="P84" i="23" s="1"/>
  <c r="P67" i="13"/>
  <c r="P66" i="13" s="1"/>
  <c r="Q84" i="23" l="1"/>
  <c r="Q69" i="23" s="1"/>
  <c r="Q52" i="23" s="1"/>
  <c r="Q35" i="23" s="1"/>
  <c r="T67" i="13"/>
  <c r="Q50" i="13"/>
  <c r="Q54" i="13" s="1"/>
  <c r="P71" i="13"/>
  <c r="P33" i="13"/>
  <c r="P37" i="13" s="1"/>
  <c r="P50" i="13"/>
  <c r="P49" i="13" s="1"/>
  <c r="Q33" i="13"/>
  <c r="Q32" i="13" s="1"/>
  <c r="Q71" i="13"/>
  <c r="Q69" i="13"/>
  <c r="Q35" i="13" s="1"/>
  <c r="Q87" i="13"/>
  <c r="R87" i="13" s="1"/>
  <c r="S87" i="13" s="1"/>
  <c r="Q86" i="23"/>
  <c r="Q67" i="23"/>
  <c r="Q50" i="23" s="1"/>
  <c r="Q33" i="23" s="1"/>
  <c r="P67" i="23"/>
  <c r="T84" i="13"/>
  <c r="U84" i="13" s="1"/>
  <c r="P69" i="13"/>
  <c r="T33" i="13"/>
  <c r="T50" i="13"/>
  <c r="P86" i="23"/>
  <c r="Q37" i="13"/>
  <c r="Q49" i="13"/>
  <c r="U82" i="13"/>
  <c r="P66" i="23" l="1"/>
  <c r="P50" i="23"/>
  <c r="P33" i="23" s="1"/>
  <c r="AI25" i="23" s="1"/>
  <c r="P32" i="13"/>
  <c r="P54" i="13"/>
  <c r="T66" i="13"/>
  <c r="Q66" i="23"/>
  <c r="Q32" i="23"/>
  <c r="Q52" i="13"/>
  <c r="Q71" i="23"/>
  <c r="P71" i="23"/>
  <c r="U81" i="13"/>
  <c r="X82" i="13"/>
  <c r="W82" i="13"/>
  <c r="W81" i="13" s="1"/>
  <c r="T49" i="13"/>
  <c r="T32" i="13"/>
  <c r="T69" i="13"/>
  <c r="P52" i="13"/>
  <c r="T52" i="13" s="1"/>
  <c r="P35" i="13"/>
  <c r="Q49" i="23"/>
  <c r="Q54" i="23"/>
  <c r="P69" i="23"/>
  <c r="P52" i="23" s="1"/>
  <c r="P35" i="23" s="1"/>
  <c r="X84" i="13"/>
  <c r="W84" i="13"/>
  <c r="P54" i="23" l="1"/>
  <c r="P32" i="23"/>
  <c r="P49" i="23"/>
  <c r="Q37" i="23"/>
  <c r="P37" i="23"/>
  <c r="T35" i="13"/>
  <c r="T435" i="19" l="1"/>
  <c r="T434" i="19" l="1"/>
  <c r="U435" i="19"/>
  <c r="R437" i="19"/>
  <c r="R439" i="19"/>
  <c r="R440" i="19" s="1"/>
  <c r="S440" i="19" s="1"/>
  <c r="R420" i="19"/>
  <c r="R424" i="19" l="1"/>
  <c r="R425" i="19" s="1"/>
  <c r="S425" i="19" s="1"/>
  <c r="R419" i="19"/>
  <c r="T420" i="19"/>
  <c r="R341" i="19"/>
  <c r="U434" i="19"/>
  <c r="W435" i="19"/>
  <c r="W434" i="19" s="1"/>
  <c r="R422" i="19"/>
  <c r="T437" i="19"/>
  <c r="U437" i="19" s="1"/>
  <c r="T422" i="19" l="1"/>
  <c r="U422" i="19" s="1"/>
  <c r="R343" i="19"/>
  <c r="R340" i="19"/>
  <c r="T341" i="19"/>
  <c r="R19" i="19"/>
  <c r="R345" i="19"/>
  <c r="R346" i="19" s="1"/>
  <c r="S346" i="19" s="1"/>
  <c r="X437" i="19"/>
  <c r="W437" i="19"/>
  <c r="T419" i="19"/>
  <c r="U420" i="19"/>
  <c r="R12" i="19" l="1"/>
  <c r="T12" i="19" s="1"/>
  <c r="W420" i="19"/>
  <c r="W419" i="19" s="1"/>
  <c r="U419" i="19"/>
  <c r="U341" i="19"/>
  <c r="T340" i="19"/>
  <c r="T343" i="19"/>
  <c r="U343" i="19" s="1"/>
  <c r="R21" i="19"/>
  <c r="T21" i="19" s="1"/>
  <c r="U21" i="19" s="1"/>
  <c r="T19" i="19"/>
  <c r="U19" i="19" s="1"/>
  <c r="W422" i="19"/>
  <c r="X422" i="19"/>
  <c r="W19" i="19" l="1"/>
  <c r="X21" i="19"/>
  <c r="W21" i="19"/>
  <c r="X343" i="19"/>
  <c r="W343" i="19"/>
  <c r="D15" i="27" s="1"/>
  <c r="U340" i="19"/>
  <c r="W341" i="19"/>
  <c r="W340" i="19" s="1"/>
  <c r="G15" i="27" l="1"/>
  <c r="T510" i="7" l="1"/>
  <c r="U510" i="7" s="1"/>
  <c r="R514" i="7"/>
  <c r="R515" i="7" s="1"/>
  <c r="S515" i="7" s="1"/>
  <c r="R480" i="7"/>
  <c r="R432" i="23"/>
  <c r="R512" i="7"/>
  <c r="T512" i="7" s="1"/>
  <c r="U512" i="7" s="1"/>
  <c r="R479" i="7" l="1"/>
  <c r="G6" i="28"/>
  <c r="R19" i="7"/>
  <c r="R12" i="7" s="1"/>
  <c r="R482" i="7"/>
  <c r="R21" i="7" s="1"/>
  <c r="T21" i="7" s="1"/>
  <c r="T435" i="23"/>
  <c r="X512" i="7"/>
  <c r="W512" i="7"/>
  <c r="U509" i="7"/>
  <c r="W510" i="7"/>
  <c r="W509" i="7" s="1"/>
  <c r="T482" i="7"/>
  <c r="U482" i="7" s="1"/>
  <c r="R403" i="23"/>
  <c r="R484" i="7"/>
  <c r="R485" i="7" s="1"/>
  <c r="S485" i="7" s="1"/>
  <c r="T509" i="7"/>
  <c r="T433" i="23"/>
  <c r="R437" i="23"/>
  <c r="T480" i="7"/>
  <c r="H6" i="28" l="1"/>
  <c r="T19" i="7"/>
  <c r="R405" i="23"/>
  <c r="T405" i="23" s="1"/>
  <c r="U480" i="7"/>
  <c r="T479" i="7"/>
  <c r="T432" i="23"/>
  <c r="R402" i="23"/>
  <c r="R407" i="23"/>
  <c r="T403" i="23"/>
  <c r="X482" i="7"/>
  <c r="W482" i="7"/>
  <c r="E6" i="27" s="1"/>
  <c r="E17" i="27" l="1"/>
  <c r="E26" i="27" s="1"/>
  <c r="T402" i="23"/>
  <c r="W480" i="7"/>
  <c r="W479" i="7" s="1"/>
  <c r="U479" i="7"/>
  <c r="R377" i="13" l="1"/>
  <c r="R358" i="13"/>
  <c r="R357" i="13" s="1"/>
  <c r="R295" i="23"/>
  <c r="R375" i="13"/>
  <c r="R298" i="23" l="1"/>
  <c r="R362" i="13"/>
  <c r="R281" i="23"/>
  <c r="R360" i="13"/>
  <c r="R300" i="23"/>
  <c r="R283" i="23" l="1"/>
  <c r="R280" i="23"/>
  <c r="R285" i="23"/>
  <c r="W94" i="7" l="1"/>
  <c r="V64" i="7"/>
  <c r="W64" i="7" s="1"/>
  <c r="W30" i="7" s="1"/>
  <c r="W94" i="23"/>
  <c r="V92" i="7"/>
  <c r="V91" i="7" s="1"/>
  <c r="V99" i="7"/>
  <c r="W99" i="7" s="1"/>
  <c r="V69" i="7" l="1"/>
  <c r="V60" i="7"/>
  <c r="V70" i="7"/>
  <c r="V47" i="7"/>
  <c r="V100" i="23"/>
  <c r="V30" i="7"/>
  <c r="V18" i="7" s="1"/>
  <c r="W18" i="7" s="1"/>
  <c r="V35" i="7"/>
  <c r="V97" i="7"/>
  <c r="V52" i="7"/>
  <c r="W100" i="23" l="1"/>
  <c r="V53" i="7"/>
  <c r="W53" i="7" s="1"/>
  <c r="W47" i="7"/>
  <c r="V26" i="7"/>
  <c r="V25" i="7" s="1"/>
  <c r="V62" i="7"/>
  <c r="V43" i="7"/>
  <c r="V59" i="7"/>
  <c r="V96" i="7"/>
  <c r="W97" i="7"/>
  <c r="W96" i="7" s="1"/>
  <c r="V100" i="7"/>
  <c r="W100" i="7" s="1"/>
  <c r="V67" i="7"/>
  <c r="W70" i="7"/>
  <c r="V36" i="7"/>
  <c r="W36" i="7" s="1"/>
  <c r="V21" i="7"/>
  <c r="V42" i="7" l="1"/>
  <c r="V45" i="7"/>
  <c r="V50" i="7"/>
  <c r="V66" i="7"/>
  <c r="V33" i="7"/>
  <c r="V19" i="7" s="1"/>
  <c r="V49" i="7" l="1"/>
  <c r="V28" i="7"/>
  <c r="V16" i="7" s="1"/>
  <c r="U3" i="7" s="1"/>
  <c r="V32" i="7"/>
  <c r="V11" i="7" l="1"/>
  <c r="K92" i="23"/>
  <c r="K91" i="23" s="1"/>
  <c r="G92" i="23"/>
  <c r="G91" i="23" s="1"/>
  <c r="J43" i="7" l="1"/>
  <c r="J92" i="23"/>
  <c r="J91" i="23" s="1"/>
  <c r="H60" i="7"/>
  <c r="H92" i="23"/>
  <c r="H91" i="23" s="1"/>
  <c r="L92" i="7"/>
  <c r="M92" i="7" s="1"/>
  <c r="M91" i="7" s="1"/>
  <c r="I60" i="7"/>
  <c r="I62" i="7" s="1"/>
  <c r="I28" i="7" s="1"/>
  <c r="J42" i="7"/>
  <c r="J45" i="7"/>
  <c r="I43" i="7"/>
  <c r="K43" i="7"/>
  <c r="I59" i="7"/>
  <c r="G60" i="7"/>
  <c r="G43" i="7"/>
  <c r="K60" i="7"/>
  <c r="J60" i="7"/>
  <c r="H62" i="7"/>
  <c r="H28" i="7" s="1"/>
  <c r="H59" i="7"/>
  <c r="H26" i="7"/>
  <c r="H25" i="7" s="1"/>
  <c r="H43" i="7"/>
  <c r="I26" i="7" l="1"/>
  <c r="I25" i="7" s="1"/>
  <c r="L91" i="7"/>
  <c r="U92" i="7"/>
  <c r="X97" i="7" s="1"/>
  <c r="K42" i="7"/>
  <c r="K45" i="7"/>
  <c r="G42" i="7"/>
  <c r="G45" i="7"/>
  <c r="L43" i="7"/>
  <c r="H42" i="7"/>
  <c r="H45" i="7"/>
  <c r="J59" i="7"/>
  <c r="J62" i="7"/>
  <c r="J28" i="7" s="1"/>
  <c r="J26" i="7"/>
  <c r="J25" i="7" s="1"/>
  <c r="K62" i="7"/>
  <c r="K28" i="7" s="1"/>
  <c r="K26" i="7"/>
  <c r="K25" i="7" s="1"/>
  <c r="K59" i="7"/>
  <c r="G59" i="7"/>
  <c r="L60" i="7"/>
  <c r="G62" i="7"/>
  <c r="G26" i="7"/>
  <c r="I42" i="7"/>
  <c r="I45" i="7"/>
  <c r="U91" i="7" l="1"/>
  <c r="W92" i="7"/>
  <c r="W91" i="7" s="1"/>
  <c r="G28" i="7"/>
  <c r="L62" i="7"/>
  <c r="L45" i="7"/>
  <c r="G25" i="7"/>
  <c r="L26" i="7"/>
  <c r="L59" i="7"/>
  <c r="M60" i="7"/>
  <c r="M59" i="7" s="1"/>
  <c r="U60" i="7"/>
  <c r="U43" i="7"/>
  <c r="M43" i="7"/>
  <c r="M42" i="7" s="1"/>
  <c r="L42" i="7"/>
  <c r="W43" i="7" l="1"/>
  <c r="W42" i="7" s="1"/>
  <c r="U42" i="7"/>
  <c r="U26" i="7"/>
  <c r="U25" i="7" s="1"/>
  <c r="L25" i="7"/>
  <c r="M26" i="7"/>
  <c r="M25" i="7" s="1"/>
  <c r="U62" i="7"/>
  <c r="M62" i="7"/>
  <c r="U59" i="7"/>
  <c r="W60" i="7"/>
  <c r="M45" i="7"/>
  <c r="U45" i="7"/>
  <c r="L28" i="7"/>
  <c r="W45" i="7" l="1"/>
  <c r="U28" i="7"/>
  <c r="M28" i="7"/>
  <c r="W59" i="7"/>
  <c r="W26" i="7"/>
  <c r="W62" i="7"/>
  <c r="W28" i="7" l="1"/>
  <c r="W25" i="7"/>
  <c r="H475" i="7" l="1"/>
  <c r="H16" i="7" s="1"/>
  <c r="I475" i="7"/>
  <c r="I16" i="7" s="1"/>
  <c r="L505" i="7" l="1"/>
  <c r="L504" i="7" s="1"/>
  <c r="K427" i="23"/>
  <c r="I474" i="7"/>
  <c r="H474" i="7"/>
  <c r="J427" i="23"/>
  <c r="G475" i="7"/>
  <c r="G16" i="7" s="1"/>
  <c r="M505" i="7" l="1"/>
  <c r="M504" i="7" s="1"/>
  <c r="U505" i="7"/>
  <c r="W505" i="7" s="1"/>
  <c r="W504" i="7" s="1"/>
  <c r="G474" i="7"/>
  <c r="G427" i="23"/>
  <c r="L428" i="23"/>
  <c r="H427" i="23"/>
  <c r="I427" i="23"/>
  <c r="U504" i="7" l="1"/>
  <c r="X510" i="7"/>
  <c r="U428" i="23"/>
  <c r="L427" i="23"/>
  <c r="M428" i="23"/>
  <c r="M427" i="23" s="1"/>
  <c r="U427" i="23" l="1"/>
  <c r="W428" i="23"/>
  <c r="W427" i="23" s="1"/>
  <c r="F625" i="7" l="1"/>
  <c r="F626" i="7" s="1"/>
  <c r="F544" i="23"/>
  <c r="F484" i="23" s="1"/>
  <c r="F561" i="7"/>
  <c r="F623" i="7"/>
  <c r="J621" i="7"/>
  <c r="K621" i="7"/>
  <c r="F543" i="23" l="1"/>
  <c r="I623" i="7"/>
  <c r="I544" i="23"/>
  <c r="I561" i="7"/>
  <c r="H623" i="7"/>
  <c r="H544" i="23"/>
  <c r="H484" i="23" s="1"/>
  <c r="H561" i="7"/>
  <c r="K623" i="7"/>
  <c r="K544" i="23"/>
  <c r="K484" i="23" s="1"/>
  <c r="K561" i="7"/>
  <c r="L621" i="7"/>
  <c r="M621" i="7" s="1"/>
  <c r="M620" i="7" s="1"/>
  <c r="G544" i="23"/>
  <c r="G484" i="23" s="1"/>
  <c r="G561" i="7"/>
  <c r="H625" i="7"/>
  <c r="K625" i="7"/>
  <c r="J625" i="7"/>
  <c r="J544" i="23"/>
  <c r="J484" i="23" s="1"/>
  <c r="J561" i="7"/>
  <c r="F548" i="23"/>
  <c r="F549" i="23" s="1"/>
  <c r="F546" i="23"/>
  <c r="F563" i="7"/>
  <c r="F544" i="7"/>
  <c r="F560" i="7"/>
  <c r="G623" i="7"/>
  <c r="L620" i="7"/>
  <c r="U621" i="7"/>
  <c r="X621" i="7" s="1"/>
  <c r="I625" i="7"/>
  <c r="J623" i="7"/>
  <c r="G625" i="7"/>
  <c r="G626" i="7" s="1"/>
  <c r="L561" i="7" l="1"/>
  <c r="L560" i="7" s="1"/>
  <c r="H626" i="7"/>
  <c r="I626" i="7" s="1"/>
  <c r="J626" i="7" s="1"/>
  <c r="K626" i="7" s="1"/>
  <c r="N626" i="7" s="1"/>
  <c r="O626" i="7" s="1"/>
  <c r="P626" i="7" s="1"/>
  <c r="Q626" i="7" s="1"/>
  <c r="R626" i="7" s="1"/>
  <c r="S626" i="7" s="1"/>
  <c r="L623" i="7"/>
  <c r="J546" i="23"/>
  <c r="J563" i="7"/>
  <c r="J546" i="7" s="1"/>
  <c r="J529" i="7" s="1"/>
  <c r="J543" i="23"/>
  <c r="J548" i="23"/>
  <c r="G560" i="7"/>
  <c r="G544" i="7"/>
  <c r="K543" i="23"/>
  <c r="K548" i="23"/>
  <c r="H544" i="7"/>
  <c r="H560" i="7"/>
  <c r="H546" i="23"/>
  <c r="H563" i="7"/>
  <c r="H546" i="7" s="1"/>
  <c r="H529" i="7" s="1"/>
  <c r="H21" i="7" s="1"/>
  <c r="I543" i="23"/>
  <c r="I548" i="23"/>
  <c r="G546" i="23"/>
  <c r="G563" i="7"/>
  <c r="G546" i="7" s="1"/>
  <c r="G529" i="7" s="1"/>
  <c r="G21" i="7" s="1"/>
  <c r="L544" i="23"/>
  <c r="M544" i="23" s="1"/>
  <c r="M543" i="23" s="1"/>
  <c r="J560" i="7"/>
  <c r="J544" i="7"/>
  <c r="G543" i="23"/>
  <c r="G548" i="23"/>
  <c r="G549" i="23" s="1"/>
  <c r="K560" i="7"/>
  <c r="K544" i="7"/>
  <c r="K546" i="23"/>
  <c r="K563" i="7"/>
  <c r="K546" i="7" s="1"/>
  <c r="K529" i="7" s="1"/>
  <c r="K21" i="7" s="1"/>
  <c r="H543" i="23"/>
  <c r="H548" i="23"/>
  <c r="I560" i="7"/>
  <c r="I544" i="7"/>
  <c r="I546" i="23"/>
  <c r="I563" i="7"/>
  <c r="I546" i="7" s="1"/>
  <c r="I529" i="7" s="1"/>
  <c r="I21" i="7" s="1"/>
  <c r="M561" i="7"/>
  <c r="M560" i="7" s="1"/>
  <c r="F543" i="7"/>
  <c r="F548" i="7"/>
  <c r="F549" i="7" s="1"/>
  <c r="F546" i="7"/>
  <c r="M623" i="7"/>
  <c r="U623" i="7"/>
  <c r="X623" i="7" s="1"/>
  <c r="W621" i="7"/>
  <c r="W620" i="7" s="1"/>
  <c r="U620" i="7"/>
  <c r="U561" i="7" l="1"/>
  <c r="W561" i="7" s="1"/>
  <c r="W560" i="7" s="1"/>
  <c r="L546" i="7"/>
  <c r="M546" i="7" s="1"/>
  <c r="L543" i="23"/>
  <c r="L544" i="7"/>
  <c r="L543" i="7" s="1"/>
  <c r="L563" i="7"/>
  <c r="M563" i="7" s="1"/>
  <c r="K486" i="23"/>
  <c r="K469" i="23" s="1"/>
  <c r="K452" i="23" s="1"/>
  <c r="J486" i="23"/>
  <c r="J469" i="23" s="1"/>
  <c r="J452" i="23" s="1"/>
  <c r="H549" i="23"/>
  <c r="I549" i="23" s="1"/>
  <c r="J549" i="23" s="1"/>
  <c r="K549" i="23" s="1"/>
  <c r="N549" i="23" s="1"/>
  <c r="O549" i="23" s="1"/>
  <c r="P549" i="23" s="1"/>
  <c r="Q549" i="23" s="1"/>
  <c r="R549" i="23" s="1"/>
  <c r="S549" i="23" s="1"/>
  <c r="H486" i="23"/>
  <c r="H469" i="23" s="1"/>
  <c r="U544" i="23"/>
  <c r="W544" i="23" s="1"/>
  <c r="W543" i="23" s="1"/>
  <c r="G486" i="23"/>
  <c r="G469" i="23" s="1"/>
  <c r="I543" i="7"/>
  <c r="I548" i="7"/>
  <c r="I527" i="7"/>
  <c r="G467" i="23"/>
  <c r="G483" i="23"/>
  <c r="J527" i="7"/>
  <c r="J543" i="7"/>
  <c r="J548" i="7"/>
  <c r="J467" i="23"/>
  <c r="J483" i="23"/>
  <c r="L546" i="23"/>
  <c r="H467" i="23"/>
  <c r="H483" i="23"/>
  <c r="K548" i="7"/>
  <c r="K543" i="7"/>
  <c r="K527" i="7"/>
  <c r="H548" i="7"/>
  <c r="H527" i="7"/>
  <c r="H543" i="7"/>
  <c r="K467" i="23"/>
  <c r="K483" i="23"/>
  <c r="G543" i="7"/>
  <c r="G548" i="7"/>
  <c r="G549" i="7" s="1"/>
  <c r="H549" i="7" s="1"/>
  <c r="I549" i="7" s="1"/>
  <c r="G527" i="7"/>
  <c r="X561" i="7"/>
  <c r="W623" i="7"/>
  <c r="F717" i="7"/>
  <c r="F718" i="7"/>
  <c r="G718" i="7" s="1"/>
  <c r="H718" i="7" s="1"/>
  <c r="I718" i="7" s="1"/>
  <c r="J718" i="7" s="1"/>
  <c r="K718" i="7" s="1"/>
  <c r="N718" i="7" s="1"/>
  <c r="O718" i="7" s="1"/>
  <c r="P718" i="7" s="1"/>
  <c r="Q718" i="7" s="1"/>
  <c r="R718" i="7" s="1"/>
  <c r="S718" i="7" s="1"/>
  <c r="L713" i="7"/>
  <c r="M713" i="7" s="1"/>
  <c r="M712" i="7" s="1"/>
  <c r="F527" i="7"/>
  <c r="F712" i="7"/>
  <c r="L715" i="7"/>
  <c r="F529" i="7"/>
  <c r="L529" i="7" s="1"/>
  <c r="U563" i="7" l="1"/>
  <c r="U560" i="7"/>
  <c r="M544" i="7"/>
  <c r="M543" i="7" s="1"/>
  <c r="G7" i="28"/>
  <c r="L527" i="7"/>
  <c r="L526" i="7" s="1"/>
  <c r="U546" i="7"/>
  <c r="X546" i="7" s="1"/>
  <c r="U544" i="7"/>
  <c r="W544" i="7" s="1"/>
  <c r="W543" i="7" s="1"/>
  <c r="J549" i="7"/>
  <c r="K549" i="7" s="1"/>
  <c r="N549" i="7" s="1"/>
  <c r="O549" i="7" s="1"/>
  <c r="P549" i="7" s="1"/>
  <c r="Q549" i="7" s="1"/>
  <c r="R549" i="7" s="1"/>
  <c r="S549" i="7" s="1"/>
  <c r="U543" i="23"/>
  <c r="J531" i="7"/>
  <c r="J526" i="7"/>
  <c r="G466" i="23"/>
  <c r="G471" i="23"/>
  <c r="G526" i="7"/>
  <c r="G531" i="7"/>
  <c r="G19" i="7"/>
  <c r="G12" i="7" s="1"/>
  <c r="K450" i="23"/>
  <c r="K466" i="23"/>
  <c r="K471" i="23"/>
  <c r="H526" i="7"/>
  <c r="H531" i="7"/>
  <c r="H19" i="7"/>
  <c r="H12" i="7" s="1"/>
  <c r="K526" i="7"/>
  <c r="K531" i="7"/>
  <c r="K19" i="7"/>
  <c r="K12" i="7" s="1"/>
  <c r="H466" i="23"/>
  <c r="H471" i="23"/>
  <c r="U546" i="23"/>
  <c r="M546" i="23"/>
  <c r="J450" i="23"/>
  <c r="J471" i="23"/>
  <c r="J466" i="23"/>
  <c r="I531" i="7"/>
  <c r="I526" i="7"/>
  <c r="I19" i="7"/>
  <c r="I12" i="7" s="1"/>
  <c r="W546" i="7"/>
  <c r="U543" i="7"/>
  <c r="X563" i="7"/>
  <c r="W563" i="7"/>
  <c r="U713" i="7"/>
  <c r="W713" i="7" s="1"/>
  <c r="W712" i="7" s="1"/>
  <c r="U715" i="7"/>
  <c r="W715" i="7" s="1"/>
  <c r="M715" i="7"/>
  <c r="M527" i="7"/>
  <c r="M526" i="7" s="1"/>
  <c r="U527" i="7"/>
  <c r="X527" i="7" s="1"/>
  <c r="U529" i="7"/>
  <c r="M529" i="7"/>
  <c r="F531" i="7"/>
  <c r="F532" i="7" s="1"/>
  <c r="G532" i="7" s="1"/>
  <c r="U712" i="7"/>
  <c r="L712" i="7"/>
  <c r="F526" i="7"/>
  <c r="F21" i="7"/>
  <c r="F19" i="7"/>
  <c r="F12" i="7" s="1"/>
  <c r="H7" i="28" l="1"/>
  <c r="X544" i="7"/>
  <c r="H532" i="7"/>
  <c r="I532" i="7" s="1"/>
  <c r="J532" i="7" s="1"/>
  <c r="K532" i="7" s="1"/>
  <c r="N532" i="7" s="1"/>
  <c r="O532" i="7" s="1"/>
  <c r="P532" i="7" s="1"/>
  <c r="Q532" i="7" s="1"/>
  <c r="R532" i="7" s="1"/>
  <c r="S532" i="7" s="1"/>
  <c r="J454" i="23"/>
  <c r="J449" i="23"/>
  <c r="X546" i="23"/>
  <c r="W546" i="23"/>
  <c r="K449" i="23"/>
  <c r="K454" i="23"/>
  <c r="X529" i="7"/>
  <c r="W529" i="7"/>
  <c r="F6" i="27" s="1"/>
  <c r="U526" i="7"/>
  <c r="W527" i="7"/>
  <c r="W526" i="7" l="1"/>
  <c r="F632" i="8" l="1"/>
  <c r="L663" i="8"/>
  <c r="M663" i="8" s="1"/>
  <c r="M662" i="8" s="1"/>
  <c r="U663" i="8"/>
  <c r="X668" i="8" s="1"/>
  <c r="W663" i="8"/>
  <c r="W662" i="8" s="1"/>
  <c r="F662" i="8"/>
  <c r="L632" i="8" l="1"/>
  <c r="L662" i="8"/>
  <c r="U662" i="8"/>
  <c r="T723" i="11"/>
  <c r="M632" i="8" l="1"/>
  <c r="U632" i="8"/>
  <c r="W632" i="8" s="1"/>
  <c r="T722" i="11"/>
  <c r="U723" i="11"/>
  <c r="X728" i="11" s="1"/>
  <c r="O631" i="23"/>
  <c r="T646" i="23"/>
  <c r="T645" i="23" l="1"/>
  <c r="U646" i="23"/>
  <c r="X651" i="23" s="1"/>
  <c r="U722" i="11"/>
  <c r="W723" i="11"/>
  <c r="W722" i="11" s="1"/>
  <c r="O630" i="23"/>
  <c r="T631" i="23"/>
  <c r="T630" i="23" l="1"/>
  <c r="W646" i="23"/>
  <c r="W645" i="23" s="1"/>
  <c r="U645" i="23"/>
  <c r="F631" i="23" l="1"/>
  <c r="F630" i="23" l="1"/>
  <c r="H631" i="23" l="1"/>
  <c r="H630" i="23" s="1"/>
  <c r="L738" i="11"/>
  <c r="G631" i="23"/>
  <c r="G630" i="23" l="1"/>
  <c r="L631" i="23"/>
  <c r="M738" i="11"/>
  <c r="M737" i="11" s="1"/>
  <c r="U738" i="11"/>
  <c r="L737" i="11"/>
  <c r="U661" i="23"/>
  <c r="U660" i="23" l="1"/>
  <c r="W661" i="23"/>
  <c r="W660" i="23" s="1"/>
  <c r="U737" i="11"/>
  <c r="W738" i="11"/>
  <c r="W737" i="11" s="1"/>
  <c r="M631" i="23"/>
  <c r="M630" i="23" s="1"/>
  <c r="U631" i="23"/>
  <c r="L630" i="23"/>
  <c r="U630" i="23" l="1"/>
  <c r="W631" i="23"/>
  <c r="W630" i="23" s="1"/>
  <c r="N439" i="13" l="1"/>
  <c r="N420" i="13"/>
  <c r="N437" i="13"/>
  <c r="N360" i="23" s="1"/>
  <c r="N357" i="23" l="1"/>
  <c r="N362" i="23"/>
  <c r="N343" i="23"/>
  <c r="N422" i="13"/>
  <c r="N424" i="13"/>
  <c r="N419" i="13"/>
  <c r="N341" i="13"/>
  <c r="N345" i="23" l="1"/>
  <c r="N342" i="23"/>
  <c r="N347" i="23"/>
  <c r="N264" i="23"/>
  <c r="N345" i="13"/>
  <c r="N340" i="13"/>
  <c r="N19" i="13"/>
  <c r="N12" i="13" s="1"/>
  <c r="N343" i="13"/>
  <c r="N21" i="13" l="1"/>
  <c r="N266" i="23"/>
  <c r="N263" i="23"/>
  <c r="N268" i="23"/>
  <c r="Q435" i="13" l="1"/>
  <c r="Q420" i="13" s="1"/>
  <c r="P435" i="13"/>
  <c r="P358" i="23" s="1"/>
  <c r="R435" i="13"/>
  <c r="R437" i="13"/>
  <c r="R345" i="23" s="1"/>
  <c r="R266" i="23" s="1"/>
  <c r="R21" i="23" s="1"/>
  <c r="O437" i="13"/>
  <c r="O360" i="23" s="1"/>
  <c r="O362" i="23" l="1"/>
  <c r="O357" i="23"/>
  <c r="O343" i="23"/>
  <c r="R357" i="23"/>
  <c r="R362" i="23"/>
  <c r="R343" i="23"/>
  <c r="R422" i="13"/>
  <c r="R343" i="13" s="1"/>
  <c r="R21" i="13" s="1"/>
  <c r="P362" i="23"/>
  <c r="P357" i="23"/>
  <c r="P343" i="23"/>
  <c r="O422" i="13"/>
  <c r="O439" i="13"/>
  <c r="T435" i="13"/>
  <c r="O420" i="13"/>
  <c r="R420" i="13"/>
  <c r="R439" i="13"/>
  <c r="Q419" i="13"/>
  <c r="Q341" i="13"/>
  <c r="Q424" i="13"/>
  <c r="P420" i="13"/>
  <c r="P439" i="13"/>
  <c r="Q439" i="13"/>
  <c r="P437" i="13"/>
  <c r="Q437" i="13"/>
  <c r="T437" i="13" l="1"/>
  <c r="P360" i="23"/>
  <c r="P345" i="23" s="1"/>
  <c r="Q345" i="23"/>
  <c r="Q266" i="23" s="1"/>
  <c r="Q21" i="23" s="1"/>
  <c r="Q422" i="13"/>
  <c r="Q343" i="13" s="1"/>
  <c r="Q21" i="13" s="1"/>
  <c r="R419" i="13"/>
  <c r="R424" i="13"/>
  <c r="R341" i="13"/>
  <c r="O419" i="13"/>
  <c r="T420" i="13"/>
  <c r="O424" i="13"/>
  <c r="O341" i="13"/>
  <c r="O342" i="23"/>
  <c r="O347" i="23"/>
  <c r="O264" i="23"/>
  <c r="O19" i="23" s="1"/>
  <c r="Q357" i="23"/>
  <c r="Q343" i="23"/>
  <c r="T343" i="23" s="1"/>
  <c r="Q362" i="23"/>
  <c r="P422" i="13"/>
  <c r="T422" i="13" s="1"/>
  <c r="P419" i="13"/>
  <c r="P424" i="13"/>
  <c r="Q340" i="13"/>
  <c r="Q345" i="13"/>
  <c r="Q19" i="13"/>
  <c r="Q12" i="13" s="1"/>
  <c r="O345" i="23"/>
  <c r="T434" i="13"/>
  <c r="O343" i="13"/>
  <c r="P347" i="23"/>
  <c r="P342" i="23"/>
  <c r="R342" i="23"/>
  <c r="R347" i="23"/>
  <c r="R264" i="23"/>
  <c r="R19" i="23" s="1"/>
  <c r="T358" i="23"/>
  <c r="T360" i="23" l="1"/>
  <c r="T342" i="23"/>
  <c r="T357" i="23"/>
  <c r="R263" i="23"/>
  <c r="R12" i="23"/>
  <c r="R268" i="23"/>
  <c r="O21" i="13"/>
  <c r="T345" i="23"/>
  <c r="O266" i="23"/>
  <c r="O21" i="23" s="1"/>
  <c r="O340" i="13"/>
  <c r="O345" i="13"/>
  <c r="O19" i="13"/>
  <c r="O12" i="13" s="1"/>
  <c r="T419" i="13"/>
  <c r="R19" i="13"/>
  <c r="R12" i="13" s="1"/>
  <c r="R345" i="13"/>
  <c r="R340" i="13"/>
  <c r="Q347" i="23"/>
  <c r="Q342" i="23"/>
  <c r="Q264" i="23"/>
  <c r="Q19" i="23" s="1"/>
  <c r="O263" i="23"/>
  <c r="O268" i="23"/>
  <c r="O12" i="23"/>
  <c r="Q12" i="23" l="1"/>
  <c r="Q268" i="23"/>
  <c r="Q263" i="23"/>
  <c r="F668" i="15" l="1"/>
  <c r="L668" i="15" l="1"/>
  <c r="F591" i="23"/>
  <c r="F638" i="15"/>
  <c r="L667" i="15"/>
  <c r="M668" i="15"/>
  <c r="M667" i="15" s="1"/>
  <c r="U668" i="15"/>
  <c r="F670" i="15"/>
  <c r="F672" i="15"/>
  <c r="F673" i="15" s="1"/>
  <c r="G673" i="15" s="1"/>
  <c r="H673" i="15" s="1"/>
  <c r="I673" i="15" s="1"/>
  <c r="J673" i="15" s="1"/>
  <c r="K673" i="15" s="1"/>
  <c r="N673" i="15" s="1"/>
  <c r="O673" i="15" s="1"/>
  <c r="P673" i="15" s="1"/>
  <c r="Q673" i="15" s="1"/>
  <c r="R673" i="15" s="1"/>
  <c r="S673" i="15" s="1"/>
  <c r="F590" i="23" l="1"/>
  <c r="F561" i="23"/>
  <c r="F595" i="23"/>
  <c r="F596" i="23" s="1"/>
  <c r="G596" i="23" s="1"/>
  <c r="H596" i="23" s="1"/>
  <c r="I596" i="23" s="1"/>
  <c r="J596" i="23" s="1"/>
  <c r="K596" i="23" s="1"/>
  <c r="N596" i="23" s="1"/>
  <c r="O596" i="23" s="1"/>
  <c r="P596" i="23" s="1"/>
  <c r="Q596" i="23" s="1"/>
  <c r="R596" i="23" s="1"/>
  <c r="S596" i="23" s="1"/>
  <c r="L591" i="23"/>
  <c r="L670" i="15"/>
  <c r="F593" i="23"/>
  <c r="F544" i="15"/>
  <c r="F637" i="15"/>
  <c r="L638" i="15"/>
  <c r="U670" i="15"/>
  <c r="M670" i="15"/>
  <c r="X668" i="15"/>
  <c r="W668" i="15"/>
  <c r="W667" i="15" s="1"/>
  <c r="U667" i="15"/>
  <c r="L593" i="23" l="1"/>
  <c r="F563" i="23"/>
  <c r="L563" i="23" s="1"/>
  <c r="M591" i="23"/>
  <c r="M590" i="23" s="1"/>
  <c r="U591" i="23"/>
  <c r="L590" i="23"/>
  <c r="F560" i="23"/>
  <c r="L561" i="23"/>
  <c r="F467" i="23"/>
  <c r="M638" i="15"/>
  <c r="M637" i="15" s="1"/>
  <c r="L637" i="15"/>
  <c r="U638" i="15"/>
  <c r="F527" i="15"/>
  <c r="F543" i="15"/>
  <c r="F548" i="15"/>
  <c r="F549" i="15" s="1"/>
  <c r="G549" i="15" s="1"/>
  <c r="H549" i="15" s="1"/>
  <c r="I549" i="15" s="1"/>
  <c r="J549" i="15" s="1"/>
  <c r="K549" i="15" s="1"/>
  <c r="N549" i="15" s="1"/>
  <c r="O549" i="15" s="1"/>
  <c r="P549" i="15" s="1"/>
  <c r="Q549" i="15" s="1"/>
  <c r="R549" i="15" s="1"/>
  <c r="S549" i="15" s="1"/>
  <c r="L544" i="15"/>
  <c r="X670" i="15"/>
  <c r="W670" i="15"/>
  <c r="I412" i="23"/>
  <c r="I475" i="16"/>
  <c r="H398" i="23"/>
  <c r="L490" i="16"/>
  <c r="K475" i="16"/>
  <c r="K16" i="16" s="1"/>
  <c r="H475" i="16"/>
  <c r="H16" i="16" s="1"/>
  <c r="J475" i="16"/>
  <c r="J16" i="16" s="1"/>
  <c r="F531" i="15" l="1"/>
  <c r="F532" i="15" s="1"/>
  <c r="G532" i="15" s="1"/>
  <c r="H532" i="15" s="1"/>
  <c r="I532" i="15" s="1"/>
  <c r="J532" i="15" s="1"/>
  <c r="K532" i="15" s="1"/>
  <c r="N532" i="15" s="1"/>
  <c r="O532" i="15" s="1"/>
  <c r="P532" i="15" s="1"/>
  <c r="Q532" i="15" s="1"/>
  <c r="R532" i="15" s="1"/>
  <c r="S532" i="15" s="1"/>
  <c r="F526" i="15"/>
  <c r="L527" i="15"/>
  <c r="F19" i="15"/>
  <c r="W591" i="23"/>
  <c r="W590" i="23" s="1"/>
  <c r="X591" i="23"/>
  <c r="U590" i="23"/>
  <c r="M563" i="23"/>
  <c r="U563" i="23"/>
  <c r="L543" i="15"/>
  <c r="U544" i="15"/>
  <c r="X544" i="15" s="1"/>
  <c r="M544" i="15"/>
  <c r="M543" i="15" s="1"/>
  <c r="X638" i="15"/>
  <c r="U637" i="15"/>
  <c r="W638" i="15"/>
  <c r="W637" i="15" s="1"/>
  <c r="M561" i="23"/>
  <c r="M560" i="23" s="1"/>
  <c r="L560" i="23"/>
  <c r="U561" i="23"/>
  <c r="M593" i="23"/>
  <c r="U593" i="23"/>
  <c r="I474" i="16"/>
  <c r="K474" i="16"/>
  <c r="H397" i="23"/>
  <c r="J474" i="16"/>
  <c r="L489" i="16"/>
  <c r="U490" i="16"/>
  <c r="M490" i="16"/>
  <c r="M489" i="16" s="1"/>
  <c r="I398" i="23"/>
  <c r="H474" i="16"/>
  <c r="H412" i="23"/>
  <c r="G475" i="16"/>
  <c r="G16" i="16" s="1"/>
  <c r="X593" i="23" l="1"/>
  <c r="W593" i="23"/>
  <c r="W561" i="23"/>
  <c r="W560" i="23" s="1"/>
  <c r="U560" i="23"/>
  <c r="X561" i="23"/>
  <c r="F12" i="15"/>
  <c r="T12" i="15" s="1"/>
  <c r="L19" i="15"/>
  <c r="U543" i="15"/>
  <c r="W544" i="15"/>
  <c r="X563" i="23"/>
  <c r="W563" i="23"/>
  <c r="L526" i="15"/>
  <c r="M527" i="15"/>
  <c r="M526" i="15" s="1"/>
  <c r="U527" i="15"/>
  <c r="X527" i="15" s="1"/>
  <c r="G474" i="16"/>
  <c r="L475" i="16"/>
  <c r="I397" i="23"/>
  <c r="G412" i="23"/>
  <c r="G398" i="23"/>
  <c r="U489" i="16"/>
  <c r="W490" i="16"/>
  <c r="W489" i="16" s="1"/>
  <c r="W543" i="15" l="1"/>
  <c r="W527" i="15"/>
  <c r="U526" i="15"/>
  <c r="M19" i="15"/>
  <c r="U19" i="15"/>
  <c r="L474" i="16"/>
  <c r="M475" i="16"/>
  <c r="M474" i="16" s="1"/>
  <c r="U475" i="16"/>
  <c r="G397" i="23"/>
  <c r="W19" i="15" l="1"/>
  <c r="W526" i="15"/>
  <c r="U474" i="16"/>
  <c r="W475" i="16"/>
  <c r="W474" i="16" s="1"/>
  <c r="L708" i="16"/>
  <c r="M708" i="16" s="1"/>
  <c r="M707" i="16" s="1"/>
  <c r="F707" i="16"/>
  <c r="F520" i="16"/>
  <c r="F522" i="16" s="1"/>
  <c r="F16" i="16" l="1"/>
  <c r="L520" i="16"/>
  <c r="U708" i="16"/>
  <c r="F519" i="16"/>
  <c r="L707" i="16"/>
  <c r="L616" i="23"/>
  <c r="T3" i="16" l="1"/>
  <c r="L519" i="16"/>
  <c r="M520" i="16"/>
  <c r="M519" i="16" s="1"/>
  <c r="U520" i="16"/>
  <c r="M616" i="23"/>
  <c r="M615" i="23" s="1"/>
  <c r="L615" i="23"/>
  <c r="U616" i="23"/>
  <c r="U707" i="16"/>
  <c r="W708" i="16"/>
  <c r="W707" i="16" s="1"/>
  <c r="W616" i="23" l="1"/>
  <c r="W615" i="23" s="1"/>
  <c r="U615" i="23"/>
  <c r="U519" i="16"/>
  <c r="W520" i="16"/>
  <c r="W519" i="16" l="1"/>
  <c r="F717" i="16"/>
  <c r="F718" i="16" s="1"/>
  <c r="J717" i="16"/>
  <c r="J527" i="16"/>
  <c r="H717" i="16"/>
  <c r="H527" i="16"/>
  <c r="H526" i="16" s="1"/>
  <c r="H620" i="23"/>
  <c r="I717" i="16"/>
  <c r="G717" i="16"/>
  <c r="K717" i="16"/>
  <c r="L713" i="16"/>
  <c r="M713" i="16" s="1"/>
  <c r="M712" i="16" s="1"/>
  <c r="J620" i="23"/>
  <c r="I527" i="16"/>
  <c r="I526" i="16" s="1"/>
  <c r="G527" i="16"/>
  <c r="G526" i="16" s="1"/>
  <c r="K527" i="16"/>
  <c r="K526" i="16" s="1"/>
  <c r="K529" i="16"/>
  <c r="K21" i="16" s="1"/>
  <c r="K712" i="16"/>
  <c r="K620" i="23"/>
  <c r="J712" i="16"/>
  <c r="I712" i="16"/>
  <c r="I620" i="23"/>
  <c r="H712" i="16"/>
  <c r="G712" i="16"/>
  <c r="G620" i="23"/>
  <c r="L715" i="16"/>
  <c r="L623" i="23"/>
  <c r="F712" i="16"/>
  <c r="F625" i="23"/>
  <c r="F626" i="23" s="1"/>
  <c r="J526" i="16" l="1"/>
  <c r="G31" i="28"/>
  <c r="G531" i="16"/>
  <c r="U713" i="16"/>
  <c r="U712" i="16" s="1"/>
  <c r="L621" i="23"/>
  <c r="M621" i="23" s="1"/>
  <c r="M620" i="23" s="1"/>
  <c r="M623" i="23"/>
  <c r="U623" i="23"/>
  <c r="X623" i="23" s="1"/>
  <c r="U715" i="16"/>
  <c r="W715" i="16" s="1"/>
  <c r="M715" i="16"/>
  <c r="G718" i="16"/>
  <c r="H718" i="16" s="1"/>
  <c r="I718" i="16" s="1"/>
  <c r="J718" i="16" s="1"/>
  <c r="K718" i="16" s="1"/>
  <c r="N718" i="16" s="1"/>
  <c r="O718" i="16" s="1"/>
  <c r="P718" i="16" s="1"/>
  <c r="Q718" i="16" s="1"/>
  <c r="R718" i="16" s="1"/>
  <c r="S718" i="16" s="1"/>
  <c r="U621" i="23"/>
  <c r="X621" i="23" s="1"/>
  <c r="G625" i="23"/>
  <c r="G626" i="23" s="1"/>
  <c r="K625" i="23"/>
  <c r="J529" i="16"/>
  <c r="J21" i="16" s="1"/>
  <c r="I529" i="16"/>
  <c r="I21" i="16" s="1"/>
  <c r="H529" i="16"/>
  <c r="H21" i="16" s="1"/>
  <c r="L620" i="23"/>
  <c r="H625" i="23"/>
  <c r="F620" i="23"/>
  <c r="H531" i="16"/>
  <c r="J531" i="16"/>
  <c r="J19" i="16"/>
  <c r="J12" i="16" s="1"/>
  <c r="H19" i="16"/>
  <c r="H12" i="16" s="1"/>
  <c r="K19" i="16"/>
  <c r="K12" i="16" s="1"/>
  <c r="L712" i="16"/>
  <c r="I19" i="16"/>
  <c r="I12" i="16" s="1"/>
  <c r="I625" i="23"/>
  <c r="K531" i="16"/>
  <c r="I531" i="16"/>
  <c r="J625" i="23"/>
  <c r="H31" i="28" l="1"/>
  <c r="W713" i="16"/>
  <c r="W712" i="16" s="1"/>
  <c r="H626" i="23"/>
  <c r="I626" i="23" s="1"/>
  <c r="J626" i="23" s="1"/>
  <c r="K626" i="23" s="1"/>
  <c r="N626" i="23" s="1"/>
  <c r="O626" i="23" s="1"/>
  <c r="P626" i="23" s="1"/>
  <c r="Q626" i="23" s="1"/>
  <c r="R626" i="23" s="1"/>
  <c r="S626" i="23" s="1"/>
  <c r="U620" i="23"/>
  <c r="W621" i="23"/>
  <c r="W620" i="23" s="1"/>
  <c r="W623" i="23"/>
  <c r="F595" i="16" l="1"/>
  <c r="F596" i="16" s="1"/>
  <c r="G596" i="16" s="1"/>
  <c r="H596" i="16" s="1"/>
  <c r="I596" i="16" s="1"/>
  <c r="J596" i="16" s="1"/>
  <c r="K596" i="16" s="1"/>
  <c r="N596" i="16" s="1"/>
  <c r="O596" i="16" s="1"/>
  <c r="P596" i="16" s="1"/>
  <c r="Q596" i="16" s="1"/>
  <c r="R596" i="16" s="1"/>
  <c r="S596" i="16" s="1"/>
  <c r="L591" i="16" l="1"/>
  <c r="F593" i="16"/>
  <c r="L593" i="16" l="1"/>
  <c r="F516" i="23"/>
  <c r="L516" i="23" s="1"/>
  <c r="U593" i="16"/>
  <c r="M593" i="16"/>
  <c r="L590" i="16"/>
  <c r="M591" i="16"/>
  <c r="M590" i="16" s="1"/>
  <c r="U591" i="16"/>
  <c r="U516" i="23" l="1"/>
  <c r="M516" i="23"/>
  <c r="W591" i="16"/>
  <c r="W590" i="16" s="1"/>
  <c r="U590" i="16"/>
  <c r="W593" i="16"/>
  <c r="X593" i="16"/>
  <c r="X516" i="23" l="1"/>
  <c r="W516" i="23"/>
  <c r="L576" i="16"/>
  <c r="F580" i="16"/>
  <c r="F578" i="16"/>
  <c r="F563" i="16" l="1"/>
  <c r="F546" i="16" s="1"/>
  <c r="F501" i="23"/>
  <c r="F486" i="23" s="1"/>
  <c r="F469" i="23" s="1"/>
  <c r="F498" i="23"/>
  <c r="F503" i="23"/>
  <c r="F581" i="16"/>
  <c r="F565" i="16"/>
  <c r="L578" i="16"/>
  <c r="L561" i="16"/>
  <c r="F560" i="16"/>
  <c r="L575" i="16"/>
  <c r="M576" i="16"/>
  <c r="M575" i="16" s="1"/>
  <c r="U576" i="16"/>
  <c r="F548" i="16" l="1"/>
  <c r="F549" i="16" s="1"/>
  <c r="G549" i="16" s="1"/>
  <c r="H549" i="16" s="1"/>
  <c r="I549" i="16" s="1"/>
  <c r="J549" i="16" s="1"/>
  <c r="K549" i="16" s="1"/>
  <c r="N549" i="16" s="1"/>
  <c r="O549" i="16" s="1"/>
  <c r="P549" i="16" s="1"/>
  <c r="Q549" i="16" s="1"/>
  <c r="R549" i="16" s="1"/>
  <c r="S549" i="16" s="1"/>
  <c r="F543" i="16"/>
  <c r="L544" i="16"/>
  <c r="F527" i="16"/>
  <c r="F19" i="16" s="1"/>
  <c r="F12" i="16" s="1"/>
  <c r="L560" i="16"/>
  <c r="M561" i="16"/>
  <c r="M560" i="16" s="1"/>
  <c r="U561" i="16"/>
  <c r="F483" i="23"/>
  <c r="X576" i="16"/>
  <c r="W576" i="16"/>
  <c r="W575" i="16" s="1"/>
  <c r="U575" i="16"/>
  <c r="L563" i="16"/>
  <c r="M578" i="16"/>
  <c r="U578" i="16"/>
  <c r="F566" i="16"/>
  <c r="G581" i="16"/>
  <c r="F488" i="23"/>
  <c r="F504" i="23"/>
  <c r="U560" i="16" l="1"/>
  <c r="W561" i="16"/>
  <c r="W560" i="16" s="1"/>
  <c r="G504" i="23"/>
  <c r="F489" i="23"/>
  <c r="G566" i="16"/>
  <c r="H581" i="16"/>
  <c r="W578" i="16"/>
  <c r="X578" i="16"/>
  <c r="L546" i="16"/>
  <c r="F529" i="16"/>
  <c r="F526" i="16"/>
  <c r="F531" i="16"/>
  <c r="F532" i="16" s="1"/>
  <c r="G532" i="16" s="1"/>
  <c r="H532" i="16" s="1"/>
  <c r="I532" i="16" s="1"/>
  <c r="J532" i="16" s="1"/>
  <c r="K532" i="16" s="1"/>
  <c r="N532" i="16" s="1"/>
  <c r="O532" i="16" s="1"/>
  <c r="P532" i="16" s="1"/>
  <c r="Q532" i="16" s="1"/>
  <c r="R532" i="16" s="1"/>
  <c r="S532" i="16" s="1"/>
  <c r="L527" i="16"/>
  <c r="M563" i="16"/>
  <c r="U563" i="16"/>
  <c r="F466" i="23"/>
  <c r="F471" i="23"/>
  <c r="F472" i="23" s="1"/>
  <c r="G472" i="23" s="1"/>
  <c r="H472" i="23" s="1"/>
  <c r="L543" i="16"/>
  <c r="M544" i="16"/>
  <c r="M543" i="16" s="1"/>
  <c r="U544" i="16"/>
  <c r="X563" i="16" l="1"/>
  <c r="W563" i="16"/>
  <c r="L526" i="16"/>
  <c r="M527" i="16"/>
  <c r="M526" i="16" s="1"/>
  <c r="U527" i="16"/>
  <c r="M546" i="16"/>
  <c r="U546" i="16"/>
  <c r="G489" i="23"/>
  <c r="H504" i="23"/>
  <c r="U543" i="16"/>
  <c r="W544" i="16"/>
  <c r="F21" i="16"/>
  <c r="L529" i="16"/>
  <c r="H566" i="16"/>
  <c r="I581" i="16"/>
  <c r="I566" i="16" l="1"/>
  <c r="J581" i="16"/>
  <c r="M529" i="16"/>
  <c r="U529" i="16"/>
  <c r="H489" i="23"/>
  <c r="W546" i="16"/>
  <c r="X546" i="16"/>
  <c r="U526" i="16"/>
  <c r="W527" i="16"/>
  <c r="W543" i="16"/>
  <c r="X529" i="16" l="1"/>
  <c r="W529" i="16"/>
  <c r="F13" i="27" s="1"/>
  <c r="J566" i="16"/>
  <c r="K581" i="16"/>
  <c r="W526" i="16"/>
  <c r="N581" i="16" l="1"/>
  <c r="N566" i="16" s="1"/>
  <c r="K566" i="16"/>
  <c r="O581" i="16" l="1"/>
  <c r="O566" i="16" s="1"/>
  <c r="P581" i="16" l="1"/>
  <c r="P566" i="16" s="1"/>
  <c r="Q581" i="16" l="1"/>
  <c r="Q566" i="16" l="1"/>
  <c r="R581" i="16"/>
  <c r="R566" i="16" l="1"/>
  <c r="S581" i="16"/>
  <c r="S566" i="16" s="1"/>
  <c r="I60" i="18" l="1"/>
  <c r="H43" i="18"/>
  <c r="J43" i="18"/>
  <c r="K43" i="18"/>
  <c r="L137" i="18"/>
  <c r="G60" i="23" l="1"/>
  <c r="G43" i="23" s="1"/>
  <c r="H60" i="23"/>
  <c r="H43" i="23" s="1"/>
  <c r="L136" i="18"/>
  <c r="M137" i="18"/>
  <c r="M136" i="18" s="1"/>
  <c r="U137" i="18"/>
  <c r="K42" i="18"/>
  <c r="K45" i="18"/>
  <c r="J42" i="18"/>
  <c r="J45" i="18"/>
  <c r="H45" i="18"/>
  <c r="H42" i="18"/>
  <c r="I26" i="18"/>
  <c r="I25" i="18" s="1"/>
  <c r="I59" i="18"/>
  <c r="I62" i="18"/>
  <c r="I28" i="18" s="1"/>
  <c r="K60" i="18"/>
  <c r="G60" i="18"/>
  <c r="J60" i="18"/>
  <c r="H60" i="18"/>
  <c r="I43" i="18"/>
  <c r="G43" i="18"/>
  <c r="G26" i="23" l="1"/>
  <c r="G28" i="23" s="1"/>
  <c r="G45" i="23"/>
  <c r="H26" i="23"/>
  <c r="H25" i="23" s="1"/>
  <c r="H59" i="23"/>
  <c r="G42" i="18"/>
  <c r="L43" i="18"/>
  <c r="G45" i="18"/>
  <c r="I42" i="18"/>
  <c r="I45" i="18"/>
  <c r="J59" i="18"/>
  <c r="J62" i="18"/>
  <c r="J28" i="18" s="1"/>
  <c r="J26" i="18"/>
  <c r="J25" i="18" s="1"/>
  <c r="G59" i="18"/>
  <c r="G62" i="18"/>
  <c r="G26" i="18"/>
  <c r="L60" i="18"/>
  <c r="H59" i="18"/>
  <c r="H62" i="18"/>
  <c r="H28" i="18" s="1"/>
  <c r="H26" i="18"/>
  <c r="H25" i="18" s="1"/>
  <c r="K62" i="18"/>
  <c r="K28" i="18" s="1"/>
  <c r="K59" i="18"/>
  <c r="K26" i="18"/>
  <c r="K25" i="18" s="1"/>
  <c r="W137" i="18"/>
  <c r="W136" i="18" s="1"/>
  <c r="U136" i="18"/>
  <c r="H42" i="23"/>
  <c r="G42" i="23"/>
  <c r="G59" i="23"/>
  <c r="G62" i="23"/>
  <c r="G25" i="23" l="1"/>
  <c r="G25" i="18"/>
  <c r="L26" i="18"/>
  <c r="L45" i="18"/>
  <c r="M60" i="18"/>
  <c r="M59" i="18" s="1"/>
  <c r="L59" i="18"/>
  <c r="U60" i="18"/>
  <c r="L62" i="18"/>
  <c r="G28" i="18"/>
  <c r="L42" i="18"/>
  <c r="M43" i="18"/>
  <c r="M42" i="18" s="1"/>
  <c r="U43" i="18"/>
  <c r="W43" i="18" l="1"/>
  <c r="W42" i="18" s="1"/>
  <c r="U42" i="18"/>
  <c r="U62" i="18"/>
  <c r="M62" i="18"/>
  <c r="M45" i="18"/>
  <c r="U45" i="18"/>
  <c r="L28" i="18"/>
  <c r="U59" i="18"/>
  <c r="W60" i="18"/>
  <c r="U26" i="18"/>
  <c r="U25" i="18" s="1"/>
  <c r="L25" i="18"/>
  <c r="M26" i="18"/>
  <c r="M25" i="18" s="1"/>
  <c r="W26" i="18" l="1"/>
  <c r="W59" i="18"/>
  <c r="M28" i="18"/>
  <c r="U28" i="18"/>
  <c r="W45" i="18"/>
  <c r="W62" i="18"/>
  <c r="W25" i="18" l="1"/>
  <c r="W28" i="18"/>
  <c r="I142" i="23" l="1"/>
  <c r="I141" i="23" s="1"/>
  <c r="F144" i="18"/>
  <c r="F144" i="23" s="1"/>
  <c r="H146" i="18" l="1"/>
  <c r="H142" i="23"/>
  <c r="H141" i="23" s="1"/>
  <c r="G146" i="18"/>
  <c r="G142" i="23"/>
  <c r="G141" i="23" s="1"/>
  <c r="H67" i="18"/>
  <c r="H71" i="18" s="1"/>
  <c r="G144" i="18"/>
  <c r="G144" i="23" s="1"/>
  <c r="J146" i="18"/>
  <c r="J67" i="18"/>
  <c r="J144" i="18"/>
  <c r="J144" i="23" s="1"/>
  <c r="I144" i="18"/>
  <c r="I144" i="23" s="1"/>
  <c r="I146" i="18"/>
  <c r="I67" i="18"/>
  <c r="F69" i="18"/>
  <c r="F35" i="18" s="1"/>
  <c r="F146" i="23"/>
  <c r="F147" i="23" s="1"/>
  <c r="F146" i="18"/>
  <c r="F147" i="18" s="1"/>
  <c r="F67" i="18"/>
  <c r="H50" i="18"/>
  <c r="H66" i="18"/>
  <c r="H33" i="18"/>
  <c r="H144" i="18"/>
  <c r="H144" i="23" s="1"/>
  <c r="G69" i="18"/>
  <c r="G35" i="18" s="1"/>
  <c r="G67" i="18"/>
  <c r="G147" i="18" l="1"/>
  <c r="H147" i="18" s="1"/>
  <c r="I147" i="18" s="1"/>
  <c r="J147" i="18" s="1"/>
  <c r="G146" i="23"/>
  <c r="G147" i="23" s="1"/>
  <c r="H69" i="18"/>
  <c r="H35" i="18" s="1"/>
  <c r="H69" i="23"/>
  <c r="H52" i="23" s="1"/>
  <c r="H35" i="23" s="1"/>
  <c r="F66" i="18"/>
  <c r="F71" i="18"/>
  <c r="F72" i="18" s="1"/>
  <c r="F50" i="18"/>
  <c r="F33" i="18"/>
  <c r="J146" i="23"/>
  <c r="I69" i="18"/>
  <c r="I35" i="18" s="1"/>
  <c r="I69" i="23"/>
  <c r="I52" i="23" s="1"/>
  <c r="I35" i="23" s="1"/>
  <c r="J66" i="18"/>
  <c r="J50" i="18"/>
  <c r="J33" i="18"/>
  <c r="J71" i="18"/>
  <c r="G50" i="18"/>
  <c r="G66" i="18"/>
  <c r="G71" i="18"/>
  <c r="G72" i="18" s="1"/>
  <c r="H72" i="18" s="1"/>
  <c r="G33" i="18"/>
  <c r="G52" i="18"/>
  <c r="H67" i="23"/>
  <c r="H50" i="23" s="1"/>
  <c r="H33" i="23" s="1"/>
  <c r="H146" i="23"/>
  <c r="H19" i="18"/>
  <c r="H12" i="18" s="1"/>
  <c r="H32" i="18"/>
  <c r="H37" i="18"/>
  <c r="H49" i="18"/>
  <c r="H54" i="18"/>
  <c r="F52" i="18"/>
  <c r="I71" i="18"/>
  <c r="I72" i="18" s="1"/>
  <c r="I33" i="18"/>
  <c r="I50" i="18"/>
  <c r="I66" i="18"/>
  <c r="I146" i="23"/>
  <c r="I67" i="23"/>
  <c r="I50" i="23" s="1"/>
  <c r="I33" i="23" s="1"/>
  <c r="J69" i="18"/>
  <c r="J35" i="18" l="1"/>
  <c r="H147" i="23"/>
  <c r="I147" i="23" s="1"/>
  <c r="J147" i="23" s="1"/>
  <c r="I54" i="18"/>
  <c r="I49" i="18"/>
  <c r="G32" i="18"/>
  <c r="G37" i="18"/>
  <c r="J72" i="18"/>
  <c r="J49" i="18"/>
  <c r="J54" i="18"/>
  <c r="F37" i="18"/>
  <c r="F38" i="18" s="1"/>
  <c r="F32" i="18"/>
  <c r="F19" i="18"/>
  <c r="F12" i="18" s="1"/>
  <c r="I66" i="23"/>
  <c r="I71" i="23"/>
  <c r="J52" i="18"/>
  <c r="J21" i="18"/>
  <c r="I19" i="18"/>
  <c r="I12" i="18" s="1"/>
  <c r="I32" i="18"/>
  <c r="I37" i="18"/>
  <c r="F21" i="18"/>
  <c r="H66" i="23"/>
  <c r="H71" i="23"/>
  <c r="G49" i="18"/>
  <c r="G54" i="18"/>
  <c r="J32" i="18"/>
  <c r="J19" i="18"/>
  <c r="J12" i="18" s="1"/>
  <c r="J37" i="18"/>
  <c r="I52" i="18"/>
  <c r="I21" i="18"/>
  <c r="F49" i="18"/>
  <c r="F54" i="18"/>
  <c r="F55" i="18" s="1"/>
  <c r="H52" i="18"/>
  <c r="H21" i="18"/>
  <c r="H32" i="23" l="1"/>
  <c r="H37" i="23"/>
  <c r="I32" i="23"/>
  <c r="I37" i="23"/>
  <c r="G38" i="18"/>
  <c r="H38" i="18" s="1"/>
  <c r="I38" i="18" s="1"/>
  <c r="J38" i="18" s="1"/>
  <c r="G55" i="18"/>
  <c r="H55" i="18" s="1"/>
  <c r="I55" i="18" s="1"/>
  <c r="J55" i="18" s="1"/>
  <c r="H54" i="23"/>
  <c r="H49" i="23"/>
  <c r="I54" i="23"/>
  <c r="I49" i="23"/>
  <c r="G553" i="18" l="1"/>
  <c r="J553" i="18" l="1"/>
  <c r="J537" i="18"/>
  <c r="J539" i="18" s="1"/>
  <c r="I553" i="18"/>
  <c r="I537" i="18"/>
  <c r="I539" i="18" s="1"/>
  <c r="H537" i="18"/>
  <c r="H539" i="18" s="1"/>
  <c r="H553" i="18"/>
  <c r="K537" i="18"/>
  <c r="K553" i="18"/>
  <c r="G537" i="18"/>
  <c r="G539" i="18" s="1"/>
  <c r="L571" i="18"/>
  <c r="L554" i="18"/>
  <c r="U571" i="18" l="1"/>
  <c r="L570" i="18"/>
  <c r="M571" i="18"/>
  <c r="M570" i="18" s="1"/>
  <c r="I536" i="18"/>
  <c r="I520" i="18"/>
  <c r="I522" i="18" s="1"/>
  <c r="I16" i="18" s="1"/>
  <c r="J536" i="18"/>
  <c r="J520" i="18"/>
  <c r="J522" i="18" s="1"/>
  <c r="J16" i="18" s="1"/>
  <c r="M554" i="18"/>
  <c r="M553" i="18" s="1"/>
  <c r="U554" i="18"/>
  <c r="L553" i="18"/>
  <c r="L537" i="18"/>
  <c r="G536" i="18"/>
  <c r="G520" i="18"/>
  <c r="G522" i="18" s="1"/>
  <c r="K536" i="18"/>
  <c r="K520" i="18"/>
  <c r="H536" i="18"/>
  <c r="H520" i="18"/>
  <c r="H522" i="18" s="1"/>
  <c r="G16" i="18" l="1"/>
  <c r="G519" i="18"/>
  <c r="L520" i="18"/>
  <c r="H519" i="18"/>
  <c r="K519" i="18"/>
  <c r="L536" i="18"/>
  <c r="U537" i="18"/>
  <c r="M537" i="18"/>
  <c r="M536" i="18" s="1"/>
  <c r="U553" i="18"/>
  <c r="W554" i="18"/>
  <c r="W553" i="18" s="1"/>
  <c r="J519" i="18"/>
  <c r="I519" i="18"/>
  <c r="X576" i="18"/>
  <c r="U570" i="18"/>
  <c r="W571" i="18"/>
  <c r="W570" i="18" s="1"/>
  <c r="L519" i="18" l="1"/>
  <c r="U520" i="18"/>
  <c r="M520" i="18"/>
  <c r="M519" i="18" s="1"/>
  <c r="W537" i="18"/>
  <c r="U536" i="18"/>
  <c r="W536" i="18" l="1"/>
  <c r="U519" i="18"/>
  <c r="W520" i="18"/>
  <c r="W519" i="18" s="1"/>
  <c r="H616" i="18" l="1"/>
  <c r="J616" i="18"/>
  <c r="K616" i="18"/>
  <c r="L616" i="18" s="1"/>
  <c r="L615" i="18" s="1"/>
  <c r="I616" i="18"/>
  <c r="K555" i="18" l="1"/>
  <c r="K539" i="23"/>
  <c r="U616" i="18"/>
  <c r="M616" i="18"/>
  <c r="M615" i="18" s="1"/>
  <c r="K478" i="23" l="1"/>
  <c r="K461" i="23" s="1"/>
  <c r="K444" i="23" s="1"/>
  <c r="K538" i="23"/>
  <c r="K538" i="18"/>
  <c r="K556" i="18"/>
  <c r="L556" i="18" s="1"/>
  <c r="L555" i="18"/>
  <c r="U615" i="18"/>
  <c r="X621" i="18"/>
  <c r="W616" i="18"/>
  <c r="W615" i="18" s="1"/>
  <c r="I351" i="19"/>
  <c r="J351" i="19"/>
  <c r="G351" i="19"/>
  <c r="U556" i="18" l="1"/>
  <c r="M556" i="18"/>
  <c r="M555" i="18"/>
  <c r="U555" i="18"/>
  <c r="W555" i="18" s="1"/>
  <c r="K521" i="18"/>
  <c r="L538" i="18"/>
  <c r="K539" i="18"/>
  <c r="L539" i="18" s="1"/>
  <c r="G350" i="19"/>
  <c r="G353" i="19"/>
  <c r="J350" i="19"/>
  <c r="J353" i="19"/>
  <c r="I353" i="19"/>
  <c r="I350" i="19"/>
  <c r="H351" i="19"/>
  <c r="M538" i="18" l="1"/>
  <c r="U538" i="18"/>
  <c r="W538" i="18" s="1"/>
  <c r="M539" i="18"/>
  <c r="U539" i="18"/>
  <c r="L521" i="18"/>
  <c r="K522" i="18"/>
  <c r="W556" i="18"/>
  <c r="X561" i="18"/>
  <c r="G274" i="23"/>
  <c r="G290" i="23"/>
  <c r="H350" i="19"/>
  <c r="H353" i="19"/>
  <c r="J274" i="23"/>
  <c r="J290" i="23"/>
  <c r="K16" i="18" l="1"/>
  <c r="L522" i="18"/>
  <c r="X544" i="18"/>
  <c r="W539" i="18"/>
  <c r="M521" i="18"/>
  <c r="U521" i="18"/>
  <c r="W521" i="18" s="1"/>
  <c r="J276" i="23"/>
  <c r="J273" i="23"/>
  <c r="G276" i="23"/>
  <c r="G273" i="23"/>
  <c r="M522" i="18" l="1"/>
  <c r="U522" i="18"/>
  <c r="L368" i="19"/>
  <c r="L367" i="19" s="1"/>
  <c r="K351" i="19"/>
  <c r="K290" i="23"/>
  <c r="K274" i="23"/>
  <c r="K353" i="19"/>
  <c r="L353" i="19" s="1"/>
  <c r="L351" i="19"/>
  <c r="K350" i="19"/>
  <c r="W522" i="18" l="1"/>
  <c r="X527" i="18"/>
  <c r="M368" i="19"/>
  <c r="M367" i="19" s="1"/>
  <c r="U368" i="19"/>
  <c r="W368" i="19" s="1"/>
  <c r="W367" i="19" s="1"/>
  <c r="M353" i="19"/>
  <c r="U353" i="19"/>
  <c r="W353" i="19" s="1"/>
  <c r="L350" i="19"/>
  <c r="U351" i="19"/>
  <c r="M351" i="19"/>
  <c r="M350" i="19" s="1"/>
  <c r="X373" i="19"/>
  <c r="K276" i="23"/>
  <c r="K273" i="23"/>
  <c r="U367" i="19" l="1"/>
  <c r="W351" i="19"/>
  <c r="W350" i="19" s="1"/>
  <c r="X358" i="19"/>
  <c r="U350" i="19"/>
  <c r="I413" i="19"/>
  <c r="H352" i="23"/>
  <c r="H413" i="19"/>
  <c r="J413" i="19"/>
  <c r="I352" i="23"/>
  <c r="H412" i="19" l="1"/>
  <c r="H415" i="19"/>
  <c r="J352" i="23"/>
  <c r="J336" i="23"/>
  <c r="K413" i="19"/>
  <c r="I412" i="19"/>
  <c r="I415" i="19"/>
  <c r="I334" i="19"/>
  <c r="L430" i="19"/>
  <c r="G413" i="19"/>
  <c r="I336" i="23"/>
  <c r="J412" i="19"/>
  <c r="J334" i="19"/>
  <c r="J415" i="19"/>
  <c r="H336" i="23"/>
  <c r="H334" i="19"/>
  <c r="G352" i="23" l="1"/>
  <c r="G336" i="23"/>
  <c r="H336" i="19"/>
  <c r="H16" i="19" s="1"/>
  <c r="H333" i="19"/>
  <c r="G412" i="19"/>
  <c r="L413" i="19"/>
  <c r="G334" i="19"/>
  <c r="G415" i="19"/>
  <c r="U430" i="19"/>
  <c r="L429" i="19"/>
  <c r="M430" i="19"/>
  <c r="M429" i="19" s="1"/>
  <c r="K412" i="19"/>
  <c r="K415" i="19"/>
  <c r="K334" i="19"/>
  <c r="J338" i="23"/>
  <c r="J335" i="23"/>
  <c r="J257" i="23"/>
  <c r="H335" i="23"/>
  <c r="H338" i="23"/>
  <c r="J333" i="19"/>
  <c r="J336" i="19"/>
  <c r="J16" i="19" s="1"/>
  <c r="I338" i="23"/>
  <c r="I335" i="23"/>
  <c r="I333" i="19"/>
  <c r="I336" i="19"/>
  <c r="I16" i="19" s="1"/>
  <c r="K336" i="23"/>
  <c r="K352" i="23"/>
  <c r="J259" i="23" l="1"/>
  <c r="J256" i="23"/>
  <c r="X435" i="19"/>
  <c r="U429" i="19"/>
  <c r="W430" i="19"/>
  <c r="W429" i="19" s="1"/>
  <c r="G333" i="19"/>
  <c r="L334" i="19"/>
  <c r="G336" i="19"/>
  <c r="G16" i="19" s="1"/>
  <c r="G338" i="23"/>
  <c r="G257" i="23"/>
  <c r="G335" i="23"/>
  <c r="K335" i="23"/>
  <c r="K257" i="23"/>
  <c r="K338" i="23"/>
  <c r="K333" i="19"/>
  <c r="K336" i="19"/>
  <c r="K16" i="19" s="1"/>
  <c r="L415" i="19"/>
  <c r="M413" i="19"/>
  <c r="M412" i="19" s="1"/>
  <c r="L412" i="19"/>
  <c r="U413" i="19"/>
  <c r="M415" i="19" l="1"/>
  <c r="U415" i="19"/>
  <c r="W415" i="19" s="1"/>
  <c r="M334" i="19"/>
  <c r="M333" i="19" s="1"/>
  <c r="U334" i="19"/>
  <c r="L333" i="19"/>
  <c r="U412" i="19"/>
  <c r="W413" i="19"/>
  <c r="W412" i="19" s="1"/>
  <c r="X420" i="19"/>
  <c r="K256" i="23"/>
  <c r="K259" i="23"/>
  <c r="G256" i="23"/>
  <c r="G259" i="23"/>
  <c r="L336" i="19"/>
  <c r="T3" i="19"/>
  <c r="L16" i="19"/>
  <c r="U333" i="19" l="1"/>
  <c r="W334" i="19"/>
  <c r="W333" i="19" s="1"/>
  <c r="X341" i="19"/>
  <c r="U16" i="19"/>
  <c r="M16" i="19"/>
  <c r="U336" i="19"/>
  <c r="W336" i="19" s="1"/>
  <c r="M336" i="19"/>
  <c r="X19" i="19" l="1"/>
  <c r="W16" i="19"/>
  <c r="F112" i="23"/>
  <c r="F111" i="23" s="1"/>
  <c r="F114" i="22" l="1"/>
  <c r="F67" i="23"/>
  <c r="F50" i="23" s="1"/>
  <c r="F33" i="23" s="1"/>
  <c r="F67" i="22"/>
  <c r="F116" i="22"/>
  <c r="F117" i="22" s="1"/>
  <c r="F116" i="23"/>
  <c r="F117" i="23" s="1"/>
  <c r="F69" i="22"/>
  <c r="F66" i="23" l="1"/>
  <c r="F71" i="23"/>
  <c r="F72" i="23" s="1"/>
  <c r="F37" i="23"/>
  <c r="F38" i="23" s="1"/>
  <c r="F114" i="23"/>
  <c r="F66" i="22"/>
  <c r="F33" i="22"/>
  <c r="F71" i="22"/>
  <c r="F72" i="22" s="1"/>
  <c r="F50" i="22"/>
  <c r="F32" i="23"/>
  <c r="F52" i="22"/>
  <c r="F35" i="22"/>
  <c r="F54" i="23"/>
  <c r="F55" i="23" s="1"/>
  <c r="F49" i="23"/>
  <c r="F69" i="23" l="1"/>
  <c r="F52" i="23" s="1"/>
  <c r="F35" i="23" s="1"/>
  <c r="F21" i="22"/>
  <c r="F54" i="22"/>
  <c r="F55" i="22" s="1"/>
  <c r="F49" i="22"/>
  <c r="F32" i="22"/>
  <c r="F37" i="22"/>
  <c r="F38" i="22" s="1"/>
  <c r="F19" i="22"/>
  <c r="F12" i="22" s="1"/>
  <c r="F493" i="23" l="1"/>
  <c r="F554" i="22" l="1"/>
  <c r="F556" i="22" l="1"/>
  <c r="F537" i="22"/>
  <c r="F539" i="22" s="1"/>
  <c r="F553" i="22"/>
  <c r="F476" i="23"/>
  <c r="F460" i="23"/>
  <c r="F443" i="23" s="1"/>
  <c r="F459" i="23" l="1"/>
  <c r="F536" i="22"/>
  <c r="F520" i="22"/>
  <c r="F522" i="22" s="1"/>
  <c r="F16" i="22" l="1"/>
  <c r="F442" i="23"/>
  <c r="F519" i="22"/>
  <c r="G554" i="22" l="1"/>
  <c r="G556" i="22" s="1"/>
  <c r="G494" i="23"/>
  <c r="I554" i="22"/>
  <c r="I556" i="22" s="1"/>
  <c r="I494" i="23"/>
  <c r="H554" i="22"/>
  <c r="H556" i="22" s="1"/>
  <c r="H494" i="23"/>
  <c r="H477" i="23" s="1"/>
  <c r="H479" i="23" s="1"/>
  <c r="K554" i="22"/>
  <c r="K556" i="22" s="1"/>
  <c r="K494" i="23"/>
  <c r="K493" i="23" s="1"/>
  <c r="I553" i="22"/>
  <c r="I537" i="22"/>
  <c r="I539" i="22" s="1"/>
  <c r="K537" i="22"/>
  <c r="K539" i="22" s="1"/>
  <c r="K553" i="22"/>
  <c r="K477" i="23" l="1"/>
  <c r="K479" i="23" s="1"/>
  <c r="H493" i="23"/>
  <c r="G493" i="23"/>
  <c r="G477" i="23"/>
  <c r="G479" i="23" s="1"/>
  <c r="H537" i="22"/>
  <c r="H539" i="22" s="1"/>
  <c r="H553" i="22"/>
  <c r="I477" i="23"/>
  <c r="I493" i="23"/>
  <c r="H460" i="23"/>
  <c r="H443" i="23" s="1"/>
  <c r="H445" i="23" s="1"/>
  <c r="H476" i="23"/>
  <c r="I520" i="22"/>
  <c r="I522" i="22" s="1"/>
  <c r="I16" i="22" s="1"/>
  <c r="I536" i="22"/>
  <c r="G553" i="22"/>
  <c r="G537" i="22"/>
  <c r="G539" i="22" s="1"/>
  <c r="K536" i="22"/>
  <c r="K520" i="22"/>
  <c r="K522" i="22" s="1"/>
  <c r="K16" i="22" s="1"/>
  <c r="K476" i="23" l="1"/>
  <c r="K460" i="23"/>
  <c r="K443" i="23" s="1"/>
  <c r="K445" i="23" s="1"/>
  <c r="H459" i="23"/>
  <c r="H462" i="23"/>
  <c r="G536" i="22"/>
  <c r="G520" i="22"/>
  <c r="G522" i="22" s="1"/>
  <c r="I519" i="22"/>
  <c r="I476" i="23"/>
  <c r="I460" i="23"/>
  <c r="I443" i="23" s="1"/>
  <c r="H536" i="22"/>
  <c r="H520" i="22"/>
  <c r="H522" i="22" s="1"/>
  <c r="H16" i="22" s="1"/>
  <c r="G460" i="23"/>
  <c r="G443" i="23" s="1"/>
  <c r="G445" i="23" s="1"/>
  <c r="G16" i="23" s="1"/>
  <c r="G476" i="23"/>
  <c r="K519" i="22"/>
  <c r="K462" i="23" l="1"/>
  <c r="K459" i="23"/>
  <c r="G16" i="22"/>
  <c r="G462" i="23"/>
  <c r="K442" i="23"/>
  <c r="H442" i="23"/>
  <c r="I459" i="23"/>
  <c r="G459" i="23"/>
  <c r="H519" i="22"/>
  <c r="G519" i="22"/>
  <c r="G442" i="23" l="1"/>
  <c r="I442" i="23"/>
  <c r="L616" i="8" l="1"/>
  <c r="U616" i="8" s="1"/>
  <c r="F555" i="8"/>
  <c r="L555" i="8" s="1"/>
  <c r="F615" i="8"/>
  <c r="F539" i="23"/>
  <c r="F538" i="23" s="1"/>
  <c r="X621" i="8" l="1"/>
  <c r="U615" i="8"/>
  <c r="W616" i="8"/>
  <c r="W615" i="8" s="1"/>
  <c r="M555" i="8"/>
  <c r="U555" i="8"/>
  <c r="W555" i="8" s="1"/>
  <c r="L539" i="23"/>
  <c r="M616" i="8"/>
  <c r="M615" i="8" s="1"/>
  <c r="L615" i="8"/>
  <c r="F538" i="8"/>
  <c r="F556" i="8"/>
  <c r="L556" i="8" s="1"/>
  <c r="U556" i="8" l="1"/>
  <c r="W556" i="8" s="1"/>
  <c r="M556" i="8"/>
  <c r="M539" i="23"/>
  <c r="M538" i="23" s="1"/>
  <c r="U539" i="23"/>
  <c r="L538" i="23"/>
  <c r="F539" i="8"/>
  <c r="L539" i="8" s="1"/>
  <c r="F521" i="8"/>
  <c r="M539" i="8" l="1"/>
  <c r="U539" i="8"/>
  <c r="W539" i="8" s="1"/>
  <c r="U538" i="23"/>
  <c r="X544" i="23"/>
  <c r="W539" i="23"/>
  <c r="W538" i="23" s="1"/>
  <c r="F522" i="8"/>
  <c r="L522" i="8" s="1"/>
  <c r="L521" i="8"/>
  <c r="U521" i="8" l="1"/>
  <c r="W521" i="8" s="1"/>
  <c r="M521" i="8"/>
  <c r="U522" i="8"/>
  <c r="W522" i="8" s="1"/>
  <c r="M522" i="8"/>
  <c r="L430" i="7" l="1"/>
  <c r="U430" i="7" s="1"/>
  <c r="F413" i="7"/>
  <c r="F412" i="7" s="1"/>
  <c r="F353" i="23"/>
  <c r="F336" i="23" s="1"/>
  <c r="F334" i="7" l="1"/>
  <c r="F333" i="7" s="1"/>
  <c r="F415" i="7"/>
  <c r="L415" i="7" s="1"/>
  <c r="M415" i="7" s="1"/>
  <c r="L336" i="23"/>
  <c r="F257" i="23"/>
  <c r="F335" i="23"/>
  <c r="F338" i="23"/>
  <c r="L338" i="23" s="1"/>
  <c r="U415" i="7"/>
  <c r="X435" i="7"/>
  <c r="W430" i="7"/>
  <c r="W429" i="7" s="1"/>
  <c r="U429" i="7"/>
  <c r="L353" i="23"/>
  <c r="L334" i="7"/>
  <c r="F352" i="23"/>
  <c r="L429" i="7"/>
  <c r="F16" i="7"/>
  <c r="F336" i="7"/>
  <c r="L336" i="7" s="1"/>
  <c r="L413" i="7"/>
  <c r="M430" i="7"/>
  <c r="M429" i="7" s="1"/>
  <c r="U413" i="7" l="1"/>
  <c r="M413" i="7"/>
  <c r="M412" i="7" s="1"/>
  <c r="L412" i="7"/>
  <c r="L352" i="23"/>
  <c r="U353" i="23"/>
  <c r="M353" i="23"/>
  <c r="M352" i="23" s="1"/>
  <c r="W415" i="7"/>
  <c r="X420" i="7"/>
  <c r="M338" i="23"/>
  <c r="U338" i="23"/>
  <c r="W338" i="23" s="1"/>
  <c r="F256" i="23"/>
  <c r="F259" i="23"/>
  <c r="M336" i="7"/>
  <c r="U336" i="7"/>
  <c r="W336" i="7" s="1"/>
  <c r="M334" i="7"/>
  <c r="M333" i="7" s="1"/>
  <c r="U334" i="7"/>
  <c r="L333" i="7"/>
  <c r="U336" i="23"/>
  <c r="L335" i="23"/>
  <c r="M336" i="23"/>
  <c r="M335" i="23" s="1"/>
  <c r="W336" i="23" l="1"/>
  <c r="W335" i="23" s="1"/>
  <c r="U335" i="23"/>
  <c r="X341" i="7"/>
  <c r="U333" i="7"/>
  <c r="W334" i="7"/>
  <c r="W333" i="7" s="1"/>
  <c r="U352" i="23"/>
  <c r="W353" i="23"/>
  <c r="W352" i="23" s="1"/>
  <c r="W413" i="7"/>
  <c r="W412" i="7" s="1"/>
  <c r="U412" i="7"/>
  <c r="L82" i="16" l="1"/>
  <c r="M82" i="16" s="1"/>
  <c r="M81" i="16" s="1"/>
  <c r="G86" i="16"/>
  <c r="G87" i="16" s="1"/>
  <c r="H87" i="16" s="1"/>
  <c r="I87" i="16" s="1"/>
  <c r="J87" i="16" s="1"/>
  <c r="K87" i="16" s="1"/>
  <c r="N87" i="16" s="1"/>
  <c r="O87" i="16" s="1"/>
  <c r="P87" i="16" s="1"/>
  <c r="Q87" i="16" s="1"/>
  <c r="R87" i="16" s="1"/>
  <c r="S87" i="16" s="1"/>
  <c r="G67" i="16"/>
  <c r="G66" i="16" s="1"/>
  <c r="G82" i="23"/>
  <c r="G84" i="16"/>
  <c r="G84" i="23"/>
  <c r="L84" i="16" l="1"/>
  <c r="G69" i="16"/>
  <c r="G86" i="23"/>
  <c r="G87" i="23" s="1"/>
  <c r="H87" i="23" s="1"/>
  <c r="I87" i="23" s="1"/>
  <c r="G81" i="23"/>
  <c r="G33" i="16"/>
  <c r="U82" i="16"/>
  <c r="L67" i="16"/>
  <c r="L81" i="16"/>
  <c r="G50" i="16"/>
  <c r="G71" i="16"/>
  <c r="G72" i="16" s="1"/>
  <c r="H72" i="16" s="1"/>
  <c r="I72" i="16" s="1"/>
  <c r="J72" i="16" s="1"/>
  <c r="K72" i="16" s="1"/>
  <c r="N72" i="16" s="1"/>
  <c r="O72" i="16" s="1"/>
  <c r="P72" i="16" s="1"/>
  <c r="Q72" i="16" s="1"/>
  <c r="R72" i="16" s="1"/>
  <c r="S72" i="16" s="1"/>
  <c r="G32" i="16" l="1"/>
  <c r="L33" i="16"/>
  <c r="G37" i="16"/>
  <c r="G38" i="16" s="1"/>
  <c r="H38" i="16" s="1"/>
  <c r="I38" i="16" s="1"/>
  <c r="J38" i="16" s="1"/>
  <c r="K38" i="16" s="1"/>
  <c r="N38" i="16" s="1"/>
  <c r="O38" i="16" s="1"/>
  <c r="P38" i="16" s="1"/>
  <c r="Q38" i="16" s="1"/>
  <c r="R38" i="16" s="1"/>
  <c r="S38" i="16" s="1"/>
  <c r="U81" i="16"/>
  <c r="W82" i="16"/>
  <c r="W81" i="16" s="1"/>
  <c r="X82" i="16"/>
  <c r="M84" i="16"/>
  <c r="U84" i="16"/>
  <c r="G49" i="16"/>
  <c r="G54" i="16"/>
  <c r="G55" i="16" s="1"/>
  <c r="H55" i="16" s="1"/>
  <c r="I55" i="16" s="1"/>
  <c r="J55" i="16" s="1"/>
  <c r="K55" i="16" s="1"/>
  <c r="N55" i="16" s="1"/>
  <c r="O55" i="16" s="1"/>
  <c r="P55" i="16" s="1"/>
  <c r="Q55" i="16" s="1"/>
  <c r="R55" i="16" s="1"/>
  <c r="S55" i="16" s="1"/>
  <c r="L50" i="16"/>
  <c r="L66" i="16"/>
  <c r="U67" i="16"/>
  <c r="M67" i="16"/>
  <c r="M66" i="16" s="1"/>
  <c r="G52" i="16"/>
  <c r="L52" i="16" s="1"/>
  <c r="L69" i="16"/>
  <c r="G35" i="16"/>
  <c r="U52" i="16" l="1"/>
  <c r="M52" i="16"/>
  <c r="U66" i="16"/>
  <c r="X67" i="16"/>
  <c r="M50" i="16"/>
  <c r="M49" i="16" s="1"/>
  <c r="U50" i="16"/>
  <c r="L49" i="16"/>
  <c r="M69" i="16"/>
  <c r="U69" i="16"/>
  <c r="W84" i="16"/>
  <c r="X84" i="16"/>
  <c r="L32" i="16"/>
  <c r="M33" i="16"/>
  <c r="M32" i="16" s="1"/>
  <c r="U33" i="16"/>
  <c r="L35" i="16"/>
  <c r="M35" i="16" l="1"/>
  <c r="U35" i="16"/>
  <c r="U32" i="16"/>
  <c r="X33" i="16"/>
  <c r="X69" i="16"/>
  <c r="U49" i="16"/>
  <c r="X50" i="16"/>
  <c r="X52" i="16"/>
  <c r="X35" i="16" l="1"/>
  <c r="L495" i="16" l="1"/>
  <c r="L494" i="16" s="1"/>
  <c r="G499" i="16"/>
  <c r="G500" i="16" s="1"/>
  <c r="H500" i="16" s="1"/>
  <c r="I500" i="16" s="1"/>
  <c r="J500" i="16" s="1"/>
  <c r="K500" i="16" s="1"/>
  <c r="N500" i="16" s="1"/>
  <c r="O500" i="16" s="1"/>
  <c r="P500" i="16" s="1"/>
  <c r="Q500" i="16" s="1"/>
  <c r="R500" i="16" s="1"/>
  <c r="S500" i="16" s="1"/>
  <c r="G480" i="16"/>
  <c r="G479" i="16" s="1"/>
  <c r="G418" i="23"/>
  <c r="G417" i="23" s="1"/>
  <c r="G494" i="16"/>
  <c r="G497" i="16"/>
  <c r="L497" i="16" s="1"/>
  <c r="G482" i="16"/>
  <c r="L482" i="16" s="1"/>
  <c r="G484" i="16" l="1"/>
  <c r="G485" i="16" s="1"/>
  <c r="H485" i="16" s="1"/>
  <c r="I485" i="16" s="1"/>
  <c r="J485" i="16" s="1"/>
  <c r="K485" i="16" s="1"/>
  <c r="N485" i="16" s="1"/>
  <c r="O485" i="16" s="1"/>
  <c r="P485" i="16" s="1"/>
  <c r="Q485" i="16" s="1"/>
  <c r="R485" i="16" s="1"/>
  <c r="S485" i="16" s="1"/>
  <c r="M482" i="16"/>
  <c r="U482" i="16"/>
  <c r="M497" i="16"/>
  <c r="U497" i="16"/>
  <c r="G21" i="16"/>
  <c r="L21" i="16" s="1"/>
  <c r="G420" i="23"/>
  <c r="L480" i="16"/>
  <c r="G19" i="16"/>
  <c r="U495" i="16"/>
  <c r="G422" i="23"/>
  <c r="G423" i="23" s="1"/>
  <c r="M495" i="16"/>
  <c r="M494" i="16" s="1"/>
  <c r="X495" i="16" l="1"/>
  <c r="W495" i="16"/>
  <c r="W494" i="16" s="1"/>
  <c r="U494" i="16"/>
  <c r="U480" i="16"/>
  <c r="L479" i="16"/>
  <c r="M480" i="16"/>
  <c r="M479" i="16" s="1"/>
  <c r="X497" i="16"/>
  <c r="W497" i="16"/>
  <c r="W482" i="16"/>
  <c r="E13" i="27" s="1"/>
  <c r="X482" i="16"/>
  <c r="G12" i="16"/>
  <c r="T12" i="16" s="1"/>
  <c r="L19" i="16"/>
  <c r="M21" i="16"/>
  <c r="U21" i="16"/>
  <c r="X21" i="16" l="1"/>
  <c r="M19" i="16"/>
  <c r="U19" i="16"/>
  <c r="X480" i="16"/>
  <c r="U479" i="16"/>
  <c r="W480" i="16"/>
  <c r="W479" i="16" s="1"/>
  <c r="L510" i="18" l="1"/>
  <c r="L509" i="18" s="1"/>
  <c r="G514" i="18"/>
  <c r="G515" i="18"/>
  <c r="H515" i="18" s="1"/>
  <c r="I515" i="18" s="1"/>
  <c r="J515" i="18" s="1"/>
  <c r="K515" i="18" s="1"/>
  <c r="N515" i="18" s="1"/>
  <c r="O515" i="18" s="1"/>
  <c r="P515" i="18" s="1"/>
  <c r="Q515" i="18" s="1"/>
  <c r="R515" i="18" s="1"/>
  <c r="S515" i="18" s="1"/>
  <c r="G480" i="18"/>
  <c r="G19" i="18" s="1"/>
  <c r="G512" i="18"/>
  <c r="L512" i="18" s="1"/>
  <c r="G433" i="23"/>
  <c r="G432" i="23" s="1"/>
  <c r="G482" i="18" l="1"/>
  <c r="L482" i="18" s="1"/>
  <c r="U482" i="18" s="1"/>
  <c r="G403" i="23"/>
  <c r="U512" i="18"/>
  <c r="M512" i="18"/>
  <c r="G12" i="18"/>
  <c r="G437" i="23"/>
  <c r="G438" i="23" s="1"/>
  <c r="H438" i="23" s="1"/>
  <c r="I438" i="23" s="1"/>
  <c r="G21" i="18"/>
  <c r="L480" i="18"/>
  <c r="G435" i="23"/>
  <c r="G479" i="18"/>
  <c r="G484" i="18"/>
  <c r="G485" i="18" s="1"/>
  <c r="H485" i="18" s="1"/>
  <c r="I485" i="18" s="1"/>
  <c r="J485" i="18" s="1"/>
  <c r="K485" i="18" s="1"/>
  <c r="N485" i="18" s="1"/>
  <c r="O485" i="18" s="1"/>
  <c r="P485" i="18" s="1"/>
  <c r="Q485" i="18" s="1"/>
  <c r="R485" i="18" s="1"/>
  <c r="S485" i="18" s="1"/>
  <c r="M510" i="18"/>
  <c r="M509" i="18" s="1"/>
  <c r="U510" i="18"/>
  <c r="M482" i="18" l="1"/>
  <c r="G407" i="23"/>
  <c r="G408" i="23" s="1"/>
  <c r="G402" i="23"/>
  <c r="U509" i="18"/>
  <c r="X510" i="18"/>
  <c r="W510" i="18"/>
  <c r="W509" i="18" s="1"/>
  <c r="G405" i="23"/>
  <c r="W482" i="18"/>
  <c r="E14" i="27" s="1"/>
  <c r="X482" i="18"/>
  <c r="L479" i="18"/>
  <c r="U480" i="18"/>
  <c r="M480" i="18"/>
  <c r="M479" i="18" s="1"/>
  <c r="W512" i="18"/>
  <c r="X512" i="18"/>
  <c r="X480" i="18" l="1"/>
  <c r="U479" i="18"/>
  <c r="W480" i="18"/>
  <c r="W479" i="18" s="1"/>
  <c r="L586" i="9" l="1"/>
  <c r="M586" i="9" s="1"/>
  <c r="M585" i="9" s="1"/>
  <c r="F509" i="23"/>
  <c r="F508" i="23" s="1"/>
  <c r="U586" i="9" l="1"/>
  <c r="L585" i="9"/>
  <c r="F478" i="23"/>
  <c r="F479" i="23" s="1"/>
  <c r="L555" i="9"/>
  <c r="F538" i="9"/>
  <c r="X591" i="9"/>
  <c r="W586" i="9"/>
  <c r="W585" i="9" s="1"/>
  <c r="U585" i="9"/>
  <c r="F461" i="23" l="1"/>
  <c r="L538" i="9"/>
  <c r="F521" i="9"/>
  <c r="F539" i="9"/>
  <c r="L539" i="9" s="1"/>
  <c r="L556" i="9"/>
  <c r="M555" i="9"/>
  <c r="U555" i="9"/>
  <c r="W555" i="9" s="1"/>
  <c r="F462" i="23" l="1"/>
  <c r="F444" i="23"/>
  <c r="F445" i="23" s="1"/>
  <c r="M556" i="9"/>
  <c r="U556" i="9"/>
  <c r="M539" i="9"/>
  <c r="U539" i="9"/>
  <c r="M538" i="9"/>
  <c r="U538" i="9"/>
  <c r="W538" i="9" s="1"/>
  <c r="F541" i="9"/>
  <c r="L558" i="9"/>
  <c r="F522" i="9"/>
  <c r="L521" i="9"/>
  <c r="M521" i="9" l="1"/>
  <c r="U521" i="9"/>
  <c r="W521" i="9" s="1"/>
  <c r="U558" i="9"/>
  <c r="M558" i="9"/>
  <c r="W539" i="9"/>
  <c r="X544" i="9"/>
  <c r="X561" i="9"/>
  <c r="W556" i="9"/>
  <c r="F16" i="9"/>
  <c r="L522" i="9"/>
  <c r="L541" i="9"/>
  <c r="F524" i="9"/>
  <c r="F16" i="23"/>
  <c r="M541" i="9" l="1"/>
  <c r="U541" i="9"/>
  <c r="X563" i="9"/>
  <c r="W558" i="9"/>
  <c r="F18" i="9"/>
  <c r="F530" i="9"/>
  <c r="L524" i="9"/>
  <c r="M522" i="9"/>
  <c r="U522" i="9"/>
  <c r="W522" i="9" l="1"/>
  <c r="X527" i="9"/>
  <c r="L18" i="9"/>
  <c r="U18" i="9" s="1"/>
  <c r="F3" i="9"/>
  <c r="T3" i="9" s="1"/>
  <c r="L530" i="9"/>
  <c r="F531" i="9"/>
  <c r="F532" i="9" s="1"/>
  <c r="G532" i="9" s="1"/>
  <c r="H532" i="9" s="1"/>
  <c r="I532" i="9" s="1"/>
  <c r="J532" i="9" s="1"/>
  <c r="K532" i="9" s="1"/>
  <c r="N532" i="9" s="1"/>
  <c r="O532" i="9" s="1"/>
  <c r="P532" i="9" s="1"/>
  <c r="Q532" i="9" s="1"/>
  <c r="R532" i="9" s="1"/>
  <c r="S532" i="9" s="1"/>
  <c r="W541" i="9"/>
  <c r="X546" i="9"/>
  <c r="M524" i="9"/>
  <c r="U524" i="9"/>
  <c r="M18" i="9"/>
  <c r="M530" i="9" l="1"/>
  <c r="U530" i="9"/>
  <c r="W530" i="9" s="1"/>
  <c r="W18" i="9"/>
  <c r="W524" i="9"/>
  <c r="X529" i="9"/>
  <c r="I358" i="23" l="1"/>
  <c r="I357" i="23" l="1"/>
  <c r="I362" i="23"/>
  <c r="I343" i="23"/>
  <c r="I437" i="9"/>
  <c r="I420" i="9"/>
  <c r="L435" i="9"/>
  <c r="I439" i="9"/>
  <c r="I440" i="9" s="1"/>
  <c r="J440" i="9" s="1"/>
  <c r="K440" i="9" s="1"/>
  <c r="N440" i="9" s="1"/>
  <c r="O440" i="9" s="1"/>
  <c r="P440" i="9" s="1"/>
  <c r="Q440" i="9" s="1"/>
  <c r="R440" i="9" s="1"/>
  <c r="S440" i="9" s="1"/>
  <c r="I419" i="9" l="1"/>
  <c r="L420" i="9"/>
  <c r="I424" i="9"/>
  <c r="I425" i="9" s="1"/>
  <c r="J425" i="9" s="1"/>
  <c r="K425" i="9" s="1"/>
  <c r="N425" i="9" s="1"/>
  <c r="O425" i="9" s="1"/>
  <c r="P425" i="9" s="1"/>
  <c r="Q425" i="9" s="1"/>
  <c r="R425" i="9" s="1"/>
  <c r="S425" i="9" s="1"/>
  <c r="I341" i="9"/>
  <c r="I342" i="23"/>
  <c r="I347" i="23"/>
  <c r="I264" i="23"/>
  <c r="L434" i="9"/>
  <c r="M435" i="9"/>
  <c r="M434" i="9" s="1"/>
  <c r="U435" i="9"/>
  <c r="L437" i="9"/>
  <c r="I422" i="9"/>
  <c r="I360" i="23"/>
  <c r="I345" i="23" l="1"/>
  <c r="I343" i="9"/>
  <c r="L422" i="9"/>
  <c r="U434" i="9"/>
  <c r="X435" i="9"/>
  <c r="W435" i="9"/>
  <c r="W434" i="9" s="1"/>
  <c r="I263" i="23"/>
  <c r="I268" i="23"/>
  <c r="I340" i="9"/>
  <c r="I345" i="9"/>
  <c r="I346" i="9" s="1"/>
  <c r="J346" i="9" s="1"/>
  <c r="K346" i="9" s="1"/>
  <c r="N346" i="9" s="1"/>
  <c r="O346" i="9" s="1"/>
  <c r="P346" i="9" s="1"/>
  <c r="Q346" i="9" s="1"/>
  <c r="R346" i="9" s="1"/>
  <c r="S346" i="9" s="1"/>
  <c r="L341" i="9"/>
  <c r="I19" i="9"/>
  <c r="L419" i="9"/>
  <c r="U420" i="9"/>
  <c r="M420" i="9"/>
  <c r="M419" i="9" s="1"/>
  <c r="M437" i="9"/>
  <c r="U437" i="9"/>
  <c r="X420" i="9" l="1"/>
  <c r="U419" i="9"/>
  <c r="W420" i="9"/>
  <c r="W419" i="9" s="1"/>
  <c r="I12" i="9"/>
  <c r="X437" i="9"/>
  <c r="W437" i="9"/>
  <c r="L340" i="9"/>
  <c r="U341" i="9"/>
  <c r="M341" i="9"/>
  <c r="M340" i="9" s="1"/>
  <c r="I21" i="9"/>
  <c r="L343" i="9"/>
  <c r="I266" i="23"/>
  <c r="M422" i="9"/>
  <c r="U422" i="9"/>
  <c r="X422" i="9" l="1"/>
  <c r="W422" i="9"/>
  <c r="U343" i="9"/>
  <c r="M343" i="9"/>
  <c r="U340" i="9"/>
  <c r="X341" i="9"/>
  <c r="W341" i="9"/>
  <c r="W340" i="9" s="1"/>
  <c r="X343" i="9" l="1"/>
  <c r="W343" i="9"/>
  <c r="D8" i="27" s="1"/>
  <c r="L435" i="13" l="1"/>
  <c r="H439" i="13"/>
  <c r="H440" i="13" s="1"/>
  <c r="I440" i="13" s="1"/>
  <c r="J440" i="13" s="1"/>
  <c r="K440" i="13" s="1"/>
  <c r="N440" i="13" s="1"/>
  <c r="O440" i="13" s="1"/>
  <c r="P440" i="13" s="1"/>
  <c r="Q440" i="13" s="1"/>
  <c r="R440" i="13" s="1"/>
  <c r="S440" i="13" s="1"/>
  <c r="H420" i="13"/>
  <c r="H358" i="23"/>
  <c r="H437" i="13"/>
  <c r="H362" i="23" l="1"/>
  <c r="H363" i="23" s="1"/>
  <c r="I363" i="23" s="1"/>
  <c r="J363" i="23" s="1"/>
  <c r="K363" i="23" s="1"/>
  <c r="N363" i="23" s="1"/>
  <c r="O363" i="23" s="1"/>
  <c r="P363" i="23" s="1"/>
  <c r="Q363" i="23" s="1"/>
  <c r="R363" i="23" s="1"/>
  <c r="S363" i="23" s="1"/>
  <c r="L358" i="23"/>
  <c r="H357" i="23"/>
  <c r="H343" i="23"/>
  <c r="L437" i="13"/>
  <c r="H360" i="23"/>
  <c r="H422" i="13"/>
  <c r="L420" i="13"/>
  <c r="H419" i="13"/>
  <c r="H424" i="13"/>
  <c r="H425" i="13" s="1"/>
  <c r="I425" i="13" s="1"/>
  <c r="J425" i="13" s="1"/>
  <c r="K425" i="13" s="1"/>
  <c r="N425" i="13" s="1"/>
  <c r="O425" i="13" s="1"/>
  <c r="P425" i="13" s="1"/>
  <c r="Q425" i="13" s="1"/>
  <c r="R425" i="13" s="1"/>
  <c r="S425" i="13" s="1"/>
  <c r="H341" i="13"/>
  <c r="L434" i="13"/>
  <c r="U435" i="13"/>
  <c r="M435" i="13"/>
  <c r="M434" i="13" s="1"/>
  <c r="M420" i="13" l="1"/>
  <c r="M419" i="13" s="1"/>
  <c r="L419" i="13"/>
  <c r="U420" i="13"/>
  <c r="L360" i="23"/>
  <c r="H345" i="23"/>
  <c r="H342" i="23"/>
  <c r="H347" i="23"/>
  <c r="H348" i="23" s="1"/>
  <c r="I348" i="23" s="1"/>
  <c r="J348" i="23" s="1"/>
  <c r="K348" i="23" s="1"/>
  <c r="N348" i="23" s="1"/>
  <c r="O348" i="23" s="1"/>
  <c r="P348" i="23" s="1"/>
  <c r="Q348" i="23" s="1"/>
  <c r="R348" i="23" s="1"/>
  <c r="S348" i="23" s="1"/>
  <c r="L343" i="23"/>
  <c r="H264" i="23"/>
  <c r="L357" i="23"/>
  <c r="M358" i="23"/>
  <c r="M357" i="23" s="1"/>
  <c r="U358" i="23"/>
  <c r="W435" i="13"/>
  <c r="W434" i="13" s="1"/>
  <c r="X435" i="13"/>
  <c r="U434" i="13"/>
  <c r="H345" i="13"/>
  <c r="H346" i="13" s="1"/>
  <c r="I346" i="13" s="1"/>
  <c r="J346" i="13" s="1"/>
  <c r="K346" i="13" s="1"/>
  <c r="N346" i="13" s="1"/>
  <c r="O346" i="13" s="1"/>
  <c r="H19" i="13"/>
  <c r="H340" i="13"/>
  <c r="L341" i="13"/>
  <c r="L422" i="13"/>
  <c r="H343" i="13"/>
  <c r="U437" i="13"/>
  <c r="M437" i="13"/>
  <c r="M341" i="13" l="1"/>
  <c r="M340" i="13" s="1"/>
  <c r="L340" i="13"/>
  <c r="X437" i="13"/>
  <c r="W437" i="13"/>
  <c r="U422" i="13"/>
  <c r="M422" i="13"/>
  <c r="X358" i="23"/>
  <c r="W358" i="23"/>
  <c r="W357" i="23" s="1"/>
  <c r="U357" i="23"/>
  <c r="L342" i="23"/>
  <c r="M343" i="23"/>
  <c r="M342" i="23" s="1"/>
  <c r="U343" i="23"/>
  <c r="U360" i="23"/>
  <c r="M360" i="23"/>
  <c r="H21" i="13"/>
  <c r="L343" i="13"/>
  <c r="H12" i="13"/>
  <c r="H263" i="23"/>
  <c r="H268" i="23"/>
  <c r="H269" i="23" s="1"/>
  <c r="I269" i="23" s="1"/>
  <c r="J269" i="23" s="1"/>
  <c r="K269" i="23" s="1"/>
  <c r="N269" i="23" s="1"/>
  <c r="O269" i="23" s="1"/>
  <c r="L264" i="23"/>
  <c r="L345" i="23"/>
  <c r="H266" i="23"/>
  <c r="U419" i="13"/>
  <c r="W420" i="13"/>
  <c r="W419" i="13" s="1"/>
  <c r="X420" i="13"/>
  <c r="M345" i="23" l="1"/>
  <c r="U345" i="23"/>
  <c r="L263" i="23"/>
  <c r="M264" i="23"/>
  <c r="M263" i="23" s="1"/>
  <c r="W360" i="23"/>
  <c r="X360" i="23"/>
  <c r="X422" i="13"/>
  <c r="W422" i="13"/>
  <c r="L266" i="23"/>
  <c r="M343" i="13"/>
  <c r="U342" i="23"/>
  <c r="W343" i="23"/>
  <c r="W342" i="23" s="1"/>
  <c r="X343" i="23"/>
  <c r="M266" i="23" l="1"/>
  <c r="W345" i="23"/>
  <c r="X345" i="23"/>
  <c r="L576" i="13" l="1"/>
  <c r="I580" i="13"/>
  <c r="I578" i="13"/>
  <c r="I561" i="13"/>
  <c r="I499" i="23"/>
  <c r="I498" i="23" l="1"/>
  <c r="L499" i="23"/>
  <c r="I503" i="23"/>
  <c r="I484" i="23"/>
  <c r="L578" i="13"/>
  <c r="I501" i="23"/>
  <c r="I563" i="13"/>
  <c r="I560" i="13"/>
  <c r="L561" i="13"/>
  <c r="I544" i="13"/>
  <c r="I565" i="13"/>
  <c r="I581" i="13"/>
  <c r="L575" i="13"/>
  <c r="M576" i="13"/>
  <c r="M575" i="13" s="1"/>
  <c r="U576" i="13"/>
  <c r="L501" i="23" l="1"/>
  <c r="I486" i="23"/>
  <c r="I483" i="23"/>
  <c r="L484" i="23"/>
  <c r="I467" i="23"/>
  <c r="M499" i="23"/>
  <c r="M498" i="23" s="1"/>
  <c r="L498" i="23"/>
  <c r="U499" i="23"/>
  <c r="J581" i="13"/>
  <c r="I566" i="13"/>
  <c r="I543" i="13"/>
  <c r="L544" i="13"/>
  <c r="I548" i="13"/>
  <c r="I549" i="13" s="1"/>
  <c r="J549" i="13" s="1"/>
  <c r="K549" i="13" s="1"/>
  <c r="N549" i="13" s="1"/>
  <c r="O549" i="13" s="1"/>
  <c r="P549" i="13" s="1"/>
  <c r="Q549" i="13" s="1"/>
  <c r="R549" i="13" s="1"/>
  <c r="S549" i="13" s="1"/>
  <c r="I527" i="13"/>
  <c r="U575" i="13"/>
  <c r="W576" i="13"/>
  <c r="W575" i="13" s="1"/>
  <c r="M561" i="13"/>
  <c r="M560" i="13" s="1"/>
  <c r="L560" i="13"/>
  <c r="U561" i="13"/>
  <c r="L563" i="13"/>
  <c r="I546" i="13"/>
  <c r="M578" i="13"/>
  <c r="U578" i="13"/>
  <c r="I488" i="23"/>
  <c r="I504" i="23"/>
  <c r="M563" i="13" l="1"/>
  <c r="U563" i="13"/>
  <c r="J504" i="23"/>
  <c r="I489" i="23"/>
  <c r="X578" i="13"/>
  <c r="W578" i="13"/>
  <c r="L546" i="13"/>
  <c r="I529" i="13"/>
  <c r="W561" i="13"/>
  <c r="W560" i="13" s="1"/>
  <c r="U560" i="13"/>
  <c r="L527" i="13"/>
  <c r="I531" i="13"/>
  <c r="I532" i="13" s="1"/>
  <c r="J532" i="13" s="1"/>
  <c r="K532" i="13" s="1"/>
  <c r="N532" i="13" s="1"/>
  <c r="O532" i="13" s="1"/>
  <c r="P532" i="13" s="1"/>
  <c r="Q532" i="13" s="1"/>
  <c r="R532" i="13" s="1"/>
  <c r="S532" i="13" s="1"/>
  <c r="I526" i="13"/>
  <c r="I19" i="13"/>
  <c r="U544" i="13"/>
  <c r="L543" i="13"/>
  <c r="M544" i="13"/>
  <c r="M543" i="13" s="1"/>
  <c r="W499" i="23"/>
  <c r="W498" i="23" s="1"/>
  <c r="U498" i="23"/>
  <c r="L483" i="23"/>
  <c r="M484" i="23"/>
  <c r="M483" i="23" s="1"/>
  <c r="U484" i="23"/>
  <c r="L486" i="23"/>
  <c r="I469" i="23"/>
  <c r="J566" i="13"/>
  <c r="K581" i="13"/>
  <c r="I471" i="23"/>
  <c r="I472" i="23" s="1"/>
  <c r="J472" i="23" s="1"/>
  <c r="K472" i="23" s="1"/>
  <c r="N472" i="23" s="1"/>
  <c r="O472" i="23" s="1"/>
  <c r="P472" i="23" s="1"/>
  <c r="Q472" i="23" s="1"/>
  <c r="R472" i="23" s="1"/>
  <c r="S472" i="23" s="1"/>
  <c r="I466" i="23"/>
  <c r="L467" i="23"/>
  <c r="M501" i="23"/>
  <c r="U501" i="23"/>
  <c r="W501" i="23" l="1"/>
  <c r="X501" i="23"/>
  <c r="L469" i="23"/>
  <c r="M467" i="23"/>
  <c r="M466" i="23" s="1"/>
  <c r="L466" i="23"/>
  <c r="U467" i="23"/>
  <c r="M486" i="23"/>
  <c r="U486" i="23"/>
  <c r="I12" i="13"/>
  <c r="L529" i="13"/>
  <c r="I21" i="13"/>
  <c r="X563" i="13"/>
  <c r="W563" i="13"/>
  <c r="N581" i="13"/>
  <c r="K566" i="13"/>
  <c r="U483" i="23"/>
  <c r="W484" i="23"/>
  <c r="W483" i="23" s="1"/>
  <c r="U543" i="13"/>
  <c r="W544" i="13"/>
  <c r="W543" i="13" s="1"/>
  <c r="L526" i="13"/>
  <c r="U527" i="13"/>
  <c r="M527" i="13"/>
  <c r="M526" i="13" s="1"/>
  <c r="M546" i="13"/>
  <c r="U546" i="13"/>
  <c r="J489" i="23"/>
  <c r="K504" i="23"/>
  <c r="U526" i="13" l="1"/>
  <c r="W527" i="13"/>
  <c r="K489" i="23"/>
  <c r="N504" i="23"/>
  <c r="W546" i="13"/>
  <c r="X546" i="13"/>
  <c r="N566" i="13"/>
  <c r="O581" i="13"/>
  <c r="U529" i="13"/>
  <c r="M529" i="13"/>
  <c r="X486" i="23"/>
  <c r="W486" i="23"/>
  <c r="U466" i="23"/>
  <c r="W467" i="23"/>
  <c r="W466" i="23" s="1"/>
  <c r="M469" i="23"/>
  <c r="U469" i="23"/>
  <c r="X529" i="13" l="1"/>
  <c r="W529" i="13"/>
  <c r="F10" i="27" s="1"/>
  <c r="N489" i="23"/>
  <c r="O504" i="23"/>
  <c r="W526" i="13"/>
  <c r="X469" i="23"/>
  <c r="W469" i="23"/>
  <c r="O566" i="13"/>
  <c r="P581" i="13"/>
  <c r="P566" i="13" l="1"/>
  <c r="Q581" i="13"/>
  <c r="P504" i="23"/>
  <c r="O489" i="23"/>
  <c r="R581" i="13" l="1"/>
  <c r="Q566" i="13"/>
  <c r="P489" i="23"/>
  <c r="Q504" i="23"/>
  <c r="R566" i="13" l="1"/>
  <c r="S581" i="13"/>
  <c r="S566" i="13" s="1"/>
  <c r="Q489" i="23"/>
  <c r="R504" i="23"/>
  <c r="S504" i="23" l="1"/>
  <c r="S489" i="23" s="1"/>
  <c r="R489" i="23"/>
  <c r="H77" i="23" l="1"/>
  <c r="H44" i="9"/>
  <c r="H61" i="9"/>
  <c r="H76" i="23" l="1"/>
  <c r="H61" i="23"/>
  <c r="H62" i="9"/>
  <c r="H27" i="9"/>
  <c r="H45" i="9"/>
  <c r="H28" i="9" l="1"/>
  <c r="H62" i="23"/>
  <c r="H44" i="23"/>
  <c r="H45" i="23" l="1"/>
  <c r="H27" i="23"/>
  <c r="H16" i="9"/>
  <c r="H28" i="23" l="1"/>
  <c r="L368" i="18" l="1"/>
  <c r="L367" i="18" l="1"/>
  <c r="M368" i="18"/>
  <c r="M367" i="18" s="1"/>
  <c r="U368" i="18"/>
  <c r="H351" i="18"/>
  <c r="L351" i="18" l="1"/>
  <c r="H353" i="18"/>
  <c r="L353" i="18" s="1"/>
  <c r="H350" i="18"/>
  <c r="H334" i="18"/>
  <c r="U367" i="18"/>
  <c r="W368" i="18"/>
  <c r="W367" i="18" s="1"/>
  <c r="X373" i="18"/>
  <c r="H336" i="18" l="1"/>
  <c r="H333" i="18"/>
  <c r="L334" i="18"/>
  <c r="U353" i="18"/>
  <c r="W353" i="18" s="1"/>
  <c r="M353" i="18"/>
  <c r="L350" i="18"/>
  <c r="U351" i="18"/>
  <c r="M351" i="18"/>
  <c r="M350" i="18" s="1"/>
  <c r="W351" i="18" l="1"/>
  <c r="W350" i="18" s="1"/>
  <c r="X358" i="18"/>
  <c r="U350" i="18"/>
  <c r="L333" i="18"/>
  <c r="U334" i="18"/>
  <c r="M334" i="18"/>
  <c r="M333" i="18" s="1"/>
  <c r="H16" i="18"/>
  <c r="L16" i="18" s="1"/>
  <c r="L336" i="18"/>
  <c r="M336" i="18" l="1"/>
  <c r="U336" i="18"/>
  <c r="W336" i="18" s="1"/>
  <c r="M16" i="18"/>
  <c r="U16" i="18"/>
  <c r="X341" i="18"/>
  <c r="U333" i="18"/>
  <c r="W334" i="18"/>
  <c r="W333" i="18" s="1"/>
  <c r="W16" i="18" l="1"/>
  <c r="L495" i="22"/>
  <c r="U495" i="22" l="1"/>
  <c r="L494" i="22"/>
  <c r="M495" i="22"/>
  <c r="M494" i="22" s="1"/>
  <c r="H418" i="23"/>
  <c r="H497" i="22"/>
  <c r="H480" i="22"/>
  <c r="H499" i="22"/>
  <c r="H500" i="22" s="1"/>
  <c r="I500" i="22" s="1"/>
  <c r="J500" i="22" s="1"/>
  <c r="K500" i="22" s="1"/>
  <c r="N500" i="22" s="1"/>
  <c r="O500" i="22" s="1"/>
  <c r="P500" i="22" s="1"/>
  <c r="Q500" i="22" s="1"/>
  <c r="R500" i="22" s="1"/>
  <c r="S500" i="22" s="1"/>
  <c r="H479" i="22" l="1"/>
  <c r="H484" i="22"/>
  <c r="H485" i="22" s="1"/>
  <c r="I485" i="22" s="1"/>
  <c r="H19" i="22"/>
  <c r="L418" i="23"/>
  <c r="H422" i="23"/>
  <c r="H423" i="23" s="1"/>
  <c r="I423" i="23" s="1"/>
  <c r="J423" i="23" s="1"/>
  <c r="K423" i="23" s="1"/>
  <c r="N423" i="23" s="1"/>
  <c r="O423" i="23" s="1"/>
  <c r="P423" i="23" s="1"/>
  <c r="Q423" i="23" s="1"/>
  <c r="R423" i="23" s="1"/>
  <c r="S423" i="23" s="1"/>
  <c r="H403" i="23"/>
  <c r="H417" i="23"/>
  <c r="H420" i="23"/>
  <c r="H482" i="22"/>
  <c r="L497" i="22"/>
  <c r="W495" i="22"/>
  <c r="W494" i="22" s="1"/>
  <c r="U494" i="22"/>
  <c r="X495" i="22"/>
  <c r="H12" i="22" l="1"/>
  <c r="H21" i="22"/>
  <c r="U497" i="22"/>
  <c r="M497" i="22"/>
  <c r="L420" i="23"/>
  <c r="H405" i="23"/>
  <c r="H402" i="23"/>
  <c r="H407" i="23"/>
  <c r="H408" i="23" s="1"/>
  <c r="I408" i="23" s="1"/>
  <c r="M418" i="23"/>
  <c r="M417" i="23" s="1"/>
  <c r="L417" i="23"/>
  <c r="U418" i="23"/>
  <c r="U417" i="23" l="1"/>
  <c r="W418" i="23"/>
  <c r="W417" i="23" s="1"/>
  <c r="M420" i="23"/>
  <c r="U420" i="23"/>
  <c r="W497" i="22"/>
  <c r="X497" i="22"/>
  <c r="W420" i="23" l="1"/>
  <c r="X420" i="23"/>
  <c r="H291" i="23" l="1"/>
  <c r="H290" i="23" s="1"/>
  <c r="H274" i="23" l="1"/>
  <c r="H351" i="15"/>
  <c r="H334" i="15" l="1"/>
  <c r="H350" i="15"/>
  <c r="H353" i="15"/>
  <c r="H273" i="23"/>
  <c r="H276" i="23"/>
  <c r="H257" i="23"/>
  <c r="H256" i="23" l="1"/>
  <c r="H259" i="23"/>
  <c r="H333" i="15"/>
  <c r="H336" i="15"/>
  <c r="H16" i="23" l="1"/>
  <c r="H16" i="15"/>
  <c r="W139" i="16" l="1"/>
  <c r="V64" i="16"/>
  <c r="V30" i="16" s="1"/>
  <c r="V18" i="16" s="1"/>
  <c r="V139" i="23"/>
  <c r="V145" i="23" s="1"/>
  <c r="W145" i="23" s="1"/>
  <c r="V144" i="16"/>
  <c r="W144" i="16" s="1"/>
  <c r="V144" i="23"/>
  <c r="V137" i="16"/>
  <c r="W137" i="16" s="1"/>
  <c r="W136" i="16" s="1"/>
  <c r="W18" i="16" l="1"/>
  <c r="V47" i="16"/>
  <c r="W64" i="16"/>
  <c r="W30" i="16" s="1"/>
  <c r="W139" i="23"/>
  <c r="V136" i="16"/>
  <c r="V142" i="16"/>
  <c r="V60" i="16"/>
  <c r="V137" i="23"/>
  <c r="V69" i="23"/>
  <c r="V64" i="23"/>
  <c r="V69" i="16"/>
  <c r="V70" i="16"/>
  <c r="W69" i="16" l="1"/>
  <c r="V52" i="16"/>
  <c r="W52" i="16" s="1"/>
  <c r="V35" i="16"/>
  <c r="V52" i="23"/>
  <c r="W60" i="16"/>
  <c r="V43" i="16"/>
  <c r="V59" i="16"/>
  <c r="V26" i="16"/>
  <c r="V25" i="16" s="1"/>
  <c r="V62" i="16"/>
  <c r="W70" i="16"/>
  <c r="V36" i="16"/>
  <c r="W36" i="16" s="1"/>
  <c r="V70" i="23"/>
  <c r="W70" i="23" s="1"/>
  <c r="W64" i="23"/>
  <c r="V47" i="23"/>
  <c r="V136" i="23"/>
  <c r="V60" i="23"/>
  <c r="V145" i="16"/>
  <c r="W145" i="16" s="1"/>
  <c r="V67" i="16"/>
  <c r="V141" i="16"/>
  <c r="W142" i="16"/>
  <c r="W141" i="16" s="1"/>
  <c r="V142" i="23"/>
  <c r="V53" i="16"/>
  <c r="W53" i="16" s="1"/>
  <c r="W47" i="16"/>
  <c r="V66" i="16" l="1"/>
  <c r="V33" i="16"/>
  <c r="V50" i="16"/>
  <c r="W67" i="16"/>
  <c r="V59" i="23"/>
  <c r="V43" i="23"/>
  <c r="V62" i="23"/>
  <c r="W62" i="16"/>
  <c r="V45" i="16"/>
  <c r="W59" i="16"/>
  <c r="W26" i="16"/>
  <c r="V67" i="23"/>
  <c r="V141" i="23"/>
  <c r="V30" i="23"/>
  <c r="V53" i="23"/>
  <c r="W47" i="23"/>
  <c r="W43" i="16"/>
  <c r="W42" i="16" s="1"/>
  <c r="V42" i="16"/>
  <c r="V35" i="23"/>
  <c r="V21" i="16"/>
  <c r="W21" i="16" s="1"/>
  <c r="W35" i="16"/>
  <c r="C13" i="27" s="1"/>
  <c r="G13" i="27" s="1"/>
  <c r="V21" i="23" l="1"/>
  <c r="W30" i="23"/>
  <c r="V18" i="23"/>
  <c r="W18" i="23" s="1"/>
  <c r="V66" i="23"/>
  <c r="V50" i="23"/>
  <c r="W28" i="16"/>
  <c r="W25" i="16"/>
  <c r="W45" i="16"/>
  <c r="V28" i="16"/>
  <c r="V16" i="16" s="1"/>
  <c r="U3" i="16" s="1"/>
  <c r="V42" i="23"/>
  <c r="V45" i="23"/>
  <c r="V26" i="23"/>
  <c r="W33" i="16"/>
  <c r="W32" i="16" s="1"/>
  <c r="W66" i="16"/>
  <c r="V19" i="16"/>
  <c r="W19" i="16" s="1"/>
  <c r="V32" i="16"/>
  <c r="W53" i="23"/>
  <c r="V36" i="23"/>
  <c r="W36" i="23" s="1"/>
  <c r="V49" i="16"/>
  <c r="W50" i="16"/>
  <c r="W49" i="16" s="1"/>
  <c r="V49" i="23" l="1"/>
  <c r="V33" i="23"/>
  <c r="V28" i="23"/>
  <c r="V25" i="23"/>
  <c r="V16" i="23" l="1"/>
  <c r="U3" i="23" s="1"/>
  <c r="V32" i="23"/>
  <c r="V19" i="23"/>
  <c r="J97" i="23" l="1"/>
  <c r="L97" i="23" l="1"/>
  <c r="J96" i="23"/>
  <c r="J101" i="23"/>
  <c r="J102" i="23" s="1"/>
  <c r="K102" i="23" s="1"/>
  <c r="N102" i="23" s="1"/>
  <c r="O102" i="23" s="1"/>
  <c r="P102" i="23" s="1"/>
  <c r="Q102" i="23" s="1"/>
  <c r="R102" i="23" s="1"/>
  <c r="S102" i="23" s="1"/>
  <c r="J99" i="13"/>
  <c r="L97" i="13"/>
  <c r="J101" i="13"/>
  <c r="J102" i="13" s="1"/>
  <c r="K102" i="13" s="1"/>
  <c r="N102" i="13" s="1"/>
  <c r="O102" i="13" s="1"/>
  <c r="P102" i="13" s="1"/>
  <c r="Q102" i="13" s="1"/>
  <c r="R102" i="13" s="1"/>
  <c r="S102" i="13" s="1"/>
  <c r="J67" i="13"/>
  <c r="J66" i="13" l="1"/>
  <c r="J71" i="13"/>
  <c r="J72" i="13" s="1"/>
  <c r="K72" i="13" s="1"/>
  <c r="N72" i="13" s="1"/>
  <c r="O72" i="13" s="1"/>
  <c r="P72" i="13" s="1"/>
  <c r="Q72" i="13" s="1"/>
  <c r="R72" i="13" s="1"/>
  <c r="S72" i="13" s="1"/>
  <c r="J50" i="13"/>
  <c r="L67" i="13"/>
  <c r="J33" i="13"/>
  <c r="G20" i="28" s="1"/>
  <c r="H20" i="28" s="1"/>
  <c r="L96" i="13"/>
  <c r="U97" i="13"/>
  <c r="M97" i="13"/>
  <c r="M96" i="13" s="1"/>
  <c r="L99" i="13"/>
  <c r="J69" i="13"/>
  <c r="J99" i="23"/>
  <c r="L96" i="23"/>
  <c r="M97" i="23"/>
  <c r="M96" i="23" s="1"/>
  <c r="U97" i="23"/>
  <c r="U96" i="23" l="1"/>
  <c r="W97" i="23"/>
  <c r="W96" i="23" s="1"/>
  <c r="L66" i="13"/>
  <c r="M67" i="13"/>
  <c r="M66" i="13" s="1"/>
  <c r="U67" i="13"/>
  <c r="L69" i="13"/>
  <c r="J52" i="13"/>
  <c r="L52" i="13" s="1"/>
  <c r="J35" i="13"/>
  <c r="L99" i="23"/>
  <c r="U99" i="13"/>
  <c r="M99" i="13"/>
  <c r="U96" i="13"/>
  <c r="W97" i="13"/>
  <c r="W96" i="13" s="1"/>
  <c r="X97" i="13"/>
  <c r="J37" i="13"/>
  <c r="J38" i="13" s="1"/>
  <c r="K38" i="13" s="1"/>
  <c r="N38" i="13" s="1"/>
  <c r="O38" i="13" s="1"/>
  <c r="P38" i="13" s="1"/>
  <c r="Q38" i="13" s="1"/>
  <c r="R38" i="13" s="1"/>
  <c r="S38" i="13" s="1"/>
  <c r="J32" i="13"/>
  <c r="L33" i="13"/>
  <c r="J19" i="13"/>
  <c r="L50" i="13"/>
  <c r="J49" i="13"/>
  <c r="J54" i="13"/>
  <c r="J55" i="13" s="1"/>
  <c r="K55" i="13" s="1"/>
  <c r="N55" i="13" s="1"/>
  <c r="O55" i="13" s="1"/>
  <c r="P55" i="13" s="1"/>
  <c r="Q55" i="13" s="1"/>
  <c r="R55" i="13" s="1"/>
  <c r="S55" i="13" s="1"/>
  <c r="U50" i="13" l="1"/>
  <c r="L49" i="13"/>
  <c r="M50" i="13"/>
  <c r="M49" i="13" s="1"/>
  <c r="M33" i="13"/>
  <c r="M32" i="13" s="1"/>
  <c r="U33" i="13"/>
  <c r="L32" i="13"/>
  <c r="X99" i="13"/>
  <c r="W99" i="13"/>
  <c r="U99" i="23"/>
  <c r="M99" i="23"/>
  <c r="M52" i="13"/>
  <c r="U52" i="13"/>
  <c r="U66" i="13"/>
  <c r="W67" i="13"/>
  <c r="X67" i="13"/>
  <c r="L19" i="13"/>
  <c r="J12" i="13"/>
  <c r="L35" i="13"/>
  <c r="J21" i="13"/>
  <c r="L21" i="13" s="1"/>
  <c r="U69" i="13"/>
  <c r="M69" i="13"/>
  <c r="M21" i="13" l="1"/>
  <c r="W69" i="13"/>
  <c r="X69" i="13"/>
  <c r="M35" i="13"/>
  <c r="U35" i="13"/>
  <c r="M19" i="13"/>
  <c r="W66" i="13"/>
  <c r="W33" i="13"/>
  <c r="W52" i="13"/>
  <c r="X52" i="13"/>
  <c r="X99" i="23"/>
  <c r="W99" i="23"/>
  <c r="X33" i="13"/>
  <c r="U32" i="13"/>
  <c r="U49" i="13"/>
  <c r="X50" i="13"/>
  <c r="W50" i="13"/>
  <c r="W49" i="13" s="1"/>
  <c r="W35" i="13" l="1"/>
  <c r="X35" i="13"/>
  <c r="C10" i="27"/>
  <c r="W32" i="13"/>
  <c r="L112" i="22" l="1"/>
  <c r="M112" i="22" s="1"/>
  <c r="M111" i="22" s="1"/>
  <c r="G116" i="22"/>
  <c r="G117" i="22"/>
  <c r="H117" i="22" s="1"/>
  <c r="I117" i="22" s="1"/>
  <c r="J117" i="22" s="1"/>
  <c r="K117" i="22" s="1"/>
  <c r="N117" i="22" s="1"/>
  <c r="O117" i="22" s="1"/>
  <c r="P117" i="22" s="1"/>
  <c r="Q117" i="22" s="1"/>
  <c r="R117" i="22" s="1"/>
  <c r="S117" i="22" s="1"/>
  <c r="G67" i="22"/>
  <c r="G50" i="22" s="1"/>
  <c r="G112" i="23"/>
  <c r="G114" i="22"/>
  <c r="G114" i="23"/>
  <c r="L114" i="23" s="1"/>
  <c r="G111" i="22"/>
  <c r="G111" i="23" l="1"/>
  <c r="L112" i="23"/>
  <c r="G116" i="23"/>
  <c r="G117" i="23" s="1"/>
  <c r="H117" i="23" s="1"/>
  <c r="I117" i="23" s="1"/>
  <c r="J117" i="23" s="1"/>
  <c r="K117" i="23" s="1"/>
  <c r="N117" i="23" s="1"/>
  <c r="O117" i="23" s="1"/>
  <c r="P117" i="23" s="1"/>
  <c r="Q117" i="23" s="1"/>
  <c r="R117" i="23" s="1"/>
  <c r="S117" i="23" s="1"/>
  <c r="G49" i="22"/>
  <c r="G54" i="22"/>
  <c r="G55" i="22" s="1"/>
  <c r="H55" i="22" s="1"/>
  <c r="I55" i="22" s="1"/>
  <c r="J55" i="22" s="1"/>
  <c r="K55" i="22" s="1"/>
  <c r="L50" i="22"/>
  <c r="M114" i="23"/>
  <c r="U114" i="23"/>
  <c r="G69" i="23"/>
  <c r="L114" i="22"/>
  <c r="G69" i="22"/>
  <c r="G67" i="23"/>
  <c r="G71" i="22"/>
  <c r="G72" i="22" s="1"/>
  <c r="H72" i="22" s="1"/>
  <c r="I72" i="22" s="1"/>
  <c r="J72" i="22" s="1"/>
  <c r="K72" i="22" s="1"/>
  <c r="L67" i="22"/>
  <c r="G66" i="22"/>
  <c r="U112" i="22"/>
  <c r="L111" i="22"/>
  <c r="G33" i="22"/>
  <c r="L69" i="22" l="1"/>
  <c r="G52" i="22"/>
  <c r="L52" i="22" s="1"/>
  <c r="G35" i="22"/>
  <c r="G52" i="23"/>
  <c r="L33" i="22"/>
  <c r="G37" i="22"/>
  <c r="G38" i="22" s="1"/>
  <c r="H38" i="22" s="1"/>
  <c r="I38" i="22" s="1"/>
  <c r="J38" i="22" s="1"/>
  <c r="K38" i="22" s="1"/>
  <c r="G32" i="22"/>
  <c r="G19" i="22"/>
  <c r="W112" i="22"/>
  <c r="W111" i="22" s="1"/>
  <c r="U111" i="22"/>
  <c r="X112" i="22"/>
  <c r="L66" i="22"/>
  <c r="M67" i="22"/>
  <c r="M66" i="22" s="1"/>
  <c r="G66" i="23"/>
  <c r="G71" i="23"/>
  <c r="G72" i="23" s="1"/>
  <c r="H72" i="23" s="1"/>
  <c r="I72" i="23" s="1"/>
  <c r="G50" i="23"/>
  <c r="M114" i="22"/>
  <c r="U114" i="22"/>
  <c r="X114" i="23"/>
  <c r="W114" i="23"/>
  <c r="L49" i="22"/>
  <c r="M50" i="22"/>
  <c r="M49" i="22" s="1"/>
  <c r="L111" i="23"/>
  <c r="M112" i="23"/>
  <c r="M111" i="23" s="1"/>
  <c r="U112" i="23"/>
  <c r="U111" i="23" l="1"/>
  <c r="X112" i="23"/>
  <c r="W112" i="23"/>
  <c r="W111" i="23" s="1"/>
  <c r="W114" i="22"/>
  <c r="X114" i="22"/>
  <c r="G49" i="23"/>
  <c r="G54" i="23"/>
  <c r="G55" i="23" s="1"/>
  <c r="H55" i="23" s="1"/>
  <c r="I55" i="23" s="1"/>
  <c r="G33" i="23"/>
  <c r="L32" i="22"/>
  <c r="M33" i="22"/>
  <c r="M32" i="22" s="1"/>
  <c r="M52" i="22"/>
  <c r="G12" i="22"/>
  <c r="G35" i="23"/>
  <c r="L35" i="22"/>
  <c r="G21" i="22"/>
  <c r="M69" i="22"/>
  <c r="M35" i="22" l="1"/>
  <c r="G32" i="23"/>
  <c r="G37" i="23"/>
  <c r="G38" i="23" s="1"/>
  <c r="H38" i="23" s="1"/>
  <c r="I38" i="23" s="1"/>
  <c r="Q43" i="8" l="1"/>
  <c r="R92" i="8"/>
  <c r="R92" i="23" s="1"/>
  <c r="R60" i="8"/>
  <c r="R59" i="8" s="1"/>
  <c r="P92" i="23"/>
  <c r="P60" i="8"/>
  <c r="P59" i="8" s="1"/>
  <c r="T92" i="8"/>
  <c r="O92" i="23"/>
  <c r="U92" i="8" l="1"/>
  <c r="T91" i="8"/>
  <c r="O91" i="23"/>
  <c r="O60" i="23"/>
  <c r="Q45" i="8"/>
  <c r="Q42" i="8"/>
  <c r="P91" i="23"/>
  <c r="P60" i="23"/>
  <c r="R91" i="23"/>
  <c r="R60" i="23"/>
  <c r="O60" i="8"/>
  <c r="P62" i="8"/>
  <c r="P28" i="8" s="1"/>
  <c r="P16" i="8" s="1"/>
  <c r="O43" i="8"/>
  <c r="R62" i="8"/>
  <c r="R28" i="8" s="1"/>
  <c r="R16" i="8" s="1"/>
  <c r="P43" i="8"/>
  <c r="R43" i="8"/>
  <c r="Q60" i="8"/>
  <c r="Q92" i="23"/>
  <c r="T92" i="23" s="1"/>
  <c r="R26" i="8"/>
  <c r="R25" i="8" s="1"/>
  <c r="P26" i="8"/>
  <c r="P25" i="8" s="1"/>
  <c r="T91" i="23" l="1"/>
  <c r="Q26" i="8"/>
  <c r="Q25" i="8" s="1"/>
  <c r="Q62" i="8"/>
  <c r="Q28" i="8" s="1"/>
  <c r="Q16" i="8" s="1"/>
  <c r="Q59" i="8"/>
  <c r="P45" i="8"/>
  <c r="P42" i="8"/>
  <c r="O42" i="8"/>
  <c r="T43" i="8"/>
  <c r="O45" i="8"/>
  <c r="T45" i="8" s="1"/>
  <c r="O59" i="8"/>
  <c r="O26" i="8"/>
  <c r="O62" i="8"/>
  <c r="T60" i="8"/>
  <c r="Q91" i="23"/>
  <c r="Q60" i="23"/>
  <c r="T60" i="23" s="1"/>
  <c r="R45" i="8"/>
  <c r="R42" i="8"/>
  <c r="R59" i="23"/>
  <c r="R43" i="23"/>
  <c r="R62" i="23"/>
  <c r="P59" i="23"/>
  <c r="P43" i="23"/>
  <c r="P62" i="23"/>
  <c r="O59" i="23"/>
  <c r="O62" i="23"/>
  <c r="O43" i="23"/>
  <c r="W92" i="8"/>
  <c r="W91" i="8" s="1"/>
  <c r="U91" i="8"/>
  <c r="X97" i="8"/>
  <c r="O42" i="23" l="1"/>
  <c r="O45" i="23"/>
  <c r="O26" i="23"/>
  <c r="R42" i="23"/>
  <c r="R45" i="23"/>
  <c r="R26" i="23"/>
  <c r="Q59" i="23"/>
  <c r="Q43" i="23"/>
  <c r="T43" i="23" s="1"/>
  <c r="Q62" i="23"/>
  <c r="T59" i="8"/>
  <c r="O25" i="8"/>
  <c r="T26" i="8"/>
  <c r="T62" i="23"/>
  <c r="T59" i="23"/>
  <c r="P42" i="23"/>
  <c r="P45" i="23"/>
  <c r="P26" i="23"/>
  <c r="T62" i="8"/>
  <c r="O28" i="8"/>
  <c r="T42" i="8"/>
  <c r="T42" i="23" l="1"/>
  <c r="T28" i="8"/>
  <c r="O16" i="8"/>
  <c r="T16" i="8" s="1"/>
  <c r="P28" i="23"/>
  <c r="P16" i="23" s="1"/>
  <c r="P25" i="23"/>
  <c r="T25" i="8"/>
  <c r="O25" i="23"/>
  <c r="O28" i="23"/>
  <c r="Q42" i="23"/>
  <c r="Q45" i="23"/>
  <c r="Q26" i="23"/>
  <c r="R28" i="23"/>
  <c r="R16" i="23" s="1"/>
  <c r="R25" i="23"/>
  <c r="T45" i="23"/>
  <c r="Q28" i="23" l="1"/>
  <c r="Q16" i="23" s="1"/>
  <c r="Q25" i="23"/>
  <c r="T26" i="23"/>
  <c r="T28" i="23"/>
  <c r="T25" i="23" l="1"/>
  <c r="I43" i="8"/>
  <c r="I60" i="8"/>
  <c r="I59" i="8" s="1"/>
  <c r="I137" i="23"/>
  <c r="I136" i="8"/>
  <c r="I45" i="8" l="1"/>
  <c r="I62" i="8"/>
  <c r="I26" i="8"/>
  <c r="I42" i="8"/>
  <c r="I136" i="23"/>
  <c r="I28" i="8" l="1"/>
  <c r="I25" i="8"/>
  <c r="I16" i="8" l="1"/>
  <c r="K43" i="8" l="1"/>
  <c r="K42" i="8" s="1"/>
  <c r="K137" i="23"/>
  <c r="K136" i="23" s="1"/>
  <c r="K60" i="8"/>
  <c r="K59" i="8" s="1"/>
  <c r="K62" i="8"/>
  <c r="K28" i="8" s="1"/>
  <c r="J60" i="8"/>
  <c r="J59" i="8" s="1"/>
  <c r="K136" i="8"/>
  <c r="L137" i="8"/>
  <c r="M137" i="8" s="1"/>
  <c r="M136" i="8" s="1"/>
  <c r="J43" i="8"/>
  <c r="J42" i="8" s="1"/>
  <c r="J45" i="8"/>
  <c r="J136" i="8"/>
  <c r="J137" i="23"/>
  <c r="J136" i="23" s="1"/>
  <c r="J60" i="23" l="1"/>
  <c r="J62" i="23" s="1"/>
  <c r="U137" i="8"/>
  <c r="L137" i="23"/>
  <c r="L43" i="8"/>
  <c r="L136" i="8"/>
  <c r="K26" i="8"/>
  <c r="K25" i="8" s="1"/>
  <c r="J26" i="8"/>
  <c r="K45" i="8"/>
  <c r="L45" i="8" s="1"/>
  <c r="J62" i="8"/>
  <c r="L60" i="8"/>
  <c r="K60" i="23"/>
  <c r="J43" i="23" l="1"/>
  <c r="J42" i="23" s="1"/>
  <c r="J59" i="23"/>
  <c r="M45" i="8"/>
  <c r="U45" i="8"/>
  <c r="K59" i="23"/>
  <c r="K43" i="23"/>
  <c r="L59" i="8"/>
  <c r="U60" i="8"/>
  <c r="M60" i="8"/>
  <c r="M59" i="8" s="1"/>
  <c r="M43" i="8"/>
  <c r="M42" i="8" s="1"/>
  <c r="U43" i="8"/>
  <c r="L42" i="8"/>
  <c r="U136" i="8"/>
  <c r="W137" i="8"/>
  <c r="W136" i="8" s="1"/>
  <c r="X142" i="8"/>
  <c r="L62" i="8"/>
  <c r="J28" i="8"/>
  <c r="L26" i="8"/>
  <c r="J25" i="8"/>
  <c r="U137" i="23"/>
  <c r="M137" i="23"/>
  <c r="M136" i="23" s="1"/>
  <c r="L136" i="23"/>
  <c r="J45" i="23" l="1"/>
  <c r="J26" i="23"/>
  <c r="J28" i="23" s="1"/>
  <c r="L28" i="8"/>
  <c r="U42" i="8"/>
  <c r="W43" i="8"/>
  <c r="W42" i="8" s="1"/>
  <c r="J25" i="23"/>
  <c r="X50" i="8"/>
  <c r="W45" i="8"/>
  <c r="U136" i="23"/>
  <c r="W137" i="23"/>
  <c r="W136" i="23" s="1"/>
  <c r="M26" i="8"/>
  <c r="M25" i="8" s="1"/>
  <c r="L25" i="8"/>
  <c r="U26" i="8"/>
  <c r="U25" i="8" s="1"/>
  <c r="M62" i="8"/>
  <c r="U62" i="8"/>
  <c r="W60" i="8"/>
  <c r="U59" i="8"/>
  <c r="K26" i="23"/>
  <c r="K42" i="23"/>
  <c r="X67" i="8" l="1"/>
  <c r="W62" i="8"/>
  <c r="K25" i="23"/>
  <c r="W59" i="8"/>
  <c r="W26" i="8"/>
  <c r="M28" i="8"/>
  <c r="U28" i="8"/>
  <c r="X33" i="8" s="1"/>
  <c r="W25" i="8" l="1"/>
  <c r="W28" i="8"/>
  <c r="L82" i="7" l="1"/>
  <c r="U82" i="7" s="1"/>
  <c r="J84" i="7"/>
  <c r="L84" i="7" s="1"/>
  <c r="J69" i="7"/>
  <c r="J86" i="7"/>
  <c r="J87" i="7" s="1"/>
  <c r="K87" i="7" s="1"/>
  <c r="N87" i="7" s="1"/>
  <c r="O87" i="7" s="1"/>
  <c r="P87" i="7" s="1"/>
  <c r="Q87" i="7" s="1"/>
  <c r="R87" i="7" s="1"/>
  <c r="S87" i="7" s="1"/>
  <c r="J67" i="7"/>
  <c r="J71" i="7" s="1"/>
  <c r="J72" i="7" s="1"/>
  <c r="K72" i="7" s="1"/>
  <c r="N72" i="7" s="1"/>
  <c r="O72" i="7" s="1"/>
  <c r="P72" i="7" s="1"/>
  <c r="Q72" i="7" s="1"/>
  <c r="R72" i="7" s="1"/>
  <c r="S72" i="7" s="1"/>
  <c r="J82" i="23"/>
  <c r="J81" i="23" l="1"/>
  <c r="L82" i="23"/>
  <c r="J86" i="23"/>
  <c r="J87" i="23" s="1"/>
  <c r="K87" i="23" s="1"/>
  <c r="L69" i="7"/>
  <c r="J52" i="7"/>
  <c r="L52" i="7" s="1"/>
  <c r="J84" i="23"/>
  <c r="U81" i="7"/>
  <c r="X82" i="7"/>
  <c r="W82" i="7"/>
  <c r="W81" i="7" s="1"/>
  <c r="J67" i="23"/>
  <c r="L67" i="7"/>
  <c r="J66" i="7"/>
  <c r="J50" i="7"/>
  <c r="J33" i="7"/>
  <c r="G4" i="28" s="1"/>
  <c r="H4" i="28" s="1"/>
  <c r="J35" i="7"/>
  <c r="U84" i="7"/>
  <c r="M84" i="7"/>
  <c r="M82" i="7"/>
  <c r="M81" i="7" s="1"/>
  <c r="L81" i="7"/>
  <c r="L50" i="7" l="1"/>
  <c r="J49" i="7"/>
  <c r="J54" i="7"/>
  <c r="J55" i="7" s="1"/>
  <c r="K55" i="7" s="1"/>
  <c r="N55" i="7" s="1"/>
  <c r="O55" i="7" s="1"/>
  <c r="P55" i="7" s="1"/>
  <c r="Q55" i="7" s="1"/>
  <c r="R55" i="7" s="1"/>
  <c r="S55" i="7" s="1"/>
  <c r="W84" i="7"/>
  <c r="X84" i="7"/>
  <c r="J32" i="7"/>
  <c r="J19" i="7"/>
  <c r="J37" i="7"/>
  <c r="J38" i="7" s="1"/>
  <c r="K38" i="7" s="1"/>
  <c r="N38" i="7" s="1"/>
  <c r="O38" i="7" s="1"/>
  <c r="P38" i="7" s="1"/>
  <c r="Q38" i="7" s="1"/>
  <c r="R38" i="7" s="1"/>
  <c r="S38" i="7" s="1"/>
  <c r="L33" i="7"/>
  <c r="J66" i="23"/>
  <c r="J50" i="23"/>
  <c r="J71" i="23"/>
  <c r="J72" i="23" s="1"/>
  <c r="L84" i="23"/>
  <c r="J69" i="23"/>
  <c r="M69" i="7"/>
  <c r="U69" i="7"/>
  <c r="L81" i="23"/>
  <c r="M82" i="23"/>
  <c r="M81" i="23" s="1"/>
  <c r="J21" i="7"/>
  <c r="L21" i="7" s="1"/>
  <c r="L35" i="7"/>
  <c r="L66" i="7"/>
  <c r="M67" i="7"/>
  <c r="M66" i="7" s="1"/>
  <c r="U67" i="7"/>
  <c r="U52" i="7"/>
  <c r="M52" i="7"/>
  <c r="M21" i="7" l="1"/>
  <c r="U21" i="7"/>
  <c r="W69" i="7"/>
  <c r="X69" i="7"/>
  <c r="X52" i="7"/>
  <c r="W52" i="7"/>
  <c r="M35" i="7"/>
  <c r="U35" i="7"/>
  <c r="M84" i="23"/>
  <c r="J49" i="23"/>
  <c r="J54" i="23"/>
  <c r="J55" i="23" s="1"/>
  <c r="J33" i="23"/>
  <c r="X67" i="7"/>
  <c r="W67" i="7"/>
  <c r="U66" i="7"/>
  <c r="J52" i="23"/>
  <c r="L32" i="7"/>
  <c r="U33" i="7"/>
  <c r="M33" i="7"/>
  <c r="M32" i="7" s="1"/>
  <c r="J12" i="7"/>
  <c r="L19" i="7"/>
  <c r="M50" i="7"/>
  <c r="M49" i="7" s="1"/>
  <c r="U50" i="7"/>
  <c r="L49" i="7"/>
  <c r="U49" i="7" l="1"/>
  <c r="X50" i="7"/>
  <c r="Y50" i="7" s="1"/>
  <c r="W50" i="7"/>
  <c r="W49" i="7" s="1"/>
  <c r="X35" i="7"/>
  <c r="W35" i="7"/>
  <c r="C6" i="27" s="1"/>
  <c r="W21" i="7"/>
  <c r="X21" i="7"/>
  <c r="M19" i="7"/>
  <c r="U19" i="7"/>
  <c r="X33" i="7"/>
  <c r="U32" i="7"/>
  <c r="J35" i="23"/>
  <c r="W66" i="7"/>
  <c r="W33" i="7"/>
  <c r="W32" i="7" s="1"/>
  <c r="J32" i="23"/>
  <c r="J37" i="23"/>
  <c r="J38" i="23" s="1"/>
  <c r="W19" i="7" l="1"/>
  <c r="G6" i="27"/>
  <c r="L92" i="11" l="1"/>
  <c r="L91" i="11" s="1"/>
  <c r="I43" i="11"/>
  <c r="I42" i="11" s="1"/>
  <c r="I60" i="11"/>
  <c r="I26" i="11" s="1"/>
  <c r="I62" i="11"/>
  <c r="L62" i="11" s="1"/>
  <c r="I91" i="11"/>
  <c r="I25" i="11" l="1"/>
  <c r="L26" i="11"/>
  <c r="M62" i="11"/>
  <c r="U62" i="11"/>
  <c r="I28" i="11"/>
  <c r="I45" i="11"/>
  <c r="L45" i="11" s="1"/>
  <c r="L43" i="11"/>
  <c r="U92" i="11"/>
  <c r="L60" i="11"/>
  <c r="I59" i="11"/>
  <c r="M92" i="11"/>
  <c r="M91" i="11" s="1"/>
  <c r="M43" i="11" l="1"/>
  <c r="M42" i="11" s="1"/>
  <c r="U43" i="11"/>
  <c r="L42" i="11"/>
  <c r="L28" i="11"/>
  <c r="I16" i="11"/>
  <c r="L16" i="11" s="1"/>
  <c r="M26" i="11"/>
  <c r="M25" i="11" s="1"/>
  <c r="U26" i="11"/>
  <c r="U25" i="11" s="1"/>
  <c r="L25" i="11"/>
  <c r="L59" i="11"/>
  <c r="U60" i="11"/>
  <c r="M60" i="11"/>
  <c r="M59" i="11" s="1"/>
  <c r="X97" i="11"/>
  <c r="W92" i="11"/>
  <c r="W91" i="11" s="1"/>
  <c r="U91" i="11"/>
  <c r="U45" i="11"/>
  <c r="M45" i="11"/>
  <c r="W62" i="11"/>
  <c r="X67" i="11"/>
  <c r="W45" i="11" l="1"/>
  <c r="X50" i="11"/>
  <c r="U59" i="11"/>
  <c r="W60" i="11"/>
  <c r="M28" i="11"/>
  <c r="U28" i="11"/>
  <c r="X33" i="11" s="1"/>
  <c r="U42" i="11"/>
  <c r="W43" i="11"/>
  <c r="W42" i="11" s="1"/>
  <c r="M16" i="11"/>
  <c r="U16" i="11"/>
  <c r="W26" i="11" l="1"/>
  <c r="W59" i="11"/>
  <c r="W16" i="11"/>
  <c r="W25" i="11" l="1"/>
  <c r="W28" i="11"/>
  <c r="K146" i="18" l="1"/>
  <c r="K147" i="18" s="1"/>
  <c r="N147" i="18" s="1"/>
  <c r="O147" i="18" s="1"/>
  <c r="P147" i="18" s="1"/>
  <c r="Q147" i="18" s="1"/>
  <c r="R147" i="18" s="1"/>
  <c r="S147" i="18" s="1"/>
  <c r="L142" i="18"/>
  <c r="M142" i="18" s="1"/>
  <c r="M141" i="18" s="1"/>
  <c r="U142" i="18"/>
  <c r="X142" i="18" s="1"/>
  <c r="K67" i="18"/>
  <c r="K71" i="18" s="1"/>
  <c r="K72" i="18" s="1"/>
  <c r="N72" i="18" s="1"/>
  <c r="O72" i="18" s="1"/>
  <c r="P72" i="18" s="1"/>
  <c r="Q72" i="18" s="1"/>
  <c r="R72" i="18" s="1"/>
  <c r="S72" i="18" s="1"/>
  <c r="K144" i="18"/>
  <c r="K141" i="18"/>
  <c r="L144" i="18" l="1"/>
  <c r="K69" i="18"/>
  <c r="L67" i="18"/>
  <c r="K66" i="18"/>
  <c r="U141" i="18"/>
  <c r="L141" i="18"/>
  <c r="K33" i="18"/>
  <c r="K50" i="18"/>
  <c r="W142" i="18"/>
  <c r="W141" i="18" s="1"/>
  <c r="K49" i="18" l="1"/>
  <c r="L50" i="18"/>
  <c r="K54" i="18"/>
  <c r="K55" i="18" s="1"/>
  <c r="N55" i="18" s="1"/>
  <c r="O55" i="18" s="1"/>
  <c r="P55" i="18" s="1"/>
  <c r="Q55" i="18" s="1"/>
  <c r="R55" i="18" s="1"/>
  <c r="S55" i="18" s="1"/>
  <c r="M144" i="18"/>
  <c r="U144" i="18"/>
  <c r="K32" i="18"/>
  <c r="L33" i="18"/>
  <c r="K37" i="18"/>
  <c r="K38" i="18" s="1"/>
  <c r="N38" i="18" s="1"/>
  <c r="O38" i="18" s="1"/>
  <c r="P38" i="18" s="1"/>
  <c r="Q38" i="18" s="1"/>
  <c r="R38" i="18" s="1"/>
  <c r="S38" i="18" s="1"/>
  <c r="K19" i="18"/>
  <c r="U67" i="18"/>
  <c r="M67" i="18"/>
  <c r="M66" i="18" s="1"/>
  <c r="L66" i="18"/>
  <c r="K52" i="18"/>
  <c r="L52" i="18" s="1"/>
  <c r="K35" i="18"/>
  <c r="L69" i="18"/>
  <c r="M69" i="18" l="1"/>
  <c r="U69" i="18"/>
  <c r="U52" i="18"/>
  <c r="M52" i="18"/>
  <c r="U66" i="18"/>
  <c r="X67" i="18"/>
  <c r="W67" i="18"/>
  <c r="X144" i="18"/>
  <c r="W144" i="18"/>
  <c r="K21" i="18"/>
  <c r="L21" i="18" s="1"/>
  <c r="L35" i="18"/>
  <c r="L19" i="18"/>
  <c r="K12" i="18"/>
  <c r="T12" i="18" s="1"/>
  <c r="M33" i="18"/>
  <c r="M32" i="18" s="1"/>
  <c r="U33" i="18"/>
  <c r="L32" i="18"/>
  <c r="L49" i="18"/>
  <c r="U50" i="18"/>
  <c r="M50" i="18"/>
  <c r="M49" i="18" s="1"/>
  <c r="X33" i="18" l="1"/>
  <c r="U32" i="18"/>
  <c r="M21" i="18"/>
  <c r="U21" i="18"/>
  <c r="X69" i="18"/>
  <c r="W69" i="18"/>
  <c r="X50" i="18"/>
  <c r="U49" i="18"/>
  <c r="W50" i="18"/>
  <c r="W49" i="18" s="1"/>
  <c r="M19" i="18"/>
  <c r="U19" i="18"/>
  <c r="M35" i="18"/>
  <c r="U35" i="18"/>
  <c r="W66" i="18"/>
  <c r="W33" i="18"/>
  <c r="W32" i="18" s="1"/>
  <c r="X52" i="18"/>
  <c r="W52" i="18"/>
  <c r="W19" i="18" l="1"/>
  <c r="X19" i="18"/>
  <c r="X21" i="18"/>
  <c r="W21" i="18"/>
  <c r="X35" i="18"/>
  <c r="W35" i="18"/>
  <c r="C14" i="27" s="1"/>
  <c r="G14" i="27" s="1"/>
  <c r="K146" i="9"/>
  <c r="K147" i="9" s="1"/>
  <c r="N147" i="9" s="1"/>
  <c r="O147" i="9" s="1"/>
  <c r="P147" i="9" s="1"/>
  <c r="Q147" i="9" s="1"/>
  <c r="R147" i="9" s="1"/>
  <c r="S147" i="9" s="1"/>
  <c r="L142" i="9"/>
  <c r="L141" i="9" s="1"/>
  <c r="K67" i="9"/>
  <c r="K66" i="9" s="1"/>
  <c r="K144" i="9"/>
  <c r="K144" i="23"/>
  <c r="L144" i="23" s="1"/>
  <c r="K141" i="9"/>
  <c r="K142" i="23"/>
  <c r="K67" i="23" s="1"/>
  <c r="K66" i="23" l="1"/>
  <c r="K71" i="23"/>
  <c r="K72" i="23" s="1"/>
  <c r="M144" i="23"/>
  <c r="U144" i="23"/>
  <c r="K50" i="23"/>
  <c r="K146" i="23"/>
  <c r="K147" i="23" s="1"/>
  <c r="N147" i="23" s="1"/>
  <c r="O147" i="23" s="1"/>
  <c r="P147" i="23" s="1"/>
  <c r="Q147" i="23" s="1"/>
  <c r="R147" i="23" s="1"/>
  <c r="S147" i="23" s="1"/>
  <c r="K141" i="23"/>
  <c r="L142" i="23"/>
  <c r="K69" i="23"/>
  <c r="L144" i="9"/>
  <c r="K69" i="9"/>
  <c r="L67" i="23"/>
  <c r="K33" i="9"/>
  <c r="L67" i="9"/>
  <c r="K50" i="9"/>
  <c r="G12" i="28" s="1"/>
  <c r="K71" i="9"/>
  <c r="K72" i="9" s="1"/>
  <c r="N72" i="9" s="1"/>
  <c r="O72" i="9" s="1"/>
  <c r="P72" i="9" s="1"/>
  <c r="Q72" i="9" s="1"/>
  <c r="R72" i="9" s="1"/>
  <c r="S72" i="9" s="1"/>
  <c r="U142" i="9"/>
  <c r="M142" i="9"/>
  <c r="M141" i="9" s="1"/>
  <c r="H12" i="28" l="1"/>
  <c r="L66" i="9"/>
  <c r="U67" i="9"/>
  <c r="M67" i="9"/>
  <c r="M66" i="9" s="1"/>
  <c r="W144" i="23"/>
  <c r="X144" i="23"/>
  <c r="L66" i="23"/>
  <c r="M67" i="23"/>
  <c r="M66" i="23" s="1"/>
  <c r="M144" i="9"/>
  <c r="U144" i="9"/>
  <c r="L141" i="23"/>
  <c r="U142" i="23"/>
  <c r="M142" i="23"/>
  <c r="M141" i="23" s="1"/>
  <c r="X142" i="9"/>
  <c r="W142" i="9"/>
  <c r="W141" i="9" s="1"/>
  <c r="U141" i="9"/>
  <c r="L50" i="9"/>
  <c r="K49" i="9"/>
  <c r="K54" i="9"/>
  <c r="K55" i="9" s="1"/>
  <c r="N55" i="9" s="1"/>
  <c r="O55" i="9" s="1"/>
  <c r="P55" i="9" s="1"/>
  <c r="Q55" i="9" s="1"/>
  <c r="R55" i="9" s="1"/>
  <c r="S55" i="9" s="1"/>
  <c r="K32" i="9"/>
  <c r="K19" i="9"/>
  <c r="L33" i="9"/>
  <c r="K37" i="9"/>
  <c r="K38" i="9" s="1"/>
  <c r="N38" i="9" s="1"/>
  <c r="O38" i="9" s="1"/>
  <c r="P38" i="9" s="1"/>
  <c r="Q38" i="9" s="1"/>
  <c r="R38" i="9" s="1"/>
  <c r="S38" i="9" s="1"/>
  <c r="K35" i="9"/>
  <c r="L69" i="9"/>
  <c r="K52" i="9"/>
  <c r="L52" i="9" s="1"/>
  <c r="L69" i="23"/>
  <c r="K52" i="23"/>
  <c r="K49" i="23"/>
  <c r="K54" i="23"/>
  <c r="K55" i="23" s="1"/>
  <c r="L50" i="23"/>
  <c r="K33" i="23"/>
  <c r="L49" i="23" l="1"/>
  <c r="M50" i="23"/>
  <c r="M49" i="23" s="1"/>
  <c r="M69" i="23"/>
  <c r="M69" i="9"/>
  <c r="U69" i="9"/>
  <c r="K37" i="23"/>
  <c r="K38" i="23" s="1"/>
  <c r="K32" i="23"/>
  <c r="L33" i="23"/>
  <c r="K19" i="23"/>
  <c r="L52" i="23"/>
  <c r="K35" i="23"/>
  <c r="M52" i="9"/>
  <c r="U52" i="9"/>
  <c r="K21" i="9"/>
  <c r="L21" i="9" s="1"/>
  <c r="L35" i="9"/>
  <c r="U33" i="9"/>
  <c r="M33" i="9"/>
  <c r="M32" i="9" s="1"/>
  <c r="L32" i="9"/>
  <c r="U141" i="23"/>
  <c r="X142" i="23"/>
  <c r="W142" i="23"/>
  <c r="W141" i="23" s="1"/>
  <c r="W144" i="9"/>
  <c r="X144" i="9"/>
  <c r="U66" i="9"/>
  <c r="W67" i="9"/>
  <c r="K12" i="9"/>
  <c r="T12" i="9" s="1"/>
  <c r="L19" i="9"/>
  <c r="M50" i="9"/>
  <c r="M49" i="9" s="1"/>
  <c r="L49" i="9"/>
  <c r="U50" i="9"/>
  <c r="U49" i="9" l="1"/>
  <c r="W50" i="9"/>
  <c r="W49" i="9" s="1"/>
  <c r="U32" i="9"/>
  <c r="M21" i="9"/>
  <c r="U21" i="9"/>
  <c r="M52" i="23"/>
  <c r="L32" i="23"/>
  <c r="M33" i="23"/>
  <c r="M32" i="23" s="1"/>
  <c r="U19" i="9"/>
  <c r="M19" i="9"/>
  <c r="W66" i="9"/>
  <c r="W33" i="9"/>
  <c r="W32" i="9" s="1"/>
  <c r="U35" i="9"/>
  <c r="M35" i="9"/>
  <c r="W52" i="9"/>
  <c r="X52" i="9"/>
  <c r="K21" i="23"/>
  <c r="L35" i="23"/>
  <c r="K12" i="23"/>
  <c r="W69" i="9"/>
  <c r="X69" i="9"/>
  <c r="M35" i="23" l="1"/>
  <c r="X35" i="9"/>
  <c r="W35" i="9"/>
  <c r="C8" i="27" s="1"/>
  <c r="W19" i="9"/>
  <c r="W21" i="9"/>
  <c r="X21" i="9"/>
  <c r="C17" i="27" l="1"/>
  <c r="C26" i="27" s="1"/>
  <c r="G8" i="27"/>
  <c r="L368" i="15" l="1"/>
  <c r="L367" i="15" s="1"/>
  <c r="I291" i="23"/>
  <c r="I290" i="23" s="1"/>
  <c r="I351" i="15"/>
  <c r="I353" i="15"/>
  <c r="L353" i="15" s="1"/>
  <c r="U353" i="15" l="1"/>
  <c r="W353" i="15" s="1"/>
  <c r="M353" i="15"/>
  <c r="L351" i="15"/>
  <c r="I350" i="15"/>
  <c r="I274" i="23"/>
  <c r="U368" i="15"/>
  <c r="M368" i="15"/>
  <c r="M367" i="15" s="1"/>
  <c r="I334" i="15"/>
  <c r="L291" i="23"/>
  <c r="L290" i="23" l="1"/>
  <c r="M291" i="23"/>
  <c r="M290" i="23" s="1"/>
  <c r="U291" i="23"/>
  <c r="I333" i="15"/>
  <c r="I336" i="15"/>
  <c r="L336" i="15" s="1"/>
  <c r="L334" i="15"/>
  <c r="U367" i="15"/>
  <c r="X373" i="15"/>
  <c r="W368" i="15"/>
  <c r="W367" i="15" s="1"/>
  <c r="I273" i="23"/>
  <c r="I276" i="23"/>
  <c r="L276" i="23" s="1"/>
  <c r="I257" i="23"/>
  <c r="L274" i="23"/>
  <c r="L350" i="15"/>
  <c r="U351" i="15"/>
  <c r="M351" i="15"/>
  <c r="M350" i="15" s="1"/>
  <c r="I256" i="23" l="1"/>
  <c r="L257" i="23"/>
  <c r="I259" i="23"/>
  <c r="L259" i="23" s="1"/>
  <c r="L333" i="15"/>
  <c r="M334" i="15"/>
  <c r="M333" i="15" s="1"/>
  <c r="U334" i="15"/>
  <c r="U350" i="15"/>
  <c r="W351" i="15"/>
  <c r="W350" i="15" s="1"/>
  <c r="X358" i="15"/>
  <c r="L273" i="23"/>
  <c r="M274" i="23"/>
  <c r="M273" i="23" s="1"/>
  <c r="U274" i="23"/>
  <c r="M276" i="23"/>
  <c r="U276" i="23"/>
  <c r="W276" i="23" s="1"/>
  <c r="M336" i="15"/>
  <c r="U336" i="15"/>
  <c r="W336" i="15" s="1"/>
  <c r="U290" i="23"/>
  <c r="W291" i="23"/>
  <c r="W290" i="23" s="1"/>
  <c r="U273" i="23" l="1"/>
  <c r="W274" i="23"/>
  <c r="W273" i="23" s="1"/>
  <c r="U333" i="15"/>
  <c r="X341" i="15"/>
  <c r="W334" i="15"/>
  <c r="W333" i="15" s="1"/>
  <c r="L256" i="23"/>
  <c r="U257" i="23"/>
  <c r="M257" i="23"/>
  <c r="M256" i="23" s="1"/>
  <c r="M259" i="23"/>
  <c r="U259" i="23"/>
  <c r="W259" i="23" s="1"/>
  <c r="U256" i="23" l="1"/>
  <c r="W257" i="23"/>
  <c r="W256" i="23" s="1"/>
  <c r="I92" i="23"/>
  <c r="L92" i="15"/>
  <c r="L91" i="15" s="1"/>
  <c r="I60" i="15"/>
  <c r="I43" i="15"/>
  <c r="I42" i="15" s="1"/>
  <c r="U92" i="15" l="1"/>
  <c r="X97" i="15" s="1"/>
  <c r="I45" i="15"/>
  <c r="L45" i="15" s="1"/>
  <c r="I59" i="15"/>
  <c r="L60" i="15"/>
  <c r="I26" i="15"/>
  <c r="U91" i="15"/>
  <c r="I91" i="23"/>
  <c r="L92" i="23"/>
  <c r="M92" i="15"/>
  <c r="M91" i="15" s="1"/>
  <c r="I62" i="15"/>
  <c r="L43" i="15"/>
  <c r="I60" i="23"/>
  <c r="W92" i="15" l="1"/>
  <c r="W91" i="15" s="1"/>
  <c r="L42" i="15"/>
  <c r="M43" i="15"/>
  <c r="M42" i="15" s="1"/>
  <c r="U43" i="15"/>
  <c r="L62" i="15"/>
  <c r="I28" i="15"/>
  <c r="M92" i="23"/>
  <c r="M91" i="23" s="1"/>
  <c r="L91" i="23"/>
  <c r="U92" i="23"/>
  <c r="I25" i="15"/>
  <c r="L26" i="15"/>
  <c r="I59" i="23"/>
  <c r="I43" i="23"/>
  <c r="L60" i="23"/>
  <c r="I62" i="23"/>
  <c r="U60" i="15"/>
  <c r="M60" i="15"/>
  <c r="M59" i="15" s="1"/>
  <c r="L59" i="15"/>
  <c r="M45" i="15"/>
  <c r="U45" i="15"/>
  <c r="I45" i="23" l="1"/>
  <c r="I42" i="23"/>
  <c r="L43" i="23"/>
  <c r="I26" i="23"/>
  <c r="L25" i="15"/>
  <c r="U26" i="15"/>
  <c r="U25" i="15" s="1"/>
  <c r="M26" i="15"/>
  <c r="M25" i="15" s="1"/>
  <c r="U91" i="23"/>
  <c r="W92" i="23"/>
  <c r="W91" i="23" s="1"/>
  <c r="X97" i="23"/>
  <c r="M62" i="15"/>
  <c r="U62" i="15"/>
  <c r="X50" i="15"/>
  <c r="Y50" i="15" s="1"/>
  <c r="W45" i="15"/>
  <c r="W60" i="15"/>
  <c r="U59" i="15"/>
  <c r="L59" i="23"/>
  <c r="M60" i="23"/>
  <c r="M59" i="23" s="1"/>
  <c r="U60" i="23"/>
  <c r="I16" i="15"/>
  <c r="L28" i="15"/>
  <c r="U42" i="15"/>
  <c r="W43" i="15"/>
  <c r="W42" i="15" s="1"/>
  <c r="X67" i="15" l="1"/>
  <c r="W62" i="15"/>
  <c r="I25" i="23"/>
  <c r="I28" i="23"/>
  <c r="L26" i="23"/>
  <c r="M28" i="15"/>
  <c r="U28" i="15"/>
  <c r="X33" i="15" s="1"/>
  <c r="U59" i="23"/>
  <c r="W60" i="23"/>
  <c r="W59" i="23" s="1"/>
  <c r="W59" i="15"/>
  <c r="W26" i="15"/>
  <c r="L42" i="23"/>
  <c r="U43" i="23"/>
  <c r="M43" i="23"/>
  <c r="M42" i="23" s="1"/>
  <c r="W43" i="23" l="1"/>
  <c r="W42" i="23" s="1"/>
  <c r="U42" i="23"/>
  <c r="W25" i="15"/>
  <c r="W28" i="15"/>
  <c r="L25" i="23"/>
  <c r="U26" i="23"/>
  <c r="M26" i="23"/>
  <c r="M25" i="23" s="1"/>
  <c r="U25" i="23" l="1"/>
  <c r="W26" i="23"/>
  <c r="W25" i="23" s="1"/>
  <c r="J475" i="7" l="1"/>
  <c r="J16" i="7" s="1"/>
  <c r="J474" i="7" l="1"/>
  <c r="K475" i="8" l="1"/>
  <c r="L490" i="8" l="1"/>
  <c r="M490" i="8" s="1"/>
  <c r="M489" i="8" s="1"/>
  <c r="K16" i="8"/>
  <c r="K474" i="8"/>
  <c r="J475" i="8"/>
  <c r="L489" i="8" l="1"/>
  <c r="U490" i="8"/>
  <c r="W490" i="8" s="1"/>
  <c r="W489" i="8" s="1"/>
  <c r="J16" i="8"/>
  <c r="L16" i="8" s="1"/>
  <c r="L475" i="8"/>
  <c r="J474" i="8"/>
  <c r="X495" i="8" l="1"/>
  <c r="U489" i="8"/>
  <c r="L474" i="8"/>
  <c r="M475" i="8"/>
  <c r="M474" i="8" s="1"/>
  <c r="U475" i="8"/>
  <c r="U16" i="8"/>
  <c r="M16" i="8"/>
  <c r="X480" i="8" l="1"/>
  <c r="W475" i="8"/>
  <c r="W474" i="8" s="1"/>
  <c r="U474" i="8"/>
  <c r="X19" i="8"/>
  <c r="W16" i="8"/>
  <c r="K475" i="9"/>
  <c r="J475" i="9"/>
  <c r="K474" i="9" l="1"/>
  <c r="J474" i="9"/>
  <c r="J16" i="9"/>
  <c r="L475" i="9"/>
  <c r="L490" i="9"/>
  <c r="L489" i="9" l="1"/>
  <c r="M490" i="9"/>
  <c r="M489" i="9" s="1"/>
  <c r="U490" i="9"/>
  <c r="M475" i="9"/>
  <c r="M474" i="9" s="1"/>
  <c r="U475" i="9"/>
  <c r="L474" i="9"/>
  <c r="U474" i="9" l="1"/>
  <c r="X480" i="9"/>
  <c r="W475" i="9"/>
  <c r="W474" i="9" s="1"/>
  <c r="X495" i="9"/>
  <c r="W490" i="9"/>
  <c r="W489" i="9" s="1"/>
  <c r="U489" i="9"/>
  <c r="K61" i="9" l="1"/>
  <c r="L61" i="9" l="1"/>
  <c r="K62" i="9"/>
  <c r="L62" i="9" s="1"/>
  <c r="K44" i="9"/>
  <c r="L77" i="9"/>
  <c r="K77" i="23"/>
  <c r="L76" i="9" l="1"/>
  <c r="M77" i="9"/>
  <c r="M76" i="9" s="1"/>
  <c r="U77" i="9"/>
  <c r="M62" i="9"/>
  <c r="U62" i="9"/>
  <c r="L77" i="23"/>
  <c r="K61" i="23"/>
  <c r="K76" i="23"/>
  <c r="L44" i="9"/>
  <c r="K45" i="9"/>
  <c r="L45" i="9" s="1"/>
  <c r="K27" i="9"/>
  <c r="M61" i="9"/>
  <c r="U61" i="9"/>
  <c r="W61" i="9" s="1"/>
  <c r="W27" i="9" s="1"/>
  <c r="W28" i="9" s="1"/>
  <c r="M45" i="9" l="1"/>
  <c r="U45" i="9"/>
  <c r="L76" i="23"/>
  <c r="U77" i="23"/>
  <c r="M77" i="23"/>
  <c r="M76" i="23" s="1"/>
  <c r="L27" i="9"/>
  <c r="K28" i="9"/>
  <c r="M44" i="9"/>
  <c r="U44" i="9"/>
  <c r="W44" i="9" s="1"/>
  <c r="K62" i="23"/>
  <c r="L62" i="23" s="1"/>
  <c r="L61" i="23"/>
  <c r="K44" i="23"/>
  <c r="X67" i="9"/>
  <c r="W62" i="9"/>
  <c r="U76" i="9"/>
  <c r="W77" i="9"/>
  <c r="W76" i="9" s="1"/>
  <c r="X82" i="9"/>
  <c r="K45" i="23" l="1"/>
  <c r="L45" i="23" s="1"/>
  <c r="L44" i="23"/>
  <c r="K27" i="23"/>
  <c r="M62" i="23"/>
  <c r="U62" i="23"/>
  <c r="M27" i="9"/>
  <c r="U27" i="9"/>
  <c r="U76" i="23"/>
  <c r="W77" i="23"/>
  <c r="W76" i="23" s="1"/>
  <c r="W45" i="9"/>
  <c r="X50" i="9"/>
  <c r="U61" i="23"/>
  <c r="W61" i="23" s="1"/>
  <c r="M61" i="23"/>
  <c r="L28" i="9"/>
  <c r="K16" i="9"/>
  <c r="L16" i="9" s="1"/>
  <c r="M16" i="9" l="1"/>
  <c r="U16" i="9"/>
  <c r="M44" i="23"/>
  <c r="U44" i="23"/>
  <c r="W44" i="23" s="1"/>
  <c r="M28" i="9"/>
  <c r="U28" i="9"/>
  <c r="X33" i="9" s="1"/>
  <c r="W62" i="23"/>
  <c r="K28" i="23"/>
  <c r="L27" i="23"/>
  <c r="M45" i="23"/>
  <c r="U45" i="23"/>
  <c r="W45" i="23" l="1"/>
  <c r="M27" i="23"/>
  <c r="U27" i="23"/>
  <c r="W27" i="23" s="1"/>
  <c r="W16" i="9"/>
  <c r="X19" i="9"/>
  <c r="L28" i="23"/>
  <c r="U28" i="23" l="1"/>
  <c r="M28" i="23"/>
  <c r="W28" i="23" l="1"/>
  <c r="F747" i="11"/>
  <c r="F748" i="11" s="1"/>
  <c r="F666" i="23"/>
  <c r="F745" i="11"/>
  <c r="F713" i="11"/>
  <c r="F715" i="11"/>
  <c r="F742" i="11"/>
  <c r="F665" i="23" l="1"/>
  <c r="F670" i="23"/>
  <c r="F671" i="23" s="1"/>
  <c r="F529" i="11"/>
  <c r="F717" i="11"/>
  <c r="F718" i="11" s="1"/>
  <c r="F712" i="11"/>
  <c r="F668" i="23"/>
  <c r="F636" i="23"/>
  <c r="F527" i="11"/>
  <c r="F526" i="11" l="1"/>
  <c r="F531" i="11"/>
  <c r="F532" i="11" s="1"/>
  <c r="F19" i="11"/>
  <c r="F638" i="23"/>
  <c r="F21" i="11"/>
  <c r="F640" i="23"/>
  <c r="F641" i="23" s="1"/>
  <c r="F635" i="23"/>
  <c r="F450" i="23"/>
  <c r="F12" i="11" l="1"/>
  <c r="F454" i="23"/>
  <c r="F455" i="23" s="1"/>
  <c r="F19" i="23"/>
  <c r="F12" i="23" s="1"/>
  <c r="F449" i="23"/>
  <c r="F452" i="23"/>
  <c r="F21" i="23" l="1"/>
  <c r="G747" i="11"/>
  <c r="G748" i="11" s="1"/>
  <c r="G666" i="23"/>
  <c r="G745" i="11"/>
  <c r="G668" i="23"/>
  <c r="G638" i="23" s="1"/>
  <c r="G742" i="11"/>
  <c r="G713" i="11"/>
  <c r="G527" i="11" s="1"/>
  <c r="G715" i="11"/>
  <c r="G452" i="23" l="1"/>
  <c r="G531" i="11"/>
  <c r="G532" i="11" s="1"/>
  <c r="G526" i="11"/>
  <c r="G19" i="11"/>
  <c r="G665" i="23"/>
  <c r="G670" i="23"/>
  <c r="G671" i="23" s="1"/>
  <c r="G529" i="11"/>
  <c r="G712" i="11"/>
  <c r="G717" i="11"/>
  <c r="G718" i="11" s="1"/>
  <c r="G636" i="23"/>
  <c r="G21" i="11" l="1"/>
  <c r="G12" i="11"/>
  <c r="G635" i="23"/>
  <c r="G640" i="23"/>
  <c r="G641" i="23" s="1"/>
  <c r="G450" i="23"/>
  <c r="G21" i="23"/>
  <c r="G19" i="23" l="1"/>
  <c r="G449" i="23"/>
  <c r="G454" i="23"/>
  <c r="G455" i="23" s="1"/>
  <c r="G12" i="23" l="1"/>
  <c r="H747" i="11"/>
  <c r="H748" i="11" s="1"/>
  <c r="H666" i="23"/>
  <c r="H665" i="23" s="1"/>
  <c r="H713" i="11"/>
  <c r="H742" i="11"/>
  <c r="H745" i="11"/>
  <c r="H712" i="11" l="1"/>
  <c r="H717" i="11"/>
  <c r="H718" i="11" s="1"/>
  <c r="H715" i="11"/>
  <c r="H668" i="23"/>
  <c r="H527" i="11"/>
  <c r="H636" i="23"/>
  <c r="H670" i="23"/>
  <c r="H671" i="23" s="1"/>
  <c r="H638" i="23" l="1"/>
  <c r="H635" i="23"/>
  <c r="H640" i="23"/>
  <c r="H641" i="23" s="1"/>
  <c r="H450" i="23"/>
  <c r="H531" i="11"/>
  <c r="H532" i="11" s="1"/>
  <c r="H526" i="11"/>
  <c r="H19" i="11"/>
  <c r="H529" i="11"/>
  <c r="H21" i="11" l="1"/>
  <c r="H12" i="11"/>
  <c r="H449" i="23"/>
  <c r="H19" i="23"/>
  <c r="H454" i="23"/>
  <c r="H455" i="23" s="1"/>
  <c r="H452" i="23"/>
  <c r="H21" i="23" l="1"/>
  <c r="H12" i="23"/>
  <c r="L743" i="11"/>
  <c r="L742" i="11" s="1"/>
  <c r="I747" i="11"/>
  <c r="I748" i="11"/>
  <c r="J748" i="11" s="1"/>
  <c r="K748" i="11" s="1"/>
  <c r="N748" i="11" s="1"/>
  <c r="O748" i="11" s="1"/>
  <c r="P748" i="11" s="1"/>
  <c r="Q748" i="11" s="1"/>
  <c r="R748" i="11" s="1"/>
  <c r="S748" i="11" s="1"/>
  <c r="I666" i="23"/>
  <c r="I665" i="23" s="1"/>
  <c r="I713" i="11"/>
  <c r="I527" i="11"/>
  <c r="I19" i="11" s="1"/>
  <c r="I742" i="11"/>
  <c r="I745" i="11"/>
  <c r="L745" i="11" s="1"/>
  <c r="I668" i="23"/>
  <c r="L668" i="23" s="1"/>
  <c r="L19" i="11" l="1"/>
  <c r="I12" i="11"/>
  <c r="T12" i="11" s="1"/>
  <c r="I638" i="23"/>
  <c r="M745" i="11"/>
  <c r="U745" i="11"/>
  <c r="L713" i="11"/>
  <c r="I715" i="11"/>
  <c r="I712" i="11"/>
  <c r="I717" i="11"/>
  <c r="I718" i="11" s="1"/>
  <c r="J718" i="11" s="1"/>
  <c r="K718" i="11" s="1"/>
  <c r="N718" i="11" s="1"/>
  <c r="O718" i="11" s="1"/>
  <c r="P718" i="11" s="1"/>
  <c r="Q718" i="11" s="1"/>
  <c r="R718" i="11" s="1"/>
  <c r="S718" i="11" s="1"/>
  <c r="M668" i="23"/>
  <c r="U668" i="23"/>
  <c r="I526" i="11"/>
  <c r="L527" i="11"/>
  <c r="I531" i="11"/>
  <c r="I532" i="11" s="1"/>
  <c r="J532" i="11" s="1"/>
  <c r="K532" i="11" s="1"/>
  <c r="N532" i="11" s="1"/>
  <c r="O532" i="11" s="1"/>
  <c r="P532" i="11" s="1"/>
  <c r="Q532" i="11" s="1"/>
  <c r="R532" i="11" s="1"/>
  <c r="S532" i="11" s="1"/>
  <c r="L666" i="23"/>
  <c r="U743" i="11"/>
  <c r="I636" i="23"/>
  <c r="I670" i="23"/>
  <c r="I671" i="23" s="1"/>
  <c r="J671" i="23" s="1"/>
  <c r="K671" i="23" s="1"/>
  <c r="N671" i="23" s="1"/>
  <c r="O671" i="23" s="1"/>
  <c r="P671" i="23" s="1"/>
  <c r="Q671" i="23" s="1"/>
  <c r="R671" i="23" s="1"/>
  <c r="S671" i="23" s="1"/>
  <c r="M743" i="11"/>
  <c r="M742" i="11" s="1"/>
  <c r="U713" i="11" l="1"/>
  <c r="W713" i="11" s="1"/>
  <c r="L712" i="11"/>
  <c r="M713" i="11"/>
  <c r="M712" i="11" s="1"/>
  <c r="U742" i="11"/>
  <c r="W743" i="11"/>
  <c r="W742" i="11" s="1"/>
  <c r="X743" i="11"/>
  <c r="I635" i="23"/>
  <c r="I640" i="23"/>
  <c r="I641" i="23" s="1"/>
  <c r="L636" i="23"/>
  <c r="I450" i="23"/>
  <c r="L665" i="23"/>
  <c r="U666" i="23"/>
  <c r="M666" i="23"/>
  <c r="M665" i="23" s="1"/>
  <c r="L526" i="11"/>
  <c r="M527" i="11"/>
  <c r="M526" i="11" s="1"/>
  <c r="U527" i="11"/>
  <c r="X668" i="23"/>
  <c r="W668" i="23"/>
  <c r="L715" i="11"/>
  <c r="I529" i="11"/>
  <c r="X745" i="11"/>
  <c r="W745" i="11"/>
  <c r="L638" i="23"/>
  <c r="I452" i="23"/>
  <c r="U19" i="11"/>
  <c r="M19" i="11"/>
  <c r="X19" i="11" l="1"/>
  <c r="W19" i="11"/>
  <c r="L452" i="23"/>
  <c r="I21" i="23"/>
  <c r="I21" i="11"/>
  <c r="L21" i="11" s="1"/>
  <c r="L529" i="11"/>
  <c r="U526" i="11"/>
  <c r="W527" i="11"/>
  <c r="W526" i="11" s="1"/>
  <c r="X527" i="11"/>
  <c r="X666" i="23"/>
  <c r="U665" i="23"/>
  <c r="W666" i="23"/>
  <c r="W665" i="23" s="1"/>
  <c r="I19" i="23"/>
  <c r="I454" i="23"/>
  <c r="I455" i="23" s="1"/>
  <c r="J455" i="23" s="1"/>
  <c r="K455" i="23" s="1"/>
  <c r="N455" i="23" s="1"/>
  <c r="O455" i="23" s="1"/>
  <c r="P455" i="23" s="1"/>
  <c r="Q455" i="23" s="1"/>
  <c r="R455" i="23" s="1"/>
  <c r="S455" i="23" s="1"/>
  <c r="I449" i="23"/>
  <c r="L450" i="23"/>
  <c r="M638" i="23"/>
  <c r="U638" i="23"/>
  <c r="U715" i="11"/>
  <c r="W715" i="11" s="1"/>
  <c r="M715" i="11"/>
  <c r="L635" i="23"/>
  <c r="M636" i="23"/>
  <c r="M635" i="23" s="1"/>
  <c r="U636" i="23"/>
  <c r="U712" i="11"/>
  <c r="X713" i="11"/>
  <c r="W712" i="11"/>
  <c r="W638" i="23" l="1"/>
  <c r="X638" i="23"/>
  <c r="M450" i="23"/>
  <c r="M449" i="23" s="1"/>
  <c r="L449" i="23"/>
  <c r="U450" i="23"/>
  <c r="U529" i="11"/>
  <c r="M529" i="11"/>
  <c r="X636" i="23"/>
  <c r="W636" i="23"/>
  <c r="W635" i="23" s="1"/>
  <c r="U635" i="23"/>
  <c r="X715" i="11"/>
  <c r="I12" i="23"/>
  <c r="M21" i="11"/>
  <c r="U21" i="11"/>
  <c r="U452" i="23"/>
  <c r="M452" i="23"/>
  <c r="W452" i="23" l="1"/>
  <c r="X452" i="23"/>
  <c r="W21" i="11"/>
  <c r="X21" i="11"/>
  <c r="X529" i="11"/>
  <c r="W529" i="11"/>
  <c r="F9" i="27" s="1"/>
  <c r="W450" i="23"/>
  <c r="W449" i="23" s="1"/>
  <c r="U449" i="23"/>
  <c r="G9" i="27" l="1"/>
  <c r="F17" i="27"/>
  <c r="F26" i="27" s="1"/>
  <c r="E416" i="23" l="1"/>
  <c r="E417" i="23" s="1"/>
  <c r="E478" i="8"/>
  <c r="E479" i="8"/>
  <c r="E494" i="8"/>
  <c r="E489" i="8"/>
  <c r="E401" i="23" l="1"/>
  <c r="E402" i="23" s="1"/>
  <c r="L571" i="13"/>
  <c r="L570" i="13" s="1"/>
  <c r="J554" i="13"/>
  <c r="J556" i="13" s="1"/>
  <c r="L556" i="13" s="1"/>
  <c r="J537" i="13"/>
  <c r="J536" i="13" s="1"/>
  <c r="J570" i="13"/>
  <c r="U556" i="13" l="1"/>
  <c r="M556" i="13"/>
  <c r="M571" i="13"/>
  <c r="M570" i="13" s="1"/>
  <c r="J539" i="13"/>
  <c r="L539" i="13" s="1"/>
  <c r="U571" i="13"/>
  <c r="J553" i="13"/>
  <c r="J520" i="13"/>
  <c r="L537" i="13"/>
  <c r="L554" i="13"/>
  <c r="M539" i="13" l="1"/>
  <c r="U539" i="13"/>
  <c r="L536" i="13"/>
  <c r="M537" i="13"/>
  <c r="M536" i="13" s="1"/>
  <c r="U537" i="13"/>
  <c r="M554" i="13"/>
  <c r="M553" i="13" s="1"/>
  <c r="L553" i="13"/>
  <c r="U554" i="13"/>
  <c r="J519" i="13"/>
  <c r="L520" i="13"/>
  <c r="J522" i="13"/>
  <c r="W571" i="13"/>
  <c r="W570" i="13" s="1"/>
  <c r="X576" i="13"/>
  <c r="U570" i="13"/>
  <c r="X561" i="13"/>
  <c r="X559" i="13"/>
  <c r="W556" i="13"/>
  <c r="M520" i="13" l="1"/>
  <c r="M519" i="13" s="1"/>
  <c r="U520" i="13"/>
  <c r="L519" i="13"/>
  <c r="W554" i="13"/>
  <c r="W553" i="13" s="1"/>
  <c r="U553" i="13"/>
  <c r="W539" i="13"/>
  <c r="X544" i="13"/>
  <c r="J16" i="13"/>
  <c r="L16" i="13" s="1"/>
  <c r="L522" i="13"/>
  <c r="W537" i="13"/>
  <c r="W536" i="13" s="1"/>
  <c r="U536" i="13"/>
  <c r="M522" i="13" l="1"/>
  <c r="U522" i="13"/>
  <c r="U16" i="13"/>
  <c r="M16" i="13"/>
  <c r="U519" i="13"/>
  <c r="W520" i="13"/>
  <c r="W522" i="13" l="1"/>
  <c r="X527" i="13"/>
  <c r="X520" i="13"/>
  <c r="W519" i="13"/>
  <c r="W16" i="13"/>
  <c r="L586" i="16"/>
  <c r="L585" i="16" s="1"/>
  <c r="I555" i="16"/>
  <c r="L555" i="16" s="1"/>
  <c r="I538" i="16"/>
  <c r="L538" i="16" s="1"/>
  <c r="I585" i="16"/>
  <c r="I509" i="23"/>
  <c r="I508" i="23" s="1"/>
  <c r="M555" i="16" l="1"/>
  <c r="U555" i="16"/>
  <c r="W555" i="16" s="1"/>
  <c r="M538" i="16"/>
  <c r="U538" i="16"/>
  <c r="W538" i="16" s="1"/>
  <c r="I478" i="23"/>
  <c r="L509" i="23"/>
  <c r="M586" i="16"/>
  <c r="M585" i="16" s="1"/>
  <c r="I521" i="16"/>
  <c r="I556" i="16"/>
  <c r="L556" i="16" s="1"/>
  <c r="I539" i="16"/>
  <c r="L539" i="16" s="1"/>
  <c r="U586" i="16"/>
  <c r="U585" i="16" l="1"/>
  <c r="X591" i="16"/>
  <c r="W586" i="16"/>
  <c r="W585" i="16" s="1"/>
  <c r="M556" i="16"/>
  <c r="U556" i="16"/>
  <c r="I479" i="23"/>
  <c r="L478" i="23"/>
  <c r="I461" i="23"/>
  <c r="U539" i="16"/>
  <c r="M539" i="16"/>
  <c r="L521" i="16"/>
  <c r="I522" i="16"/>
  <c r="L508" i="23"/>
  <c r="U509" i="23"/>
  <c r="M509" i="23"/>
  <c r="M508" i="23" s="1"/>
  <c r="U521" i="16" l="1"/>
  <c r="W521" i="16" s="1"/>
  <c r="M521" i="16"/>
  <c r="X544" i="16"/>
  <c r="W539" i="16"/>
  <c r="U478" i="23"/>
  <c r="W478" i="23" s="1"/>
  <c r="M478" i="23"/>
  <c r="W556" i="16"/>
  <c r="X561" i="16"/>
  <c r="X514" i="23"/>
  <c r="U508" i="23"/>
  <c r="W509" i="23"/>
  <c r="W508" i="23" s="1"/>
  <c r="I16" i="16"/>
  <c r="L16" i="16" s="1"/>
  <c r="L522" i="16"/>
  <c r="I444" i="23"/>
  <c r="L461" i="23"/>
  <c r="I462" i="23"/>
  <c r="U461" i="23" l="1"/>
  <c r="W461" i="23" s="1"/>
  <c r="M461" i="23"/>
  <c r="M522" i="16"/>
  <c r="U522" i="16"/>
  <c r="I445" i="23"/>
  <c r="L444" i="23"/>
  <c r="M16" i="16"/>
  <c r="U16" i="16"/>
  <c r="I16" i="23" l="1"/>
  <c r="W16" i="16"/>
  <c r="X19" i="16"/>
  <c r="M444" i="23"/>
  <c r="U444" i="23"/>
  <c r="W444" i="23" s="1"/>
  <c r="W522" i="16"/>
  <c r="X527" i="16"/>
  <c r="L490" i="15" l="1"/>
  <c r="J413" i="23"/>
  <c r="J412" i="23" s="1"/>
  <c r="L489" i="15" l="1"/>
  <c r="U490" i="15"/>
  <c r="M490" i="15"/>
  <c r="M489" i="15" s="1"/>
  <c r="J398" i="23"/>
  <c r="J475" i="15"/>
  <c r="J474" i="15" l="1"/>
  <c r="J16" i="15"/>
  <c r="L16" i="15" s="1"/>
  <c r="L475" i="15"/>
  <c r="U489" i="15"/>
  <c r="X495" i="15"/>
  <c r="W490" i="15"/>
  <c r="W489" i="15" s="1"/>
  <c r="J397" i="23"/>
  <c r="U16" i="15" l="1"/>
  <c r="M16" i="15"/>
  <c r="L474" i="15"/>
  <c r="U475" i="15"/>
  <c r="M475" i="15"/>
  <c r="M474" i="15" s="1"/>
  <c r="X480" i="15" l="1"/>
  <c r="U474" i="15"/>
  <c r="W475" i="15"/>
  <c r="W474" i="15" s="1"/>
  <c r="W16" i="15"/>
  <c r="X19" i="15"/>
  <c r="L490" i="7"/>
  <c r="L489" i="7" l="1"/>
  <c r="M490" i="7"/>
  <c r="M489" i="7" s="1"/>
  <c r="U490" i="7"/>
  <c r="K413" i="23"/>
  <c r="K475" i="7"/>
  <c r="K412" i="23" l="1"/>
  <c r="L413" i="23"/>
  <c r="K398" i="23"/>
  <c r="L475" i="7"/>
  <c r="K474" i="7"/>
  <c r="K16" i="7"/>
  <c r="L16" i="7" s="1"/>
  <c r="U489" i="7"/>
  <c r="W490" i="7"/>
  <c r="W489" i="7" s="1"/>
  <c r="X495" i="7"/>
  <c r="U16" i="7" l="1"/>
  <c r="M16" i="7"/>
  <c r="M475" i="7"/>
  <c r="M474" i="7" s="1"/>
  <c r="L474" i="7"/>
  <c r="U475" i="7"/>
  <c r="M413" i="23"/>
  <c r="M412" i="23" s="1"/>
  <c r="L412" i="23"/>
  <c r="U413" i="23"/>
  <c r="L398" i="23"/>
  <c r="K16" i="23"/>
  <c r="K397" i="23"/>
  <c r="X418" i="23" l="1"/>
  <c r="W413" i="23"/>
  <c r="W412" i="23" s="1"/>
  <c r="U412" i="23"/>
  <c r="U398" i="23"/>
  <c r="L397" i="23"/>
  <c r="M398" i="23"/>
  <c r="M397" i="23" s="1"/>
  <c r="X480" i="7"/>
  <c r="W475" i="7"/>
  <c r="W474" i="7" s="1"/>
  <c r="U474" i="7"/>
  <c r="W16" i="7"/>
  <c r="X19" i="7"/>
  <c r="U397" i="23" l="1"/>
  <c r="W398" i="23"/>
  <c r="W397" i="23" s="1"/>
  <c r="T82" i="22"/>
  <c r="T81" i="22" s="1"/>
  <c r="N86" i="22"/>
  <c r="N87" i="22" s="1"/>
  <c r="O87" i="22" s="1"/>
  <c r="P87" i="22" s="1"/>
  <c r="Q87" i="22" s="1"/>
  <c r="R87" i="22" s="1"/>
  <c r="S87" i="22" s="1"/>
  <c r="N67" i="22"/>
  <c r="N33" i="22" s="1"/>
  <c r="N82" i="23"/>
  <c r="N84" i="22"/>
  <c r="N84" i="23"/>
  <c r="T84" i="23" s="1"/>
  <c r="U84" i="23" s="1"/>
  <c r="N50" i="22" l="1"/>
  <c r="N49" i="22" s="1"/>
  <c r="N81" i="23"/>
  <c r="N86" i="23"/>
  <c r="N87" i="23" s="1"/>
  <c r="O87" i="23" s="1"/>
  <c r="P87" i="23" s="1"/>
  <c r="Q87" i="23" s="1"/>
  <c r="R87" i="23" s="1"/>
  <c r="S87" i="23" s="1"/>
  <c r="T82" i="23"/>
  <c r="N32" i="22"/>
  <c r="N37" i="22"/>
  <c r="N38" i="22" s="1"/>
  <c r="O38" i="22" s="1"/>
  <c r="P38" i="22" s="1"/>
  <c r="Q38" i="22" s="1"/>
  <c r="R38" i="22" s="1"/>
  <c r="S38" i="22" s="1"/>
  <c r="T33" i="22"/>
  <c r="N19" i="22"/>
  <c r="X84" i="23"/>
  <c r="W84" i="23"/>
  <c r="N69" i="23"/>
  <c r="T84" i="22"/>
  <c r="U84" i="22" s="1"/>
  <c r="N69" i="22"/>
  <c r="N67" i="23"/>
  <c r="T67" i="22"/>
  <c r="N54" i="22"/>
  <c r="N55" i="22" s="1"/>
  <c r="O55" i="22" s="1"/>
  <c r="P55" i="22" s="1"/>
  <c r="Q55" i="22" s="1"/>
  <c r="R55" i="22" s="1"/>
  <c r="S55" i="22" s="1"/>
  <c r="N71" i="22"/>
  <c r="N72" i="22" s="1"/>
  <c r="O72" i="22" s="1"/>
  <c r="P72" i="22" s="1"/>
  <c r="Q72" i="22" s="1"/>
  <c r="R72" i="22" s="1"/>
  <c r="S72" i="22" s="1"/>
  <c r="N66" i="22"/>
  <c r="G40" i="28"/>
  <c r="T50" i="22"/>
  <c r="U82" i="22"/>
  <c r="T49" i="22" l="1"/>
  <c r="U50" i="22"/>
  <c r="U81" i="22"/>
  <c r="X82" i="22"/>
  <c r="W82" i="22"/>
  <c r="W81" i="22" s="1"/>
  <c r="G44" i="28"/>
  <c r="H40" i="28"/>
  <c r="H44" i="28" s="1"/>
  <c r="U67" i="22"/>
  <c r="T66" i="22"/>
  <c r="T69" i="22"/>
  <c r="U69" i="22" s="1"/>
  <c r="N35" i="22"/>
  <c r="N52" i="22"/>
  <c r="T52" i="22" s="1"/>
  <c r="U52" i="22" s="1"/>
  <c r="T69" i="23"/>
  <c r="U69" i="23" s="1"/>
  <c r="N52" i="23"/>
  <c r="T32" i="22"/>
  <c r="U33" i="22"/>
  <c r="T67" i="23"/>
  <c r="N66" i="23"/>
  <c r="N71" i="23"/>
  <c r="N72" i="23" s="1"/>
  <c r="O72" i="23" s="1"/>
  <c r="P72" i="23" s="1"/>
  <c r="Q72" i="23" s="1"/>
  <c r="R72" i="23" s="1"/>
  <c r="S72" i="23" s="1"/>
  <c r="N50" i="23"/>
  <c r="X84" i="22"/>
  <c r="W84" i="22"/>
  <c r="N12" i="22"/>
  <c r="T19" i="22"/>
  <c r="T81" i="23"/>
  <c r="U82" i="23"/>
  <c r="X82" i="23" l="1"/>
  <c r="W82" i="23"/>
  <c r="W81" i="23" s="1"/>
  <c r="U81" i="23"/>
  <c r="T50" i="23"/>
  <c r="N54" i="23"/>
  <c r="N55" i="23" s="1"/>
  <c r="O55" i="23" s="1"/>
  <c r="P55" i="23" s="1"/>
  <c r="Q55" i="23" s="1"/>
  <c r="R55" i="23" s="1"/>
  <c r="S55" i="23" s="1"/>
  <c r="N49" i="23"/>
  <c r="N33" i="23"/>
  <c r="U32" i="22"/>
  <c r="X33" i="22"/>
  <c r="N35" i="23"/>
  <c r="T52" i="23"/>
  <c r="U52" i="23" s="1"/>
  <c r="X52" i="22"/>
  <c r="W52" i="22"/>
  <c r="W69" i="22"/>
  <c r="X69" i="22"/>
  <c r="U66" i="22"/>
  <c r="X67" i="22"/>
  <c r="W67" i="22"/>
  <c r="X50" i="22"/>
  <c r="W50" i="22"/>
  <c r="W49" i="22" s="1"/>
  <c r="U49" i="22"/>
  <c r="T66" i="23"/>
  <c r="U67" i="23"/>
  <c r="W69" i="23"/>
  <c r="X69" i="23"/>
  <c r="N21" i="22"/>
  <c r="T21" i="22" s="1"/>
  <c r="T35" i="22"/>
  <c r="U35" i="22" s="1"/>
  <c r="X35" i="22" l="1"/>
  <c r="W35" i="22"/>
  <c r="C16" i="27" s="1"/>
  <c r="X67" i="23"/>
  <c r="W67" i="23"/>
  <c r="W66" i="23" s="1"/>
  <c r="U66" i="23"/>
  <c r="W33" i="22"/>
  <c r="W32" i="22" s="1"/>
  <c r="W66" i="22"/>
  <c r="T35" i="23"/>
  <c r="U35" i="23" s="1"/>
  <c r="N21" i="23"/>
  <c r="U50" i="23"/>
  <c r="T49" i="23"/>
  <c r="W52" i="23"/>
  <c r="X52" i="23"/>
  <c r="T33" i="23"/>
  <c r="N32" i="23"/>
  <c r="N37" i="23"/>
  <c r="N38" i="23" s="1"/>
  <c r="O38" i="23" s="1"/>
  <c r="P38" i="23" s="1"/>
  <c r="Q38" i="23" s="1"/>
  <c r="R38" i="23" s="1"/>
  <c r="S38" i="23" s="1"/>
  <c r="N19" i="23"/>
  <c r="T32" i="23" l="1"/>
  <c r="U33" i="23"/>
  <c r="U49" i="23"/>
  <c r="X50" i="23"/>
  <c r="W50" i="23"/>
  <c r="W49" i="23" s="1"/>
  <c r="X35" i="23"/>
  <c r="W35" i="23"/>
  <c r="N12" i="23"/>
  <c r="U32" i="23" l="1"/>
  <c r="W33" i="23"/>
  <c r="W32" i="23" s="1"/>
  <c r="X33" i="23"/>
  <c r="L511" i="22"/>
  <c r="U511" i="22" s="1"/>
  <c r="L540" i="22"/>
  <c r="M540" i="22" s="1"/>
  <c r="L528" i="22"/>
  <c r="U528" i="22" s="1"/>
  <c r="W528" i="22" s="1"/>
  <c r="K515" i="22"/>
  <c r="N515" i="22" s="1"/>
  <c r="O515" i="22" s="1"/>
  <c r="P515" i="22" s="1"/>
  <c r="Q515" i="22" s="1"/>
  <c r="R515" i="22" s="1"/>
  <c r="S515" i="22" s="1"/>
  <c r="J509" i="22"/>
  <c r="L538" i="22"/>
  <c r="M538" i="22" s="1"/>
  <c r="U538" i="22"/>
  <c r="W538" i="22" s="1"/>
  <c r="L555" i="22"/>
  <c r="M555" i="22" s="1"/>
  <c r="L521" i="22"/>
  <c r="M521" i="22" s="1"/>
  <c r="U521" i="22"/>
  <c r="W521" i="22" s="1"/>
  <c r="M567" i="22"/>
  <c r="L567" i="22"/>
  <c r="U567" i="22"/>
  <c r="L568" i="22"/>
  <c r="M568" i="22" s="1"/>
  <c r="L533" i="22"/>
  <c r="M533" i="22" s="1"/>
  <c r="M517" i="22"/>
  <c r="L517" i="22"/>
  <c r="U517" i="22"/>
  <c r="L569" i="22"/>
  <c r="M569" i="22" s="1"/>
  <c r="M550" i="22"/>
  <c r="L550" i="22"/>
  <c r="U550" i="22"/>
  <c r="L551" i="22"/>
  <c r="U551" i="22" s="1"/>
  <c r="M516" i="22"/>
  <c r="L516" i="22"/>
  <c r="U516" i="22"/>
  <c r="L552" i="22"/>
  <c r="M552" i="22" s="1"/>
  <c r="L513" i="22"/>
  <c r="M513" i="22" s="1"/>
  <c r="L562" i="22"/>
  <c r="M562" i="22" s="1"/>
  <c r="U562" i="22"/>
  <c r="W562" i="22" s="1"/>
  <c r="L559" i="22"/>
  <c r="M559" i="22" s="1"/>
  <c r="L557" i="22"/>
  <c r="U557" i="22" s="1"/>
  <c r="L534" i="22"/>
  <c r="U534" i="22" s="1"/>
  <c r="L542" i="22"/>
  <c r="M542" i="22" s="1"/>
  <c r="L523" i="22"/>
  <c r="M523" i="22" s="1"/>
  <c r="L518" i="22"/>
  <c r="M518" i="22" s="1"/>
  <c r="L545" i="22"/>
  <c r="M545" i="22" s="1"/>
  <c r="U545" i="22"/>
  <c r="W545" i="22" s="1"/>
  <c r="L558" i="22"/>
  <c r="M558" i="22" s="1"/>
  <c r="L564" i="22"/>
  <c r="M564" i="22" s="1"/>
  <c r="U564" i="22"/>
  <c r="W564" i="22" s="1"/>
  <c r="L525" i="22"/>
  <c r="M525" i="22" s="1"/>
  <c r="L535" i="22"/>
  <c r="M535" i="22" s="1"/>
  <c r="L563" i="22"/>
  <c r="M563" i="22" s="1"/>
  <c r="K549" i="22"/>
  <c r="N549" i="22" s="1"/>
  <c r="O549" i="22" s="1"/>
  <c r="P549" i="22" s="1"/>
  <c r="Q549" i="22" s="1"/>
  <c r="R549" i="22" s="1"/>
  <c r="S549" i="22" s="1"/>
  <c r="L561" i="22"/>
  <c r="L560" i="22" s="1"/>
  <c r="L547" i="22"/>
  <c r="M547" i="22" s="1"/>
  <c r="L544" i="22"/>
  <c r="M544" i="22" s="1"/>
  <c r="M543" i="22" s="1"/>
  <c r="J481" i="22"/>
  <c r="L481" i="22" s="1"/>
  <c r="J20" i="22"/>
  <c r="L20" i="22" s="1"/>
  <c r="L541" i="22"/>
  <c r="M541" i="22" s="1"/>
  <c r="L510" i="22"/>
  <c r="M510" i="22" s="1"/>
  <c r="M509" i="22" s="1"/>
  <c r="L556" i="22"/>
  <c r="M556" i="22" s="1"/>
  <c r="L530" i="22"/>
  <c r="M530" i="22" s="1"/>
  <c r="L546" i="22"/>
  <c r="L527" i="22"/>
  <c r="L529" i="22"/>
  <c r="M529" i="22" s="1"/>
  <c r="K532" i="22"/>
  <c r="N532" i="22" s="1"/>
  <c r="O532" i="22" s="1"/>
  <c r="P532" i="22" s="1"/>
  <c r="Q532" i="22" s="1"/>
  <c r="R532" i="22" s="1"/>
  <c r="S532" i="22" s="1"/>
  <c r="L524" i="22"/>
  <c r="L512" i="22"/>
  <c r="J434" i="23"/>
  <c r="L434" i="23" s="1"/>
  <c r="J490" i="23"/>
  <c r="L490" i="23" s="1"/>
  <c r="J491" i="23"/>
  <c r="L491" i="23" s="1"/>
  <c r="J474" i="23"/>
  <c r="L474" i="23" s="1"/>
  <c r="J492" i="23"/>
  <c r="L492" i="23" s="1"/>
  <c r="G43" i="28"/>
  <c r="G48" i="28" s="1"/>
  <c r="L571" i="22"/>
  <c r="M571" i="22" s="1"/>
  <c r="M570" i="22" s="1"/>
  <c r="L539" i="22"/>
  <c r="M539" i="22" s="1"/>
  <c r="L554" i="22"/>
  <c r="L553" i="22" s="1"/>
  <c r="J17" i="22"/>
  <c r="L17" i="22" s="1"/>
  <c r="L522" i="22"/>
  <c r="J18" i="22"/>
  <c r="J3" i="22" s="1"/>
  <c r="T3" i="22" s="1"/>
  <c r="L18" i="22"/>
  <c r="L520" i="22"/>
  <c r="L537" i="22"/>
  <c r="L536" i="22" s="1"/>
  <c r="J16" i="22"/>
  <c r="L16" i="22" s="1"/>
  <c r="M16" i="22" s="1"/>
  <c r="J494" i="23"/>
  <c r="G42" i="28"/>
  <c r="G46" i="28" s="1"/>
  <c r="J480" i="22"/>
  <c r="J479" i="22" s="1"/>
  <c r="J19" i="22"/>
  <c r="J12" i="22" s="1"/>
  <c r="T12" i="22" s="1"/>
  <c r="J435" i="23"/>
  <c r="L435" i="23" s="1"/>
  <c r="J482" i="22"/>
  <c r="L482" i="22" s="1"/>
  <c r="J433" i="23"/>
  <c r="J493" i="23" l="1"/>
  <c r="H43" i="28"/>
  <c r="H48" i="28" s="1"/>
  <c r="U529" i="22"/>
  <c r="W529" i="22" s="1"/>
  <c r="F16" i="27" s="1"/>
  <c r="U561" i="22"/>
  <c r="J477" i="23"/>
  <c r="J479" i="23" s="1"/>
  <c r="L479" i="23" s="1"/>
  <c r="M479" i="23" s="1"/>
  <c r="M482" i="22"/>
  <c r="U482" i="22"/>
  <c r="M435" i="23"/>
  <c r="U435" i="23"/>
  <c r="J432" i="23"/>
  <c r="L433" i="23"/>
  <c r="J21" i="22"/>
  <c r="L21" i="22" s="1"/>
  <c r="J403" i="23"/>
  <c r="J405" i="23"/>
  <c r="L19" i="22"/>
  <c r="H42" i="28"/>
  <c r="H46" i="28" s="1"/>
  <c r="J460" i="23"/>
  <c r="L494" i="23"/>
  <c r="L480" i="22"/>
  <c r="J484" i="22"/>
  <c r="J485" i="22" s="1"/>
  <c r="K485" i="22" s="1"/>
  <c r="N485" i="22" s="1"/>
  <c r="O485" i="22" s="1"/>
  <c r="P485" i="22" s="1"/>
  <c r="Q485" i="22" s="1"/>
  <c r="R485" i="22" s="1"/>
  <c r="S485" i="22" s="1"/>
  <c r="L519" i="22"/>
  <c r="M520" i="22"/>
  <c r="M519" i="22" s="1"/>
  <c r="M491" i="23"/>
  <c r="U491" i="23"/>
  <c r="M434" i="23"/>
  <c r="U434" i="23"/>
  <c r="L477" i="23"/>
  <c r="J437" i="23"/>
  <c r="J438" i="23" s="1"/>
  <c r="K438" i="23" s="1"/>
  <c r="N438" i="23" s="1"/>
  <c r="O438" i="23" s="1"/>
  <c r="P438" i="23" s="1"/>
  <c r="Q438" i="23" s="1"/>
  <c r="R438" i="23" s="1"/>
  <c r="S438" i="23" s="1"/>
  <c r="M18" i="22"/>
  <c r="U18" i="22"/>
  <c r="U474" i="23"/>
  <c r="M474" i="23"/>
  <c r="U490" i="23"/>
  <c r="M490" i="23"/>
  <c r="M17" i="22"/>
  <c r="U17" i="22"/>
  <c r="M537" i="22"/>
  <c r="M536" i="22" s="1"/>
  <c r="M554" i="22"/>
  <c r="M553" i="22" s="1"/>
  <c r="J475" i="23"/>
  <c r="J476" i="23" s="1"/>
  <c r="J457" i="23"/>
  <c r="J473" i="23"/>
  <c r="J404" i="23"/>
  <c r="M524" i="22"/>
  <c r="U524" i="22"/>
  <c r="M527" i="22"/>
  <c r="M526" i="22" s="1"/>
  <c r="L526" i="22"/>
  <c r="U527" i="22"/>
  <c r="M546" i="22"/>
  <c r="U546" i="22"/>
  <c r="W546" i="22" s="1"/>
  <c r="M522" i="22"/>
  <c r="L570" i="22"/>
  <c r="M20" i="22"/>
  <c r="U20" i="22"/>
  <c r="W20" i="22" s="1"/>
  <c r="X511" i="22"/>
  <c r="W511" i="22"/>
  <c r="M492" i="23"/>
  <c r="U492" i="23"/>
  <c r="M512" i="22"/>
  <c r="U512" i="22"/>
  <c r="U530" i="22"/>
  <c r="W530" i="22" s="1"/>
  <c r="M481" i="22"/>
  <c r="U481" i="22"/>
  <c r="W557" i="22"/>
  <c r="X562" i="22"/>
  <c r="U510" i="22"/>
  <c r="L509" i="22"/>
  <c r="U541" i="22"/>
  <c r="W561" i="22"/>
  <c r="U563" i="22"/>
  <c r="W563" i="22" s="1"/>
  <c r="U525" i="22"/>
  <c r="W525" i="22" s="1"/>
  <c r="U542" i="22"/>
  <c r="W542" i="22" s="1"/>
  <c r="M561" i="22"/>
  <c r="M560" i="22" s="1"/>
  <c r="U559" i="22"/>
  <c r="W559" i="22" s="1"/>
  <c r="U513" i="22"/>
  <c r="W513" i="22" s="1"/>
  <c r="U555" i="22"/>
  <c r="W555" i="22" s="1"/>
  <c r="U535" i="22"/>
  <c r="L543" i="22"/>
  <c r="U558" i="22"/>
  <c r="U523" i="22"/>
  <c r="M534" i="22"/>
  <c r="M557" i="22"/>
  <c r="M551" i="22"/>
  <c r="U569" i="22"/>
  <c r="U533" i="22"/>
  <c r="M528" i="22"/>
  <c r="U568" i="22"/>
  <c r="M511" i="22"/>
  <c r="U544" i="22"/>
  <c r="U547" i="22"/>
  <c r="W547" i="22" s="1"/>
  <c r="U540" i="22"/>
  <c r="U518" i="22"/>
  <c r="U552" i="22"/>
  <c r="W560" i="22" l="1"/>
  <c r="U560" i="22"/>
  <c r="X545" i="22"/>
  <c r="W540" i="22"/>
  <c r="U543" i="22"/>
  <c r="W544" i="22"/>
  <c r="W543" i="22" s="1"/>
  <c r="W535" i="22"/>
  <c r="X542" i="22"/>
  <c r="W518" i="22"/>
  <c r="X525" i="22"/>
  <c r="W569" i="22"/>
  <c r="X574" i="22"/>
  <c r="X528" i="22"/>
  <c r="W523" i="22"/>
  <c r="W541" i="22"/>
  <c r="X546" i="22"/>
  <c r="X510" i="22"/>
  <c r="W510" i="22"/>
  <c r="W509" i="22" s="1"/>
  <c r="U509" i="22"/>
  <c r="W481" i="22"/>
  <c r="X481" i="22"/>
  <c r="W524" i="22"/>
  <c r="X529" i="22"/>
  <c r="L404" i="23"/>
  <c r="J20" i="23"/>
  <c r="L20" i="23" s="1"/>
  <c r="J440" i="23"/>
  <c r="L440" i="23" s="1"/>
  <c r="L457" i="23"/>
  <c r="W17" i="22"/>
  <c r="X20" i="22"/>
  <c r="W18" i="22"/>
  <c r="M480" i="22"/>
  <c r="M479" i="22" s="1"/>
  <c r="U480" i="22"/>
  <c r="L479" i="22"/>
  <c r="L460" i="23"/>
  <c r="J443" i="23"/>
  <c r="J462" i="23"/>
  <c r="L462" i="23" s="1"/>
  <c r="M19" i="22"/>
  <c r="U19" i="22"/>
  <c r="W19" i="22" s="1"/>
  <c r="J402" i="23"/>
  <c r="L403" i="23"/>
  <c r="J19" i="23"/>
  <c r="J407" i="23"/>
  <c r="J408" i="23" s="1"/>
  <c r="K408" i="23" s="1"/>
  <c r="N408" i="23" s="1"/>
  <c r="O408" i="23" s="1"/>
  <c r="P408" i="23" s="1"/>
  <c r="Q408" i="23" s="1"/>
  <c r="R408" i="23" s="1"/>
  <c r="S408" i="23" s="1"/>
  <c r="M433" i="23"/>
  <c r="M432" i="23" s="1"/>
  <c r="L432" i="23"/>
  <c r="U433" i="23"/>
  <c r="X482" i="22"/>
  <c r="W482" i="22"/>
  <c r="E16" i="27" s="1"/>
  <c r="G16" i="27" s="1"/>
  <c r="W552" i="22"/>
  <c r="X559" i="22"/>
  <c r="X563" i="22"/>
  <c r="W558" i="22"/>
  <c r="X512" i="22"/>
  <c r="W512" i="22"/>
  <c r="W492" i="23"/>
  <c r="X497" i="23"/>
  <c r="U526" i="22"/>
  <c r="W527" i="22"/>
  <c r="W526" i="22" s="1"/>
  <c r="J456" i="23"/>
  <c r="L473" i="23"/>
  <c r="J458" i="23"/>
  <c r="L475" i="23"/>
  <c r="L476" i="23" s="1"/>
  <c r="M477" i="23"/>
  <c r="X434" i="23"/>
  <c r="W434" i="23"/>
  <c r="L493" i="23"/>
  <c r="M494" i="23"/>
  <c r="M493" i="23" s="1"/>
  <c r="L405" i="23"/>
  <c r="J21" i="23"/>
  <c r="L21" i="23" s="1"/>
  <c r="M21" i="22"/>
  <c r="U21" i="22"/>
  <c r="W21" i="22" s="1"/>
  <c r="X435" i="23"/>
  <c r="W435" i="23"/>
  <c r="M21" i="23" l="1"/>
  <c r="L458" i="23"/>
  <c r="J441" i="23"/>
  <c r="L441" i="23" s="1"/>
  <c r="L456" i="23"/>
  <c r="J439" i="23"/>
  <c r="L439" i="23" s="1"/>
  <c r="M403" i="23"/>
  <c r="M402" i="23" s="1"/>
  <c r="L402" i="23"/>
  <c r="U403" i="23"/>
  <c r="M462" i="23"/>
  <c r="M460" i="23"/>
  <c r="L459" i="23"/>
  <c r="M440" i="23"/>
  <c r="U440" i="23"/>
  <c r="M404" i="23"/>
  <c r="U404" i="23"/>
  <c r="M405" i="23"/>
  <c r="U405" i="23"/>
  <c r="M475" i="23"/>
  <c r="M476" i="23" s="1"/>
  <c r="U475" i="23"/>
  <c r="M473" i="23"/>
  <c r="U473" i="23"/>
  <c r="X433" i="23"/>
  <c r="W433" i="23"/>
  <c r="W432" i="23" s="1"/>
  <c r="U432" i="23"/>
  <c r="J12" i="23"/>
  <c r="L19" i="23"/>
  <c r="J442" i="23"/>
  <c r="L443" i="23"/>
  <c r="J445" i="23"/>
  <c r="J459" i="23"/>
  <c r="U479" i="22"/>
  <c r="X480" i="22"/>
  <c r="W480" i="22"/>
  <c r="W479" i="22" s="1"/>
  <c r="X21" i="22"/>
  <c r="U457" i="23"/>
  <c r="M457" i="23"/>
  <c r="U20" i="23"/>
  <c r="M20" i="23"/>
  <c r="X20" i="23" l="1"/>
  <c r="W20" i="23"/>
  <c r="L442" i="23"/>
  <c r="M443" i="23"/>
  <c r="M19" i="23"/>
  <c r="X482" i="23"/>
  <c r="W475" i="23"/>
  <c r="X405" i="23"/>
  <c r="W405" i="23"/>
  <c r="X404" i="23"/>
  <c r="W404" i="23"/>
  <c r="U439" i="23"/>
  <c r="M439" i="23"/>
  <c r="U441" i="23"/>
  <c r="M441" i="23"/>
  <c r="L445" i="23"/>
  <c r="J16" i="23"/>
  <c r="L16" i="23" s="1"/>
  <c r="U402" i="23"/>
  <c r="X403" i="23"/>
  <c r="W403" i="23"/>
  <c r="W402" i="23" s="1"/>
  <c r="M456" i="23"/>
  <c r="U456" i="23"/>
  <c r="M458" i="23"/>
  <c r="M459" i="23" s="1"/>
  <c r="U458" i="23"/>
  <c r="X465" i="23" l="1"/>
  <c r="W458" i="23"/>
  <c r="M445" i="23"/>
  <c r="M442" i="23"/>
  <c r="M16" i="23"/>
  <c r="X448" i="23"/>
  <c r="W441" i="23"/>
  <c r="T373" i="13" l="1"/>
  <c r="T372" i="13" s="1"/>
  <c r="P377" i="13"/>
  <c r="P378" i="13" s="1"/>
  <c r="Q378" i="13" s="1"/>
  <c r="R378" i="13" s="1"/>
  <c r="S378" i="13" s="1"/>
  <c r="P296" i="23"/>
  <c r="P295" i="23" s="1"/>
  <c r="P358" i="13"/>
  <c r="P357" i="13" s="1"/>
  <c r="P372" i="13"/>
  <c r="P375" i="13"/>
  <c r="P360" i="13" s="1"/>
  <c r="T360" i="13" l="1"/>
  <c r="U360" i="13" s="1"/>
  <c r="P343" i="13"/>
  <c r="T358" i="13"/>
  <c r="T296" i="23"/>
  <c r="T375" i="13"/>
  <c r="U375" i="13" s="1"/>
  <c r="P300" i="23"/>
  <c r="P301" i="23" s="1"/>
  <c r="Q301" i="23" s="1"/>
  <c r="R301" i="23" s="1"/>
  <c r="S301" i="23" s="1"/>
  <c r="U373" i="13"/>
  <c r="P298" i="23"/>
  <c r="P341" i="13"/>
  <c r="P281" i="23"/>
  <c r="P362" i="13"/>
  <c r="P363" i="13" s="1"/>
  <c r="Q363" i="13" s="1"/>
  <c r="R363" i="13" s="1"/>
  <c r="S363" i="13" s="1"/>
  <c r="T298" i="23" l="1"/>
  <c r="U298" i="23" s="1"/>
  <c r="P283" i="23"/>
  <c r="U296" i="23"/>
  <c r="T295" i="23"/>
  <c r="P21" i="13"/>
  <c r="T21" i="13" s="1"/>
  <c r="U21" i="13" s="1"/>
  <c r="T343" i="13"/>
  <c r="U343" i="13" s="1"/>
  <c r="P285" i="23"/>
  <c r="P286" i="23" s="1"/>
  <c r="Q286" i="23" s="1"/>
  <c r="R286" i="23" s="1"/>
  <c r="S286" i="23" s="1"/>
  <c r="P280" i="23"/>
  <c r="T281" i="23"/>
  <c r="P264" i="23"/>
  <c r="P345" i="13"/>
  <c r="P346" i="13" s="1"/>
  <c r="Q346" i="13" s="1"/>
  <c r="R346" i="13" s="1"/>
  <c r="S346" i="13" s="1"/>
  <c r="T341" i="13"/>
  <c r="P19" i="13"/>
  <c r="P340" i="13"/>
  <c r="G21" i="28"/>
  <c r="U372" i="13"/>
  <c r="W373" i="13"/>
  <c r="W372" i="13" s="1"/>
  <c r="X373" i="13"/>
  <c r="X375" i="13"/>
  <c r="W375" i="13"/>
  <c r="T357" i="13"/>
  <c r="U358" i="13"/>
  <c r="X360" i="13"/>
  <c r="W360" i="13"/>
  <c r="G45" i="28" l="1"/>
  <c r="G49" i="28" s="1"/>
  <c r="H21" i="28"/>
  <c r="H45" i="28" s="1"/>
  <c r="H49" i="28" s="1"/>
  <c r="P12" i="13"/>
  <c r="T12" i="13" s="1"/>
  <c r="T19" i="13"/>
  <c r="U19" i="13" s="1"/>
  <c r="X358" i="13"/>
  <c r="U357" i="13"/>
  <c r="W358" i="13"/>
  <c r="W357" i="13" s="1"/>
  <c r="T340" i="13"/>
  <c r="U341" i="13"/>
  <c r="P263" i="23"/>
  <c r="P19" i="23"/>
  <c r="T264" i="23"/>
  <c r="P268" i="23"/>
  <c r="P269" i="23" s="1"/>
  <c r="Q269" i="23" s="1"/>
  <c r="R269" i="23" s="1"/>
  <c r="S269" i="23" s="1"/>
  <c r="AI26" i="23"/>
  <c r="W343" i="13"/>
  <c r="D10" i="27" s="1"/>
  <c r="X343" i="13"/>
  <c r="P266" i="23"/>
  <c r="T283" i="23"/>
  <c r="U283" i="23" s="1"/>
  <c r="U281" i="23"/>
  <c r="T280" i="23"/>
  <c r="X21" i="13"/>
  <c r="W21" i="13"/>
  <c r="X296" i="23"/>
  <c r="U295" i="23"/>
  <c r="W296" i="23"/>
  <c r="W295" i="23" s="1"/>
  <c r="X298" i="23"/>
  <c r="W298" i="23"/>
  <c r="U280" i="23" l="1"/>
  <c r="X281" i="23"/>
  <c r="W281" i="23"/>
  <c r="W280" i="23" s="1"/>
  <c r="W283" i="23"/>
  <c r="X283" i="23"/>
  <c r="T263" i="23"/>
  <c r="U264" i="23"/>
  <c r="W19" i="13"/>
  <c r="X19" i="13"/>
  <c r="T266" i="23"/>
  <c r="U266" i="23" s="1"/>
  <c r="P21" i="23"/>
  <c r="T21" i="23" s="1"/>
  <c r="U21" i="23" s="1"/>
  <c r="D17" i="27"/>
  <c r="D26" i="27" s="1"/>
  <c r="G10" i="27"/>
  <c r="G17" i="27" s="1"/>
  <c r="G26" i="27" s="1"/>
  <c r="P12" i="23"/>
  <c r="G50" i="28"/>
  <c r="G51" i="28" s="1"/>
  <c r="T19" i="23"/>
  <c r="U19" i="23" s="1"/>
  <c r="X341" i="13"/>
  <c r="W341" i="13"/>
  <c r="W340" i="13" s="1"/>
  <c r="U340" i="13"/>
  <c r="W19" i="23" l="1"/>
  <c r="X266" i="23"/>
  <c r="W266" i="23"/>
  <c r="W21" i="23"/>
  <c r="X21" i="23"/>
  <c r="U263" i="23"/>
  <c r="X264" i="23"/>
  <c r="W264" i="23"/>
  <c r="W263" i="23" s="1"/>
  <c r="O571" i="22"/>
  <c r="T571" i="22" s="1"/>
  <c r="O494" i="23"/>
  <c r="O493" i="23" s="1"/>
  <c r="T570" i="22" l="1"/>
  <c r="U571" i="22"/>
  <c r="O554" i="22"/>
  <c r="T494" i="23"/>
  <c r="O477" i="23"/>
  <c r="O553" i="22" l="1"/>
  <c r="O537" i="22"/>
  <c r="T554" i="22"/>
  <c r="O556" i="22"/>
  <c r="T556" i="22" s="1"/>
  <c r="U556" i="22" s="1"/>
  <c r="U494" i="23"/>
  <c r="T493" i="23"/>
  <c r="U570" i="22"/>
  <c r="X576" i="22"/>
  <c r="W571" i="22"/>
  <c r="W570" i="22" s="1"/>
  <c r="O476" i="23"/>
  <c r="O460" i="23"/>
  <c r="O479" i="23"/>
  <c r="T479" i="23" s="1"/>
  <c r="U479" i="23" s="1"/>
  <c r="T477" i="23"/>
  <c r="X484" i="23" l="1"/>
  <c r="W479" i="23"/>
  <c r="W556" i="22"/>
  <c r="X561" i="22"/>
  <c r="O536" i="22"/>
  <c r="O539" i="22"/>
  <c r="T539" i="22" s="1"/>
  <c r="U539" i="22" s="1"/>
  <c r="W539" i="22" s="1"/>
  <c r="O520" i="22"/>
  <c r="T537" i="22"/>
  <c r="U477" i="23"/>
  <c r="T476" i="23"/>
  <c r="T460" i="23"/>
  <c r="O443" i="23"/>
  <c r="O459" i="23"/>
  <c r="O462" i="23"/>
  <c r="T462" i="23" s="1"/>
  <c r="U462" i="23" s="1"/>
  <c r="X499" i="23"/>
  <c r="W494" i="23"/>
  <c r="W493" i="23" s="1"/>
  <c r="U493" i="23"/>
  <c r="T553" i="22"/>
  <c r="U554" i="22"/>
  <c r="W462" i="23" l="1"/>
  <c r="X467" i="23"/>
  <c r="T443" i="23"/>
  <c r="O445" i="23"/>
  <c r="O442" i="23"/>
  <c r="T536" i="22"/>
  <c r="U537" i="22"/>
  <c r="W554" i="22"/>
  <c r="W553" i="22" s="1"/>
  <c r="U553" i="22"/>
  <c r="T459" i="23"/>
  <c r="U460" i="23"/>
  <c r="U476" i="23"/>
  <c r="W477" i="23"/>
  <c r="W476" i="23" s="1"/>
  <c r="O522" i="22"/>
  <c r="O519" i="22"/>
  <c r="T520" i="22"/>
  <c r="U520" i="22" l="1"/>
  <c r="T519" i="22"/>
  <c r="T522" i="22"/>
  <c r="U522" i="22" s="1"/>
  <c r="O16" i="22"/>
  <c r="T16" i="22" s="1"/>
  <c r="U16" i="22" s="1"/>
  <c r="O16" i="23"/>
  <c r="T16" i="23" s="1"/>
  <c r="U16" i="23" s="1"/>
  <c r="T445" i="23"/>
  <c r="U445" i="23" s="1"/>
  <c r="U459" i="23"/>
  <c r="W460" i="23"/>
  <c r="W459" i="23" s="1"/>
  <c r="U536" i="22"/>
  <c r="X544" i="22"/>
  <c r="W537" i="22"/>
  <c r="W536" i="22" s="1"/>
  <c r="T442" i="23"/>
  <c r="U443" i="23"/>
  <c r="W443" i="23" l="1"/>
  <c r="W442" i="23" s="1"/>
  <c r="U442" i="23"/>
  <c r="X450" i="23"/>
  <c r="W445" i="23"/>
  <c r="X19" i="22"/>
  <c r="W16" i="22"/>
  <c r="W16" i="23"/>
  <c r="X19" i="23"/>
  <c r="X527" i="22"/>
  <c r="W522" i="22"/>
  <c r="U519" i="22"/>
  <c r="W520" i="22"/>
  <c r="W519" i="22" l="1"/>
  <c r="X520" i="22"/>
</calcChain>
</file>

<file path=xl/comments1.xml><?xml version="1.0" encoding="utf-8"?>
<comments xmlns="http://schemas.openxmlformats.org/spreadsheetml/2006/main">
  <authors>
    <author>User</author>
  </authors>
  <commentList>
    <comment ref="P70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дизель 1540 л *25,815= 81335,00
пелети 9489,51 кг * 4,650= 44126,22
</t>
        </r>
      </text>
    </comment>
  </commentList>
</comments>
</file>

<file path=xl/sharedStrings.xml><?xml version="1.0" encoding="utf-8"?>
<sst xmlns="http://schemas.openxmlformats.org/spreadsheetml/2006/main" count="2091" uniqueCount="152">
  <si>
    <t>сума, тис.грн.</t>
  </si>
  <si>
    <t>Державний навчальний заклад "Запорізький професійний ліцей автотранспорту"</t>
  </si>
  <si>
    <t>Всього</t>
  </si>
  <si>
    <t>Додаток 2</t>
  </si>
  <si>
    <t>Аналіз споживання комунальних послуг та енергоносіїв по загальному фонду</t>
  </si>
  <si>
    <t>КЕКВ</t>
  </si>
  <si>
    <t>Очікуване споживання</t>
  </si>
  <si>
    <t>План на рік з урахуванням змін</t>
  </si>
  <si>
    <t>Відхилення</t>
  </si>
  <si>
    <t>січень</t>
  </si>
  <si>
    <t>лютий</t>
  </si>
  <si>
    <t>березень</t>
  </si>
  <si>
    <t>квітень</t>
  </si>
  <si>
    <t>травень</t>
  </si>
  <si>
    <t>червень</t>
  </si>
  <si>
    <t>І півріччя</t>
  </si>
  <si>
    <t>середнє</t>
  </si>
  <si>
    <t>липень</t>
  </si>
  <si>
    <t>серпень</t>
  </si>
  <si>
    <t>вересень</t>
  </si>
  <si>
    <t>жовтень</t>
  </si>
  <si>
    <t>листопад</t>
  </si>
  <si>
    <t>грудень</t>
  </si>
  <si>
    <t>ІІ півріччя</t>
  </si>
  <si>
    <t xml:space="preserve">місцевий </t>
  </si>
  <si>
    <t>касові видатки, тис.грн.</t>
  </si>
  <si>
    <t xml:space="preserve">Разом </t>
  </si>
  <si>
    <t>тариф, грн.</t>
  </si>
  <si>
    <t>місцевий (план), тис.грн</t>
  </si>
  <si>
    <t>план</t>
  </si>
  <si>
    <t xml:space="preserve">відхилення </t>
  </si>
  <si>
    <t>відхилення з наростаючим</t>
  </si>
  <si>
    <t>Заклад</t>
  </si>
  <si>
    <t>Гуртожиток</t>
  </si>
  <si>
    <t>Разом</t>
  </si>
  <si>
    <t>2272 Заклад</t>
  </si>
  <si>
    <t>Разом заклад</t>
  </si>
  <si>
    <t>Водопостачання+Водовідведення</t>
  </si>
  <si>
    <t>Гаряче водовідведення</t>
  </si>
  <si>
    <t>2272 Гуртожиток</t>
  </si>
  <si>
    <t>Разом гуртожиток</t>
  </si>
  <si>
    <t>№ 2</t>
  </si>
  <si>
    <t>№ 5</t>
  </si>
  <si>
    <t>Державний навчальний заклад "Запорізький центр професійно-технічної освіти водного транспорту"</t>
  </si>
  <si>
    <t>Державний навчальний заклад "Запорізьке вище професійне училище "Моторобудівник"</t>
  </si>
  <si>
    <t>Державний навчальний заклад "Запорізьке вище індустріально-політехнічне училище"</t>
  </si>
  <si>
    <t>Державний навчальний заклад "Запорізький будівельний центр професійно-технічної освіти"</t>
  </si>
  <si>
    <t>Державний навчальний заклад "Запорізький професійний ліцей сервісу"</t>
  </si>
  <si>
    <t>№ 41</t>
  </si>
  <si>
    <t>№ 34</t>
  </si>
  <si>
    <t>№ 31</t>
  </si>
  <si>
    <t>№ 27</t>
  </si>
  <si>
    <t>№ 20</t>
  </si>
  <si>
    <t>Разом МТМ</t>
  </si>
  <si>
    <t>Заклад (МТМ)</t>
  </si>
  <si>
    <t>дотація</t>
  </si>
  <si>
    <t>Гуртожиток (ЕНЕРГОСПЕЦ КОМФОРТ)</t>
  </si>
  <si>
    <t>Гуртожиток МТМ</t>
  </si>
  <si>
    <t>2271 ГВП</t>
  </si>
  <si>
    <t>Гуртожиток ГВП</t>
  </si>
  <si>
    <t>Заклад ГВП</t>
  </si>
  <si>
    <t>РАЗОМ (МІДА)</t>
  </si>
  <si>
    <t>Разом ГВП</t>
  </si>
  <si>
    <t>Заклад (Вельтум)</t>
  </si>
  <si>
    <t>Гуртожиток (Вельтум)</t>
  </si>
  <si>
    <t>Разом (Вельтум)</t>
  </si>
  <si>
    <t>Разом (Граник)</t>
  </si>
  <si>
    <t>Заклад (Граник)</t>
  </si>
  <si>
    <t>Гуртожиток (Граник)</t>
  </si>
  <si>
    <t>Гуртожиток (Міда)</t>
  </si>
  <si>
    <t>Разом 2275</t>
  </si>
  <si>
    <t xml:space="preserve">Разом Опалення </t>
  </si>
  <si>
    <t>МТМ</t>
  </si>
  <si>
    <t>Міда</t>
  </si>
  <si>
    <t>заклад</t>
  </si>
  <si>
    <t>гуртожиток</t>
  </si>
  <si>
    <t>Енергоспец комфорт</t>
  </si>
  <si>
    <t>ГВП</t>
  </si>
  <si>
    <t>ХВП</t>
  </si>
  <si>
    <t>Відведення ГВП</t>
  </si>
  <si>
    <t>Вельтум</t>
  </si>
  <si>
    <t>Граник</t>
  </si>
  <si>
    <t xml:space="preserve">вивезення </t>
  </si>
  <si>
    <t>захоронення</t>
  </si>
  <si>
    <t>№ 23</t>
  </si>
  <si>
    <t>Аналіз  споживання комунальних послуг та енергоносіїв по загальному фонду</t>
  </si>
  <si>
    <t>Разом    МТМ + Міда+Енергоспец комплект+ГВП</t>
  </si>
  <si>
    <t>професійно-технічними закладами</t>
  </si>
  <si>
    <t>Інше</t>
  </si>
  <si>
    <t xml:space="preserve">Заклад (Міда) </t>
  </si>
  <si>
    <t>Сміття</t>
  </si>
  <si>
    <t>Заклад (ЕНЕРГОСПЕЦ КОМФОРТ)</t>
  </si>
  <si>
    <t>РАЗОМ Енергоспецкомфорт</t>
  </si>
  <si>
    <t>факт. нат.п-ки 2021</t>
  </si>
  <si>
    <t>0611091</t>
  </si>
  <si>
    <t>факт. нат.п-ки 2022</t>
  </si>
  <si>
    <t>Абоненська плата</t>
  </si>
  <si>
    <t>Постачання ГВП</t>
  </si>
  <si>
    <t xml:space="preserve">Умовно-постійна частина двоставкового тарифу </t>
  </si>
  <si>
    <t xml:space="preserve">Умовно-змінна частина двоставкового тарифу </t>
  </si>
  <si>
    <t>№ 6</t>
  </si>
  <si>
    <t>№ 14</t>
  </si>
  <si>
    <t>абоненська плата, тис.грн.</t>
  </si>
  <si>
    <t>разом сума тис. грн+абонплата</t>
  </si>
  <si>
    <t>,</t>
  </si>
  <si>
    <t>факт. нат.п-ки 2023</t>
  </si>
  <si>
    <t>касові нат.п-ки 2023</t>
  </si>
  <si>
    <t>фу</t>
  </si>
  <si>
    <t>ПТНЗ</t>
  </si>
  <si>
    <t>факт. нат.п-ки 2024</t>
  </si>
  <si>
    <t>Ксенія ГУГАЙЛО</t>
  </si>
  <si>
    <t>Державний навчальний заклад "Запорізький професійний коледж готельно-ресторанного бізнесу"</t>
  </si>
  <si>
    <t>Державний навчальний заклад "Запорізький промисловий центр професійно-технічної освіти"</t>
  </si>
  <si>
    <t>Державний навчальний заклад "Запорізький професійний ліцей залізничного транспорту"</t>
  </si>
  <si>
    <t>Державний навчальний заклад "Запорізьке вище професійне училище"</t>
  </si>
  <si>
    <t>оплата в січні 2025 за грудень 2024 року/в грудні 2024за січень 2025</t>
  </si>
  <si>
    <t>факт. нат.п-ки 2025</t>
  </si>
  <si>
    <t>касові нат.п-ки 2025</t>
  </si>
  <si>
    <r>
      <rPr>
        <b/>
        <i/>
        <sz val="14"/>
        <color rgb="FFFF0000"/>
        <rFont val="Arial"/>
        <family val="2"/>
        <charset val="204"/>
      </rPr>
      <t xml:space="preserve">Абонплата </t>
    </r>
    <r>
      <rPr>
        <b/>
        <i/>
        <sz val="14"/>
        <rFont val="Arial"/>
        <family val="2"/>
      </rPr>
      <t>Заклад (Вельтум)</t>
    </r>
  </si>
  <si>
    <r>
      <rPr>
        <b/>
        <i/>
        <sz val="14"/>
        <color rgb="FFFF0000"/>
        <rFont val="Arial"/>
        <family val="2"/>
        <charset val="204"/>
      </rPr>
      <t xml:space="preserve">Абонплата </t>
    </r>
    <r>
      <rPr>
        <b/>
        <i/>
        <sz val="14"/>
        <rFont val="Arial"/>
        <family val="2"/>
      </rPr>
      <t>Гуртожиток (Вельтум)</t>
    </r>
  </si>
  <si>
    <r>
      <rPr>
        <b/>
        <i/>
        <sz val="14"/>
        <color rgb="FFFF0000"/>
        <rFont val="Arial"/>
        <family val="2"/>
        <charset val="204"/>
      </rPr>
      <t xml:space="preserve">Абонплата </t>
    </r>
    <r>
      <rPr>
        <b/>
        <i/>
        <sz val="14"/>
        <rFont val="Arial"/>
        <family val="2"/>
      </rPr>
      <t>Заклад (Граник)</t>
    </r>
  </si>
  <si>
    <r>
      <rPr>
        <b/>
        <i/>
        <sz val="14"/>
        <color rgb="FFFF0000"/>
        <rFont val="Arial"/>
        <family val="2"/>
        <charset val="204"/>
      </rPr>
      <t xml:space="preserve">Абонплата </t>
    </r>
    <r>
      <rPr>
        <b/>
        <i/>
        <sz val="14"/>
        <rFont val="Arial"/>
        <family val="2"/>
      </rPr>
      <t>Гуртожиток (Граник)</t>
    </r>
  </si>
  <si>
    <t>Інше (разом)</t>
  </si>
  <si>
    <t xml:space="preserve">Заступник директора з економічних питань департаменту освіти і науки Запорізької міської ради </t>
  </si>
  <si>
    <r>
      <t>Інше (</t>
    </r>
    <r>
      <rPr>
        <b/>
        <i/>
        <sz val="14"/>
        <color rgb="FF0000FF"/>
        <rFont val="Arial"/>
        <family val="2"/>
        <charset val="204"/>
      </rPr>
      <t>паливо для генераторів</t>
    </r>
    <r>
      <rPr>
        <b/>
        <i/>
        <sz val="14"/>
        <rFont val="Arial"/>
        <family val="2"/>
      </rPr>
      <t>)</t>
    </r>
  </si>
  <si>
    <r>
      <t>Інше (</t>
    </r>
    <r>
      <rPr>
        <b/>
        <i/>
        <sz val="14"/>
        <color rgb="FF0000FF"/>
        <rFont val="Arial"/>
        <family val="2"/>
        <charset val="204"/>
      </rPr>
      <t>палети</t>
    </r>
    <r>
      <rPr>
        <b/>
        <i/>
        <sz val="14"/>
        <rFont val="Arial"/>
        <family val="2"/>
      </rPr>
      <t>)</t>
    </r>
  </si>
  <si>
    <t>факт 2025</t>
  </si>
  <si>
    <r>
      <rPr>
        <b/>
        <i/>
        <sz val="14"/>
        <color rgb="FFFF0000"/>
        <rFont val="Arial"/>
        <family val="2"/>
        <charset val="204"/>
      </rPr>
      <t>АБОНПЛАТА</t>
    </r>
    <r>
      <rPr>
        <b/>
        <i/>
        <sz val="14"/>
        <rFont val="Arial"/>
        <family val="2"/>
      </rPr>
      <t xml:space="preserve"> Заклад (Вельтум)</t>
    </r>
  </si>
  <si>
    <r>
      <rPr>
        <b/>
        <i/>
        <sz val="14"/>
        <color rgb="FFFF0000"/>
        <rFont val="Arial"/>
        <family val="2"/>
        <charset val="204"/>
      </rPr>
      <t>АБОНПЛАТА</t>
    </r>
    <r>
      <rPr>
        <b/>
        <i/>
        <sz val="14"/>
        <rFont val="Arial"/>
        <family val="2"/>
      </rPr>
      <t xml:space="preserve"> Гуртожиток (Вельтум)</t>
    </r>
  </si>
  <si>
    <r>
      <rPr>
        <b/>
        <i/>
        <sz val="14"/>
        <color rgb="FFFF0000"/>
        <rFont val="Arial"/>
        <family val="2"/>
        <charset val="204"/>
      </rPr>
      <t>АБОНПЛАТА</t>
    </r>
    <r>
      <rPr>
        <b/>
        <i/>
        <sz val="14"/>
        <rFont val="Arial"/>
        <family val="2"/>
      </rPr>
      <t xml:space="preserve"> Заклад (Граник)</t>
    </r>
  </si>
  <si>
    <r>
      <rPr>
        <b/>
        <i/>
        <sz val="14"/>
        <color rgb="FFFF0000"/>
        <rFont val="Arial"/>
        <family val="2"/>
        <charset val="204"/>
      </rPr>
      <t xml:space="preserve">АБОНПЛАТА </t>
    </r>
    <r>
      <rPr>
        <b/>
        <i/>
        <sz val="14"/>
        <rFont val="Arial"/>
        <family val="2"/>
      </rPr>
      <t>Гуртожиток (Граник)</t>
    </r>
  </si>
  <si>
    <t xml:space="preserve">план на 2025 </t>
  </si>
  <si>
    <r>
      <rPr>
        <b/>
        <i/>
        <sz val="14"/>
        <color rgb="FFFF0000"/>
        <rFont val="Arial"/>
        <family val="2"/>
        <charset val="204"/>
      </rPr>
      <t>Абонплата</t>
    </r>
    <r>
      <rPr>
        <b/>
        <i/>
        <sz val="14"/>
        <rFont val="Arial"/>
        <family val="2"/>
      </rPr>
      <t xml:space="preserve"> Заклад (Вельтум)</t>
    </r>
  </si>
  <si>
    <r>
      <rPr>
        <b/>
        <i/>
        <sz val="14"/>
        <color rgb="FFFF0000"/>
        <rFont val="Arial"/>
        <family val="2"/>
        <charset val="204"/>
      </rPr>
      <t>АБОНПЛАТА</t>
    </r>
    <r>
      <rPr>
        <b/>
        <i/>
        <sz val="14"/>
        <rFont val="Arial"/>
        <family val="2"/>
      </rPr>
      <t xml:space="preserve"> Гуртожиток (Граник)</t>
    </r>
  </si>
  <si>
    <r>
      <rPr>
        <b/>
        <i/>
        <sz val="14"/>
        <color rgb="FFFF0000"/>
        <rFont val="Arial"/>
        <family val="2"/>
        <charset val="204"/>
      </rPr>
      <t>Абонплата</t>
    </r>
    <r>
      <rPr>
        <b/>
        <i/>
        <sz val="14"/>
        <rFont val="Arial"/>
        <family val="2"/>
      </rPr>
      <t xml:space="preserve"> Гуртожиток (Вельтум)</t>
    </r>
  </si>
  <si>
    <r>
      <rPr>
        <b/>
        <i/>
        <sz val="14"/>
        <color rgb="FFFF0000"/>
        <rFont val="Arial"/>
        <family val="2"/>
        <charset val="204"/>
      </rPr>
      <t>Абонплата</t>
    </r>
    <r>
      <rPr>
        <b/>
        <i/>
        <sz val="14"/>
        <rFont val="Arial"/>
        <family val="2"/>
      </rPr>
      <t xml:space="preserve"> Заклад (Граник)</t>
    </r>
  </si>
  <si>
    <r>
      <rPr>
        <b/>
        <i/>
        <sz val="14"/>
        <color rgb="FFFF0000"/>
        <rFont val="Arial"/>
        <family val="2"/>
        <charset val="204"/>
      </rPr>
      <t>Абонплата</t>
    </r>
    <r>
      <rPr>
        <b/>
        <i/>
        <sz val="14"/>
        <rFont val="Arial"/>
        <family val="2"/>
      </rPr>
      <t xml:space="preserve"> Гуртожиток (Граник)</t>
    </r>
  </si>
  <si>
    <t>Інше (РАЗОМ)</t>
  </si>
  <si>
    <r>
      <rPr>
        <b/>
        <i/>
        <sz val="14"/>
        <color rgb="FFC00000"/>
        <rFont val="Arial"/>
        <family val="2"/>
        <charset val="204"/>
      </rPr>
      <t>Абонплата</t>
    </r>
    <r>
      <rPr>
        <b/>
        <i/>
        <sz val="14"/>
        <rFont val="Arial"/>
        <family val="2"/>
      </rPr>
      <t xml:space="preserve"> Заклад (Вельтум)</t>
    </r>
  </si>
  <si>
    <r>
      <rPr>
        <b/>
        <i/>
        <sz val="14"/>
        <color rgb="FFC00000"/>
        <rFont val="Arial"/>
        <family val="2"/>
        <charset val="204"/>
      </rPr>
      <t>Абонплата</t>
    </r>
    <r>
      <rPr>
        <b/>
        <i/>
        <sz val="14"/>
        <rFont val="Arial"/>
        <family val="2"/>
      </rPr>
      <t xml:space="preserve"> Гуртожиток (Вельтум)</t>
    </r>
  </si>
  <si>
    <r>
      <rPr>
        <b/>
        <i/>
        <sz val="14"/>
        <color rgb="FFC00000"/>
        <rFont val="Arial"/>
        <family val="2"/>
        <charset val="204"/>
      </rPr>
      <t>Абонплата</t>
    </r>
    <r>
      <rPr>
        <b/>
        <i/>
        <sz val="14"/>
        <rFont val="Arial"/>
        <family val="2"/>
      </rPr>
      <t xml:space="preserve"> Заклад (Граник)</t>
    </r>
  </si>
  <si>
    <r>
      <rPr>
        <b/>
        <i/>
        <sz val="14"/>
        <color rgb="FFC00000"/>
        <rFont val="Arial"/>
        <family val="2"/>
        <charset val="204"/>
      </rPr>
      <t>Абонплата</t>
    </r>
    <r>
      <rPr>
        <b/>
        <i/>
        <sz val="14"/>
        <rFont val="Arial"/>
        <family val="2"/>
      </rPr>
      <t xml:space="preserve"> Гуртожиток (Граник)</t>
    </r>
  </si>
  <si>
    <r>
      <rPr>
        <b/>
        <i/>
        <sz val="14"/>
        <color rgb="FFC00000"/>
        <rFont val="Arial"/>
        <family val="2"/>
        <charset val="204"/>
      </rPr>
      <t>Абонаплата</t>
    </r>
    <r>
      <rPr>
        <b/>
        <i/>
        <sz val="14"/>
        <rFont val="Arial"/>
        <family val="2"/>
      </rPr>
      <t xml:space="preserve"> Заклад (Вельтум)</t>
    </r>
  </si>
  <si>
    <t xml:space="preserve">КЕКВ </t>
  </si>
  <si>
    <t>КПКВК</t>
  </si>
  <si>
    <t>ЗАКЛАД</t>
  </si>
  <si>
    <t>ПЛАН на 2025 тис.грн</t>
  </si>
  <si>
    <t>ФАКТ НА 01.05 2025</t>
  </si>
  <si>
    <t>Очікувані данні до кінця 2025 року, тис.грн</t>
  </si>
  <si>
    <t>Відхилення тис.грн</t>
  </si>
  <si>
    <t>ВСЬОГО</t>
  </si>
  <si>
    <t>станом на 01.09.2025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</si>
</sst>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43" formatCode="_-* #,##0.00\ _₴_-;\-* #,##0.00\ _₴_-;_-* &quot;-&quot;??\ _₴_-;_-@_-"/>
    <numFmt numFmtId="164" formatCode="_-* #,##0_р_._-;\-* #,##0_р_._-;_-* &quot;-&quot;_р_._-;_-@_-"/>
    <numFmt numFmtId="165" formatCode="_-* #,##0.00_р_._-;\-* #,##0.00_р_._-;_-* &quot;-&quot;??_р_._-;_-@_-"/>
    <numFmt numFmtId="166" formatCode="0.000"/>
    <numFmt numFmtId="167" formatCode="0.0000"/>
    <numFmt numFmtId="168" formatCode="0.0"/>
    <numFmt numFmtId="169" formatCode="#,##0.0_ ;[Red]\-#,##0.0\ "/>
    <numFmt numFmtId="170" formatCode="#,##0.000_ ;[Red]\-#,##0.000\ "/>
    <numFmt numFmtId="171" formatCode="0.00000"/>
    <numFmt numFmtId="172" formatCode="#,##0.0"/>
    <numFmt numFmtId="173" formatCode="#,##0.000"/>
    <numFmt numFmtId="174" formatCode="0.000000"/>
    <numFmt numFmtId="175" formatCode="#,##0.00000"/>
    <numFmt numFmtId="176" formatCode="#,##0.000000"/>
    <numFmt numFmtId="177" formatCode="#,##0.0000"/>
    <numFmt numFmtId="178" formatCode="#,##0.00_ ;[Red]\-#,##0.00\ "/>
    <numFmt numFmtId="179" formatCode="#.00"/>
    <numFmt numFmtId="180" formatCode="\$#.00"/>
    <numFmt numFmtId="181" formatCode="%#.00"/>
    <numFmt numFmtId="182" formatCode="_-* #,##0.00\ _р_._-;\-* #,##0.00\ _р_._-;_-* &quot;-&quot;??\ _р_._-;_-@_-"/>
    <numFmt numFmtId="183" formatCode="#,##0.00000_ ;[Red]\-#,##0.00000\ "/>
    <numFmt numFmtId="184" formatCode="#,##0.0000_ ;[Red]\-#,##0.0000\ "/>
    <numFmt numFmtId="185" formatCode="#,##0.000000_ ;[Red]\-#,##0.000000\ "/>
    <numFmt numFmtId="186" formatCode="0.0000000"/>
    <numFmt numFmtId="187" formatCode="#,##0_ ;[Red]\-#,##0\ "/>
    <numFmt numFmtId="188" formatCode="#,##0.0000000_ ;[Red]\-#,##0.0000000\ "/>
    <numFmt numFmtId="189" formatCode="_-* #,##0.000\ _₴_-;\-* #,##0.000\ _₴_-;_-* &quot;-&quot;??\ _₴_-;_-@_-"/>
  </numFmts>
  <fonts count="103">
    <font>
      <sz val="10"/>
      <name val="Arial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b/>
      <i/>
      <sz val="10"/>
      <name val="Arial Cyr"/>
      <charset val="204"/>
    </font>
    <font>
      <sz val="20"/>
      <name val="Times New Roman"/>
      <family val="1"/>
      <charset val="204"/>
    </font>
    <font>
      <b/>
      <i/>
      <sz val="12"/>
      <name val="Arial Cyr"/>
      <charset val="204"/>
    </font>
    <font>
      <b/>
      <i/>
      <sz val="14"/>
      <name val="Arial Cyr"/>
      <charset val="204"/>
    </font>
    <font>
      <b/>
      <sz val="10"/>
      <name val="Arial Cyr"/>
      <charset val="204"/>
    </font>
    <font>
      <b/>
      <sz val="10"/>
      <name val="Arial"/>
      <family val="2"/>
      <charset val="204"/>
    </font>
    <font>
      <i/>
      <sz val="10"/>
      <name val="Arial Cyr"/>
      <charset val="204"/>
    </font>
    <font>
      <i/>
      <sz val="10"/>
      <name val="Arial"/>
      <family val="2"/>
      <charset val="204"/>
    </font>
    <font>
      <b/>
      <i/>
      <sz val="10"/>
      <color indexed="10"/>
      <name val="Arial Cyr"/>
      <charset val="204"/>
    </font>
    <font>
      <i/>
      <sz val="10"/>
      <color indexed="10"/>
      <name val="Arial"/>
      <family val="2"/>
      <charset val="204"/>
    </font>
    <font>
      <b/>
      <i/>
      <sz val="2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i/>
      <sz val="1"/>
      <color indexed="8"/>
      <name val="Courier"/>
      <family val="1"/>
      <charset val="204"/>
    </font>
    <font>
      <sz val="12"/>
      <name val="Times New Roman Cyr"/>
      <family val="1"/>
      <charset val="204"/>
    </font>
    <font>
      <sz val="11"/>
      <color indexed="54"/>
      <name val="Calibri"/>
      <family val="2"/>
      <charset val="204"/>
    </font>
    <font>
      <b/>
      <sz val="18"/>
      <color indexed="49"/>
      <name val="Cambria"/>
      <family val="2"/>
      <charset val="204"/>
    </font>
    <font>
      <b/>
      <sz val="11"/>
      <color indexed="23"/>
      <name val="Calibri"/>
      <family val="2"/>
      <charset val="204"/>
    </font>
    <font>
      <sz val="11"/>
      <color indexed="19"/>
      <name val="Calibri"/>
      <family val="2"/>
      <charset val="204"/>
    </font>
    <font>
      <sz val="10"/>
      <name val="Helv"/>
      <charset val="204"/>
    </font>
    <font>
      <i/>
      <sz val="11"/>
      <color indexed="63"/>
      <name val="Calibri"/>
      <family val="2"/>
      <charset val="204"/>
    </font>
    <font>
      <sz val="12"/>
      <name val="UkrainianPragmatica"/>
      <charset val="204"/>
    </font>
    <font>
      <b/>
      <sz val="14"/>
      <name val="Times New Roman"/>
      <family val="1"/>
      <charset val="204"/>
    </font>
    <font>
      <b/>
      <i/>
      <sz val="10"/>
      <name val="Arial"/>
      <family val="2"/>
      <charset val="204"/>
    </font>
    <font>
      <i/>
      <sz val="10"/>
      <color indexed="10"/>
      <name val="Arial Cyr"/>
      <charset val="204"/>
    </font>
    <font>
      <sz val="11"/>
      <color theme="1"/>
      <name val="Calibri"/>
      <family val="2"/>
      <charset val="204"/>
      <scheme val="minor"/>
    </font>
    <font>
      <i/>
      <sz val="10"/>
      <color theme="0" tint="-0.34998626667073579"/>
      <name val="Arial Cyr"/>
      <charset val="204"/>
    </font>
    <font>
      <b/>
      <i/>
      <sz val="14"/>
      <color theme="0" tint="-0.34998626667073579"/>
      <name val="Arial Cyr"/>
      <charset val="204"/>
    </font>
    <font>
      <i/>
      <sz val="10"/>
      <color theme="1"/>
      <name val="Arial"/>
      <family val="2"/>
      <charset val="204"/>
    </font>
    <font>
      <b/>
      <i/>
      <sz val="12"/>
      <color rgb="FFFF0000"/>
      <name val="Arial"/>
      <family val="2"/>
      <charset val="204"/>
    </font>
    <font>
      <b/>
      <i/>
      <sz val="10"/>
      <name val="Arial"/>
      <family val="2"/>
    </font>
    <font>
      <b/>
      <i/>
      <sz val="20"/>
      <name val="Arial"/>
      <family val="2"/>
    </font>
    <font>
      <sz val="10"/>
      <name val="Arial"/>
      <family val="2"/>
    </font>
    <font>
      <b/>
      <sz val="22"/>
      <name val="Arial"/>
      <family val="2"/>
    </font>
    <font>
      <sz val="20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i/>
      <sz val="14"/>
      <name val="Arial"/>
      <family val="2"/>
    </font>
    <font>
      <b/>
      <i/>
      <sz val="12"/>
      <color rgb="FFFF0000"/>
      <name val="Arial"/>
      <family val="2"/>
    </font>
    <font>
      <b/>
      <i/>
      <sz val="10"/>
      <color theme="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color indexed="10"/>
      <name val="Arial"/>
      <family val="2"/>
    </font>
    <font>
      <i/>
      <sz val="10"/>
      <color indexed="10"/>
      <name val="Arial"/>
      <family val="2"/>
    </font>
    <font>
      <i/>
      <sz val="10"/>
      <color theme="0" tint="-0.34998626667073579"/>
      <name val="Arial"/>
      <family val="2"/>
    </font>
    <font>
      <b/>
      <i/>
      <sz val="14"/>
      <color theme="0" tint="-0.34998626667073579"/>
      <name val="Arial"/>
      <family val="2"/>
    </font>
    <font>
      <b/>
      <i/>
      <sz val="10"/>
      <color theme="1"/>
      <name val="Arial"/>
      <family val="2"/>
    </font>
    <font>
      <b/>
      <i/>
      <sz val="12"/>
      <color theme="0"/>
      <name val="Arial"/>
      <family val="2"/>
    </font>
    <font>
      <b/>
      <i/>
      <sz val="12"/>
      <color theme="1"/>
      <name val="Arial"/>
      <family val="2"/>
    </font>
    <font>
      <b/>
      <i/>
      <sz val="14"/>
      <color theme="1"/>
      <name val="Arial"/>
      <family val="2"/>
    </font>
    <font>
      <i/>
      <sz val="8"/>
      <name val="Arial"/>
      <family val="2"/>
    </font>
    <font>
      <i/>
      <sz val="12"/>
      <name val="Arial"/>
      <family val="2"/>
    </font>
    <font>
      <i/>
      <sz val="12"/>
      <color indexed="10"/>
      <name val="Arial"/>
      <family val="2"/>
    </font>
    <font>
      <i/>
      <sz val="12"/>
      <name val="Arial Cyr"/>
      <charset val="204"/>
    </font>
    <font>
      <b/>
      <i/>
      <sz val="12"/>
      <color indexed="10"/>
      <name val="Arial"/>
      <family val="2"/>
    </font>
    <font>
      <b/>
      <i/>
      <sz val="12"/>
      <color rgb="FFC00000"/>
      <name val="Arial"/>
      <family val="2"/>
    </font>
    <font>
      <i/>
      <sz val="10"/>
      <color rgb="FFFF0000"/>
      <name val="Arial"/>
      <family val="2"/>
      <charset val="204"/>
    </font>
    <font>
      <i/>
      <sz val="10"/>
      <color rgb="FFFF0000"/>
      <name val="Arial"/>
      <family val="2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0"/>
      <name val="Arial Cyr"/>
      <charset val="1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 Cyr"/>
      <charset val="1"/>
    </font>
    <font>
      <sz val="14"/>
      <name val="Times New Roman"/>
      <family val="1"/>
      <charset val="204"/>
    </font>
    <font>
      <b/>
      <i/>
      <sz val="11"/>
      <name val="Arial"/>
      <family val="2"/>
    </font>
    <font>
      <b/>
      <sz val="11"/>
      <name val="Times New Roman"/>
      <family val="1"/>
      <charset val="204"/>
    </font>
    <font>
      <b/>
      <i/>
      <sz val="11"/>
      <name val="Arial Cyr"/>
      <charset val="204"/>
    </font>
    <font>
      <b/>
      <sz val="11"/>
      <name val="Arial"/>
      <family val="2"/>
      <charset val="204"/>
    </font>
    <font>
      <sz val="18"/>
      <name val="Arial"/>
      <family val="2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4"/>
      <color rgb="FFFF0000"/>
      <name val="Arial"/>
      <family val="2"/>
      <charset val="204"/>
    </font>
    <font>
      <b/>
      <i/>
      <sz val="14"/>
      <name val="Arial"/>
      <family val="2"/>
      <charset val="204"/>
    </font>
    <font>
      <b/>
      <sz val="16"/>
      <name val="Times New Roman"/>
      <family val="1"/>
      <charset val="204"/>
    </font>
    <font>
      <b/>
      <i/>
      <sz val="14"/>
      <color rgb="FF0000FF"/>
      <name val="Arial"/>
      <family val="2"/>
      <charset val="204"/>
    </font>
    <font>
      <b/>
      <i/>
      <sz val="10"/>
      <color rgb="FF0000FF"/>
      <name val="Arial"/>
      <family val="2"/>
      <charset val="204"/>
    </font>
    <font>
      <b/>
      <i/>
      <sz val="10"/>
      <color rgb="FF0000FF"/>
      <name val="Arial"/>
      <family val="2"/>
    </font>
    <font>
      <b/>
      <i/>
      <sz val="14"/>
      <color rgb="FFC00000"/>
      <name val="Arial"/>
      <family val="2"/>
      <charset val="204"/>
    </font>
    <font>
      <sz val="10"/>
      <name val="Arial"/>
      <family val="2"/>
      <charset val="204"/>
    </font>
  </fonts>
  <fills count="4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60"/>
      </patternFill>
    </fill>
    <fill>
      <patternFill patternType="solid">
        <fgColor indexed="6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0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23"/>
      </left>
      <right style="double">
        <color indexed="23"/>
      </right>
      <top style="double">
        <color indexed="23"/>
      </top>
      <bottom style="double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038">
    <xf numFmtId="0" fontId="0" fillId="0" borderId="0"/>
    <xf numFmtId="0" fontId="32" fillId="0" borderId="1">
      <protection locked="0"/>
    </xf>
    <xf numFmtId="4" fontId="32" fillId="0" borderId="0">
      <protection locked="0"/>
    </xf>
    <xf numFmtId="179" fontId="32" fillId="0" borderId="0">
      <protection locked="0"/>
    </xf>
    <xf numFmtId="180" fontId="32" fillId="0" borderId="0">
      <protection locked="0"/>
    </xf>
    <xf numFmtId="0" fontId="32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8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5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4" borderId="0" applyNumberFormat="0" applyBorder="0" applyAlignment="0" applyProtection="0"/>
    <xf numFmtId="0" fontId="15" fillId="10" borderId="0" applyNumberFormat="0" applyBorder="0" applyAlignment="0" applyProtection="0"/>
    <xf numFmtId="0" fontId="15" fillId="7" borderId="0" applyNumberFormat="0" applyBorder="0" applyAlignment="0" applyProtection="0"/>
    <xf numFmtId="0" fontId="16" fillId="15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7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4" borderId="0" applyNumberFormat="0" applyBorder="0" applyAlignment="0" applyProtection="0"/>
    <xf numFmtId="0" fontId="16" fillId="17" borderId="0" applyNumberFormat="0" applyBorder="0" applyAlignment="0" applyProtection="0"/>
    <xf numFmtId="0" fontId="16" fillId="7" borderId="0" applyNumberFormat="0" applyBorder="0" applyAlignment="0" applyProtection="0"/>
    <xf numFmtId="0" fontId="32" fillId="0" borderId="0">
      <protection locked="0"/>
    </xf>
    <xf numFmtId="0" fontId="32" fillId="0" borderId="0">
      <protection locked="0"/>
    </xf>
    <xf numFmtId="0" fontId="34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4" fillId="0" borderId="0">
      <protection locked="0"/>
    </xf>
    <xf numFmtId="0" fontId="35" fillId="0" borderId="0"/>
    <xf numFmtId="0" fontId="3" fillId="0" borderId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17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36" fillId="7" borderId="2" applyNumberFormat="0" applyAlignment="0" applyProtection="0"/>
    <xf numFmtId="0" fontId="17" fillId="7" borderId="3" applyNumberFormat="0" applyAlignment="0" applyProtection="0"/>
    <xf numFmtId="0" fontId="18" fillId="14" borderId="2" applyNumberFormat="0" applyAlignment="0" applyProtection="0"/>
    <xf numFmtId="0" fontId="19" fillId="14" borderId="3" applyNumberFormat="0" applyAlignment="0" applyProtection="0"/>
    <xf numFmtId="0" fontId="31" fillId="4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9" fillId="0" borderId="7" applyNumberFormat="0" applyFill="0" applyAlignment="0" applyProtection="0"/>
    <xf numFmtId="0" fontId="23" fillId="0" borderId="8" applyNumberFormat="0" applyFill="0" applyAlignment="0" applyProtection="0"/>
    <xf numFmtId="0" fontId="24" fillId="24" borderId="9" applyNumberFormat="0" applyAlignment="0" applyProtection="0"/>
    <xf numFmtId="0" fontId="24" fillId="24" borderId="10" applyNumberFormat="0" applyAlignment="0" applyProtection="0"/>
    <xf numFmtId="0" fontId="3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25" borderId="0" applyNumberFormat="0" applyBorder="0" applyAlignment="0" applyProtection="0"/>
    <xf numFmtId="0" fontId="19" fillId="8" borderId="2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5" fillId="0" borderId="0"/>
    <xf numFmtId="0" fontId="1" fillId="0" borderId="0"/>
    <xf numFmtId="0" fontId="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3" fillId="0" borderId="11" applyNumberFormat="0" applyFill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8" fillId="0" borderId="0" applyNumberFormat="0" applyFill="0" applyBorder="0" applyAlignment="0" applyProtection="0"/>
    <xf numFmtId="0" fontId="3" fillId="26" borderId="12" applyNumberFormat="0" applyFont="0" applyAlignment="0" applyProtection="0"/>
    <xf numFmtId="0" fontId="15" fillId="26" borderId="12" applyNumberFormat="0" applyFont="0" applyAlignment="0" applyProtection="0"/>
    <xf numFmtId="0" fontId="3" fillId="26" borderId="12" applyNumberFormat="0" applyFont="0" applyAlignment="0" applyProtection="0"/>
    <xf numFmtId="0" fontId="3" fillId="26" borderId="12" applyNumberFormat="0" applyFont="0" applyAlignment="0" applyProtection="0"/>
    <xf numFmtId="0" fontId="3" fillId="26" borderId="12" applyNumberFormat="0" applyFont="0" applyAlignment="0" applyProtection="0"/>
    <xf numFmtId="0" fontId="3" fillId="26" borderId="12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8" fillId="8" borderId="3" applyNumberFormat="0" applyAlignment="0" applyProtection="0"/>
    <xf numFmtId="0" fontId="38" fillId="27" borderId="3" applyNumberFormat="0" applyAlignment="0" applyProtection="0"/>
    <xf numFmtId="0" fontId="29" fillId="0" borderId="7" applyNumberFormat="0" applyFill="0" applyAlignment="0" applyProtection="0"/>
    <xf numFmtId="0" fontId="39" fillId="25" borderId="0" applyNumberFormat="0" applyBorder="0" applyAlignment="0" applyProtection="0"/>
    <xf numFmtId="0" fontId="40" fillId="0" borderId="0"/>
    <xf numFmtId="0" fontId="40" fillId="0" borderId="0"/>
    <xf numFmtId="0" fontId="1" fillId="0" borderId="0"/>
    <xf numFmtId="0" fontId="3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82" fontId="42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1" fillId="4" borderId="0" applyNumberFormat="0" applyBorder="0" applyAlignment="0" applyProtection="0"/>
    <xf numFmtId="181" fontId="32" fillId="0" borderId="0">
      <protection locked="0"/>
    </xf>
    <xf numFmtId="43" fontId="102" fillId="0" borderId="0" applyFont="0" applyFill="0" applyBorder="0" applyAlignment="0" applyProtection="0"/>
  </cellStyleXfs>
  <cellXfs count="700">
    <xf numFmtId="0" fontId="0" fillId="0" borderId="0" xfId="0"/>
    <xf numFmtId="0" fontId="4" fillId="0" borderId="0" xfId="3006" applyFont="1" applyFill="1"/>
    <xf numFmtId="168" fontId="3" fillId="0" borderId="0" xfId="3006" applyNumberFormat="1" applyFont="1" applyFill="1" applyBorder="1" applyAlignment="1"/>
    <xf numFmtId="0" fontId="4" fillId="0" borderId="0" xfId="3006" applyFont="1" applyFill="1" applyBorder="1"/>
    <xf numFmtId="0" fontId="5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6" fillId="0" borderId="0" xfId="3006" applyFont="1" applyFill="1"/>
    <xf numFmtId="0" fontId="6" fillId="0" borderId="0" xfId="3006" applyFont="1" applyFill="1" applyBorder="1"/>
    <xf numFmtId="0" fontId="4" fillId="0" borderId="13" xfId="3006" applyFont="1" applyFill="1" applyBorder="1" applyAlignment="1">
      <alignment horizontal="center" vertical="center" wrapText="1"/>
    </xf>
    <xf numFmtId="0" fontId="4" fillId="28" borderId="13" xfId="3006" applyFont="1" applyFill="1" applyBorder="1" applyAlignment="1">
      <alignment horizontal="center" vertical="center" wrapText="1"/>
    </xf>
    <xf numFmtId="0" fontId="4" fillId="29" borderId="0" xfId="3006" applyFont="1" applyFill="1" applyBorder="1"/>
    <xf numFmtId="168" fontId="11" fillId="0" borderId="13" xfId="3006" applyNumberFormat="1" applyFont="1" applyFill="1" applyBorder="1" applyAlignment="1">
      <alignment vertical="center" wrapText="1"/>
    </xf>
    <xf numFmtId="168" fontId="10" fillId="0" borderId="13" xfId="3006" applyNumberFormat="1" applyFont="1" applyFill="1" applyBorder="1" applyAlignment="1" applyProtection="1">
      <alignment wrapText="1"/>
    </xf>
    <xf numFmtId="0" fontId="3" fillId="0" borderId="0" xfId="3006" applyFont="1" applyFill="1" applyBorder="1"/>
    <xf numFmtId="166" fontId="13" fillId="0" borderId="13" xfId="0" applyNumberFormat="1" applyFont="1" applyBorder="1" applyAlignment="1">
      <alignment horizontal="right" vertical="center"/>
    </xf>
    <xf numFmtId="0" fontId="3" fillId="0" borderId="0" xfId="3006" applyFont="1" applyFill="1"/>
    <xf numFmtId="0" fontId="3" fillId="30" borderId="0" xfId="3006" applyFont="1" applyFill="1"/>
    <xf numFmtId="0" fontId="3" fillId="31" borderId="0" xfId="3006" applyFont="1" applyFill="1"/>
    <xf numFmtId="0" fontId="4" fillId="34" borderId="0" xfId="3006" applyFont="1" applyFill="1" applyBorder="1"/>
    <xf numFmtId="166" fontId="1" fillId="0" borderId="13" xfId="3006" applyNumberFormat="1" applyFont="1" applyFill="1" applyBorder="1" applyAlignment="1">
      <alignment horizontal="right" vertical="center"/>
    </xf>
    <xf numFmtId="0" fontId="9" fillId="0" borderId="13" xfId="0" applyFont="1" applyBorder="1"/>
    <xf numFmtId="166" fontId="0" fillId="0" borderId="13" xfId="0" applyNumberFormat="1" applyBorder="1"/>
    <xf numFmtId="0" fontId="0" fillId="0" borderId="13" xfId="0" applyBorder="1"/>
    <xf numFmtId="0" fontId="0" fillId="0" borderId="13" xfId="0" applyBorder="1" applyAlignment="1">
      <alignment wrapText="1"/>
    </xf>
    <xf numFmtId="166" fontId="0" fillId="0" borderId="13" xfId="0" applyNumberFormat="1" applyBorder="1" applyAlignment="1">
      <alignment horizontal="right"/>
    </xf>
    <xf numFmtId="0" fontId="0" fillId="0" borderId="13" xfId="0" applyBorder="1" applyAlignment="1">
      <alignment horizontal="right"/>
    </xf>
    <xf numFmtId="0" fontId="1" fillId="0" borderId="13" xfId="0" applyFont="1" applyBorder="1" applyAlignment="1">
      <alignment wrapText="1"/>
    </xf>
    <xf numFmtId="0" fontId="1" fillId="0" borderId="13" xfId="0" applyFont="1" applyBorder="1" applyAlignment="1">
      <alignment horizontal="center"/>
    </xf>
    <xf numFmtId="166" fontId="0" fillId="0" borderId="13" xfId="0" applyNumberFormat="1" applyBorder="1" applyAlignment="1">
      <alignment horizontal="right" vertical="center"/>
    </xf>
    <xf numFmtId="0" fontId="1" fillId="0" borderId="13" xfId="0" applyFont="1" applyBorder="1"/>
    <xf numFmtId="167" fontId="0" fillId="0" borderId="13" xfId="0" applyNumberFormat="1" applyBorder="1"/>
    <xf numFmtId="0" fontId="9" fillId="35" borderId="13" xfId="0" applyFont="1" applyFill="1" applyBorder="1"/>
    <xf numFmtId="166" fontId="0" fillId="35" borderId="13" xfId="0" applyNumberFormat="1" applyFill="1" applyBorder="1"/>
    <xf numFmtId="0" fontId="0" fillId="35" borderId="13" xfId="0" applyFill="1" applyBorder="1"/>
    <xf numFmtId="2" fontId="0" fillId="0" borderId="13" xfId="0" applyNumberFormat="1" applyBorder="1"/>
    <xf numFmtId="0" fontId="43" fillId="0" borderId="13" xfId="0" applyFont="1" applyBorder="1" applyAlignment="1">
      <alignment horizontal="center" vertical="center"/>
    </xf>
    <xf numFmtId="170" fontId="4" fillId="0" borderId="0" xfId="3006" applyNumberFormat="1" applyFont="1" applyFill="1" applyBorder="1"/>
    <xf numFmtId="170" fontId="4" fillId="34" borderId="0" xfId="3006" applyNumberFormat="1" applyFont="1" applyFill="1" applyBorder="1"/>
    <xf numFmtId="169" fontId="11" fillId="0" borderId="13" xfId="3006" applyNumberFormat="1" applyFont="1" applyFill="1" applyBorder="1" applyAlignment="1">
      <alignment horizontal="right" vertical="center"/>
    </xf>
    <xf numFmtId="0" fontId="14" fillId="0" borderId="0" xfId="3006" applyFont="1" applyFill="1" applyAlignment="1"/>
    <xf numFmtId="175" fontId="13" fillId="0" borderId="13" xfId="0" applyNumberFormat="1" applyFont="1" applyBorder="1" applyAlignment="1">
      <alignment horizontal="right" vertical="center"/>
    </xf>
    <xf numFmtId="171" fontId="13" fillId="0" borderId="13" xfId="0" applyNumberFormat="1" applyFont="1" applyBorder="1" applyAlignment="1">
      <alignment horizontal="right" vertical="center"/>
    </xf>
    <xf numFmtId="166" fontId="44" fillId="37" borderId="13" xfId="3006" applyNumberFormat="1" applyFont="1" applyFill="1" applyBorder="1" applyAlignment="1">
      <alignment horizontal="right" vertical="center"/>
    </xf>
    <xf numFmtId="170" fontId="10" fillId="37" borderId="0" xfId="3006" applyNumberFormat="1" applyFont="1" applyFill="1" applyBorder="1"/>
    <xf numFmtId="169" fontId="11" fillId="28" borderId="13" xfId="3006" applyNumberFormat="1" applyFont="1" applyFill="1" applyBorder="1" applyAlignment="1">
      <alignment horizontal="right" vertical="center"/>
    </xf>
    <xf numFmtId="4" fontId="11" fillId="38" borderId="13" xfId="3006" applyNumberFormat="1" applyFont="1" applyFill="1" applyBorder="1" applyAlignment="1">
      <alignment horizontal="right" vertical="center"/>
    </xf>
    <xf numFmtId="172" fontId="11" fillId="0" borderId="13" xfId="3006" applyNumberFormat="1" applyFont="1" applyFill="1" applyBorder="1" applyAlignment="1">
      <alignment horizontal="right" vertical="center"/>
    </xf>
    <xf numFmtId="170" fontId="10" fillId="0" borderId="0" xfId="3006" applyNumberFormat="1" applyFont="1" applyFill="1" applyBorder="1"/>
    <xf numFmtId="0" fontId="10" fillId="0" borderId="0" xfId="3006" applyFont="1" applyFill="1" applyBorder="1"/>
    <xf numFmtId="166" fontId="13" fillId="0" borderId="13" xfId="3006" applyNumberFormat="1" applyFont="1" applyFill="1" applyBorder="1" applyAlignment="1">
      <alignment horizontal="right" vertical="center"/>
    </xf>
    <xf numFmtId="170" fontId="47" fillId="0" borderId="0" xfId="3006" applyNumberFormat="1" applyFont="1" applyFill="1" applyBorder="1"/>
    <xf numFmtId="0" fontId="45" fillId="0" borderId="0" xfId="3006" applyFont="1" applyFill="1" applyBorder="1"/>
    <xf numFmtId="166" fontId="11" fillId="36" borderId="13" xfId="3006" applyNumberFormat="1" applyFont="1" applyFill="1" applyBorder="1" applyAlignment="1">
      <alignment horizontal="right" vertical="center"/>
    </xf>
    <xf numFmtId="173" fontId="11" fillId="36" borderId="13" xfId="3006" applyNumberFormat="1" applyFont="1" applyFill="1" applyBorder="1" applyAlignment="1">
      <alignment horizontal="right" vertical="center"/>
    </xf>
    <xf numFmtId="170" fontId="48" fillId="32" borderId="0" xfId="3006" applyNumberFormat="1" applyFont="1" applyFill="1" applyBorder="1"/>
    <xf numFmtId="0" fontId="10" fillId="32" borderId="0" xfId="3006" applyFont="1" applyFill="1" applyBorder="1"/>
    <xf numFmtId="170" fontId="11" fillId="36" borderId="13" xfId="3006" applyNumberFormat="1" applyFont="1" applyFill="1" applyBorder="1" applyAlignment="1">
      <alignment horizontal="right" vertical="center"/>
    </xf>
    <xf numFmtId="4" fontId="11" fillId="36" borderId="13" xfId="3006" applyNumberFormat="1" applyFont="1" applyFill="1" applyBorder="1" applyAlignment="1">
      <alignment horizontal="right" vertical="center"/>
    </xf>
    <xf numFmtId="170" fontId="10" fillId="32" borderId="0" xfId="3006" applyNumberFormat="1" applyFont="1" applyFill="1" applyBorder="1"/>
    <xf numFmtId="170" fontId="45" fillId="0" borderId="0" xfId="3006" applyNumberFormat="1" applyFont="1" applyFill="1" applyBorder="1"/>
    <xf numFmtId="170" fontId="44" fillId="39" borderId="13" xfId="3006" applyNumberFormat="1" applyFont="1" applyFill="1" applyBorder="1" applyAlignment="1">
      <alignment horizontal="right" vertical="center"/>
    </xf>
    <xf numFmtId="166" fontId="44" fillId="39" borderId="13" xfId="3006" applyNumberFormat="1" applyFont="1" applyFill="1" applyBorder="1" applyAlignment="1">
      <alignment horizontal="right" vertical="center"/>
    </xf>
    <xf numFmtId="173" fontId="44" fillId="39" borderId="13" xfId="3006" applyNumberFormat="1" applyFont="1" applyFill="1" applyBorder="1" applyAlignment="1">
      <alignment horizontal="right" vertical="center"/>
    </xf>
    <xf numFmtId="170" fontId="10" fillId="39" borderId="0" xfId="3006" applyNumberFormat="1" applyFont="1" applyFill="1" applyBorder="1"/>
    <xf numFmtId="173" fontId="44" fillId="37" borderId="13" xfId="3006" applyNumberFormat="1" applyFont="1" applyFill="1" applyBorder="1" applyAlignment="1">
      <alignment horizontal="right" vertical="center"/>
    </xf>
    <xf numFmtId="169" fontId="44" fillId="28" borderId="13" xfId="3006" applyNumberFormat="1" applyFont="1" applyFill="1" applyBorder="1" applyAlignment="1">
      <alignment horizontal="right" vertical="center"/>
    </xf>
    <xf numFmtId="4" fontId="44" fillId="38" borderId="13" xfId="3006" applyNumberFormat="1" applyFont="1" applyFill="1" applyBorder="1" applyAlignment="1">
      <alignment horizontal="right" vertical="center"/>
    </xf>
    <xf numFmtId="172" fontId="44" fillId="0" borderId="13" xfId="3006" applyNumberFormat="1" applyFont="1" applyFill="1" applyBorder="1" applyAlignment="1">
      <alignment horizontal="right" vertical="center"/>
    </xf>
    <xf numFmtId="173" fontId="13" fillId="0" borderId="13" xfId="3006" applyNumberFormat="1" applyFont="1" applyFill="1" applyBorder="1" applyAlignment="1">
      <alignment horizontal="right" vertical="center"/>
    </xf>
    <xf numFmtId="166" fontId="44" fillId="36" borderId="13" xfId="3006" applyNumberFormat="1" applyFont="1" applyFill="1" applyBorder="1" applyAlignment="1">
      <alignment horizontal="right" vertical="center"/>
    </xf>
    <xf numFmtId="173" fontId="44" fillId="36" borderId="13" xfId="3006" applyNumberFormat="1" applyFont="1" applyFill="1" applyBorder="1" applyAlignment="1">
      <alignment horizontal="right" vertical="center"/>
    </xf>
    <xf numFmtId="170" fontId="11" fillId="39" borderId="13" xfId="3006" applyNumberFormat="1" applyFont="1" applyFill="1" applyBorder="1" applyAlignment="1">
      <alignment horizontal="right" vertical="center"/>
    </xf>
    <xf numFmtId="166" fontId="11" fillId="39" borderId="13" xfId="3006" applyNumberFormat="1" applyFont="1" applyFill="1" applyBorder="1" applyAlignment="1">
      <alignment horizontal="right" vertical="center"/>
    </xf>
    <xf numFmtId="170" fontId="4" fillId="32" borderId="0" xfId="3006" applyNumberFormat="1" applyFont="1" applyFill="1" applyBorder="1"/>
    <xf numFmtId="170" fontId="4" fillId="39" borderId="0" xfId="3006" applyNumberFormat="1" applyFont="1" applyFill="1" applyBorder="1"/>
    <xf numFmtId="172" fontId="11" fillId="0" borderId="13" xfId="3006" applyNumberFormat="1" applyFont="1" applyFill="1" applyBorder="1" applyAlignment="1">
      <alignment vertical="center" wrapText="1"/>
    </xf>
    <xf numFmtId="168" fontId="10" fillId="0" borderId="13" xfId="3006" applyNumberFormat="1" applyFont="1" applyFill="1" applyBorder="1" applyAlignment="1" applyProtection="1">
      <alignment vertical="center" wrapText="1"/>
    </xf>
    <xf numFmtId="0" fontId="4" fillId="0" borderId="0" xfId="3006" applyFont="1" applyFill="1" applyAlignment="1">
      <alignment vertical="center"/>
    </xf>
    <xf numFmtId="0" fontId="3" fillId="0" borderId="0" xfId="3006" applyFont="1" applyFill="1" applyAlignment="1">
      <alignment vertical="center"/>
    </xf>
    <xf numFmtId="0" fontId="6" fillId="0" borderId="0" xfId="3006" applyFont="1" applyFill="1" applyAlignment="1">
      <alignment vertical="center"/>
    </xf>
    <xf numFmtId="174" fontId="1" fillId="0" borderId="13" xfId="3006" applyNumberFormat="1" applyFont="1" applyFill="1" applyBorder="1" applyAlignment="1">
      <alignment horizontal="right" vertical="center"/>
    </xf>
    <xf numFmtId="166" fontId="4" fillId="0" borderId="0" xfId="3006" applyNumberFormat="1" applyFont="1" applyFill="1"/>
    <xf numFmtId="166" fontId="10" fillId="0" borderId="13" xfId="3006" applyNumberFormat="1" applyFont="1" applyFill="1" applyBorder="1" applyAlignment="1" applyProtection="1">
      <alignment wrapText="1"/>
    </xf>
    <xf numFmtId="168" fontId="11" fillId="0" borderId="13" xfId="3006" applyNumberFormat="1" applyFont="1" applyFill="1" applyBorder="1" applyAlignment="1">
      <alignment horizontal="right" wrapText="1"/>
    </xf>
    <xf numFmtId="168" fontId="11" fillId="0" borderId="13" xfId="3006" applyNumberFormat="1" applyFont="1" applyFill="1" applyBorder="1" applyAlignment="1">
      <alignment horizontal="right" vertical="center" wrapText="1"/>
    </xf>
    <xf numFmtId="168" fontId="10" fillId="0" borderId="13" xfId="3006" applyNumberFormat="1" applyFont="1" applyFill="1" applyBorder="1" applyAlignment="1">
      <alignment vertical="center" wrapText="1"/>
    </xf>
    <xf numFmtId="166" fontId="45" fillId="0" borderId="13" xfId="0" applyNumberFormat="1" applyFont="1" applyBorder="1" applyAlignment="1">
      <alignment horizontal="right" vertical="center"/>
    </xf>
    <xf numFmtId="173" fontId="45" fillId="0" borderId="13" xfId="0" applyNumberFormat="1" applyFont="1" applyFill="1" applyBorder="1" applyAlignment="1">
      <alignment horizontal="right" vertical="center"/>
    </xf>
    <xf numFmtId="169" fontId="10" fillId="0" borderId="13" xfId="3006" applyNumberFormat="1" applyFont="1" applyFill="1" applyBorder="1" applyAlignment="1">
      <alignment horizontal="right" vertical="center"/>
    </xf>
    <xf numFmtId="169" fontId="10" fillId="28" borderId="13" xfId="3006" applyNumberFormat="1" applyFont="1" applyFill="1" applyBorder="1" applyAlignment="1">
      <alignment horizontal="right" vertical="center"/>
    </xf>
    <xf numFmtId="4" fontId="10" fillId="38" borderId="13" xfId="3006" applyNumberFormat="1" applyFont="1" applyFill="1" applyBorder="1" applyAlignment="1">
      <alignment horizontal="right" vertical="center"/>
    </xf>
    <xf numFmtId="172" fontId="10" fillId="0" borderId="13" xfId="3006" applyNumberFormat="1" applyFont="1" applyFill="1" applyBorder="1" applyAlignment="1">
      <alignment horizontal="right" vertical="center"/>
    </xf>
    <xf numFmtId="166" fontId="45" fillId="0" borderId="13" xfId="3006" applyNumberFormat="1" applyFont="1" applyFill="1" applyBorder="1" applyAlignment="1">
      <alignment horizontal="right" vertical="center"/>
    </xf>
    <xf numFmtId="166" fontId="10" fillId="36" borderId="13" xfId="3006" applyNumberFormat="1" applyFont="1" applyFill="1" applyBorder="1" applyAlignment="1">
      <alignment horizontal="right" vertical="center"/>
    </xf>
    <xf numFmtId="173" fontId="10" fillId="36" borderId="13" xfId="3006" applyNumberFormat="1" applyFont="1" applyFill="1" applyBorder="1" applyAlignment="1">
      <alignment horizontal="right" vertical="center"/>
    </xf>
    <xf numFmtId="170" fontId="10" fillId="36" borderId="13" xfId="3006" applyNumberFormat="1" applyFont="1" applyFill="1" applyBorder="1" applyAlignment="1">
      <alignment horizontal="right" vertical="center"/>
    </xf>
    <xf numFmtId="4" fontId="10" fillId="36" borderId="13" xfId="3006" applyNumberFormat="1" applyFont="1" applyFill="1" applyBorder="1" applyAlignment="1">
      <alignment horizontal="right" vertical="center"/>
    </xf>
    <xf numFmtId="170" fontId="4" fillId="39" borderId="13" xfId="3006" applyNumberFormat="1" applyFont="1" applyFill="1" applyBorder="1" applyAlignment="1">
      <alignment horizontal="right" vertical="center"/>
    </xf>
    <xf numFmtId="166" fontId="4" fillId="39" borderId="13" xfId="3006" applyNumberFormat="1" applyFont="1" applyFill="1" applyBorder="1" applyAlignment="1">
      <alignment horizontal="right" vertical="center"/>
    </xf>
    <xf numFmtId="173" fontId="4" fillId="39" borderId="13" xfId="3006" applyNumberFormat="1" applyFont="1" applyFill="1" applyBorder="1" applyAlignment="1">
      <alignment horizontal="right" vertical="center"/>
    </xf>
    <xf numFmtId="166" fontId="4" fillId="37" borderId="13" xfId="3006" applyNumberFormat="1" applyFont="1" applyFill="1" applyBorder="1" applyAlignment="1">
      <alignment horizontal="right" vertical="center"/>
    </xf>
    <xf numFmtId="173" fontId="4" fillId="37" borderId="13" xfId="3006" applyNumberFormat="1" applyFont="1" applyFill="1" applyBorder="1" applyAlignment="1">
      <alignment horizontal="right" vertical="center"/>
    </xf>
    <xf numFmtId="169" fontId="4" fillId="28" borderId="13" xfId="3006" applyNumberFormat="1" applyFont="1" applyFill="1" applyBorder="1" applyAlignment="1">
      <alignment horizontal="right" vertical="center"/>
    </xf>
    <xf numFmtId="4" fontId="4" fillId="38" borderId="13" xfId="3006" applyNumberFormat="1" applyFont="1" applyFill="1" applyBorder="1" applyAlignment="1">
      <alignment horizontal="right" vertical="center"/>
    </xf>
    <xf numFmtId="172" fontId="4" fillId="0" borderId="13" xfId="3006" applyNumberFormat="1" applyFont="1" applyFill="1" applyBorder="1" applyAlignment="1">
      <alignment horizontal="right" vertical="center"/>
    </xf>
    <xf numFmtId="173" fontId="45" fillId="0" borderId="13" xfId="3006" applyNumberFormat="1" applyFont="1" applyFill="1" applyBorder="1" applyAlignment="1">
      <alignment horizontal="right" vertical="center"/>
    </xf>
    <xf numFmtId="166" fontId="4" fillId="36" borderId="13" xfId="3006" applyNumberFormat="1" applyFont="1" applyFill="1" applyBorder="1" applyAlignment="1">
      <alignment horizontal="right" vertical="center"/>
    </xf>
    <xf numFmtId="173" fontId="4" fillId="36" borderId="13" xfId="3006" applyNumberFormat="1" applyFont="1" applyFill="1" applyBorder="1" applyAlignment="1">
      <alignment horizontal="right" vertical="center"/>
    </xf>
    <xf numFmtId="170" fontId="10" fillId="39" borderId="13" xfId="3006" applyNumberFormat="1" applyFont="1" applyFill="1" applyBorder="1" applyAlignment="1">
      <alignment horizontal="right" vertical="center"/>
    </xf>
    <xf numFmtId="166" fontId="10" fillId="39" borderId="13" xfId="3006" applyNumberFormat="1" applyFont="1" applyFill="1" applyBorder="1" applyAlignment="1">
      <alignment horizontal="right" vertical="center"/>
    </xf>
    <xf numFmtId="171" fontId="45" fillId="0" borderId="13" xfId="0" applyNumberFormat="1" applyFont="1" applyBorder="1" applyAlignment="1">
      <alignment horizontal="right" vertical="center"/>
    </xf>
    <xf numFmtId="166" fontId="3" fillId="0" borderId="0" xfId="3006" applyNumberFormat="1" applyFont="1" applyFill="1" applyBorder="1" applyAlignment="1"/>
    <xf numFmtId="168" fontId="11" fillId="0" borderId="13" xfId="3006" applyNumberFormat="1" applyFont="1" applyFill="1" applyBorder="1" applyAlignment="1">
      <alignment wrapText="1"/>
    </xf>
    <xf numFmtId="170" fontId="4" fillId="36" borderId="0" xfId="3006" applyNumberFormat="1" applyFont="1" applyFill="1" applyBorder="1"/>
    <xf numFmtId="0" fontId="4" fillId="36" borderId="0" xfId="3006" applyFont="1" applyFill="1" applyBorder="1"/>
    <xf numFmtId="173" fontId="4" fillId="39" borderId="13" xfId="3006" applyNumberFormat="1" applyFont="1" applyFill="1" applyBorder="1" applyAlignment="1">
      <alignment horizontal="left" wrapText="1"/>
    </xf>
    <xf numFmtId="0" fontId="4" fillId="39" borderId="0" xfId="3006" applyFont="1" applyFill="1" applyBorder="1"/>
    <xf numFmtId="169" fontId="44" fillId="38" borderId="13" xfId="3006" applyNumberFormat="1" applyFont="1" applyFill="1" applyBorder="1" applyAlignment="1">
      <alignment horizontal="right" vertical="center"/>
    </xf>
    <xf numFmtId="172" fontId="44" fillId="38" borderId="13" xfId="3006" applyNumberFormat="1" applyFont="1" applyFill="1" applyBorder="1" applyAlignment="1">
      <alignment horizontal="right" vertical="center"/>
    </xf>
    <xf numFmtId="172" fontId="11" fillId="38" borderId="13" xfId="3006" applyNumberFormat="1" applyFont="1" applyFill="1" applyBorder="1" applyAlignment="1">
      <alignment horizontal="right" vertical="center"/>
    </xf>
    <xf numFmtId="170" fontId="4" fillId="37" borderId="0" xfId="3006" applyNumberFormat="1" applyFont="1" applyFill="1" applyBorder="1"/>
    <xf numFmtId="4" fontId="13" fillId="0" borderId="13" xfId="3006" applyNumberFormat="1" applyFont="1" applyFill="1" applyBorder="1" applyAlignment="1">
      <alignment horizontal="right" vertical="center"/>
    </xf>
    <xf numFmtId="168" fontId="44" fillId="28" borderId="13" xfId="3006" applyNumberFormat="1" applyFont="1" applyFill="1" applyBorder="1" applyAlignment="1">
      <alignment horizontal="right" vertical="center"/>
    </xf>
    <xf numFmtId="2" fontId="44" fillId="28" borderId="13" xfId="3006" applyNumberFormat="1" applyFont="1" applyFill="1" applyBorder="1" applyAlignment="1">
      <alignment horizontal="right" vertical="center"/>
    </xf>
    <xf numFmtId="178" fontId="11" fillId="0" borderId="13" xfId="3006" applyNumberFormat="1" applyFont="1" applyFill="1" applyBorder="1" applyAlignment="1">
      <alignment horizontal="right" vertical="center"/>
    </xf>
    <xf numFmtId="166" fontId="44" fillId="28" borderId="13" xfId="3006" applyNumberFormat="1" applyFont="1" applyFill="1" applyBorder="1" applyAlignment="1">
      <alignment horizontal="right" vertical="center"/>
    </xf>
    <xf numFmtId="0" fontId="10" fillId="39" borderId="0" xfId="3006" applyFont="1" applyFill="1" applyBorder="1"/>
    <xf numFmtId="170" fontId="12" fillId="0" borderId="0" xfId="3006" applyNumberFormat="1" applyFont="1" applyFill="1" applyBorder="1"/>
    <xf numFmtId="0" fontId="12" fillId="0" borderId="0" xfId="3006" applyFont="1" applyFill="1" applyBorder="1"/>
    <xf numFmtId="171" fontId="13" fillId="0" borderId="13" xfId="3006" applyNumberFormat="1" applyFont="1" applyFill="1" applyBorder="1" applyAlignment="1">
      <alignment horizontal="right" vertical="center"/>
    </xf>
    <xf numFmtId="170" fontId="10" fillId="36" borderId="0" xfId="3006" applyNumberFormat="1" applyFont="1" applyFill="1" applyBorder="1"/>
    <xf numFmtId="174" fontId="13" fillId="0" borderId="13" xfId="3006" applyNumberFormat="1" applyFont="1" applyFill="1" applyBorder="1" applyAlignment="1">
      <alignment horizontal="right" vertical="center"/>
    </xf>
    <xf numFmtId="175" fontId="13" fillId="0" borderId="13" xfId="3006" applyNumberFormat="1" applyFont="1" applyFill="1" applyBorder="1" applyAlignment="1">
      <alignment horizontal="right" vertical="center"/>
    </xf>
    <xf numFmtId="170" fontId="7" fillId="36" borderId="0" xfId="3006" applyNumberFormat="1" applyFont="1" applyFill="1" applyBorder="1"/>
    <xf numFmtId="170" fontId="45" fillId="36" borderId="0" xfId="3006" applyNumberFormat="1" applyFont="1" applyFill="1" applyBorder="1"/>
    <xf numFmtId="177" fontId="13" fillId="0" borderId="13" xfId="3006" applyNumberFormat="1" applyFont="1" applyFill="1" applyBorder="1" applyAlignment="1">
      <alignment horizontal="right" vertical="center"/>
    </xf>
    <xf numFmtId="172" fontId="44" fillId="0" borderId="13" xfId="3006" applyNumberFormat="1" applyFont="1" applyBorder="1" applyAlignment="1">
      <alignment horizontal="right" vertical="center"/>
    </xf>
    <xf numFmtId="168" fontId="11" fillId="0" borderId="13" xfId="3006" applyNumberFormat="1" applyFont="1" applyBorder="1" applyAlignment="1">
      <alignment vertical="center" wrapText="1"/>
    </xf>
    <xf numFmtId="176" fontId="13" fillId="0" borderId="13" xfId="3006" applyNumberFormat="1" applyFont="1" applyFill="1" applyBorder="1" applyAlignment="1">
      <alignment horizontal="right" vertical="center"/>
    </xf>
    <xf numFmtId="173" fontId="4" fillId="39" borderId="0" xfId="3006" applyNumberFormat="1" applyFont="1" applyFill="1" applyBorder="1"/>
    <xf numFmtId="169" fontId="4" fillId="38" borderId="13" xfId="3006" applyNumberFormat="1" applyFont="1" applyFill="1" applyBorder="1" applyAlignment="1">
      <alignment horizontal="right" vertical="center"/>
    </xf>
    <xf numFmtId="172" fontId="4" fillId="38" borderId="13" xfId="3006" applyNumberFormat="1" applyFont="1" applyFill="1" applyBorder="1" applyAlignment="1">
      <alignment horizontal="right" vertical="center"/>
    </xf>
    <xf numFmtId="4" fontId="45" fillId="0" borderId="13" xfId="3006" applyNumberFormat="1" applyFont="1" applyFill="1" applyBorder="1" applyAlignment="1">
      <alignment horizontal="right" vertical="center"/>
    </xf>
    <xf numFmtId="172" fontId="10" fillId="0" borderId="13" xfId="3006" applyNumberFormat="1" applyFont="1" applyFill="1" applyBorder="1" applyAlignment="1">
      <alignment vertical="center" wrapText="1"/>
    </xf>
    <xf numFmtId="168" fontId="4" fillId="28" borderId="13" xfId="3006" applyNumberFormat="1" applyFont="1" applyFill="1" applyBorder="1" applyAlignment="1">
      <alignment horizontal="right" vertical="center"/>
    </xf>
    <xf numFmtId="2" fontId="4" fillId="28" borderId="13" xfId="3006" applyNumberFormat="1" applyFont="1" applyFill="1" applyBorder="1" applyAlignment="1">
      <alignment horizontal="right" vertical="center"/>
    </xf>
    <xf numFmtId="178" fontId="10" fillId="0" borderId="13" xfId="3006" applyNumberFormat="1" applyFont="1" applyFill="1" applyBorder="1" applyAlignment="1">
      <alignment horizontal="right" vertical="center"/>
    </xf>
    <xf numFmtId="166" fontId="4" fillId="28" borderId="13" xfId="3006" applyNumberFormat="1" applyFont="1" applyFill="1" applyBorder="1" applyAlignment="1">
      <alignment horizontal="right" vertical="center"/>
    </xf>
    <xf numFmtId="171" fontId="45" fillId="0" borderId="13" xfId="3006" applyNumberFormat="1" applyFont="1" applyFill="1" applyBorder="1" applyAlignment="1">
      <alignment horizontal="right" vertical="center"/>
    </xf>
    <xf numFmtId="174" fontId="45" fillId="0" borderId="13" xfId="3006" applyNumberFormat="1" applyFont="1" applyFill="1" applyBorder="1" applyAlignment="1">
      <alignment horizontal="right" vertical="center"/>
    </xf>
    <xf numFmtId="175" fontId="45" fillId="0" borderId="13" xfId="3006" applyNumberFormat="1" applyFont="1" applyFill="1" applyBorder="1" applyAlignment="1">
      <alignment horizontal="right" vertical="center"/>
    </xf>
    <xf numFmtId="168" fontId="10" fillId="0" borderId="13" xfId="3006" applyNumberFormat="1" applyFont="1" applyFill="1" applyBorder="1" applyAlignment="1" applyProtection="1">
      <alignment horizontal="right" wrapText="1"/>
    </xf>
    <xf numFmtId="168" fontId="49" fillId="0" borderId="13" xfId="3006" applyNumberFormat="1" applyFont="1" applyBorder="1" applyAlignment="1">
      <alignment vertical="center" wrapText="1"/>
    </xf>
    <xf numFmtId="169" fontId="9" fillId="28" borderId="13" xfId="3006" applyNumberFormat="1" applyFont="1" applyFill="1" applyBorder="1" applyAlignment="1">
      <alignment horizontal="right" vertical="center"/>
    </xf>
    <xf numFmtId="2" fontId="10" fillId="0" borderId="13" xfId="3006" applyNumberFormat="1" applyFont="1" applyFill="1" applyBorder="1" applyAlignment="1" applyProtection="1">
      <alignment wrapText="1"/>
    </xf>
    <xf numFmtId="0" fontId="51" fillId="0" borderId="0" xfId="3006" applyFont="1" applyFill="1"/>
    <xf numFmtId="168" fontId="53" fillId="0" borderId="0" xfId="3006" applyNumberFormat="1" applyFont="1" applyFill="1" applyBorder="1" applyAlignment="1"/>
    <xf numFmtId="0" fontId="51" fillId="0" borderId="0" xfId="3006" applyFont="1" applyFill="1" applyBorder="1"/>
    <xf numFmtId="0" fontId="54" fillId="0" borderId="0" xfId="0" applyFont="1" applyFill="1"/>
    <xf numFmtId="0" fontId="55" fillId="0" borderId="0" xfId="0" applyFont="1" applyFill="1" applyAlignment="1">
      <alignment horizontal="center"/>
    </xf>
    <xf numFmtId="0" fontId="56" fillId="0" borderId="0" xfId="0" applyFont="1" applyFill="1" applyAlignment="1">
      <alignment horizontal="center"/>
    </xf>
    <xf numFmtId="0" fontId="51" fillId="0" borderId="0" xfId="3006" applyFont="1" applyFill="1" applyAlignment="1">
      <alignment vertical="center"/>
    </xf>
    <xf numFmtId="0" fontId="57" fillId="0" borderId="0" xfId="3006" applyFont="1" applyFill="1"/>
    <xf numFmtId="0" fontId="57" fillId="0" borderId="0" xfId="3006" applyFont="1" applyFill="1" applyBorder="1"/>
    <xf numFmtId="0" fontId="60" fillId="0" borderId="0" xfId="3006" applyFont="1" applyFill="1"/>
    <xf numFmtId="0" fontId="51" fillId="0" borderId="13" xfId="3006" applyFont="1" applyFill="1" applyBorder="1" applyAlignment="1">
      <alignment horizontal="center" vertical="center" wrapText="1"/>
    </xf>
    <xf numFmtId="0" fontId="61" fillId="28" borderId="13" xfId="3006" applyFont="1" applyFill="1" applyBorder="1" applyAlignment="1">
      <alignment horizontal="center" vertical="center" wrapText="1"/>
    </xf>
    <xf numFmtId="0" fontId="51" fillId="28" borderId="13" xfId="3006" applyFont="1" applyFill="1" applyBorder="1" applyAlignment="1">
      <alignment horizontal="center" vertical="center" wrapText="1"/>
    </xf>
    <xf numFmtId="170" fontId="51" fillId="34" borderId="0" xfId="3006" applyNumberFormat="1" applyFont="1" applyFill="1" applyBorder="1"/>
    <xf numFmtId="0" fontId="51" fillId="34" borderId="0" xfId="3006" applyFont="1" applyFill="1" applyBorder="1"/>
    <xf numFmtId="173" fontId="51" fillId="36" borderId="13" xfId="3006" applyNumberFormat="1" applyFont="1" applyFill="1" applyBorder="1" applyAlignment="1">
      <alignment horizontal="left"/>
    </xf>
    <xf numFmtId="173" fontId="51" fillId="36" borderId="13" xfId="3006" applyNumberFormat="1" applyFont="1" applyFill="1" applyBorder="1" applyAlignment="1">
      <alignment horizontal="right" vertical="center"/>
    </xf>
    <xf numFmtId="170" fontId="51" fillId="36" borderId="0" xfId="3006" applyNumberFormat="1" applyFont="1" applyFill="1" applyBorder="1"/>
    <xf numFmtId="0" fontId="51" fillId="36" borderId="0" xfId="3006" applyFont="1" applyFill="1" applyBorder="1"/>
    <xf numFmtId="170" fontId="51" fillId="36" borderId="14" xfId="3006" applyNumberFormat="1" applyFont="1" applyFill="1" applyBorder="1" applyAlignment="1">
      <alignment horizontal="left"/>
    </xf>
    <xf numFmtId="173" fontId="51" fillId="39" borderId="13" xfId="3006" applyNumberFormat="1" applyFont="1" applyFill="1" applyBorder="1" applyAlignment="1">
      <alignment horizontal="right" vertical="center"/>
    </xf>
    <xf numFmtId="170" fontId="62" fillId="39" borderId="0" xfId="3006" applyNumberFormat="1" applyFont="1" applyFill="1" applyBorder="1"/>
    <xf numFmtId="0" fontId="51" fillId="39" borderId="0" xfId="3006" applyFont="1" applyFill="1" applyBorder="1"/>
    <xf numFmtId="0" fontId="62" fillId="0" borderId="13" xfId="3006" applyFont="1" applyFill="1" applyBorder="1" applyAlignment="1">
      <alignment horizontal="left" wrapText="1"/>
    </xf>
    <xf numFmtId="168" fontId="62" fillId="0" borderId="13" xfId="3006" applyNumberFormat="1" applyFont="1" applyFill="1" applyBorder="1" applyAlignment="1">
      <alignment vertical="center" wrapText="1"/>
    </xf>
    <xf numFmtId="168" fontId="62" fillId="0" borderId="13" xfId="3006" applyNumberFormat="1" applyFont="1" applyFill="1" applyBorder="1" applyAlignment="1" applyProtection="1">
      <alignment wrapText="1"/>
    </xf>
    <xf numFmtId="169" fontId="51" fillId="38" borderId="13" xfId="3006" applyNumberFormat="1" applyFont="1" applyFill="1" applyBorder="1" applyAlignment="1">
      <alignment horizontal="right" vertical="center"/>
    </xf>
    <xf numFmtId="172" fontId="51" fillId="38" borderId="13" xfId="3006" applyNumberFormat="1" applyFont="1" applyFill="1" applyBorder="1" applyAlignment="1">
      <alignment horizontal="right" vertical="center"/>
    </xf>
    <xf numFmtId="172" fontId="62" fillId="0" borderId="13" xfId="3006" applyNumberFormat="1" applyFont="1" applyFill="1" applyBorder="1" applyAlignment="1">
      <alignment horizontal="right" vertical="center"/>
    </xf>
    <xf numFmtId="169" fontId="62" fillId="0" borderId="13" xfId="3006" applyNumberFormat="1" applyFont="1" applyFill="1" applyBorder="1" applyAlignment="1">
      <alignment horizontal="right" vertical="center"/>
    </xf>
    <xf numFmtId="170" fontId="62" fillId="0" borderId="0" xfId="3006" applyNumberFormat="1" applyFont="1" applyFill="1" applyBorder="1"/>
    <xf numFmtId="0" fontId="62" fillId="0" borderId="0" xfId="3006" applyFont="1" applyFill="1" applyBorder="1"/>
    <xf numFmtId="0" fontId="63" fillId="0" borderId="13" xfId="3006" applyFont="1" applyFill="1" applyBorder="1" applyAlignment="1">
      <alignment horizontal="left"/>
    </xf>
    <xf numFmtId="166" fontId="64" fillId="0" borderId="13" xfId="3006" applyNumberFormat="1" applyFont="1" applyFill="1" applyBorder="1" applyAlignment="1">
      <alignment horizontal="right" vertical="center"/>
    </xf>
    <xf numFmtId="166" fontId="64" fillId="0" borderId="13" xfId="0" applyNumberFormat="1" applyFont="1" applyBorder="1" applyAlignment="1">
      <alignment horizontal="right" vertical="center"/>
    </xf>
    <xf numFmtId="0" fontId="64" fillId="0" borderId="0" xfId="3006" applyFont="1" applyFill="1" applyBorder="1"/>
    <xf numFmtId="170" fontId="51" fillId="36" borderId="13" xfId="3006" applyNumberFormat="1" applyFont="1" applyFill="1" applyBorder="1" applyAlignment="1">
      <alignment horizontal="left"/>
    </xf>
    <xf numFmtId="166" fontId="62" fillId="36" borderId="13" xfId="3006" applyNumberFormat="1" applyFont="1" applyFill="1" applyBorder="1" applyAlignment="1">
      <alignment horizontal="right" vertical="center"/>
    </xf>
    <xf numFmtId="173" fontId="62" fillId="36" borderId="13" xfId="3006" applyNumberFormat="1" applyFont="1" applyFill="1" applyBorder="1" applyAlignment="1">
      <alignment horizontal="right" vertical="center"/>
    </xf>
    <xf numFmtId="166" fontId="51" fillId="36" borderId="13" xfId="3006" applyNumberFormat="1" applyFont="1" applyFill="1" applyBorder="1" applyAlignment="1">
      <alignment horizontal="right" vertical="center"/>
    </xf>
    <xf numFmtId="170" fontId="62" fillId="32" borderId="0" xfId="3006" applyNumberFormat="1" applyFont="1" applyFill="1" applyBorder="1"/>
    <xf numFmtId="0" fontId="62" fillId="32" borderId="0" xfId="3006" applyFont="1" applyFill="1" applyBorder="1"/>
    <xf numFmtId="173" fontId="62" fillId="32" borderId="0" xfId="3006" applyNumberFormat="1" applyFont="1" applyFill="1" applyBorder="1"/>
    <xf numFmtId="170" fontId="51" fillId="39" borderId="13" xfId="3006" applyNumberFormat="1" applyFont="1" applyFill="1" applyBorder="1" applyAlignment="1">
      <alignment horizontal="left" wrapText="1"/>
    </xf>
    <xf numFmtId="166" fontId="51" fillId="39" borderId="13" xfId="3006" applyNumberFormat="1" applyFont="1" applyFill="1" applyBorder="1" applyAlignment="1">
      <alignment horizontal="right" vertical="center"/>
    </xf>
    <xf numFmtId="173" fontId="62" fillId="39" borderId="13" xfId="3006" applyNumberFormat="1" applyFont="1" applyFill="1" applyBorder="1" applyAlignment="1">
      <alignment horizontal="right" vertical="center"/>
    </xf>
    <xf numFmtId="170" fontId="51" fillId="39" borderId="14" xfId="3006" applyNumberFormat="1" applyFont="1" applyFill="1" applyBorder="1" applyAlignment="1">
      <alignment horizontal="left" wrapText="1"/>
    </xf>
    <xf numFmtId="0" fontId="51" fillId="37" borderId="14" xfId="3006" applyFont="1" applyFill="1" applyBorder="1" applyAlignment="1">
      <alignment horizontal="center" wrapText="1"/>
    </xf>
    <xf numFmtId="166" fontId="51" fillId="37" borderId="13" xfId="3006" applyNumberFormat="1" applyFont="1" applyFill="1" applyBorder="1" applyAlignment="1">
      <alignment horizontal="right" vertical="center"/>
    </xf>
    <xf numFmtId="173" fontId="51" fillId="37" borderId="13" xfId="3006" applyNumberFormat="1" applyFont="1" applyFill="1" applyBorder="1" applyAlignment="1">
      <alignment horizontal="right" vertical="center"/>
    </xf>
    <xf numFmtId="170" fontId="62" fillId="37" borderId="0" xfId="3006" applyNumberFormat="1" applyFont="1" applyFill="1" applyBorder="1"/>
    <xf numFmtId="170" fontId="62" fillId="33" borderId="0" xfId="3006" applyNumberFormat="1" applyFont="1" applyFill="1" applyBorder="1"/>
    <xf numFmtId="169" fontId="62" fillId="28" borderId="13" xfId="3006" applyNumberFormat="1" applyFont="1" applyFill="1" applyBorder="1" applyAlignment="1">
      <alignment horizontal="right" vertical="center"/>
    </xf>
    <xf numFmtId="172" fontId="62" fillId="38" borderId="13" xfId="3006" applyNumberFormat="1" applyFont="1" applyFill="1" applyBorder="1" applyAlignment="1">
      <alignment horizontal="right" vertical="center"/>
    </xf>
    <xf numFmtId="170" fontId="51" fillId="0" borderId="0" xfId="3006" applyNumberFormat="1" applyFont="1" applyFill="1" applyBorder="1"/>
    <xf numFmtId="170" fontId="62" fillId="36" borderId="13" xfId="3006" applyNumberFormat="1" applyFont="1" applyFill="1" applyBorder="1" applyAlignment="1">
      <alignment horizontal="right" vertical="center"/>
    </xf>
    <xf numFmtId="4" fontId="62" fillId="36" borderId="13" xfId="3006" applyNumberFormat="1" applyFont="1" applyFill="1" applyBorder="1" applyAlignment="1">
      <alignment horizontal="right" vertical="center"/>
    </xf>
    <xf numFmtId="170" fontId="51" fillId="39" borderId="13" xfId="3006" applyNumberFormat="1" applyFont="1" applyFill="1" applyBorder="1" applyAlignment="1">
      <alignment horizontal="right" vertical="center"/>
    </xf>
    <xf numFmtId="170" fontId="51" fillId="39" borderId="0" xfId="3006" applyNumberFormat="1" applyFont="1" applyFill="1" applyBorder="1"/>
    <xf numFmtId="170" fontId="51" fillId="37" borderId="0" xfId="3006" applyNumberFormat="1" applyFont="1" applyFill="1" applyBorder="1"/>
    <xf numFmtId="169" fontId="51" fillId="28" borderId="13" xfId="3006" applyNumberFormat="1" applyFont="1" applyFill="1" applyBorder="1" applyAlignment="1">
      <alignment horizontal="right" vertical="center"/>
    </xf>
    <xf numFmtId="167" fontId="62" fillId="0" borderId="13" xfId="3006" applyNumberFormat="1" applyFont="1" applyFill="1" applyBorder="1" applyAlignment="1">
      <alignment vertical="center" wrapText="1"/>
    </xf>
    <xf numFmtId="4" fontId="64" fillId="0" borderId="13" xfId="3006" applyNumberFormat="1" applyFont="1" applyFill="1" applyBorder="1" applyAlignment="1">
      <alignment horizontal="right" vertical="center"/>
    </xf>
    <xf numFmtId="173" fontId="64" fillId="0" borderId="13" xfId="3006" applyNumberFormat="1" applyFont="1" applyFill="1" applyBorder="1" applyAlignment="1">
      <alignment horizontal="right" vertical="center"/>
    </xf>
    <xf numFmtId="173" fontId="64" fillId="0" borderId="13" xfId="0" applyNumberFormat="1" applyFont="1" applyFill="1" applyBorder="1" applyAlignment="1">
      <alignment horizontal="right" vertical="center"/>
    </xf>
    <xf numFmtId="170" fontId="62" fillId="39" borderId="13" xfId="3006" applyNumberFormat="1" applyFont="1" applyFill="1" applyBorder="1" applyAlignment="1">
      <alignment horizontal="right" vertical="center"/>
    </xf>
    <xf numFmtId="166" fontId="62" fillId="39" borderId="13" xfId="3006" applyNumberFormat="1" applyFont="1" applyFill="1" applyBorder="1" applyAlignment="1">
      <alignment horizontal="right" vertical="center"/>
    </xf>
    <xf numFmtId="4" fontId="62" fillId="38" borderId="13" xfId="3006" applyNumberFormat="1" applyFont="1" applyFill="1" applyBorder="1" applyAlignment="1">
      <alignment horizontal="right" vertical="center"/>
    </xf>
    <xf numFmtId="170" fontId="65" fillId="0" borderId="0" xfId="3006" applyNumberFormat="1" applyFont="1" applyFill="1" applyBorder="1"/>
    <xf numFmtId="170" fontId="66" fillId="32" borderId="0" xfId="3006" applyNumberFormat="1" applyFont="1" applyFill="1" applyBorder="1"/>
    <xf numFmtId="170" fontId="64" fillId="0" borderId="0" xfId="3006" applyNumberFormat="1" applyFont="1" applyFill="1" applyBorder="1"/>
    <xf numFmtId="4" fontId="51" fillId="38" borderId="13" xfId="3006" applyNumberFormat="1" applyFont="1" applyFill="1" applyBorder="1" applyAlignment="1">
      <alignment horizontal="right" vertical="center"/>
    </xf>
    <xf numFmtId="172" fontId="51" fillId="0" borderId="13" xfId="3006" applyNumberFormat="1" applyFont="1" applyFill="1" applyBorder="1" applyAlignment="1">
      <alignment horizontal="right" vertical="center"/>
    </xf>
    <xf numFmtId="170" fontId="51" fillId="32" borderId="0" xfId="3006" applyNumberFormat="1" applyFont="1" applyFill="1" applyBorder="1"/>
    <xf numFmtId="172" fontId="62" fillId="0" borderId="13" xfId="3006" applyNumberFormat="1" applyFont="1" applyFill="1" applyBorder="1" applyAlignment="1">
      <alignment vertical="center" wrapText="1"/>
    </xf>
    <xf numFmtId="168" fontId="51" fillId="28" borderId="13" xfId="3006" applyNumberFormat="1" applyFont="1" applyFill="1" applyBorder="1" applyAlignment="1">
      <alignment horizontal="right" vertical="center"/>
    </xf>
    <xf numFmtId="2" fontId="51" fillId="28" borderId="13" xfId="3006" applyNumberFormat="1" applyFont="1" applyFill="1" applyBorder="1" applyAlignment="1">
      <alignment horizontal="right" vertical="center"/>
    </xf>
    <xf numFmtId="178" fontId="62" fillId="0" borderId="13" xfId="3006" applyNumberFormat="1" applyFont="1" applyFill="1" applyBorder="1" applyAlignment="1">
      <alignment horizontal="right" vertical="center"/>
    </xf>
    <xf numFmtId="168" fontId="62" fillId="0" borderId="13" xfId="3006" applyNumberFormat="1" applyFont="1" applyFill="1" applyBorder="1" applyAlignment="1" applyProtection="1">
      <alignment vertical="center" wrapText="1"/>
    </xf>
    <xf numFmtId="166" fontId="51" fillId="28" borderId="13" xfId="3006" applyNumberFormat="1" applyFont="1" applyFill="1" applyBorder="1" applyAlignment="1">
      <alignment horizontal="right" vertical="center"/>
    </xf>
    <xf numFmtId="169" fontId="62" fillId="0" borderId="13" xfId="3006" applyNumberFormat="1" applyFont="1" applyFill="1" applyBorder="1" applyAlignment="1">
      <alignment horizontal="right" vertical="center" wrapText="1"/>
    </xf>
    <xf numFmtId="168" fontId="62" fillId="0" borderId="13" xfId="3006" applyNumberFormat="1" applyFont="1" applyFill="1" applyBorder="1" applyAlignment="1">
      <alignment vertical="center"/>
    </xf>
    <xf numFmtId="0" fontId="51" fillId="29" borderId="0" xfId="3006" applyFont="1" applyFill="1" applyBorder="1"/>
    <xf numFmtId="168" fontId="62" fillId="0" borderId="13" xfId="3006" applyNumberFormat="1" applyFont="1" applyFill="1" applyBorder="1" applyAlignment="1">
      <alignment horizontal="right" vertical="center" wrapText="1"/>
    </xf>
    <xf numFmtId="0" fontId="62" fillId="39" borderId="0" xfId="3006" applyFont="1" applyFill="1" applyBorder="1"/>
    <xf numFmtId="170" fontId="63" fillId="0" borderId="0" xfId="3006" applyNumberFormat="1" applyFont="1" applyFill="1" applyBorder="1"/>
    <xf numFmtId="0" fontId="63" fillId="0" borderId="0" xfId="3006" applyFont="1" applyFill="1" applyBorder="1"/>
    <xf numFmtId="171" fontId="64" fillId="0" borderId="13" xfId="3006" applyNumberFormat="1" applyFont="1" applyFill="1" applyBorder="1" applyAlignment="1">
      <alignment horizontal="right" vertical="center"/>
    </xf>
    <xf numFmtId="171" fontId="64" fillId="0" borderId="13" xfId="0" applyNumberFormat="1" applyFont="1" applyBorder="1" applyAlignment="1">
      <alignment horizontal="right" vertical="center"/>
    </xf>
    <xf numFmtId="170" fontId="62" fillId="36" borderId="0" xfId="3006" applyNumberFormat="1" applyFont="1" applyFill="1" applyBorder="1"/>
    <xf numFmtId="174" fontId="64" fillId="0" borderId="13" xfId="3006" applyNumberFormat="1" applyFont="1" applyFill="1" applyBorder="1" applyAlignment="1">
      <alignment horizontal="right" vertical="center"/>
    </xf>
    <xf numFmtId="175" fontId="64" fillId="0" borderId="13" xfId="3006" applyNumberFormat="1" applyFont="1" applyFill="1" applyBorder="1" applyAlignment="1">
      <alignment horizontal="right" vertical="center"/>
    </xf>
    <xf numFmtId="170" fontId="58" fillId="36" borderId="0" xfId="3006" applyNumberFormat="1" applyFont="1" applyFill="1" applyBorder="1"/>
    <xf numFmtId="170" fontId="64" fillId="36" borderId="0" xfId="3006" applyNumberFormat="1" applyFont="1" applyFill="1" applyBorder="1"/>
    <xf numFmtId="0" fontId="53" fillId="0" borderId="0" xfId="3006" applyFont="1" applyFill="1"/>
    <xf numFmtId="0" fontId="53" fillId="0" borderId="0" xfId="3006" applyFont="1" applyFill="1" applyAlignment="1">
      <alignment vertical="center"/>
    </xf>
    <xf numFmtId="0" fontId="53" fillId="0" borderId="0" xfId="3006" applyFont="1" applyFill="1" applyBorder="1"/>
    <xf numFmtId="0" fontId="53" fillId="30" borderId="0" xfId="3006" applyFont="1" applyFill="1"/>
    <xf numFmtId="0" fontId="53" fillId="31" borderId="0" xfId="3006" applyFont="1" applyFill="1"/>
    <xf numFmtId="0" fontId="4" fillId="0" borderId="13" xfId="3006" applyFont="1" applyFill="1" applyBorder="1" applyAlignment="1">
      <alignment horizontal="center" vertical="center" wrapText="1"/>
    </xf>
    <xf numFmtId="0" fontId="4" fillId="0" borderId="13" xfId="3006" applyFont="1" applyFill="1" applyBorder="1" applyAlignment="1">
      <alignment horizontal="center" vertical="center" wrapText="1"/>
    </xf>
    <xf numFmtId="2" fontId="62" fillId="0" borderId="13" xfId="3006" applyNumberFormat="1" applyFont="1" applyFill="1" applyBorder="1" applyAlignment="1">
      <alignment vertical="center" wrapText="1"/>
    </xf>
    <xf numFmtId="166" fontId="4" fillId="39" borderId="0" xfId="3006" applyNumberFormat="1" applyFont="1" applyFill="1" applyBorder="1"/>
    <xf numFmtId="183" fontId="62" fillId="0" borderId="13" xfId="3006" applyNumberFormat="1" applyFont="1" applyFill="1" applyBorder="1" applyAlignment="1">
      <alignment horizontal="right" vertical="center"/>
    </xf>
    <xf numFmtId="183" fontId="62" fillId="0" borderId="13" xfId="3006" applyNumberFormat="1" applyFont="1" applyFill="1" applyBorder="1" applyAlignment="1">
      <alignment vertical="center" wrapText="1"/>
    </xf>
    <xf numFmtId="166" fontId="62" fillId="0" borderId="13" xfId="3006" applyNumberFormat="1" applyFont="1" applyFill="1" applyBorder="1" applyAlignment="1">
      <alignment vertical="center" wrapText="1"/>
    </xf>
    <xf numFmtId="2" fontId="11" fillId="0" borderId="13" xfId="3006" applyNumberFormat="1" applyFont="1" applyFill="1" applyBorder="1" applyAlignment="1">
      <alignment vertical="center" wrapText="1"/>
    </xf>
    <xf numFmtId="170" fontId="51" fillId="28" borderId="13" xfId="3006" applyNumberFormat="1" applyFont="1" applyFill="1" applyBorder="1" applyAlignment="1">
      <alignment horizontal="right" vertical="center"/>
    </xf>
    <xf numFmtId="2" fontId="62" fillId="0" borderId="13" xfId="3006" applyNumberFormat="1" applyFont="1" applyFill="1" applyBorder="1" applyAlignment="1" applyProtection="1">
      <alignment wrapText="1"/>
    </xf>
    <xf numFmtId="166" fontId="62" fillId="0" borderId="13" xfId="3006" applyNumberFormat="1" applyFont="1" applyFill="1" applyBorder="1" applyAlignment="1" applyProtection="1">
      <alignment wrapText="1"/>
    </xf>
    <xf numFmtId="169" fontId="11" fillId="0" borderId="13" xfId="3006" applyNumberFormat="1" applyFont="1" applyFill="1" applyBorder="1" applyAlignment="1">
      <alignment vertical="center" wrapText="1"/>
    </xf>
    <xf numFmtId="0" fontId="51" fillId="0" borderId="13" xfId="3006" applyFont="1" applyFill="1" applyBorder="1" applyAlignment="1">
      <alignment horizontal="center"/>
    </xf>
    <xf numFmtId="170" fontId="57" fillId="0" borderId="0" xfId="3006" applyNumberFormat="1" applyFont="1" applyFill="1" applyBorder="1"/>
    <xf numFmtId="0" fontId="67" fillId="0" borderId="0" xfId="3006" applyFont="1" applyFill="1" applyBorder="1"/>
    <xf numFmtId="0" fontId="57" fillId="0" borderId="13" xfId="3006" applyFont="1" applyFill="1" applyBorder="1" applyAlignment="1">
      <alignment horizontal="center"/>
    </xf>
    <xf numFmtId="166" fontId="57" fillId="0" borderId="0" xfId="3006" applyNumberFormat="1" applyFont="1" applyFill="1" applyBorder="1"/>
    <xf numFmtId="0" fontId="68" fillId="0" borderId="0" xfId="3006" applyFont="1" applyFill="1" applyAlignment="1">
      <alignment horizontal="center"/>
    </xf>
    <xf numFmtId="166" fontId="69" fillId="0" borderId="0" xfId="3006" applyNumberFormat="1" applyFont="1" applyFill="1" applyAlignment="1">
      <alignment horizontal="center"/>
    </xf>
    <xf numFmtId="173" fontId="68" fillId="0" borderId="0" xfId="3006" applyNumberFormat="1" applyFont="1" applyFill="1" applyAlignment="1">
      <alignment horizontal="center"/>
    </xf>
    <xf numFmtId="0" fontId="68" fillId="0" borderId="0" xfId="3006" applyFont="1" applyFill="1" applyAlignment="1">
      <alignment vertical="center"/>
    </xf>
    <xf numFmtId="170" fontId="68" fillId="0" borderId="0" xfId="3006" applyNumberFormat="1" applyFont="1" applyFill="1" applyBorder="1"/>
    <xf numFmtId="0" fontId="68" fillId="0" borderId="0" xfId="3006" applyFont="1" applyFill="1" applyBorder="1"/>
    <xf numFmtId="0" fontId="68" fillId="0" borderId="13" xfId="3006" applyFont="1" applyFill="1" applyBorder="1" applyAlignment="1">
      <alignment horizontal="center"/>
    </xf>
    <xf numFmtId="173" fontId="62" fillId="32" borderId="13" xfId="3006" applyNumberFormat="1" applyFont="1" applyFill="1" applyBorder="1" applyAlignment="1">
      <alignment horizontal="right" vertical="center"/>
    </xf>
    <xf numFmtId="169" fontId="62" fillId="0" borderId="0" xfId="3006" applyNumberFormat="1" applyFont="1" applyFill="1" applyBorder="1"/>
    <xf numFmtId="178" fontId="51" fillId="28" borderId="13" xfId="3006" applyNumberFormat="1" applyFont="1" applyFill="1" applyBorder="1" applyAlignment="1">
      <alignment horizontal="right" vertical="center"/>
    </xf>
    <xf numFmtId="170" fontId="70" fillId="32" borderId="0" xfId="3006" applyNumberFormat="1" applyFont="1" applyFill="1" applyBorder="1"/>
    <xf numFmtId="0" fontId="71" fillId="0" borderId="0" xfId="3006" applyFont="1" applyFill="1"/>
    <xf numFmtId="0" fontId="62" fillId="0" borderId="0" xfId="3006" applyFont="1" applyFill="1"/>
    <xf numFmtId="0" fontId="72" fillId="0" borderId="0" xfId="3006" applyFont="1" applyFill="1"/>
    <xf numFmtId="170" fontId="53" fillId="0" borderId="0" xfId="3006" applyNumberFormat="1" applyFont="1" applyFill="1" applyBorder="1"/>
    <xf numFmtId="0" fontId="61" fillId="0" borderId="13" xfId="3006" applyFont="1" applyFill="1" applyBorder="1" applyAlignment="1">
      <alignment horizontal="center"/>
    </xf>
    <xf numFmtId="173" fontId="59" fillId="0" borderId="0" xfId="3006" applyNumberFormat="1" applyFont="1" applyFill="1" applyAlignment="1">
      <alignment horizontal="center"/>
    </xf>
    <xf numFmtId="174" fontId="62" fillId="0" borderId="13" xfId="3006" applyNumberFormat="1" applyFont="1" applyFill="1" applyBorder="1" applyAlignment="1">
      <alignment vertical="center" wrapText="1"/>
    </xf>
    <xf numFmtId="166" fontId="51" fillId="0" borderId="0" xfId="3006" applyNumberFormat="1" applyFont="1" applyFill="1"/>
    <xf numFmtId="173" fontId="4" fillId="0" borderId="0" xfId="3006" applyNumberFormat="1" applyFont="1" applyFill="1"/>
    <xf numFmtId="2" fontId="10" fillId="0" borderId="13" xfId="3006" applyNumberFormat="1" applyFont="1" applyFill="1" applyBorder="1" applyAlignment="1" applyProtection="1">
      <alignment horizontal="right" wrapText="1"/>
    </xf>
    <xf numFmtId="173" fontId="51" fillId="32" borderId="13" xfId="3006" applyNumberFormat="1" applyFont="1" applyFill="1" applyBorder="1" applyAlignment="1">
      <alignment horizontal="right" vertical="center"/>
    </xf>
    <xf numFmtId="4" fontId="57" fillId="0" borderId="0" xfId="3006" applyNumberFormat="1" applyFont="1" applyFill="1" applyBorder="1"/>
    <xf numFmtId="4" fontId="57" fillId="34" borderId="0" xfId="3006" applyNumberFormat="1" applyFont="1" applyFill="1" applyBorder="1"/>
    <xf numFmtId="4" fontId="57" fillId="36" borderId="0" xfId="3006" applyNumberFormat="1" applyFont="1" applyFill="1" applyBorder="1"/>
    <xf numFmtId="4" fontId="57" fillId="39" borderId="0" xfId="3006" applyNumberFormat="1" applyFont="1" applyFill="1" applyBorder="1"/>
    <xf numFmtId="4" fontId="72" fillId="0" borderId="0" xfId="3006" applyNumberFormat="1" applyFont="1" applyFill="1" applyBorder="1"/>
    <xf numFmtId="4" fontId="73" fillId="0" borderId="0" xfId="3006" applyNumberFormat="1" applyFont="1" applyFill="1" applyBorder="1"/>
    <xf numFmtId="4" fontId="72" fillId="32" borderId="0" xfId="3006" applyNumberFormat="1" applyFont="1" applyFill="1" applyBorder="1"/>
    <xf numFmtId="4" fontId="72" fillId="39" borderId="0" xfId="3006" applyNumberFormat="1" applyFont="1" applyFill="1" applyBorder="1"/>
    <xf numFmtId="4" fontId="72" fillId="37" borderId="0" xfId="3006" applyNumberFormat="1" applyFont="1" applyFill="1" applyBorder="1"/>
    <xf numFmtId="4" fontId="72" fillId="33" borderId="0" xfId="3006" applyNumberFormat="1" applyFont="1" applyFill="1" applyBorder="1"/>
    <xf numFmtId="4" fontId="57" fillId="37" borderId="0" xfId="3006" applyNumberFormat="1" applyFont="1" applyFill="1" applyBorder="1"/>
    <xf numFmtId="4" fontId="74" fillId="37" borderId="0" xfId="3006" applyNumberFormat="1" applyFont="1" applyFill="1" applyBorder="1"/>
    <xf numFmtId="4" fontId="6" fillId="36" borderId="0" xfId="3006" applyNumberFormat="1" applyFont="1" applyFill="1" applyBorder="1"/>
    <xf numFmtId="4" fontId="57" fillId="29" borderId="0" xfId="3006" applyNumberFormat="1" applyFont="1" applyFill="1" applyBorder="1"/>
    <xf numFmtId="4" fontId="75" fillId="0" borderId="0" xfId="3006" applyNumberFormat="1" applyFont="1" applyFill="1" applyBorder="1"/>
    <xf numFmtId="4" fontId="72" fillId="36" borderId="0" xfId="3006" applyNumberFormat="1" applyFont="1" applyFill="1" applyBorder="1"/>
    <xf numFmtId="4" fontId="56" fillId="0" borderId="0" xfId="3006" applyNumberFormat="1" applyFont="1" applyFill="1" applyBorder="1"/>
    <xf numFmtId="4" fontId="76" fillId="0" borderId="0" xfId="3006" applyNumberFormat="1" applyFont="1" applyFill="1" applyBorder="1"/>
    <xf numFmtId="0" fontId="76" fillId="0" borderId="0" xfId="3006" applyFont="1" applyFill="1" applyBorder="1"/>
    <xf numFmtId="166" fontId="76" fillId="0" borderId="0" xfId="3006" applyNumberFormat="1" applyFont="1" applyFill="1" applyBorder="1"/>
    <xf numFmtId="166" fontId="51" fillId="0" borderId="0" xfId="3006" applyNumberFormat="1" applyFont="1" applyFill="1" applyAlignment="1">
      <alignment horizontal="center" vertical="center"/>
    </xf>
    <xf numFmtId="168" fontId="77" fillId="0" borderId="13" xfId="3006" applyNumberFormat="1" applyFont="1" applyFill="1" applyBorder="1" applyAlignment="1">
      <alignment vertical="center" wrapText="1"/>
    </xf>
    <xf numFmtId="169" fontId="10" fillId="0" borderId="0" xfId="3006" applyNumberFormat="1" applyFont="1" applyFill="1" applyBorder="1"/>
    <xf numFmtId="170" fontId="78" fillId="39" borderId="13" xfId="3006" applyNumberFormat="1" applyFont="1" applyFill="1" applyBorder="1" applyAlignment="1">
      <alignment horizontal="right" vertical="center"/>
    </xf>
    <xf numFmtId="168" fontId="78" fillId="0" borderId="13" xfId="3006" applyNumberFormat="1" applyFont="1" applyFill="1" applyBorder="1" applyAlignment="1">
      <alignment vertical="center" wrapText="1"/>
    </xf>
    <xf numFmtId="0" fontId="51" fillId="0" borderId="13" xfId="3006" applyFont="1" applyFill="1" applyBorder="1" applyAlignment="1">
      <alignment horizontal="center" vertical="center" wrapText="1"/>
    </xf>
    <xf numFmtId="169" fontId="51" fillId="0" borderId="0" xfId="3006" applyNumberFormat="1" applyFont="1" applyFill="1" applyBorder="1"/>
    <xf numFmtId="1" fontId="62" fillId="0" borderId="13" xfId="3006" applyNumberFormat="1" applyFont="1" applyBorder="1" applyAlignment="1">
      <alignment horizontal="right" vertical="center"/>
    </xf>
    <xf numFmtId="166" fontId="53" fillId="0" borderId="0" xfId="3006" applyNumberFormat="1" applyFont="1" applyFill="1" applyBorder="1" applyAlignment="1"/>
    <xf numFmtId="168" fontId="49" fillId="0" borderId="13" xfId="3006" applyNumberFormat="1" applyFont="1" applyFill="1" applyBorder="1" applyAlignment="1">
      <alignment vertical="center" wrapText="1"/>
    </xf>
    <xf numFmtId="170" fontId="51" fillId="36" borderId="13" xfId="3006" applyNumberFormat="1" applyFont="1" applyFill="1" applyBorder="1" applyAlignment="1">
      <alignment horizontal="right" vertical="center"/>
    </xf>
    <xf numFmtId="170" fontId="62" fillId="28" borderId="13" xfId="3006" applyNumberFormat="1" applyFont="1" applyFill="1" applyBorder="1" applyAlignment="1">
      <alignment horizontal="right" vertical="center"/>
    </xf>
    <xf numFmtId="170" fontId="51" fillId="38" borderId="13" xfId="3006" applyNumberFormat="1" applyFont="1" applyFill="1" applyBorder="1" applyAlignment="1">
      <alignment horizontal="right" vertical="center"/>
    </xf>
    <xf numFmtId="173" fontId="51" fillId="38" borderId="13" xfId="3006" applyNumberFormat="1" applyFont="1" applyFill="1" applyBorder="1" applyAlignment="1">
      <alignment horizontal="right" vertical="center"/>
    </xf>
    <xf numFmtId="0" fontId="4" fillId="0" borderId="13" xfId="3006" applyFont="1" applyFill="1" applyBorder="1" applyAlignment="1">
      <alignment horizontal="center" vertical="center" wrapText="1"/>
    </xf>
    <xf numFmtId="173" fontId="3" fillId="0" borderId="0" xfId="3006" applyNumberFormat="1" applyFont="1" applyFill="1"/>
    <xf numFmtId="173" fontId="51" fillId="0" borderId="0" xfId="3006" applyNumberFormat="1" applyFont="1" applyFill="1"/>
    <xf numFmtId="184" fontId="51" fillId="28" borderId="13" xfId="3006" applyNumberFormat="1" applyFont="1" applyFill="1" applyBorder="1" applyAlignment="1">
      <alignment horizontal="right" vertical="center"/>
    </xf>
    <xf numFmtId="184" fontId="62" fillId="28" borderId="13" xfId="3006" applyNumberFormat="1" applyFont="1" applyFill="1" applyBorder="1" applyAlignment="1">
      <alignment horizontal="right" vertical="center"/>
    </xf>
    <xf numFmtId="173" fontId="3" fillId="0" borderId="0" xfId="3006" applyNumberFormat="1" applyFont="1" applyFill="1" applyBorder="1" applyAlignment="1"/>
    <xf numFmtId="183" fontId="51" fillId="28" borderId="13" xfId="3006" applyNumberFormat="1" applyFont="1" applyFill="1" applyBorder="1" applyAlignment="1">
      <alignment horizontal="right" vertical="center"/>
    </xf>
    <xf numFmtId="184" fontId="51" fillId="38" borderId="13" xfId="3006" applyNumberFormat="1" applyFont="1" applyFill="1" applyBorder="1" applyAlignment="1">
      <alignment horizontal="right" vertical="center"/>
    </xf>
    <xf numFmtId="184" fontId="62" fillId="38" borderId="13" xfId="3006" applyNumberFormat="1" applyFont="1" applyFill="1" applyBorder="1" applyAlignment="1">
      <alignment horizontal="right" vertical="center"/>
    </xf>
    <xf numFmtId="167" fontId="62" fillId="0" borderId="13" xfId="3006" applyNumberFormat="1" applyFont="1" applyFill="1" applyBorder="1" applyAlignment="1">
      <alignment horizontal="right" vertical="center"/>
    </xf>
    <xf numFmtId="183" fontId="62" fillId="28" borderId="13" xfId="3006" applyNumberFormat="1" applyFont="1" applyFill="1" applyBorder="1" applyAlignment="1">
      <alignment horizontal="right" vertical="center"/>
    </xf>
    <xf numFmtId="183" fontId="51" fillId="38" borderId="13" xfId="3006" applyNumberFormat="1" applyFont="1" applyFill="1" applyBorder="1" applyAlignment="1">
      <alignment horizontal="right" vertical="center"/>
    </xf>
    <xf numFmtId="177" fontId="51" fillId="38" borderId="13" xfId="3006" applyNumberFormat="1" applyFont="1" applyFill="1" applyBorder="1" applyAlignment="1">
      <alignment horizontal="right" vertical="center"/>
    </xf>
    <xf numFmtId="185" fontId="51" fillId="28" borderId="13" xfId="3006" applyNumberFormat="1" applyFont="1" applyFill="1" applyBorder="1" applyAlignment="1">
      <alignment horizontal="right" vertical="center"/>
    </xf>
    <xf numFmtId="168" fontId="51" fillId="0" borderId="0" xfId="3006" applyNumberFormat="1" applyFont="1" applyFill="1" applyBorder="1"/>
    <xf numFmtId="176" fontId="62" fillId="0" borderId="13" xfId="3006" applyNumberFormat="1" applyFont="1" applyFill="1" applyBorder="1" applyAlignment="1">
      <alignment vertical="center" wrapText="1"/>
    </xf>
    <xf numFmtId="4" fontId="53" fillId="0" borderId="0" xfId="3006" applyNumberFormat="1" applyFont="1" applyFill="1"/>
    <xf numFmtId="166" fontId="4" fillId="0" borderId="0" xfId="3006" applyNumberFormat="1" applyFont="1" applyFill="1" applyBorder="1"/>
    <xf numFmtId="171" fontId="62" fillId="0" borderId="13" xfId="3006" applyNumberFormat="1" applyFont="1" applyFill="1" applyBorder="1" applyAlignment="1" applyProtection="1">
      <alignment wrapText="1"/>
    </xf>
    <xf numFmtId="171" fontId="62" fillId="0" borderId="13" xfId="3006" applyNumberFormat="1" applyFont="1" applyFill="1" applyBorder="1" applyAlignment="1">
      <alignment vertical="center" wrapText="1"/>
    </xf>
    <xf numFmtId="183" fontId="62" fillId="38" borderId="13" xfId="3006" applyNumberFormat="1" applyFont="1" applyFill="1" applyBorder="1" applyAlignment="1">
      <alignment horizontal="right" vertical="center"/>
    </xf>
    <xf numFmtId="166" fontId="11" fillId="0" borderId="13" xfId="3006" applyNumberFormat="1" applyFont="1" applyFill="1" applyBorder="1" applyAlignment="1">
      <alignment horizontal="right" wrapText="1"/>
    </xf>
    <xf numFmtId="166" fontId="11" fillId="0" borderId="13" xfId="3006" applyNumberFormat="1" applyFont="1" applyFill="1" applyBorder="1" applyAlignment="1">
      <alignment vertical="center" wrapText="1"/>
    </xf>
    <xf numFmtId="167" fontId="11" fillId="0" borderId="13" xfId="3006" applyNumberFormat="1" applyFont="1" applyFill="1" applyBorder="1" applyAlignment="1">
      <alignment vertical="center" wrapText="1"/>
    </xf>
    <xf numFmtId="167" fontId="10" fillId="0" borderId="13" xfId="3006" applyNumberFormat="1" applyFont="1" applyFill="1" applyBorder="1" applyAlignment="1" applyProtection="1">
      <alignment wrapText="1"/>
    </xf>
    <xf numFmtId="183" fontId="62" fillId="0" borderId="13" xfId="3006" applyNumberFormat="1" applyFont="1" applyFill="1" applyBorder="1" applyAlignment="1" applyProtection="1">
      <alignment wrapText="1"/>
    </xf>
    <xf numFmtId="171" fontId="62" fillId="28" borderId="13" xfId="3006" applyNumberFormat="1" applyFont="1" applyFill="1" applyBorder="1" applyAlignment="1">
      <alignment horizontal="right" vertical="center"/>
    </xf>
    <xf numFmtId="171" fontId="62" fillId="38" borderId="13" xfId="3006" applyNumberFormat="1" applyFont="1" applyFill="1" applyBorder="1" applyAlignment="1">
      <alignment horizontal="right" vertical="center"/>
    </xf>
    <xf numFmtId="185" fontId="62" fillId="28" borderId="13" xfId="3006" applyNumberFormat="1" applyFont="1" applyFill="1" applyBorder="1" applyAlignment="1">
      <alignment horizontal="right" vertical="center"/>
    </xf>
    <xf numFmtId="175" fontId="62" fillId="0" borderId="13" xfId="3006" applyNumberFormat="1" applyFont="1" applyFill="1" applyBorder="1" applyAlignment="1" applyProtection="1">
      <alignment wrapText="1"/>
    </xf>
    <xf numFmtId="175" fontId="51" fillId="38" borderId="13" xfId="3006" applyNumberFormat="1" applyFont="1" applyFill="1" applyBorder="1" applyAlignment="1">
      <alignment horizontal="right" vertical="center"/>
    </xf>
    <xf numFmtId="185" fontId="62" fillId="0" borderId="13" xfId="3006" applyNumberFormat="1" applyFont="1" applyFill="1" applyBorder="1" applyAlignment="1">
      <alignment vertical="center" wrapText="1"/>
    </xf>
    <xf numFmtId="177" fontId="62" fillId="28" borderId="13" xfId="3006" applyNumberFormat="1" applyFont="1" applyFill="1" applyBorder="1" applyAlignment="1">
      <alignment horizontal="right" vertical="center"/>
    </xf>
    <xf numFmtId="177" fontId="62" fillId="0" borderId="13" xfId="3006" applyNumberFormat="1" applyFont="1" applyFill="1" applyBorder="1" applyAlignment="1">
      <alignment vertical="center" wrapText="1"/>
    </xf>
    <xf numFmtId="0" fontId="80" fillId="0" borderId="13" xfId="0" applyFont="1" applyBorder="1"/>
    <xf numFmtId="0" fontId="80" fillId="0" borderId="13" xfId="0" applyFont="1" applyBorder="1" applyAlignment="1">
      <alignment horizontal="center"/>
    </xf>
    <xf numFmtId="173" fontId="81" fillId="0" borderId="13" xfId="0" applyNumberFormat="1" applyFont="1" applyBorder="1" applyAlignment="1">
      <alignment horizontal="center" vertical="center"/>
    </xf>
    <xf numFmtId="173" fontId="80" fillId="0" borderId="13" xfId="0" applyNumberFormat="1" applyFont="1" applyBorder="1"/>
    <xf numFmtId="173" fontId="80" fillId="41" borderId="13" xfId="0" applyNumberFormat="1" applyFont="1" applyFill="1" applyBorder="1"/>
    <xf numFmtId="173" fontId="80" fillId="0" borderId="13" xfId="0" applyNumberFormat="1" applyFont="1" applyBorder="1" applyAlignment="1">
      <alignment horizontal="center" vertical="center"/>
    </xf>
    <xf numFmtId="0" fontId="1" fillId="0" borderId="0" xfId="0" applyFont="1"/>
    <xf numFmtId="173" fontId="0" fillId="0" borderId="0" xfId="0" applyNumberFormat="1"/>
    <xf numFmtId="173" fontId="81" fillId="41" borderId="13" xfId="0" applyNumberFormat="1" applyFont="1" applyFill="1" applyBorder="1" applyAlignment="1">
      <alignment horizontal="center" vertical="center"/>
    </xf>
    <xf numFmtId="173" fontId="80" fillId="0" borderId="13" xfId="0" applyNumberFormat="1" applyFont="1" applyFill="1" applyBorder="1" applyAlignment="1">
      <alignment horizontal="center" vertical="center"/>
    </xf>
    <xf numFmtId="173" fontId="0" fillId="0" borderId="13" xfId="0" applyNumberFormat="1" applyBorder="1"/>
    <xf numFmtId="4" fontId="51" fillId="0" borderId="0" xfId="3006" applyNumberFormat="1" applyFont="1" applyFill="1"/>
    <xf numFmtId="4" fontId="4" fillId="0" borderId="0" xfId="3006" applyNumberFormat="1" applyFont="1" applyFill="1"/>
    <xf numFmtId="170" fontId="82" fillId="0" borderId="0" xfId="3006" applyNumberFormat="1" applyFont="1" applyFill="1" applyBorder="1"/>
    <xf numFmtId="172" fontId="62" fillId="0" borderId="13" xfId="3006" applyNumberFormat="1" applyFont="1" applyFill="1" applyBorder="1" applyAlignment="1" applyProtection="1">
      <alignment wrapText="1"/>
    </xf>
    <xf numFmtId="4" fontId="3" fillId="0" borderId="0" xfId="3006" applyNumberFormat="1" applyFont="1" applyFill="1"/>
    <xf numFmtId="4" fontId="3" fillId="0" borderId="0" xfId="3006" applyNumberFormat="1" applyFont="1" applyFill="1" applyBorder="1"/>
    <xf numFmtId="4" fontId="60" fillId="0" borderId="0" xfId="3006" applyNumberFormat="1" applyFont="1" applyFill="1"/>
    <xf numFmtId="4" fontId="4" fillId="0" borderId="0" xfId="3006" applyNumberFormat="1" applyFont="1" applyFill="1" applyBorder="1"/>
    <xf numFmtId="166" fontId="1" fillId="36" borderId="13" xfId="3006" applyNumberFormat="1" applyFont="1" applyFill="1" applyBorder="1" applyAlignment="1">
      <alignment horizontal="right" vertical="center"/>
    </xf>
    <xf numFmtId="186" fontId="62" fillId="0" borderId="13" xfId="3006" applyNumberFormat="1" applyFont="1" applyFill="1" applyBorder="1" applyAlignment="1">
      <alignment vertical="center" wrapText="1"/>
    </xf>
    <xf numFmtId="178" fontId="51" fillId="37" borderId="0" xfId="3006" applyNumberFormat="1" applyFont="1" applyFill="1" applyBorder="1"/>
    <xf numFmtId="175" fontId="62" fillId="0" borderId="13" xfId="3006" applyNumberFormat="1" applyFont="1" applyFill="1" applyBorder="1" applyAlignment="1">
      <alignment vertical="center" wrapText="1"/>
    </xf>
    <xf numFmtId="167" fontId="51" fillId="38" borderId="13" xfId="3006" applyNumberFormat="1" applyFont="1" applyFill="1" applyBorder="1" applyAlignment="1">
      <alignment horizontal="right" vertical="center"/>
    </xf>
    <xf numFmtId="0" fontId="83" fillId="0" borderId="0" xfId="3006" applyFont="1" applyFill="1"/>
    <xf numFmtId="0" fontId="84" fillId="0" borderId="13" xfId="3006" applyFont="1" applyFill="1" applyBorder="1" applyAlignment="1">
      <alignment horizontal="center"/>
    </xf>
    <xf numFmtId="0" fontId="84" fillId="0" borderId="0" xfId="3006" applyFont="1" applyFill="1"/>
    <xf numFmtId="0" fontId="84" fillId="0" borderId="0" xfId="3006" applyFont="1" applyFill="1" applyAlignment="1">
      <alignment vertical="center"/>
    </xf>
    <xf numFmtId="170" fontId="84" fillId="0" borderId="0" xfId="3006" applyNumberFormat="1" applyFont="1" applyFill="1" applyBorder="1"/>
    <xf numFmtId="0" fontId="84" fillId="0" borderId="0" xfId="3006" applyFont="1" applyFill="1" applyBorder="1"/>
    <xf numFmtId="173" fontId="72" fillId="39" borderId="0" xfId="3006" applyNumberFormat="1" applyFont="1" applyFill="1" applyBorder="1"/>
    <xf numFmtId="177" fontId="72" fillId="39" borderId="0" xfId="3006" applyNumberFormat="1" applyFont="1" applyFill="1" applyBorder="1"/>
    <xf numFmtId="173" fontId="4" fillId="0" borderId="0" xfId="3006" applyNumberFormat="1" applyFont="1" applyFill="1" applyAlignment="1">
      <alignment vertical="center"/>
    </xf>
    <xf numFmtId="4" fontId="6" fillId="0" borderId="0" xfId="3006" applyNumberFormat="1" applyFont="1" applyFill="1" applyAlignment="1">
      <alignment vertical="center"/>
    </xf>
    <xf numFmtId="173" fontId="6" fillId="0" borderId="0" xfId="3006" applyNumberFormat="1" applyFont="1" applyFill="1" applyAlignment="1">
      <alignment vertical="center"/>
    </xf>
    <xf numFmtId="185" fontId="62" fillId="0" borderId="13" xfId="3006" applyNumberFormat="1" applyFont="1" applyFill="1" applyBorder="1" applyAlignment="1">
      <alignment horizontal="right" vertical="center"/>
    </xf>
    <xf numFmtId="1" fontId="62" fillId="0" borderId="13" xfId="3006" applyNumberFormat="1" applyFont="1" applyFill="1" applyBorder="1" applyAlignment="1">
      <alignment vertical="center" wrapText="1"/>
    </xf>
    <xf numFmtId="187" fontId="62" fillId="0" borderId="13" xfId="3006" applyNumberFormat="1" applyFont="1" applyFill="1" applyBorder="1" applyAlignment="1">
      <alignment horizontal="right" vertical="center"/>
    </xf>
    <xf numFmtId="176" fontId="62" fillId="0" borderId="13" xfId="3006" applyNumberFormat="1" applyFont="1" applyFill="1" applyBorder="1" applyAlignment="1">
      <alignment horizontal="right" vertical="center"/>
    </xf>
    <xf numFmtId="176" fontId="51" fillId="28" borderId="13" xfId="3006" applyNumberFormat="1" applyFont="1" applyFill="1" applyBorder="1" applyAlignment="1">
      <alignment horizontal="right" vertical="center"/>
    </xf>
    <xf numFmtId="173" fontId="63" fillId="0" borderId="13" xfId="3006" applyNumberFormat="1" applyFont="1" applyFill="1" applyBorder="1" applyAlignment="1">
      <alignment horizontal="left"/>
    </xf>
    <xf numFmtId="173" fontId="10" fillId="0" borderId="0" xfId="3006" applyNumberFormat="1" applyFont="1" applyFill="1" applyBorder="1"/>
    <xf numFmtId="173" fontId="51" fillId="37" borderId="0" xfId="3006" applyNumberFormat="1" applyFont="1" applyFill="1" applyBorder="1"/>
    <xf numFmtId="166" fontId="10" fillId="0" borderId="13" xfId="3006" applyNumberFormat="1" applyFont="1" applyFill="1" applyBorder="1" applyAlignment="1" applyProtection="1">
      <alignment vertical="center" wrapText="1"/>
    </xf>
    <xf numFmtId="175" fontId="62" fillId="0" borderId="13" xfId="3006" applyNumberFormat="1" applyFont="1" applyFill="1" applyBorder="1" applyAlignment="1">
      <alignment horizontal="right" vertical="center"/>
    </xf>
    <xf numFmtId="2" fontId="85" fillId="0" borderId="0" xfId="3006" applyNumberFormat="1" applyFont="1" applyFill="1" applyAlignment="1">
      <alignment horizontal="right"/>
    </xf>
    <xf numFmtId="2" fontId="84" fillId="0" borderId="0" xfId="3006" applyNumberFormat="1" applyFont="1" applyFill="1"/>
    <xf numFmtId="168" fontId="53" fillId="0" borderId="0" xfId="0" applyNumberFormat="1" applyFont="1" applyFill="1" applyAlignment="1">
      <alignment horizontal="right"/>
    </xf>
    <xf numFmtId="2" fontId="13" fillId="0" borderId="13" xfId="3006" applyNumberFormat="1" applyFont="1" applyFill="1" applyBorder="1" applyAlignment="1">
      <alignment horizontal="right" vertical="center"/>
    </xf>
    <xf numFmtId="170" fontId="62" fillId="0" borderId="13" xfId="3006" applyNumberFormat="1" applyFont="1" applyFill="1" applyBorder="1" applyAlignment="1">
      <alignment horizontal="right" vertical="center"/>
    </xf>
    <xf numFmtId="171" fontId="51" fillId="28" borderId="13" xfId="3006" applyNumberFormat="1" applyFont="1" applyFill="1" applyBorder="1" applyAlignment="1">
      <alignment horizontal="right" vertical="center"/>
    </xf>
    <xf numFmtId="166" fontId="62" fillId="0" borderId="13" xfId="3006" applyNumberFormat="1" applyFont="1" applyFill="1" applyBorder="1" applyAlignment="1">
      <alignment horizontal="right" vertical="center"/>
    </xf>
    <xf numFmtId="169" fontId="62" fillId="38" borderId="13" xfId="3006" applyNumberFormat="1" applyFont="1" applyFill="1" applyBorder="1" applyAlignment="1">
      <alignment horizontal="right" vertical="center"/>
    </xf>
    <xf numFmtId="169" fontId="62" fillId="0" borderId="13" xfId="3006" applyNumberFormat="1" applyFont="1" applyFill="1" applyBorder="1" applyAlignment="1">
      <alignment vertical="center" wrapText="1"/>
    </xf>
    <xf numFmtId="169" fontId="62" fillId="0" borderId="13" xfId="3006" applyNumberFormat="1" applyFont="1" applyFill="1" applyBorder="1" applyAlignment="1" applyProtection="1">
      <alignment wrapText="1"/>
    </xf>
    <xf numFmtId="178" fontId="62" fillId="28" borderId="13" xfId="3006" applyNumberFormat="1" applyFont="1" applyFill="1" applyBorder="1" applyAlignment="1">
      <alignment horizontal="right" vertical="center"/>
    </xf>
    <xf numFmtId="178" fontId="62" fillId="38" borderId="13" xfId="3006" applyNumberFormat="1" applyFont="1" applyFill="1" applyBorder="1" applyAlignment="1">
      <alignment horizontal="right" vertical="center"/>
    </xf>
    <xf numFmtId="2" fontId="11" fillId="0" borderId="13" xfId="3006" applyNumberFormat="1" applyFont="1" applyBorder="1" applyAlignment="1">
      <alignment vertical="center" wrapText="1"/>
    </xf>
    <xf numFmtId="188" fontId="51" fillId="28" borderId="13" xfId="3006" applyNumberFormat="1" applyFont="1" applyFill="1" applyBorder="1" applyAlignment="1">
      <alignment horizontal="right" vertical="center"/>
    </xf>
    <xf numFmtId="170" fontId="62" fillId="0" borderId="13" xfId="3006" applyNumberFormat="1" applyFont="1" applyFill="1" applyBorder="1" applyAlignment="1">
      <alignment vertical="center" wrapText="1"/>
    </xf>
    <xf numFmtId="173" fontId="51" fillId="28" borderId="13" xfId="3006" applyNumberFormat="1" applyFont="1" applyFill="1" applyBorder="1" applyAlignment="1">
      <alignment horizontal="right" vertical="center"/>
    </xf>
    <xf numFmtId="173" fontId="69" fillId="0" borderId="0" xfId="3006" applyNumberFormat="1" applyFont="1" applyFill="1" applyAlignment="1">
      <alignment horizontal="center"/>
    </xf>
    <xf numFmtId="173" fontId="2" fillId="0" borderId="0" xfId="0" applyNumberFormat="1" applyFont="1" applyFill="1" applyAlignment="1">
      <alignment horizontal="center"/>
    </xf>
    <xf numFmtId="166" fontId="2" fillId="0" borderId="0" xfId="0" applyNumberFormat="1" applyFont="1" applyFill="1" applyAlignment="1">
      <alignment horizontal="center"/>
    </xf>
    <xf numFmtId="166" fontId="3" fillId="0" borderId="0" xfId="3006" applyNumberFormat="1" applyFont="1" applyFill="1" applyBorder="1" applyAlignment="1">
      <alignment horizontal="center" vertical="center"/>
    </xf>
    <xf numFmtId="173" fontId="2" fillId="0" borderId="0" xfId="0" applyNumberFormat="1" applyFont="1" applyFill="1" applyAlignment="1">
      <alignment horizontal="center" vertical="center"/>
    </xf>
    <xf numFmtId="166" fontId="87" fillId="0" borderId="0" xfId="0" applyNumberFormat="1" applyFont="1" applyFill="1" applyAlignment="1">
      <alignment horizontal="center"/>
    </xf>
    <xf numFmtId="173" fontId="84" fillId="0" borderId="0" xfId="3006" applyNumberFormat="1" applyFont="1" applyFill="1" applyBorder="1" applyAlignment="1">
      <alignment horizontal="center"/>
    </xf>
    <xf numFmtId="173" fontId="51" fillId="0" borderId="0" xfId="3006" applyNumberFormat="1" applyFont="1" applyFill="1" applyBorder="1" applyAlignment="1">
      <alignment horizontal="center"/>
    </xf>
    <xf numFmtId="173" fontId="84" fillId="0" borderId="0" xfId="3006" applyNumberFormat="1" applyFont="1" applyFill="1" applyBorder="1"/>
    <xf numFmtId="173" fontId="88" fillId="0" borderId="0" xfId="3006" applyNumberFormat="1" applyFont="1" applyFill="1" applyBorder="1"/>
    <xf numFmtId="173" fontId="83" fillId="0" borderId="0" xfId="3006" applyNumberFormat="1" applyFont="1" applyFill="1"/>
    <xf numFmtId="0" fontId="4" fillId="0" borderId="0" xfId="3006" applyFont="1" applyFill="1" applyAlignment="1">
      <alignment horizontal="center"/>
    </xf>
    <xf numFmtId="0" fontId="14" fillId="0" borderId="0" xfId="3006" applyFont="1" applyFill="1" applyAlignment="1">
      <alignment horizontal="center"/>
    </xf>
    <xf numFmtId="173" fontId="56" fillId="0" borderId="0" xfId="0" applyNumberFormat="1" applyFont="1" applyFill="1" applyAlignment="1">
      <alignment horizontal="center"/>
    </xf>
    <xf numFmtId="166" fontId="86" fillId="0" borderId="0" xfId="3006" applyNumberFormat="1" applyFont="1" applyFill="1" applyBorder="1" applyAlignment="1"/>
    <xf numFmtId="166" fontId="86" fillId="0" borderId="0" xfId="3006" applyNumberFormat="1" applyFont="1" applyFill="1" applyBorder="1" applyAlignment="1">
      <alignment vertical="center"/>
    </xf>
    <xf numFmtId="173" fontId="89" fillId="0" borderId="0" xfId="0" applyNumberFormat="1" applyFont="1" applyFill="1" applyAlignment="1">
      <alignment horizontal="center" vertical="center"/>
    </xf>
    <xf numFmtId="173" fontId="84" fillId="0" borderId="0" xfId="0" applyNumberFormat="1" applyFont="1" applyFill="1" applyAlignment="1">
      <alignment horizontal="center" vertical="center"/>
    </xf>
    <xf numFmtId="173" fontId="84" fillId="0" borderId="0" xfId="0" applyNumberFormat="1" applyFont="1" applyFill="1" applyAlignment="1">
      <alignment horizontal="center"/>
    </xf>
    <xf numFmtId="171" fontId="10" fillId="0" borderId="13" xfId="3006" applyNumberFormat="1" applyFont="1" applyFill="1" applyBorder="1" applyAlignment="1" applyProtection="1">
      <alignment wrapText="1"/>
    </xf>
    <xf numFmtId="173" fontId="51" fillId="0" borderId="0" xfId="3006" applyNumberFormat="1" applyFont="1" applyFill="1" applyBorder="1"/>
    <xf numFmtId="0" fontId="57" fillId="0" borderId="0" xfId="3006" applyFont="1" applyFill="1" applyAlignment="1"/>
    <xf numFmtId="0" fontId="58" fillId="0" borderId="0" xfId="3006" applyFont="1" applyFill="1" applyAlignment="1">
      <alignment vertical="center"/>
    </xf>
    <xf numFmtId="173" fontId="58" fillId="0" borderId="0" xfId="3006" applyNumberFormat="1" applyFont="1" applyFill="1" applyAlignment="1">
      <alignment vertical="center"/>
    </xf>
    <xf numFmtId="0" fontId="43" fillId="0" borderId="0" xfId="3006" applyFont="1" applyFill="1" applyAlignment="1">
      <alignment vertical="center"/>
    </xf>
    <xf numFmtId="0" fontId="92" fillId="0" borderId="0" xfId="0" applyFont="1" applyFill="1" applyAlignment="1">
      <alignment horizontal="center"/>
    </xf>
    <xf numFmtId="173" fontId="56" fillId="0" borderId="0" xfId="0" applyNumberFormat="1" applyFont="1" applyFill="1" applyAlignment="1">
      <alignment horizontal="right"/>
    </xf>
    <xf numFmtId="173" fontId="91" fillId="0" borderId="0" xfId="0" applyNumberFormat="1" applyFont="1" applyFill="1" applyAlignment="1">
      <alignment horizontal="right"/>
    </xf>
    <xf numFmtId="172" fontId="11" fillId="0" borderId="13" xfId="3006" applyNumberFormat="1" applyFont="1" applyFill="1" applyBorder="1" applyAlignment="1">
      <alignment horizontal="right" wrapText="1"/>
    </xf>
    <xf numFmtId="172" fontId="10" fillId="0" borderId="13" xfId="3006" applyNumberFormat="1" applyFont="1" applyFill="1" applyBorder="1" applyAlignment="1" applyProtection="1">
      <alignment wrapText="1"/>
    </xf>
    <xf numFmtId="178" fontId="62" fillId="39" borderId="0" xfId="3006" applyNumberFormat="1" applyFont="1" applyFill="1" applyBorder="1"/>
    <xf numFmtId="173" fontId="57" fillId="0" borderId="0" xfId="3006" applyNumberFormat="1" applyFont="1" applyFill="1" applyAlignment="1">
      <alignment horizontal="center"/>
    </xf>
    <xf numFmtId="166" fontId="4" fillId="34" borderId="0" xfId="3006" applyNumberFormat="1" applyFont="1" applyFill="1" applyBorder="1"/>
    <xf numFmtId="166" fontId="57" fillId="0" borderId="0" xfId="3006" applyNumberFormat="1" applyFont="1" applyFill="1" applyAlignment="1"/>
    <xf numFmtId="0" fontId="61" fillId="0" borderId="0" xfId="3006" applyFont="1" applyFill="1"/>
    <xf numFmtId="0" fontId="8" fillId="0" borderId="0" xfId="3006" applyFont="1" applyFill="1"/>
    <xf numFmtId="0" fontId="8" fillId="0" borderId="0" xfId="3006" applyFont="1" applyFill="1" applyAlignment="1">
      <alignment vertical="center"/>
    </xf>
    <xf numFmtId="0" fontId="8" fillId="0" borderId="0" xfId="3006" applyFont="1" applyFill="1" applyBorder="1"/>
    <xf numFmtId="169" fontId="4" fillId="0" borderId="0" xfId="3006" applyNumberFormat="1" applyFont="1" applyFill="1" applyBorder="1"/>
    <xf numFmtId="169" fontId="51" fillId="37" borderId="0" xfId="3006" applyNumberFormat="1" applyFont="1" applyFill="1" applyBorder="1"/>
    <xf numFmtId="169" fontId="10" fillId="39" borderId="0" xfId="3006" applyNumberFormat="1" applyFont="1" applyFill="1" applyBorder="1"/>
    <xf numFmtId="166" fontId="62" fillId="0" borderId="13" xfId="3006" applyNumberFormat="1" applyFont="1" applyFill="1" applyBorder="1" applyAlignment="1" applyProtection="1">
      <alignment vertical="center" wrapText="1"/>
    </xf>
    <xf numFmtId="170" fontId="44" fillId="38" borderId="13" xfId="3006" applyNumberFormat="1" applyFont="1" applyFill="1" applyBorder="1" applyAlignment="1">
      <alignment horizontal="right" vertical="center"/>
    </xf>
    <xf numFmtId="170" fontId="44" fillId="28" borderId="13" xfId="3006" applyNumberFormat="1" applyFont="1" applyFill="1" applyBorder="1" applyAlignment="1">
      <alignment horizontal="right" vertical="center"/>
    </xf>
    <xf numFmtId="170" fontId="10" fillId="0" borderId="13" xfId="3006" applyNumberFormat="1" applyFont="1" applyFill="1" applyBorder="1" applyAlignment="1" applyProtection="1">
      <alignment wrapText="1"/>
    </xf>
    <xf numFmtId="166" fontId="44" fillId="38" borderId="13" xfId="3006" applyNumberFormat="1" applyFont="1" applyFill="1" applyBorder="1" applyAlignment="1">
      <alignment horizontal="right" vertical="center"/>
    </xf>
    <xf numFmtId="167" fontId="53" fillId="0" borderId="0" xfId="3006" applyNumberFormat="1" applyFont="1" applyFill="1" applyBorder="1" applyAlignment="1">
      <alignment horizontal="center"/>
    </xf>
    <xf numFmtId="0" fontId="51" fillId="0" borderId="0" xfId="3006" applyFont="1" applyFill="1" applyAlignment="1">
      <alignment horizontal="center"/>
    </xf>
    <xf numFmtId="0" fontId="52" fillId="0" borderId="0" xfId="3006" applyFont="1" applyFill="1" applyAlignment="1">
      <alignment horizontal="center"/>
    </xf>
    <xf numFmtId="0" fontId="2" fillId="0" borderId="0" xfId="3006" applyFont="1" applyFill="1"/>
    <xf numFmtId="4" fontId="84" fillId="0" borderId="0" xfId="3006" applyNumberFormat="1" applyFont="1" applyFill="1"/>
    <xf numFmtId="0" fontId="2" fillId="0" borderId="0" xfId="3006" applyFont="1" applyFill="1" applyAlignment="1">
      <alignment vertical="center"/>
    </xf>
    <xf numFmtId="170" fontId="2" fillId="0" borderId="0" xfId="3006" applyNumberFormat="1" applyFont="1" applyFill="1" applyBorder="1"/>
    <xf numFmtId="0" fontId="2" fillId="0" borderId="0" xfId="3006" applyFont="1" applyFill="1" applyBorder="1"/>
    <xf numFmtId="173" fontId="2" fillId="0" borderId="0" xfId="3006" applyNumberFormat="1" applyFont="1" applyFill="1"/>
    <xf numFmtId="170" fontId="2" fillId="0" borderId="0" xfId="3006" applyNumberFormat="1" applyFont="1" applyFill="1"/>
    <xf numFmtId="170" fontId="84" fillId="0" borderId="0" xfId="3006" applyNumberFormat="1" applyFont="1" applyFill="1"/>
    <xf numFmtId="173" fontId="84" fillId="0" borderId="0" xfId="3006" applyNumberFormat="1" applyFont="1" applyFill="1"/>
    <xf numFmtId="170" fontId="51" fillId="36" borderId="13" xfId="3006" applyNumberFormat="1" applyFont="1" applyFill="1" applyBorder="1" applyAlignment="1">
      <alignment horizontal="left" vertical="center"/>
    </xf>
    <xf numFmtId="170" fontId="51" fillId="36" borderId="14" xfId="3006" applyNumberFormat="1" applyFont="1" applyFill="1" applyBorder="1" applyAlignment="1">
      <alignment horizontal="left" vertical="center"/>
    </xf>
    <xf numFmtId="170" fontId="51" fillId="39" borderId="13" xfId="3006" applyNumberFormat="1" applyFont="1" applyFill="1" applyBorder="1" applyAlignment="1">
      <alignment horizontal="left" vertical="center" wrapText="1"/>
    </xf>
    <xf numFmtId="170" fontId="51" fillId="39" borderId="14" xfId="3006" applyNumberFormat="1" applyFont="1" applyFill="1" applyBorder="1" applyAlignment="1">
      <alignment horizontal="left" vertical="center" wrapText="1"/>
    </xf>
    <xf numFmtId="185" fontId="62" fillId="0" borderId="13" xfId="3006" applyNumberFormat="1" applyFont="1" applyFill="1" applyBorder="1" applyAlignment="1">
      <alignment horizontal="right"/>
    </xf>
    <xf numFmtId="185" fontId="62" fillId="0" borderId="13" xfId="3006" applyNumberFormat="1" applyFont="1" applyFill="1" applyBorder="1" applyAlignment="1">
      <alignment horizontal="right" wrapText="1"/>
    </xf>
    <xf numFmtId="174" fontId="62" fillId="36" borderId="13" xfId="3006" applyNumberFormat="1" applyFont="1" applyFill="1" applyBorder="1" applyAlignment="1">
      <alignment horizontal="right" vertical="center"/>
    </xf>
    <xf numFmtId="168" fontId="99" fillId="0" borderId="13" xfId="3006" applyNumberFormat="1" applyFont="1" applyFill="1" applyBorder="1" applyAlignment="1">
      <alignment vertical="center" wrapText="1"/>
    </xf>
    <xf numFmtId="173" fontId="100" fillId="36" borderId="13" xfId="3006" applyNumberFormat="1" applyFont="1" applyFill="1" applyBorder="1" applyAlignment="1">
      <alignment horizontal="right" vertical="center"/>
    </xf>
    <xf numFmtId="172" fontId="62" fillId="0" borderId="13" xfId="3006" applyNumberFormat="1" applyFont="1" applyFill="1" applyBorder="1" applyAlignment="1" applyProtection="1">
      <alignment vertical="center" wrapText="1"/>
    </xf>
    <xf numFmtId="173" fontId="62" fillId="0" borderId="13" xfId="3006" applyNumberFormat="1" applyFont="1" applyFill="1" applyBorder="1" applyAlignment="1">
      <alignment vertical="center" wrapText="1"/>
    </xf>
    <xf numFmtId="166" fontId="51" fillId="38" borderId="13" xfId="3006" applyNumberFormat="1" applyFont="1" applyFill="1" applyBorder="1" applyAlignment="1">
      <alignment horizontal="right" vertical="center"/>
    </xf>
    <xf numFmtId="166" fontId="51" fillId="0" borderId="13" xfId="3006" applyNumberFormat="1" applyFont="1" applyFill="1" applyBorder="1" applyAlignment="1">
      <alignment horizontal="right" vertical="center"/>
    </xf>
    <xf numFmtId="0" fontId="84" fillId="0" borderId="0" xfId="3006" applyFont="1" applyFill="1" applyAlignment="1">
      <alignment horizontal="left" vertical="center" wrapText="1"/>
    </xf>
    <xf numFmtId="166" fontId="10" fillId="0" borderId="13" xfId="3006" applyNumberFormat="1" applyFont="1" applyFill="1" applyBorder="1" applyAlignment="1">
      <alignment vertical="center" wrapText="1"/>
    </xf>
    <xf numFmtId="166" fontId="11" fillId="0" borderId="13" xfId="3006" applyNumberFormat="1" applyFont="1" applyBorder="1" applyAlignment="1">
      <alignment vertical="center" wrapText="1"/>
    </xf>
    <xf numFmtId="166" fontId="49" fillId="0" borderId="13" xfId="3006" applyNumberFormat="1" applyFont="1" applyBorder="1" applyAlignment="1">
      <alignment vertical="center" wrapText="1"/>
    </xf>
    <xf numFmtId="166" fontId="9" fillId="28" borderId="13" xfId="3006" applyNumberFormat="1" applyFont="1" applyFill="1" applyBorder="1" applyAlignment="1">
      <alignment horizontal="right" vertical="center"/>
    </xf>
    <xf numFmtId="166" fontId="4" fillId="38" borderId="13" xfId="3006" applyNumberFormat="1" applyFont="1" applyFill="1" applyBorder="1" applyAlignment="1">
      <alignment horizontal="right" vertical="center"/>
    </xf>
    <xf numFmtId="166" fontId="49" fillId="0" borderId="13" xfId="3006" applyNumberFormat="1" applyFont="1" applyFill="1" applyBorder="1" applyAlignment="1">
      <alignment vertical="center" wrapText="1"/>
    </xf>
    <xf numFmtId="166" fontId="82" fillId="36" borderId="13" xfId="3006" applyNumberFormat="1" applyFont="1" applyFill="1" applyBorder="1" applyAlignment="1">
      <alignment horizontal="right" vertical="center"/>
    </xf>
    <xf numFmtId="166" fontId="4" fillId="0" borderId="13" xfId="3006" applyNumberFormat="1" applyFont="1" applyFill="1" applyBorder="1" applyAlignment="1">
      <alignment horizontal="right" vertical="center"/>
    </xf>
    <xf numFmtId="167" fontId="10" fillId="0" borderId="13" xfId="3006" applyNumberFormat="1" applyFont="1" applyFill="1" applyBorder="1" applyAlignment="1">
      <alignment vertical="center" wrapText="1"/>
    </xf>
    <xf numFmtId="167" fontId="4" fillId="38" borderId="13" xfId="3006" applyNumberFormat="1" applyFont="1" applyFill="1" applyBorder="1" applyAlignment="1">
      <alignment horizontal="right" vertical="center"/>
    </xf>
    <xf numFmtId="166" fontId="10" fillId="0" borderId="13" xfId="3006" applyNumberFormat="1" applyFont="1" applyFill="1" applyBorder="1" applyAlignment="1" applyProtection="1">
      <alignment horizontal="right" vertical="center" wrapText="1"/>
    </xf>
    <xf numFmtId="166" fontId="11" fillId="0" borderId="13" xfId="3006" applyNumberFormat="1" applyFont="1" applyFill="1" applyBorder="1" applyAlignment="1">
      <alignment horizontal="right" vertical="center"/>
    </xf>
    <xf numFmtId="166" fontId="11" fillId="0" borderId="13" xfId="3006" applyNumberFormat="1" applyFont="1" applyFill="1" applyBorder="1" applyAlignment="1">
      <alignment horizontal="right" vertical="center" wrapText="1"/>
    </xf>
    <xf numFmtId="166" fontId="11" fillId="0" borderId="13" xfId="3006" applyNumberFormat="1" applyFont="1" applyBorder="1" applyAlignment="1">
      <alignment horizontal="right" vertical="center" wrapText="1"/>
    </xf>
    <xf numFmtId="166" fontId="44" fillId="28" borderId="13" xfId="3006" applyNumberFormat="1" applyFont="1" applyFill="1" applyBorder="1" applyAlignment="1">
      <alignment horizontal="right"/>
    </xf>
    <xf numFmtId="166" fontId="11" fillId="0" borderId="13" xfId="3006" applyNumberFormat="1" applyFont="1" applyFill="1" applyBorder="1" applyAlignment="1">
      <alignment wrapText="1"/>
    </xf>
    <xf numFmtId="166" fontId="10" fillId="0" borderId="13" xfId="3006" applyNumberFormat="1" applyFont="1" applyFill="1" applyBorder="1" applyAlignment="1" applyProtection="1">
      <alignment horizontal="right" wrapText="1"/>
    </xf>
    <xf numFmtId="166" fontId="10" fillId="0" borderId="13" xfId="3006" applyNumberFormat="1" applyFont="1" applyBorder="1" applyAlignment="1">
      <alignment horizontal="right" wrapText="1"/>
    </xf>
    <xf numFmtId="166" fontId="10" fillId="0" borderId="13" xfId="3006" applyNumberFormat="1" applyFont="1" applyFill="1" applyBorder="1" applyAlignment="1">
      <alignment horizontal="right" vertical="center"/>
    </xf>
    <xf numFmtId="0" fontId="50" fillId="0" borderId="0" xfId="3006" applyFont="1" applyFill="1" applyAlignment="1">
      <alignment horizontal="center"/>
    </xf>
    <xf numFmtId="0" fontId="6" fillId="0" borderId="0" xfId="3006" applyFont="1" applyFill="1" applyAlignment="1">
      <alignment horizontal="center"/>
    </xf>
    <xf numFmtId="0" fontId="4" fillId="0" borderId="0" xfId="3006" applyFont="1" applyFill="1" applyAlignment="1">
      <alignment horizontal="center"/>
    </xf>
    <xf numFmtId="0" fontId="14" fillId="0" borderId="0" xfId="3006" applyFont="1" applyFill="1" applyAlignment="1">
      <alignment horizontal="center"/>
    </xf>
    <xf numFmtId="167" fontId="44" fillId="38" borderId="13" xfId="3006" applyNumberFormat="1" applyFont="1" applyFill="1" applyBorder="1" applyAlignment="1">
      <alignment horizontal="right" vertical="center"/>
    </xf>
    <xf numFmtId="0" fontId="90" fillId="0" borderId="0" xfId="3006" applyFont="1" applyFill="1"/>
    <xf numFmtId="0" fontId="43" fillId="0" borderId="0" xfId="3006" applyFont="1" applyFill="1" applyAlignment="1">
      <alignment horizontal="left" vertical="center" wrapText="1"/>
    </xf>
    <xf numFmtId="170" fontId="11" fillId="0" borderId="13" xfId="3006" applyNumberFormat="1" applyFont="1" applyFill="1" applyBorder="1" applyAlignment="1">
      <alignment horizontal="right" vertical="center"/>
    </xf>
    <xf numFmtId="3" fontId="64" fillId="0" borderId="13" xfId="0" applyNumberFormat="1" applyFont="1" applyFill="1" applyBorder="1" applyAlignment="1">
      <alignment horizontal="right" vertical="center"/>
    </xf>
    <xf numFmtId="173" fontId="62" fillId="0" borderId="13" xfId="3006" applyNumberFormat="1" applyFont="1" applyFill="1" applyBorder="1" applyAlignment="1" applyProtection="1">
      <alignment wrapText="1"/>
    </xf>
    <xf numFmtId="173" fontId="62" fillId="0" borderId="13" xfId="3006" applyNumberFormat="1" applyFont="1" applyFill="1" applyBorder="1" applyAlignment="1">
      <alignment horizontal="right" vertical="center"/>
    </xf>
    <xf numFmtId="166" fontId="44" fillId="0" borderId="13" xfId="3006" applyNumberFormat="1" applyFont="1" applyFill="1" applyBorder="1" applyAlignment="1">
      <alignment horizontal="right" vertical="center"/>
    </xf>
    <xf numFmtId="170" fontId="51" fillId="0" borderId="0" xfId="3006" applyNumberFormat="1" applyFont="1" applyFill="1"/>
    <xf numFmtId="170" fontId="60" fillId="0" borderId="0" xfId="3006" applyNumberFormat="1" applyFont="1" applyFill="1"/>
    <xf numFmtId="170" fontId="4" fillId="0" borderId="0" xfId="3006" applyNumberFormat="1" applyFont="1" applyFill="1"/>
    <xf numFmtId="170" fontId="4" fillId="0" borderId="0" xfId="3006" applyNumberFormat="1" applyFont="1" applyFill="1" applyAlignment="1">
      <alignment vertical="center"/>
    </xf>
    <xf numFmtId="4" fontId="90" fillId="0" borderId="0" xfId="3006" applyNumberFormat="1" applyFont="1" applyFill="1"/>
    <xf numFmtId="173" fontId="44" fillId="28" borderId="13" xfId="3006" applyNumberFormat="1" applyFont="1" applyFill="1" applyBorder="1" applyAlignment="1">
      <alignment horizontal="right" vertical="center"/>
    </xf>
    <xf numFmtId="176" fontId="62" fillId="0" borderId="13" xfId="3006" applyNumberFormat="1" applyFont="1" applyFill="1" applyBorder="1" applyAlignment="1" applyProtection="1">
      <alignment wrapText="1"/>
    </xf>
    <xf numFmtId="170" fontId="99" fillId="37" borderId="0" xfId="3006" applyNumberFormat="1" applyFont="1" applyFill="1" applyBorder="1"/>
    <xf numFmtId="170" fontId="51" fillId="0" borderId="0" xfId="3006" applyNumberFormat="1" applyFont="1" applyFill="1" applyAlignment="1">
      <alignment vertical="center"/>
    </xf>
    <xf numFmtId="170" fontId="3" fillId="0" borderId="0" xfId="3006" applyNumberFormat="1" applyFont="1" applyFill="1"/>
    <xf numFmtId="173" fontId="11" fillId="0" borderId="13" xfId="3006" applyNumberFormat="1" applyFont="1" applyFill="1" applyBorder="1" applyAlignment="1">
      <alignment horizontal="right" wrapText="1"/>
    </xf>
    <xf numFmtId="173" fontId="44" fillId="38" borderId="13" xfId="3006" applyNumberFormat="1" applyFont="1" applyFill="1" applyBorder="1" applyAlignment="1">
      <alignment horizontal="right" vertical="center"/>
    </xf>
    <xf numFmtId="173" fontId="11" fillId="0" borderId="13" xfId="3006" applyNumberFormat="1" applyFont="1" applyFill="1" applyBorder="1" applyAlignment="1">
      <alignment vertical="center" wrapText="1"/>
    </xf>
    <xf numFmtId="173" fontId="11" fillId="0" borderId="13" xfId="3006" applyNumberFormat="1" applyFont="1" applyFill="1" applyBorder="1" applyAlignment="1">
      <alignment horizontal="right" vertical="center"/>
    </xf>
    <xf numFmtId="4" fontId="62" fillId="0" borderId="13" xfId="3006" applyNumberFormat="1" applyFont="1" applyFill="1" applyBorder="1" applyAlignment="1" applyProtection="1">
      <alignment vertical="center" wrapText="1"/>
    </xf>
    <xf numFmtId="173" fontId="10" fillId="0" borderId="13" xfId="3006" applyNumberFormat="1" applyFont="1" applyFill="1" applyBorder="1" applyAlignment="1" applyProtection="1">
      <alignment horizontal="right" wrapText="1"/>
    </xf>
    <xf numFmtId="171" fontId="62" fillId="0" borderId="13" xfId="3006" applyNumberFormat="1" applyFont="1" applyFill="1" applyBorder="1" applyAlignment="1" applyProtection="1">
      <alignment vertical="center" wrapText="1"/>
    </xf>
    <xf numFmtId="4" fontId="62" fillId="28" borderId="13" xfId="3006" applyNumberFormat="1" applyFont="1" applyFill="1" applyBorder="1" applyAlignment="1">
      <alignment horizontal="right" vertical="center"/>
    </xf>
    <xf numFmtId="0" fontId="14" fillId="38" borderId="0" xfId="3006" applyFont="1" applyFill="1" applyAlignment="1"/>
    <xf numFmtId="0" fontId="52" fillId="38" borderId="0" xfId="3006" applyFont="1" applyFill="1" applyAlignment="1"/>
    <xf numFmtId="0" fontId="14" fillId="42" borderId="0" xfId="3006" applyFont="1" applyFill="1" applyAlignment="1"/>
    <xf numFmtId="187" fontId="62" fillId="0" borderId="0" xfId="3006" applyNumberFormat="1" applyFont="1" applyFill="1" applyBorder="1"/>
    <xf numFmtId="187" fontId="51" fillId="0" borderId="0" xfId="3006" applyNumberFormat="1" applyFont="1" applyFill="1" applyBorder="1"/>
    <xf numFmtId="189" fontId="11" fillId="0" borderId="13" xfId="3037" applyNumberFormat="1" applyFont="1" applyFill="1" applyBorder="1" applyAlignment="1">
      <alignment vertical="center" wrapText="1"/>
    </xf>
    <xf numFmtId="170" fontId="6" fillId="0" borderId="0" xfId="3006" applyNumberFormat="1" applyFont="1" applyFill="1" applyAlignment="1">
      <alignment vertical="center"/>
    </xf>
    <xf numFmtId="170" fontId="4" fillId="38" borderId="13" xfId="3006" applyNumberFormat="1" applyFont="1" applyFill="1" applyBorder="1" applyAlignment="1">
      <alignment horizontal="right" vertical="center"/>
    </xf>
    <xf numFmtId="0" fontId="2" fillId="0" borderId="0" xfId="0" applyFont="1"/>
    <xf numFmtId="0" fontId="84" fillId="0" borderId="0" xfId="0" applyFont="1" applyAlignment="1">
      <alignment horizontal="center" vertical="center"/>
    </xf>
    <xf numFmtId="0" fontId="84" fillId="0" borderId="13" xfId="0" applyFont="1" applyBorder="1" applyAlignment="1">
      <alignment horizontal="center" vertical="center"/>
    </xf>
    <xf numFmtId="0" fontId="84" fillId="0" borderId="13" xfId="0" applyFont="1" applyBorder="1" applyAlignment="1">
      <alignment horizontal="center" vertical="center" wrapText="1"/>
    </xf>
    <xf numFmtId="0" fontId="2" fillId="0" borderId="13" xfId="0" applyFont="1" applyBorder="1"/>
    <xf numFmtId="0" fontId="2" fillId="0" borderId="0" xfId="0" applyFont="1" applyAlignment="1">
      <alignment vertical="center"/>
    </xf>
    <xf numFmtId="173" fontId="2" fillId="0" borderId="13" xfId="0" applyNumberFormat="1" applyFont="1" applyBorder="1"/>
    <xf numFmtId="173" fontId="2" fillId="0" borderId="13" xfId="0" applyNumberFormat="1" applyFont="1" applyBorder="1" applyAlignment="1">
      <alignment horizontal="right"/>
    </xf>
    <xf numFmtId="0" fontId="84" fillId="43" borderId="13" xfId="0" applyFont="1" applyFill="1" applyBorder="1"/>
    <xf numFmtId="173" fontId="84" fillId="43" borderId="13" xfId="0" applyNumberFormat="1" applyFont="1" applyFill="1" applyBorder="1" applyAlignment="1">
      <alignment horizontal="center"/>
    </xf>
    <xf numFmtId="0" fontId="84" fillId="0" borderId="0" xfId="0" applyFont="1"/>
    <xf numFmtId="173" fontId="2" fillId="0" borderId="0" xfId="0" applyNumberFormat="1" applyFont="1" applyAlignment="1">
      <alignment horizontal="center"/>
    </xf>
    <xf numFmtId="173" fontId="10" fillId="0" borderId="13" xfId="3006" applyNumberFormat="1" applyFont="1" applyFill="1" applyBorder="1" applyAlignment="1" applyProtection="1">
      <alignment wrapText="1"/>
    </xf>
    <xf numFmtId="170" fontId="11" fillId="0" borderId="13" xfId="3006" applyNumberFormat="1" applyFont="1" applyFill="1" applyBorder="1" applyAlignment="1">
      <alignment wrapText="1"/>
    </xf>
    <xf numFmtId="170" fontId="11" fillId="0" borderId="13" xfId="3006" applyNumberFormat="1" applyFont="1" applyFill="1" applyBorder="1" applyAlignment="1">
      <alignment vertical="center" wrapText="1"/>
    </xf>
    <xf numFmtId="170" fontId="11" fillId="0" borderId="13" xfId="3006" applyNumberFormat="1" applyFont="1" applyFill="1" applyBorder="1" applyAlignment="1">
      <alignment horizontal="right" wrapText="1"/>
    </xf>
    <xf numFmtId="170" fontId="10" fillId="0" borderId="13" xfId="3006" applyNumberFormat="1" applyFont="1" applyFill="1" applyBorder="1" applyAlignment="1" applyProtection="1">
      <alignment horizontal="right" wrapText="1"/>
    </xf>
    <xf numFmtId="4" fontId="62" fillId="0" borderId="13" xfId="3006" applyNumberFormat="1" applyFont="1" applyFill="1" applyBorder="1" applyAlignment="1">
      <alignment horizontal="right" vertical="center"/>
    </xf>
    <xf numFmtId="166" fontId="10" fillId="42" borderId="13" xfId="3006" applyNumberFormat="1" applyFont="1" applyFill="1" applyBorder="1" applyAlignment="1" applyProtection="1">
      <alignment wrapText="1"/>
    </xf>
    <xf numFmtId="166" fontId="11" fillId="42" borderId="13" xfId="3006" applyNumberFormat="1" applyFont="1" applyFill="1" applyBorder="1" applyAlignment="1">
      <alignment horizontal="right" vertical="center"/>
    </xf>
    <xf numFmtId="173" fontId="64" fillId="0" borderId="0" xfId="3006" applyNumberFormat="1" applyFont="1" applyFill="1" applyBorder="1"/>
    <xf numFmtId="166" fontId="62" fillId="32" borderId="0" xfId="3006" applyNumberFormat="1" applyFont="1" applyFill="1" applyBorder="1"/>
    <xf numFmtId="166" fontId="62" fillId="0" borderId="13" xfId="3006" applyNumberFormat="1" applyFont="1" applyFill="1" applyBorder="1" applyAlignment="1">
      <alignment vertical="center"/>
    </xf>
    <xf numFmtId="0" fontId="96" fillId="0" borderId="23" xfId="3006" applyFont="1" applyFill="1" applyBorder="1" applyAlignment="1">
      <alignment horizontal="center" vertical="center" textRotation="90" wrapText="1"/>
    </xf>
    <xf numFmtId="0" fontId="58" fillId="0" borderId="18" xfId="3006" applyFont="1" applyFill="1" applyBorder="1" applyAlignment="1">
      <alignment horizontal="center" vertical="center" textRotation="90" wrapText="1"/>
    </xf>
    <xf numFmtId="0" fontId="58" fillId="0" borderId="24" xfId="3006" applyFont="1" applyFill="1" applyBorder="1" applyAlignment="1">
      <alignment horizontal="center" vertical="center" textRotation="90" wrapText="1"/>
    </xf>
    <xf numFmtId="0" fontId="58" fillId="0" borderId="19" xfId="3006" applyFont="1" applyFill="1" applyBorder="1" applyAlignment="1">
      <alignment horizontal="center" vertical="center" textRotation="90" wrapText="1"/>
    </xf>
    <xf numFmtId="0" fontId="58" fillId="0" borderId="25" xfId="3006" applyFont="1" applyFill="1" applyBorder="1" applyAlignment="1">
      <alignment horizontal="center" vertical="center" textRotation="90" wrapText="1"/>
    </xf>
    <xf numFmtId="0" fontId="58" fillId="0" borderId="20" xfId="3006" applyFont="1" applyFill="1" applyBorder="1" applyAlignment="1">
      <alignment horizontal="center" vertical="center" textRotation="90" wrapText="1"/>
    </xf>
    <xf numFmtId="0" fontId="58" fillId="0" borderId="23" xfId="3006" applyFont="1" applyFill="1" applyBorder="1" applyAlignment="1">
      <alignment horizontal="center" vertical="center" textRotation="90" wrapText="1"/>
    </xf>
    <xf numFmtId="0" fontId="58" fillId="0" borderId="13" xfId="3006" applyFont="1" applyFill="1" applyBorder="1" applyAlignment="1">
      <alignment horizontal="center" vertical="center" textRotation="90" wrapText="1"/>
    </xf>
    <xf numFmtId="0" fontId="58" fillId="0" borderId="15" xfId="3006" applyFont="1" applyFill="1" applyBorder="1" applyAlignment="1">
      <alignment horizontal="center" vertical="center" textRotation="90" wrapText="1"/>
    </xf>
    <xf numFmtId="0" fontId="58" fillId="0" borderId="16" xfId="3006" applyFont="1" applyFill="1" applyBorder="1" applyAlignment="1">
      <alignment horizontal="center" vertical="center" textRotation="90" wrapText="1"/>
    </xf>
    <xf numFmtId="0" fontId="58" fillId="0" borderId="17" xfId="3006" applyFont="1" applyFill="1" applyBorder="1" applyAlignment="1">
      <alignment horizontal="center" vertical="center" textRotation="90" wrapText="1"/>
    </xf>
    <xf numFmtId="0" fontId="58" fillId="40" borderId="23" xfId="3006" applyFont="1" applyFill="1" applyBorder="1" applyAlignment="1">
      <alignment horizontal="center" vertical="center" textRotation="90" wrapText="1"/>
    </xf>
    <xf numFmtId="0" fontId="58" fillId="40" borderId="18" xfId="3006" applyFont="1" applyFill="1" applyBorder="1" applyAlignment="1">
      <alignment horizontal="center" vertical="center" textRotation="90" wrapText="1"/>
    </xf>
    <xf numFmtId="0" fontId="58" fillId="40" borderId="24" xfId="3006" applyFont="1" applyFill="1" applyBorder="1" applyAlignment="1">
      <alignment horizontal="center" vertical="center" textRotation="90" wrapText="1"/>
    </xf>
    <xf numFmtId="0" fontId="58" fillId="40" borderId="19" xfId="3006" applyFont="1" applyFill="1" applyBorder="1" applyAlignment="1">
      <alignment horizontal="center" vertical="center" textRotation="90" wrapText="1"/>
    </xf>
    <xf numFmtId="0" fontId="58" fillId="40" borderId="25" xfId="3006" applyFont="1" applyFill="1" applyBorder="1" applyAlignment="1">
      <alignment horizontal="center" vertical="center" textRotation="90" wrapText="1"/>
    </xf>
    <xf numFmtId="0" fontId="58" fillId="40" borderId="20" xfId="3006" applyFont="1" applyFill="1" applyBorder="1" applyAlignment="1">
      <alignment horizontal="center" vertical="center" textRotation="90" wrapText="1"/>
    </xf>
    <xf numFmtId="0" fontId="57" fillId="0" borderId="15" xfId="3006" applyFont="1" applyFill="1" applyBorder="1" applyAlignment="1">
      <alignment horizontal="center" vertical="center"/>
    </xf>
    <xf numFmtId="0" fontId="57" fillId="0" borderId="16" xfId="3006" applyFont="1" applyFill="1" applyBorder="1" applyAlignment="1">
      <alignment horizontal="center" vertical="center"/>
    </xf>
    <xf numFmtId="0" fontId="57" fillId="0" borderId="17" xfId="3006" applyFont="1" applyFill="1" applyBorder="1" applyAlignment="1">
      <alignment horizontal="center" vertical="center"/>
    </xf>
    <xf numFmtId="0" fontId="58" fillId="0" borderId="15" xfId="0" applyFont="1" applyFill="1" applyBorder="1" applyAlignment="1">
      <alignment horizontal="center" vertical="center" textRotation="90"/>
    </xf>
    <xf numFmtId="0" fontId="58" fillId="0" borderId="16" xfId="0" applyFont="1" applyFill="1" applyBorder="1" applyAlignment="1">
      <alignment horizontal="center" vertical="center" textRotation="90"/>
    </xf>
    <xf numFmtId="0" fontId="58" fillId="0" borderId="17" xfId="0" applyFont="1" applyFill="1" applyBorder="1" applyAlignment="1">
      <alignment horizontal="center" vertical="center" textRotation="90"/>
    </xf>
    <xf numFmtId="0" fontId="58" fillId="40" borderId="23" xfId="3006" applyFont="1" applyFill="1" applyBorder="1" applyAlignment="1">
      <alignment horizontal="center" vertical="center" textRotation="255" wrapText="1"/>
    </xf>
    <xf numFmtId="0" fontId="58" fillId="40" borderId="18" xfId="3006" applyFont="1" applyFill="1" applyBorder="1" applyAlignment="1">
      <alignment horizontal="center" vertical="center" textRotation="255" wrapText="1"/>
    </xf>
    <xf numFmtId="0" fontId="58" fillId="40" borderId="24" xfId="3006" applyFont="1" applyFill="1" applyBorder="1" applyAlignment="1">
      <alignment horizontal="center" vertical="center" textRotation="255" wrapText="1"/>
    </xf>
    <xf numFmtId="0" fontId="58" fillId="40" borderId="19" xfId="3006" applyFont="1" applyFill="1" applyBorder="1" applyAlignment="1">
      <alignment horizontal="center" vertical="center" textRotation="255" wrapText="1"/>
    </xf>
    <xf numFmtId="0" fontId="58" fillId="40" borderId="25" xfId="3006" applyFont="1" applyFill="1" applyBorder="1" applyAlignment="1">
      <alignment horizontal="center" vertical="center" textRotation="255" wrapText="1"/>
    </xf>
    <xf numFmtId="0" fontId="58" fillId="40" borderId="20" xfId="3006" applyFont="1" applyFill="1" applyBorder="1" applyAlignment="1">
      <alignment horizontal="center" vertical="center" textRotation="255" wrapText="1"/>
    </xf>
    <xf numFmtId="0" fontId="57" fillId="40" borderId="23" xfId="3006" applyFont="1" applyFill="1" applyBorder="1" applyAlignment="1">
      <alignment horizontal="center" vertical="center" textRotation="255" wrapText="1"/>
    </xf>
    <xf numFmtId="0" fontId="57" fillId="40" borderId="18" xfId="3006" applyFont="1" applyFill="1" applyBorder="1" applyAlignment="1">
      <alignment horizontal="center" vertical="center" textRotation="255" wrapText="1"/>
    </xf>
    <xf numFmtId="0" fontId="57" fillId="40" borderId="24" xfId="3006" applyFont="1" applyFill="1" applyBorder="1" applyAlignment="1">
      <alignment horizontal="center" vertical="center" textRotation="255" wrapText="1"/>
    </xf>
    <xf numFmtId="0" fontId="57" fillId="40" borderId="19" xfId="3006" applyFont="1" applyFill="1" applyBorder="1" applyAlignment="1">
      <alignment horizontal="center" vertical="center" textRotation="255" wrapText="1"/>
    </xf>
    <xf numFmtId="0" fontId="57" fillId="40" borderId="25" xfId="3006" applyFont="1" applyFill="1" applyBorder="1" applyAlignment="1">
      <alignment horizontal="center" vertical="center" textRotation="255" wrapText="1"/>
    </xf>
    <xf numFmtId="0" fontId="57" fillId="40" borderId="20" xfId="3006" applyFont="1" applyFill="1" applyBorder="1" applyAlignment="1">
      <alignment horizontal="center" vertical="center" textRotation="255" wrapText="1"/>
    </xf>
    <xf numFmtId="0" fontId="57" fillId="0" borderId="15" xfId="3006" applyFont="1" applyFill="1" applyBorder="1" applyAlignment="1">
      <alignment horizontal="center" vertical="center" wrapText="1"/>
    </xf>
    <xf numFmtId="0" fontId="57" fillId="0" borderId="16" xfId="3006" applyFont="1" applyFill="1" applyBorder="1" applyAlignment="1">
      <alignment horizontal="center" vertical="center" wrapText="1"/>
    </xf>
    <xf numFmtId="0" fontId="57" fillId="0" borderId="17" xfId="3006" applyFont="1" applyFill="1" applyBorder="1" applyAlignment="1">
      <alignment horizontal="center" vertical="center" wrapText="1"/>
    </xf>
    <xf numFmtId="0" fontId="58" fillId="0" borderId="0" xfId="3006" applyFont="1" applyFill="1" applyAlignment="1">
      <alignment horizontal="center"/>
    </xf>
    <xf numFmtId="0" fontId="50" fillId="0" borderId="0" xfId="3006" applyFont="1" applyFill="1" applyAlignment="1">
      <alignment horizontal="center"/>
    </xf>
    <xf numFmtId="0" fontId="58" fillId="0" borderId="19" xfId="3006" applyFont="1" applyFill="1" applyBorder="1" applyAlignment="1">
      <alignment horizontal="center" vertical="center"/>
    </xf>
    <xf numFmtId="0" fontId="58" fillId="0" borderId="20" xfId="3006" applyFont="1" applyFill="1" applyBorder="1" applyAlignment="1">
      <alignment horizontal="center" vertical="center"/>
    </xf>
    <xf numFmtId="0" fontId="51" fillId="0" borderId="15" xfId="3006" applyFont="1" applyFill="1" applyBorder="1" applyAlignment="1">
      <alignment horizontal="center" vertical="center" wrapText="1"/>
    </xf>
    <xf numFmtId="0" fontId="51" fillId="0" borderId="17" xfId="3006" applyFont="1" applyFill="1" applyBorder="1" applyAlignment="1">
      <alignment horizontal="center" vertical="center" wrapText="1"/>
    </xf>
    <xf numFmtId="49" fontId="58" fillId="34" borderId="14" xfId="3006" applyNumberFormat="1" applyFont="1" applyFill="1" applyBorder="1" applyAlignment="1">
      <alignment horizontal="center" vertical="center" wrapText="1"/>
    </xf>
    <xf numFmtId="49" fontId="58" fillId="34" borderId="21" xfId="3006" applyNumberFormat="1" applyFont="1" applyFill="1" applyBorder="1" applyAlignment="1">
      <alignment horizontal="center" vertical="center" wrapText="1"/>
    </xf>
    <xf numFmtId="49" fontId="58" fillId="34" borderId="22" xfId="3006" applyNumberFormat="1" applyFont="1" applyFill="1" applyBorder="1" applyAlignment="1">
      <alignment horizontal="center" vertical="center" wrapText="1"/>
    </xf>
    <xf numFmtId="1" fontId="51" fillId="36" borderId="23" xfId="3006" applyNumberFormat="1" applyFont="1" applyFill="1" applyBorder="1" applyAlignment="1">
      <alignment horizontal="center" vertical="center"/>
    </xf>
    <xf numFmtId="1" fontId="51" fillId="36" borderId="26" xfId="3006" applyNumberFormat="1" applyFont="1" applyFill="1" applyBorder="1" applyAlignment="1">
      <alignment horizontal="center" vertical="center"/>
    </xf>
    <xf numFmtId="1" fontId="51" fillId="36" borderId="18" xfId="3006" applyNumberFormat="1" applyFont="1" applyFill="1" applyBorder="1" applyAlignment="1">
      <alignment horizontal="center" vertical="center"/>
    </xf>
    <xf numFmtId="1" fontId="51" fillId="36" borderId="24" xfId="3006" applyNumberFormat="1" applyFont="1" applyFill="1" applyBorder="1" applyAlignment="1">
      <alignment horizontal="center" vertical="center"/>
    </xf>
    <xf numFmtId="1" fontId="51" fillId="36" borderId="0" xfId="3006" applyNumberFormat="1" applyFont="1" applyFill="1" applyBorder="1" applyAlignment="1">
      <alignment horizontal="center" vertical="center"/>
    </xf>
    <xf numFmtId="1" fontId="51" fillId="36" borderId="19" xfId="3006" applyNumberFormat="1" applyFont="1" applyFill="1" applyBorder="1" applyAlignment="1">
      <alignment horizontal="center" vertical="center"/>
    </xf>
    <xf numFmtId="1" fontId="51" fillId="36" borderId="25" xfId="3006" applyNumberFormat="1" applyFont="1" applyFill="1" applyBorder="1" applyAlignment="1">
      <alignment horizontal="center" vertical="center"/>
    </xf>
    <xf numFmtId="1" fontId="51" fillId="36" borderId="27" xfId="3006" applyNumberFormat="1" applyFont="1" applyFill="1" applyBorder="1" applyAlignment="1">
      <alignment horizontal="center" vertical="center"/>
    </xf>
    <xf numFmtId="1" fontId="51" fillId="36" borderId="20" xfId="3006" applyNumberFormat="1" applyFont="1" applyFill="1" applyBorder="1" applyAlignment="1">
      <alignment horizontal="center" vertical="center"/>
    </xf>
    <xf numFmtId="1" fontId="51" fillId="39" borderId="23" xfId="3006" applyNumberFormat="1" applyFont="1" applyFill="1" applyBorder="1" applyAlignment="1">
      <alignment horizontal="center" vertical="center"/>
    </xf>
    <xf numFmtId="1" fontId="51" fillId="39" borderId="26" xfId="3006" applyNumberFormat="1" applyFont="1" applyFill="1" applyBorder="1" applyAlignment="1">
      <alignment horizontal="center" vertical="center"/>
    </xf>
    <xf numFmtId="1" fontId="51" fillId="39" borderId="18" xfId="3006" applyNumberFormat="1" applyFont="1" applyFill="1" applyBorder="1" applyAlignment="1">
      <alignment horizontal="center" vertical="center"/>
    </xf>
    <xf numFmtId="1" fontId="51" fillId="39" borderId="24" xfId="3006" applyNumberFormat="1" applyFont="1" applyFill="1" applyBorder="1" applyAlignment="1">
      <alignment horizontal="center" vertical="center"/>
    </xf>
    <xf numFmtId="1" fontId="51" fillId="39" borderId="0" xfId="3006" applyNumberFormat="1" applyFont="1" applyFill="1" applyBorder="1" applyAlignment="1">
      <alignment horizontal="center" vertical="center"/>
    </xf>
    <xf numFmtId="1" fontId="51" fillId="39" borderId="19" xfId="3006" applyNumberFormat="1" applyFont="1" applyFill="1" applyBorder="1" applyAlignment="1">
      <alignment horizontal="center" vertical="center"/>
    </xf>
    <xf numFmtId="1" fontId="51" fillId="39" borderId="25" xfId="3006" applyNumberFormat="1" applyFont="1" applyFill="1" applyBorder="1" applyAlignment="1">
      <alignment horizontal="center" vertical="center"/>
    </xf>
    <xf numFmtId="1" fontId="51" fillId="39" borderId="27" xfId="3006" applyNumberFormat="1" applyFont="1" applyFill="1" applyBorder="1" applyAlignment="1">
      <alignment horizontal="center" vertical="center"/>
    </xf>
    <xf numFmtId="1" fontId="51" fillId="39" borderId="20" xfId="3006" applyNumberFormat="1" applyFont="1" applyFill="1" applyBorder="1" applyAlignment="1">
      <alignment horizontal="center" vertical="center"/>
    </xf>
    <xf numFmtId="0" fontId="51" fillId="34" borderId="14" xfId="3006" applyFont="1" applyFill="1" applyBorder="1" applyAlignment="1">
      <alignment horizontal="center" vertical="center" wrapText="1"/>
    </xf>
    <xf numFmtId="0" fontId="51" fillId="34" borderId="21" xfId="3006" applyFont="1" applyFill="1" applyBorder="1" applyAlignment="1">
      <alignment horizontal="center" vertical="center" wrapText="1"/>
    </xf>
    <xf numFmtId="0" fontId="51" fillId="34" borderId="22" xfId="3006" applyFont="1" applyFill="1" applyBorder="1" applyAlignment="1">
      <alignment horizontal="center" vertical="center" wrapText="1"/>
    </xf>
    <xf numFmtId="0" fontId="51" fillId="0" borderId="23" xfId="3006" applyFont="1" applyFill="1" applyBorder="1" applyAlignment="1">
      <alignment horizontal="center" vertical="center" wrapText="1"/>
    </xf>
    <xf numFmtId="0" fontId="51" fillId="0" borderId="26" xfId="3006" applyFont="1" applyFill="1" applyBorder="1" applyAlignment="1">
      <alignment horizontal="center" vertical="center" wrapText="1"/>
    </xf>
    <xf numFmtId="0" fontId="51" fillId="0" borderId="18" xfId="3006" applyFont="1" applyFill="1" applyBorder="1" applyAlignment="1">
      <alignment horizontal="center" vertical="center" wrapText="1"/>
    </xf>
    <xf numFmtId="0" fontId="51" fillId="0" borderId="25" xfId="3006" applyFont="1" applyFill="1" applyBorder="1" applyAlignment="1">
      <alignment horizontal="center" vertical="center" wrapText="1"/>
    </xf>
    <xf numFmtId="0" fontId="51" fillId="0" borderId="27" xfId="3006" applyFont="1" applyFill="1" applyBorder="1" applyAlignment="1">
      <alignment horizontal="center" vertical="center" wrapText="1"/>
    </xf>
    <xf numFmtId="0" fontId="51" fillId="0" borderId="20" xfId="3006" applyFont="1" applyFill="1" applyBorder="1" applyAlignment="1">
      <alignment horizontal="center" vertical="center" wrapText="1"/>
    </xf>
    <xf numFmtId="0" fontId="51" fillId="0" borderId="14" xfId="3006" applyFont="1" applyBorder="1" applyAlignment="1">
      <alignment horizontal="center" vertical="center" wrapText="1"/>
    </xf>
    <xf numFmtId="0" fontId="4" fillId="0" borderId="14" xfId="3006" applyFont="1" applyBorder="1" applyAlignment="1">
      <alignment horizontal="center" vertical="center" wrapText="1"/>
    </xf>
    <xf numFmtId="0" fontId="58" fillId="0" borderId="18" xfId="3006" applyFont="1" applyFill="1" applyBorder="1" applyAlignment="1">
      <alignment horizontal="center" vertical="center"/>
    </xf>
    <xf numFmtId="0" fontId="97" fillId="0" borderId="0" xfId="3006" applyFont="1" applyFill="1" applyAlignment="1">
      <alignment horizontal="left" wrapText="1"/>
    </xf>
    <xf numFmtId="0" fontId="97" fillId="0" borderId="0" xfId="3006" applyFont="1" applyFill="1" applyAlignment="1">
      <alignment horizontal="left"/>
    </xf>
    <xf numFmtId="0" fontId="97" fillId="0" borderId="0" xfId="3006" applyFont="1" applyFill="1" applyAlignment="1">
      <alignment horizontal="center" vertical="center"/>
    </xf>
    <xf numFmtId="0" fontId="96" fillId="0" borderId="13" xfId="3006" applyFont="1" applyFill="1" applyBorder="1" applyAlignment="1">
      <alignment horizontal="center" vertical="center" textRotation="90" wrapText="1"/>
    </xf>
    <xf numFmtId="0" fontId="57" fillId="0" borderId="23" xfId="3006" applyFont="1" applyFill="1" applyBorder="1" applyAlignment="1">
      <alignment horizontal="center" vertical="center" textRotation="255" wrapText="1"/>
    </xf>
    <xf numFmtId="0" fontId="57" fillId="0" borderId="18" xfId="3006" applyFont="1" applyFill="1" applyBorder="1" applyAlignment="1">
      <alignment horizontal="center" vertical="center" textRotation="255" wrapText="1"/>
    </xf>
    <xf numFmtId="0" fontId="57" fillId="0" borderId="24" xfId="3006" applyFont="1" applyFill="1" applyBorder="1" applyAlignment="1">
      <alignment horizontal="center" vertical="center" textRotation="255" wrapText="1"/>
    </xf>
    <xf numFmtId="0" fontId="57" fillId="0" borderId="19" xfId="3006" applyFont="1" applyFill="1" applyBorder="1" applyAlignment="1">
      <alignment horizontal="center" vertical="center" textRotation="255" wrapText="1"/>
    </xf>
    <xf numFmtId="0" fontId="58" fillId="0" borderId="23" xfId="3006" applyFont="1" applyFill="1" applyBorder="1" applyAlignment="1">
      <alignment horizontal="center" vertical="center" textRotation="255" wrapText="1"/>
    </xf>
    <xf numFmtId="0" fontId="58" fillId="0" borderId="18" xfId="3006" applyFont="1" applyFill="1" applyBorder="1" applyAlignment="1">
      <alignment horizontal="center" vertical="center" textRotation="255" wrapText="1"/>
    </xf>
    <xf numFmtId="0" fontId="58" fillId="0" borderId="24" xfId="3006" applyFont="1" applyFill="1" applyBorder="1" applyAlignment="1">
      <alignment horizontal="center" vertical="center" textRotation="255" wrapText="1"/>
    </xf>
    <xf numFmtId="0" fontId="58" fillId="0" borderId="19" xfId="3006" applyFont="1" applyFill="1" applyBorder="1" applyAlignment="1">
      <alignment horizontal="center" vertical="center" textRotation="255" wrapText="1"/>
    </xf>
    <xf numFmtId="0" fontId="58" fillId="0" borderId="25" xfId="3006" applyFont="1" applyFill="1" applyBorder="1" applyAlignment="1">
      <alignment horizontal="center" vertical="center" textRotation="255" wrapText="1"/>
    </xf>
    <xf numFmtId="0" fontId="58" fillId="0" borderId="20" xfId="3006" applyFont="1" applyFill="1" applyBorder="1" applyAlignment="1">
      <alignment horizontal="center" vertical="center" textRotation="255" wrapText="1"/>
    </xf>
    <xf numFmtId="0" fontId="57" fillId="0" borderId="13" xfId="3006" applyFont="1" applyFill="1" applyBorder="1" applyAlignment="1">
      <alignment horizontal="center" vertical="center" textRotation="255" wrapText="1"/>
    </xf>
    <xf numFmtId="0" fontId="51" fillId="0" borderId="0" xfId="3006" applyFont="1" applyFill="1" applyAlignment="1">
      <alignment horizontal="center"/>
    </xf>
    <xf numFmtId="0" fontId="57" fillId="0" borderId="0" xfId="3006" applyFont="1" applyFill="1" applyAlignment="1">
      <alignment horizontal="center"/>
    </xf>
    <xf numFmtId="0" fontId="51" fillId="0" borderId="13" xfId="3006" applyFont="1" applyFill="1" applyBorder="1" applyAlignment="1">
      <alignment horizontal="center" vertical="center" wrapText="1"/>
    </xf>
    <xf numFmtId="0" fontId="51" fillId="34" borderId="13" xfId="3006" applyFont="1" applyFill="1" applyBorder="1" applyAlignment="1">
      <alignment horizontal="center" vertical="center" wrapText="1"/>
    </xf>
    <xf numFmtId="0" fontId="57" fillId="36" borderId="16" xfId="3006" applyFont="1" applyFill="1" applyBorder="1" applyAlignment="1">
      <alignment horizontal="center" vertical="center"/>
    </xf>
    <xf numFmtId="0" fontId="58" fillId="36" borderId="16" xfId="0" applyFont="1" applyFill="1" applyBorder="1" applyAlignment="1">
      <alignment horizontal="center" vertical="center" textRotation="90"/>
    </xf>
    <xf numFmtId="0" fontId="51" fillId="0" borderId="13" xfId="3006" applyFont="1" applyBorder="1" applyAlignment="1">
      <alignment horizontal="center" vertical="center" wrapText="1"/>
    </xf>
    <xf numFmtId="0" fontId="58" fillId="0" borderId="13" xfId="3006" applyFont="1" applyFill="1" applyBorder="1" applyAlignment="1">
      <alignment horizontal="center" vertical="center"/>
    </xf>
    <xf numFmtId="0" fontId="6" fillId="0" borderId="0" xfId="3006" applyFont="1" applyFill="1" applyAlignment="1">
      <alignment horizontal="center"/>
    </xf>
    <xf numFmtId="0" fontId="4" fillId="34" borderId="13" xfId="3006" applyFont="1" applyFill="1" applyBorder="1" applyAlignment="1">
      <alignment horizontal="center" vertical="center" wrapText="1"/>
    </xf>
    <xf numFmtId="0" fontId="4" fillId="0" borderId="13" xfId="3006" applyFont="1" applyFill="1" applyBorder="1" applyAlignment="1">
      <alignment horizontal="center" vertical="center" wrapText="1"/>
    </xf>
    <xf numFmtId="49" fontId="7" fillId="34" borderId="14" xfId="3006" applyNumberFormat="1" applyFont="1" applyFill="1" applyBorder="1" applyAlignment="1">
      <alignment horizontal="center" vertical="center" wrapText="1"/>
    </xf>
    <xf numFmtId="49" fontId="7" fillId="34" borderId="21" xfId="3006" applyNumberFormat="1" applyFont="1" applyFill="1" applyBorder="1" applyAlignment="1">
      <alignment horizontal="center" vertical="center" wrapText="1"/>
    </xf>
    <xf numFmtId="49" fontId="7" fillId="34" borderId="22" xfId="3006" applyNumberFormat="1" applyFont="1" applyFill="1" applyBorder="1" applyAlignment="1">
      <alignment horizontal="center" vertical="center" wrapText="1"/>
    </xf>
    <xf numFmtId="0" fontId="7" fillId="0" borderId="0" xfId="3006" applyFont="1" applyFill="1" applyAlignment="1">
      <alignment horizontal="center"/>
    </xf>
    <xf numFmtId="0" fontId="4" fillId="0" borderId="0" xfId="3006" applyFont="1" applyFill="1" applyAlignment="1">
      <alignment horizontal="center"/>
    </xf>
    <xf numFmtId="0" fontId="53" fillId="0" borderId="18" xfId="3006" applyFont="1" applyFill="1" applyBorder="1" applyAlignment="1">
      <alignment horizontal="center"/>
    </xf>
    <xf numFmtId="0" fontId="53" fillId="0" borderId="19" xfId="3006" applyFont="1" applyFill="1" applyBorder="1" applyAlignment="1">
      <alignment horizontal="center"/>
    </xf>
    <xf numFmtId="0" fontId="7" fillId="0" borderId="0" xfId="3006" applyFont="1" applyFill="1" applyAlignment="1">
      <alignment horizontal="center" vertical="center"/>
    </xf>
    <xf numFmtId="0" fontId="4" fillId="34" borderId="14" xfId="3006" applyFont="1" applyFill="1" applyBorder="1" applyAlignment="1">
      <alignment horizontal="center" vertical="center" wrapText="1"/>
    </xf>
    <xf numFmtId="0" fontId="4" fillId="34" borderId="21" xfId="3006" applyFont="1" applyFill="1" applyBorder="1" applyAlignment="1">
      <alignment horizontal="center" vertical="center" wrapText="1"/>
    </xf>
    <xf numFmtId="0" fontId="4" fillId="34" borderId="22" xfId="3006" applyFont="1" applyFill="1" applyBorder="1" applyAlignment="1">
      <alignment horizontal="center" vertical="center" wrapText="1"/>
    </xf>
    <xf numFmtId="0" fontId="4" fillId="0" borderId="15" xfId="3006" applyFont="1" applyFill="1" applyBorder="1" applyAlignment="1">
      <alignment horizontal="center" vertical="center" wrapText="1"/>
    </xf>
    <xf numFmtId="0" fontId="4" fillId="0" borderId="17" xfId="3006" applyFont="1" applyFill="1" applyBorder="1" applyAlignment="1">
      <alignment horizontal="center" vertical="center" wrapText="1"/>
    </xf>
    <xf numFmtId="0" fontId="57" fillId="0" borderId="25" xfId="3006" applyFont="1" applyFill="1" applyBorder="1" applyAlignment="1">
      <alignment horizontal="center" vertical="center" textRotation="255" wrapText="1"/>
    </xf>
    <xf numFmtId="0" fontId="57" fillId="0" borderId="20" xfId="3006" applyFont="1" applyFill="1" applyBorder="1" applyAlignment="1">
      <alignment horizontal="center" vertical="center" textRotation="255" wrapText="1"/>
    </xf>
    <xf numFmtId="0" fontId="96" fillId="0" borderId="24" xfId="3006" applyFont="1" applyFill="1" applyBorder="1" applyAlignment="1">
      <alignment horizontal="center" vertical="center" textRotation="90" wrapText="1"/>
    </xf>
    <xf numFmtId="0" fontId="79" fillId="41" borderId="0" xfId="0" applyFont="1" applyFill="1" applyAlignment="1">
      <alignment horizontal="center"/>
    </xf>
    <xf numFmtId="0" fontId="2" fillId="0" borderId="13" xfId="0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49" fontId="2" fillId="0" borderId="17" xfId="0" applyNumberFormat="1" applyFont="1" applyBorder="1" applyAlignment="1">
      <alignment horizontal="center" vertical="center"/>
    </xf>
    <xf numFmtId="0" fontId="84" fillId="43" borderId="13" xfId="0" applyFont="1" applyFill="1" applyBorder="1" applyAlignment="1">
      <alignment horizontal="center" vertical="center"/>
    </xf>
    <xf numFmtId="49" fontId="84" fillId="43" borderId="13" xfId="0" applyNumberFormat="1" applyFont="1" applyFill="1" applyBorder="1" applyAlignment="1">
      <alignment horizontal="center" vertical="center"/>
    </xf>
  </cellXfs>
  <cellStyles count="3038">
    <cellStyle name="?’ћѓћ‚›‰" xfId="1"/>
    <cellStyle name="”?ќђќ‘ћ‚›‰" xfId="2"/>
    <cellStyle name="”?љ‘?ђћ‚ђќќ›‰" xfId="3"/>
    <cellStyle name="„…ќ…†ќ›‰" xfId="4"/>
    <cellStyle name="„ђ’ђ" xfId="5"/>
    <cellStyle name="‡ђѓћ‹ћ‚ћљ1" xfId="6"/>
    <cellStyle name="‡ђѓћ‹ћ‚ћљ2" xfId="7"/>
    <cellStyle name="20% - Акцент1 2" xfId="8"/>
    <cellStyle name="20% - Акцент2 2" xfId="9"/>
    <cellStyle name="20% - Акцент3 2" xfId="10"/>
    <cellStyle name="20% - Акцент4 2" xfId="11"/>
    <cellStyle name="20% - Акцент5 2" xfId="12"/>
    <cellStyle name="20% - Акцент6 2" xfId="13"/>
    <cellStyle name="20% – Акцентування1" xfId="14"/>
    <cellStyle name="20% – Акцентування2" xfId="15"/>
    <cellStyle name="20% – Акцентування3" xfId="16"/>
    <cellStyle name="20% – Акцентування4" xfId="17"/>
    <cellStyle name="20% – Акцентування5" xfId="18"/>
    <cellStyle name="20% – Акцентування6" xfId="19"/>
    <cellStyle name="40% - Акцент1 2" xfId="20"/>
    <cellStyle name="40% - Акцент2 2" xfId="21"/>
    <cellStyle name="40% - Акцент3 2" xfId="22"/>
    <cellStyle name="40% - Акцент4 2" xfId="23"/>
    <cellStyle name="40% - Акцент5 2" xfId="24"/>
    <cellStyle name="40% - Акцент6 2" xfId="25"/>
    <cellStyle name="40% – Акцентування1" xfId="26"/>
    <cellStyle name="40% – Акцентування2" xfId="27"/>
    <cellStyle name="40% – Акцентування3" xfId="28"/>
    <cellStyle name="40% – Акцентування4" xfId="29"/>
    <cellStyle name="40% – Акцентування5" xfId="30"/>
    <cellStyle name="40% – Акцентування6" xfId="31"/>
    <cellStyle name="60% - Акцент1 2" xfId="32"/>
    <cellStyle name="60% - Акцент2 2" xfId="33"/>
    <cellStyle name="60% - Акцент3 2" xfId="34"/>
    <cellStyle name="60% - Акцент4 2" xfId="35"/>
    <cellStyle name="60% - Акцент5 2" xfId="36"/>
    <cellStyle name="60% - Акцент6 2" xfId="37"/>
    <cellStyle name="60% – Акцентування1" xfId="38"/>
    <cellStyle name="60% – Акцентування2" xfId="39"/>
    <cellStyle name="60% – Акцентування3" xfId="40"/>
    <cellStyle name="60% – Акцентування4" xfId="41"/>
    <cellStyle name="60% – Акцентування5" xfId="42"/>
    <cellStyle name="60% – Акцентування6" xfId="43"/>
    <cellStyle name="F2" xfId="44"/>
    <cellStyle name="F3" xfId="45"/>
    <cellStyle name="F4" xfId="46"/>
    <cellStyle name="F5" xfId="47"/>
    <cellStyle name="F6" xfId="48"/>
    <cellStyle name="F7" xfId="49"/>
    <cellStyle name="F8" xfId="50"/>
    <cellStyle name="Iau?iue_ZV1PIV98" xfId="51"/>
    <cellStyle name="Normal_meresha_07" xfId="52"/>
    <cellStyle name="Акцент1 2" xfId="53"/>
    <cellStyle name="Акцент2 2" xfId="54"/>
    <cellStyle name="Акцент3 2" xfId="55"/>
    <cellStyle name="Акцент4 2" xfId="56"/>
    <cellStyle name="Акцент5 2" xfId="57"/>
    <cellStyle name="Акцент6 2" xfId="58"/>
    <cellStyle name="Акцентування1" xfId="59"/>
    <cellStyle name="Акцентування2" xfId="60"/>
    <cellStyle name="Акцентування3" xfId="61"/>
    <cellStyle name="Акцентування4" xfId="62"/>
    <cellStyle name="Акцентування5" xfId="63"/>
    <cellStyle name="Акцентування6" xfId="64"/>
    <cellStyle name="Ввід" xfId="65"/>
    <cellStyle name="Ввод  2" xfId="66"/>
    <cellStyle name="Вывод 2" xfId="67"/>
    <cellStyle name="Вычисление 2" xfId="68"/>
    <cellStyle name="Добре" xfId="69"/>
    <cellStyle name="Заголовок 1 2" xfId="70"/>
    <cellStyle name="Заголовок 2 2" xfId="71"/>
    <cellStyle name="Заголовок 3 2" xfId="72"/>
    <cellStyle name="Заголовок 4 2" xfId="73"/>
    <cellStyle name="Зв'язана клітинка" xfId="74"/>
    <cellStyle name="Итог 2" xfId="75"/>
    <cellStyle name="Контрольна клітинка" xfId="76"/>
    <cellStyle name="Контрольная ячейка 2" xfId="77"/>
    <cellStyle name="Назва" xfId="78"/>
    <cellStyle name="Название 2" xfId="79"/>
    <cellStyle name="Нейтральный 2" xfId="80"/>
    <cellStyle name="Обчислення" xfId="81"/>
    <cellStyle name="Обычный" xfId="0" builtinId="0"/>
    <cellStyle name="Обычный 10" xfId="82"/>
    <cellStyle name="Обычный 100" xfId="83"/>
    <cellStyle name="Обычный 100 10" xfId="84"/>
    <cellStyle name="Обычный 100 100" xfId="85"/>
    <cellStyle name="Обычный 100 101" xfId="86"/>
    <cellStyle name="Обычный 100 102" xfId="87"/>
    <cellStyle name="Обычный 100 103" xfId="88"/>
    <cellStyle name="Обычный 100 104" xfId="89"/>
    <cellStyle name="Обычный 100 105" xfId="90"/>
    <cellStyle name="Обычный 100 106" xfId="91"/>
    <cellStyle name="Обычный 100 107" xfId="92"/>
    <cellStyle name="Обычный 100 108" xfId="93"/>
    <cellStyle name="Обычный 100 109" xfId="94"/>
    <cellStyle name="Обычный 100 11" xfId="95"/>
    <cellStyle name="Обычный 100 110" xfId="96"/>
    <cellStyle name="Обычный 100 111" xfId="97"/>
    <cellStyle name="Обычный 100 112" xfId="98"/>
    <cellStyle name="Обычный 100 113" xfId="99"/>
    <cellStyle name="Обычный 100 114" xfId="100"/>
    <cellStyle name="Обычный 100 115" xfId="101"/>
    <cellStyle name="Обычный 100 116" xfId="102"/>
    <cellStyle name="Обычный 100 117" xfId="103"/>
    <cellStyle name="Обычный 100 118" xfId="104"/>
    <cellStyle name="Обычный 100 119" xfId="105"/>
    <cellStyle name="Обычный 100 12" xfId="106"/>
    <cellStyle name="Обычный 100 120" xfId="107"/>
    <cellStyle name="Обычный 100 121" xfId="108"/>
    <cellStyle name="Обычный 100 122" xfId="109"/>
    <cellStyle name="Обычный 100 123" xfId="110"/>
    <cellStyle name="Обычный 100 124" xfId="111"/>
    <cellStyle name="Обычный 100 125" xfId="112"/>
    <cellStyle name="Обычный 100 126" xfId="113"/>
    <cellStyle name="Обычный 100 127" xfId="114"/>
    <cellStyle name="Обычный 100 128" xfId="115"/>
    <cellStyle name="Обычный 100 129" xfId="116"/>
    <cellStyle name="Обычный 100 13" xfId="117"/>
    <cellStyle name="Обычный 100 130" xfId="118"/>
    <cellStyle name="Обычный 100 131" xfId="119"/>
    <cellStyle name="Обычный 100 132" xfId="120"/>
    <cellStyle name="Обычный 100 133" xfId="121"/>
    <cellStyle name="Обычный 100 134" xfId="122"/>
    <cellStyle name="Обычный 100 135" xfId="123"/>
    <cellStyle name="Обычный 100 14" xfId="124"/>
    <cellStyle name="Обычный 100 15" xfId="125"/>
    <cellStyle name="Обычный 100 16" xfId="126"/>
    <cellStyle name="Обычный 100 17" xfId="127"/>
    <cellStyle name="Обычный 100 18" xfId="128"/>
    <cellStyle name="Обычный 100 19" xfId="129"/>
    <cellStyle name="Обычный 100 2" xfId="130"/>
    <cellStyle name="Обычный 100 20" xfId="131"/>
    <cellStyle name="Обычный 100 21" xfId="132"/>
    <cellStyle name="Обычный 100 22" xfId="133"/>
    <cellStyle name="Обычный 100 23" xfId="134"/>
    <cellStyle name="Обычный 100 24" xfId="135"/>
    <cellStyle name="Обычный 100 25" xfId="136"/>
    <cellStyle name="Обычный 100 26" xfId="137"/>
    <cellStyle name="Обычный 100 27" xfId="138"/>
    <cellStyle name="Обычный 100 28" xfId="139"/>
    <cellStyle name="Обычный 100 29" xfId="140"/>
    <cellStyle name="Обычный 100 3" xfId="141"/>
    <cellStyle name="Обычный 100 30" xfId="142"/>
    <cellStyle name="Обычный 100 31" xfId="143"/>
    <cellStyle name="Обычный 100 32" xfId="144"/>
    <cellStyle name="Обычный 100 33" xfId="145"/>
    <cellStyle name="Обычный 100 34" xfId="146"/>
    <cellStyle name="Обычный 100 35" xfId="147"/>
    <cellStyle name="Обычный 100 36" xfId="148"/>
    <cellStyle name="Обычный 100 37" xfId="149"/>
    <cellStyle name="Обычный 100 38" xfId="150"/>
    <cellStyle name="Обычный 100 39" xfId="151"/>
    <cellStyle name="Обычный 100 4" xfId="152"/>
    <cellStyle name="Обычный 100 40" xfId="153"/>
    <cellStyle name="Обычный 100 41" xfId="154"/>
    <cellStyle name="Обычный 100 42" xfId="155"/>
    <cellStyle name="Обычный 100 43" xfId="156"/>
    <cellStyle name="Обычный 100 44" xfId="157"/>
    <cellStyle name="Обычный 100 45" xfId="158"/>
    <cellStyle name="Обычный 100 46" xfId="159"/>
    <cellStyle name="Обычный 100 47" xfId="160"/>
    <cellStyle name="Обычный 100 48" xfId="161"/>
    <cellStyle name="Обычный 100 49" xfId="162"/>
    <cellStyle name="Обычный 100 5" xfId="163"/>
    <cellStyle name="Обычный 100 50" xfId="164"/>
    <cellStyle name="Обычный 100 51" xfId="165"/>
    <cellStyle name="Обычный 100 52" xfId="166"/>
    <cellStyle name="Обычный 100 53" xfId="167"/>
    <cellStyle name="Обычный 100 54" xfId="168"/>
    <cellStyle name="Обычный 100 55" xfId="169"/>
    <cellStyle name="Обычный 100 56" xfId="170"/>
    <cellStyle name="Обычный 100 57" xfId="171"/>
    <cellStyle name="Обычный 100 58" xfId="172"/>
    <cellStyle name="Обычный 100 59" xfId="173"/>
    <cellStyle name="Обычный 100 6" xfId="174"/>
    <cellStyle name="Обычный 100 60" xfId="175"/>
    <cellStyle name="Обычный 100 61" xfId="176"/>
    <cellStyle name="Обычный 100 62" xfId="177"/>
    <cellStyle name="Обычный 100 63" xfId="178"/>
    <cellStyle name="Обычный 100 64" xfId="179"/>
    <cellStyle name="Обычный 100 65" xfId="180"/>
    <cellStyle name="Обычный 100 66" xfId="181"/>
    <cellStyle name="Обычный 100 67" xfId="182"/>
    <cellStyle name="Обычный 100 68" xfId="183"/>
    <cellStyle name="Обычный 100 69" xfId="184"/>
    <cellStyle name="Обычный 100 7" xfId="185"/>
    <cellStyle name="Обычный 100 70" xfId="186"/>
    <cellStyle name="Обычный 100 71" xfId="187"/>
    <cellStyle name="Обычный 100 72" xfId="188"/>
    <cellStyle name="Обычный 100 73" xfId="189"/>
    <cellStyle name="Обычный 100 74" xfId="190"/>
    <cellStyle name="Обычный 100 75" xfId="191"/>
    <cellStyle name="Обычный 100 76" xfId="192"/>
    <cellStyle name="Обычный 100 77" xfId="193"/>
    <cellStyle name="Обычный 100 78" xfId="194"/>
    <cellStyle name="Обычный 100 79" xfId="195"/>
    <cellStyle name="Обычный 100 8" xfId="196"/>
    <cellStyle name="Обычный 100 80" xfId="197"/>
    <cellStyle name="Обычный 100 81" xfId="198"/>
    <cellStyle name="Обычный 100 82" xfId="199"/>
    <cellStyle name="Обычный 100 83" xfId="200"/>
    <cellStyle name="Обычный 100 84" xfId="201"/>
    <cellStyle name="Обычный 100 85" xfId="202"/>
    <cellStyle name="Обычный 100 86" xfId="203"/>
    <cellStyle name="Обычный 100 87" xfId="204"/>
    <cellStyle name="Обычный 100 88" xfId="205"/>
    <cellStyle name="Обычный 100 89" xfId="206"/>
    <cellStyle name="Обычный 100 9" xfId="207"/>
    <cellStyle name="Обычный 100 90" xfId="208"/>
    <cellStyle name="Обычный 100 91" xfId="209"/>
    <cellStyle name="Обычный 100 92" xfId="210"/>
    <cellStyle name="Обычный 100 93" xfId="211"/>
    <cellStyle name="Обычный 100 94" xfId="212"/>
    <cellStyle name="Обычный 100 95" xfId="213"/>
    <cellStyle name="Обычный 100 96" xfId="214"/>
    <cellStyle name="Обычный 100 97" xfId="215"/>
    <cellStyle name="Обычный 100 98" xfId="216"/>
    <cellStyle name="Обычный 100 99" xfId="217"/>
    <cellStyle name="Обычный 101" xfId="218"/>
    <cellStyle name="Обычный 102" xfId="219"/>
    <cellStyle name="Обычный 103" xfId="220"/>
    <cellStyle name="Обычный 104" xfId="221"/>
    <cellStyle name="Обычный 105" xfId="222"/>
    <cellStyle name="Обычный 106" xfId="223"/>
    <cellStyle name="Обычный 107" xfId="224"/>
    <cellStyle name="Обычный 108" xfId="225"/>
    <cellStyle name="Обычный 109" xfId="226"/>
    <cellStyle name="Обычный 11" xfId="227"/>
    <cellStyle name="Обычный 110" xfId="228"/>
    <cellStyle name="Обычный 111" xfId="229"/>
    <cellStyle name="Обычный 112" xfId="230"/>
    <cellStyle name="Обычный 113" xfId="231"/>
    <cellStyle name="Обычный 114" xfId="232"/>
    <cellStyle name="Обычный 115" xfId="233"/>
    <cellStyle name="Обычный 116" xfId="234"/>
    <cellStyle name="Обычный 117" xfId="235"/>
    <cellStyle name="Обычный 118" xfId="236"/>
    <cellStyle name="Обычный 119" xfId="237"/>
    <cellStyle name="Обычный 12" xfId="238"/>
    <cellStyle name="Обычный 12 10" xfId="239"/>
    <cellStyle name="Обычный 12 100" xfId="240"/>
    <cellStyle name="Обычный 12 101" xfId="241"/>
    <cellStyle name="Обычный 12 102" xfId="242"/>
    <cellStyle name="Обычный 12 103" xfId="243"/>
    <cellStyle name="Обычный 12 104" xfId="244"/>
    <cellStyle name="Обычный 12 105" xfId="245"/>
    <cellStyle name="Обычный 12 106" xfId="246"/>
    <cellStyle name="Обычный 12 107" xfId="247"/>
    <cellStyle name="Обычный 12 108" xfId="248"/>
    <cellStyle name="Обычный 12 109" xfId="249"/>
    <cellStyle name="Обычный 12 11" xfId="250"/>
    <cellStyle name="Обычный 12 110" xfId="251"/>
    <cellStyle name="Обычный 12 111" xfId="252"/>
    <cellStyle name="Обычный 12 112" xfId="253"/>
    <cellStyle name="Обычный 12 113" xfId="254"/>
    <cellStyle name="Обычный 12 114" xfId="255"/>
    <cellStyle name="Обычный 12 115" xfId="256"/>
    <cellStyle name="Обычный 12 116" xfId="257"/>
    <cellStyle name="Обычный 12 117" xfId="258"/>
    <cellStyle name="Обычный 12 118" xfId="259"/>
    <cellStyle name="Обычный 12 119" xfId="260"/>
    <cellStyle name="Обычный 12 12" xfId="261"/>
    <cellStyle name="Обычный 12 120" xfId="262"/>
    <cellStyle name="Обычный 12 121" xfId="263"/>
    <cellStyle name="Обычный 12 122" xfId="264"/>
    <cellStyle name="Обычный 12 123" xfId="265"/>
    <cellStyle name="Обычный 12 124" xfId="266"/>
    <cellStyle name="Обычный 12 125" xfId="267"/>
    <cellStyle name="Обычный 12 126" xfId="268"/>
    <cellStyle name="Обычный 12 127" xfId="269"/>
    <cellStyle name="Обычный 12 128" xfId="270"/>
    <cellStyle name="Обычный 12 129" xfId="271"/>
    <cellStyle name="Обычный 12 13" xfId="272"/>
    <cellStyle name="Обычный 12 130" xfId="273"/>
    <cellStyle name="Обычный 12 131" xfId="274"/>
    <cellStyle name="Обычный 12 132" xfId="275"/>
    <cellStyle name="Обычный 12 133" xfId="276"/>
    <cellStyle name="Обычный 12 134" xfId="277"/>
    <cellStyle name="Обычный 12 135" xfId="278"/>
    <cellStyle name="Обычный 12 14" xfId="279"/>
    <cellStyle name="Обычный 12 15" xfId="280"/>
    <cellStyle name="Обычный 12 16" xfId="281"/>
    <cellStyle name="Обычный 12 17" xfId="282"/>
    <cellStyle name="Обычный 12 18" xfId="283"/>
    <cellStyle name="Обычный 12 19" xfId="284"/>
    <cellStyle name="Обычный 12 2" xfId="285"/>
    <cellStyle name="Обычный 12 20" xfId="286"/>
    <cellStyle name="Обычный 12 21" xfId="287"/>
    <cellStyle name="Обычный 12 22" xfId="288"/>
    <cellStyle name="Обычный 12 23" xfId="289"/>
    <cellStyle name="Обычный 12 24" xfId="290"/>
    <cellStyle name="Обычный 12 25" xfId="291"/>
    <cellStyle name="Обычный 12 26" xfId="292"/>
    <cellStyle name="Обычный 12 27" xfId="293"/>
    <cellStyle name="Обычный 12 28" xfId="294"/>
    <cellStyle name="Обычный 12 29" xfId="295"/>
    <cellStyle name="Обычный 12 3" xfId="296"/>
    <cellStyle name="Обычный 12 30" xfId="297"/>
    <cellStyle name="Обычный 12 31" xfId="298"/>
    <cellStyle name="Обычный 12 32" xfId="299"/>
    <cellStyle name="Обычный 12 33" xfId="300"/>
    <cellStyle name="Обычный 12 34" xfId="301"/>
    <cellStyle name="Обычный 12 35" xfId="302"/>
    <cellStyle name="Обычный 12 36" xfId="303"/>
    <cellStyle name="Обычный 12 37" xfId="304"/>
    <cellStyle name="Обычный 12 38" xfId="305"/>
    <cellStyle name="Обычный 12 39" xfId="306"/>
    <cellStyle name="Обычный 12 4" xfId="307"/>
    <cellStyle name="Обычный 12 40" xfId="308"/>
    <cellStyle name="Обычный 12 41" xfId="309"/>
    <cellStyle name="Обычный 12 42" xfId="310"/>
    <cellStyle name="Обычный 12 43" xfId="311"/>
    <cellStyle name="Обычный 12 44" xfId="312"/>
    <cellStyle name="Обычный 12 45" xfId="313"/>
    <cellStyle name="Обычный 12 46" xfId="314"/>
    <cellStyle name="Обычный 12 47" xfId="315"/>
    <cellStyle name="Обычный 12 48" xfId="316"/>
    <cellStyle name="Обычный 12 49" xfId="317"/>
    <cellStyle name="Обычный 12 5" xfId="318"/>
    <cellStyle name="Обычный 12 50" xfId="319"/>
    <cellStyle name="Обычный 12 51" xfId="320"/>
    <cellStyle name="Обычный 12 52" xfId="321"/>
    <cellStyle name="Обычный 12 53" xfId="322"/>
    <cellStyle name="Обычный 12 54" xfId="323"/>
    <cellStyle name="Обычный 12 55" xfId="324"/>
    <cellStyle name="Обычный 12 56" xfId="325"/>
    <cellStyle name="Обычный 12 57" xfId="326"/>
    <cellStyle name="Обычный 12 58" xfId="327"/>
    <cellStyle name="Обычный 12 59" xfId="328"/>
    <cellStyle name="Обычный 12 6" xfId="329"/>
    <cellStyle name="Обычный 12 60" xfId="330"/>
    <cellStyle name="Обычный 12 61" xfId="331"/>
    <cellStyle name="Обычный 12 62" xfId="332"/>
    <cellStyle name="Обычный 12 63" xfId="333"/>
    <cellStyle name="Обычный 12 64" xfId="334"/>
    <cellStyle name="Обычный 12 65" xfId="335"/>
    <cellStyle name="Обычный 12 66" xfId="336"/>
    <cellStyle name="Обычный 12 67" xfId="337"/>
    <cellStyle name="Обычный 12 68" xfId="338"/>
    <cellStyle name="Обычный 12 69" xfId="339"/>
    <cellStyle name="Обычный 12 7" xfId="340"/>
    <cellStyle name="Обычный 12 70" xfId="341"/>
    <cellStyle name="Обычный 12 71" xfId="342"/>
    <cellStyle name="Обычный 12 72" xfId="343"/>
    <cellStyle name="Обычный 12 73" xfId="344"/>
    <cellStyle name="Обычный 12 74" xfId="345"/>
    <cellStyle name="Обычный 12 75" xfId="346"/>
    <cellStyle name="Обычный 12 76" xfId="347"/>
    <cellStyle name="Обычный 12 77" xfId="348"/>
    <cellStyle name="Обычный 12 78" xfId="349"/>
    <cellStyle name="Обычный 12 79" xfId="350"/>
    <cellStyle name="Обычный 12 8" xfId="351"/>
    <cellStyle name="Обычный 12 80" xfId="352"/>
    <cellStyle name="Обычный 12 81" xfId="353"/>
    <cellStyle name="Обычный 12 82" xfId="354"/>
    <cellStyle name="Обычный 12 83" xfId="355"/>
    <cellStyle name="Обычный 12 84" xfId="356"/>
    <cellStyle name="Обычный 12 85" xfId="357"/>
    <cellStyle name="Обычный 12 86" xfId="358"/>
    <cellStyle name="Обычный 12 87" xfId="359"/>
    <cellStyle name="Обычный 12 88" xfId="360"/>
    <cellStyle name="Обычный 12 89" xfId="361"/>
    <cellStyle name="Обычный 12 9" xfId="362"/>
    <cellStyle name="Обычный 12 90" xfId="363"/>
    <cellStyle name="Обычный 12 91" xfId="364"/>
    <cellStyle name="Обычный 12 92" xfId="365"/>
    <cellStyle name="Обычный 12 93" xfId="366"/>
    <cellStyle name="Обычный 12 94" xfId="367"/>
    <cellStyle name="Обычный 12 95" xfId="368"/>
    <cellStyle name="Обычный 12 96" xfId="369"/>
    <cellStyle name="Обычный 12 97" xfId="370"/>
    <cellStyle name="Обычный 12 98" xfId="371"/>
    <cellStyle name="Обычный 12 99" xfId="372"/>
    <cellStyle name="Обычный 120" xfId="373"/>
    <cellStyle name="Обычный 120 10" xfId="374"/>
    <cellStyle name="Обычный 120 100" xfId="375"/>
    <cellStyle name="Обычный 120 101" xfId="376"/>
    <cellStyle name="Обычный 120 102" xfId="377"/>
    <cellStyle name="Обычный 120 103" xfId="378"/>
    <cellStyle name="Обычный 120 104" xfId="379"/>
    <cellStyle name="Обычный 120 105" xfId="380"/>
    <cellStyle name="Обычный 120 106" xfId="381"/>
    <cellStyle name="Обычный 120 107" xfId="382"/>
    <cellStyle name="Обычный 120 108" xfId="383"/>
    <cellStyle name="Обычный 120 109" xfId="384"/>
    <cellStyle name="Обычный 120 11" xfId="385"/>
    <cellStyle name="Обычный 120 110" xfId="386"/>
    <cellStyle name="Обычный 120 111" xfId="387"/>
    <cellStyle name="Обычный 120 112" xfId="388"/>
    <cellStyle name="Обычный 120 113" xfId="389"/>
    <cellStyle name="Обычный 120 114" xfId="390"/>
    <cellStyle name="Обычный 120 115" xfId="391"/>
    <cellStyle name="Обычный 120 116" xfId="392"/>
    <cellStyle name="Обычный 120 117" xfId="393"/>
    <cellStyle name="Обычный 120 118" xfId="394"/>
    <cellStyle name="Обычный 120 119" xfId="395"/>
    <cellStyle name="Обычный 120 12" xfId="396"/>
    <cellStyle name="Обычный 120 120" xfId="397"/>
    <cellStyle name="Обычный 120 121" xfId="398"/>
    <cellStyle name="Обычный 120 121 2" xfId="399"/>
    <cellStyle name="Обычный 120 121_ПРОЕКТ 4  (уточнений 04.12.2017.) 1011100 на 2018 рік  з  ПТНЗ 36,38 на 6 міс" xfId="400"/>
    <cellStyle name="Обычный 120 122" xfId="401"/>
    <cellStyle name="Обычный 120 123" xfId="402"/>
    <cellStyle name="Обычный 120 124" xfId="403"/>
    <cellStyle name="Обычный 120 125" xfId="404"/>
    <cellStyle name="Обычный 120 126" xfId="405"/>
    <cellStyle name="Обычный 120 127" xfId="406"/>
    <cellStyle name="Обычный 120 128" xfId="407"/>
    <cellStyle name="Обычный 120 129" xfId="408"/>
    <cellStyle name="Обычный 120 13" xfId="409"/>
    <cellStyle name="Обычный 120 130" xfId="410"/>
    <cellStyle name="Обычный 120 131" xfId="411"/>
    <cellStyle name="Обычный 120 132" xfId="412"/>
    <cellStyle name="Обычный 120 133" xfId="413"/>
    <cellStyle name="Обычный 120 134" xfId="414"/>
    <cellStyle name="Обычный 120 135" xfId="415"/>
    <cellStyle name="Обычный 120 14" xfId="416"/>
    <cellStyle name="Обычный 120 15" xfId="417"/>
    <cellStyle name="Обычный 120 16" xfId="418"/>
    <cellStyle name="Обычный 120 17" xfId="419"/>
    <cellStyle name="Обычный 120 18" xfId="420"/>
    <cellStyle name="Обычный 120 19" xfId="421"/>
    <cellStyle name="Обычный 120 2" xfId="422"/>
    <cellStyle name="Обычный 120 20" xfId="423"/>
    <cellStyle name="Обычный 120 21" xfId="424"/>
    <cellStyle name="Обычный 120 22" xfId="425"/>
    <cellStyle name="Обычный 120 23" xfId="426"/>
    <cellStyle name="Обычный 120 24" xfId="427"/>
    <cellStyle name="Обычный 120 25" xfId="428"/>
    <cellStyle name="Обычный 120 26" xfId="429"/>
    <cellStyle name="Обычный 120 27" xfId="430"/>
    <cellStyle name="Обычный 120 28" xfId="431"/>
    <cellStyle name="Обычный 120 29" xfId="432"/>
    <cellStyle name="Обычный 120 3" xfId="433"/>
    <cellStyle name="Обычный 120 30" xfId="434"/>
    <cellStyle name="Обычный 120 31" xfId="435"/>
    <cellStyle name="Обычный 120 32" xfId="436"/>
    <cellStyle name="Обычный 120 33" xfId="437"/>
    <cellStyle name="Обычный 120 34" xfId="438"/>
    <cellStyle name="Обычный 120 35" xfId="439"/>
    <cellStyle name="Обычный 120 36" xfId="440"/>
    <cellStyle name="Обычный 120 37" xfId="441"/>
    <cellStyle name="Обычный 120 38" xfId="442"/>
    <cellStyle name="Обычный 120 39" xfId="443"/>
    <cellStyle name="Обычный 120 4" xfId="444"/>
    <cellStyle name="Обычный 120 40" xfId="445"/>
    <cellStyle name="Обычный 120 41" xfId="446"/>
    <cellStyle name="Обычный 120 42" xfId="447"/>
    <cellStyle name="Обычный 120 43" xfId="448"/>
    <cellStyle name="Обычный 120 44" xfId="449"/>
    <cellStyle name="Обычный 120 45" xfId="450"/>
    <cellStyle name="Обычный 120 46" xfId="451"/>
    <cellStyle name="Обычный 120 47" xfId="452"/>
    <cellStyle name="Обычный 120 48" xfId="453"/>
    <cellStyle name="Обычный 120 49" xfId="454"/>
    <cellStyle name="Обычный 120 5" xfId="455"/>
    <cellStyle name="Обычный 120 50" xfId="456"/>
    <cellStyle name="Обычный 120 51" xfId="457"/>
    <cellStyle name="Обычный 120 52" xfId="458"/>
    <cellStyle name="Обычный 120 53" xfId="459"/>
    <cellStyle name="Обычный 120 54" xfId="460"/>
    <cellStyle name="Обычный 120 55" xfId="461"/>
    <cellStyle name="Обычный 120 56" xfId="462"/>
    <cellStyle name="Обычный 120 57" xfId="463"/>
    <cellStyle name="Обычный 120 58" xfId="464"/>
    <cellStyle name="Обычный 120 59" xfId="465"/>
    <cellStyle name="Обычный 120 6" xfId="466"/>
    <cellStyle name="Обычный 120 60" xfId="467"/>
    <cellStyle name="Обычный 120 61" xfId="468"/>
    <cellStyle name="Обычный 120 62" xfId="469"/>
    <cellStyle name="Обычный 120 63" xfId="470"/>
    <cellStyle name="Обычный 120 64" xfId="471"/>
    <cellStyle name="Обычный 120 65" xfId="472"/>
    <cellStyle name="Обычный 120 66" xfId="473"/>
    <cellStyle name="Обычный 120 67" xfId="474"/>
    <cellStyle name="Обычный 120 68" xfId="475"/>
    <cellStyle name="Обычный 120 69" xfId="476"/>
    <cellStyle name="Обычный 120 7" xfId="477"/>
    <cellStyle name="Обычный 120 70" xfId="478"/>
    <cellStyle name="Обычный 120 71" xfId="479"/>
    <cellStyle name="Обычный 120 72" xfId="480"/>
    <cellStyle name="Обычный 120 73" xfId="481"/>
    <cellStyle name="Обычный 120 74" xfId="482"/>
    <cellStyle name="Обычный 120 75" xfId="483"/>
    <cellStyle name="Обычный 120 76" xfId="484"/>
    <cellStyle name="Обычный 120 77" xfId="485"/>
    <cellStyle name="Обычный 120 78" xfId="486"/>
    <cellStyle name="Обычный 120 79" xfId="487"/>
    <cellStyle name="Обычный 120 8" xfId="488"/>
    <cellStyle name="Обычный 120 80" xfId="489"/>
    <cellStyle name="Обычный 120 81" xfId="490"/>
    <cellStyle name="Обычный 120 82" xfId="491"/>
    <cellStyle name="Обычный 120 83" xfId="492"/>
    <cellStyle name="Обычный 120 84" xfId="493"/>
    <cellStyle name="Обычный 120 85" xfId="494"/>
    <cellStyle name="Обычный 120 86" xfId="495"/>
    <cellStyle name="Обычный 120 87" xfId="496"/>
    <cellStyle name="Обычный 120 88" xfId="497"/>
    <cellStyle name="Обычный 120 89" xfId="498"/>
    <cellStyle name="Обычный 120 9" xfId="499"/>
    <cellStyle name="Обычный 120 90" xfId="500"/>
    <cellStyle name="Обычный 120 91" xfId="501"/>
    <cellStyle name="Обычный 120 92" xfId="502"/>
    <cellStyle name="Обычный 120 93" xfId="503"/>
    <cellStyle name="Обычный 120 94" xfId="504"/>
    <cellStyle name="Обычный 120 95" xfId="505"/>
    <cellStyle name="Обычный 120 96" xfId="506"/>
    <cellStyle name="Обычный 120 97" xfId="507"/>
    <cellStyle name="Обычный 120 98" xfId="508"/>
    <cellStyle name="Обычный 120 99" xfId="509"/>
    <cellStyle name="Обычный 120_доплати до 3723 " xfId="510"/>
    <cellStyle name="Обычный 121" xfId="511"/>
    <cellStyle name="Обычный 121 10" xfId="512"/>
    <cellStyle name="Обычный 121 100" xfId="513"/>
    <cellStyle name="Обычный 121 101" xfId="514"/>
    <cellStyle name="Обычный 121 102" xfId="515"/>
    <cellStyle name="Обычный 121 103" xfId="516"/>
    <cellStyle name="Обычный 121 104" xfId="517"/>
    <cellStyle name="Обычный 121 105" xfId="518"/>
    <cellStyle name="Обычный 121 106" xfId="519"/>
    <cellStyle name="Обычный 121 107" xfId="520"/>
    <cellStyle name="Обычный 121 108" xfId="521"/>
    <cellStyle name="Обычный 121 109" xfId="522"/>
    <cellStyle name="Обычный 121 11" xfId="523"/>
    <cellStyle name="Обычный 121 110" xfId="524"/>
    <cellStyle name="Обычный 121 111" xfId="525"/>
    <cellStyle name="Обычный 121 112" xfId="526"/>
    <cellStyle name="Обычный 121 113" xfId="527"/>
    <cellStyle name="Обычный 121 114" xfId="528"/>
    <cellStyle name="Обычный 121 115" xfId="529"/>
    <cellStyle name="Обычный 121 116" xfId="530"/>
    <cellStyle name="Обычный 121 117" xfId="531"/>
    <cellStyle name="Обычный 121 118" xfId="532"/>
    <cellStyle name="Обычный 121 119" xfId="533"/>
    <cellStyle name="Обычный 121 12" xfId="534"/>
    <cellStyle name="Обычный 121 120" xfId="535"/>
    <cellStyle name="Обычный 121 121" xfId="536"/>
    <cellStyle name="Обычный 121 122" xfId="537"/>
    <cellStyle name="Обычный 121 123" xfId="538"/>
    <cellStyle name="Обычный 121 124" xfId="539"/>
    <cellStyle name="Обычный 121 125" xfId="540"/>
    <cellStyle name="Обычный 121 126" xfId="541"/>
    <cellStyle name="Обычный 121 127" xfId="542"/>
    <cellStyle name="Обычный 121 128" xfId="543"/>
    <cellStyle name="Обычный 121 129" xfId="544"/>
    <cellStyle name="Обычный 121 13" xfId="545"/>
    <cellStyle name="Обычный 121 130" xfId="546"/>
    <cellStyle name="Обычный 121 131" xfId="547"/>
    <cellStyle name="Обычный 121 132" xfId="548"/>
    <cellStyle name="Обычный 121 133" xfId="549"/>
    <cellStyle name="Обычный 121 134" xfId="550"/>
    <cellStyle name="Обычный 121 135" xfId="551"/>
    <cellStyle name="Обычный 121 14" xfId="552"/>
    <cellStyle name="Обычный 121 15" xfId="553"/>
    <cellStyle name="Обычный 121 16" xfId="554"/>
    <cellStyle name="Обычный 121 17" xfId="555"/>
    <cellStyle name="Обычный 121 18" xfId="556"/>
    <cellStyle name="Обычный 121 19" xfId="557"/>
    <cellStyle name="Обычный 121 2" xfId="558"/>
    <cellStyle name="Обычный 121 20" xfId="559"/>
    <cellStyle name="Обычный 121 21" xfId="560"/>
    <cellStyle name="Обычный 121 22" xfId="561"/>
    <cellStyle name="Обычный 121 23" xfId="562"/>
    <cellStyle name="Обычный 121 24" xfId="563"/>
    <cellStyle name="Обычный 121 25" xfId="564"/>
    <cellStyle name="Обычный 121 26" xfId="565"/>
    <cellStyle name="Обычный 121 27" xfId="566"/>
    <cellStyle name="Обычный 121 28" xfId="567"/>
    <cellStyle name="Обычный 121 29" xfId="568"/>
    <cellStyle name="Обычный 121 3" xfId="569"/>
    <cellStyle name="Обычный 121 30" xfId="570"/>
    <cellStyle name="Обычный 121 31" xfId="571"/>
    <cellStyle name="Обычный 121 32" xfId="572"/>
    <cellStyle name="Обычный 121 33" xfId="573"/>
    <cellStyle name="Обычный 121 34" xfId="574"/>
    <cellStyle name="Обычный 121 35" xfId="575"/>
    <cellStyle name="Обычный 121 36" xfId="576"/>
    <cellStyle name="Обычный 121 37" xfId="577"/>
    <cellStyle name="Обычный 121 38" xfId="578"/>
    <cellStyle name="Обычный 121 39" xfId="579"/>
    <cellStyle name="Обычный 121 4" xfId="580"/>
    <cellStyle name="Обычный 121 40" xfId="581"/>
    <cellStyle name="Обычный 121 41" xfId="582"/>
    <cellStyle name="Обычный 121 42" xfId="583"/>
    <cellStyle name="Обычный 121 43" xfId="584"/>
    <cellStyle name="Обычный 121 44" xfId="585"/>
    <cellStyle name="Обычный 121 45" xfId="586"/>
    <cellStyle name="Обычный 121 46" xfId="587"/>
    <cellStyle name="Обычный 121 47" xfId="588"/>
    <cellStyle name="Обычный 121 48" xfId="589"/>
    <cellStyle name="Обычный 121 49" xfId="590"/>
    <cellStyle name="Обычный 121 5" xfId="591"/>
    <cellStyle name="Обычный 121 50" xfId="592"/>
    <cellStyle name="Обычный 121 51" xfId="593"/>
    <cellStyle name="Обычный 121 52" xfId="594"/>
    <cellStyle name="Обычный 121 53" xfId="595"/>
    <cellStyle name="Обычный 121 54" xfId="596"/>
    <cellStyle name="Обычный 121 55" xfId="597"/>
    <cellStyle name="Обычный 121 56" xfId="598"/>
    <cellStyle name="Обычный 121 57" xfId="599"/>
    <cellStyle name="Обычный 121 58" xfId="600"/>
    <cellStyle name="Обычный 121 59" xfId="601"/>
    <cellStyle name="Обычный 121 6" xfId="602"/>
    <cellStyle name="Обычный 121 60" xfId="603"/>
    <cellStyle name="Обычный 121 61" xfId="604"/>
    <cellStyle name="Обычный 121 62" xfId="605"/>
    <cellStyle name="Обычный 121 63" xfId="606"/>
    <cellStyle name="Обычный 121 64" xfId="607"/>
    <cellStyle name="Обычный 121 65" xfId="608"/>
    <cellStyle name="Обычный 121 66" xfId="609"/>
    <cellStyle name="Обычный 121 67" xfId="610"/>
    <cellStyle name="Обычный 121 68" xfId="611"/>
    <cellStyle name="Обычный 121 69" xfId="612"/>
    <cellStyle name="Обычный 121 7" xfId="613"/>
    <cellStyle name="Обычный 121 70" xfId="614"/>
    <cellStyle name="Обычный 121 71" xfId="615"/>
    <cellStyle name="Обычный 121 72" xfId="616"/>
    <cellStyle name="Обычный 121 73" xfId="617"/>
    <cellStyle name="Обычный 121 74" xfId="618"/>
    <cellStyle name="Обычный 121 75" xfId="619"/>
    <cellStyle name="Обычный 121 76" xfId="620"/>
    <cellStyle name="Обычный 121 77" xfId="621"/>
    <cellStyle name="Обычный 121 78" xfId="622"/>
    <cellStyle name="Обычный 121 79" xfId="623"/>
    <cellStyle name="Обычный 121 8" xfId="624"/>
    <cellStyle name="Обычный 121 80" xfId="625"/>
    <cellStyle name="Обычный 121 81" xfId="626"/>
    <cellStyle name="Обычный 121 82" xfId="627"/>
    <cellStyle name="Обычный 121 83" xfId="628"/>
    <cellStyle name="Обычный 121 84" xfId="629"/>
    <cellStyle name="Обычный 121 85" xfId="630"/>
    <cellStyle name="Обычный 121 86" xfId="631"/>
    <cellStyle name="Обычный 121 87" xfId="632"/>
    <cellStyle name="Обычный 121 88" xfId="633"/>
    <cellStyle name="Обычный 121 89" xfId="634"/>
    <cellStyle name="Обычный 121 9" xfId="635"/>
    <cellStyle name="Обычный 121 90" xfId="636"/>
    <cellStyle name="Обычный 121 91" xfId="637"/>
    <cellStyle name="Обычный 121 92" xfId="638"/>
    <cellStyle name="Обычный 121 93" xfId="639"/>
    <cellStyle name="Обычный 121 94" xfId="640"/>
    <cellStyle name="Обычный 121 95" xfId="641"/>
    <cellStyle name="Обычный 121 96" xfId="642"/>
    <cellStyle name="Обычный 121 97" xfId="643"/>
    <cellStyle name="Обычный 121 98" xfId="644"/>
    <cellStyle name="Обычный 121 99" xfId="645"/>
    <cellStyle name="Обычный 122" xfId="646"/>
    <cellStyle name="Обычный 122 10" xfId="647"/>
    <cellStyle name="Обычный 122 100" xfId="648"/>
    <cellStyle name="Обычный 122 101" xfId="649"/>
    <cellStyle name="Обычный 122 102" xfId="650"/>
    <cellStyle name="Обычный 122 103" xfId="651"/>
    <cellStyle name="Обычный 122 104" xfId="652"/>
    <cellStyle name="Обычный 122 105" xfId="653"/>
    <cellStyle name="Обычный 122 106" xfId="654"/>
    <cellStyle name="Обычный 122 107" xfId="655"/>
    <cellStyle name="Обычный 122 108" xfId="656"/>
    <cellStyle name="Обычный 122 109" xfId="657"/>
    <cellStyle name="Обычный 122 11" xfId="658"/>
    <cellStyle name="Обычный 122 110" xfId="659"/>
    <cellStyle name="Обычный 122 111" xfId="660"/>
    <cellStyle name="Обычный 122 112" xfId="661"/>
    <cellStyle name="Обычный 122 113" xfId="662"/>
    <cellStyle name="Обычный 122 114" xfId="663"/>
    <cellStyle name="Обычный 122 115" xfId="664"/>
    <cellStyle name="Обычный 122 116" xfId="665"/>
    <cellStyle name="Обычный 122 117" xfId="666"/>
    <cellStyle name="Обычный 122 118" xfId="667"/>
    <cellStyle name="Обычный 122 119" xfId="668"/>
    <cellStyle name="Обычный 122 12" xfId="669"/>
    <cellStyle name="Обычный 122 120" xfId="670"/>
    <cellStyle name="Обычный 122 121" xfId="671"/>
    <cellStyle name="Обычный 122 122" xfId="672"/>
    <cellStyle name="Обычный 122 123" xfId="673"/>
    <cellStyle name="Обычный 122 124" xfId="674"/>
    <cellStyle name="Обычный 122 125" xfId="675"/>
    <cellStyle name="Обычный 122 126" xfId="676"/>
    <cellStyle name="Обычный 122 127" xfId="677"/>
    <cellStyle name="Обычный 122 128" xfId="678"/>
    <cellStyle name="Обычный 122 129" xfId="679"/>
    <cellStyle name="Обычный 122 13" xfId="680"/>
    <cellStyle name="Обычный 122 130" xfId="681"/>
    <cellStyle name="Обычный 122 131" xfId="682"/>
    <cellStyle name="Обычный 122 132" xfId="683"/>
    <cellStyle name="Обычный 122 133" xfId="684"/>
    <cellStyle name="Обычный 122 134" xfId="685"/>
    <cellStyle name="Обычный 122 135" xfId="686"/>
    <cellStyle name="Обычный 122 14" xfId="687"/>
    <cellStyle name="Обычный 122 15" xfId="688"/>
    <cellStyle name="Обычный 122 16" xfId="689"/>
    <cellStyle name="Обычный 122 17" xfId="690"/>
    <cellStyle name="Обычный 122 18" xfId="691"/>
    <cellStyle name="Обычный 122 19" xfId="692"/>
    <cellStyle name="Обычный 122 2" xfId="693"/>
    <cellStyle name="Обычный 122 20" xfId="694"/>
    <cellStyle name="Обычный 122 21" xfId="695"/>
    <cellStyle name="Обычный 122 22" xfId="696"/>
    <cellStyle name="Обычный 122 23" xfId="697"/>
    <cellStyle name="Обычный 122 24" xfId="698"/>
    <cellStyle name="Обычный 122 25" xfId="699"/>
    <cellStyle name="Обычный 122 26" xfId="700"/>
    <cellStyle name="Обычный 122 27" xfId="701"/>
    <cellStyle name="Обычный 122 28" xfId="702"/>
    <cellStyle name="Обычный 122 29" xfId="703"/>
    <cellStyle name="Обычный 122 3" xfId="704"/>
    <cellStyle name="Обычный 122 30" xfId="705"/>
    <cellStyle name="Обычный 122 31" xfId="706"/>
    <cellStyle name="Обычный 122 32" xfId="707"/>
    <cellStyle name="Обычный 122 33" xfId="708"/>
    <cellStyle name="Обычный 122 34" xfId="709"/>
    <cellStyle name="Обычный 122 35" xfId="710"/>
    <cellStyle name="Обычный 122 36" xfId="711"/>
    <cellStyle name="Обычный 122 37" xfId="712"/>
    <cellStyle name="Обычный 122 38" xfId="713"/>
    <cellStyle name="Обычный 122 39" xfId="714"/>
    <cellStyle name="Обычный 122 4" xfId="715"/>
    <cellStyle name="Обычный 122 40" xfId="716"/>
    <cellStyle name="Обычный 122 41" xfId="717"/>
    <cellStyle name="Обычный 122 42" xfId="718"/>
    <cellStyle name="Обычный 122 43" xfId="719"/>
    <cellStyle name="Обычный 122 44" xfId="720"/>
    <cellStyle name="Обычный 122 45" xfId="721"/>
    <cellStyle name="Обычный 122 46" xfId="722"/>
    <cellStyle name="Обычный 122 47" xfId="723"/>
    <cellStyle name="Обычный 122 48" xfId="724"/>
    <cellStyle name="Обычный 122 49" xfId="725"/>
    <cellStyle name="Обычный 122 5" xfId="726"/>
    <cellStyle name="Обычный 122 50" xfId="727"/>
    <cellStyle name="Обычный 122 51" xfId="728"/>
    <cellStyle name="Обычный 122 52" xfId="729"/>
    <cellStyle name="Обычный 122 53" xfId="730"/>
    <cellStyle name="Обычный 122 54" xfId="731"/>
    <cellStyle name="Обычный 122 55" xfId="732"/>
    <cellStyle name="Обычный 122 56" xfId="733"/>
    <cellStyle name="Обычный 122 57" xfId="734"/>
    <cellStyle name="Обычный 122 58" xfId="735"/>
    <cellStyle name="Обычный 122 59" xfId="736"/>
    <cellStyle name="Обычный 122 6" xfId="737"/>
    <cellStyle name="Обычный 122 60" xfId="738"/>
    <cellStyle name="Обычный 122 61" xfId="739"/>
    <cellStyle name="Обычный 122 62" xfId="740"/>
    <cellStyle name="Обычный 122 63" xfId="741"/>
    <cellStyle name="Обычный 122 64" xfId="742"/>
    <cellStyle name="Обычный 122 65" xfId="743"/>
    <cellStyle name="Обычный 122 66" xfId="744"/>
    <cellStyle name="Обычный 122 67" xfId="745"/>
    <cellStyle name="Обычный 122 68" xfId="746"/>
    <cellStyle name="Обычный 122 69" xfId="747"/>
    <cellStyle name="Обычный 122 7" xfId="748"/>
    <cellStyle name="Обычный 122 70" xfId="749"/>
    <cellStyle name="Обычный 122 71" xfId="750"/>
    <cellStyle name="Обычный 122 72" xfId="751"/>
    <cellStyle name="Обычный 122 73" xfId="752"/>
    <cellStyle name="Обычный 122 74" xfId="753"/>
    <cellStyle name="Обычный 122 75" xfId="754"/>
    <cellStyle name="Обычный 122 76" xfId="755"/>
    <cellStyle name="Обычный 122 77" xfId="756"/>
    <cellStyle name="Обычный 122 78" xfId="757"/>
    <cellStyle name="Обычный 122 79" xfId="758"/>
    <cellStyle name="Обычный 122 8" xfId="759"/>
    <cellStyle name="Обычный 122 80" xfId="760"/>
    <cellStyle name="Обычный 122 81" xfId="761"/>
    <cellStyle name="Обычный 122 82" xfId="762"/>
    <cellStyle name="Обычный 122 83" xfId="763"/>
    <cellStyle name="Обычный 122 84" xfId="764"/>
    <cellStyle name="Обычный 122 85" xfId="765"/>
    <cellStyle name="Обычный 122 86" xfId="766"/>
    <cellStyle name="Обычный 122 87" xfId="767"/>
    <cellStyle name="Обычный 122 88" xfId="768"/>
    <cellStyle name="Обычный 122 89" xfId="769"/>
    <cellStyle name="Обычный 122 9" xfId="770"/>
    <cellStyle name="Обычный 122 90" xfId="771"/>
    <cellStyle name="Обычный 122 91" xfId="772"/>
    <cellStyle name="Обычный 122 92" xfId="773"/>
    <cellStyle name="Обычный 122 93" xfId="774"/>
    <cellStyle name="Обычный 122 94" xfId="775"/>
    <cellStyle name="Обычный 122 95" xfId="776"/>
    <cellStyle name="Обычный 122 96" xfId="777"/>
    <cellStyle name="Обычный 122 97" xfId="778"/>
    <cellStyle name="Обычный 122 98" xfId="779"/>
    <cellStyle name="Обычный 122 99" xfId="780"/>
    <cellStyle name="Обычный 123" xfId="781"/>
    <cellStyle name="Обычный 123 10" xfId="782"/>
    <cellStyle name="Обычный 123 100" xfId="783"/>
    <cellStyle name="Обычный 123 101" xfId="784"/>
    <cellStyle name="Обычный 123 102" xfId="785"/>
    <cellStyle name="Обычный 123 103" xfId="786"/>
    <cellStyle name="Обычный 123 104" xfId="787"/>
    <cellStyle name="Обычный 123 105" xfId="788"/>
    <cellStyle name="Обычный 123 106" xfId="789"/>
    <cellStyle name="Обычный 123 107" xfId="790"/>
    <cellStyle name="Обычный 123 108" xfId="791"/>
    <cellStyle name="Обычный 123 109" xfId="792"/>
    <cellStyle name="Обычный 123 11" xfId="793"/>
    <cellStyle name="Обычный 123 110" xfId="794"/>
    <cellStyle name="Обычный 123 111" xfId="795"/>
    <cellStyle name="Обычный 123 112" xfId="796"/>
    <cellStyle name="Обычный 123 113" xfId="797"/>
    <cellStyle name="Обычный 123 114" xfId="798"/>
    <cellStyle name="Обычный 123 115" xfId="799"/>
    <cellStyle name="Обычный 123 116" xfId="800"/>
    <cellStyle name="Обычный 123 117" xfId="801"/>
    <cellStyle name="Обычный 123 118" xfId="802"/>
    <cellStyle name="Обычный 123 119" xfId="803"/>
    <cellStyle name="Обычный 123 12" xfId="804"/>
    <cellStyle name="Обычный 123 120" xfId="805"/>
    <cellStyle name="Обычный 123 121" xfId="806"/>
    <cellStyle name="Обычный 123 122" xfId="807"/>
    <cellStyle name="Обычный 123 123" xfId="808"/>
    <cellStyle name="Обычный 123 124" xfId="809"/>
    <cellStyle name="Обычный 123 125" xfId="810"/>
    <cellStyle name="Обычный 123 126" xfId="811"/>
    <cellStyle name="Обычный 123 127" xfId="812"/>
    <cellStyle name="Обычный 123 128" xfId="813"/>
    <cellStyle name="Обычный 123 129" xfId="814"/>
    <cellStyle name="Обычный 123 13" xfId="815"/>
    <cellStyle name="Обычный 123 130" xfId="816"/>
    <cellStyle name="Обычный 123 131" xfId="817"/>
    <cellStyle name="Обычный 123 132" xfId="818"/>
    <cellStyle name="Обычный 123 133" xfId="819"/>
    <cellStyle name="Обычный 123 134" xfId="820"/>
    <cellStyle name="Обычный 123 135" xfId="821"/>
    <cellStyle name="Обычный 123 14" xfId="822"/>
    <cellStyle name="Обычный 123 15" xfId="823"/>
    <cellStyle name="Обычный 123 16" xfId="824"/>
    <cellStyle name="Обычный 123 17" xfId="825"/>
    <cellStyle name="Обычный 123 18" xfId="826"/>
    <cellStyle name="Обычный 123 19" xfId="827"/>
    <cellStyle name="Обычный 123 2" xfId="828"/>
    <cellStyle name="Обычный 123 20" xfId="829"/>
    <cellStyle name="Обычный 123 21" xfId="830"/>
    <cellStyle name="Обычный 123 22" xfId="831"/>
    <cellStyle name="Обычный 123 23" xfId="832"/>
    <cellStyle name="Обычный 123 24" xfId="833"/>
    <cellStyle name="Обычный 123 25" xfId="834"/>
    <cellStyle name="Обычный 123 26" xfId="835"/>
    <cellStyle name="Обычный 123 27" xfId="836"/>
    <cellStyle name="Обычный 123 28" xfId="837"/>
    <cellStyle name="Обычный 123 29" xfId="838"/>
    <cellStyle name="Обычный 123 3" xfId="839"/>
    <cellStyle name="Обычный 123 30" xfId="840"/>
    <cellStyle name="Обычный 123 31" xfId="841"/>
    <cellStyle name="Обычный 123 32" xfId="842"/>
    <cellStyle name="Обычный 123 33" xfId="843"/>
    <cellStyle name="Обычный 123 34" xfId="844"/>
    <cellStyle name="Обычный 123 35" xfId="845"/>
    <cellStyle name="Обычный 123 36" xfId="846"/>
    <cellStyle name="Обычный 123 37" xfId="847"/>
    <cellStyle name="Обычный 123 38" xfId="848"/>
    <cellStyle name="Обычный 123 39" xfId="849"/>
    <cellStyle name="Обычный 123 4" xfId="850"/>
    <cellStyle name="Обычный 123 40" xfId="851"/>
    <cellStyle name="Обычный 123 41" xfId="852"/>
    <cellStyle name="Обычный 123 42" xfId="853"/>
    <cellStyle name="Обычный 123 43" xfId="854"/>
    <cellStyle name="Обычный 123 44" xfId="855"/>
    <cellStyle name="Обычный 123 45" xfId="856"/>
    <cellStyle name="Обычный 123 46" xfId="857"/>
    <cellStyle name="Обычный 123 47" xfId="858"/>
    <cellStyle name="Обычный 123 48" xfId="859"/>
    <cellStyle name="Обычный 123 49" xfId="860"/>
    <cellStyle name="Обычный 123 5" xfId="861"/>
    <cellStyle name="Обычный 123 50" xfId="862"/>
    <cellStyle name="Обычный 123 51" xfId="863"/>
    <cellStyle name="Обычный 123 52" xfId="864"/>
    <cellStyle name="Обычный 123 53" xfId="865"/>
    <cellStyle name="Обычный 123 54" xfId="866"/>
    <cellStyle name="Обычный 123 55" xfId="867"/>
    <cellStyle name="Обычный 123 56" xfId="868"/>
    <cellStyle name="Обычный 123 57" xfId="869"/>
    <cellStyle name="Обычный 123 58" xfId="870"/>
    <cellStyle name="Обычный 123 59" xfId="871"/>
    <cellStyle name="Обычный 123 6" xfId="872"/>
    <cellStyle name="Обычный 123 60" xfId="873"/>
    <cellStyle name="Обычный 123 61" xfId="874"/>
    <cellStyle name="Обычный 123 62" xfId="875"/>
    <cellStyle name="Обычный 123 63" xfId="876"/>
    <cellStyle name="Обычный 123 64" xfId="877"/>
    <cellStyle name="Обычный 123 65" xfId="878"/>
    <cellStyle name="Обычный 123 66" xfId="879"/>
    <cellStyle name="Обычный 123 67" xfId="880"/>
    <cellStyle name="Обычный 123 68" xfId="881"/>
    <cellStyle name="Обычный 123 69" xfId="882"/>
    <cellStyle name="Обычный 123 7" xfId="883"/>
    <cellStyle name="Обычный 123 70" xfId="884"/>
    <cellStyle name="Обычный 123 71" xfId="885"/>
    <cellStyle name="Обычный 123 72" xfId="886"/>
    <cellStyle name="Обычный 123 73" xfId="887"/>
    <cellStyle name="Обычный 123 74" xfId="888"/>
    <cellStyle name="Обычный 123 75" xfId="889"/>
    <cellStyle name="Обычный 123 76" xfId="890"/>
    <cellStyle name="Обычный 123 77" xfId="891"/>
    <cellStyle name="Обычный 123 78" xfId="892"/>
    <cellStyle name="Обычный 123 79" xfId="893"/>
    <cellStyle name="Обычный 123 8" xfId="894"/>
    <cellStyle name="Обычный 123 80" xfId="895"/>
    <cellStyle name="Обычный 123 81" xfId="896"/>
    <cellStyle name="Обычный 123 82" xfId="897"/>
    <cellStyle name="Обычный 123 83" xfId="898"/>
    <cellStyle name="Обычный 123 84" xfId="899"/>
    <cellStyle name="Обычный 123 85" xfId="900"/>
    <cellStyle name="Обычный 123 86" xfId="901"/>
    <cellStyle name="Обычный 123 87" xfId="902"/>
    <cellStyle name="Обычный 123 88" xfId="903"/>
    <cellStyle name="Обычный 123 89" xfId="904"/>
    <cellStyle name="Обычный 123 9" xfId="905"/>
    <cellStyle name="Обычный 123 90" xfId="906"/>
    <cellStyle name="Обычный 123 91" xfId="907"/>
    <cellStyle name="Обычный 123 92" xfId="908"/>
    <cellStyle name="Обычный 123 93" xfId="909"/>
    <cellStyle name="Обычный 123 94" xfId="910"/>
    <cellStyle name="Обычный 123 95" xfId="911"/>
    <cellStyle name="Обычный 123 96" xfId="912"/>
    <cellStyle name="Обычный 123 97" xfId="913"/>
    <cellStyle name="Обычный 123 98" xfId="914"/>
    <cellStyle name="Обычный 123 99" xfId="915"/>
    <cellStyle name="Обычный 124" xfId="916"/>
    <cellStyle name="Обычный 124 10" xfId="917"/>
    <cellStyle name="Обычный 124 100" xfId="918"/>
    <cellStyle name="Обычный 124 101" xfId="919"/>
    <cellStyle name="Обычный 124 102" xfId="920"/>
    <cellStyle name="Обычный 124 103" xfId="921"/>
    <cellStyle name="Обычный 124 104" xfId="922"/>
    <cellStyle name="Обычный 124 105" xfId="923"/>
    <cellStyle name="Обычный 124 106" xfId="924"/>
    <cellStyle name="Обычный 124 107" xfId="925"/>
    <cellStyle name="Обычный 124 108" xfId="926"/>
    <cellStyle name="Обычный 124 109" xfId="927"/>
    <cellStyle name="Обычный 124 11" xfId="928"/>
    <cellStyle name="Обычный 124 110" xfId="929"/>
    <cellStyle name="Обычный 124 111" xfId="930"/>
    <cellStyle name="Обычный 124 112" xfId="931"/>
    <cellStyle name="Обычный 124 113" xfId="932"/>
    <cellStyle name="Обычный 124 114" xfId="933"/>
    <cellStyle name="Обычный 124 115" xfId="934"/>
    <cellStyle name="Обычный 124 116" xfId="935"/>
    <cellStyle name="Обычный 124 117" xfId="936"/>
    <cellStyle name="Обычный 124 118" xfId="937"/>
    <cellStyle name="Обычный 124 119" xfId="938"/>
    <cellStyle name="Обычный 124 12" xfId="939"/>
    <cellStyle name="Обычный 124 120" xfId="940"/>
    <cellStyle name="Обычный 124 121" xfId="941"/>
    <cellStyle name="Обычный 124 122" xfId="942"/>
    <cellStyle name="Обычный 124 123" xfId="943"/>
    <cellStyle name="Обычный 124 124" xfId="944"/>
    <cellStyle name="Обычный 124 125" xfId="945"/>
    <cellStyle name="Обычный 124 126" xfId="946"/>
    <cellStyle name="Обычный 124 127" xfId="947"/>
    <cellStyle name="Обычный 124 128" xfId="948"/>
    <cellStyle name="Обычный 124 129" xfId="949"/>
    <cellStyle name="Обычный 124 13" xfId="950"/>
    <cellStyle name="Обычный 124 130" xfId="951"/>
    <cellStyle name="Обычный 124 131" xfId="952"/>
    <cellStyle name="Обычный 124 132" xfId="953"/>
    <cellStyle name="Обычный 124 133" xfId="954"/>
    <cellStyle name="Обычный 124 134" xfId="955"/>
    <cellStyle name="Обычный 124 135" xfId="956"/>
    <cellStyle name="Обычный 124 14" xfId="957"/>
    <cellStyle name="Обычный 124 15" xfId="958"/>
    <cellStyle name="Обычный 124 16" xfId="959"/>
    <cellStyle name="Обычный 124 17" xfId="960"/>
    <cellStyle name="Обычный 124 18" xfId="961"/>
    <cellStyle name="Обычный 124 19" xfId="962"/>
    <cellStyle name="Обычный 124 2" xfId="963"/>
    <cellStyle name="Обычный 124 20" xfId="964"/>
    <cellStyle name="Обычный 124 21" xfId="965"/>
    <cellStyle name="Обычный 124 22" xfId="966"/>
    <cellStyle name="Обычный 124 23" xfId="967"/>
    <cellStyle name="Обычный 124 24" xfId="968"/>
    <cellStyle name="Обычный 124 25" xfId="969"/>
    <cellStyle name="Обычный 124 26" xfId="970"/>
    <cellStyle name="Обычный 124 27" xfId="971"/>
    <cellStyle name="Обычный 124 28" xfId="972"/>
    <cellStyle name="Обычный 124 29" xfId="973"/>
    <cellStyle name="Обычный 124 3" xfId="974"/>
    <cellStyle name="Обычный 124 30" xfId="975"/>
    <cellStyle name="Обычный 124 31" xfId="976"/>
    <cellStyle name="Обычный 124 32" xfId="977"/>
    <cellStyle name="Обычный 124 33" xfId="978"/>
    <cellStyle name="Обычный 124 34" xfId="979"/>
    <cellStyle name="Обычный 124 35" xfId="980"/>
    <cellStyle name="Обычный 124 36" xfId="981"/>
    <cellStyle name="Обычный 124 37" xfId="982"/>
    <cellStyle name="Обычный 124 38" xfId="983"/>
    <cellStyle name="Обычный 124 39" xfId="984"/>
    <cellStyle name="Обычный 124 4" xfId="985"/>
    <cellStyle name="Обычный 124 40" xfId="986"/>
    <cellStyle name="Обычный 124 41" xfId="987"/>
    <cellStyle name="Обычный 124 42" xfId="988"/>
    <cellStyle name="Обычный 124 43" xfId="989"/>
    <cellStyle name="Обычный 124 44" xfId="990"/>
    <cellStyle name="Обычный 124 45" xfId="991"/>
    <cellStyle name="Обычный 124 46" xfId="992"/>
    <cellStyle name="Обычный 124 47" xfId="993"/>
    <cellStyle name="Обычный 124 48" xfId="994"/>
    <cellStyle name="Обычный 124 49" xfId="995"/>
    <cellStyle name="Обычный 124 5" xfId="996"/>
    <cellStyle name="Обычный 124 50" xfId="997"/>
    <cellStyle name="Обычный 124 51" xfId="998"/>
    <cellStyle name="Обычный 124 52" xfId="999"/>
    <cellStyle name="Обычный 124 53" xfId="1000"/>
    <cellStyle name="Обычный 124 54" xfId="1001"/>
    <cellStyle name="Обычный 124 55" xfId="1002"/>
    <cellStyle name="Обычный 124 56" xfId="1003"/>
    <cellStyle name="Обычный 124 57" xfId="1004"/>
    <cellStyle name="Обычный 124 58" xfId="1005"/>
    <cellStyle name="Обычный 124 59" xfId="1006"/>
    <cellStyle name="Обычный 124 6" xfId="1007"/>
    <cellStyle name="Обычный 124 60" xfId="1008"/>
    <cellStyle name="Обычный 124 61" xfId="1009"/>
    <cellStyle name="Обычный 124 62" xfId="1010"/>
    <cellStyle name="Обычный 124 63" xfId="1011"/>
    <cellStyle name="Обычный 124 64" xfId="1012"/>
    <cellStyle name="Обычный 124 65" xfId="1013"/>
    <cellStyle name="Обычный 124 66" xfId="1014"/>
    <cellStyle name="Обычный 124 67" xfId="1015"/>
    <cellStyle name="Обычный 124 68" xfId="1016"/>
    <cellStyle name="Обычный 124 69" xfId="1017"/>
    <cellStyle name="Обычный 124 7" xfId="1018"/>
    <cellStyle name="Обычный 124 70" xfId="1019"/>
    <cellStyle name="Обычный 124 71" xfId="1020"/>
    <cellStyle name="Обычный 124 72" xfId="1021"/>
    <cellStyle name="Обычный 124 73" xfId="1022"/>
    <cellStyle name="Обычный 124 74" xfId="1023"/>
    <cellStyle name="Обычный 124 75" xfId="1024"/>
    <cellStyle name="Обычный 124 76" xfId="1025"/>
    <cellStyle name="Обычный 124 77" xfId="1026"/>
    <cellStyle name="Обычный 124 78" xfId="1027"/>
    <cellStyle name="Обычный 124 79" xfId="1028"/>
    <cellStyle name="Обычный 124 8" xfId="1029"/>
    <cellStyle name="Обычный 124 80" xfId="1030"/>
    <cellStyle name="Обычный 124 81" xfId="1031"/>
    <cellStyle name="Обычный 124 82" xfId="1032"/>
    <cellStyle name="Обычный 124 83" xfId="1033"/>
    <cellStyle name="Обычный 124 84" xfId="1034"/>
    <cellStyle name="Обычный 124 85" xfId="1035"/>
    <cellStyle name="Обычный 124 86" xfId="1036"/>
    <cellStyle name="Обычный 124 87" xfId="1037"/>
    <cellStyle name="Обычный 124 88" xfId="1038"/>
    <cellStyle name="Обычный 124 89" xfId="1039"/>
    <cellStyle name="Обычный 124 9" xfId="1040"/>
    <cellStyle name="Обычный 124 90" xfId="1041"/>
    <cellStyle name="Обычный 124 91" xfId="1042"/>
    <cellStyle name="Обычный 124 92" xfId="1043"/>
    <cellStyle name="Обычный 124 93" xfId="1044"/>
    <cellStyle name="Обычный 124 94" xfId="1045"/>
    <cellStyle name="Обычный 124 95" xfId="1046"/>
    <cellStyle name="Обычный 124 96" xfId="1047"/>
    <cellStyle name="Обычный 124 97" xfId="1048"/>
    <cellStyle name="Обычный 124 98" xfId="1049"/>
    <cellStyle name="Обычный 124 99" xfId="1050"/>
    <cellStyle name="Обычный 125" xfId="1051"/>
    <cellStyle name="Обычный 125 10" xfId="1052"/>
    <cellStyle name="Обычный 125 100" xfId="1053"/>
    <cellStyle name="Обычный 125 101" xfId="1054"/>
    <cellStyle name="Обычный 125 102" xfId="1055"/>
    <cellStyle name="Обычный 125 103" xfId="1056"/>
    <cellStyle name="Обычный 125 104" xfId="1057"/>
    <cellStyle name="Обычный 125 105" xfId="1058"/>
    <cellStyle name="Обычный 125 106" xfId="1059"/>
    <cellStyle name="Обычный 125 107" xfId="1060"/>
    <cellStyle name="Обычный 125 108" xfId="1061"/>
    <cellStyle name="Обычный 125 109" xfId="1062"/>
    <cellStyle name="Обычный 125 11" xfId="1063"/>
    <cellStyle name="Обычный 125 110" xfId="1064"/>
    <cellStyle name="Обычный 125 111" xfId="1065"/>
    <cellStyle name="Обычный 125 112" xfId="1066"/>
    <cellStyle name="Обычный 125 113" xfId="1067"/>
    <cellStyle name="Обычный 125 114" xfId="1068"/>
    <cellStyle name="Обычный 125 115" xfId="1069"/>
    <cellStyle name="Обычный 125 116" xfId="1070"/>
    <cellStyle name="Обычный 125 117" xfId="1071"/>
    <cellStyle name="Обычный 125 118" xfId="1072"/>
    <cellStyle name="Обычный 125 119" xfId="1073"/>
    <cellStyle name="Обычный 125 12" xfId="1074"/>
    <cellStyle name="Обычный 125 120" xfId="1075"/>
    <cellStyle name="Обычный 125 121" xfId="1076"/>
    <cellStyle name="Обычный 125 122" xfId="1077"/>
    <cellStyle name="Обычный 125 123" xfId="1078"/>
    <cellStyle name="Обычный 125 124" xfId="1079"/>
    <cellStyle name="Обычный 125 125" xfId="1080"/>
    <cellStyle name="Обычный 125 126" xfId="1081"/>
    <cellStyle name="Обычный 125 127" xfId="1082"/>
    <cellStyle name="Обычный 125 128" xfId="1083"/>
    <cellStyle name="Обычный 125 129" xfId="1084"/>
    <cellStyle name="Обычный 125 13" xfId="1085"/>
    <cellStyle name="Обычный 125 130" xfId="1086"/>
    <cellStyle name="Обычный 125 131" xfId="1087"/>
    <cellStyle name="Обычный 125 132" xfId="1088"/>
    <cellStyle name="Обычный 125 133" xfId="1089"/>
    <cellStyle name="Обычный 125 134" xfId="1090"/>
    <cellStyle name="Обычный 125 135" xfId="1091"/>
    <cellStyle name="Обычный 125 14" xfId="1092"/>
    <cellStyle name="Обычный 125 15" xfId="1093"/>
    <cellStyle name="Обычный 125 16" xfId="1094"/>
    <cellStyle name="Обычный 125 17" xfId="1095"/>
    <cellStyle name="Обычный 125 18" xfId="1096"/>
    <cellStyle name="Обычный 125 19" xfId="1097"/>
    <cellStyle name="Обычный 125 2" xfId="1098"/>
    <cellStyle name="Обычный 125 20" xfId="1099"/>
    <cellStyle name="Обычный 125 21" xfId="1100"/>
    <cellStyle name="Обычный 125 22" xfId="1101"/>
    <cellStyle name="Обычный 125 23" xfId="1102"/>
    <cellStyle name="Обычный 125 24" xfId="1103"/>
    <cellStyle name="Обычный 125 25" xfId="1104"/>
    <cellStyle name="Обычный 125 26" xfId="1105"/>
    <cellStyle name="Обычный 125 27" xfId="1106"/>
    <cellStyle name="Обычный 125 28" xfId="1107"/>
    <cellStyle name="Обычный 125 29" xfId="1108"/>
    <cellStyle name="Обычный 125 3" xfId="1109"/>
    <cellStyle name="Обычный 125 30" xfId="1110"/>
    <cellStyle name="Обычный 125 31" xfId="1111"/>
    <cellStyle name="Обычный 125 32" xfId="1112"/>
    <cellStyle name="Обычный 125 33" xfId="1113"/>
    <cellStyle name="Обычный 125 34" xfId="1114"/>
    <cellStyle name="Обычный 125 35" xfId="1115"/>
    <cellStyle name="Обычный 125 36" xfId="1116"/>
    <cellStyle name="Обычный 125 37" xfId="1117"/>
    <cellStyle name="Обычный 125 38" xfId="1118"/>
    <cellStyle name="Обычный 125 39" xfId="1119"/>
    <cellStyle name="Обычный 125 4" xfId="1120"/>
    <cellStyle name="Обычный 125 40" xfId="1121"/>
    <cellStyle name="Обычный 125 41" xfId="1122"/>
    <cellStyle name="Обычный 125 42" xfId="1123"/>
    <cellStyle name="Обычный 125 43" xfId="1124"/>
    <cellStyle name="Обычный 125 44" xfId="1125"/>
    <cellStyle name="Обычный 125 45" xfId="1126"/>
    <cellStyle name="Обычный 125 46" xfId="1127"/>
    <cellStyle name="Обычный 125 47" xfId="1128"/>
    <cellStyle name="Обычный 125 48" xfId="1129"/>
    <cellStyle name="Обычный 125 49" xfId="1130"/>
    <cellStyle name="Обычный 125 5" xfId="1131"/>
    <cellStyle name="Обычный 125 50" xfId="1132"/>
    <cellStyle name="Обычный 125 51" xfId="1133"/>
    <cellStyle name="Обычный 125 52" xfId="1134"/>
    <cellStyle name="Обычный 125 53" xfId="1135"/>
    <cellStyle name="Обычный 125 54" xfId="1136"/>
    <cellStyle name="Обычный 125 55" xfId="1137"/>
    <cellStyle name="Обычный 125 56" xfId="1138"/>
    <cellStyle name="Обычный 125 57" xfId="1139"/>
    <cellStyle name="Обычный 125 58" xfId="1140"/>
    <cellStyle name="Обычный 125 59" xfId="1141"/>
    <cellStyle name="Обычный 125 6" xfId="1142"/>
    <cellStyle name="Обычный 125 60" xfId="1143"/>
    <cellStyle name="Обычный 125 61" xfId="1144"/>
    <cellStyle name="Обычный 125 62" xfId="1145"/>
    <cellStyle name="Обычный 125 63" xfId="1146"/>
    <cellStyle name="Обычный 125 64" xfId="1147"/>
    <cellStyle name="Обычный 125 65" xfId="1148"/>
    <cellStyle name="Обычный 125 66" xfId="1149"/>
    <cellStyle name="Обычный 125 67" xfId="1150"/>
    <cellStyle name="Обычный 125 68" xfId="1151"/>
    <cellStyle name="Обычный 125 69" xfId="1152"/>
    <cellStyle name="Обычный 125 7" xfId="1153"/>
    <cellStyle name="Обычный 125 70" xfId="1154"/>
    <cellStyle name="Обычный 125 71" xfId="1155"/>
    <cellStyle name="Обычный 125 72" xfId="1156"/>
    <cellStyle name="Обычный 125 73" xfId="1157"/>
    <cellStyle name="Обычный 125 74" xfId="1158"/>
    <cellStyle name="Обычный 125 75" xfId="1159"/>
    <cellStyle name="Обычный 125 76" xfId="1160"/>
    <cellStyle name="Обычный 125 77" xfId="1161"/>
    <cellStyle name="Обычный 125 78" xfId="1162"/>
    <cellStyle name="Обычный 125 79" xfId="1163"/>
    <cellStyle name="Обычный 125 8" xfId="1164"/>
    <cellStyle name="Обычный 125 80" xfId="1165"/>
    <cellStyle name="Обычный 125 81" xfId="1166"/>
    <cellStyle name="Обычный 125 82" xfId="1167"/>
    <cellStyle name="Обычный 125 83" xfId="1168"/>
    <cellStyle name="Обычный 125 84" xfId="1169"/>
    <cellStyle name="Обычный 125 85" xfId="1170"/>
    <cellStyle name="Обычный 125 86" xfId="1171"/>
    <cellStyle name="Обычный 125 87" xfId="1172"/>
    <cellStyle name="Обычный 125 88" xfId="1173"/>
    <cellStyle name="Обычный 125 89" xfId="1174"/>
    <cellStyle name="Обычный 125 9" xfId="1175"/>
    <cellStyle name="Обычный 125 90" xfId="1176"/>
    <cellStyle name="Обычный 125 91" xfId="1177"/>
    <cellStyle name="Обычный 125 92" xfId="1178"/>
    <cellStyle name="Обычный 125 93" xfId="1179"/>
    <cellStyle name="Обычный 125 94" xfId="1180"/>
    <cellStyle name="Обычный 125 95" xfId="1181"/>
    <cellStyle name="Обычный 125 96" xfId="1182"/>
    <cellStyle name="Обычный 125 97" xfId="1183"/>
    <cellStyle name="Обычный 125 98" xfId="1184"/>
    <cellStyle name="Обычный 125 99" xfId="1185"/>
    <cellStyle name="Обычный 126" xfId="1186"/>
    <cellStyle name="Обычный 126 10" xfId="1187"/>
    <cellStyle name="Обычный 126 100" xfId="1188"/>
    <cellStyle name="Обычный 126 101" xfId="1189"/>
    <cellStyle name="Обычный 126 102" xfId="1190"/>
    <cellStyle name="Обычный 126 103" xfId="1191"/>
    <cellStyle name="Обычный 126 104" xfId="1192"/>
    <cellStyle name="Обычный 126 105" xfId="1193"/>
    <cellStyle name="Обычный 126 106" xfId="1194"/>
    <cellStyle name="Обычный 126 107" xfId="1195"/>
    <cellStyle name="Обычный 126 108" xfId="1196"/>
    <cellStyle name="Обычный 126 109" xfId="1197"/>
    <cellStyle name="Обычный 126 11" xfId="1198"/>
    <cellStyle name="Обычный 126 110" xfId="1199"/>
    <cellStyle name="Обычный 126 111" xfId="1200"/>
    <cellStyle name="Обычный 126 112" xfId="1201"/>
    <cellStyle name="Обычный 126 113" xfId="1202"/>
    <cellStyle name="Обычный 126 114" xfId="1203"/>
    <cellStyle name="Обычный 126 115" xfId="1204"/>
    <cellStyle name="Обычный 126 116" xfId="1205"/>
    <cellStyle name="Обычный 126 117" xfId="1206"/>
    <cellStyle name="Обычный 126 118" xfId="1207"/>
    <cellStyle name="Обычный 126 119" xfId="1208"/>
    <cellStyle name="Обычный 126 12" xfId="1209"/>
    <cellStyle name="Обычный 126 120" xfId="1210"/>
    <cellStyle name="Обычный 126 121" xfId="1211"/>
    <cellStyle name="Обычный 126 122" xfId="1212"/>
    <cellStyle name="Обычный 126 123" xfId="1213"/>
    <cellStyle name="Обычный 126 124" xfId="1214"/>
    <cellStyle name="Обычный 126 125" xfId="1215"/>
    <cellStyle name="Обычный 126 126" xfId="1216"/>
    <cellStyle name="Обычный 126 127" xfId="1217"/>
    <cellStyle name="Обычный 126 128" xfId="1218"/>
    <cellStyle name="Обычный 126 129" xfId="1219"/>
    <cellStyle name="Обычный 126 13" xfId="1220"/>
    <cellStyle name="Обычный 126 130" xfId="1221"/>
    <cellStyle name="Обычный 126 131" xfId="1222"/>
    <cellStyle name="Обычный 126 132" xfId="1223"/>
    <cellStyle name="Обычный 126 133" xfId="1224"/>
    <cellStyle name="Обычный 126 134" xfId="1225"/>
    <cellStyle name="Обычный 126 135" xfId="1226"/>
    <cellStyle name="Обычный 126 14" xfId="1227"/>
    <cellStyle name="Обычный 126 15" xfId="1228"/>
    <cellStyle name="Обычный 126 16" xfId="1229"/>
    <cellStyle name="Обычный 126 17" xfId="1230"/>
    <cellStyle name="Обычный 126 18" xfId="1231"/>
    <cellStyle name="Обычный 126 19" xfId="1232"/>
    <cellStyle name="Обычный 126 2" xfId="1233"/>
    <cellStyle name="Обычный 126 20" xfId="1234"/>
    <cellStyle name="Обычный 126 21" xfId="1235"/>
    <cellStyle name="Обычный 126 22" xfId="1236"/>
    <cellStyle name="Обычный 126 23" xfId="1237"/>
    <cellStyle name="Обычный 126 24" xfId="1238"/>
    <cellStyle name="Обычный 126 25" xfId="1239"/>
    <cellStyle name="Обычный 126 26" xfId="1240"/>
    <cellStyle name="Обычный 126 27" xfId="1241"/>
    <cellStyle name="Обычный 126 28" xfId="1242"/>
    <cellStyle name="Обычный 126 29" xfId="1243"/>
    <cellStyle name="Обычный 126 3" xfId="1244"/>
    <cellStyle name="Обычный 126 30" xfId="1245"/>
    <cellStyle name="Обычный 126 31" xfId="1246"/>
    <cellStyle name="Обычный 126 32" xfId="1247"/>
    <cellStyle name="Обычный 126 33" xfId="1248"/>
    <cellStyle name="Обычный 126 34" xfId="1249"/>
    <cellStyle name="Обычный 126 35" xfId="1250"/>
    <cellStyle name="Обычный 126 36" xfId="1251"/>
    <cellStyle name="Обычный 126 37" xfId="1252"/>
    <cellStyle name="Обычный 126 38" xfId="1253"/>
    <cellStyle name="Обычный 126 39" xfId="1254"/>
    <cellStyle name="Обычный 126 4" xfId="1255"/>
    <cellStyle name="Обычный 126 40" xfId="1256"/>
    <cellStyle name="Обычный 126 41" xfId="1257"/>
    <cellStyle name="Обычный 126 42" xfId="1258"/>
    <cellStyle name="Обычный 126 43" xfId="1259"/>
    <cellStyle name="Обычный 126 44" xfId="1260"/>
    <cellStyle name="Обычный 126 45" xfId="1261"/>
    <cellStyle name="Обычный 126 46" xfId="1262"/>
    <cellStyle name="Обычный 126 47" xfId="1263"/>
    <cellStyle name="Обычный 126 48" xfId="1264"/>
    <cellStyle name="Обычный 126 49" xfId="1265"/>
    <cellStyle name="Обычный 126 5" xfId="1266"/>
    <cellStyle name="Обычный 126 50" xfId="1267"/>
    <cellStyle name="Обычный 126 51" xfId="1268"/>
    <cellStyle name="Обычный 126 52" xfId="1269"/>
    <cellStyle name="Обычный 126 53" xfId="1270"/>
    <cellStyle name="Обычный 126 54" xfId="1271"/>
    <cellStyle name="Обычный 126 55" xfId="1272"/>
    <cellStyle name="Обычный 126 56" xfId="1273"/>
    <cellStyle name="Обычный 126 57" xfId="1274"/>
    <cellStyle name="Обычный 126 58" xfId="1275"/>
    <cellStyle name="Обычный 126 59" xfId="1276"/>
    <cellStyle name="Обычный 126 6" xfId="1277"/>
    <cellStyle name="Обычный 126 60" xfId="1278"/>
    <cellStyle name="Обычный 126 61" xfId="1279"/>
    <cellStyle name="Обычный 126 62" xfId="1280"/>
    <cellStyle name="Обычный 126 63" xfId="1281"/>
    <cellStyle name="Обычный 126 64" xfId="1282"/>
    <cellStyle name="Обычный 126 65" xfId="1283"/>
    <cellStyle name="Обычный 126 66" xfId="1284"/>
    <cellStyle name="Обычный 126 67" xfId="1285"/>
    <cellStyle name="Обычный 126 68" xfId="1286"/>
    <cellStyle name="Обычный 126 69" xfId="1287"/>
    <cellStyle name="Обычный 126 7" xfId="1288"/>
    <cellStyle name="Обычный 126 70" xfId="1289"/>
    <cellStyle name="Обычный 126 71" xfId="1290"/>
    <cellStyle name="Обычный 126 72" xfId="1291"/>
    <cellStyle name="Обычный 126 73" xfId="1292"/>
    <cellStyle name="Обычный 126 74" xfId="1293"/>
    <cellStyle name="Обычный 126 75" xfId="1294"/>
    <cellStyle name="Обычный 126 76" xfId="1295"/>
    <cellStyle name="Обычный 126 77" xfId="1296"/>
    <cellStyle name="Обычный 126 78" xfId="1297"/>
    <cellStyle name="Обычный 126 79" xfId="1298"/>
    <cellStyle name="Обычный 126 8" xfId="1299"/>
    <cellStyle name="Обычный 126 80" xfId="1300"/>
    <cellStyle name="Обычный 126 81" xfId="1301"/>
    <cellStyle name="Обычный 126 82" xfId="1302"/>
    <cellStyle name="Обычный 126 83" xfId="1303"/>
    <cellStyle name="Обычный 126 84" xfId="1304"/>
    <cellStyle name="Обычный 126 85" xfId="1305"/>
    <cellStyle name="Обычный 126 86" xfId="1306"/>
    <cellStyle name="Обычный 126 87" xfId="1307"/>
    <cellStyle name="Обычный 126 88" xfId="1308"/>
    <cellStyle name="Обычный 126 89" xfId="1309"/>
    <cellStyle name="Обычный 126 9" xfId="1310"/>
    <cellStyle name="Обычный 126 90" xfId="1311"/>
    <cellStyle name="Обычный 126 91" xfId="1312"/>
    <cellStyle name="Обычный 126 92" xfId="1313"/>
    <cellStyle name="Обычный 126 93" xfId="1314"/>
    <cellStyle name="Обычный 126 94" xfId="1315"/>
    <cellStyle name="Обычный 126 95" xfId="1316"/>
    <cellStyle name="Обычный 126 96" xfId="1317"/>
    <cellStyle name="Обычный 126 97" xfId="1318"/>
    <cellStyle name="Обычный 126 98" xfId="1319"/>
    <cellStyle name="Обычный 126 99" xfId="1320"/>
    <cellStyle name="Обычный 127" xfId="1321"/>
    <cellStyle name="Обычный 128" xfId="1322"/>
    <cellStyle name="Обычный 129" xfId="1323"/>
    <cellStyle name="Обычный 13" xfId="1324"/>
    <cellStyle name="Обычный 130" xfId="1325"/>
    <cellStyle name="Обычный 131" xfId="1326"/>
    <cellStyle name="Обычный 132" xfId="1327"/>
    <cellStyle name="Обычный 133" xfId="1328"/>
    <cellStyle name="Обычный 134" xfId="1329"/>
    <cellStyle name="Обычный 135" xfId="1330"/>
    <cellStyle name="Обычный 135 2" xfId="1331"/>
    <cellStyle name="Обычный 136" xfId="1332"/>
    <cellStyle name="Обычный 137" xfId="1333"/>
    <cellStyle name="Обычный 137 2" xfId="1334"/>
    <cellStyle name="Обычный 138" xfId="1335"/>
    <cellStyle name="Обычный 139" xfId="1336"/>
    <cellStyle name="Обычный 14" xfId="1337"/>
    <cellStyle name="Обычный 14 2" xfId="1338"/>
    <cellStyle name="Обычный 140" xfId="1339"/>
    <cellStyle name="Обычный 140 2" xfId="1340"/>
    <cellStyle name="Обычный 141" xfId="1341"/>
    <cellStyle name="Обычный 141 2" xfId="1342"/>
    <cellStyle name="Обычный 142" xfId="1343"/>
    <cellStyle name="Обычный 143" xfId="1344"/>
    <cellStyle name="Обычный 144" xfId="1345"/>
    <cellStyle name="Обычный 145" xfId="1346"/>
    <cellStyle name="Обычный 146" xfId="1347"/>
    <cellStyle name="Обычный 146 2" xfId="1348"/>
    <cellStyle name="Обычный 147" xfId="1349"/>
    <cellStyle name="Обычный 148" xfId="1350"/>
    <cellStyle name="Обычный 149" xfId="1351"/>
    <cellStyle name="Обычный 15" xfId="1352"/>
    <cellStyle name="Обычный 150" xfId="1353"/>
    <cellStyle name="Обычный 151" xfId="1354"/>
    <cellStyle name="Обычный 152" xfId="1355"/>
    <cellStyle name="Обычный 152 2" xfId="1356"/>
    <cellStyle name="Обычный 153" xfId="1357"/>
    <cellStyle name="Обычный 154" xfId="1358"/>
    <cellStyle name="Обычный 155" xfId="1359"/>
    <cellStyle name="Обычный 156" xfId="1360"/>
    <cellStyle name="Обычный 157" xfId="1361"/>
    <cellStyle name="Обычный 158" xfId="1362"/>
    <cellStyle name="Обычный 159" xfId="1363"/>
    <cellStyle name="Обычный 16" xfId="1364"/>
    <cellStyle name="Обычный 160" xfId="1365"/>
    <cellStyle name="Обычный 161" xfId="1366"/>
    <cellStyle name="Обычный 162" xfId="1367"/>
    <cellStyle name="Обычный 163" xfId="1368"/>
    <cellStyle name="Обычный 164" xfId="1369"/>
    <cellStyle name="Обычный 165" xfId="1370"/>
    <cellStyle name="Обычный 166" xfId="1371"/>
    <cellStyle name="Обычный 167" xfId="1372"/>
    <cellStyle name="Обычный 168" xfId="1373"/>
    <cellStyle name="Обычный 169" xfId="1374"/>
    <cellStyle name="Обычный 17" xfId="1375"/>
    <cellStyle name="Обычный 170" xfId="1376"/>
    <cellStyle name="Обычный 171" xfId="1377"/>
    <cellStyle name="Обычный 172" xfId="1378"/>
    <cellStyle name="Обычный 173" xfId="1379"/>
    <cellStyle name="Обычный 174" xfId="1380"/>
    <cellStyle name="Обычный 175" xfId="1381"/>
    <cellStyle name="Обычный 176" xfId="1382"/>
    <cellStyle name="Обычный 177" xfId="1383"/>
    <cellStyle name="Обычный 178" xfId="1384"/>
    <cellStyle name="Обычный 179" xfId="1385"/>
    <cellStyle name="Обычный 18" xfId="1386"/>
    <cellStyle name="Обычный 180" xfId="1387"/>
    <cellStyle name="Обычный 180 2" xfId="1388"/>
    <cellStyle name="Обычный 181" xfId="1389"/>
    <cellStyle name="Обычный 182" xfId="1390"/>
    <cellStyle name="Обычный 183" xfId="1391"/>
    <cellStyle name="Обычный 184" xfId="1392"/>
    <cellStyle name="Обычный 185" xfId="1393"/>
    <cellStyle name="Обычный 186" xfId="1394"/>
    <cellStyle name="Обычный 187" xfId="1395"/>
    <cellStyle name="Обычный 187 2" xfId="1396"/>
    <cellStyle name="Обычный 188" xfId="1397"/>
    <cellStyle name="Обычный 189" xfId="1398"/>
    <cellStyle name="Обычный 19" xfId="1399"/>
    <cellStyle name="Обычный 19 2" xfId="1400"/>
    <cellStyle name="Обычный 190" xfId="1401"/>
    <cellStyle name="Обычный 191" xfId="1402"/>
    <cellStyle name="Обычный 192" xfId="1403"/>
    <cellStyle name="Обычный 193" xfId="1404"/>
    <cellStyle name="Обычный 194" xfId="1405"/>
    <cellStyle name="Обычный 195" xfId="1406"/>
    <cellStyle name="Обычный 196" xfId="1407"/>
    <cellStyle name="Обычный 197" xfId="1408"/>
    <cellStyle name="Обычный 2" xfId="1409"/>
    <cellStyle name="Обычный 2 10" xfId="1410"/>
    <cellStyle name="Обычный 2 100" xfId="1411"/>
    <cellStyle name="Обычный 2 101" xfId="1412"/>
    <cellStyle name="Обычный 2 102" xfId="1413"/>
    <cellStyle name="Обычный 2 103" xfId="1414"/>
    <cellStyle name="Обычный 2 104" xfId="1415"/>
    <cellStyle name="Обычный 2 105" xfId="1416"/>
    <cellStyle name="Обычный 2 106" xfId="1417"/>
    <cellStyle name="Обычный 2 107" xfId="1418"/>
    <cellStyle name="Обычный 2 108" xfId="1419"/>
    <cellStyle name="Обычный 2 109" xfId="1420"/>
    <cellStyle name="Обычный 2 11" xfId="1421"/>
    <cellStyle name="Обычный 2 110" xfId="1422"/>
    <cellStyle name="Обычный 2 111" xfId="1423"/>
    <cellStyle name="Обычный 2 112" xfId="1424"/>
    <cellStyle name="Обычный 2 113" xfId="1425"/>
    <cellStyle name="Обычный 2 114" xfId="1426"/>
    <cellStyle name="Обычный 2 115" xfId="1427"/>
    <cellStyle name="Обычный 2 116" xfId="1428"/>
    <cellStyle name="Обычный 2 117" xfId="1429"/>
    <cellStyle name="Обычный 2 118" xfId="1430"/>
    <cellStyle name="Обычный 2 119" xfId="1431"/>
    <cellStyle name="Обычный 2 12" xfId="1432"/>
    <cellStyle name="Обычный 2 120" xfId="1433"/>
    <cellStyle name="Обычный 2 121" xfId="1434"/>
    <cellStyle name="Обычный 2 122" xfId="1435"/>
    <cellStyle name="Обычный 2 123" xfId="1436"/>
    <cellStyle name="Обычный 2 124" xfId="1437"/>
    <cellStyle name="Обычный 2 125" xfId="1438"/>
    <cellStyle name="Обычный 2 126" xfId="1439"/>
    <cellStyle name="Обычный 2 127" xfId="1440"/>
    <cellStyle name="Обычный 2 128" xfId="1441"/>
    <cellStyle name="Обычный 2 129" xfId="1442"/>
    <cellStyle name="Обычный 2 13" xfId="1443"/>
    <cellStyle name="Обычный 2 130" xfId="1444"/>
    <cellStyle name="Обычный 2 131" xfId="1445"/>
    <cellStyle name="Обычный 2 132" xfId="1446"/>
    <cellStyle name="Обычный 2 14" xfId="1447"/>
    <cellStyle name="Обычный 2 15" xfId="1448"/>
    <cellStyle name="Обычный 2 16" xfId="1449"/>
    <cellStyle name="Обычный 2 17" xfId="1450"/>
    <cellStyle name="Обычный 2 18" xfId="1451"/>
    <cellStyle name="Обычный 2 19" xfId="1452"/>
    <cellStyle name="Обычный 2 2" xfId="1453"/>
    <cellStyle name="Обычный 2 2 2" xfId="1454"/>
    <cellStyle name="Обычный 2 20" xfId="1455"/>
    <cellStyle name="Обычный 2 21" xfId="1456"/>
    <cellStyle name="Обычный 2 22" xfId="1457"/>
    <cellStyle name="Обычный 2 23" xfId="1458"/>
    <cellStyle name="Обычный 2 24" xfId="1459"/>
    <cellStyle name="Обычный 2 25" xfId="1460"/>
    <cellStyle name="Обычный 2 26" xfId="1461"/>
    <cellStyle name="Обычный 2 27" xfId="1462"/>
    <cellStyle name="Обычный 2 28" xfId="1463"/>
    <cellStyle name="Обычный 2 29" xfId="1464"/>
    <cellStyle name="Обычный 2 3" xfId="1465"/>
    <cellStyle name="Обычный 2 30" xfId="1466"/>
    <cellStyle name="Обычный 2 31" xfId="1467"/>
    <cellStyle name="Обычный 2 32" xfId="1468"/>
    <cellStyle name="Обычный 2 33" xfId="1469"/>
    <cellStyle name="Обычный 2 34" xfId="1470"/>
    <cellStyle name="Обычный 2 35" xfId="1471"/>
    <cellStyle name="Обычный 2 36" xfId="1472"/>
    <cellStyle name="Обычный 2 37" xfId="1473"/>
    <cellStyle name="Обычный 2 38" xfId="1474"/>
    <cellStyle name="Обычный 2 39" xfId="1475"/>
    <cellStyle name="Обычный 2 4" xfId="1476"/>
    <cellStyle name="Обычный 2 40" xfId="1477"/>
    <cellStyle name="Обычный 2 41" xfId="1478"/>
    <cellStyle name="Обычный 2 42" xfId="1479"/>
    <cellStyle name="Обычный 2 43" xfId="1480"/>
    <cellStyle name="Обычный 2 44" xfId="1481"/>
    <cellStyle name="Обычный 2 45" xfId="1482"/>
    <cellStyle name="Обычный 2 46" xfId="1483"/>
    <cellStyle name="Обычный 2 47" xfId="1484"/>
    <cellStyle name="Обычный 2 48" xfId="1485"/>
    <cellStyle name="Обычный 2 49" xfId="1486"/>
    <cellStyle name="Обычный 2 5" xfId="1487"/>
    <cellStyle name="Обычный 2 50" xfId="1488"/>
    <cellStyle name="Обычный 2 51" xfId="1489"/>
    <cellStyle name="Обычный 2 52" xfId="1490"/>
    <cellStyle name="Обычный 2 53" xfId="1491"/>
    <cellStyle name="Обычный 2 54" xfId="1492"/>
    <cellStyle name="Обычный 2 55" xfId="1493"/>
    <cellStyle name="Обычный 2 56" xfId="1494"/>
    <cellStyle name="Обычный 2 57" xfId="1495"/>
    <cellStyle name="Обычный 2 58" xfId="1496"/>
    <cellStyle name="Обычный 2 59" xfId="1497"/>
    <cellStyle name="Обычный 2 6" xfId="1498"/>
    <cellStyle name="Обычный 2 60" xfId="1499"/>
    <cellStyle name="Обычный 2 61" xfId="1500"/>
    <cellStyle name="Обычный 2 62" xfId="1501"/>
    <cellStyle name="Обычный 2 63" xfId="1502"/>
    <cellStyle name="Обычный 2 64" xfId="1503"/>
    <cellStyle name="Обычный 2 65" xfId="1504"/>
    <cellStyle name="Обычный 2 66" xfId="1505"/>
    <cellStyle name="Обычный 2 67" xfId="1506"/>
    <cellStyle name="Обычный 2 68" xfId="1507"/>
    <cellStyle name="Обычный 2 69" xfId="1508"/>
    <cellStyle name="Обычный 2 7" xfId="1509"/>
    <cellStyle name="Обычный 2 70" xfId="1510"/>
    <cellStyle name="Обычный 2 71" xfId="1511"/>
    <cellStyle name="Обычный 2 72" xfId="1512"/>
    <cellStyle name="Обычный 2 73" xfId="1513"/>
    <cellStyle name="Обычный 2 74" xfId="1514"/>
    <cellStyle name="Обычный 2 75" xfId="1515"/>
    <cellStyle name="Обычный 2 76" xfId="1516"/>
    <cellStyle name="Обычный 2 77" xfId="1517"/>
    <cellStyle name="Обычный 2 78" xfId="1518"/>
    <cellStyle name="Обычный 2 79" xfId="1519"/>
    <cellStyle name="Обычный 2 8" xfId="1520"/>
    <cellStyle name="Обычный 2 80" xfId="1521"/>
    <cellStyle name="Обычный 2 81" xfId="1522"/>
    <cellStyle name="Обычный 2 82" xfId="1523"/>
    <cellStyle name="Обычный 2 83" xfId="1524"/>
    <cellStyle name="Обычный 2 84" xfId="1525"/>
    <cellStyle name="Обычный 2 85" xfId="1526"/>
    <cellStyle name="Обычный 2 86" xfId="1527"/>
    <cellStyle name="Обычный 2 87" xfId="1528"/>
    <cellStyle name="Обычный 2 88" xfId="1529"/>
    <cellStyle name="Обычный 2 89" xfId="1530"/>
    <cellStyle name="Обычный 2 9" xfId="1531"/>
    <cellStyle name="Обычный 2 90" xfId="1532"/>
    <cellStyle name="Обычный 2 91" xfId="1533"/>
    <cellStyle name="Обычный 2 92" xfId="1534"/>
    <cellStyle name="Обычный 2 93" xfId="1535"/>
    <cellStyle name="Обычный 2 94" xfId="1536"/>
    <cellStyle name="Обычный 2 95" xfId="1537"/>
    <cellStyle name="Обычный 2 96" xfId="1538"/>
    <cellStyle name="Обычный 2 97" xfId="1539"/>
    <cellStyle name="Обычный 2 98" xfId="1540"/>
    <cellStyle name="Обычный 2 99" xfId="1541"/>
    <cellStyle name="Обычный 2_доплати до 3723 " xfId="1542"/>
    <cellStyle name="Обычный 20" xfId="1543"/>
    <cellStyle name="Обычный 21" xfId="1544"/>
    <cellStyle name="Обычный 21 2" xfId="1545"/>
    <cellStyle name="Обычный 22" xfId="1546"/>
    <cellStyle name="Обычный 23" xfId="1547"/>
    <cellStyle name="Обычный 24" xfId="1548"/>
    <cellStyle name="Обычный 25" xfId="1549"/>
    <cellStyle name="Обычный 26" xfId="1550"/>
    <cellStyle name="Обычный 26 2" xfId="1551"/>
    <cellStyle name="Обычный 27" xfId="1552"/>
    <cellStyle name="Обычный 28" xfId="1553"/>
    <cellStyle name="Обычный 28 2" xfId="1554"/>
    <cellStyle name="Обычный 29" xfId="1555"/>
    <cellStyle name="Обычный 29 2" xfId="1556"/>
    <cellStyle name="Обычный 3" xfId="1557"/>
    <cellStyle name="Обычный 3 10" xfId="1558"/>
    <cellStyle name="Обычный 3 100" xfId="1559"/>
    <cellStyle name="Обычный 3 101" xfId="1560"/>
    <cellStyle name="Обычный 3 102" xfId="1561"/>
    <cellStyle name="Обычный 3 103" xfId="1562"/>
    <cellStyle name="Обычный 3 104" xfId="1563"/>
    <cellStyle name="Обычный 3 105" xfId="1564"/>
    <cellStyle name="Обычный 3 106" xfId="1565"/>
    <cellStyle name="Обычный 3 107" xfId="1566"/>
    <cellStyle name="Обычный 3 108" xfId="1567"/>
    <cellStyle name="Обычный 3 109" xfId="1568"/>
    <cellStyle name="Обычный 3 11" xfId="1569"/>
    <cellStyle name="Обычный 3 110" xfId="1570"/>
    <cellStyle name="Обычный 3 111" xfId="1571"/>
    <cellStyle name="Обычный 3 112" xfId="1572"/>
    <cellStyle name="Обычный 3 113" xfId="1573"/>
    <cellStyle name="Обычный 3 114" xfId="1574"/>
    <cellStyle name="Обычный 3 115" xfId="1575"/>
    <cellStyle name="Обычный 3 116" xfId="1576"/>
    <cellStyle name="Обычный 3 117" xfId="1577"/>
    <cellStyle name="Обычный 3 118" xfId="1578"/>
    <cellStyle name="Обычный 3 119" xfId="1579"/>
    <cellStyle name="Обычный 3 12" xfId="1580"/>
    <cellStyle name="Обычный 3 120" xfId="1581"/>
    <cellStyle name="Обычный 3 121" xfId="1582"/>
    <cellStyle name="Обычный 3 122" xfId="1583"/>
    <cellStyle name="Обычный 3 123" xfId="1584"/>
    <cellStyle name="Обычный 3 124" xfId="1585"/>
    <cellStyle name="Обычный 3 125" xfId="1586"/>
    <cellStyle name="Обычный 3 126" xfId="1587"/>
    <cellStyle name="Обычный 3 127" xfId="1588"/>
    <cellStyle name="Обычный 3 128" xfId="1589"/>
    <cellStyle name="Обычный 3 129" xfId="1590"/>
    <cellStyle name="Обычный 3 13" xfId="1591"/>
    <cellStyle name="Обычный 3 130" xfId="1592"/>
    <cellStyle name="Обычный 3 131" xfId="1593"/>
    <cellStyle name="Обычный 3 132" xfId="1594"/>
    <cellStyle name="Обычный 3 133" xfId="1595"/>
    <cellStyle name="Обычный 3 134" xfId="1596"/>
    <cellStyle name="Обычный 3 135" xfId="1597"/>
    <cellStyle name="Обычный 3 136" xfId="1598"/>
    <cellStyle name="Обычный 3 137" xfId="1599"/>
    <cellStyle name="Обычный 3 14" xfId="1600"/>
    <cellStyle name="Обычный 3 15" xfId="1601"/>
    <cellStyle name="Обычный 3 16" xfId="1602"/>
    <cellStyle name="Обычный 3 17" xfId="1603"/>
    <cellStyle name="Обычный 3 18" xfId="1604"/>
    <cellStyle name="Обычный 3 19" xfId="1605"/>
    <cellStyle name="Обычный 3 2" xfId="1606"/>
    <cellStyle name="Обычный 3 2 2" xfId="1607"/>
    <cellStyle name="Обычный 3 2_ПРОЕКТ 4  (уточнений 04.12.2017.) 1011100 на 2018 рік  з  ПТНЗ 36,38 на 6 міс" xfId="1608"/>
    <cellStyle name="Обычный 3 20" xfId="1609"/>
    <cellStyle name="Обычный 3 21" xfId="1610"/>
    <cellStyle name="Обычный 3 22" xfId="1611"/>
    <cellStyle name="Обычный 3 23" xfId="1612"/>
    <cellStyle name="Обычный 3 24" xfId="1613"/>
    <cellStyle name="Обычный 3 25" xfId="1614"/>
    <cellStyle name="Обычный 3 26" xfId="1615"/>
    <cellStyle name="Обычный 3 27" xfId="1616"/>
    <cellStyle name="Обычный 3 28" xfId="1617"/>
    <cellStyle name="Обычный 3 29" xfId="1618"/>
    <cellStyle name="Обычный 3 3" xfId="1619"/>
    <cellStyle name="Обычный 3 3 2" xfId="1620"/>
    <cellStyle name="Обычный 3 3_ПРОЕКТ 4  (уточнений 04.12.2017.) 1011100 на 2018 рік  з  ПТНЗ 36,38 на 6 міс" xfId="1621"/>
    <cellStyle name="Обычный 3 30" xfId="1622"/>
    <cellStyle name="Обычный 3 31" xfId="1623"/>
    <cellStyle name="Обычный 3 32" xfId="1624"/>
    <cellStyle name="Обычный 3 33" xfId="1625"/>
    <cellStyle name="Обычный 3 34" xfId="1626"/>
    <cellStyle name="Обычный 3 35" xfId="1627"/>
    <cellStyle name="Обычный 3 36" xfId="1628"/>
    <cellStyle name="Обычный 3 37" xfId="1629"/>
    <cellStyle name="Обычный 3 38" xfId="1630"/>
    <cellStyle name="Обычный 3 39" xfId="1631"/>
    <cellStyle name="Обычный 3 4" xfId="1632"/>
    <cellStyle name="Обычный 3 40" xfId="1633"/>
    <cellStyle name="Обычный 3 41" xfId="1634"/>
    <cellStyle name="Обычный 3 42" xfId="1635"/>
    <cellStyle name="Обычный 3 43" xfId="1636"/>
    <cellStyle name="Обычный 3 44" xfId="1637"/>
    <cellStyle name="Обычный 3 45" xfId="1638"/>
    <cellStyle name="Обычный 3 46" xfId="1639"/>
    <cellStyle name="Обычный 3 47" xfId="1640"/>
    <cellStyle name="Обычный 3 48" xfId="1641"/>
    <cellStyle name="Обычный 3 49" xfId="1642"/>
    <cellStyle name="Обычный 3 5" xfId="1643"/>
    <cellStyle name="Обычный 3 50" xfId="1644"/>
    <cellStyle name="Обычный 3 51" xfId="1645"/>
    <cellStyle name="Обычный 3 52" xfId="1646"/>
    <cellStyle name="Обычный 3 53" xfId="1647"/>
    <cellStyle name="Обычный 3 54" xfId="1648"/>
    <cellStyle name="Обычный 3 55" xfId="1649"/>
    <cellStyle name="Обычный 3 56" xfId="1650"/>
    <cellStyle name="Обычный 3 57" xfId="1651"/>
    <cellStyle name="Обычный 3 58" xfId="1652"/>
    <cellStyle name="Обычный 3 59" xfId="1653"/>
    <cellStyle name="Обычный 3 6" xfId="1654"/>
    <cellStyle name="Обычный 3 60" xfId="1655"/>
    <cellStyle name="Обычный 3 61" xfId="1656"/>
    <cellStyle name="Обычный 3 62" xfId="1657"/>
    <cellStyle name="Обычный 3 63" xfId="1658"/>
    <cellStyle name="Обычный 3 64" xfId="1659"/>
    <cellStyle name="Обычный 3 65" xfId="1660"/>
    <cellStyle name="Обычный 3 66" xfId="1661"/>
    <cellStyle name="Обычный 3 67" xfId="1662"/>
    <cellStyle name="Обычный 3 68" xfId="1663"/>
    <cellStyle name="Обычный 3 69" xfId="1664"/>
    <cellStyle name="Обычный 3 7" xfId="1665"/>
    <cellStyle name="Обычный 3 70" xfId="1666"/>
    <cellStyle name="Обычный 3 71" xfId="1667"/>
    <cellStyle name="Обычный 3 72" xfId="1668"/>
    <cellStyle name="Обычный 3 73" xfId="1669"/>
    <cellStyle name="Обычный 3 74" xfId="1670"/>
    <cellStyle name="Обычный 3 75" xfId="1671"/>
    <cellStyle name="Обычный 3 76" xfId="1672"/>
    <cellStyle name="Обычный 3 77" xfId="1673"/>
    <cellStyle name="Обычный 3 78" xfId="1674"/>
    <cellStyle name="Обычный 3 79" xfId="1675"/>
    <cellStyle name="Обычный 3 8" xfId="1676"/>
    <cellStyle name="Обычный 3 80" xfId="1677"/>
    <cellStyle name="Обычный 3 81" xfId="1678"/>
    <cellStyle name="Обычный 3 82" xfId="1679"/>
    <cellStyle name="Обычный 3 83" xfId="1680"/>
    <cellStyle name="Обычный 3 84" xfId="1681"/>
    <cellStyle name="Обычный 3 85" xfId="1682"/>
    <cellStyle name="Обычный 3 86" xfId="1683"/>
    <cellStyle name="Обычный 3 87" xfId="1684"/>
    <cellStyle name="Обычный 3 88" xfId="1685"/>
    <cellStyle name="Обычный 3 89" xfId="1686"/>
    <cellStyle name="Обычный 3 9" xfId="1687"/>
    <cellStyle name="Обычный 3 90" xfId="1688"/>
    <cellStyle name="Обычный 3 91" xfId="1689"/>
    <cellStyle name="Обычный 3 92" xfId="1690"/>
    <cellStyle name="Обычный 3 93" xfId="1691"/>
    <cellStyle name="Обычный 3 94" xfId="1692"/>
    <cellStyle name="Обычный 3 95" xfId="1693"/>
    <cellStyle name="Обычный 3 96" xfId="1694"/>
    <cellStyle name="Обычный 3 97" xfId="1695"/>
    <cellStyle name="Обычный 3 98" xfId="1696"/>
    <cellStyle name="Обычный 3 99" xfId="1697"/>
    <cellStyle name="Обычный 3_Розр ФОП по тар.розр (070501) под смету" xfId="1698"/>
    <cellStyle name="Обычный 30" xfId="1699"/>
    <cellStyle name="Обычный 31" xfId="1700"/>
    <cellStyle name="Обычный 32" xfId="1701"/>
    <cellStyle name="Обычный 32 10" xfId="1702"/>
    <cellStyle name="Обычный 32 100" xfId="1703"/>
    <cellStyle name="Обычный 32 101" xfId="1704"/>
    <cellStyle name="Обычный 32 102" xfId="1705"/>
    <cellStyle name="Обычный 32 103" xfId="1706"/>
    <cellStyle name="Обычный 32 104" xfId="1707"/>
    <cellStyle name="Обычный 32 105" xfId="1708"/>
    <cellStyle name="Обычный 32 106" xfId="1709"/>
    <cellStyle name="Обычный 32 107" xfId="1710"/>
    <cellStyle name="Обычный 32 108" xfId="1711"/>
    <cellStyle name="Обычный 32 109" xfId="1712"/>
    <cellStyle name="Обычный 32 11" xfId="1713"/>
    <cellStyle name="Обычный 32 110" xfId="1714"/>
    <cellStyle name="Обычный 32 111" xfId="1715"/>
    <cellStyle name="Обычный 32 112" xfId="1716"/>
    <cellStyle name="Обычный 32 113" xfId="1717"/>
    <cellStyle name="Обычный 32 114" xfId="1718"/>
    <cellStyle name="Обычный 32 115" xfId="1719"/>
    <cellStyle name="Обычный 32 116" xfId="1720"/>
    <cellStyle name="Обычный 32 117" xfId="1721"/>
    <cellStyle name="Обычный 32 118" xfId="1722"/>
    <cellStyle name="Обычный 32 119" xfId="1723"/>
    <cellStyle name="Обычный 32 12" xfId="1724"/>
    <cellStyle name="Обычный 32 120" xfId="1725"/>
    <cellStyle name="Обычный 32 121" xfId="1726"/>
    <cellStyle name="Обычный 32 122" xfId="1727"/>
    <cellStyle name="Обычный 32 123" xfId="1728"/>
    <cellStyle name="Обычный 32 124" xfId="1729"/>
    <cellStyle name="Обычный 32 125" xfId="1730"/>
    <cellStyle name="Обычный 32 126" xfId="1731"/>
    <cellStyle name="Обычный 32 127" xfId="1732"/>
    <cellStyle name="Обычный 32 128" xfId="1733"/>
    <cellStyle name="Обычный 32 129" xfId="1734"/>
    <cellStyle name="Обычный 32 13" xfId="1735"/>
    <cellStyle name="Обычный 32 130" xfId="1736"/>
    <cellStyle name="Обычный 32 131" xfId="1737"/>
    <cellStyle name="Обычный 32 132" xfId="1738"/>
    <cellStyle name="Обычный 32 133" xfId="1739"/>
    <cellStyle name="Обычный 32 134" xfId="1740"/>
    <cellStyle name="Обычный 32 135" xfId="1741"/>
    <cellStyle name="Обычный 32 14" xfId="1742"/>
    <cellStyle name="Обычный 32 15" xfId="1743"/>
    <cellStyle name="Обычный 32 16" xfId="1744"/>
    <cellStyle name="Обычный 32 17" xfId="1745"/>
    <cellStyle name="Обычный 32 18" xfId="1746"/>
    <cellStyle name="Обычный 32 19" xfId="1747"/>
    <cellStyle name="Обычный 32 2" xfId="1748"/>
    <cellStyle name="Обычный 32 20" xfId="1749"/>
    <cellStyle name="Обычный 32 21" xfId="1750"/>
    <cellStyle name="Обычный 32 22" xfId="1751"/>
    <cellStyle name="Обычный 32 23" xfId="1752"/>
    <cellStyle name="Обычный 32 24" xfId="1753"/>
    <cellStyle name="Обычный 32 25" xfId="1754"/>
    <cellStyle name="Обычный 32 26" xfId="1755"/>
    <cellStyle name="Обычный 32 27" xfId="1756"/>
    <cellStyle name="Обычный 32 28" xfId="1757"/>
    <cellStyle name="Обычный 32 29" xfId="1758"/>
    <cellStyle name="Обычный 32 3" xfId="1759"/>
    <cellStyle name="Обычный 32 30" xfId="1760"/>
    <cellStyle name="Обычный 32 31" xfId="1761"/>
    <cellStyle name="Обычный 32 32" xfId="1762"/>
    <cellStyle name="Обычный 32 33" xfId="1763"/>
    <cellStyle name="Обычный 32 34" xfId="1764"/>
    <cellStyle name="Обычный 32 35" xfId="1765"/>
    <cellStyle name="Обычный 32 36" xfId="1766"/>
    <cellStyle name="Обычный 32 37" xfId="1767"/>
    <cellStyle name="Обычный 32 38" xfId="1768"/>
    <cellStyle name="Обычный 32 39" xfId="1769"/>
    <cellStyle name="Обычный 32 4" xfId="1770"/>
    <cellStyle name="Обычный 32 40" xfId="1771"/>
    <cellStyle name="Обычный 32 41" xfId="1772"/>
    <cellStyle name="Обычный 32 42" xfId="1773"/>
    <cellStyle name="Обычный 32 43" xfId="1774"/>
    <cellStyle name="Обычный 32 44" xfId="1775"/>
    <cellStyle name="Обычный 32 45" xfId="1776"/>
    <cellStyle name="Обычный 32 46" xfId="1777"/>
    <cellStyle name="Обычный 32 47" xfId="1778"/>
    <cellStyle name="Обычный 32 48" xfId="1779"/>
    <cellStyle name="Обычный 32 49" xfId="1780"/>
    <cellStyle name="Обычный 32 5" xfId="1781"/>
    <cellStyle name="Обычный 32 50" xfId="1782"/>
    <cellStyle name="Обычный 32 51" xfId="1783"/>
    <cellStyle name="Обычный 32 52" xfId="1784"/>
    <cellStyle name="Обычный 32 53" xfId="1785"/>
    <cellStyle name="Обычный 32 54" xfId="1786"/>
    <cellStyle name="Обычный 32 55" xfId="1787"/>
    <cellStyle name="Обычный 32 56" xfId="1788"/>
    <cellStyle name="Обычный 32 57" xfId="1789"/>
    <cellStyle name="Обычный 32 58" xfId="1790"/>
    <cellStyle name="Обычный 32 59" xfId="1791"/>
    <cellStyle name="Обычный 32 6" xfId="1792"/>
    <cellStyle name="Обычный 32 60" xfId="1793"/>
    <cellStyle name="Обычный 32 61" xfId="1794"/>
    <cellStyle name="Обычный 32 62" xfId="1795"/>
    <cellStyle name="Обычный 32 63" xfId="1796"/>
    <cellStyle name="Обычный 32 64" xfId="1797"/>
    <cellStyle name="Обычный 32 65" xfId="1798"/>
    <cellStyle name="Обычный 32 66" xfId="1799"/>
    <cellStyle name="Обычный 32 67" xfId="1800"/>
    <cellStyle name="Обычный 32 68" xfId="1801"/>
    <cellStyle name="Обычный 32 69" xfId="1802"/>
    <cellStyle name="Обычный 32 7" xfId="1803"/>
    <cellStyle name="Обычный 32 70" xfId="1804"/>
    <cellStyle name="Обычный 32 71" xfId="1805"/>
    <cellStyle name="Обычный 32 72" xfId="1806"/>
    <cellStyle name="Обычный 32 73" xfId="1807"/>
    <cellStyle name="Обычный 32 74" xfId="1808"/>
    <cellStyle name="Обычный 32 75" xfId="1809"/>
    <cellStyle name="Обычный 32 76" xfId="1810"/>
    <cellStyle name="Обычный 32 77" xfId="1811"/>
    <cellStyle name="Обычный 32 78" xfId="1812"/>
    <cellStyle name="Обычный 32 79" xfId="1813"/>
    <cellStyle name="Обычный 32 8" xfId="1814"/>
    <cellStyle name="Обычный 32 80" xfId="1815"/>
    <cellStyle name="Обычный 32 81" xfId="1816"/>
    <cellStyle name="Обычный 32 82" xfId="1817"/>
    <cellStyle name="Обычный 32 83" xfId="1818"/>
    <cellStyle name="Обычный 32 84" xfId="1819"/>
    <cellStyle name="Обычный 32 85" xfId="1820"/>
    <cellStyle name="Обычный 32 86" xfId="1821"/>
    <cellStyle name="Обычный 32 87" xfId="1822"/>
    <cellStyle name="Обычный 32 88" xfId="1823"/>
    <cellStyle name="Обычный 32 89" xfId="1824"/>
    <cellStyle name="Обычный 32 9" xfId="1825"/>
    <cellStyle name="Обычный 32 90" xfId="1826"/>
    <cellStyle name="Обычный 32 91" xfId="1827"/>
    <cellStyle name="Обычный 32 92" xfId="1828"/>
    <cellStyle name="Обычный 32 93" xfId="1829"/>
    <cellStyle name="Обычный 32 94" xfId="1830"/>
    <cellStyle name="Обычный 32 95" xfId="1831"/>
    <cellStyle name="Обычный 32 96" xfId="1832"/>
    <cellStyle name="Обычный 32 97" xfId="1833"/>
    <cellStyle name="Обычный 32 98" xfId="1834"/>
    <cellStyle name="Обычный 32 99" xfId="1835"/>
    <cellStyle name="Обычный 33" xfId="1836"/>
    <cellStyle name="Обычный 33 10" xfId="1837"/>
    <cellStyle name="Обычный 33 100" xfId="1838"/>
    <cellStyle name="Обычный 33 101" xfId="1839"/>
    <cellStyle name="Обычный 33 102" xfId="1840"/>
    <cellStyle name="Обычный 33 103" xfId="1841"/>
    <cellStyle name="Обычный 33 104" xfId="1842"/>
    <cellStyle name="Обычный 33 105" xfId="1843"/>
    <cellStyle name="Обычный 33 106" xfId="1844"/>
    <cellStyle name="Обычный 33 107" xfId="1845"/>
    <cellStyle name="Обычный 33 108" xfId="1846"/>
    <cellStyle name="Обычный 33 109" xfId="1847"/>
    <cellStyle name="Обычный 33 11" xfId="1848"/>
    <cellStyle name="Обычный 33 110" xfId="1849"/>
    <cellStyle name="Обычный 33 111" xfId="1850"/>
    <cellStyle name="Обычный 33 112" xfId="1851"/>
    <cellStyle name="Обычный 33 113" xfId="1852"/>
    <cellStyle name="Обычный 33 114" xfId="1853"/>
    <cellStyle name="Обычный 33 115" xfId="1854"/>
    <cellStyle name="Обычный 33 116" xfId="1855"/>
    <cellStyle name="Обычный 33 117" xfId="1856"/>
    <cellStyle name="Обычный 33 118" xfId="1857"/>
    <cellStyle name="Обычный 33 119" xfId="1858"/>
    <cellStyle name="Обычный 33 12" xfId="1859"/>
    <cellStyle name="Обычный 33 120" xfId="1860"/>
    <cellStyle name="Обычный 33 121" xfId="1861"/>
    <cellStyle name="Обычный 33 122" xfId="1862"/>
    <cellStyle name="Обычный 33 123" xfId="1863"/>
    <cellStyle name="Обычный 33 124" xfId="1864"/>
    <cellStyle name="Обычный 33 125" xfId="1865"/>
    <cellStyle name="Обычный 33 126" xfId="1866"/>
    <cellStyle name="Обычный 33 127" xfId="1867"/>
    <cellStyle name="Обычный 33 128" xfId="1868"/>
    <cellStyle name="Обычный 33 129" xfId="1869"/>
    <cellStyle name="Обычный 33 13" xfId="1870"/>
    <cellStyle name="Обычный 33 130" xfId="1871"/>
    <cellStyle name="Обычный 33 131" xfId="1872"/>
    <cellStyle name="Обычный 33 132" xfId="1873"/>
    <cellStyle name="Обычный 33 133" xfId="1874"/>
    <cellStyle name="Обычный 33 134" xfId="1875"/>
    <cellStyle name="Обычный 33 135" xfId="1876"/>
    <cellStyle name="Обычный 33 136" xfId="1877"/>
    <cellStyle name="Обычный 33 14" xfId="1878"/>
    <cellStyle name="Обычный 33 15" xfId="1879"/>
    <cellStyle name="Обычный 33 16" xfId="1880"/>
    <cellStyle name="Обычный 33 17" xfId="1881"/>
    <cellStyle name="Обычный 33 18" xfId="1882"/>
    <cellStyle name="Обычный 33 19" xfId="1883"/>
    <cellStyle name="Обычный 33 2" xfId="1884"/>
    <cellStyle name="Обычный 33 20" xfId="1885"/>
    <cellStyle name="Обычный 33 21" xfId="1886"/>
    <cellStyle name="Обычный 33 22" xfId="1887"/>
    <cellStyle name="Обычный 33 23" xfId="1888"/>
    <cellStyle name="Обычный 33 24" xfId="1889"/>
    <cellStyle name="Обычный 33 25" xfId="1890"/>
    <cellStyle name="Обычный 33 26" xfId="1891"/>
    <cellStyle name="Обычный 33 27" xfId="1892"/>
    <cellStyle name="Обычный 33 28" xfId="1893"/>
    <cellStyle name="Обычный 33 29" xfId="1894"/>
    <cellStyle name="Обычный 33 3" xfId="1895"/>
    <cellStyle name="Обычный 33 30" xfId="1896"/>
    <cellStyle name="Обычный 33 31" xfId="1897"/>
    <cellStyle name="Обычный 33 32" xfId="1898"/>
    <cellStyle name="Обычный 33 33" xfId="1899"/>
    <cellStyle name="Обычный 33 34" xfId="1900"/>
    <cellStyle name="Обычный 33 35" xfId="1901"/>
    <cellStyle name="Обычный 33 36" xfId="1902"/>
    <cellStyle name="Обычный 33 37" xfId="1903"/>
    <cellStyle name="Обычный 33 38" xfId="1904"/>
    <cellStyle name="Обычный 33 39" xfId="1905"/>
    <cellStyle name="Обычный 33 4" xfId="1906"/>
    <cellStyle name="Обычный 33 40" xfId="1907"/>
    <cellStyle name="Обычный 33 41" xfId="1908"/>
    <cellStyle name="Обычный 33 42" xfId="1909"/>
    <cellStyle name="Обычный 33 43" xfId="1910"/>
    <cellStyle name="Обычный 33 44" xfId="1911"/>
    <cellStyle name="Обычный 33 45" xfId="1912"/>
    <cellStyle name="Обычный 33 46" xfId="1913"/>
    <cellStyle name="Обычный 33 47" xfId="1914"/>
    <cellStyle name="Обычный 33 48" xfId="1915"/>
    <cellStyle name="Обычный 33 49" xfId="1916"/>
    <cellStyle name="Обычный 33 5" xfId="1917"/>
    <cellStyle name="Обычный 33 50" xfId="1918"/>
    <cellStyle name="Обычный 33 51" xfId="1919"/>
    <cellStyle name="Обычный 33 52" xfId="1920"/>
    <cellStyle name="Обычный 33 53" xfId="1921"/>
    <cellStyle name="Обычный 33 54" xfId="1922"/>
    <cellStyle name="Обычный 33 55" xfId="1923"/>
    <cellStyle name="Обычный 33 56" xfId="1924"/>
    <cellStyle name="Обычный 33 57" xfId="1925"/>
    <cellStyle name="Обычный 33 58" xfId="1926"/>
    <cellStyle name="Обычный 33 59" xfId="1927"/>
    <cellStyle name="Обычный 33 6" xfId="1928"/>
    <cellStyle name="Обычный 33 60" xfId="1929"/>
    <cellStyle name="Обычный 33 61" xfId="1930"/>
    <cellStyle name="Обычный 33 62" xfId="1931"/>
    <cellStyle name="Обычный 33 63" xfId="1932"/>
    <cellStyle name="Обычный 33 64" xfId="1933"/>
    <cellStyle name="Обычный 33 65" xfId="1934"/>
    <cellStyle name="Обычный 33 66" xfId="1935"/>
    <cellStyle name="Обычный 33 67" xfId="1936"/>
    <cellStyle name="Обычный 33 68" xfId="1937"/>
    <cellStyle name="Обычный 33 69" xfId="1938"/>
    <cellStyle name="Обычный 33 7" xfId="1939"/>
    <cellStyle name="Обычный 33 70" xfId="1940"/>
    <cellStyle name="Обычный 33 71" xfId="1941"/>
    <cellStyle name="Обычный 33 72" xfId="1942"/>
    <cellStyle name="Обычный 33 73" xfId="1943"/>
    <cellStyle name="Обычный 33 74" xfId="1944"/>
    <cellStyle name="Обычный 33 75" xfId="1945"/>
    <cellStyle name="Обычный 33 76" xfId="1946"/>
    <cellStyle name="Обычный 33 77" xfId="1947"/>
    <cellStyle name="Обычный 33 78" xfId="1948"/>
    <cellStyle name="Обычный 33 79" xfId="1949"/>
    <cellStyle name="Обычный 33 8" xfId="1950"/>
    <cellStyle name="Обычный 33 80" xfId="1951"/>
    <cellStyle name="Обычный 33 81" xfId="1952"/>
    <cellStyle name="Обычный 33 82" xfId="1953"/>
    <cellStyle name="Обычный 33 83" xfId="1954"/>
    <cellStyle name="Обычный 33 84" xfId="1955"/>
    <cellStyle name="Обычный 33 85" xfId="1956"/>
    <cellStyle name="Обычный 33 86" xfId="1957"/>
    <cellStyle name="Обычный 33 87" xfId="1958"/>
    <cellStyle name="Обычный 33 88" xfId="1959"/>
    <cellStyle name="Обычный 33 89" xfId="1960"/>
    <cellStyle name="Обычный 33 9" xfId="1961"/>
    <cellStyle name="Обычный 33 90" xfId="1962"/>
    <cellStyle name="Обычный 33 91" xfId="1963"/>
    <cellStyle name="Обычный 33 92" xfId="1964"/>
    <cellStyle name="Обычный 33 93" xfId="1965"/>
    <cellStyle name="Обычный 33 94" xfId="1966"/>
    <cellStyle name="Обычный 33 95" xfId="1967"/>
    <cellStyle name="Обычный 33 96" xfId="1968"/>
    <cellStyle name="Обычный 33 97" xfId="1969"/>
    <cellStyle name="Обычный 33 98" xfId="1970"/>
    <cellStyle name="Обычный 33 99" xfId="1971"/>
    <cellStyle name="Обычный 34" xfId="1972"/>
    <cellStyle name="Обычный 34 10" xfId="1973"/>
    <cellStyle name="Обычный 34 100" xfId="1974"/>
    <cellStyle name="Обычный 34 101" xfId="1975"/>
    <cellStyle name="Обычный 34 102" xfId="1976"/>
    <cellStyle name="Обычный 34 103" xfId="1977"/>
    <cellStyle name="Обычный 34 104" xfId="1978"/>
    <cellStyle name="Обычный 34 105" xfId="1979"/>
    <cellStyle name="Обычный 34 106" xfId="1980"/>
    <cellStyle name="Обычный 34 107" xfId="1981"/>
    <cellStyle name="Обычный 34 108" xfId="1982"/>
    <cellStyle name="Обычный 34 109" xfId="1983"/>
    <cellStyle name="Обычный 34 11" xfId="1984"/>
    <cellStyle name="Обычный 34 110" xfId="1985"/>
    <cellStyle name="Обычный 34 111" xfId="1986"/>
    <cellStyle name="Обычный 34 112" xfId="1987"/>
    <cellStyle name="Обычный 34 113" xfId="1988"/>
    <cellStyle name="Обычный 34 114" xfId="1989"/>
    <cellStyle name="Обычный 34 115" xfId="1990"/>
    <cellStyle name="Обычный 34 116" xfId="1991"/>
    <cellStyle name="Обычный 34 117" xfId="1992"/>
    <cellStyle name="Обычный 34 118" xfId="1993"/>
    <cellStyle name="Обычный 34 119" xfId="1994"/>
    <cellStyle name="Обычный 34 12" xfId="1995"/>
    <cellStyle name="Обычный 34 120" xfId="1996"/>
    <cellStyle name="Обычный 34 121" xfId="1997"/>
    <cellStyle name="Обычный 34 122" xfId="1998"/>
    <cellStyle name="Обычный 34 123" xfId="1999"/>
    <cellStyle name="Обычный 34 124" xfId="2000"/>
    <cellStyle name="Обычный 34 125" xfId="2001"/>
    <cellStyle name="Обычный 34 126" xfId="2002"/>
    <cellStyle name="Обычный 34 127" xfId="2003"/>
    <cellStyle name="Обычный 34 128" xfId="2004"/>
    <cellStyle name="Обычный 34 129" xfId="2005"/>
    <cellStyle name="Обычный 34 13" xfId="2006"/>
    <cellStyle name="Обычный 34 130" xfId="2007"/>
    <cellStyle name="Обычный 34 131" xfId="2008"/>
    <cellStyle name="Обычный 34 132" xfId="2009"/>
    <cellStyle name="Обычный 34 133" xfId="2010"/>
    <cellStyle name="Обычный 34 134" xfId="2011"/>
    <cellStyle name="Обычный 34 135" xfId="2012"/>
    <cellStyle name="Обычный 34 14" xfId="2013"/>
    <cellStyle name="Обычный 34 15" xfId="2014"/>
    <cellStyle name="Обычный 34 16" xfId="2015"/>
    <cellStyle name="Обычный 34 17" xfId="2016"/>
    <cellStyle name="Обычный 34 18" xfId="2017"/>
    <cellStyle name="Обычный 34 19" xfId="2018"/>
    <cellStyle name="Обычный 34 2" xfId="2019"/>
    <cellStyle name="Обычный 34 20" xfId="2020"/>
    <cellStyle name="Обычный 34 21" xfId="2021"/>
    <cellStyle name="Обычный 34 22" xfId="2022"/>
    <cellStyle name="Обычный 34 23" xfId="2023"/>
    <cellStyle name="Обычный 34 24" xfId="2024"/>
    <cellStyle name="Обычный 34 25" xfId="2025"/>
    <cellStyle name="Обычный 34 26" xfId="2026"/>
    <cellStyle name="Обычный 34 27" xfId="2027"/>
    <cellStyle name="Обычный 34 28" xfId="2028"/>
    <cellStyle name="Обычный 34 29" xfId="2029"/>
    <cellStyle name="Обычный 34 3" xfId="2030"/>
    <cellStyle name="Обычный 34 30" xfId="2031"/>
    <cellStyle name="Обычный 34 31" xfId="2032"/>
    <cellStyle name="Обычный 34 32" xfId="2033"/>
    <cellStyle name="Обычный 34 33" xfId="2034"/>
    <cellStyle name="Обычный 34 34" xfId="2035"/>
    <cellStyle name="Обычный 34 35" xfId="2036"/>
    <cellStyle name="Обычный 34 36" xfId="2037"/>
    <cellStyle name="Обычный 34 37" xfId="2038"/>
    <cellStyle name="Обычный 34 38" xfId="2039"/>
    <cellStyle name="Обычный 34 39" xfId="2040"/>
    <cellStyle name="Обычный 34 4" xfId="2041"/>
    <cellStyle name="Обычный 34 40" xfId="2042"/>
    <cellStyle name="Обычный 34 41" xfId="2043"/>
    <cellStyle name="Обычный 34 42" xfId="2044"/>
    <cellStyle name="Обычный 34 43" xfId="2045"/>
    <cellStyle name="Обычный 34 44" xfId="2046"/>
    <cellStyle name="Обычный 34 45" xfId="2047"/>
    <cellStyle name="Обычный 34 46" xfId="2048"/>
    <cellStyle name="Обычный 34 47" xfId="2049"/>
    <cellStyle name="Обычный 34 48" xfId="2050"/>
    <cellStyle name="Обычный 34 49" xfId="2051"/>
    <cellStyle name="Обычный 34 5" xfId="2052"/>
    <cellStyle name="Обычный 34 50" xfId="2053"/>
    <cellStyle name="Обычный 34 51" xfId="2054"/>
    <cellStyle name="Обычный 34 52" xfId="2055"/>
    <cellStyle name="Обычный 34 53" xfId="2056"/>
    <cellStyle name="Обычный 34 54" xfId="2057"/>
    <cellStyle name="Обычный 34 55" xfId="2058"/>
    <cellStyle name="Обычный 34 56" xfId="2059"/>
    <cellStyle name="Обычный 34 57" xfId="2060"/>
    <cellStyle name="Обычный 34 58" xfId="2061"/>
    <cellStyle name="Обычный 34 59" xfId="2062"/>
    <cellStyle name="Обычный 34 6" xfId="2063"/>
    <cellStyle name="Обычный 34 60" xfId="2064"/>
    <cellStyle name="Обычный 34 61" xfId="2065"/>
    <cellStyle name="Обычный 34 62" xfId="2066"/>
    <cellStyle name="Обычный 34 63" xfId="2067"/>
    <cellStyle name="Обычный 34 64" xfId="2068"/>
    <cellStyle name="Обычный 34 65" xfId="2069"/>
    <cellStyle name="Обычный 34 66" xfId="2070"/>
    <cellStyle name="Обычный 34 67" xfId="2071"/>
    <cellStyle name="Обычный 34 68" xfId="2072"/>
    <cellStyle name="Обычный 34 69" xfId="2073"/>
    <cellStyle name="Обычный 34 7" xfId="2074"/>
    <cellStyle name="Обычный 34 70" xfId="2075"/>
    <cellStyle name="Обычный 34 71" xfId="2076"/>
    <cellStyle name="Обычный 34 72" xfId="2077"/>
    <cellStyle name="Обычный 34 73" xfId="2078"/>
    <cellStyle name="Обычный 34 74" xfId="2079"/>
    <cellStyle name="Обычный 34 75" xfId="2080"/>
    <cellStyle name="Обычный 34 76" xfId="2081"/>
    <cellStyle name="Обычный 34 77" xfId="2082"/>
    <cellStyle name="Обычный 34 78" xfId="2083"/>
    <cellStyle name="Обычный 34 79" xfId="2084"/>
    <cellStyle name="Обычный 34 8" xfId="2085"/>
    <cellStyle name="Обычный 34 80" xfId="2086"/>
    <cellStyle name="Обычный 34 81" xfId="2087"/>
    <cellStyle name="Обычный 34 82" xfId="2088"/>
    <cellStyle name="Обычный 34 83" xfId="2089"/>
    <cellStyle name="Обычный 34 84" xfId="2090"/>
    <cellStyle name="Обычный 34 85" xfId="2091"/>
    <cellStyle name="Обычный 34 86" xfId="2092"/>
    <cellStyle name="Обычный 34 87" xfId="2093"/>
    <cellStyle name="Обычный 34 88" xfId="2094"/>
    <cellStyle name="Обычный 34 89" xfId="2095"/>
    <cellStyle name="Обычный 34 9" xfId="2096"/>
    <cellStyle name="Обычный 34 90" xfId="2097"/>
    <cellStyle name="Обычный 34 91" xfId="2098"/>
    <cellStyle name="Обычный 34 92" xfId="2099"/>
    <cellStyle name="Обычный 34 93" xfId="2100"/>
    <cellStyle name="Обычный 34 94" xfId="2101"/>
    <cellStyle name="Обычный 34 95" xfId="2102"/>
    <cellStyle name="Обычный 34 96" xfId="2103"/>
    <cellStyle name="Обычный 34 97" xfId="2104"/>
    <cellStyle name="Обычный 34 98" xfId="2105"/>
    <cellStyle name="Обычный 34 99" xfId="2106"/>
    <cellStyle name="Обычный 35" xfId="2107"/>
    <cellStyle name="Обычный 35 10" xfId="2108"/>
    <cellStyle name="Обычный 35 100" xfId="2109"/>
    <cellStyle name="Обычный 35 101" xfId="2110"/>
    <cellStyle name="Обычный 35 102" xfId="2111"/>
    <cellStyle name="Обычный 35 103" xfId="2112"/>
    <cellStyle name="Обычный 35 104" xfId="2113"/>
    <cellStyle name="Обычный 35 105" xfId="2114"/>
    <cellStyle name="Обычный 35 106" xfId="2115"/>
    <cellStyle name="Обычный 35 107" xfId="2116"/>
    <cellStyle name="Обычный 35 108" xfId="2117"/>
    <cellStyle name="Обычный 35 109" xfId="2118"/>
    <cellStyle name="Обычный 35 11" xfId="2119"/>
    <cellStyle name="Обычный 35 110" xfId="2120"/>
    <cellStyle name="Обычный 35 111" xfId="2121"/>
    <cellStyle name="Обычный 35 112" xfId="2122"/>
    <cellStyle name="Обычный 35 113" xfId="2123"/>
    <cellStyle name="Обычный 35 114" xfId="2124"/>
    <cellStyle name="Обычный 35 115" xfId="2125"/>
    <cellStyle name="Обычный 35 116" xfId="2126"/>
    <cellStyle name="Обычный 35 117" xfId="2127"/>
    <cellStyle name="Обычный 35 118" xfId="2128"/>
    <cellStyle name="Обычный 35 119" xfId="2129"/>
    <cellStyle name="Обычный 35 12" xfId="2130"/>
    <cellStyle name="Обычный 35 120" xfId="2131"/>
    <cellStyle name="Обычный 35 121" xfId="2132"/>
    <cellStyle name="Обычный 35 122" xfId="2133"/>
    <cellStyle name="Обычный 35 123" xfId="2134"/>
    <cellStyle name="Обычный 35 124" xfId="2135"/>
    <cellStyle name="Обычный 35 125" xfId="2136"/>
    <cellStyle name="Обычный 35 126" xfId="2137"/>
    <cellStyle name="Обычный 35 127" xfId="2138"/>
    <cellStyle name="Обычный 35 128" xfId="2139"/>
    <cellStyle name="Обычный 35 129" xfId="2140"/>
    <cellStyle name="Обычный 35 13" xfId="2141"/>
    <cellStyle name="Обычный 35 130" xfId="2142"/>
    <cellStyle name="Обычный 35 131" xfId="2143"/>
    <cellStyle name="Обычный 35 132" xfId="2144"/>
    <cellStyle name="Обычный 35 133" xfId="2145"/>
    <cellStyle name="Обычный 35 134" xfId="2146"/>
    <cellStyle name="Обычный 35 135" xfId="2147"/>
    <cellStyle name="Обычный 35 14" xfId="2148"/>
    <cellStyle name="Обычный 35 15" xfId="2149"/>
    <cellStyle name="Обычный 35 16" xfId="2150"/>
    <cellStyle name="Обычный 35 17" xfId="2151"/>
    <cellStyle name="Обычный 35 18" xfId="2152"/>
    <cellStyle name="Обычный 35 19" xfId="2153"/>
    <cellStyle name="Обычный 35 2" xfId="2154"/>
    <cellStyle name="Обычный 35 20" xfId="2155"/>
    <cellStyle name="Обычный 35 21" xfId="2156"/>
    <cellStyle name="Обычный 35 22" xfId="2157"/>
    <cellStyle name="Обычный 35 23" xfId="2158"/>
    <cellStyle name="Обычный 35 24" xfId="2159"/>
    <cellStyle name="Обычный 35 25" xfId="2160"/>
    <cellStyle name="Обычный 35 26" xfId="2161"/>
    <cellStyle name="Обычный 35 27" xfId="2162"/>
    <cellStyle name="Обычный 35 28" xfId="2163"/>
    <cellStyle name="Обычный 35 29" xfId="2164"/>
    <cellStyle name="Обычный 35 3" xfId="2165"/>
    <cellStyle name="Обычный 35 30" xfId="2166"/>
    <cellStyle name="Обычный 35 31" xfId="2167"/>
    <cellStyle name="Обычный 35 32" xfId="2168"/>
    <cellStyle name="Обычный 35 33" xfId="2169"/>
    <cellStyle name="Обычный 35 34" xfId="2170"/>
    <cellStyle name="Обычный 35 35" xfId="2171"/>
    <cellStyle name="Обычный 35 36" xfId="2172"/>
    <cellStyle name="Обычный 35 37" xfId="2173"/>
    <cellStyle name="Обычный 35 38" xfId="2174"/>
    <cellStyle name="Обычный 35 39" xfId="2175"/>
    <cellStyle name="Обычный 35 4" xfId="2176"/>
    <cellStyle name="Обычный 35 40" xfId="2177"/>
    <cellStyle name="Обычный 35 41" xfId="2178"/>
    <cellStyle name="Обычный 35 42" xfId="2179"/>
    <cellStyle name="Обычный 35 43" xfId="2180"/>
    <cellStyle name="Обычный 35 44" xfId="2181"/>
    <cellStyle name="Обычный 35 45" xfId="2182"/>
    <cellStyle name="Обычный 35 46" xfId="2183"/>
    <cellStyle name="Обычный 35 47" xfId="2184"/>
    <cellStyle name="Обычный 35 48" xfId="2185"/>
    <cellStyle name="Обычный 35 49" xfId="2186"/>
    <cellStyle name="Обычный 35 5" xfId="2187"/>
    <cellStyle name="Обычный 35 50" xfId="2188"/>
    <cellStyle name="Обычный 35 51" xfId="2189"/>
    <cellStyle name="Обычный 35 52" xfId="2190"/>
    <cellStyle name="Обычный 35 53" xfId="2191"/>
    <cellStyle name="Обычный 35 54" xfId="2192"/>
    <cellStyle name="Обычный 35 55" xfId="2193"/>
    <cellStyle name="Обычный 35 56" xfId="2194"/>
    <cellStyle name="Обычный 35 57" xfId="2195"/>
    <cellStyle name="Обычный 35 58" xfId="2196"/>
    <cellStyle name="Обычный 35 59" xfId="2197"/>
    <cellStyle name="Обычный 35 6" xfId="2198"/>
    <cellStyle name="Обычный 35 60" xfId="2199"/>
    <cellStyle name="Обычный 35 61" xfId="2200"/>
    <cellStyle name="Обычный 35 62" xfId="2201"/>
    <cellStyle name="Обычный 35 63" xfId="2202"/>
    <cellStyle name="Обычный 35 64" xfId="2203"/>
    <cellStyle name="Обычный 35 65" xfId="2204"/>
    <cellStyle name="Обычный 35 66" xfId="2205"/>
    <cellStyle name="Обычный 35 67" xfId="2206"/>
    <cellStyle name="Обычный 35 68" xfId="2207"/>
    <cellStyle name="Обычный 35 69" xfId="2208"/>
    <cellStyle name="Обычный 35 7" xfId="2209"/>
    <cellStyle name="Обычный 35 70" xfId="2210"/>
    <cellStyle name="Обычный 35 71" xfId="2211"/>
    <cellStyle name="Обычный 35 72" xfId="2212"/>
    <cellStyle name="Обычный 35 73" xfId="2213"/>
    <cellStyle name="Обычный 35 74" xfId="2214"/>
    <cellStyle name="Обычный 35 75" xfId="2215"/>
    <cellStyle name="Обычный 35 76" xfId="2216"/>
    <cellStyle name="Обычный 35 77" xfId="2217"/>
    <cellStyle name="Обычный 35 78" xfId="2218"/>
    <cellStyle name="Обычный 35 79" xfId="2219"/>
    <cellStyle name="Обычный 35 8" xfId="2220"/>
    <cellStyle name="Обычный 35 80" xfId="2221"/>
    <cellStyle name="Обычный 35 81" xfId="2222"/>
    <cellStyle name="Обычный 35 82" xfId="2223"/>
    <cellStyle name="Обычный 35 83" xfId="2224"/>
    <cellStyle name="Обычный 35 84" xfId="2225"/>
    <cellStyle name="Обычный 35 85" xfId="2226"/>
    <cellStyle name="Обычный 35 86" xfId="2227"/>
    <cellStyle name="Обычный 35 87" xfId="2228"/>
    <cellStyle name="Обычный 35 88" xfId="2229"/>
    <cellStyle name="Обычный 35 89" xfId="2230"/>
    <cellStyle name="Обычный 35 9" xfId="2231"/>
    <cellStyle name="Обычный 35 90" xfId="2232"/>
    <cellStyle name="Обычный 35 91" xfId="2233"/>
    <cellStyle name="Обычный 35 92" xfId="2234"/>
    <cellStyle name="Обычный 35 93" xfId="2235"/>
    <cellStyle name="Обычный 35 94" xfId="2236"/>
    <cellStyle name="Обычный 35 95" xfId="2237"/>
    <cellStyle name="Обычный 35 96" xfId="2238"/>
    <cellStyle name="Обычный 35 97" xfId="2239"/>
    <cellStyle name="Обычный 35 98" xfId="2240"/>
    <cellStyle name="Обычный 35 99" xfId="2241"/>
    <cellStyle name="Обычный 36" xfId="2242"/>
    <cellStyle name="Обычный 36 10" xfId="2243"/>
    <cellStyle name="Обычный 36 100" xfId="2244"/>
    <cellStyle name="Обычный 36 101" xfId="2245"/>
    <cellStyle name="Обычный 36 102" xfId="2246"/>
    <cellStyle name="Обычный 36 103" xfId="2247"/>
    <cellStyle name="Обычный 36 104" xfId="2248"/>
    <cellStyle name="Обычный 36 105" xfId="2249"/>
    <cellStyle name="Обычный 36 106" xfId="2250"/>
    <cellStyle name="Обычный 36 107" xfId="2251"/>
    <cellStyle name="Обычный 36 108" xfId="2252"/>
    <cellStyle name="Обычный 36 109" xfId="2253"/>
    <cellStyle name="Обычный 36 11" xfId="2254"/>
    <cellStyle name="Обычный 36 110" xfId="2255"/>
    <cellStyle name="Обычный 36 111" xfId="2256"/>
    <cellStyle name="Обычный 36 112" xfId="2257"/>
    <cellStyle name="Обычный 36 113" xfId="2258"/>
    <cellStyle name="Обычный 36 114" xfId="2259"/>
    <cellStyle name="Обычный 36 115" xfId="2260"/>
    <cellStyle name="Обычный 36 116" xfId="2261"/>
    <cellStyle name="Обычный 36 117" xfId="2262"/>
    <cellStyle name="Обычный 36 118" xfId="2263"/>
    <cellStyle name="Обычный 36 119" xfId="2264"/>
    <cellStyle name="Обычный 36 12" xfId="2265"/>
    <cellStyle name="Обычный 36 120" xfId="2266"/>
    <cellStyle name="Обычный 36 121" xfId="2267"/>
    <cellStyle name="Обычный 36 122" xfId="2268"/>
    <cellStyle name="Обычный 36 123" xfId="2269"/>
    <cellStyle name="Обычный 36 124" xfId="2270"/>
    <cellStyle name="Обычный 36 125" xfId="2271"/>
    <cellStyle name="Обычный 36 126" xfId="2272"/>
    <cellStyle name="Обычный 36 127" xfId="2273"/>
    <cellStyle name="Обычный 36 128" xfId="2274"/>
    <cellStyle name="Обычный 36 129" xfId="2275"/>
    <cellStyle name="Обычный 36 13" xfId="2276"/>
    <cellStyle name="Обычный 36 130" xfId="2277"/>
    <cellStyle name="Обычный 36 131" xfId="2278"/>
    <cellStyle name="Обычный 36 132" xfId="2279"/>
    <cellStyle name="Обычный 36 133" xfId="2280"/>
    <cellStyle name="Обычный 36 134" xfId="2281"/>
    <cellStyle name="Обычный 36 135" xfId="2282"/>
    <cellStyle name="Обычный 36 136" xfId="2283"/>
    <cellStyle name="Обычный 36 14" xfId="2284"/>
    <cellStyle name="Обычный 36 15" xfId="2285"/>
    <cellStyle name="Обычный 36 16" xfId="2286"/>
    <cellStyle name="Обычный 36 17" xfId="2287"/>
    <cellStyle name="Обычный 36 18" xfId="2288"/>
    <cellStyle name="Обычный 36 19" xfId="2289"/>
    <cellStyle name="Обычный 36 2" xfId="2290"/>
    <cellStyle name="Обычный 36 20" xfId="2291"/>
    <cellStyle name="Обычный 36 21" xfId="2292"/>
    <cellStyle name="Обычный 36 22" xfId="2293"/>
    <cellStyle name="Обычный 36 23" xfId="2294"/>
    <cellStyle name="Обычный 36 24" xfId="2295"/>
    <cellStyle name="Обычный 36 25" xfId="2296"/>
    <cellStyle name="Обычный 36 26" xfId="2297"/>
    <cellStyle name="Обычный 36 27" xfId="2298"/>
    <cellStyle name="Обычный 36 28" xfId="2299"/>
    <cellStyle name="Обычный 36 29" xfId="2300"/>
    <cellStyle name="Обычный 36 3" xfId="2301"/>
    <cellStyle name="Обычный 36 30" xfId="2302"/>
    <cellStyle name="Обычный 36 31" xfId="2303"/>
    <cellStyle name="Обычный 36 32" xfId="2304"/>
    <cellStyle name="Обычный 36 33" xfId="2305"/>
    <cellStyle name="Обычный 36 34" xfId="2306"/>
    <cellStyle name="Обычный 36 35" xfId="2307"/>
    <cellStyle name="Обычный 36 36" xfId="2308"/>
    <cellStyle name="Обычный 36 37" xfId="2309"/>
    <cellStyle name="Обычный 36 38" xfId="2310"/>
    <cellStyle name="Обычный 36 39" xfId="2311"/>
    <cellStyle name="Обычный 36 4" xfId="2312"/>
    <cellStyle name="Обычный 36 40" xfId="2313"/>
    <cellStyle name="Обычный 36 41" xfId="2314"/>
    <cellStyle name="Обычный 36 42" xfId="2315"/>
    <cellStyle name="Обычный 36 43" xfId="2316"/>
    <cellStyle name="Обычный 36 44" xfId="2317"/>
    <cellStyle name="Обычный 36 45" xfId="2318"/>
    <cellStyle name="Обычный 36 46" xfId="2319"/>
    <cellStyle name="Обычный 36 47" xfId="2320"/>
    <cellStyle name="Обычный 36 48" xfId="2321"/>
    <cellStyle name="Обычный 36 49" xfId="2322"/>
    <cellStyle name="Обычный 36 5" xfId="2323"/>
    <cellStyle name="Обычный 36 50" xfId="2324"/>
    <cellStyle name="Обычный 36 51" xfId="2325"/>
    <cellStyle name="Обычный 36 52" xfId="2326"/>
    <cellStyle name="Обычный 36 53" xfId="2327"/>
    <cellStyle name="Обычный 36 54" xfId="2328"/>
    <cellStyle name="Обычный 36 55" xfId="2329"/>
    <cellStyle name="Обычный 36 56" xfId="2330"/>
    <cellStyle name="Обычный 36 57" xfId="2331"/>
    <cellStyle name="Обычный 36 58" xfId="2332"/>
    <cellStyle name="Обычный 36 59" xfId="2333"/>
    <cellStyle name="Обычный 36 6" xfId="2334"/>
    <cellStyle name="Обычный 36 60" xfId="2335"/>
    <cellStyle name="Обычный 36 61" xfId="2336"/>
    <cellStyle name="Обычный 36 62" xfId="2337"/>
    <cellStyle name="Обычный 36 63" xfId="2338"/>
    <cellStyle name="Обычный 36 64" xfId="2339"/>
    <cellStyle name="Обычный 36 65" xfId="2340"/>
    <cellStyle name="Обычный 36 66" xfId="2341"/>
    <cellStyle name="Обычный 36 67" xfId="2342"/>
    <cellStyle name="Обычный 36 68" xfId="2343"/>
    <cellStyle name="Обычный 36 69" xfId="2344"/>
    <cellStyle name="Обычный 36 7" xfId="2345"/>
    <cellStyle name="Обычный 36 70" xfId="2346"/>
    <cellStyle name="Обычный 36 71" xfId="2347"/>
    <cellStyle name="Обычный 36 72" xfId="2348"/>
    <cellStyle name="Обычный 36 73" xfId="2349"/>
    <cellStyle name="Обычный 36 74" xfId="2350"/>
    <cellStyle name="Обычный 36 75" xfId="2351"/>
    <cellStyle name="Обычный 36 76" xfId="2352"/>
    <cellStyle name="Обычный 36 77" xfId="2353"/>
    <cellStyle name="Обычный 36 78" xfId="2354"/>
    <cellStyle name="Обычный 36 79" xfId="2355"/>
    <cellStyle name="Обычный 36 8" xfId="2356"/>
    <cellStyle name="Обычный 36 80" xfId="2357"/>
    <cellStyle name="Обычный 36 81" xfId="2358"/>
    <cellStyle name="Обычный 36 82" xfId="2359"/>
    <cellStyle name="Обычный 36 83" xfId="2360"/>
    <cellStyle name="Обычный 36 84" xfId="2361"/>
    <cellStyle name="Обычный 36 85" xfId="2362"/>
    <cellStyle name="Обычный 36 86" xfId="2363"/>
    <cellStyle name="Обычный 36 87" xfId="2364"/>
    <cellStyle name="Обычный 36 88" xfId="2365"/>
    <cellStyle name="Обычный 36 89" xfId="2366"/>
    <cellStyle name="Обычный 36 9" xfId="2367"/>
    <cellStyle name="Обычный 36 90" xfId="2368"/>
    <cellStyle name="Обычный 36 91" xfId="2369"/>
    <cellStyle name="Обычный 36 92" xfId="2370"/>
    <cellStyle name="Обычный 36 93" xfId="2371"/>
    <cellStyle name="Обычный 36 94" xfId="2372"/>
    <cellStyle name="Обычный 36 95" xfId="2373"/>
    <cellStyle name="Обычный 36 96" xfId="2374"/>
    <cellStyle name="Обычный 36 97" xfId="2375"/>
    <cellStyle name="Обычный 36 98" xfId="2376"/>
    <cellStyle name="Обычный 36 99" xfId="2377"/>
    <cellStyle name="Обычный 37" xfId="2378"/>
    <cellStyle name="Обычный 37 10" xfId="2379"/>
    <cellStyle name="Обычный 37 100" xfId="2380"/>
    <cellStyle name="Обычный 37 101" xfId="2381"/>
    <cellStyle name="Обычный 37 102" xfId="2382"/>
    <cellStyle name="Обычный 37 103" xfId="2383"/>
    <cellStyle name="Обычный 37 104" xfId="2384"/>
    <cellStyle name="Обычный 37 105" xfId="2385"/>
    <cellStyle name="Обычный 37 106" xfId="2386"/>
    <cellStyle name="Обычный 37 107" xfId="2387"/>
    <cellStyle name="Обычный 37 108" xfId="2388"/>
    <cellStyle name="Обычный 37 109" xfId="2389"/>
    <cellStyle name="Обычный 37 11" xfId="2390"/>
    <cellStyle name="Обычный 37 110" xfId="2391"/>
    <cellStyle name="Обычный 37 111" xfId="2392"/>
    <cellStyle name="Обычный 37 112" xfId="2393"/>
    <cellStyle name="Обычный 37 113" xfId="2394"/>
    <cellStyle name="Обычный 37 114" xfId="2395"/>
    <cellStyle name="Обычный 37 115" xfId="2396"/>
    <cellStyle name="Обычный 37 116" xfId="2397"/>
    <cellStyle name="Обычный 37 117" xfId="2398"/>
    <cellStyle name="Обычный 37 118" xfId="2399"/>
    <cellStyle name="Обычный 37 119" xfId="2400"/>
    <cellStyle name="Обычный 37 12" xfId="2401"/>
    <cellStyle name="Обычный 37 120" xfId="2402"/>
    <cellStyle name="Обычный 37 121" xfId="2403"/>
    <cellStyle name="Обычный 37 122" xfId="2404"/>
    <cellStyle name="Обычный 37 123" xfId="2405"/>
    <cellStyle name="Обычный 37 124" xfId="2406"/>
    <cellStyle name="Обычный 37 125" xfId="2407"/>
    <cellStyle name="Обычный 37 126" xfId="2408"/>
    <cellStyle name="Обычный 37 127" xfId="2409"/>
    <cellStyle name="Обычный 37 128" xfId="2410"/>
    <cellStyle name="Обычный 37 129" xfId="2411"/>
    <cellStyle name="Обычный 37 13" xfId="2412"/>
    <cellStyle name="Обычный 37 130" xfId="2413"/>
    <cellStyle name="Обычный 37 131" xfId="2414"/>
    <cellStyle name="Обычный 37 132" xfId="2415"/>
    <cellStyle name="Обычный 37 133" xfId="2416"/>
    <cellStyle name="Обычный 37 134" xfId="2417"/>
    <cellStyle name="Обычный 37 135" xfId="2418"/>
    <cellStyle name="Обычный 37 14" xfId="2419"/>
    <cellStyle name="Обычный 37 15" xfId="2420"/>
    <cellStyle name="Обычный 37 16" xfId="2421"/>
    <cellStyle name="Обычный 37 17" xfId="2422"/>
    <cellStyle name="Обычный 37 18" xfId="2423"/>
    <cellStyle name="Обычный 37 19" xfId="2424"/>
    <cellStyle name="Обычный 37 2" xfId="2425"/>
    <cellStyle name="Обычный 37 20" xfId="2426"/>
    <cellStyle name="Обычный 37 21" xfId="2427"/>
    <cellStyle name="Обычный 37 22" xfId="2428"/>
    <cellStyle name="Обычный 37 23" xfId="2429"/>
    <cellStyle name="Обычный 37 24" xfId="2430"/>
    <cellStyle name="Обычный 37 25" xfId="2431"/>
    <cellStyle name="Обычный 37 26" xfId="2432"/>
    <cellStyle name="Обычный 37 27" xfId="2433"/>
    <cellStyle name="Обычный 37 28" xfId="2434"/>
    <cellStyle name="Обычный 37 29" xfId="2435"/>
    <cellStyle name="Обычный 37 3" xfId="2436"/>
    <cellStyle name="Обычный 37 30" xfId="2437"/>
    <cellStyle name="Обычный 37 31" xfId="2438"/>
    <cellStyle name="Обычный 37 32" xfId="2439"/>
    <cellStyle name="Обычный 37 33" xfId="2440"/>
    <cellStyle name="Обычный 37 34" xfId="2441"/>
    <cellStyle name="Обычный 37 35" xfId="2442"/>
    <cellStyle name="Обычный 37 36" xfId="2443"/>
    <cellStyle name="Обычный 37 37" xfId="2444"/>
    <cellStyle name="Обычный 37 38" xfId="2445"/>
    <cellStyle name="Обычный 37 39" xfId="2446"/>
    <cellStyle name="Обычный 37 4" xfId="2447"/>
    <cellStyle name="Обычный 37 40" xfId="2448"/>
    <cellStyle name="Обычный 37 41" xfId="2449"/>
    <cellStyle name="Обычный 37 42" xfId="2450"/>
    <cellStyle name="Обычный 37 43" xfId="2451"/>
    <cellStyle name="Обычный 37 44" xfId="2452"/>
    <cellStyle name="Обычный 37 45" xfId="2453"/>
    <cellStyle name="Обычный 37 46" xfId="2454"/>
    <cellStyle name="Обычный 37 47" xfId="2455"/>
    <cellStyle name="Обычный 37 48" xfId="2456"/>
    <cellStyle name="Обычный 37 49" xfId="2457"/>
    <cellStyle name="Обычный 37 5" xfId="2458"/>
    <cellStyle name="Обычный 37 50" xfId="2459"/>
    <cellStyle name="Обычный 37 51" xfId="2460"/>
    <cellStyle name="Обычный 37 52" xfId="2461"/>
    <cellStyle name="Обычный 37 53" xfId="2462"/>
    <cellStyle name="Обычный 37 54" xfId="2463"/>
    <cellStyle name="Обычный 37 55" xfId="2464"/>
    <cellStyle name="Обычный 37 56" xfId="2465"/>
    <cellStyle name="Обычный 37 57" xfId="2466"/>
    <cellStyle name="Обычный 37 58" xfId="2467"/>
    <cellStyle name="Обычный 37 59" xfId="2468"/>
    <cellStyle name="Обычный 37 6" xfId="2469"/>
    <cellStyle name="Обычный 37 60" xfId="2470"/>
    <cellStyle name="Обычный 37 61" xfId="2471"/>
    <cellStyle name="Обычный 37 62" xfId="2472"/>
    <cellStyle name="Обычный 37 63" xfId="2473"/>
    <cellStyle name="Обычный 37 64" xfId="2474"/>
    <cellStyle name="Обычный 37 65" xfId="2475"/>
    <cellStyle name="Обычный 37 66" xfId="2476"/>
    <cellStyle name="Обычный 37 67" xfId="2477"/>
    <cellStyle name="Обычный 37 68" xfId="2478"/>
    <cellStyle name="Обычный 37 69" xfId="2479"/>
    <cellStyle name="Обычный 37 7" xfId="2480"/>
    <cellStyle name="Обычный 37 70" xfId="2481"/>
    <cellStyle name="Обычный 37 71" xfId="2482"/>
    <cellStyle name="Обычный 37 72" xfId="2483"/>
    <cellStyle name="Обычный 37 73" xfId="2484"/>
    <cellStyle name="Обычный 37 74" xfId="2485"/>
    <cellStyle name="Обычный 37 75" xfId="2486"/>
    <cellStyle name="Обычный 37 76" xfId="2487"/>
    <cellStyle name="Обычный 37 77" xfId="2488"/>
    <cellStyle name="Обычный 37 78" xfId="2489"/>
    <cellStyle name="Обычный 37 79" xfId="2490"/>
    <cellStyle name="Обычный 37 8" xfId="2491"/>
    <cellStyle name="Обычный 37 80" xfId="2492"/>
    <cellStyle name="Обычный 37 81" xfId="2493"/>
    <cellStyle name="Обычный 37 82" xfId="2494"/>
    <cellStyle name="Обычный 37 83" xfId="2495"/>
    <cellStyle name="Обычный 37 84" xfId="2496"/>
    <cellStyle name="Обычный 37 85" xfId="2497"/>
    <cellStyle name="Обычный 37 86" xfId="2498"/>
    <cellStyle name="Обычный 37 87" xfId="2499"/>
    <cellStyle name="Обычный 37 88" xfId="2500"/>
    <cellStyle name="Обычный 37 89" xfId="2501"/>
    <cellStyle name="Обычный 37 9" xfId="2502"/>
    <cellStyle name="Обычный 37 90" xfId="2503"/>
    <cellStyle name="Обычный 37 91" xfId="2504"/>
    <cellStyle name="Обычный 37 92" xfId="2505"/>
    <cellStyle name="Обычный 37 93" xfId="2506"/>
    <cellStyle name="Обычный 37 94" xfId="2507"/>
    <cellStyle name="Обычный 37 95" xfId="2508"/>
    <cellStyle name="Обычный 37 96" xfId="2509"/>
    <cellStyle name="Обычный 37 97" xfId="2510"/>
    <cellStyle name="Обычный 37 98" xfId="2511"/>
    <cellStyle name="Обычный 37 99" xfId="2512"/>
    <cellStyle name="Обычный 38" xfId="2513"/>
    <cellStyle name="Обычный 38 10" xfId="2514"/>
    <cellStyle name="Обычный 38 100" xfId="2515"/>
    <cellStyle name="Обычный 38 101" xfId="2516"/>
    <cellStyle name="Обычный 38 102" xfId="2517"/>
    <cellStyle name="Обычный 38 103" xfId="2518"/>
    <cellStyle name="Обычный 38 104" xfId="2519"/>
    <cellStyle name="Обычный 38 105" xfId="2520"/>
    <cellStyle name="Обычный 38 106" xfId="2521"/>
    <cellStyle name="Обычный 38 107" xfId="2522"/>
    <cellStyle name="Обычный 38 108" xfId="2523"/>
    <cellStyle name="Обычный 38 109" xfId="2524"/>
    <cellStyle name="Обычный 38 11" xfId="2525"/>
    <cellStyle name="Обычный 38 110" xfId="2526"/>
    <cellStyle name="Обычный 38 111" xfId="2527"/>
    <cellStyle name="Обычный 38 112" xfId="2528"/>
    <cellStyle name="Обычный 38 113" xfId="2529"/>
    <cellStyle name="Обычный 38 114" xfId="2530"/>
    <cellStyle name="Обычный 38 115" xfId="2531"/>
    <cellStyle name="Обычный 38 116" xfId="2532"/>
    <cellStyle name="Обычный 38 117" xfId="2533"/>
    <cellStyle name="Обычный 38 118" xfId="2534"/>
    <cellStyle name="Обычный 38 119" xfId="2535"/>
    <cellStyle name="Обычный 38 12" xfId="2536"/>
    <cellStyle name="Обычный 38 120" xfId="2537"/>
    <cellStyle name="Обычный 38 121" xfId="2538"/>
    <cellStyle name="Обычный 38 122" xfId="2539"/>
    <cellStyle name="Обычный 38 123" xfId="2540"/>
    <cellStyle name="Обычный 38 124" xfId="2541"/>
    <cellStyle name="Обычный 38 125" xfId="2542"/>
    <cellStyle name="Обычный 38 126" xfId="2543"/>
    <cellStyle name="Обычный 38 127" xfId="2544"/>
    <cellStyle name="Обычный 38 128" xfId="2545"/>
    <cellStyle name="Обычный 38 129" xfId="2546"/>
    <cellStyle name="Обычный 38 13" xfId="2547"/>
    <cellStyle name="Обычный 38 130" xfId="2548"/>
    <cellStyle name="Обычный 38 131" xfId="2549"/>
    <cellStyle name="Обычный 38 132" xfId="2550"/>
    <cellStyle name="Обычный 38 133" xfId="2551"/>
    <cellStyle name="Обычный 38 134" xfId="2552"/>
    <cellStyle name="Обычный 38 135" xfId="2553"/>
    <cellStyle name="Обычный 38 136" xfId="2554"/>
    <cellStyle name="Обычный 38 14" xfId="2555"/>
    <cellStyle name="Обычный 38 15" xfId="2556"/>
    <cellStyle name="Обычный 38 16" xfId="2557"/>
    <cellStyle name="Обычный 38 17" xfId="2558"/>
    <cellStyle name="Обычный 38 18" xfId="2559"/>
    <cellStyle name="Обычный 38 19" xfId="2560"/>
    <cellStyle name="Обычный 38 2" xfId="2561"/>
    <cellStyle name="Обычный 38 20" xfId="2562"/>
    <cellStyle name="Обычный 38 21" xfId="2563"/>
    <cellStyle name="Обычный 38 22" xfId="2564"/>
    <cellStyle name="Обычный 38 23" xfId="2565"/>
    <cellStyle name="Обычный 38 24" xfId="2566"/>
    <cellStyle name="Обычный 38 25" xfId="2567"/>
    <cellStyle name="Обычный 38 26" xfId="2568"/>
    <cellStyle name="Обычный 38 27" xfId="2569"/>
    <cellStyle name="Обычный 38 28" xfId="2570"/>
    <cellStyle name="Обычный 38 29" xfId="2571"/>
    <cellStyle name="Обычный 38 3" xfId="2572"/>
    <cellStyle name="Обычный 38 30" xfId="2573"/>
    <cellStyle name="Обычный 38 31" xfId="2574"/>
    <cellStyle name="Обычный 38 32" xfId="2575"/>
    <cellStyle name="Обычный 38 33" xfId="2576"/>
    <cellStyle name="Обычный 38 34" xfId="2577"/>
    <cellStyle name="Обычный 38 35" xfId="2578"/>
    <cellStyle name="Обычный 38 36" xfId="2579"/>
    <cellStyle name="Обычный 38 37" xfId="2580"/>
    <cellStyle name="Обычный 38 38" xfId="2581"/>
    <cellStyle name="Обычный 38 39" xfId="2582"/>
    <cellStyle name="Обычный 38 4" xfId="2583"/>
    <cellStyle name="Обычный 38 40" xfId="2584"/>
    <cellStyle name="Обычный 38 41" xfId="2585"/>
    <cellStyle name="Обычный 38 42" xfId="2586"/>
    <cellStyle name="Обычный 38 43" xfId="2587"/>
    <cellStyle name="Обычный 38 44" xfId="2588"/>
    <cellStyle name="Обычный 38 45" xfId="2589"/>
    <cellStyle name="Обычный 38 46" xfId="2590"/>
    <cellStyle name="Обычный 38 47" xfId="2591"/>
    <cellStyle name="Обычный 38 48" xfId="2592"/>
    <cellStyle name="Обычный 38 49" xfId="2593"/>
    <cellStyle name="Обычный 38 5" xfId="2594"/>
    <cellStyle name="Обычный 38 50" xfId="2595"/>
    <cellStyle name="Обычный 38 51" xfId="2596"/>
    <cellStyle name="Обычный 38 52" xfId="2597"/>
    <cellStyle name="Обычный 38 53" xfId="2598"/>
    <cellStyle name="Обычный 38 54" xfId="2599"/>
    <cellStyle name="Обычный 38 55" xfId="2600"/>
    <cellStyle name="Обычный 38 56" xfId="2601"/>
    <cellStyle name="Обычный 38 57" xfId="2602"/>
    <cellStyle name="Обычный 38 58" xfId="2603"/>
    <cellStyle name="Обычный 38 59" xfId="2604"/>
    <cellStyle name="Обычный 38 6" xfId="2605"/>
    <cellStyle name="Обычный 38 60" xfId="2606"/>
    <cellStyle name="Обычный 38 61" xfId="2607"/>
    <cellStyle name="Обычный 38 62" xfId="2608"/>
    <cellStyle name="Обычный 38 63" xfId="2609"/>
    <cellStyle name="Обычный 38 64" xfId="2610"/>
    <cellStyle name="Обычный 38 65" xfId="2611"/>
    <cellStyle name="Обычный 38 66" xfId="2612"/>
    <cellStyle name="Обычный 38 67" xfId="2613"/>
    <cellStyle name="Обычный 38 68" xfId="2614"/>
    <cellStyle name="Обычный 38 69" xfId="2615"/>
    <cellStyle name="Обычный 38 7" xfId="2616"/>
    <cellStyle name="Обычный 38 70" xfId="2617"/>
    <cellStyle name="Обычный 38 71" xfId="2618"/>
    <cellStyle name="Обычный 38 72" xfId="2619"/>
    <cellStyle name="Обычный 38 73" xfId="2620"/>
    <cellStyle name="Обычный 38 74" xfId="2621"/>
    <cellStyle name="Обычный 38 75" xfId="2622"/>
    <cellStyle name="Обычный 38 76" xfId="2623"/>
    <cellStyle name="Обычный 38 77" xfId="2624"/>
    <cellStyle name="Обычный 38 78" xfId="2625"/>
    <cellStyle name="Обычный 38 79" xfId="2626"/>
    <cellStyle name="Обычный 38 8" xfId="2627"/>
    <cellStyle name="Обычный 38 80" xfId="2628"/>
    <cellStyle name="Обычный 38 81" xfId="2629"/>
    <cellStyle name="Обычный 38 82" xfId="2630"/>
    <cellStyle name="Обычный 38 83" xfId="2631"/>
    <cellStyle name="Обычный 38 84" xfId="2632"/>
    <cellStyle name="Обычный 38 85" xfId="2633"/>
    <cellStyle name="Обычный 38 86" xfId="2634"/>
    <cellStyle name="Обычный 38 87" xfId="2635"/>
    <cellStyle name="Обычный 38 88" xfId="2636"/>
    <cellStyle name="Обычный 38 89" xfId="2637"/>
    <cellStyle name="Обычный 38 9" xfId="2638"/>
    <cellStyle name="Обычный 38 90" xfId="2639"/>
    <cellStyle name="Обычный 38 91" xfId="2640"/>
    <cellStyle name="Обычный 38 92" xfId="2641"/>
    <cellStyle name="Обычный 38 93" xfId="2642"/>
    <cellStyle name="Обычный 38 94" xfId="2643"/>
    <cellStyle name="Обычный 38 95" xfId="2644"/>
    <cellStyle name="Обычный 38 96" xfId="2645"/>
    <cellStyle name="Обычный 38 97" xfId="2646"/>
    <cellStyle name="Обычный 38 98" xfId="2647"/>
    <cellStyle name="Обычный 38 99" xfId="2648"/>
    <cellStyle name="Обычный 39" xfId="2649"/>
    <cellStyle name="Обычный 4" xfId="2650"/>
    <cellStyle name="Обычный 4 2" xfId="2651"/>
    <cellStyle name="Обычный 4_ПРОЕКТ 4  (уточнений 04.12.2017.) 1011100 на 2018 рік  з  ПТНЗ 36,38 на 6 міс" xfId="2652"/>
    <cellStyle name="Обычный 40" xfId="2653"/>
    <cellStyle name="Обычный 41" xfId="2654"/>
    <cellStyle name="Обычный 41 2" xfId="2655"/>
    <cellStyle name="Обычный 42" xfId="2656"/>
    <cellStyle name="Обычный 43" xfId="2657"/>
    <cellStyle name="Обычный 43 2" xfId="2658"/>
    <cellStyle name="Обычный 44" xfId="2659"/>
    <cellStyle name="Обычный 45" xfId="2660"/>
    <cellStyle name="Обычный 45 2" xfId="2661"/>
    <cellStyle name="Обычный 46" xfId="2662"/>
    <cellStyle name="Обычный 46 2" xfId="2663"/>
    <cellStyle name="Обычный 47" xfId="2664"/>
    <cellStyle name="Обычный 48" xfId="2665"/>
    <cellStyle name="Обычный 48 2" xfId="2666"/>
    <cellStyle name="Обычный 49" xfId="2667"/>
    <cellStyle name="Обычный 5" xfId="2668"/>
    <cellStyle name="Обычный 5 2" xfId="2669"/>
    <cellStyle name="Обычный 50" xfId="2670"/>
    <cellStyle name="Обычный 50 2" xfId="2671"/>
    <cellStyle name="Обычный 51" xfId="2672"/>
    <cellStyle name="Обычный 51 2" xfId="2673"/>
    <cellStyle name="Обычный 52" xfId="2674"/>
    <cellStyle name="Обычный 52 2" xfId="2675"/>
    <cellStyle name="Обычный 53" xfId="2676"/>
    <cellStyle name="Обычный 54" xfId="2677"/>
    <cellStyle name="Обычный 55" xfId="2678"/>
    <cellStyle name="Обычный 55 2" xfId="2679"/>
    <cellStyle name="Обычный 56" xfId="2680"/>
    <cellStyle name="Обычный 57" xfId="2681"/>
    <cellStyle name="Обычный 57 2" xfId="2682"/>
    <cellStyle name="Обычный 58" xfId="2683"/>
    <cellStyle name="Обычный 58 2" xfId="2684"/>
    <cellStyle name="Обычный 59" xfId="2685"/>
    <cellStyle name="Обычный 6" xfId="2686"/>
    <cellStyle name="Обычный 6 2" xfId="2687"/>
    <cellStyle name="Обычный 60" xfId="2688"/>
    <cellStyle name="Обычный 60 2" xfId="2689"/>
    <cellStyle name="Обычный 61" xfId="2690"/>
    <cellStyle name="Обычный 62" xfId="2691"/>
    <cellStyle name="Обычный 63" xfId="2692"/>
    <cellStyle name="Обычный 63 2" xfId="2693"/>
    <cellStyle name="Обычный 64" xfId="2694"/>
    <cellStyle name="Обычный 64 2" xfId="2695"/>
    <cellStyle name="Обычный 65" xfId="2696"/>
    <cellStyle name="Обычный 66" xfId="2697"/>
    <cellStyle name="Обычный 67" xfId="2698"/>
    <cellStyle name="Обычный 68" xfId="2699"/>
    <cellStyle name="Обычный 68 2" xfId="2700"/>
    <cellStyle name="Обычный 69" xfId="2701"/>
    <cellStyle name="Обычный 7" xfId="2702"/>
    <cellStyle name="Обычный 7 10" xfId="2703"/>
    <cellStyle name="Обычный 7 100" xfId="2704"/>
    <cellStyle name="Обычный 7 101" xfId="2705"/>
    <cellStyle name="Обычный 7 102" xfId="2706"/>
    <cellStyle name="Обычный 7 103" xfId="2707"/>
    <cellStyle name="Обычный 7 104" xfId="2708"/>
    <cellStyle name="Обычный 7 105" xfId="2709"/>
    <cellStyle name="Обычный 7 106" xfId="2710"/>
    <cellStyle name="Обычный 7 107" xfId="2711"/>
    <cellStyle name="Обычный 7 108" xfId="2712"/>
    <cellStyle name="Обычный 7 109" xfId="2713"/>
    <cellStyle name="Обычный 7 11" xfId="2714"/>
    <cellStyle name="Обычный 7 110" xfId="2715"/>
    <cellStyle name="Обычный 7 111" xfId="2716"/>
    <cellStyle name="Обычный 7 112" xfId="2717"/>
    <cellStyle name="Обычный 7 113" xfId="2718"/>
    <cellStyle name="Обычный 7 114" xfId="2719"/>
    <cellStyle name="Обычный 7 115" xfId="2720"/>
    <cellStyle name="Обычный 7 116" xfId="2721"/>
    <cellStyle name="Обычный 7 117" xfId="2722"/>
    <cellStyle name="Обычный 7 118" xfId="2723"/>
    <cellStyle name="Обычный 7 119" xfId="2724"/>
    <cellStyle name="Обычный 7 12" xfId="2725"/>
    <cellStyle name="Обычный 7 120" xfId="2726"/>
    <cellStyle name="Обычный 7 121" xfId="2727"/>
    <cellStyle name="Обычный 7 122" xfId="2728"/>
    <cellStyle name="Обычный 7 123" xfId="2729"/>
    <cellStyle name="Обычный 7 124" xfId="2730"/>
    <cellStyle name="Обычный 7 125" xfId="2731"/>
    <cellStyle name="Обычный 7 126" xfId="2732"/>
    <cellStyle name="Обычный 7 127" xfId="2733"/>
    <cellStyle name="Обычный 7 128" xfId="2734"/>
    <cellStyle name="Обычный 7 129" xfId="2735"/>
    <cellStyle name="Обычный 7 13" xfId="2736"/>
    <cellStyle name="Обычный 7 130" xfId="2737"/>
    <cellStyle name="Обычный 7 131" xfId="2738"/>
    <cellStyle name="Обычный 7 132" xfId="2739"/>
    <cellStyle name="Обычный 7 133" xfId="2740"/>
    <cellStyle name="Обычный 7 134" xfId="2741"/>
    <cellStyle name="Обычный 7 135" xfId="2742"/>
    <cellStyle name="Обычный 7 136" xfId="2743"/>
    <cellStyle name="Обычный 7 14" xfId="2744"/>
    <cellStyle name="Обычный 7 15" xfId="2745"/>
    <cellStyle name="Обычный 7 16" xfId="2746"/>
    <cellStyle name="Обычный 7 17" xfId="2747"/>
    <cellStyle name="Обычный 7 18" xfId="2748"/>
    <cellStyle name="Обычный 7 19" xfId="2749"/>
    <cellStyle name="Обычный 7 2" xfId="2750"/>
    <cellStyle name="Обычный 7 20" xfId="2751"/>
    <cellStyle name="Обычный 7 21" xfId="2752"/>
    <cellStyle name="Обычный 7 22" xfId="2753"/>
    <cellStyle name="Обычный 7 23" xfId="2754"/>
    <cellStyle name="Обычный 7 24" xfId="2755"/>
    <cellStyle name="Обычный 7 25" xfId="2756"/>
    <cellStyle name="Обычный 7 26" xfId="2757"/>
    <cellStyle name="Обычный 7 27" xfId="2758"/>
    <cellStyle name="Обычный 7 28" xfId="2759"/>
    <cellStyle name="Обычный 7 29" xfId="2760"/>
    <cellStyle name="Обычный 7 3" xfId="2761"/>
    <cellStyle name="Обычный 7 30" xfId="2762"/>
    <cellStyle name="Обычный 7 31" xfId="2763"/>
    <cellStyle name="Обычный 7 32" xfId="2764"/>
    <cellStyle name="Обычный 7 33" xfId="2765"/>
    <cellStyle name="Обычный 7 34" xfId="2766"/>
    <cellStyle name="Обычный 7 35" xfId="2767"/>
    <cellStyle name="Обычный 7 36" xfId="2768"/>
    <cellStyle name="Обычный 7 37" xfId="2769"/>
    <cellStyle name="Обычный 7 38" xfId="2770"/>
    <cellStyle name="Обычный 7 39" xfId="2771"/>
    <cellStyle name="Обычный 7 4" xfId="2772"/>
    <cellStyle name="Обычный 7 40" xfId="2773"/>
    <cellStyle name="Обычный 7 41" xfId="2774"/>
    <cellStyle name="Обычный 7 42" xfId="2775"/>
    <cellStyle name="Обычный 7 43" xfId="2776"/>
    <cellStyle name="Обычный 7 44" xfId="2777"/>
    <cellStyle name="Обычный 7 45" xfId="2778"/>
    <cellStyle name="Обычный 7 46" xfId="2779"/>
    <cellStyle name="Обычный 7 47" xfId="2780"/>
    <cellStyle name="Обычный 7 48" xfId="2781"/>
    <cellStyle name="Обычный 7 49" xfId="2782"/>
    <cellStyle name="Обычный 7 5" xfId="2783"/>
    <cellStyle name="Обычный 7 50" xfId="2784"/>
    <cellStyle name="Обычный 7 51" xfId="2785"/>
    <cellStyle name="Обычный 7 52" xfId="2786"/>
    <cellStyle name="Обычный 7 53" xfId="2787"/>
    <cellStyle name="Обычный 7 54" xfId="2788"/>
    <cellStyle name="Обычный 7 55" xfId="2789"/>
    <cellStyle name="Обычный 7 56" xfId="2790"/>
    <cellStyle name="Обычный 7 57" xfId="2791"/>
    <cellStyle name="Обычный 7 58" xfId="2792"/>
    <cellStyle name="Обычный 7 59" xfId="2793"/>
    <cellStyle name="Обычный 7 6" xfId="2794"/>
    <cellStyle name="Обычный 7 60" xfId="2795"/>
    <cellStyle name="Обычный 7 61" xfId="2796"/>
    <cellStyle name="Обычный 7 62" xfId="2797"/>
    <cellStyle name="Обычный 7 63" xfId="2798"/>
    <cellStyle name="Обычный 7 64" xfId="2799"/>
    <cellStyle name="Обычный 7 65" xfId="2800"/>
    <cellStyle name="Обычный 7 66" xfId="2801"/>
    <cellStyle name="Обычный 7 67" xfId="2802"/>
    <cellStyle name="Обычный 7 68" xfId="2803"/>
    <cellStyle name="Обычный 7 69" xfId="2804"/>
    <cellStyle name="Обычный 7 7" xfId="2805"/>
    <cellStyle name="Обычный 7 70" xfId="2806"/>
    <cellStyle name="Обычный 7 71" xfId="2807"/>
    <cellStyle name="Обычный 7 72" xfId="2808"/>
    <cellStyle name="Обычный 7 73" xfId="2809"/>
    <cellStyle name="Обычный 7 74" xfId="2810"/>
    <cellStyle name="Обычный 7 75" xfId="2811"/>
    <cellStyle name="Обычный 7 76" xfId="2812"/>
    <cellStyle name="Обычный 7 77" xfId="2813"/>
    <cellStyle name="Обычный 7 78" xfId="2814"/>
    <cellStyle name="Обычный 7 79" xfId="2815"/>
    <cellStyle name="Обычный 7 8" xfId="2816"/>
    <cellStyle name="Обычный 7 80" xfId="2817"/>
    <cellStyle name="Обычный 7 81" xfId="2818"/>
    <cellStyle name="Обычный 7 82" xfId="2819"/>
    <cellStyle name="Обычный 7 83" xfId="2820"/>
    <cellStyle name="Обычный 7 84" xfId="2821"/>
    <cellStyle name="Обычный 7 85" xfId="2822"/>
    <cellStyle name="Обычный 7 86" xfId="2823"/>
    <cellStyle name="Обычный 7 87" xfId="2824"/>
    <cellStyle name="Обычный 7 88" xfId="2825"/>
    <cellStyle name="Обычный 7 89" xfId="2826"/>
    <cellStyle name="Обычный 7 9" xfId="2827"/>
    <cellStyle name="Обычный 7 90" xfId="2828"/>
    <cellStyle name="Обычный 7 91" xfId="2829"/>
    <cellStyle name="Обычный 7 92" xfId="2830"/>
    <cellStyle name="Обычный 7 93" xfId="2831"/>
    <cellStyle name="Обычный 7 94" xfId="2832"/>
    <cellStyle name="Обычный 7 95" xfId="2833"/>
    <cellStyle name="Обычный 7 96" xfId="2834"/>
    <cellStyle name="Обычный 7 97" xfId="2835"/>
    <cellStyle name="Обычный 7 98" xfId="2836"/>
    <cellStyle name="Обычный 7 99" xfId="2837"/>
    <cellStyle name="Обычный 70" xfId="2838"/>
    <cellStyle name="Обычный 71" xfId="2839"/>
    <cellStyle name="Обычный 72" xfId="2840"/>
    <cellStyle name="Обычный 73" xfId="2841"/>
    <cellStyle name="Обычный 74" xfId="2842"/>
    <cellStyle name="Обычный 75" xfId="2843"/>
    <cellStyle name="Обычный 76" xfId="2844"/>
    <cellStyle name="Обычный 77" xfId="2845"/>
    <cellStyle name="Обычный 78" xfId="2846"/>
    <cellStyle name="Обычный 79" xfId="2847"/>
    <cellStyle name="Обычный 8" xfId="2848"/>
    <cellStyle name="Обычный 8 2" xfId="2849"/>
    <cellStyle name="Обычный 80" xfId="2850"/>
    <cellStyle name="Обычный 81" xfId="2851"/>
    <cellStyle name="Обычный 82" xfId="2852"/>
    <cellStyle name="Обычный 83" xfId="2853"/>
    <cellStyle name="Обычный 84" xfId="2854"/>
    <cellStyle name="Обычный 85" xfId="2855"/>
    <cellStyle name="Обычный 86" xfId="2856"/>
    <cellStyle name="Обычный 87" xfId="2857"/>
    <cellStyle name="Обычный 87 10" xfId="2858"/>
    <cellStyle name="Обычный 87 100" xfId="2859"/>
    <cellStyle name="Обычный 87 101" xfId="2860"/>
    <cellStyle name="Обычный 87 102" xfId="2861"/>
    <cellStyle name="Обычный 87 103" xfId="2862"/>
    <cellStyle name="Обычный 87 104" xfId="2863"/>
    <cellStyle name="Обычный 87 105" xfId="2864"/>
    <cellStyle name="Обычный 87 106" xfId="2865"/>
    <cellStyle name="Обычный 87 107" xfId="2866"/>
    <cellStyle name="Обычный 87 108" xfId="2867"/>
    <cellStyle name="Обычный 87 109" xfId="2868"/>
    <cellStyle name="Обычный 87 11" xfId="2869"/>
    <cellStyle name="Обычный 87 110" xfId="2870"/>
    <cellStyle name="Обычный 87 111" xfId="2871"/>
    <cellStyle name="Обычный 87 112" xfId="2872"/>
    <cellStyle name="Обычный 87 113" xfId="2873"/>
    <cellStyle name="Обычный 87 114" xfId="2874"/>
    <cellStyle name="Обычный 87 115" xfId="2875"/>
    <cellStyle name="Обычный 87 116" xfId="2876"/>
    <cellStyle name="Обычный 87 117" xfId="2877"/>
    <cellStyle name="Обычный 87 118" xfId="2878"/>
    <cellStyle name="Обычный 87 119" xfId="2879"/>
    <cellStyle name="Обычный 87 12" xfId="2880"/>
    <cellStyle name="Обычный 87 120" xfId="2881"/>
    <cellStyle name="Обычный 87 121" xfId="2882"/>
    <cellStyle name="Обычный 87 122" xfId="2883"/>
    <cellStyle name="Обычный 87 123" xfId="2884"/>
    <cellStyle name="Обычный 87 124" xfId="2885"/>
    <cellStyle name="Обычный 87 125" xfId="2886"/>
    <cellStyle name="Обычный 87 126" xfId="2887"/>
    <cellStyle name="Обычный 87 127" xfId="2888"/>
    <cellStyle name="Обычный 87 128" xfId="2889"/>
    <cellStyle name="Обычный 87 129" xfId="2890"/>
    <cellStyle name="Обычный 87 13" xfId="2891"/>
    <cellStyle name="Обычный 87 130" xfId="2892"/>
    <cellStyle name="Обычный 87 131" xfId="2893"/>
    <cellStyle name="Обычный 87 132" xfId="2894"/>
    <cellStyle name="Обычный 87 133" xfId="2895"/>
    <cellStyle name="Обычный 87 134" xfId="2896"/>
    <cellStyle name="Обычный 87 135" xfId="2897"/>
    <cellStyle name="Обычный 87 14" xfId="2898"/>
    <cellStyle name="Обычный 87 15" xfId="2899"/>
    <cellStyle name="Обычный 87 16" xfId="2900"/>
    <cellStyle name="Обычный 87 17" xfId="2901"/>
    <cellStyle name="Обычный 87 18" xfId="2902"/>
    <cellStyle name="Обычный 87 19" xfId="2903"/>
    <cellStyle name="Обычный 87 2" xfId="2904"/>
    <cellStyle name="Обычный 87 20" xfId="2905"/>
    <cellStyle name="Обычный 87 21" xfId="2906"/>
    <cellStyle name="Обычный 87 22" xfId="2907"/>
    <cellStyle name="Обычный 87 23" xfId="2908"/>
    <cellStyle name="Обычный 87 24" xfId="2909"/>
    <cellStyle name="Обычный 87 25" xfId="2910"/>
    <cellStyle name="Обычный 87 26" xfId="2911"/>
    <cellStyle name="Обычный 87 27" xfId="2912"/>
    <cellStyle name="Обычный 87 28" xfId="2913"/>
    <cellStyle name="Обычный 87 29" xfId="2914"/>
    <cellStyle name="Обычный 87 3" xfId="2915"/>
    <cellStyle name="Обычный 87 30" xfId="2916"/>
    <cellStyle name="Обычный 87 31" xfId="2917"/>
    <cellStyle name="Обычный 87 32" xfId="2918"/>
    <cellStyle name="Обычный 87 33" xfId="2919"/>
    <cellStyle name="Обычный 87 34" xfId="2920"/>
    <cellStyle name="Обычный 87 35" xfId="2921"/>
    <cellStyle name="Обычный 87 36" xfId="2922"/>
    <cellStyle name="Обычный 87 37" xfId="2923"/>
    <cellStyle name="Обычный 87 38" xfId="2924"/>
    <cellStyle name="Обычный 87 39" xfId="2925"/>
    <cellStyle name="Обычный 87 4" xfId="2926"/>
    <cellStyle name="Обычный 87 40" xfId="2927"/>
    <cellStyle name="Обычный 87 41" xfId="2928"/>
    <cellStyle name="Обычный 87 42" xfId="2929"/>
    <cellStyle name="Обычный 87 43" xfId="2930"/>
    <cellStyle name="Обычный 87 44" xfId="2931"/>
    <cellStyle name="Обычный 87 45" xfId="2932"/>
    <cellStyle name="Обычный 87 46" xfId="2933"/>
    <cellStyle name="Обычный 87 47" xfId="2934"/>
    <cellStyle name="Обычный 87 48" xfId="2935"/>
    <cellStyle name="Обычный 87 49" xfId="2936"/>
    <cellStyle name="Обычный 87 5" xfId="2937"/>
    <cellStyle name="Обычный 87 50" xfId="2938"/>
    <cellStyle name="Обычный 87 51" xfId="2939"/>
    <cellStyle name="Обычный 87 52" xfId="2940"/>
    <cellStyle name="Обычный 87 53" xfId="2941"/>
    <cellStyle name="Обычный 87 54" xfId="2942"/>
    <cellStyle name="Обычный 87 55" xfId="2943"/>
    <cellStyle name="Обычный 87 56" xfId="2944"/>
    <cellStyle name="Обычный 87 57" xfId="2945"/>
    <cellStyle name="Обычный 87 58" xfId="2946"/>
    <cellStyle name="Обычный 87 59" xfId="2947"/>
    <cellStyle name="Обычный 87 6" xfId="2948"/>
    <cellStyle name="Обычный 87 60" xfId="2949"/>
    <cellStyle name="Обычный 87 61" xfId="2950"/>
    <cellStyle name="Обычный 87 62" xfId="2951"/>
    <cellStyle name="Обычный 87 63" xfId="2952"/>
    <cellStyle name="Обычный 87 64" xfId="2953"/>
    <cellStyle name="Обычный 87 65" xfId="2954"/>
    <cellStyle name="Обычный 87 66" xfId="2955"/>
    <cellStyle name="Обычный 87 67" xfId="2956"/>
    <cellStyle name="Обычный 87 68" xfId="2957"/>
    <cellStyle name="Обычный 87 69" xfId="2958"/>
    <cellStyle name="Обычный 87 7" xfId="2959"/>
    <cellStyle name="Обычный 87 70" xfId="2960"/>
    <cellStyle name="Обычный 87 71" xfId="2961"/>
    <cellStyle name="Обычный 87 72" xfId="2962"/>
    <cellStyle name="Обычный 87 73" xfId="2963"/>
    <cellStyle name="Обычный 87 74" xfId="2964"/>
    <cellStyle name="Обычный 87 75" xfId="2965"/>
    <cellStyle name="Обычный 87 76" xfId="2966"/>
    <cellStyle name="Обычный 87 77" xfId="2967"/>
    <cellStyle name="Обычный 87 78" xfId="2968"/>
    <cellStyle name="Обычный 87 79" xfId="2969"/>
    <cellStyle name="Обычный 87 8" xfId="2970"/>
    <cellStyle name="Обычный 87 80" xfId="2971"/>
    <cellStyle name="Обычный 87 81" xfId="2972"/>
    <cellStyle name="Обычный 87 82" xfId="2973"/>
    <cellStyle name="Обычный 87 83" xfId="2974"/>
    <cellStyle name="Обычный 87 84" xfId="2975"/>
    <cellStyle name="Обычный 87 85" xfId="2976"/>
    <cellStyle name="Обычный 87 86" xfId="2977"/>
    <cellStyle name="Обычный 87 87" xfId="2978"/>
    <cellStyle name="Обычный 87 88" xfId="2979"/>
    <cellStyle name="Обычный 87 89" xfId="2980"/>
    <cellStyle name="Обычный 87 9" xfId="2981"/>
    <cellStyle name="Обычный 87 90" xfId="2982"/>
    <cellStyle name="Обычный 87 91" xfId="2983"/>
    <cellStyle name="Обычный 87 92" xfId="2984"/>
    <cellStyle name="Обычный 87 93" xfId="2985"/>
    <cellStyle name="Обычный 87 94" xfId="2986"/>
    <cellStyle name="Обычный 87 95" xfId="2987"/>
    <cellStyle name="Обычный 87 96" xfId="2988"/>
    <cellStyle name="Обычный 87 97" xfId="2989"/>
    <cellStyle name="Обычный 87 98" xfId="2990"/>
    <cellStyle name="Обычный 87 99" xfId="2991"/>
    <cellStyle name="Обычный 88" xfId="2992"/>
    <cellStyle name="Обычный 89" xfId="2993"/>
    <cellStyle name="Обычный 9" xfId="2994"/>
    <cellStyle name="Обычный 9 2" xfId="2995"/>
    <cellStyle name="Обычный 90" xfId="2996"/>
    <cellStyle name="Обычный 91" xfId="2997"/>
    <cellStyle name="Обычный 92" xfId="2998"/>
    <cellStyle name="Обычный 93" xfId="2999"/>
    <cellStyle name="Обычный 94" xfId="3000"/>
    <cellStyle name="Обычный 95" xfId="3001"/>
    <cellStyle name="Обычный 96" xfId="3002"/>
    <cellStyle name="Обычный 97" xfId="3003"/>
    <cellStyle name="Обычный 98" xfId="3004"/>
    <cellStyle name="Обычный 99" xfId="3005"/>
    <cellStyle name="Обычный_Комун посл та енерго до10 щом" xfId="3006"/>
    <cellStyle name="Підсумок" xfId="3007"/>
    <cellStyle name="Плохой 2" xfId="3008"/>
    <cellStyle name="Поганий" xfId="3009"/>
    <cellStyle name="Пояснение 2" xfId="3010"/>
    <cellStyle name="Примечание 2" xfId="3011"/>
    <cellStyle name="Примечание 2 2" xfId="3012"/>
    <cellStyle name="Примечание 3" xfId="3013"/>
    <cellStyle name="Примечание 4" xfId="3014"/>
    <cellStyle name="Примітка" xfId="3015"/>
    <cellStyle name="Примітка 2" xfId="3016"/>
    <cellStyle name="Процентный 2" xfId="3017"/>
    <cellStyle name="Процентный 2 2" xfId="3018"/>
    <cellStyle name="Процентный 3" xfId="3019"/>
    <cellStyle name="Процентный 4" xfId="3020"/>
    <cellStyle name="Результат" xfId="3021"/>
    <cellStyle name="Результат 1" xfId="3022"/>
    <cellStyle name="Связанная ячейка 2" xfId="3023"/>
    <cellStyle name="Середній" xfId="3024"/>
    <cellStyle name="Стиль 1" xfId="3025"/>
    <cellStyle name="Стиль 1 2" xfId="3026"/>
    <cellStyle name="Стиль 1_таблиця порівняльна до бюджету" xfId="3027"/>
    <cellStyle name="Текст попередження" xfId="3028"/>
    <cellStyle name="Текст пояснення" xfId="3029"/>
    <cellStyle name="Текст предупреждения 2" xfId="3030"/>
    <cellStyle name="Тысячи [0]_Розподіл (2)" xfId="3031"/>
    <cellStyle name="Тысячи_бюджет 1998 по клас." xfId="3032"/>
    <cellStyle name="Финансовый" xfId="3037" builtinId="3"/>
    <cellStyle name="Финансовый 2" xfId="3033"/>
    <cellStyle name="Финансовый 3" xfId="3034"/>
    <cellStyle name="Хороший 2" xfId="3035"/>
    <cellStyle name="Џђћ–…ќ’ќ›‰" xfId="3036"/>
  </cellStyles>
  <dxfs count="0"/>
  <tableStyles count="0" defaultTableStyle="TableStyleMedium9" defaultPivotStyle="PivotStyleLight16"/>
  <colors>
    <mruColors>
      <color rgb="FFCCFFCC"/>
      <color rgb="FFFFFF99"/>
      <color rgb="FFFF8080"/>
      <color rgb="FF0000FF"/>
      <color rgb="FFB1A0C7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70C0"/>
    <pageSetUpPr fitToPage="1"/>
  </sheetPr>
  <dimension ref="A1:AL759"/>
  <sheetViews>
    <sheetView tabSelected="1" view="pageBreakPreview" zoomScale="70" zoomScaleNormal="80" zoomScaleSheetLayoutView="70" workbookViewId="0">
      <pane xSplit="5" ySplit="15" topLeftCell="F100" activePane="bottomRight" state="frozen"/>
      <selection activeCell="E21" sqref="E21"/>
      <selection pane="topRight" activeCell="E21" sqref="E21"/>
      <selection pane="bottomLeft" activeCell="E21" sqref="E21"/>
      <selection pane="bottomRight" activeCell="F105" sqref="F105:K114"/>
    </sheetView>
  </sheetViews>
  <sheetFormatPr defaultColWidth="9.33203125" defaultRowHeight="13.15"/>
  <cols>
    <col min="1" max="1" width="10.44140625" style="249" customWidth="1"/>
    <col min="2" max="2" width="6.44140625" style="249" customWidth="1"/>
    <col min="3" max="3" width="7" style="155" customWidth="1"/>
    <col min="4" max="4" width="33.5546875" style="155" customWidth="1"/>
    <col min="5" max="5" width="19.44140625" style="155" customWidth="1"/>
    <col min="6" max="6" width="12.44140625" style="249" customWidth="1"/>
    <col min="7" max="7" width="12.33203125" style="249" customWidth="1"/>
    <col min="8" max="8" width="12.6640625" style="249" bestFit="1" customWidth="1"/>
    <col min="9" max="9" width="12.44140625" style="249" customWidth="1"/>
    <col min="10" max="10" width="13" style="249" bestFit="1" customWidth="1"/>
    <col min="11" max="11" width="12.33203125" style="249" bestFit="1" customWidth="1"/>
    <col min="12" max="12" width="12" style="252" customWidth="1"/>
    <col min="13" max="13" width="11.44140625" style="252" customWidth="1"/>
    <col min="14" max="14" width="12.88671875" style="253" customWidth="1"/>
    <col min="15" max="15" width="13" style="249" customWidth="1"/>
    <col min="16" max="16" width="11.44140625" style="249" customWidth="1"/>
    <col min="17" max="17" width="13.33203125" style="249" customWidth="1"/>
    <col min="18" max="18" width="13" style="249" customWidth="1"/>
    <col min="19" max="19" width="14.44140625" style="249" customWidth="1"/>
    <col min="20" max="20" width="13.44140625" style="252" customWidth="1"/>
    <col min="21" max="21" width="13.5546875" style="252" customWidth="1"/>
    <col min="22" max="22" width="15.33203125" style="250" customWidth="1"/>
    <col min="23" max="23" width="14.44140625" style="250" customWidth="1"/>
    <col min="24" max="24" width="14.6640625" style="285" customWidth="1"/>
    <col min="25" max="25" width="15.33203125" style="251" customWidth="1"/>
    <col min="26" max="26" width="0" style="251" hidden="1" customWidth="1"/>
    <col min="27" max="27" width="12.44140625" style="286" hidden="1" customWidth="1"/>
    <col min="28" max="28" width="0" style="251" hidden="1" customWidth="1"/>
    <col min="29" max="29" width="2.44140625" style="251" hidden="1" customWidth="1"/>
    <col min="30" max="30" width="23" style="251" hidden="1" customWidth="1"/>
    <col min="31" max="33" width="0" style="251" hidden="1" customWidth="1"/>
    <col min="34" max="34" width="11.6640625" style="251" bestFit="1" customWidth="1"/>
    <col min="35" max="35" width="11.6640625" style="251" customWidth="1"/>
    <col min="36" max="36" width="9.44140625" style="251" bestFit="1" customWidth="1"/>
    <col min="37" max="16384" width="9.33203125" style="251"/>
  </cols>
  <sheetData>
    <row r="1" spans="1:38" s="475" customFormat="1" ht="16.3">
      <c r="A1" s="471"/>
      <c r="B1" s="471"/>
      <c r="C1" s="385"/>
      <c r="D1" s="385"/>
      <c r="E1" s="493" t="s">
        <v>131</v>
      </c>
      <c r="F1" s="472">
        <v>64668</v>
      </c>
      <c r="G1" s="472">
        <v>5274901</v>
      </c>
      <c r="H1" s="472">
        <v>6308373</v>
      </c>
      <c r="I1" s="472">
        <v>3863879</v>
      </c>
      <c r="J1" s="472">
        <v>1077836</v>
      </c>
      <c r="K1" s="472">
        <v>775780</v>
      </c>
      <c r="L1" s="472"/>
      <c r="M1" s="472"/>
      <c r="N1" s="472">
        <v>813053</v>
      </c>
      <c r="O1" s="472">
        <v>638175</v>
      </c>
      <c r="P1" s="472">
        <v>929316</v>
      </c>
      <c r="Q1" s="472">
        <v>1239086</v>
      </c>
      <c r="R1" s="472">
        <v>1457351</v>
      </c>
      <c r="S1" s="472">
        <v>9680736</v>
      </c>
      <c r="T1" s="472">
        <v>31674316</v>
      </c>
      <c r="U1" s="329">
        <v>32123154</v>
      </c>
      <c r="V1" s="473"/>
      <c r="W1" s="473"/>
      <c r="X1" s="474"/>
      <c r="AL1" s="386"/>
    </row>
    <row r="2" spans="1:38" s="475" customFormat="1" ht="16.3">
      <c r="A2" s="471"/>
      <c r="B2" s="471"/>
      <c r="C2" s="385"/>
      <c r="D2" s="385"/>
      <c r="E2" s="385"/>
      <c r="F2" s="476">
        <f t="shared" ref="F2:K2" si="0">F1/1000</f>
        <v>64.668000000000006</v>
      </c>
      <c r="G2" s="476">
        <f t="shared" si="0"/>
        <v>5274.9009999999998</v>
      </c>
      <c r="H2" s="476">
        <f t="shared" si="0"/>
        <v>6308.3729999999996</v>
      </c>
      <c r="I2" s="476">
        <f t="shared" si="0"/>
        <v>3863.8789999999999</v>
      </c>
      <c r="J2" s="476">
        <f t="shared" si="0"/>
        <v>1077.836</v>
      </c>
      <c r="K2" s="476">
        <f t="shared" si="0"/>
        <v>775.78</v>
      </c>
      <c r="L2" s="476"/>
      <c r="M2" s="476"/>
      <c r="N2" s="476">
        <f t="shared" ref="N2:S2" si="1">N1/1000</f>
        <v>813.053</v>
      </c>
      <c r="O2" s="476">
        <f t="shared" si="1"/>
        <v>638.17499999999995</v>
      </c>
      <c r="P2" s="476">
        <f t="shared" si="1"/>
        <v>929.31600000000003</v>
      </c>
      <c r="Q2" s="476">
        <f t="shared" si="1"/>
        <v>1239.086</v>
      </c>
      <c r="R2" s="476">
        <f t="shared" si="1"/>
        <v>1457.3510000000001</v>
      </c>
      <c r="S2" s="476">
        <f t="shared" si="1"/>
        <v>9680.7360000000008</v>
      </c>
      <c r="T2" s="479">
        <f>SUM(F2:S2)</f>
        <v>32123.153999999999</v>
      </c>
      <c r="U2" s="329">
        <f>U1/1000</f>
        <v>32123.153999999999</v>
      </c>
      <c r="V2" s="473"/>
      <c r="W2" s="473"/>
      <c r="X2" s="474"/>
      <c r="AA2" s="386"/>
    </row>
    <row r="3" spans="1:38" s="475" customFormat="1" ht="16.3">
      <c r="A3" s="471"/>
      <c r="B3" s="471"/>
      <c r="C3" s="385"/>
      <c r="D3" s="385"/>
      <c r="E3" s="385"/>
      <c r="F3" s="477">
        <f t="shared" ref="F3:K3" si="2">F2-F17-F18</f>
        <v>0</v>
      </c>
      <c r="G3" s="477">
        <f t="shared" si="2"/>
        <v>0</v>
      </c>
      <c r="H3" s="477">
        <f t="shared" si="2"/>
        <v>0</v>
      </c>
      <c r="I3" s="477">
        <f t="shared" si="2"/>
        <v>0</v>
      </c>
      <c r="J3" s="477">
        <f t="shared" si="2"/>
        <v>0</v>
      </c>
      <c r="K3" s="477">
        <f t="shared" si="2"/>
        <v>0</v>
      </c>
      <c r="L3" s="477"/>
      <c r="M3" s="477"/>
      <c r="N3" s="477">
        <f t="shared" ref="N3:S3" si="3">N2-N17-N18</f>
        <v>0</v>
      </c>
      <c r="O3" s="477">
        <f t="shared" si="3"/>
        <v>0</v>
      </c>
      <c r="P3" s="477">
        <f t="shared" si="3"/>
        <v>0</v>
      </c>
      <c r="Q3" s="477">
        <f t="shared" si="3"/>
        <v>0</v>
      </c>
      <c r="R3" s="477">
        <f t="shared" si="3"/>
        <v>0</v>
      </c>
      <c r="S3" s="477">
        <f t="shared" si="3"/>
        <v>0</v>
      </c>
      <c r="T3" s="477">
        <f>T2-U17-U18</f>
        <v>0</v>
      </c>
      <c r="U3" s="329">
        <f>U2-V16</f>
        <v>0</v>
      </c>
      <c r="V3" s="473"/>
      <c r="W3" s="473"/>
      <c r="X3" s="474"/>
      <c r="AA3" s="386"/>
    </row>
    <row r="4" spans="1:38" s="390" customFormat="1" ht="17.55">
      <c r="A4" s="387"/>
      <c r="B4" s="387"/>
      <c r="C4" s="385"/>
      <c r="D4" s="432"/>
      <c r="E4" s="406"/>
      <c r="F4" s="40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446"/>
      <c r="W4" s="388"/>
      <c r="X4" s="389"/>
      <c r="AA4" s="386"/>
      <c r="AH4" s="428"/>
      <c r="AI4" s="430"/>
      <c r="AJ4" s="430"/>
    </row>
    <row r="5" spans="1:38" s="157" customFormat="1" ht="28.2">
      <c r="A5" s="155"/>
      <c r="B5" s="155"/>
      <c r="C5" s="158"/>
      <c r="D5" s="448"/>
      <c r="E5" s="449"/>
      <c r="F5" s="408"/>
      <c r="G5" s="160"/>
      <c r="H5" s="160"/>
      <c r="I5" s="160"/>
      <c r="J5" s="155"/>
      <c r="K5" s="155"/>
      <c r="M5" s="155"/>
      <c r="N5" s="329"/>
      <c r="O5" s="329"/>
      <c r="P5" s="155"/>
      <c r="Q5" s="289"/>
      <c r="R5" s="155"/>
      <c r="S5" s="289"/>
      <c r="T5" s="155"/>
      <c r="U5" s="155"/>
      <c r="V5" s="161"/>
      <c r="W5" s="161"/>
      <c r="X5" s="209"/>
      <c r="AA5" s="266"/>
      <c r="AH5" s="431"/>
      <c r="AI5" s="431"/>
      <c r="AJ5" s="431"/>
    </row>
    <row r="6" spans="1:38" s="163" customFormat="1" ht="17.55">
      <c r="A6" s="162"/>
      <c r="B6" s="162"/>
      <c r="C6" s="612" t="s">
        <v>4</v>
      </c>
      <c r="D6" s="612"/>
      <c r="E6" s="612"/>
      <c r="F6" s="612"/>
      <c r="G6" s="612"/>
      <c r="H6" s="612"/>
      <c r="I6" s="612"/>
      <c r="J6" s="612"/>
      <c r="K6" s="612"/>
      <c r="L6" s="612"/>
      <c r="M6" s="612"/>
      <c r="N6" s="612"/>
      <c r="O6" s="612"/>
      <c r="P6" s="612"/>
      <c r="Q6" s="612"/>
      <c r="R6" s="612"/>
      <c r="S6" s="612"/>
      <c r="T6" s="612"/>
      <c r="U6" s="612"/>
      <c r="V6" s="612"/>
      <c r="W6" s="612"/>
      <c r="X6" s="267"/>
      <c r="Y6" s="268"/>
      <c r="AA6" s="269"/>
      <c r="AH6" s="270"/>
      <c r="AI6" s="270"/>
    </row>
    <row r="7" spans="1:38" s="163" customFormat="1" ht="17.55">
      <c r="A7" s="162"/>
      <c r="B7" s="162"/>
      <c r="C7" s="612" t="s">
        <v>87</v>
      </c>
      <c r="D7" s="612"/>
      <c r="E7" s="612"/>
      <c r="F7" s="612"/>
      <c r="G7" s="612"/>
      <c r="H7" s="612"/>
      <c r="I7" s="612"/>
      <c r="J7" s="612"/>
      <c r="K7" s="612"/>
      <c r="L7" s="612"/>
      <c r="M7" s="612"/>
      <c r="N7" s="612"/>
      <c r="O7" s="612"/>
      <c r="P7" s="612"/>
      <c r="Q7" s="612"/>
      <c r="R7" s="612"/>
      <c r="S7" s="612"/>
      <c r="T7" s="612"/>
      <c r="U7" s="612"/>
      <c r="V7" s="612"/>
      <c r="W7" s="612"/>
      <c r="X7" s="267"/>
      <c r="Y7" s="157"/>
      <c r="AA7" s="269"/>
      <c r="AH7" s="270"/>
      <c r="AI7" s="270"/>
    </row>
    <row r="8" spans="1:38" s="163" customFormat="1" ht="15.65">
      <c r="A8" s="162"/>
      <c r="B8" s="162"/>
      <c r="C8" s="613" t="s">
        <v>151</v>
      </c>
      <c r="D8" s="613"/>
      <c r="E8" s="613"/>
      <c r="F8" s="613"/>
      <c r="G8" s="613"/>
      <c r="H8" s="613"/>
      <c r="I8" s="613"/>
      <c r="J8" s="613"/>
      <c r="K8" s="613"/>
      <c r="L8" s="613"/>
      <c r="M8" s="613"/>
      <c r="N8" s="613"/>
      <c r="O8" s="613"/>
      <c r="P8" s="613"/>
      <c r="Q8" s="613"/>
      <c r="R8" s="613"/>
      <c r="S8" s="613"/>
      <c r="T8" s="613"/>
      <c r="U8" s="613"/>
      <c r="V8" s="613"/>
      <c r="W8" s="613"/>
      <c r="X8" s="267"/>
      <c r="Y8" s="157"/>
      <c r="AA8" s="269"/>
      <c r="AH8" s="270"/>
      <c r="AI8" s="270"/>
    </row>
    <row r="9" spans="1:38" s="276" customFormat="1" ht="15.65">
      <c r="A9" s="162"/>
      <c r="B9" s="162"/>
      <c r="C9" s="162"/>
      <c r="D9" s="271"/>
      <c r="E9" s="271"/>
      <c r="F9" s="271"/>
      <c r="G9" s="272"/>
      <c r="H9" s="272"/>
      <c r="I9" s="422"/>
      <c r="J9" s="271"/>
      <c r="K9" s="271"/>
      <c r="L9" s="271"/>
      <c r="M9" s="271"/>
      <c r="N9" s="287"/>
      <c r="O9" s="453"/>
      <c r="P9" s="453"/>
      <c r="Q9" s="453"/>
      <c r="R9" s="453"/>
      <c r="S9" s="273"/>
      <c r="T9" s="271"/>
      <c r="U9" s="271"/>
      <c r="V9" s="274"/>
      <c r="W9" s="274"/>
      <c r="X9" s="275"/>
      <c r="Y9" s="173"/>
      <c r="AA9" s="277"/>
      <c r="AH9" s="270"/>
      <c r="AI9" s="270"/>
    </row>
    <row r="10" spans="1:38" s="157" customFormat="1" ht="17.55">
      <c r="A10" s="155"/>
      <c r="B10" s="155"/>
      <c r="C10" s="155"/>
      <c r="D10" s="164"/>
      <c r="E10" s="155" t="s">
        <v>126</v>
      </c>
      <c r="F10" s="442">
        <f>(149.69+11998+2927+14000+5533.22)</f>
        <v>34607.910000000003</v>
      </c>
      <c r="G10" s="442">
        <v>5143352.04</v>
      </c>
      <c r="H10" s="442">
        <v>6245469.5899999999</v>
      </c>
      <c r="I10" s="442">
        <v>3597576.43</v>
      </c>
      <c r="J10" s="442">
        <v>1139478.4099999999</v>
      </c>
      <c r="K10" s="442">
        <v>967999.94</v>
      </c>
      <c r="L10" s="155"/>
      <c r="M10" s="155"/>
      <c r="N10" s="442">
        <v>555448.84</v>
      </c>
      <c r="O10" s="442">
        <v>771129.08</v>
      </c>
      <c r="P10" s="442"/>
      <c r="Q10" s="442"/>
      <c r="R10" s="442"/>
      <c r="S10" s="442"/>
      <c r="T10" s="155"/>
      <c r="U10" s="155"/>
      <c r="V10" s="445"/>
      <c r="W10" s="155"/>
      <c r="Z10" s="293"/>
    </row>
    <row r="11" spans="1:38" s="157" customFormat="1" ht="17.55">
      <c r="A11" s="155"/>
      <c r="B11" s="155"/>
      <c r="C11" s="155"/>
      <c r="D11" s="164"/>
      <c r="E11" s="155"/>
      <c r="F11" s="289">
        <f t="shared" ref="F11:K11" si="4">F10/1000</f>
        <v>34.607999999999997</v>
      </c>
      <c r="G11" s="289">
        <f t="shared" si="4"/>
        <v>5143.3519999999999</v>
      </c>
      <c r="H11" s="289">
        <f t="shared" si="4"/>
        <v>6245.47</v>
      </c>
      <c r="I11" s="289">
        <f t="shared" si="4"/>
        <v>3597.576</v>
      </c>
      <c r="J11" s="289">
        <f t="shared" si="4"/>
        <v>1139.4780000000001</v>
      </c>
      <c r="K11" s="289">
        <f t="shared" si="4"/>
        <v>968</v>
      </c>
      <c r="L11" s="155"/>
      <c r="M11" s="155"/>
      <c r="N11" s="289">
        <f t="shared" ref="N11:S11" si="5">N10/1000</f>
        <v>555.44899999999996</v>
      </c>
      <c r="O11" s="289">
        <f t="shared" si="5"/>
        <v>771.12900000000002</v>
      </c>
      <c r="P11" s="289">
        <f t="shared" si="5"/>
        <v>0</v>
      </c>
      <c r="Q11" s="289">
        <f t="shared" si="5"/>
        <v>0</v>
      </c>
      <c r="R11" s="289">
        <f t="shared" si="5"/>
        <v>0</v>
      </c>
      <c r="S11" s="289">
        <f t="shared" si="5"/>
        <v>0</v>
      </c>
      <c r="T11" s="155"/>
      <c r="U11" s="155"/>
      <c r="V11" s="445"/>
      <c r="W11" s="155"/>
      <c r="Z11" s="293"/>
    </row>
    <row r="12" spans="1:38" s="209" customFormat="1" ht="15.65">
      <c r="A12" s="525"/>
      <c r="B12" s="525"/>
      <c r="C12" s="525"/>
      <c r="D12" s="526"/>
      <c r="E12" s="525"/>
      <c r="F12" s="209">
        <f t="shared" ref="F12:K12" si="6">F11-F19</f>
        <v>0</v>
      </c>
      <c r="G12" s="209">
        <f t="shared" si="6"/>
        <v>-2E-3</v>
      </c>
      <c r="H12" s="209">
        <f t="shared" si="6"/>
        <v>0</v>
      </c>
      <c r="I12" s="209">
        <f t="shared" si="6"/>
        <v>0</v>
      </c>
      <c r="J12" s="209">
        <f t="shared" si="6"/>
        <v>-1E-3</v>
      </c>
      <c r="K12" s="209">
        <f t="shared" si="6"/>
        <v>3.0000000000000001E-3</v>
      </c>
      <c r="L12" s="525"/>
      <c r="M12" s="525"/>
      <c r="N12" s="209">
        <f t="shared" ref="N12:S12" si="7">N11-N19</f>
        <v>0</v>
      </c>
      <c r="O12" s="209">
        <f t="shared" si="7"/>
        <v>0</v>
      </c>
      <c r="P12" s="209">
        <f t="shared" si="7"/>
        <v>-997.83500000000004</v>
      </c>
      <c r="Q12" s="209">
        <f t="shared" si="7"/>
        <v>-1068.2170000000001</v>
      </c>
      <c r="R12" s="209">
        <f t="shared" si="7"/>
        <v>-1395.9280000000001</v>
      </c>
      <c r="S12" s="209">
        <f t="shared" si="7"/>
        <v>-11370.334999999999</v>
      </c>
      <c r="T12" s="525"/>
      <c r="U12" s="525"/>
      <c r="V12" s="533"/>
      <c r="W12" s="525"/>
      <c r="Z12" s="267"/>
    </row>
    <row r="13" spans="1:38" s="157" customFormat="1" ht="39.450000000000003" customHeight="1">
      <c r="A13" s="642" t="s">
        <v>5</v>
      </c>
      <c r="B13" s="643"/>
      <c r="C13" s="644"/>
      <c r="D13" s="616"/>
      <c r="E13" s="648" t="s">
        <v>115</v>
      </c>
      <c r="F13" s="639" t="s">
        <v>6</v>
      </c>
      <c r="G13" s="640"/>
      <c r="H13" s="640"/>
      <c r="I13" s="640"/>
      <c r="J13" s="640"/>
      <c r="K13" s="640"/>
      <c r="L13" s="640"/>
      <c r="M13" s="640"/>
      <c r="N13" s="640"/>
      <c r="O13" s="640"/>
      <c r="P13" s="640"/>
      <c r="Q13" s="640"/>
      <c r="R13" s="640"/>
      <c r="S13" s="640"/>
      <c r="T13" s="640"/>
      <c r="U13" s="641"/>
      <c r="V13" s="616" t="s">
        <v>7</v>
      </c>
      <c r="W13" s="616" t="s">
        <v>8</v>
      </c>
      <c r="X13" s="209"/>
      <c r="AA13" s="266"/>
    </row>
    <row r="14" spans="1:38" s="157" customFormat="1" ht="51.05" customHeight="1">
      <c r="A14" s="645"/>
      <c r="B14" s="646"/>
      <c r="C14" s="647"/>
      <c r="D14" s="617"/>
      <c r="E14" s="649"/>
      <c r="F14" s="318" t="s">
        <v>9</v>
      </c>
      <c r="G14" s="318" t="s">
        <v>10</v>
      </c>
      <c r="H14" s="318" t="s">
        <v>11</v>
      </c>
      <c r="I14" s="318" t="s">
        <v>12</v>
      </c>
      <c r="J14" s="318" t="s">
        <v>13</v>
      </c>
      <c r="K14" s="318" t="s">
        <v>14</v>
      </c>
      <c r="L14" s="167" t="s">
        <v>15</v>
      </c>
      <c r="M14" s="167" t="s">
        <v>16</v>
      </c>
      <c r="N14" s="318" t="s">
        <v>17</v>
      </c>
      <c r="O14" s="318" t="s">
        <v>18</v>
      </c>
      <c r="P14" s="318" t="s">
        <v>19</v>
      </c>
      <c r="Q14" s="318" t="s">
        <v>20</v>
      </c>
      <c r="R14" s="318" t="s">
        <v>21</v>
      </c>
      <c r="S14" s="318" t="s">
        <v>22</v>
      </c>
      <c r="T14" s="167" t="s">
        <v>23</v>
      </c>
      <c r="U14" s="167" t="s">
        <v>2</v>
      </c>
      <c r="V14" s="617"/>
      <c r="W14" s="617"/>
      <c r="X14" s="209"/>
      <c r="AA14" s="266"/>
    </row>
    <row r="15" spans="1:38" s="169" customFormat="1" ht="17.399999999999999" customHeight="1">
      <c r="A15" s="618" t="s">
        <v>94</v>
      </c>
      <c r="B15" s="619"/>
      <c r="C15" s="619"/>
      <c r="D15" s="619"/>
      <c r="E15" s="619"/>
      <c r="F15" s="619"/>
      <c r="G15" s="619"/>
      <c r="H15" s="619"/>
      <c r="I15" s="619"/>
      <c r="J15" s="619"/>
      <c r="K15" s="619"/>
      <c r="L15" s="619"/>
      <c r="M15" s="619"/>
      <c r="N15" s="619"/>
      <c r="O15" s="619"/>
      <c r="P15" s="619"/>
      <c r="Q15" s="619"/>
      <c r="R15" s="619"/>
      <c r="S15" s="619"/>
      <c r="T15" s="619"/>
      <c r="U15" s="619"/>
      <c r="V15" s="619"/>
      <c r="W15" s="620"/>
      <c r="X15" s="168"/>
    </row>
    <row r="16" spans="1:38" s="173" customFormat="1" ht="17.7" customHeight="1">
      <c r="A16" s="621">
        <v>2270</v>
      </c>
      <c r="B16" s="622"/>
      <c r="C16" s="623"/>
      <c r="D16" s="170" t="s">
        <v>0</v>
      </c>
      <c r="E16" s="171"/>
      <c r="F16" s="171">
        <f t="shared" ref="F16:K16" si="8">F28+F259+F398+F445</f>
        <v>4989.2269999999999</v>
      </c>
      <c r="G16" s="171">
        <f t="shared" si="8"/>
        <v>5602.3</v>
      </c>
      <c r="H16" s="171">
        <f t="shared" si="8"/>
        <v>3830.0189999999998</v>
      </c>
      <c r="I16" s="171">
        <f t="shared" si="8"/>
        <v>1247.5350000000001</v>
      </c>
      <c r="J16" s="171">
        <f t="shared" si="8"/>
        <v>1094.145</v>
      </c>
      <c r="K16" s="171">
        <f t="shared" si="8"/>
        <v>910.97</v>
      </c>
      <c r="L16" s="171">
        <f t="shared" ref="L16:L24" si="9">SUM(F16:K16)</f>
        <v>17674.196</v>
      </c>
      <c r="M16" s="171">
        <f t="shared" ref="M16:M24" si="10">L16/6</f>
        <v>2945.6990000000001</v>
      </c>
      <c r="N16" s="171">
        <f t="shared" ref="N16:S16" si="11">N28+N259+N398+N445</f>
        <v>847.91</v>
      </c>
      <c r="O16" s="171">
        <f t="shared" si="11"/>
        <v>823.04300000000001</v>
      </c>
      <c r="P16" s="171">
        <f t="shared" si="11"/>
        <v>1051.9939999999999</v>
      </c>
      <c r="Q16" s="171">
        <f t="shared" si="11"/>
        <v>1401.7809999999999</v>
      </c>
      <c r="R16" s="171">
        <f t="shared" si="11"/>
        <v>4188.8609999999999</v>
      </c>
      <c r="S16" s="171">
        <f t="shared" si="11"/>
        <v>7299.5919999999996</v>
      </c>
      <c r="T16" s="171">
        <f t="shared" ref="T16:T24" si="12">SUM(N16:S16)</f>
        <v>15613.181</v>
      </c>
      <c r="U16" s="171">
        <f t="shared" ref="U16:U24" si="13">T16+L16</f>
        <v>33287.377</v>
      </c>
      <c r="V16" s="171">
        <f t="shared" ref="V16" si="14">V28+V259+V398+V445</f>
        <v>32123.153999999999</v>
      </c>
      <c r="W16" s="171">
        <f t="shared" ref="W16:W20" si="15">V16-U16</f>
        <v>-1164.223</v>
      </c>
      <c r="X16" s="172"/>
    </row>
    <row r="17" spans="1:35" s="173" customFormat="1" ht="20.7" customHeight="1">
      <c r="A17" s="624"/>
      <c r="B17" s="625"/>
      <c r="C17" s="626"/>
      <c r="D17" s="174" t="s">
        <v>55</v>
      </c>
      <c r="E17" s="171"/>
      <c r="F17" s="171">
        <f t="shared" ref="F17:K17" si="16">F29+F260+F399+F463</f>
        <v>0</v>
      </c>
      <c r="G17" s="171">
        <f t="shared" si="16"/>
        <v>0</v>
      </c>
      <c r="H17" s="171">
        <f t="shared" si="16"/>
        <v>285.61</v>
      </c>
      <c r="I17" s="171">
        <f t="shared" si="16"/>
        <v>156.53800000000001</v>
      </c>
      <c r="J17" s="171">
        <f t="shared" si="16"/>
        <v>178.971</v>
      </c>
      <c r="K17" s="171">
        <f t="shared" si="16"/>
        <v>0</v>
      </c>
      <c r="L17" s="171">
        <f t="shared" si="9"/>
        <v>621.11900000000003</v>
      </c>
      <c r="M17" s="171">
        <f t="shared" si="10"/>
        <v>103.52</v>
      </c>
      <c r="N17" s="171">
        <f t="shared" ref="N17:S17" si="17">N29+N260+N399+N463</f>
        <v>0</v>
      </c>
      <c r="O17" s="171">
        <f t="shared" si="17"/>
        <v>0</v>
      </c>
      <c r="P17" s="171">
        <f t="shared" si="17"/>
        <v>0</v>
      </c>
      <c r="Q17" s="171">
        <f t="shared" si="17"/>
        <v>0</v>
      </c>
      <c r="R17" s="171">
        <f t="shared" si="17"/>
        <v>0</v>
      </c>
      <c r="S17" s="171">
        <f t="shared" si="17"/>
        <v>0</v>
      </c>
      <c r="T17" s="171">
        <f t="shared" si="12"/>
        <v>0</v>
      </c>
      <c r="U17" s="171">
        <f t="shared" si="13"/>
        <v>621.11900000000003</v>
      </c>
      <c r="V17" s="171">
        <f t="shared" ref="V17" si="18">V29+V260+V399+V463</f>
        <v>621.11900000000003</v>
      </c>
      <c r="W17" s="171">
        <f t="shared" si="15"/>
        <v>0</v>
      </c>
      <c r="X17" s="172"/>
    </row>
    <row r="18" spans="1:35" s="173" customFormat="1" ht="18" customHeight="1">
      <c r="A18" s="627"/>
      <c r="B18" s="628"/>
      <c r="C18" s="629"/>
      <c r="D18" s="170" t="s">
        <v>24</v>
      </c>
      <c r="E18" s="171"/>
      <c r="F18" s="171">
        <f t="shared" ref="F18:K18" si="19">F30+F261+F400+F447</f>
        <v>64.668000000000006</v>
      </c>
      <c r="G18" s="171">
        <f t="shared" si="19"/>
        <v>5274.9009999999998</v>
      </c>
      <c r="H18" s="171">
        <f t="shared" si="19"/>
        <v>6022.7629999999999</v>
      </c>
      <c r="I18" s="171">
        <f t="shared" si="19"/>
        <v>3707.3409999999999</v>
      </c>
      <c r="J18" s="171">
        <f t="shared" si="19"/>
        <v>898.86500000000001</v>
      </c>
      <c r="K18" s="171">
        <f t="shared" si="19"/>
        <v>775.78</v>
      </c>
      <c r="L18" s="171">
        <f t="shared" si="9"/>
        <v>16744.317999999999</v>
      </c>
      <c r="M18" s="171">
        <f t="shared" si="10"/>
        <v>2790.72</v>
      </c>
      <c r="N18" s="171">
        <f t="shared" ref="N18:S18" si="20">N30+N261+N400+N447</f>
        <v>813.053</v>
      </c>
      <c r="O18" s="171">
        <f t="shared" si="20"/>
        <v>638.17499999999995</v>
      </c>
      <c r="P18" s="171">
        <f t="shared" si="20"/>
        <v>929.31600000000003</v>
      </c>
      <c r="Q18" s="171">
        <f t="shared" si="20"/>
        <v>1239.086</v>
      </c>
      <c r="R18" s="171">
        <f t="shared" si="20"/>
        <v>1457.3510000000001</v>
      </c>
      <c r="S18" s="171">
        <f t="shared" si="20"/>
        <v>9680.7360000000008</v>
      </c>
      <c r="T18" s="171">
        <f t="shared" si="12"/>
        <v>14757.717000000001</v>
      </c>
      <c r="U18" s="171">
        <f t="shared" si="13"/>
        <v>31502.035</v>
      </c>
      <c r="V18" s="171">
        <f t="shared" ref="V18" si="21">V30+V261+V400+V447</f>
        <v>31502.035</v>
      </c>
      <c r="W18" s="171">
        <f t="shared" si="15"/>
        <v>0</v>
      </c>
      <c r="X18" s="172"/>
    </row>
    <row r="19" spans="1:35" s="116" customFormat="1" ht="18.8" customHeight="1">
      <c r="A19" s="630">
        <v>2270</v>
      </c>
      <c r="B19" s="631"/>
      <c r="C19" s="632"/>
      <c r="D19" s="115" t="s">
        <v>25</v>
      </c>
      <c r="E19" s="62">
        <f t="shared" ref="E19:K19" si="22">E33+E264+E403+E450</f>
        <v>0</v>
      </c>
      <c r="F19" s="62">
        <f t="shared" si="22"/>
        <v>34.607999999999997</v>
      </c>
      <c r="G19" s="62">
        <f t="shared" si="22"/>
        <v>5143.3540000000003</v>
      </c>
      <c r="H19" s="62">
        <f t="shared" si="22"/>
        <v>6245.47</v>
      </c>
      <c r="I19" s="62">
        <f t="shared" si="22"/>
        <v>3597.576</v>
      </c>
      <c r="J19" s="62">
        <f t="shared" si="22"/>
        <v>1139.479</v>
      </c>
      <c r="K19" s="62">
        <f t="shared" si="22"/>
        <v>967.99699999999996</v>
      </c>
      <c r="L19" s="62">
        <f t="shared" si="9"/>
        <v>17128.484</v>
      </c>
      <c r="M19" s="62">
        <f t="shared" si="10"/>
        <v>2854.7469999999998</v>
      </c>
      <c r="N19" s="62">
        <f t="shared" ref="N19:S21" si="23">N33+N264+N403+N450</f>
        <v>555.44899999999996</v>
      </c>
      <c r="O19" s="62">
        <f t="shared" si="23"/>
        <v>771.12900000000002</v>
      </c>
      <c r="P19" s="62">
        <f t="shared" si="23"/>
        <v>997.83500000000004</v>
      </c>
      <c r="Q19" s="62">
        <f t="shared" si="23"/>
        <v>1068.2170000000001</v>
      </c>
      <c r="R19" s="62">
        <f t="shared" si="23"/>
        <v>1395.9280000000001</v>
      </c>
      <c r="S19" s="62">
        <f t="shared" si="23"/>
        <v>11370.334999999999</v>
      </c>
      <c r="T19" s="62">
        <f t="shared" si="12"/>
        <v>16158.893</v>
      </c>
      <c r="U19" s="62">
        <f t="shared" si="13"/>
        <v>33287.377</v>
      </c>
      <c r="V19" s="62">
        <f t="shared" ref="V19" si="24">V33+V264+V403+V450</f>
        <v>32123.153999999999</v>
      </c>
      <c r="W19" s="62">
        <f t="shared" si="15"/>
        <v>-1164.223</v>
      </c>
      <c r="X19" s="462">
        <f>U16-U19</f>
        <v>0</v>
      </c>
    </row>
    <row r="20" spans="1:35" s="116" customFormat="1" ht="18.8" customHeight="1">
      <c r="A20" s="633"/>
      <c r="B20" s="634"/>
      <c r="C20" s="635"/>
      <c r="D20" s="115" t="s">
        <v>55</v>
      </c>
      <c r="E20" s="62"/>
      <c r="F20" s="62">
        <f t="shared" ref="F20:K21" si="25">F34+F265+F404+F451</f>
        <v>0</v>
      </c>
      <c r="G20" s="62">
        <f t="shared" si="25"/>
        <v>0</v>
      </c>
      <c r="H20" s="62">
        <f t="shared" si="25"/>
        <v>251.59800000000001</v>
      </c>
      <c r="I20" s="62">
        <f t="shared" si="25"/>
        <v>34.012</v>
      </c>
      <c r="J20" s="62">
        <f t="shared" si="25"/>
        <v>156.53800000000001</v>
      </c>
      <c r="K20" s="62">
        <f t="shared" si="25"/>
        <v>178.971</v>
      </c>
      <c r="L20" s="62">
        <f t="shared" si="9"/>
        <v>621.11900000000003</v>
      </c>
      <c r="M20" s="62">
        <f t="shared" si="10"/>
        <v>103.52</v>
      </c>
      <c r="N20" s="62">
        <f t="shared" si="23"/>
        <v>0</v>
      </c>
      <c r="O20" s="62">
        <f t="shared" si="23"/>
        <v>0</v>
      </c>
      <c r="P20" s="62">
        <f t="shared" si="23"/>
        <v>0</v>
      </c>
      <c r="Q20" s="62">
        <f t="shared" si="23"/>
        <v>0</v>
      </c>
      <c r="R20" s="62">
        <f t="shared" si="23"/>
        <v>0</v>
      </c>
      <c r="S20" s="62">
        <f t="shared" si="23"/>
        <v>0</v>
      </c>
      <c r="T20" s="62">
        <f t="shared" si="12"/>
        <v>0</v>
      </c>
      <c r="U20" s="62">
        <f t="shared" si="13"/>
        <v>621.11900000000003</v>
      </c>
      <c r="V20" s="62">
        <f t="shared" ref="V20" si="26">V34+V265+V404+V451</f>
        <v>621.11900000000003</v>
      </c>
      <c r="W20" s="62">
        <f t="shared" si="15"/>
        <v>0</v>
      </c>
      <c r="X20" s="63">
        <f>U17-U20</f>
        <v>0</v>
      </c>
    </row>
    <row r="21" spans="1:35" s="116" customFormat="1" ht="18.8" customHeight="1">
      <c r="A21" s="636"/>
      <c r="B21" s="637"/>
      <c r="C21" s="638"/>
      <c r="D21" s="115" t="s">
        <v>24</v>
      </c>
      <c r="E21" s="62"/>
      <c r="F21" s="62">
        <f t="shared" si="25"/>
        <v>34.607999999999997</v>
      </c>
      <c r="G21" s="62">
        <f t="shared" si="25"/>
        <v>5143.3540000000003</v>
      </c>
      <c r="H21" s="62">
        <f t="shared" si="25"/>
        <v>5993.8720000000003</v>
      </c>
      <c r="I21" s="62">
        <f t="shared" si="25"/>
        <v>3563.5639999999999</v>
      </c>
      <c r="J21" s="62">
        <f t="shared" si="25"/>
        <v>982.94100000000003</v>
      </c>
      <c r="K21" s="62">
        <f t="shared" si="25"/>
        <v>789.02599999999995</v>
      </c>
      <c r="L21" s="62">
        <f t="shared" si="9"/>
        <v>16507.365000000002</v>
      </c>
      <c r="M21" s="62">
        <f t="shared" si="10"/>
        <v>2751.2280000000001</v>
      </c>
      <c r="N21" s="62">
        <f t="shared" si="23"/>
        <v>555.44899999999996</v>
      </c>
      <c r="O21" s="62">
        <f t="shared" si="23"/>
        <v>771.12900000000002</v>
      </c>
      <c r="P21" s="62">
        <f t="shared" si="23"/>
        <v>997.83500000000004</v>
      </c>
      <c r="Q21" s="62">
        <f t="shared" si="23"/>
        <v>1068.2170000000001</v>
      </c>
      <c r="R21" s="62">
        <f t="shared" si="23"/>
        <v>1395.9280000000001</v>
      </c>
      <c r="S21" s="62">
        <f t="shared" si="23"/>
        <v>11370.334999999999</v>
      </c>
      <c r="T21" s="62">
        <f t="shared" si="12"/>
        <v>16158.893</v>
      </c>
      <c r="U21" s="62">
        <f t="shared" si="13"/>
        <v>32666.258000000002</v>
      </c>
      <c r="V21" s="62">
        <f t="shared" ref="V21" si="27">V35+V266+V405+V452</f>
        <v>31502.035</v>
      </c>
      <c r="W21" s="62">
        <f>V21-U21</f>
        <v>-1164.223</v>
      </c>
      <c r="X21" s="63">
        <f>U18-U21</f>
        <v>-1164.223</v>
      </c>
      <c r="AH21" s="74"/>
    </row>
    <row r="22" spans="1:35" s="186" customFormat="1" ht="18" customHeight="1">
      <c r="A22" s="609">
        <v>2271</v>
      </c>
      <c r="B22" s="580" t="s">
        <v>86</v>
      </c>
      <c r="C22" s="575"/>
      <c r="D22" s="178" t="s">
        <v>105</v>
      </c>
      <c r="E22" s="179"/>
      <c r="F22" s="180">
        <f t="shared" ref="F22:K24" si="28">F39</f>
        <v>1931.1</v>
      </c>
      <c r="G22" s="180">
        <f t="shared" si="28"/>
        <v>1384.8</v>
      </c>
      <c r="H22" s="180">
        <f t="shared" si="28"/>
        <v>1009</v>
      </c>
      <c r="I22" s="180">
        <f t="shared" si="28"/>
        <v>12.1</v>
      </c>
      <c r="J22" s="180">
        <f t="shared" si="28"/>
        <v>0</v>
      </c>
      <c r="K22" s="180">
        <f t="shared" si="28"/>
        <v>0</v>
      </c>
      <c r="L22" s="181">
        <f t="shared" si="9"/>
        <v>4337</v>
      </c>
      <c r="M22" s="181">
        <f t="shared" si="10"/>
        <v>722.8</v>
      </c>
      <c r="N22" s="180">
        <f t="shared" ref="N22:S24" si="29">N39</f>
        <v>0</v>
      </c>
      <c r="O22" s="180">
        <f t="shared" si="29"/>
        <v>0</v>
      </c>
      <c r="P22" s="180">
        <f t="shared" si="29"/>
        <v>0</v>
      </c>
      <c r="Q22" s="180">
        <f t="shared" si="29"/>
        <v>38</v>
      </c>
      <c r="R22" s="180">
        <f t="shared" si="29"/>
        <v>705.1</v>
      </c>
      <c r="S22" s="180">
        <f t="shared" si="29"/>
        <v>1685</v>
      </c>
      <c r="T22" s="181">
        <f t="shared" si="12"/>
        <v>2428.1</v>
      </c>
      <c r="U22" s="182">
        <f t="shared" si="13"/>
        <v>6765.1</v>
      </c>
      <c r="V22" s="183">
        <f t="shared" ref="V22" si="30">V39</f>
        <v>3242.6</v>
      </c>
      <c r="W22" s="184"/>
      <c r="X22" s="185"/>
    </row>
    <row r="23" spans="1:35" s="186" customFormat="1" ht="18" customHeight="1">
      <c r="A23" s="610"/>
      <c r="B23" s="576"/>
      <c r="C23" s="577"/>
      <c r="D23" s="178" t="s">
        <v>109</v>
      </c>
      <c r="E23" s="179"/>
      <c r="F23" s="180">
        <f t="shared" si="28"/>
        <v>1535.7</v>
      </c>
      <c r="G23" s="180">
        <f t="shared" si="28"/>
        <v>1268.2</v>
      </c>
      <c r="H23" s="180">
        <f t="shared" si="28"/>
        <v>1048.8</v>
      </c>
      <c r="I23" s="180">
        <f t="shared" si="28"/>
        <v>0</v>
      </c>
      <c r="J23" s="180">
        <f t="shared" si="28"/>
        <v>0</v>
      </c>
      <c r="K23" s="180">
        <f t="shared" si="28"/>
        <v>0</v>
      </c>
      <c r="L23" s="181">
        <f t="shared" si="9"/>
        <v>3852.7</v>
      </c>
      <c r="M23" s="181">
        <f t="shared" si="10"/>
        <v>642.1</v>
      </c>
      <c r="N23" s="180">
        <f t="shared" si="29"/>
        <v>0</v>
      </c>
      <c r="O23" s="180">
        <f t="shared" si="29"/>
        <v>0</v>
      </c>
      <c r="P23" s="180">
        <f t="shared" si="29"/>
        <v>0</v>
      </c>
      <c r="Q23" s="180">
        <f t="shared" si="29"/>
        <v>0</v>
      </c>
      <c r="R23" s="180">
        <f t="shared" si="29"/>
        <v>973.5</v>
      </c>
      <c r="S23" s="180">
        <f t="shared" si="29"/>
        <v>1752.2</v>
      </c>
      <c r="T23" s="181">
        <f t="shared" si="12"/>
        <v>2725.7</v>
      </c>
      <c r="U23" s="182">
        <f t="shared" si="13"/>
        <v>6578.4</v>
      </c>
      <c r="V23" s="183">
        <f t="shared" ref="V23" si="31">V40</f>
        <v>4658</v>
      </c>
      <c r="W23" s="184"/>
      <c r="X23" s="185"/>
    </row>
    <row r="24" spans="1:35" s="186" customFormat="1" ht="18" customHeight="1">
      <c r="A24" s="610"/>
      <c r="B24" s="576"/>
      <c r="C24" s="577"/>
      <c r="D24" s="178" t="s">
        <v>116</v>
      </c>
      <c r="E24" s="179"/>
      <c r="F24" s="264">
        <f t="shared" si="28"/>
        <v>1390.4</v>
      </c>
      <c r="G24" s="264">
        <f t="shared" si="28"/>
        <v>1586.7</v>
      </c>
      <c r="H24" s="264">
        <f t="shared" si="28"/>
        <v>928.5</v>
      </c>
      <c r="I24" s="264">
        <f t="shared" si="28"/>
        <v>0</v>
      </c>
      <c r="J24" s="264">
        <f t="shared" si="28"/>
        <v>0</v>
      </c>
      <c r="K24" s="264">
        <f t="shared" si="28"/>
        <v>0</v>
      </c>
      <c r="L24" s="491">
        <f t="shared" si="9"/>
        <v>3905.6</v>
      </c>
      <c r="M24" s="491">
        <f t="shared" si="10"/>
        <v>650.93299999999999</v>
      </c>
      <c r="N24" s="264">
        <f t="shared" si="29"/>
        <v>0</v>
      </c>
      <c r="O24" s="264">
        <f t="shared" si="29"/>
        <v>0</v>
      </c>
      <c r="P24" s="264">
        <f t="shared" si="29"/>
        <v>0</v>
      </c>
      <c r="Q24" s="264">
        <f t="shared" si="29"/>
        <v>0</v>
      </c>
      <c r="R24" s="264">
        <f t="shared" si="29"/>
        <v>813.3</v>
      </c>
      <c r="S24" s="264">
        <f t="shared" si="29"/>
        <v>1822</v>
      </c>
      <c r="T24" s="491">
        <f t="shared" si="12"/>
        <v>2635.3</v>
      </c>
      <c r="U24" s="491">
        <f t="shared" si="13"/>
        <v>6540.9</v>
      </c>
      <c r="V24" s="183">
        <f t="shared" ref="V24" si="32">V41</f>
        <v>6258.7</v>
      </c>
      <c r="W24" s="184">
        <f>V24-U24</f>
        <v>-282.2</v>
      </c>
      <c r="X24" s="185"/>
    </row>
    <row r="25" spans="1:35" s="190" customFormat="1" ht="18" customHeight="1">
      <c r="A25" s="610"/>
      <c r="B25" s="576"/>
      <c r="C25" s="577"/>
      <c r="D25" s="187" t="s">
        <v>27</v>
      </c>
      <c r="E25" s="188"/>
      <c r="F25" s="188">
        <f t="shared" ref="F25:U25" si="33">F26/F24*1000</f>
        <v>2631.4589999999998</v>
      </c>
      <c r="G25" s="188">
        <f t="shared" si="33"/>
        <v>2739.3110000000001</v>
      </c>
      <c r="H25" s="188">
        <f t="shared" si="33"/>
        <v>2729.598</v>
      </c>
      <c r="I25" s="188" t="e">
        <f t="shared" si="33"/>
        <v>#DIV/0!</v>
      </c>
      <c r="J25" s="188" t="e">
        <f t="shared" si="33"/>
        <v>#DIV/0!</v>
      </c>
      <c r="K25" s="188" t="e">
        <f t="shared" si="33"/>
        <v>#DIV/0!</v>
      </c>
      <c r="L25" s="188">
        <f t="shared" si="33"/>
        <v>2698.607</v>
      </c>
      <c r="M25" s="188">
        <f t="shared" si="33"/>
        <v>2698.6080000000002</v>
      </c>
      <c r="N25" s="188" t="e">
        <f t="shared" si="33"/>
        <v>#DIV/0!</v>
      </c>
      <c r="O25" s="188" t="e">
        <f t="shared" si="33"/>
        <v>#DIV/0!</v>
      </c>
      <c r="P25" s="188" t="e">
        <f t="shared" si="33"/>
        <v>#DIV/0!</v>
      </c>
      <c r="Q25" s="188" t="e">
        <f t="shared" si="33"/>
        <v>#DIV/0!</v>
      </c>
      <c r="R25" s="188">
        <f t="shared" si="33"/>
        <v>2870.5590000000002</v>
      </c>
      <c r="S25" s="188">
        <f t="shared" si="33"/>
        <v>2865.8580000000002</v>
      </c>
      <c r="T25" s="188">
        <f t="shared" si="33"/>
        <v>2867.3090000000002</v>
      </c>
      <c r="U25" s="188">
        <f t="shared" si="33"/>
        <v>2766.576</v>
      </c>
      <c r="V25" s="188">
        <f t="shared" ref="V25" si="34">V26/V24*1000</f>
        <v>2651.951</v>
      </c>
      <c r="W25" s="189">
        <f>W26/W24*1000</f>
        <v>5308.76</v>
      </c>
      <c r="X25" s="185"/>
      <c r="AH25" s="190">
        <v>71</v>
      </c>
      <c r="AI25" s="571">
        <f>P33+Q33+R33+S33</f>
        <v>9709.607</v>
      </c>
    </row>
    <row r="26" spans="1:35" s="196" customFormat="1" ht="18" customHeight="1">
      <c r="A26" s="610"/>
      <c r="B26" s="576"/>
      <c r="C26" s="577"/>
      <c r="D26" s="191" t="s">
        <v>0</v>
      </c>
      <c r="E26" s="192"/>
      <c r="F26" s="193">
        <f t="shared" ref="F26:K27" si="35">F43</f>
        <v>3658.7809999999999</v>
      </c>
      <c r="G26" s="193">
        <f t="shared" si="35"/>
        <v>4346.4650000000001</v>
      </c>
      <c r="H26" s="193">
        <f t="shared" si="35"/>
        <v>2534.4319999999998</v>
      </c>
      <c r="I26" s="193">
        <f t="shared" si="35"/>
        <v>0</v>
      </c>
      <c r="J26" s="193">
        <f t="shared" si="35"/>
        <v>0</v>
      </c>
      <c r="K26" s="193">
        <f t="shared" si="35"/>
        <v>0</v>
      </c>
      <c r="L26" s="171">
        <f t="shared" ref="L26:L31" si="36">SUM(F26:K26)</f>
        <v>10539.678</v>
      </c>
      <c r="M26" s="171">
        <f t="shared" ref="M26:M31" si="37">L26/6</f>
        <v>1756.6130000000001</v>
      </c>
      <c r="N26" s="193">
        <f t="shared" ref="N26:S27" si="38">N43</f>
        <v>0</v>
      </c>
      <c r="O26" s="193">
        <f t="shared" si="38"/>
        <v>0</v>
      </c>
      <c r="P26" s="193">
        <f t="shared" si="38"/>
        <v>0</v>
      </c>
      <c r="Q26" s="193">
        <f t="shared" si="38"/>
        <v>0</v>
      </c>
      <c r="R26" s="193">
        <f t="shared" si="38"/>
        <v>2334.6260000000002</v>
      </c>
      <c r="S26" s="193">
        <f t="shared" si="38"/>
        <v>5221.5940000000001</v>
      </c>
      <c r="T26" s="194">
        <f t="shared" ref="T26:T31" si="39">SUM(N26:S26)</f>
        <v>7556.22</v>
      </c>
      <c r="U26" s="194">
        <f t="shared" ref="U26:U31" si="40">T26+L26</f>
        <v>18095.898000000001</v>
      </c>
      <c r="V26" s="171">
        <f t="shared" ref="V26" si="41">V43</f>
        <v>16597.766</v>
      </c>
      <c r="W26" s="193">
        <f>V26-U26</f>
        <v>-1498.1320000000001</v>
      </c>
      <c r="X26" s="195"/>
      <c r="AH26" s="196">
        <v>72</v>
      </c>
      <c r="AI26" s="572">
        <f>P264+Q264+R264+S264</f>
        <v>471.39400000000001</v>
      </c>
    </row>
    <row r="27" spans="1:35" s="196" customFormat="1" ht="18" customHeight="1">
      <c r="A27" s="610"/>
      <c r="B27" s="576"/>
      <c r="C27" s="577"/>
      <c r="D27" s="174" t="s">
        <v>102</v>
      </c>
      <c r="E27" s="192"/>
      <c r="F27" s="278">
        <f t="shared" si="35"/>
        <v>413.29399999999998</v>
      </c>
      <c r="G27" s="278">
        <f t="shared" si="35"/>
        <v>368.15100000000001</v>
      </c>
      <c r="H27" s="278">
        <f t="shared" si="35"/>
        <v>411.041</v>
      </c>
      <c r="I27" s="278">
        <f t="shared" si="35"/>
        <v>401.53</v>
      </c>
      <c r="J27" s="278">
        <f t="shared" si="35"/>
        <v>411.76900000000001</v>
      </c>
      <c r="K27" s="278">
        <f t="shared" si="35"/>
        <v>388.50599999999997</v>
      </c>
      <c r="L27" s="171">
        <f t="shared" si="36"/>
        <v>2394.2910000000002</v>
      </c>
      <c r="M27" s="171">
        <f t="shared" si="37"/>
        <v>399.04899999999998</v>
      </c>
      <c r="N27" s="278">
        <f t="shared" si="38"/>
        <v>385.97699999999998</v>
      </c>
      <c r="O27" s="278">
        <f t="shared" si="38"/>
        <v>415.38200000000001</v>
      </c>
      <c r="P27" s="278">
        <f t="shared" si="38"/>
        <v>434.47699999999998</v>
      </c>
      <c r="Q27" s="278">
        <f t="shared" si="38"/>
        <v>434.52499999999998</v>
      </c>
      <c r="R27" s="278">
        <f t="shared" si="38"/>
        <v>434.52499999999998</v>
      </c>
      <c r="S27" s="278">
        <f t="shared" si="38"/>
        <v>434.52499999999998</v>
      </c>
      <c r="T27" s="194">
        <f t="shared" si="39"/>
        <v>2539.4110000000001</v>
      </c>
      <c r="U27" s="194">
        <f t="shared" si="40"/>
        <v>4933.7020000000002</v>
      </c>
      <c r="V27" s="171">
        <f t="shared" ref="V27" si="42">V44</f>
        <v>5193.2489999999998</v>
      </c>
      <c r="W27" s="193">
        <f t="shared" ref="W27:W28" si="43">V27-U27</f>
        <v>259.54700000000003</v>
      </c>
      <c r="X27" s="195"/>
      <c r="AH27" s="196">
        <v>73</v>
      </c>
      <c r="AI27" s="572">
        <f>P403+Q403+R403+S403</f>
        <v>4497.5339999999997</v>
      </c>
    </row>
    <row r="28" spans="1:35" s="196" customFormat="1" ht="18" customHeight="1">
      <c r="A28" s="610"/>
      <c r="B28" s="576"/>
      <c r="C28" s="577"/>
      <c r="D28" s="174" t="s">
        <v>103</v>
      </c>
      <c r="E28" s="192"/>
      <c r="F28" s="278">
        <f t="shared" ref="F28:K28" si="44">F26+F27</f>
        <v>4072.0749999999998</v>
      </c>
      <c r="G28" s="278">
        <f t="shared" si="44"/>
        <v>4714.616</v>
      </c>
      <c r="H28" s="278">
        <f t="shared" si="44"/>
        <v>2945.473</v>
      </c>
      <c r="I28" s="278">
        <f t="shared" si="44"/>
        <v>401.53</v>
      </c>
      <c r="J28" s="278">
        <f t="shared" si="44"/>
        <v>411.76900000000001</v>
      </c>
      <c r="K28" s="278">
        <f t="shared" si="44"/>
        <v>388.50599999999997</v>
      </c>
      <c r="L28" s="171">
        <f t="shared" si="36"/>
        <v>12933.968999999999</v>
      </c>
      <c r="M28" s="171">
        <f t="shared" si="37"/>
        <v>2155.6619999999998</v>
      </c>
      <c r="N28" s="278">
        <f t="shared" ref="N28:S28" si="45">N26+N27</f>
        <v>385.97699999999998</v>
      </c>
      <c r="O28" s="278">
        <f t="shared" si="45"/>
        <v>415.38200000000001</v>
      </c>
      <c r="P28" s="278">
        <f t="shared" si="45"/>
        <v>434.47699999999998</v>
      </c>
      <c r="Q28" s="278">
        <f t="shared" si="45"/>
        <v>434.52499999999998</v>
      </c>
      <c r="R28" s="278">
        <f t="shared" si="45"/>
        <v>2769.1509999999998</v>
      </c>
      <c r="S28" s="278">
        <f t="shared" si="45"/>
        <v>5656.1189999999997</v>
      </c>
      <c r="T28" s="194">
        <f t="shared" si="39"/>
        <v>10095.630999999999</v>
      </c>
      <c r="U28" s="194">
        <f t="shared" si="40"/>
        <v>23029.599999999999</v>
      </c>
      <c r="V28" s="171">
        <f t="shared" ref="V28" si="46">V26+V27</f>
        <v>21791.014999999999</v>
      </c>
      <c r="W28" s="278">
        <f t="shared" si="43"/>
        <v>-1238.585</v>
      </c>
      <c r="X28" s="195"/>
      <c r="AH28" s="196">
        <v>74</v>
      </c>
      <c r="AI28" s="196">
        <v>0</v>
      </c>
    </row>
    <row r="29" spans="1:35" s="196" customFormat="1" ht="18" customHeight="1">
      <c r="A29" s="610"/>
      <c r="B29" s="576"/>
      <c r="C29" s="577"/>
      <c r="D29" s="174" t="s">
        <v>55</v>
      </c>
      <c r="E29" s="192"/>
      <c r="F29" s="193">
        <f t="shared" ref="F29:K31" si="47">F46</f>
        <v>0</v>
      </c>
      <c r="G29" s="193">
        <f t="shared" si="47"/>
        <v>0</v>
      </c>
      <c r="H29" s="193">
        <f t="shared" si="47"/>
        <v>169.33600000000001</v>
      </c>
      <c r="I29" s="193">
        <f t="shared" si="47"/>
        <v>24.728000000000002</v>
      </c>
      <c r="J29" s="193">
        <f t="shared" si="47"/>
        <v>47.076999999999998</v>
      </c>
      <c r="K29" s="193">
        <f t="shared" si="47"/>
        <v>0</v>
      </c>
      <c r="L29" s="171">
        <f t="shared" si="36"/>
        <v>241.14099999999999</v>
      </c>
      <c r="M29" s="171">
        <f t="shared" si="37"/>
        <v>40.19</v>
      </c>
      <c r="N29" s="193">
        <f t="shared" ref="N29:S31" si="48">N46</f>
        <v>0</v>
      </c>
      <c r="O29" s="193">
        <f t="shared" si="48"/>
        <v>0</v>
      </c>
      <c r="P29" s="193">
        <f t="shared" si="48"/>
        <v>0</v>
      </c>
      <c r="Q29" s="193">
        <f t="shared" si="48"/>
        <v>0</v>
      </c>
      <c r="R29" s="193">
        <f t="shared" si="48"/>
        <v>0</v>
      </c>
      <c r="S29" s="193">
        <f t="shared" si="48"/>
        <v>0</v>
      </c>
      <c r="T29" s="194">
        <f t="shared" si="39"/>
        <v>0</v>
      </c>
      <c r="U29" s="194">
        <f t="shared" si="40"/>
        <v>241.14099999999999</v>
      </c>
      <c r="V29" s="171">
        <f t="shared" ref="V29" si="49">V46</f>
        <v>241.14099999999999</v>
      </c>
      <c r="W29" s="192">
        <f>V29-U29</f>
        <v>0</v>
      </c>
      <c r="X29" s="195"/>
      <c r="Y29" s="197"/>
      <c r="AH29" s="196">
        <v>75</v>
      </c>
      <c r="AI29" s="572">
        <f>P450+Q450+R450+S450</f>
        <v>153.78</v>
      </c>
    </row>
    <row r="30" spans="1:35" s="196" customFormat="1" ht="18" customHeight="1">
      <c r="A30" s="610"/>
      <c r="B30" s="576"/>
      <c r="C30" s="577"/>
      <c r="D30" s="174" t="s">
        <v>28</v>
      </c>
      <c r="E30" s="192"/>
      <c r="F30" s="193">
        <f t="shared" si="47"/>
        <v>0</v>
      </c>
      <c r="G30" s="193">
        <f t="shared" si="47"/>
        <v>4172.625</v>
      </c>
      <c r="H30" s="193">
        <f t="shared" si="47"/>
        <v>5076.5839999999998</v>
      </c>
      <c r="I30" s="193">
        <f t="shared" si="47"/>
        <v>2896.828</v>
      </c>
      <c r="J30" s="193">
        <f t="shared" si="47"/>
        <v>251.28700000000001</v>
      </c>
      <c r="K30" s="193">
        <f t="shared" si="47"/>
        <v>267.06400000000002</v>
      </c>
      <c r="L30" s="171">
        <f t="shared" si="36"/>
        <v>12664.388000000001</v>
      </c>
      <c r="M30" s="171">
        <f t="shared" si="37"/>
        <v>2110.7310000000002</v>
      </c>
      <c r="N30" s="193">
        <f t="shared" si="48"/>
        <v>303.76400000000001</v>
      </c>
      <c r="O30" s="193">
        <f t="shared" si="48"/>
        <v>301.21899999999999</v>
      </c>
      <c r="P30" s="193">
        <f t="shared" si="48"/>
        <v>426.78699999999998</v>
      </c>
      <c r="Q30" s="193">
        <f t="shared" si="48"/>
        <v>445.78699999999998</v>
      </c>
      <c r="R30" s="193">
        <f t="shared" si="48"/>
        <v>426.78699999999998</v>
      </c>
      <c r="S30" s="193">
        <f t="shared" si="48"/>
        <v>6981.1419999999998</v>
      </c>
      <c r="T30" s="194">
        <f t="shared" si="39"/>
        <v>8885.4860000000008</v>
      </c>
      <c r="U30" s="194">
        <f t="shared" si="40"/>
        <v>21549.874</v>
      </c>
      <c r="V30" s="171">
        <f t="shared" ref="V30" si="50">V47</f>
        <v>21549.874</v>
      </c>
      <c r="W30" s="192">
        <f>V30-U30</f>
        <v>0</v>
      </c>
      <c r="X30" s="195"/>
      <c r="Y30" s="197"/>
    </row>
    <row r="31" spans="1:35" s="186" customFormat="1" ht="18" customHeight="1">
      <c r="A31" s="610"/>
      <c r="B31" s="576"/>
      <c r="C31" s="577"/>
      <c r="D31" s="178" t="s">
        <v>117</v>
      </c>
      <c r="E31" s="180">
        <f>E48</f>
        <v>0</v>
      </c>
      <c r="F31" s="216">
        <f t="shared" si="47"/>
        <v>0</v>
      </c>
      <c r="G31" s="216">
        <f t="shared" si="47"/>
        <v>1422.21</v>
      </c>
      <c r="H31" s="216">
        <f t="shared" si="47"/>
        <v>1730</v>
      </c>
      <c r="I31" s="216">
        <f t="shared" si="47"/>
        <v>929</v>
      </c>
      <c r="J31" s="216">
        <f t="shared" si="47"/>
        <v>-82.7</v>
      </c>
      <c r="K31" s="216">
        <f t="shared" si="47"/>
        <v>0</v>
      </c>
      <c r="L31" s="326">
        <f t="shared" si="36"/>
        <v>3998.51</v>
      </c>
      <c r="M31" s="326">
        <f t="shared" si="37"/>
        <v>666.41800000000001</v>
      </c>
      <c r="N31" s="216">
        <f t="shared" si="48"/>
        <v>-92.9</v>
      </c>
      <c r="O31" s="216">
        <f t="shared" si="48"/>
        <v>0</v>
      </c>
      <c r="P31" s="216">
        <f t="shared" si="48"/>
        <v>0</v>
      </c>
      <c r="Q31" s="216">
        <f t="shared" si="48"/>
        <v>0</v>
      </c>
      <c r="R31" s="216">
        <f t="shared" si="48"/>
        <v>0</v>
      </c>
      <c r="S31" s="216">
        <f t="shared" si="48"/>
        <v>2635.3</v>
      </c>
      <c r="T31" s="384">
        <f t="shared" si="39"/>
        <v>2542.4</v>
      </c>
      <c r="U31" s="384">
        <f t="shared" si="40"/>
        <v>6540.91</v>
      </c>
      <c r="V31" s="568">
        <f t="shared" ref="V31" si="51">V48</f>
        <v>6258.7</v>
      </c>
      <c r="W31" s="184">
        <f>W65+W170+W215</f>
        <v>-282.2</v>
      </c>
      <c r="X31" s="279">
        <f>U24-U31</f>
        <v>0</v>
      </c>
    </row>
    <row r="32" spans="1:35" s="190" customFormat="1" ht="18" customHeight="1">
      <c r="A32" s="610"/>
      <c r="B32" s="576"/>
      <c r="C32" s="577"/>
      <c r="D32" s="187" t="s">
        <v>27</v>
      </c>
      <c r="E32" s="188" t="e">
        <f t="shared" ref="E32:U32" si="52">E33/E31*1000</f>
        <v>#DIV/0!</v>
      </c>
      <c r="F32" s="188" t="e">
        <f t="shared" si="52"/>
        <v>#DIV/0!</v>
      </c>
      <c r="G32" s="188">
        <f t="shared" si="52"/>
        <v>2909.366</v>
      </c>
      <c r="H32" s="188">
        <f t="shared" si="52"/>
        <v>2981.69</v>
      </c>
      <c r="I32" s="188">
        <f t="shared" si="52"/>
        <v>3207.431</v>
      </c>
      <c r="J32" s="188">
        <f t="shared" si="52"/>
        <v>-1760.3630000000001</v>
      </c>
      <c r="K32" s="188" t="e">
        <f t="shared" si="52"/>
        <v>#DIV/0!</v>
      </c>
      <c r="L32" s="218">
        <f t="shared" si="52"/>
        <v>3209.4720000000002</v>
      </c>
      <c r="M32" s="218">
        <f t="shared" si="52"/>
        <v>3209.4740000000002</v>
      </c>
      <c r="N32" s="188">
        <f t="shared" si="52"/>
        <v>-1086.2329999999999</v>
      </c>
      <c r="O32" s="188" t="e">
        <f t="shared" si="52"/>
        <v>#DIV/0!</v>
      </c>
      <c r="P32" s="188" t="e">
        <f t="shared" si="52"/>
        <v>#DIV/0!</v>
      </c>
      <c r="Q32" s="188" t="e">
        <f t="shared" si="52"/>
        <v>#DIV/0!</v>
      </c>
      <c r="R32" s="188" t="e">
        <f t="shared" si="52"/>
        <v>#DIV/0!</v>
      </c>
      <c r="S32" s="188">
        <f t="shared" si="52"/>
        <v>3197.0450000000001</v>
      </c>
      <c r="T32" s="188">
        <f t="shared" si="52"/>
        <v>4010.578</v>
      </c>
      <c r="U32" s="188">
        <f t="shared" si="52"/>
        <v>3520.8560000000002</v>
      </c>
      <c r="V32" s="188">
        <f t="shared" ref="V32" si="53">V33/V31*1000</f>
        <v>3481.7159999999999</v>
      </c>
      <c r="W32" s="189">
        <f>W33/W31*1000</f>
        <v>4389.0330000000004</v>
      </c>
      <c r="X32" s="185"/>
    </row>
    <row r="33" spans="1:25" s="176" customFormat="1" ht="18" customHeight="1">
      <c r="A33" s="610"/>
      <c r="B33" s="576"/>
      <c r="C33" s="577"/>
      <c r="D33" s="198" t="s">
        <v>25</v>
      </c>
      <c r="E33" s="199">
        <f t="shared" ref="E33:K33" si="54">E50</f>
        <v>0</v>
      </c>
      <c r="F33" s="175">
        <f t="shared" si="54"/>
        <v>0</v>
      </c>
      <c r="G33" s="175">
        <f t="shared" si="54"/>
        <v>4137.7290000000003</v>
      </c>
      <c r="H33" s="175">
        <f t="shared" si="54"/>
        <v>5158.3230000000003</v>
      </c>
      <c r="I33" s="175">
        <f t="shared" si="54"/>
        <v>2979.703</v>
      </c>
      <c r="J33" s="175">
        <f t="shared" si="54"/>
        <v>145.58199999999999</v>
      </c>
      <c r="K33" s="175">
        <f t="shared" si="54"/>
        <v>411.76900000000001</v>
      </c>
      <c r="L33" s="175">
        <f>SUM(F33:K33)</f>
        <v>12833.106</v>
      </c>
      <c r="M33" s="175">
        <f>L33/6</f>
        <v>2138.8510000000001</v>
      </c>
      <c r="N33" s="175">
        <f t="shared" ref="N33:S36" si="55">N50</f>
        <v>100.911</v>
      </c>
      <c r="O33" s="175">
        <f t="shared" si="55"/>
        <v>385.976</v>
      </c>
      <c r="P33" s="175">
        <f t="shared" si="55"/>
        <v>415.38299999999998</v>
      </c>
      <c r="Q33" s="175">
        <f t="shared" si="55"/>
        <v>434.52499999999998</v>
      </c>
      <c r="R33" s="175">
        <f t="shared" si="55"/>
        <v>434.52499999999998</v>
      </c>
      <c r="S33" s="175">
        <f t="shared" si="55"/>
        <v>8425.1740000000009</v>
      </c>
      <c r="T33" s="175">
        <f>SUM(N33:S33)</f>
        <v>10196.494000000001</v>
      </c>
      <c r="U33" s="175">
        <f>T33+L33</f>
        <v>23029.599999999999</v>
      </c>
      <c r="V33" s="175">
        <f t="shared" ref="V33" si="56">V50</f>
        <v>21791.014999999999</v>
      </c>
      <c r="W33" s="200">
        <f>V33-U33</f>
        <v>-1238.585</v>
      </c>
      <c r="X33" s="176">
        <f>U28-U33</f>
        <v>0</v>
      </c>
    </row>
    <row r="34" spans="1:25" s="176" customFormat="1" ht="18" customHeight="1">
      <c r="A34" s="610"/>
      <c r="B34" s="576"/>
      <c r="C34" s="577"/>
      <c r="D34" s="201" t="s">
        <v>55</v>
      </c>
      <c r="E34" s="199"/>
      <c r="F34" s="175">
        <f t="shared" ref="F34:K36" si="57">F51</f>
        <v>0</v>
      </c>
      <c r="G34" s="175">
        <f t="shared" si="57"/>
        <v>0</v>
      </c>
      <c r="H34" s="175">
        <f t="shared" si="57"/>
        <v>169.33600000000001</v>
      </c>
      <c r="I34" s="175">
        <f t="shared" si="57"/>
        <v>0</v>
      </c>
      <c r="J34" s="175">
        <f t="shared" si="57"/>
        <v>24.728000000000002</v>
      </c>
      <c r="K34" s="175">
        <f t="shared" si="57"/>
        <v>47.076999999999998</v>
      </c>
      <c r="L34" s="175">
        <f>SUM(F34:K34)</f>
        <v>241.14099999999999</v>
      </c>
      <c r="M34" s="175">
        <f>L34/6</f>
        <v>40.19</v>
      </c>
      <c r="N34" s="175">
        <f t="shared" si="55"/>
        <v>0</v>
      </c>
      <c r="O34" s="175">
        <f t="shared" si="55"/>
        <v>0</v>
      </c>
      <c r="P34" s="175">
        <f t="shared" si="55"/>
        <v>0</v>
      </c>
      <c r="Q34" s="175">
        <f t="shared" si="55"/>
        <v>0</v>
      </c>
      <c r="R34" s="175">
        <f t="shared" si="55"/>
        <v>0</v>
      </c>
      <c r="S34" s="175">
        <f t="shared" si="55"/>
        <v>0</v>
      </c>
      <c r="T34" s="175">
        <f>SUM(N34:S34)</f>
        <v>0</v>
      </c>
      <c r="U34" s="175">
        <f>T34+L34</f>
        <v>241.14099999999999</v>
      </c>
      <c r="V34" s="175">
        <f t="shared" ref="V34" si="58">V51</f>
        <v>241.14099999999999</v>
      </c>
      <c r="W34" s="200">
        <f>V34-U34</f>
        <v>0</v>
      </c>
      <c r="X34" s="176">
        <f>U29-U34</f>
        <v>0</v>
      </c>
    </row>
    <row r="35" spans="1:25" s="176" customFormat="1" ht="18" customHeight="1">
      <c r="A35" s="610"/>
      <c r="B35" s="576"/>
      <c r="C35" s="577"/>
      <c r="D35" s="201" t="s">
        <v>24</v>
      </c>
      <c r="E35" s="199"/>
      <c r="F35" s="175">
        <f t="shared" si="57"/>
        <v>0</v>
      </c>
      <c r="G35" s="175">
        <f t="shared" si="57"/>
        <v>4137.7290000000003</v>
      </c>
      <c r="H35" s="175">
        <f t="shared" si="57"/>
        <v>4988.9870000000001</v>
      </c>
      <c r="I35" s="175">
        <f t="shared" si="57"/>
        <v>2979.703</v>
      </c>
      <c r="J35" s="175">
        <f t="shared" si="57"/>
        <v>120.854</v>
      </c>
      <c r="K35" s="175">
        <f t="shared" si="57"/>
        <v>364.69200000000001</v>
      </c>
      <c r="L35" s="175">
        <f>SUM(F35:K35)</f>
        <v>12591.965</v>
      </c>
      <c r="M35" s="175">
        <f>L35/6</f>
        <v>2098.6610000000001</v>
      </c>
      <c r="N35" s="175">
        <f t="shared" si="55"/>
        <v>100.911</v>
      </c>
      <c r="O35" s="175">
        <f t="shared" si="55"/>
        <v>385.976</v>
      </c>
      <c r="P35" s="175">
        <f t="shared" si="55"/>
        <v>415.38299999999998</v>
      </c>
      <c r="Q35" s="175">
        <f t="shared" si="55"/>
        <v>434.52499999999998</v>
      </c>
      <c r="R35" s="175">
        <f t="shared" si="55"/>
        <v>434.52499999999998</v>
      </c>
      <c r="S35" s="175">
        <f t="shared" si="55"/>
        <v>8425.1740000000009</v>
      </c>
      <c r="T35" s="175">
        <f>SUM(N35:S35)</f>
        <v>10196.494000000001</v>
      </c>
      <c r="U35" s="175">
        <f>T35+L35</f>
        <v>22788.458999999999</v>
      </c>
      <c r="V35" s="175">
        <f t="shared" ref="V35" si="59">V52</f>
        <v>21549.874</v>
      </c>
      <c r="W35" s="200">
        <f>V35-U35</f>
        <v>-1238.585</v>
      </c>
      <c r="X35" s="176">
        <f>U30-U35</f>
        <v>-1238.585</v>
      </c>
    </row>
    <row r="36" spans="1:25" s="205" customFormat="1" ht="18" customHeight="1">
      <c r="A36" s="610"/>
      <c r="B36" s="576"/>
      <c r="C36" s="577"/>
      <c r="D36" s="202" t="s">
        <v>29</v>
      </c>
      <c r="E36" s="203"/>
      <c r="F36" s="204">
        <f t="shared" si="57"/>
        <v>0</v>
      </c>
      <c r="G36" s="204">
        <f t="shared" si="57"/>
        <v>4172.625</v>
      </c>
      <c r="H36" s="204">
        <f t="shared" si="57"/>
        <v>5245.92</v>
      </c>
      <c r="I36" s="204">
        <f t="shared" si="57"/>
        <v>2921.556</v>
      </c>
      <c r="J36" s="204">
        <f t="shared" si="57"/>
        <v>298.36399999999998</v>
      </c>
      <c r="K36" s="204">
        <f t="shared" si="57"/>
        <v>267.06400000000002</v>
      </c>
      <c r="L36" s="204">
        <f>SUM(F36:K36)</f>
        <v>12905.529</v>
      </c>
      <c r="M36" s="204">
        <f>L36/6</f>
        <v>2150.922</v>
      </c>
      <c r="N36" s="204">
        <f t="shared" si="55"/>
        <v>303.76400000000001</v>
      </c>
      <c r="O36" s="204">
        <f t="shared" si="55"/>
        <v>301.21899999999999</v>
      </c>
      <c r="P36" s="204">
        <f t="shared" si="55"/>
        <v>426.78699999999998</v>
      </c>
      <c r="Q36" s="204">
        <f t="shared" si="55"/>
        <v>445.78699999999998</v>
      </c>
      <c r="R36" s="204">
        <f t="shared" si="55"/>
        <v>426.78699999999998</v>
      </c>
      <c r="S36" s="204">
        <f t="shared" si="55"/>
        <v>6981.1419999999998</v>
      </c>
      <c r="T36" s="204">
        <f>SUM(N36:S36)</f>
        <v>8885.4860000000008</v>
      </c>
      <c r="U36" s="204">
        <f>T36+L36</f>
        <v>21791.014999999999</v>
      </c>
      <c r="V36" s="204">
        <f>V53</f>
        <v>21791.014999999999</v>
      </c>
      <c r="W36" s="204">
        <f>V36-U36</f>
        <v>0</v>
      </c>
    </row>
    <row r="37" spans="1:25" s="205" customFormat="1" ht="18" customHeight="1">
      <c r="A37" s="610"/>
      <c r="B37" s="576"/>
      <c r="C37" s="577"/>
      <c r="D37" s="202" t="s">
        <v>30</v>
      </c>
      <c r="E37" s="203"/>
      <c r="F37" s="204">
        <f t="shared" ref="F37:K37" si="60">F33-F36</f>
        <v>0</v>
      </c>
      <c r="G37" s="204">
        <f t="shared" si="60"/>
        <v>-34.896000000000001</v>
      </c>
      <c r="H37" s="204">
        <f t="shared" si="60"/>
        <v>-87.596999999999994</v>
      </c>
      <c r="I37" s="204">
        <f t="shared" si="60"/>
        <v>58.146999999999998</v>
      </c>
      <c r="J37" s="204">
        <f t="shared" si="60"/>
        <v>-152.78200000000001</v>
      </c>
      <c r="K37" s="204">
        <f t="shared" si="60"/>
        <v>144.70500000000001</v>
      </c>
      <c r="L37" s="204"/>
      <c r="M37" s="204"/>
      <c r="N37" s="204">
        <f t="shared" ref="N37:S37" si="61">N33-N36</f>
        <v>-202.85300000000001</v>
      </c>
      <c r="O37" s="204">
        <f t="shared" si="61"/>
        <v>84.757000000000005</v>
      </c>
      <c r="P37" s="204">
        <f t="shared" si="61"/>
        <v>-11.404</v>
      </c>
      <c r="Q37" s="204">
        <f t="shared" si="61"/>
        <v>-11.262</v>
      </c>
      <c r="R37" s="204">
        <f t="shared" si="61"/>
        <v>7.7380000000000004</v>
      </c>
      <c r="S37" s="204">
        <f t="shared" si="61"/>
        <v>1444.0319999999999</v>
      </c>
      <c r="T37" s="204"/>
      <c r="U37" s="204"/>
      <c r="V37" s="204"/>
      <c r="W37" s="204"/>
    </row>
    <row r="38" spans="1:25" s="205" customFormat="1" ht="18" customHeight="1">
      <c r="A38" s="610"/>
      <c r="B38" s="576"/>
      <c r="C38" s="577"/>
      <c r="D38" s="202" t="s">
        <v>31</v>
      </c>
      <c r="E38" s="203"/>
      <c r="F38" s="204">
        <f>F37</f>
        <v>0</v>
      </c>
      <c r="G38" s="204">
        <f>G37+F38</f>
        <v>-34.896000000000001</v>
      </c>
      <c r="H38" s="204">
        <f>H37+G38</f>
        <v>-122.49299999999999</v>
      </c>
      <c r="I38" s="204">
        <f>I37+H38</f>
        <v>-64.346000000000004</v>
      </c>
      <c r="J38" s="204">
        <f>J37+I38</f>
        <v>-217.12799999999999</v>
      </c>
      <c r="K38" s="204">
        <f>K37+J38</f>
        <v>-72.423000000000002</v>
      </c>
      <c r="L38" s="204"/>
      <c r="M38" s="204"/>
      <c r="N38" s="204">
        <f>N37+K38</f>
        <v>-275.27600000000001</v>
      </c>
      <c r="O38" s="204">
        <f>O37+N38</f>
        <v>-190.51900000000001</v>
      </c>
      <c r="P38" s="204">
        <f>P37+O38</f>
        <v>-201.923</v>
      </c>
      <c r="Q38" s="204">
        <f>Q37+P38</f>
        <v>-213.185</v>
      </c>
      <c r="R38" s="204">
        <f>R37+Q38</f>
        <v>-205.447</v>
      </c>
      <c r="S38" s="204">
        <f>S37+R38</f>
        <v>1238.585</v>
      </c>
      <c r="T38" s="204"/>
      <c r="U38" s="204"/>
      <c r="V38" s="204"/>
      <c r="W38" s="204"/>
    </row>
    <row r="39" spans="1:25" s="206" customFormat="1" ht="18" customHeight="1">
      <c r="A39" s="610"/>
      <c r="B39" s="581" t="s">
        <v>71</v>
      </c>
      <c r="C39" s="581"/>
      <c r="D39" s="178" t="s">
        <v>105</v>
      </c>
      <c r="E39" s="179"/>
      <c r="F39" s="180">
        <f t="shared" ref="F39:K41" si="62">F56+F163+F208</f>
        <v>1931.1</v>
      </c>
      <c r="G39" s="180">
        <f t="shared" si="62"/>
        <v>1384.8</v>
      </c>
      <c r="H39" s="180">
        <f t="shared" si="62"/>
        <v>1009</v>
      </c>
      <c r="I39" s="180">
        <f t="shared" si="62"/>
        <v>12.1</v>
      </c>
      <c r="J39" s="180">
        <f t="shared" si="62"/>
        <v>0</v>
      </c>
      <c r="K39" s="180">
        <f t="shared" si="62"/>
        <v>0</v>
      </c>
      <c r="L39" s="181">
        <f>SUM(F39:K39)</f>
        <v>4337</v>
      </c>
      <c r="M39" s="181">
        <f>L39/6</f>
        <v>722.8</v>
      </c>
      <c r="N39" s="180">
        <f t="shared" ref="N39:S41" si="63">N56+N163+N208</f>
        <v>0</v>
      </c>
      <c r="O39" s="180">
        <f t="shared" si="63"/>
        <v>0</v>
      </c>
      <c r="P39" s="180">
        <f t="shared" si="63"/>
        <v>0</v>
      </c>
      <c r="Q39" s="180">
        <f t="shared" si="63"/>
        <v>38</v>
      </c>
      <c r="R39" s="180">
        <f t="shared" si="63"/>
        <v>705.1</v>
      </c>
      <c r="S39" s="180">
        <f t="shared" si="63"/>
        <v>1685</v>
      </c>
      <c r="T39" s="181">
        <f>SUM(N39:S39)</f>
        <v>2428.1</v>
      </c>
      <c r="U39" s="182">
        <f>T39+L39</f>
        <v>6765.1</v>
      </c>
      <c r="V39" s="183">
        <f>V56+V163</f>
        <v>3242.6</v>
      </c>
      <c r="W39" s="184"/>
    </row>
    <row r="40" spans="1:25" s="206" customFormat="1" ht="18" customHeight="1">
      <c r="A40" s="610"/>
      <c r="B40" s="581"/>
      <c r="C40" s="581"/>
      <c r="D40" s="178" t="s">
        <v>109</v>
      </c>
      <c r="E40" s="179"/>
      <c r="F40" s="180">
        <f t="shared" si="62"/>
        <v>1535.7</v>
      </c>
      <c r="G40" s="180">
        <f t="shared" si="62"/>
        <v>1268.2</v>
      </c>
      <c r="H40" s="180">
        <f t="shared" si="62"/>
        <v>1048.8</v>
      </c>
      <c r="I40" s="180">
        <f t="shared" si="62"/>
        <v>0</v>
      </c>
      <c r="J40" s="180">
        <f t="shared" si="62"/>
        <v>0</v>
      </c>
      <c r="K40" s="180">
        <f t="shared" si="62"/>
        <v>0</v>
      </c>
      <c r="L40" s="181">
        <f>SUM(F40:K40)</f>
        <v>3852.7</v>
      </c>
      <c r="M40" s="181">
        <f>L40/6</f>
        <v>642.1</v>
      </c>
      <c r="N40" s="180">
        <f t="shared" si="63"/>
        <v>0</v>
      </c>
      <c r="O40" s="180">
        <f t="shared" si="63"/>
        <v>0</v>
      </c>
      <c r="P40" s="180">
        <f t="shared" si="63"/>
        <v>0</v>
      </c>
      <c r="Q40" s="180">
        <f t="shared" si="63"/>
        <v>0</v>
      </c>
      <c r="R40" s="180">
        <f t="shared" si="63"/>
        <v>973.5</v>
      </c>
      <c r="S40" s="180">
        <f t="shared" si="63"/>
        <v>1752.2</v>
      </c>
      <c r="T40" s="181">
        <f>SUM(N40:S40)</f>
        <v>2725.7</v>
      </c>
      <c r="U40" s="182">
        <f>T40+L40</f>
        <v>6578.4</v>
      </c>
      <c r="V40" s="183">
        <f>V57+V164</f>
        <v>4658</v>
      </c>
      <c r="W40" s="184"/>
    </row>
    <row r="41" spans="1:25" s="206" customFormat="1" ht="18" customHeight="1">
      <c r="A41" s="610"/>
      <c r="B41" s="581"/>
      <c r="C41" s="581"/>
      <c r="D41" s="178" t="s">
        <v>116</v>
      </c>
      <c r="E41" s="179"/>
      <c r="F41" s="180">
        <f t="shared" si="62"/>
        <v>1390.4</v>
      </c>
      <c r="G41" s="180">
        <f t="shared" si="62"/>
        <v>1586.7</v>
      </c>
      <c r="H41" s="180">
        <f t="shared" si="62"/>
        <v>928.5</v>
      </c>
      <c r="I41" s="180">
        <f t="shared" si="62"/>
        <v>0</v>
      </c>
      <c r="J41" s="180">
        <f t="shared" si="62"/>
        <v>0</v>
      </c>
      <c r="K41" s="180">
        <f t="shared" si="62"/>
        <v>0</v>
      </c>
      <c r="L41" s="181">
        <f>SUM(F41:K41)</f>
        <v>3905.6</v>
      </c>
      <c r="M41" s="181">
        <f>L41/6</f>
        <v>650.9</v>
      </c>
      <c r="N41" s="180">
        <f t="shared" si="63"/>
        <v>0</v>
      </c>
      <c r="O41" s="180">
        <f t="shared" si="63"/>
        <v>0</v>
      </c>
      <c r="P41" s="180">
        <f t="shared" si="63"/>
        <v>0</v>
      </c>
      <c r="Q41" s="180">
        <f t="shared" si="63"/>
        <v>0</v>
      </c>
      <c r="R41" s="180">
        <f t="shared" si="63"/>
        <v>813.3</v>
      </c>
      <c r="S41" s="180">
        <f t="shared" si="63"/>
        <v>1822</v>
      </c>
      <c r="T41" s="181">
        <f>SUM(N41:S41)</f>
        <v>2635.3</v>
      </c>
      <c r="U41" s="182">
        <f>T41+L41</f>
        <v>6540.9</v>
      </c>
      <c r="V41" s="183">
        <f>V58+V165+V210</f>
        <v>6258.7</v>
      </c>
      <c r="W41" s="184">
        <f>V41-U41</f>
        <v>-282.2</v>
      </c>
    </row>
    <row r="42" spans="1:25" s="206" customFormat="1" ht="18" customHeight="1">
      <c r="A42" s="610"/>
      <c r="B42" s="581"/>
      <c r="C42" s="581"/>
      <c r="D42" s="187" t="s">
        <v>27</v>
      </c>
      <c r="E42" s="188"/>
      <c r="F42" s="188">
        <f t="shared" ref="F42:W42" si="64">F43/F41*1000</f>
        <v>2631.4589999999998</v>
      </c>
      <c r="G42" s="188">
        <f t="shared" si="64"/>
        <v>2739.3110000000001</v>
      </c>
      <c r="H42" s="188">
        <f t="shared" si="64"/>
        <v>2729.598</v>
      </c>
      <c r="I42" s="188" t="e">
        <f t="shared" si="64"/>
        <v>#DIV/0!</v>
      </c>
      <c r="J42" s="188" t="e">
        <f t="shared" si="64"/>
        <v>#DIV/0!</v>
      </c>
      <c r="K42" s="188" t="e">
        <f t="shared" si="64"/>
        <v>#DIV/0!</v>
      </c>
      <c r="L42" s="188">
        <f t="shared" si="64"/>
        <v>2698.607</v>
      </c>
      <c r="M42" s="188">
        <f t="shared" si="64"/>
        <v>2698.7449999999999</v>
      </c>
      <c r="N42" s="188" t="e">
        <f t="shared" si="64"/>
        <v>#DIV/0!</v>
      </c>
      <c r="O42" s="188" t="e">
        <f t="shared" si="64"/>
        <v>#DIV/0!</v>
      </c>
      <c r="P42" s="188" t="e">
        <f t="shared" si="64"/>
        <v>#DIV/0!</v>
      </c>
      <c r="Q42" s="188" t="e">
        <f t="shared" si="64"/>
        <v>#DIV/0!</v>
      </c>
      <c r="R42" s="188">
        <f t="shared" si="64"/>
        <v>2870.5590000000002</v>
      </c>
      <c r="S42" s="188">
        <f t="shared" si="64"/>
        <v>2865.8580000000002</v>
      </c>
      <c r="T42" s="188">
        <f t="shared" si="64"/>
        <v>2867.3090000000002</v>
      </c>
      <c r="U42" s="188">
        <f t="shared" si="64"/>
        <v>2766.576</v>
      </c>
      <c r="V42" s="188">
        <f t="shared" si="64"/>
        <v>2651.951</v>
      </c>
      <c r="W42" s="189">
        <f t="shared" si="64"/>
        <v>5308.76</v>
      </c>
    </row>
    <row r="43" spans="1:25" s="206" customFormat="1" ht="18" customHeight="1">
      <c r="A43" s="610"/>
      <c r="B43" s="581"/>
      <c r="C43" s="581"/>
      <c r="D43" s="191" t="s">
        <v>0</v>
      </c>
      <c r="E43" s="192"/>
      <c r="F43" s="193">
        <f t="shared" ref="F43:K43" si="65">F60+F167+F212</f>
        <v>3658.7809999999999</v>
      </c>
      <c r="G43" s="193">
        <f t="shared" si="65"/>
        <v>4346.4650000000001</v>
      </c>
      <c r="H43" s="193">
        <f t="shared" si="65"/>
        <v>2534.4319999999998</v>
      </c>
      <c r="I43" s="193">
        <f t="shared" si="65"/>
        <v>0</v>
      </c>
      <c r="J43" s="193">
        <f t="shared" si="65"/>
        <v>0</v>
      </c>
      <c r="K43" s="193">
        <f t="shared" si="65"/>
        <v>0</v>
      </c>
      <c r="L43" s="194">
        <f t="shared" ref="L43:L48" si="66">SUM(F43:K43)</f>
        <v>10539.678</v>
      </c>
      <c r="M43" s="194">
        <f t="shared" ref="M43:M48" si="67">L43/6</f>
        <v>1756.6130000000001</v>
      </c>
      <c r="N43" s="193">
        <f t="shared" ref="N43:S43" si="68">N60+N167+N212</f>
        <v>0</v>
      </c>
      <c r="O43" s="193">
        <f t="shared" si="68"/>
        <v>0</v>
      </c>
      <c r="P43" s="193">
        <f t="shared" si="68"/>
        <v>0</v>
      </c>
      <c r="Q43" s="193">
        <f t="shared" si="68"/>
        <v>0</v>
      </c>
      <c r="R43" s="193">
        <f t="shared" si="68"/>
        <v>2334.6260000000002</v>
      </c>
      <c r="S43" s="193">
        <f t="shared" si="68"/>
        <v>5221.5940000000001</v>
      </c>
      <c r="T43" s="194">
        <f t="shared" ref="T43:T48" si="69">SUM(N43:S43)</f>
        <v>7556.22</v>
      </c>
      <c r="U43" s="194">
        <f t="shared" ref="U43:U48" si="70">T43+L43</f>
        <v>18095.898000000001</v>
      </c>
      <c r="V43" s="171">
        <f>V60+V167+V212</f>
        <v>16597.766</v>
      </c>
      <c r="W43" s="193">
        <f>V43-U43</f>
        <v>-1498.1320000000001</v>
      </c>
    </row>
    <row r="44" spans="1:25" s="206" customFormat="1" ht="18" customHeight="1">
      <c r="A44" s="610"/>
      <c r="B44" s="581"/>
      <c r="C44" s="581"/>
      <c r="D44" s="174" t="s">
        <v>102</v>
      </c>
      <c r="E44" s="192"/>
      <c r="F44" s="193">
        <f t="shared" ref="F44:K44" si="71">F61</f>
        <v>413.29399999999998</v>
      </c>
      <c r="G44" s="193">
        <f t="shared" si="71"/>
        <v>368.15100000000001</v>
      </c>
      <c r="H44" s="193">
        <f t="shared" si="71"/>
        <v>411.041</v>
      </c>
      <c r="I44" s="193">
        <f t="shared" si="71"/>
        <v>401.53</v>
      </c>
      <c r="J44" s="193">
        <f t="shared" si="71"/>
        <v>411.76900000000001</v>
      </c>
      <c r="K44" s="193">
        <f t="shared" si="71"/>
        <v>388.50599999999997</v>
      </c>
      <c r="L44" s="194">
        <f t="shared" si="66"/>
        <v>2394.2910000000002</v>
      </c>
      <c r="M44" s="194">
        <f t="shared" si="67"/>
        <v>399.04899999999998</v>
      </c>
      <c r="N44" s="193">
        <f t="shared" ref="N44:S44" si="72">N61</f>
        <v>385.97699999999998</v>
      </c>
      <c r="O44" s="193">
        <f t="shared" si="72"/>
        <v>415.38200000000001</v>
      </c>
      <c r="P44" s="193">
        <f t="shared" si="72"/>
        <v>434.47699999999998</v>
      </c>
      <c r="Q44" s="193">
        <f t="shared" si="72"/>
        <v>434.52499999999998</v>
      </c>
      <c r="R44" s="193">
        <f t="shared" si="72"/>
        <v>434.52499999999998</v>
      </c>
      <c r="S44" s="193">
        <f t="shared" si="72"/>
        <v>434.52499999999998</v>
      </c>
      <c r="T44" s="194">
        <f t="shared" si="69"/>
        <v>2539.4110000000001</v>
      </c>
      <c r="U44" s="194">
        <f t="shared" si="70"/>
        <v>4933.7020000000002</v>
      </c>
      <c r="V44" s="171">
        <f t="shared" ref="V44" si="73">V61</f>
        <v>5193.2489999999998</v>
      </c>
      <c r="W44" s="193">
        <f t="shared" ref="W44:W45" si="74">V44-U44</f>
        <v>259.54700000000003</v>
      </c>
    </row>
    <row r="45" spans="1:25" s="206" customFormat="1" ht="18" customHeight="1">
      <c r="A45" s="610"/>
      <c r="B45" s="581"/>
      <c r="C45" s="581"/>
      <c r="D45" s="174" t="s">
        <v>103</v>
      </c>
      <c r="E45" s="192"/>
      <c r="F45" s="193">
        <f t="shared" ref="F45:K45" si="75">F43+F44</f>
        <v>4072.0749999999998</v>
      </c>
      <c r="G45" s="193">
        <f t="shared" si="75"/>
        <v>4714.616</v>
      </c>
      <c r="H45" s="193">
        <f t="shared" si="75"/>
        <v>2945.473</v>
      </c>
      <c r="I45" s="193">
        <f t="shared" si="75"/>
        <v>401.53</v>
      </c>
      <c r="J45" s="193">
        <f t="shared" si="75"/>
        <v>411.76900000000001</v>
      </c>
      <c r="K45" s="193">
        <f t="shared" si="75"/>
        <v>388.50599999999997</v>
      </c>
      <c r="L45" s="194">
        <f t="shared" si="66"/>
        <v>12933.968999999999</v>
      </c>
      <c r="M45" s="194">
        <f t="shared" si="67"/>
        <v>2155.6619999999998</v>
      </c>
      <c r="N45" s="193">
        <f t="shared" ref="N45:S45" si="76">N43+N44</f>
        <v>385.97699999999998</v>
      </c>
      <c r="O45" s="193">
        <f t="shared" si="76"/>
        <v>415.38200000000001</v>
      </c>
      <c r="P45" s="193">
        <f t="shared" si="76"/>
        <v>434.47699999999998</v>
      </c>
      <c r="Q45" s="193">
        <f t="shared" si="76"/>
        <v>434.52499999999998</v>
      </c>
      <c r="R45" s="193">
        <f t="shared" si="76"/>
        <v>2769.1509999999998</v>
      </c>
      <c r="S45" s="193">
        <f t="shared" si="76"/>
        <v>5656.1189999999997</v>
      </c>
      <c r="T45" s="194">
        <f t="shared" si="69"/>
        <v>10095.630999999999</v>
      </c>
      <c r="U45" s="194">
        <f t="shared" si="70"/>
        <v>23029.599999999999</v>
      </c>
      <c r="V45" s="171">
        <f t="shared" ref="V45" si="77">V43+V44</f>
        <v>21791.014999999999</v>
      </c>
      <c r="W45" s="193">
        <f t="shared" si="74"/>
        <v>-1238.585</v>
      </c>
    </row>
    <row r="46" spans="1:25" s="206" customFormat="1" ht="18" customHeight="1">
      <c r="A46" s="610"/>
      <c r="B46" s="581"/>
      <c r="C46" s="581"/>
      <c r="D46" s="174" t="s">
        <v>55</v>
      </c>
      <c r="E46" s="192"/>
      <c r="F46" s="193">
        <f t="shared" ref="F46:K47" si="78">F63+F168+F213</f>
        <v>0</v>
      </c>
      <c r="G46" s="193">
        <f t="shared" si="78"/>
        <v>0</v>
      </c>
      <c r="H46" s="193">
        <f t="shared" si="78"/>
        <v>169.33600000000001</v>
      </c>
      <c r="I46" s="193">
        <f t="shared" si="78"/>
        <v>24.728000000000002</v>
      </c>
      <c r="J46" s="193">
        <f t="shared" si="78"/>
        <v>47.076999999999998</v>
      </c>
      <c r="K46" s="193">
        <f t="shared" si="78"/>
        <v>0</v>
      </c>
      <c r="L46" s="194">
        <f t="shared" si="66"/>
        <v>241.14099999999999</v>
      </c>
      <c r="M46" s="194">
        <f t="shared" si="67"/>
        <v>40.19</v>
      </c>
      <c r="N46" s="193">
        <f t="shared" ref="N46:S47" si="79">N63+N168+N213</f>
        <v>0</v>
      </c>
      <c r="O46" s="193">
        <f t="shared" si="79"/>
        <v>0</v>
      </c>
      <c r="P46" s="193">
        <f t="shared" si="79"/>
        <v>0</v>
      </c>
      <c r="Q46" s="193">
        <f t="shared" si="79"/>
        <v>0</v>
      </c>
      <c r="R46" s="193">
        <f t="shared" si="79"/>
        <v>0</v>
      </c>
      <c r="S46" s="193">
        <f t="shared" si="79"/>
        <v>0</v>
      </c>
      <c r="T46" s="194">
        <f t="shared" si="69"/>
        <v>0</v>
      </c>
      <c r="U46" s="194">
        <f t="shared" si="70"/>
        <v>241.14099999999999</v>
      </c>
      <c r="V46" s="171">
        <f t="shared" ref="V46:V47" si="80">V63+V168+V213</f>
        <v>241.14099999999999</v>
      </c>
      <c r="W46" s="192">
        <f>V46-U46</f>
        <v>0</v>
      </c>
    </row>
    <row r="47" spans="1:25" s="206" customFormat="1" ht="18" customHeight="1">
      <c r="A47" s="610"/>
      <c r="B47" s="581"/>
      <c r="C47" s="581"/>
      <c r="D47" s="174" t="s">
        <v>28</v>
      </c>
      <c r="E47" s="192"/>
      <c r="F47" s="193">
        <f t="shared" si="78"/>
        <v>0</v>
      </c>
      <c r="G47" s="193">
        <f t="shared" si="78"/>
        <v>4172.625</v>
      </c>
      <c r="H47" s="193">
        <f t="shared" si="78"/>
        <v>5076.5839999999998</v>
      </c>
      <c r="I47" s="193">
        <f t="shared" si="78"/>
        <v>2896.828</v>
      </c>
      <c r="J47" s="193">
        <f t="shared" si="78"/>
        <v>251.28700000000001</v>
      </c>
      <c r="K47" s="193">
        <f t="shared" si="78"/>
        <v>267.06400000000002</v>
      </c>
      <c r="L47" s="194">
        <f t="shared" si="66"/>
        <v>12664.388000000001</v>
      </c>
      <c r="M47" s="194">
        <f t="shared" si="67"/>
        <v>2110.7310000000002</v>
      </c>
      <c r="N47" s="193">
        <f t="shared" si="79"/>
        <v>303.76400000000001</v>
      </c>
      <c r="O47" s="193">
        <f t="shared" si="79"/>
        <v>301.21899999999999</v>
      </c>
      <c r="P47" s="193">
        <f t="shared" si="79"/>
        <v>426.78699999999998</v>
      </c>
      <c r="Q47" s="193">
        <f t="shared" si="79"/>
        <v>445.78699999999998</v>
      </c>
      <c r="R47" s="193">
        <f t="shared" si="79"/>
        <v>426.78699999999998</v>
      </c>
      <c r="S47" s="193">
        <f t="shared" si="79"/>
        <v>6981.1419999999998</v>
      </c>
      <c r="T47" s="194">
        <f t="shared" si="69"/>
        <v>8885.4860000000008</v>
      </c>
      <c r="U47" s="194">
        <f t="shared" si="70"/>
        <v>21549.874</v>
      </c>
      <c r="V47" s="171">
        <f t="shared" si="80"/>
        <v>21549.874</v>
      </c>
      <c r="W47" s="192">
        <f>V47-U47</f>
        <v>0</v>
      </c>
    </row>
    <row r="48" spans="1:25" s="206" customFormat="1" ht="18" customHeight="1">
      <c r="A48" s="610"/>
      <c r="B48" s="581"/>
      <c r="C48" s="581"/>
      <c r="D48" s="178" t="s">
        <v>117</v>
      </c>
      <c r="E48" s="179">
        <f>E95+E140+E170+E215</f>
        <v>0</v>
      </c>
      <c r="F48" s="264">
        <f t="shared" ref="F48:K48" si="81">F65+F170+F230</f>
        <v>0</v>
      </c>
      <c r="G48" s="264">
        <f t="shared" si="81"/>
        <v>1422.21</v>
      </c>
      <c r="H48" s="264">
        <f t="shared" si="81"/>
        <v>1730</v>
      </c>
      <c r="I48" s="264">
        <f t="shared" si="81"/>
        <v>929</v>
      </c>
      <c r="J48" s="264">
        <f t="shared" si="81"/>
        <v>-82.7</v>
      </c>
      <c r="K48" s="264">
        <f t="shared" si="81"/>
        <v>0</v>
      </c>
      <c r="L48" s="181">
        <f t="shared" si="66"/>
        <v>3998.5</v>
      </c>
      <c r="M48" s="181">
        <f t="shared" si="67"/>
        <v>666.4</v>
      </c>
      <c r="N48" s="264">
        <f t="shared" ref="N48:S48" si="82">N65+N170+N230</f>
        <v>-92.9</v>
      </c>
      <c r="O48" s="264">
        <f t="shared" si="82"/>
        <v>0</v>
      </c>
      <c r="P48" s="264">
        <f t="shared" si="82"/>
        <v>0</v>
      </c>
      <c r="Q48" s="264">
        <f t="shared" si="82"/>
        <v>0</v>
      </c>
      <c r="R48" s="264">
        <f t="shared" si="82"/>
        <v>0</v>
      </c>
      <c r="S48" s="264">
        <f t="shared" si="82"/>
        <v>2635.3</v>
      </c>
      <c r="T48" s="181">
        <f t="shared" si="69"/>
        <v>2542.4</v>
      </c>
      <c r="U48" s="181">
        <f t="shared" si="70"/>
        <v>6540.9</v>
      </c>
      <c r="V48" s="264">
        <f t="shared" ref="V48" si="83">V95+V140+V170+V215</f>
        <v>6258.7</v>
      </c>
      <c r="W48" s="184">
        <f>V48-U48</f>
        <v>-282.2</v>
      </c>
      <c r="X48" s="206">
        <f>U41-U48</f>
        <v>0</v>
      </c>
      <c r="Y48" s="176"/>
    </row>
    <row r="49" spans="1:24" s="206" customFormat="1" ht="18" customHeight="1">
      <c r="A49" s="610"/>
      <c r="B49" s="581"/>
      <c r="C49" s="581"/>
      <c r="D49" s="187" t="s">
        <v>27</v>
      </c>
      <c r="E49" s="188" t="e">
        <f t="shared" ref="E49:W49" si="84">E50/E48*1000</f>
        <v>#DIV/0!</v>
      </c>
      <c r="F49" s="188" t="e">
        <f t="shared" si="84"/>
        <v>#DIV/0!</v>
      </c>
      <c r="G49" s="188">
        <f t="shared" si="84"/>
        <v>2909.366</v>
      </c>
      <c r="H49" s="188">
        <f t="shared" si="84"/>
        <v>2981.69</v>
      </c>
      <c r="I49" s="188">
        <f t="shared" si="84"/>
        <v>3207.431</v>
      </c>
      <c r="J49" s="188">
        <f t="shared" si="84"/>
        <v>-1760.3630000000001</v>
      </c>
      <c r="K49" s="188" t="e">
        <f t="shared" si="84"/>
        <v>#DIV/0!</v>
      </c>
      <c r="L49" s="188">
        <f t="shared" si="84"/>
        <v>3209.48</v>
      </c>
      <c r="M49" s="188">
        <f t="shared" si="84"/>
        <v>3209.56</v>
      </c>
      <c r="N49" s="188">
        <f t="shared" si="84"/>
        <v>-1086.2329999999999</v>
      </c>
      <c r="O49" s="188" t="e">
        <f t="shared" si="84"/>
        <v>#DIV/0!</v>
      </c>
      <c r="P49" s="188" t="e">
        <f t="shared" si="84"/>
        <v>#DIV/0!</v>
      </c>
      <c r="Q49" s="188" t="e">
        <f t="shared" si="84"/>
        <v>#DIV/0!</v>
      </c>
      <c r="R49" s="188" t="e">
        <f t="shared" si="84"/>
        <v>#DIV/0!</v>
      </c>
      <c r="S49" s="188">
        <f t="shared" si="84"/>
        <v>3197.0450000000001</v>
      </c>
      <c r="T49" s="188">
        <f t="shared" si="84"/>
        <v>4010.578</v>
      </c>
      <c r="U49" s="188">
        <f t="shared" si="84"/>
        <v>3520.8609999999999</v>
      </c>
      <c r="V49" s="188">
        <f t="shared" si="84"/>
        <v>3481.7159999999999</v>
      </c>
      <c r="W49" s="189">
        <f t="shared" si="84"/>
        <v>4389.0330000000004</v>
      </c>
    </row>
    <row r="50" spans="1:24" s="176" customFormat="1" ht="18" customHeight="1">
      <c r="A50" s="610"/>
      <c r="B50" s="581"/>
      <c r="C50" s="581"/>
      <c r="D50" s="198" t="s">
        <v>25</v>
      </c>
      <c r="E50" s="199">
        <f t="shared" ref="E50:K50" si="85">E67+E172+E217</f>
        <v>0</v>
      </c>
      <c r="F50" s="199">
        <f t="shared" si="85"/>
        <v>0</v>
      </c>
      <c r="G50" s="199">
        <f t="shared" si="85"/>
        <v>4137.7290000000003</v>
      </c>
      <c r="H50" s="199">
        <f t="shared" si="85"/>
        <v>5158.3230000000003</v>
      </c>
      <c r="I50" s="199">
        <f t="shared" si="85"/>
        <v>2979.703</v>
      </c>
      <c r="J50" s="199">
        <f t="shared" si="85"/>
        <v>145.58199999999999</v>
      </c>
      <c r="K50" s="199">
        <f t="shared" si="85"/>
        <v>411.76900000000001</v>
      </c>
      <c r="L50" s="199">
        <f>SUM(F50:K50)</f>
        <v>12833.106</v>
      </c>
      <c r="M50" s="199">
        <f>L50/6</f>
        <v>2138.8510000000001</v>
      </c>
      <c r="N50" s="199">
        <f t="shared" ref="N50:S52" si="86">N67+N172+N217</f>
        <v>100.911</v>
      </c>
      <c r="O50" s="199">
        <f t="shared" si="86"/>
        <v>385.976</v>
      </c>
      <c r="P50" s="199">
        <f t="shared" si="86"/>
        <v>415.38299999999998</v>
      </c>
      <c r="Q50" s="199">
        <f t="shared" si="86"/>
        <v>434.52499999999998</v>
      </c>
      <c r="R50" s="199">
        <f t="shared" si="86"/>
        <v>434.52499999999998</v>
      </c>
      <c r="S50" s="199">
        <f t="shared" si="86"/>
        <v>8425.1740000000009</v>
      </c>
      <c r="T50" s="199">
        <f>SUM(N50:S50)</f>
        <v>10196.494000000001</v>
      </c>
      <c r="U50" s="199">
        <f>T50+L50</f>
        <v>23029.599999999999</v>
      </c>
      <c r="V50" s="175">
        <f>V67+V172+V217</f>
        <v>21791.014999999999</v>
      </c>
      <c r="W50" s="200">
        <f>V50-U50</f>
        <v>-1238.585</v>
      </c>
      <c r="X50" s="176">
        <f>U45-U50</f>
        <v>0</v>
      </c>
    </row>
    <row r="51" spans="1:24" s="176" customFormat="1" ht="18" customHeight="1">
      <c r="A51" s="610"/>
      <c r="B51" s="581"/>
      <c r="C51" s="581"/>
      <c r="D51" s="201" t="s">
        <v>55</v>
      </c>
      <c r="E51" s="199"/>
      <c r="F51" s="199">
        <f t="shared" ref="F51:K52" si="87">F68+F173+F218</f>
        <v>0</v>
      </c>
      <c r="G51" s="199">
        <f t="shared" si="87"/>
        <v>0</v>
      </c>
      <c r="H51" s="199">
        <f t="shared" si="87"/>
        <v>169.33600000000001</v>
      </c>
      <c r="I51" s="199">
        <f t="shared" si="87"/>
        <v>0</v>
      </c>
      <c r="J51" s="199">
        <f t="shared" si="87"/>
        <v>24.728000000000002</v>
      </c>
      <c r="K51" s="199">
        <f t="shared" si="87"/>
        <v>47.076999999999998</v>
      </c>
      <c r="L51" s="199">
        <f>SUM(F51:K51)</f>
        <v>241.14099999999999</v>
      </c>
      <c r="M51" s="199">
        <f>L51/6</f>
        <v>40.19</v>
      </c>
      <c r="N51" s="199">
        <f t="shared" si="86"/>
        <v>0</v>
      </c>
      <c r="O51" s="199">
        <f t="shared" si="86"/>
        <v>0</v>
      </c>
      <c r="P51" s="199">
        <f t="shared" si="86"/>
        <v>0</v>
      </c>
      <c r="Q51" s="199">
        <f t="shared" si="86"/>
        <v>0</v>
      </c>
      <c r="R51" s="199">
        <f t="shared" si="86"/>
        <v>0</v>
      </c>
      <c r="S51" s="199">
        <f t="shared" si="86"/>
        <v>0</v>
      </c>
      <c r="T51" s="199">
        <f>SUM(N51:S51)</f>
        <v>0</v>
      </c>
      <c r="U51" s="199">
        <f>T51+L51</f>
        <v>241.14099999999999</v>
      </c>
      <c r="V51" s="175">
        <f>V68+V173+V218</f>
        <v>241.14099999999999</v>
      </c>
      <c r="W51" s="200">
        <f>V51-U51</f>
        <v>0</v>
      </c>
      <c r="X51" s="176">
        <f>U46-U51</f>
        <v>0</v>
      </c>
    </row>
    <row r="52" spans="1:24" s="176" customFormat="1" ht="18" customHeight="1">
      <c r="A52" s="610"/>
      <c r="B52" s="581"/>
      <c r="C52" s="581"/>
      <c r="D52" s="201" t="s">
        <v>24</v>
      </c>
      <c r="E52" s="199"/>
      <c r="F52" s="199">
        <f t="shared" si="87"/>
        <v>0</v>
      </c>
      <c r="G52" s="199">
        <f t="shared" si="87"/>
        <v>4137.7290000000003</v>
      </c>
      <c r="H52" s="199">
        <f t="shared" si="87"/>
        <v>4988.9870000000001</v>
      </c>
      <c r="I52" s="199">
        <f t="shared" si="87"/>
        <v>2979.703</v>
      </c>
      <c r="J52" s="199">
        <f t="shared" si="87"/>
        <v>120.854</v>
      </c>
      <c r="K52" s="199">
        <f t="shared" si="87"/>
        <v>364.69200000000001</v>
      </c>
      <c r="L52" s="199">
        <f>SUM(F52:K52)</f>
        <v>12591.965</v>
      </c>
      <c r="M52" s="199">
        <f>L52/6</f>
        <v>2098.6610000000001</v>
      </c>
      <c r="N52" s="199">
        <f t="shared" si="86"/>
        <v>100.911</v>
      </c>
      <c r="O52" s="199">
        <f t="shared" si="86"/>
        <v>385.976</v>
      </c>
      <c r="P52" s="199">
        <f t="shared" si="86"/>
        <v>415.38299999999998</v>
      </c>
      <c r="Q52" s="199">
        <f t="shared" si="86"/>
        <v>434.52499999999998</v>
      </c>
      <c r="R52" s="199">
        <f t="shared" si="86"/>
        <v>434.52499999999998</v>
      </c>
      <c r="S52" s="199">
        <f t="shared" si="86"/>
        <v>8425.1740000000009</v>
      </c>
      <c r="T52" s="199">
        <f>SUM(N52:S52)</f>
        <v>10196.494000000001</v>
      </c>
      <c r="U52" s="199">
        <f>T52+L52</f>
        <v>22788.458999999999</v>
      </c>
      <c r="V52" s="175">
        <f>V69+V174+V219</f>
        <v>21549.874</v>
      </c>
      <c r="W52" s="200">
        <f>V52-U52</f>
        <v>-1238.585</v>
      </c>
      <c r="X52" s="176">
        <f>U47-U52</f>
        <v>-1238.585</v>
      </c>
    </row>
    <row r="53" spans="1:24" s="205" customFormat="1" ht="18" customHeight="1">
      <c r="A53" s="610"/>
      <c r="B53" s="581"/>
      <c r="C53" s="581"/>
      <c r="D53" s="202" t="s">
        <v>29</v>
      </c>
      <c r="E53" s="203"/>
      <c r="F53" s="203">
        <f t="shared" ref="F53:K53" si="88">F47+F46</f>
        <v>0</v>
      </c>
      <c r="G53" s="203">
        <f t="shared" si="88"/>
        <v>4172.625</v>
      </c>
      <c r="H53" s="203">
        <f t="shared" si="88"/>
        <v>5245.92</v>
      </c>
      <c r="I53" s="203">
        <f t="shared" si="88"/>
        <v>2921.556</v>
      </c>
      <c r="J53" s="203">
        <f t="shared" si="88"/>
        <v>298.36399999999998</v>
      </c>
      <c r="K53" s="203">
        <f t="shared" si="88"/>
        <v>267.06400000000002</v>
      </c>
      <c r="L53" s="203">
        <f>SUM(F53:K53)</f>
        <v>12905.529</v>
      </c>
      <c r="M53" s="203">
        <f>L53/6</f>
        <v>2150.922</v>
      </c>
      <c r="N53" s="203">
        <f t="shared" ref="N53:S53" si="89">N47+N46</f>
        <v>303.76400000000001</v>
      </c>
      <c r="O53" s="203">
        <f t="shared" si="89"/>
        <v>301.21899999999999</v>
      </c>
      <c r="P53" s="203">
        <f t="shared" si="89"/>
        <v>426.78699999999998</v>
      </c>
      <c r="Q53" s="203">
        <f t="shared" si="89"/>
        <v>445.78699999999998</v>
      </c>
      <c r="R53" s="203">
        <f t="shared" si="89"/>
        <v>426.78699999999998</v>
      </c>
      <c r="S53" s="203">
        <f t="shared" si="89"/>
        <v>6981.1419999999998</v>
      </c>
      <c r="T53" s="203">
        <f>SUM(N53:S53)</f>
        <v>8885.4860000000008</v>
      </c>
      <c r="U53" s="203">
        <f>T53+L53</f>
        <v>21791.014999999999</v>
      </c>
      <c r="V53" s="204">
        <f>V47+V46</f>
        <v>21791.014999999999</v>
      </c>
      <c r="W53" s="203">
        <f>V53-U53</f>
        <v>0</v>
      </c>
    </row>
    <row r="54" spans="1:24" s="205" customFormat="1" ht="18" customHeight="1">
      <c r="A54" s="610"/>
      <c r="B54" s="581"/>
      <c r="C54" s="581"/>
      <c r="D54" s="202" t="s">
        <v>30</v>
      </c>
      <c r="E54" s="203"/>
      <c r="F54" s="203">
        <f t="shared" ref="F54:K54" si="90">F50-F53</f>
        <v>0</v>
      </c>
      <c r="G54" s="203">
        <f t="shared" si="90"/>
        <v>-34.896000000000001</v>
      </c>
      <c r="H54" s="203">
        <f t="shared" si="90"/>
        <v>-87.596999999999994</v>
      </c>
      <c r="I54" s="203">
        <f t="shared" si="90"/>
        <v>58.146999999999998</v>
      </c>
      <c r="J54" s="203">
        <f t="shared" si="90"/>
        <v>-152.78200000000001</v>
      </c>
      <c r="K54" s="203">
        <f t="shared" si="90"/>
        <v>144.70500000000001</v>
      </c>
      <c r="L54" s="203"/>
      <c r="M54" s="203"/>
      <c r="N54" s="203">
        <f t="shared" ref="N54:S54" si="91">N50-N53</f>
        <v>-202.85300000000001</v>
      </c>
      <c r="O54" s="203">
        <f t="shared" si="91"/>
        <v>84.757000000000005</v>
      </c>
      <c r="P54" s="203">
        <f t="shared" si="91"/>
        <v>-11.404</v>
      </c>
      <c r="Q54" s="203">
        <f t="shared" si="91"/>
        <v>-11.262</v>
      </c>
      <c r="R54" s="203">
        <f t="shared" si="91"/>
        <v>7.7380000000000004</v>
      </c>
      <c r="S54" s="203">
        <f t="shared" si="91"/>
        <v>1444.0319999999999</v>
      </c>
      <c r="T54" s="203"/>
      <c r="U54" s="203"/>
      <c r="V54" s="203"/>
      <c r="W54" s="203"/>
    </row>
    <row r="55" spans="1:24" s="205" customFormat="1" ht="13.15" customHeight="1">
      <c r="A55" s="610"/>
      <c r="B55" s="581"/>
      <c r="C55" s="581"/>
      <c r="D55" s="202" t="s">
        <v>31</v>
      </c>
      <c r="E55" s="203"/>
      <c r="F55" s="203">
        <f>F54</f>
        <v>0</v>
      </c>
      <c r="G55" s="203">
        <f>G54+F55</f>
        <v>-34.896000000000001</v>
      </c>
      <c r="H55" s="203">
        <f>H54+G55</f>
        <v>-122.49299999999999</v>
      </c>
      <c r="I55" s="203">
        <f>I54+H55</f>
        <v>-64.346000000000004</v>
      </c>
      <c r="J55" s="203">
        <f>J54+I55</f>
        <v>-217.12799999999999</v>
      </c>
      <c r="K55" s="203">
        <f>K54+J55</f>
        <v>-72.423000000000002</v>
      </c>
      <c r="L55" s="203"/>
      <c r="M55" s="203"/>
      <c r="N55" s="203">
        <f>N54+K55</f>
        <v>-275.27600000000001</v>
      </c>
      <c r="O55" s="203">
        <f>O54+N55</f>
        <v>-190.51900000000001</v>
      </c>
      <c r="P55" s="203">
        <f>P54+O55</f>
        <v>-201.923</v>
      </c>
      <c r="Q55" s="203">
        <f>Q54+P55</f>
        <v>-213.185</v>
      </c>
      <c r="R55" s="203">
        <f>R54+Q55</f>
        <v>-205.447</v>
      </c>
      <c r="S55" s="203">
        <f>S54+R55</f>
        <v>1238.585</v>
      </c>
      <c r="T55" s="203"/>
      <c r="U55" s="203"/>
      <c r="V55" s="203"/>
      <c r="W55" s="203"/>
    </row>
    <row r="56" spans="1:24" s="209" customFormat="1" ht="18" customHeight="1">
      <c r="A56" s="610"/>
      <c r="B56" s="580" t="s">
        <v>53</v>
      </c>
      <c r="C56" s="575"/>
      <c r="D56" s="178" t="s">
        <v>105</v>
      </c>
      <c r="E56" s="179"/>
      <c r="F56" s="180">
        <f t="shared" ref="F56:K58" si="92">F88+F133</f>
        <v>1655.9</v>
      </c>
      <c r="G56" s="180">
        <f t="shared" si="92"/>
        <v>1179.7</v>
      </c>
      <c r="H56" s="180">
        <f t="shared" si="92"/>
        <v>832.7</v>
      </c>
      <c r="I56" s="180">
        <f t="shared" si="92"/>
        <v>0</v>
      </c>
      <c r="J56" s="180">
        <f t="shared" si="92"/>
        <v>0</v>
      </c>
      <c r="K56" s="180">
        <f t="shared" si="92"/>
        <v>0</v>
      </c>
      <c r="L56" s="207">
        <f>SUM(F56:K56)</f>
        <v>3668.3</v>
      </c>
      <c r="M56" s="207">
        <f>L56/6</f>
        <v>611.4</v>
      </c>
      <c r="N56" s="180">
        <f t="shared" ref="N56:S58" si="93">N88+N133</f>
        <v>0</v>
      </c>
      <c r="O56" s="180">
        <f t="shared" si="93"/>
        <v>0</v>
      </c>
      <c r="P56" s="180">
        <f t="shared" si="93"/>
        <v>0</v>
      </c>
      <c r="Q56" s="180">
        <f t="shared" si="93"/>
        <v>38</v>
      </c>
      <c r="R56" s="180">
        <f t="shared" si="93"/>
        <v>575.4</v>
      </c>
      <c r="S56" s="180">
        <f t="shared" si="93"/>
        <v>1432</v>
      </c>
      <c r="T56" s="207">
        <f>SUM(N56:S56)</f>
        <v>2045.4</v>
      </c>
      <c r="U56" s="208">
        <f>T56+L56</f>
        <v>5713.7</v>
      </c>
      <c r="V56" s="183">
        <f>V88+V133</f>
        <v>3242.6</v>
      </c>
      <c r="W56" s="184"/>
    </row>
    <row r="57" spans="1:24" s="209" customFormat="1" ht="18.649999999999999" customHeight="1">
      <c r="A57" s="610"/>
      <c r="B57" s="576"/>
      <c r="C57" s="577"/>
      <c r="D57" s="178" t="s">
        <v>109</v>
      </c>
      <c r="E57" s="179"/>
      <c r="F57" s="180">
        <f t="shared" si="92"/>
        <v>1320.2</v>
      </c>
      <c r="G57" s="180">
        <f t="shared" si="92"/>
        <v>1111.7</v>
      </c>
      <c r="H57" s="180">
        <f t="shared" si="92"/>
        <v>929</v>
      </c>
      <c r="I57" s="180">
        <f t="shared" si="92"/>
        <v>0</v>
      </c>
      <c r="J57" s="180">
        <f t="shared" si="92"/>
        <v>0</v>
      </c>
      <c r="K57" s="180">
        <f t="shared" si="92"/>
        <v>0</v>
      </c>
      <c r="L57" s="207">
        <f>SUM(F57:K57)</f>
        <v>3360.9</v>
      </c>
      <c r="M57" s="207">
        <f>L57/6</f>
        <v>560.20000000000005</v>
      </c>
      <c r="N57" s="180">
        <f t="shared" si="93"/>
        <v>0</v>
      </c>
      <c r="O57" s="180">
        <f t="shared" si="93"/>
        <v>0</v>
      </c>
      <c r="P57" s="180">
        <f t="shared" si="93"/>
        <v>0</v>
      </c>
      <c r="Q57" s="180">
        <f t="shared" si="93"/>
        <v>0</v>
      </c>
      <c r="R57" s="179">
        <f t="shared" si="93"/>
        <v>786.9</v>
      </c>
      <c r="S57" s="179">
        <f t="shared" si="93"/>
        <v>1499.2</v>
      </c>
      <c r="T57" s="207">
        <f>SUM(N57:S57)</f>
        <v>2286.1</v>
      </c>
      <c r="U57" s="208">
        <f>T57+L57</f>
        <v>5647</v>
      </c>
      <c r="V57" s="183">
        <f>V89+V134</f>
        <v>4658</v>
      </c>
      <c r="W57" s="184"/>
    </row>
    <row r="58" spans="1:24" s="209" customFormat="1" ht="18" customHeight="1">
      <c r="A58" s="610"/>
      <c r="B58" s="576"/>
      <c r="C58" s="577"/>
      <c r="D58" s="178" t="s">
        <v>116</v>
      </c>
      <c r="E58" s="179"/>
      <c r="F58" s="180">
        <f t="shared" si="92"/>
        <v>1217</v>
      </c>
      <c r="G58" s="180">
        <f t="shared" si="92"/>
        <v>1371.9</v>
      </c>
      <c r="H58" s="180">
        <f t="shared" si="92"/>
        <v>825.8</v>
      </c>
      <c r="I58" s="180">
        <f t="shared" si="92"/>
        <v>0</v>
      </c>
      <c r="J58" s="180">
        <f t="shared" si="92"/>
        <v>0</v>
      </c>
      <c r="K58" s="180">
        <f t="shared" si="92"/>
        <v>0</v>
      </c>
      <c r="L58" s="207">
        <f>SUM(F58:K58)</f>
        <v>3414.7</v>
      </c>
      <c r="M58" s="207">
        <f>L58/6</f>
        <v>569.1</v>
      </c>
      <c r="N58" s="180">
        <f t="shared" si="93"/>
        <v>0</v>
      </c>
      <c r="O58" s="180">
        <f t="shared" si="93"/>
        <v>0</v>
      </c>
      <c r="P58" s="180">
        <f t="shared" si="93"/>
        <v>0</v>
      </c>
      <c r="Q58" s="180">
        <f t="shared" si="93"/>
        <v>0</v>
      </c>
      <c r="R58" s="180">
        <f t="shared" si="93"/>
        <v>615.5</v>
      </c>
      <c r="S58" s="180">
        <f t="shared" si="93"/>
        <v>1523.8</v>
      </c>
      <c r="T58" s="207">
        <f>SUM(N58:S58)</f>
        <v>2139.3000000000002</v>
      </c>
      <c r="U58" s="208">
        <f>T58+L58</f>
        <v>5554</v>
      </c>
      <c r="V58" s="233">
        <f t="shared" ref="V58" si="94">V90+V120+V135</f>
        <v>5207.8999999999996</v>
      </c>
      <c r="W58" s="184">
        <f>V58-U58</f>
        <v>-346.1</v>
      </c>
    </row>
    <row r="59" spans="1:24" s="209" customFormat="1" ht="18" customHeight="1">
      <c r="A59" s="610"/>
      <c r="B59" s="576"/>
      <c r="C59" s="577"/>
      <c r="D59" s="187" t="s">
        <v>27</v>
      </c>
      <c r="E59" s="188"/>
      <c r="F59" s="188">
        <f t="shared" ref="F59:W59" si="95">F60/F58*1000</f>
        <v>2593.4720000000002</v>
      </c>
      <c r="G59" s="188">
        <f t="shared" si="95"/>
        <v>2637.5010000000002</v>
      </c>
      <c r="H59" s="188">
        <f t="shared" si="95"/>
        <v>2633.8449999999998</v>
      </c>
      <c r="I59" s="188" t="e">
        <f t="shared" si="95"/>
        <v>#DIV/0!</v>
      </c>
      <c r="J59" s="188" t="e">
        <f t="shared" si="95"/>
        <v>#DIV/0!</v>
      </c>
      <c r="K59" s="188" t="e">
        <f t="shared" si="95"/>
        <v>#DIV/0!</v>
      </c>
      <c r="L59" s="188">
        <f t="shared" si="95"/>
        <v>2620.9250000000002</v>
      </c>
      <c r="M59" s="188">
        <f t="shared" si="95"/>
        <v>2621.002</v>
      </c>
      <c r="N59" s="188" t="e">
        <f t="shared" si="95"/>
        <v>#DIV/0!</v>
      </c>
      <c r="O59" s="188" t="e">
        <f t="shared" si="95"/>
        <v>#DIV/0!</v>
      </c>
      <c r="P59" s="188" t="e">
        <f t="shared" si="95"/>
        <v>#DIV/0!</v>
      </c>
      <c r="Q59" s="188" t="e">
        <f t="shared" si="95"/>
        <v>#DIV/0!</v>
      </c>
      <c r="R59" s="188">
        <f t="shared" si="95"/>
        <v>2676.509</v>
      </c>
      <c r="S59" s="188">
        <f t="shared" si="95"/>
        <v>2805.491</v>
      </c>
      <c r="T59" s="188">
        <f t="shared" si="95"/>
        <v>2768.3809999999999</v>
      </c>
      <c r="U59" s="188">
        <f t="shared" si="95"/>
        <v>2677.7220000000002</v>
      </c>
      <c r="V59" s="188">
        <f t="shared" si="95"/>
        <v>2596.701</v>
      </c>
      <c r="W59" s="189">
        <f t="shared" si="95"/>
        <v>3896.88</v>
      </c>
    </row>
    <row r="60" spans="1:24" s="209" customFormat="1" ht="18" customHeight="1">
      <c r="A60" s="610"/>
      <c r="B60" s="576"/>
      <c r="C60" s="577"/>
      <c r="D60" s="191" t="s">
        <v>0</v>
      </c>
      <c r="E60" s="192"/>
      <c r="F60" s="192">
        <f t="shared" ref="F60:K60" si="96">F92+F137</f>
        <v>3156.2559999999999</v>
      </c>
      <c r="G60" s="192">
        <f t="shared" si="96"/>
        <v>3618.3870000000002</v>
      </c>
      <c r="H60" s="192">
        <f t="shared" si="96"/>
        <v>2175.029</v>
      </c>
      <c r="I60" s="192">
        <f t="shared" si="96"/>
        <v>0</v>
      </c>
      <c r="J60" s="192">
        <f t="shared" si="96"/>
        <v>0</v>
      </c>
      <c r="K60" s="192">
        <f t="shared" si="96"/>
        <v>0</v>
      </c>
      <c r="L60" s="192">
        <f t="shared" ref="L60:L65" si="97">SUM(F60:K60)</f>
        <v>8949.6720000000005</v>
      </c>
      <c r="M60" s="192">
        <f t="shared" ref="M60:M65" si="98">L60/6</f>
        <v>1491.6120000000001</v>
      </c>
      <c r="N60" s="192">
        <f t="shared" ref="N60:S60" si="99">N92+N137</f>
        <v>0</v>
      </c>
      <c r="O60" s="192">
        <f t="shared" si="99"/>
        <v>0</v>
      </c>
      <c r="P60" s="192">
        <f t="shared" si="99"/>
        <v>0</v>
      </c>
      <c r="Q60" s="192">
        <f t="shared" si="99"/>
        <v>0</v>
      </c>
      <c r="R60" s="192">
        <f t="shared" si="99"/>
        <v>1647.3910000000001</v>
      </c>
      <c r="S60" s="192">
        <f t="shared" si="99"/>
        <v>4275.0069999999996</v>
      </c>
      <c r="T60" s="192">
        <f t="shared" ref="T60:T65" si="100">SUM(N60:S60)</f>
        <v>5922.3980000000001</v>
      </c>
      <c r="U60" s="192">
        <f t="shared" ref="U60:U65" si="101">T60+L60</f>
        <v>14872.07</v>
      </c>
      <c r="V60" s="192">
        <f t="shared" ref="V60" si="102">V92+V137</f>
        <v>13523.36</v>
      </c>
      <c r="W60" s="193">
        <f>V60-U60</f>
        <v>-1348.71</v>
      </c>
    </row>
    <row r="61" spans="1:24" s="209" customFormat="1" ht="18" customHeight="1">
      <c r="A61" s="610"/>
      <c r="B61" s="576"/>
      <c r="C61" s="577"/>
      <c r="D61" s="174" t="s">
        <v>102</v>
      </c>
      <c r="E61" s="192"/>
      <c r="F61" s="192">
        <f t="shared" ref="F61:K61" si="103">F77+F107+F122+F152</f>
        <v>413.29399999999998</v>
      </c>
      <c r="G61" s="192">
        <f t="shared" si="103"/>
        <v>368.15100000000001</v>
      </c>
      <c r="H61" s="192">
        <f t="shared" si="103"/>
        <v>411.041</v>
      </c>
      <c r="I61" s="192">
        <f t="shared" si="103"/>
        <v>401.53</v>
      </c>
      <c r="J61" s="192">
        <f t="shared" si="103"/>
        <v>411.76900000000001</v>
      </c>
      <c r="K61" s="192">
        <f t="shared" si="103"/>
        <v>388.50599999999997</v>
      </c>
      <c r="L61" s="192">
        <f t="shared" si="97"/>
        <v>2394.2910000000002</v>
      </c>
      <c r="M61" s="192">
        <f t="shared" si="98"/>
        <v>399.04899999999998</v>
      </c>
      <c r="N61" s="192">
        <f t="shared" ref="N61:S61" si="104">N77+N107+N122+N152</f>
        <v>385.97699999999998</v>
      </c>
      <c r="O61" s="192">
        <f t="shared" si="104"/>
        <v>415.38200000000001</v>
      </c>
      <c r="P61" s="192">
        <f t="shared" si="104"/>
        <v>434.47699999999998</v>
      </c>
      <c r="Q61" s="192">
        <f t="shared" si="104"/>
        <v>434.52499999999998</v>
      </c>
      <c r="R61" s="192">
        <f t="shared" si="104"/>
        <v>434.52499999999998</v>
      </c>
      <c r="S61" s="192">
        <f t="shared" si="104"/>
        <v>434.52499999999998</v>
      </c>
      <c r="T61" s="192">
        <f t="shared" si="100"/>
        <v>2539.4110000000001</v>
      </c>
      <c r="U61" s="192">
        <f t="shared" si="101"/>
        <v>4933.7020000000002</v>
      </c>
      <c r="V61" s="192">
        <f t="shared" ref="V61" si="105">V77+V107+V122+V152</f>
        <v>5193.2489999999998</v>
      </c>
      <c r="W61" s="193">
        <f t="shared" ref="W61:W63" si="106">V61-U61</f>
        <v>259.54700000000003</v>
      </c>
    </row>
    <row r="62" spans="1:24" s="209" customFormat="1" ht="18" customHeight="1">
      <c r="A62" s="610"/>
      <c r="B62" s="576"/>
      <c r="C62" s="577"/>
      <c r="D62" s="174" t="s">
        <v>103</v>
      </c>
      <c r="E62" s="192"/>
      <c r="F62" s="192">
        <f t="shared" ref="F62:K62" si="107">F60+F61</f>
        <v>3569.55</v>
      </c>
      <c r="G62" s="192">
        <f t="shared" si="107"/>
        <v>3986.538</v>
      </c>
      <c r="H62" s="192">
        <f t="shared" si="107"/>
        <v>2586.0700000000002</v>
      </c>
      <c r="I62" s="192">
        <f t="shared" si="107"/>
        <v>401.53</v>
      </c>
      <c r="J62" s="192">
        <f t="shared" si="107"/>
        <v>411.76900000000001</v>
      </c>
      <c r="K62" s="192">
        <f t="shared" si="107"/>
        <v>388.50599999999997</v>
      </c>
      <c r="L62" s="192">
        <f t="shared" si="97"/>
        <v>11343.963</v>
      </c>
      <c r="M62" s="192">
        <f t="shared" si="98"/>
        <v>1890.6610000000001</v>
      </c>
      <c r="N62" s="192">
        <f t="shared" ref="N62:S62" si="108">N60+N61</f>
        <v>385.97699999999998</v>
      </c>
      <c r="O62" s="192">
        <f t="shared" si="108"/>
        <v>415.38200000000001</v>
      </c>
      <c r="P62" s="192">
        <f t="shared" si="108"/>
        <v>434.47699999999998</v>
      </c>
      <c r="Q62" s="192">
        <f t="shared" si="108"/>
        <v>434.52499999999998</v>
      </c>
      <c r="R62" s="192">
        <f t="shared" si="108"/>
        <v>2081.9160000000002</v>
      </c>
      <c r="S62" s="192">
        <f t="shared" si="108"/>
        <v>4709.5320000000002</v>
      </c>
      <c r="T62" s="192">
        <f t="shared" si="100"/>
        <v>8461.8089999999993</v>
      </c>
      <c r="U62" s="192">
        <f t="shared" si="101"/>
        <v>19805.772000000001</v>
      </c>
      <c r="V62" s="192">
        <f t="shared" ref="V62" si="109">V60+V61</f>
        <v>18716.609</v>
      </c>
      <c r="W62" s="193">
        <f t="shared" si="106"/>
        <v>-1089.163</v>
      </c>
    </row>
    <row r="63" spans="1:24" s="209" customFormat="1" ht="18" customHeight="1">
      <c r="A63" s="610"/>
      <c r="B63" s="576"/>
      <c r="C63" s="577"/>
      <c r="D63" s="174" t="s">
        <v>55</v>
      </c>
      <c r="E63" s="210"/>
      <c r="F63" s="192">
        <f t="shared" ref="F63:K64" si="110">F78+F93+F108+F123+F138+F153</f>
        <v>0</v>
      </c>
      <c r="G63" s="192">
        <f t="shared" si="110"/>
        <v>0</v>
      </c>
      <c r="H63" s="192">
        <f t="shared" si="110"/>
        <v>169.33600000000001</v>
      </c>
      <c r="I63" s="192">
        <f t="shared" si="110"/>
        <v>24.728000000000002</v>
      </c>
      <c r="J63" s="192">
        <f t="shared" si="110"/>
        <v>47.076999999999998</v>
      </c>
      <c r="K63" s="192">
        <f t="shared" si="110"/>
        <v>0</v>
      </c>
      <c r="L63" s="192">
        <f t="shared" si="97"/>
        <v>241.14099999999999</v>
      </c>
      <c r="M63" s="192">
        <f t="shared" si="98"/>
        <v>40.19</v>
      </c>
      <c r="N63" s="192">
        <f t="shared" ref="N63:S64" si="111">N78+N93+N108+N123+N138+N153</f>
        <v>0</v>
      </c>
      <c r="O63" s="192">
        <f t="shared" si="111"/>
        <v>0</v>
      </c>
      <c r="P63" s="192">
        <f t="shared" si="111"/>
        <v>0</v>
      </c>
      <c r="Q63" s="192">
        <f t="shared" si="111"/>
        <v>0</v>
      </c>
      <c r="R63" s="192">
        <f t="shared" si="111"/>
        <v>0</v>
      </c>
      <c r="S63" s="192">
        <f t="shared" si="111"/>
        <v>0</v>
      </c>
      <c r="T63" s="192">
        <f t="shared" si="100"/>
        <v>0</v>
      </c>
      <c r="U63" s="192">
        <f t="shared" si="101"/>
        <v>241.14099999999999</v>
      </c>
      <c r="V63" s="192">
        <f t="shared" ref="V63:V64" si="112">V78+V93+V108+V123+V138+V153</f>
        <v>241.14099999999999</v>
      </c>
      <c r="W63" s="211">
        <f t="shared" si="106"/>
        <v>0</v>
      </c>
    </row>
    <row r="64" spans="1:24" s="209" customFormat="1" ht="18" customHeight="1">
      <c r="A64" s="610"/>
      <c r="B64" s="576"/>
      <c r="C64" s="577"/>
      <c r="D64" s="174" t="s">
        <v>28</v>
      </c>
      <c r="E64" s="210"/>
      <c r="F64" s="192">
        <f t="shared" si="110"/>
        <v>0</v>
      </c>
      <c r="G64" s="192">
        <f t="shared" si="110"/>
        <v>3670.1</v>
      </c>
      <c r="H64" s="192">
        <f t="shared" si="110"/>
        <v>4339.1189999999997</v>
      </c>
      <c r="I64" s="192">
        <f t="shared" si="110"/>
        <v>2574.2930000000001</v>
      </c>
      <c r="J64" s="192">
        <f t="shared" si="110"/>
        <v>251.28700000000001</v>
      </c>
      <c r="K64" s="192">
        <f t="shared" si="110"/>
        <v>267.06400000000002</v>
      </c>
      <c r="L64" s="192">
        <f t="shared" si="97"/>
        <v>11101.862999999999</v>
      </c>
      <c r="M64" s="192">
        <f t="shared" si="98"/>
        <v>1850.3109999999999</v>
      </c>
      <c r="N64" s="192">
        <f t="shared" si="111"/>
        <v>303.76400000000001</v>
      </c>
      <c r="O64" s="192">
        <f t="shared" si="111"/>
        <v>301.21899999999999</v>
      </c>
      <c r="P64" s="192">
        <f t="shared" si="111"/>
        <v>426.78699999999998</v>
      </c>
      <c r="Q64" s="192">
        <f t="shared" si="111"/>
        <v>445.78699999999998</v>
      </c>
      <c r="R64" s="192">
        <f t="shared" si="111"/>
        <v>426.78699999999998</v>
      </c>
      <c r="S64" s="192">
        <f t="shared" si="111"/>
        <v>5469.2610000000004</v>
      </c>
      <c r="T64" s="192">
        <f t="shared" si="100"/>
        <v>7373.6049999999996</v>
      </c>
      <c r="U64" s="192">
        <f t="shared" si="101"/>
        <v>18475.468000000001</v>
      </c>
      <c r="V64" s="192">
        <f t="shared" si="112"/>
        <v>18475.468000000001</v>
      </c>
      <c r="W64" s="193">
        <f>V64-U64</f>
        <v>0</v>
      </c>
    </row>
    <row r="65" spans="1:24" s="209" customFormat="1" ht="18" customHeight="1">
      <c r="A65" s="610"/>
      <c r="B65" s="576"/>
      <c r="C65" s="577"/>
      <c r="D65" s="178" t="s">
        <v>117</v>
      </c>
      <c r="E65" s="260">
        <f t="shared" ref="E65:K65" si="113">E95+E125+E140</f>
        <v>0</v>
      </c>
      <c r="F65" s="256">
        <f t="shared" si="113"/>
        <v>0</v>
      </c>
      <c r="G65" s="256">
        <f t="shared" si="113"/>
        <v>1248.81</v>
      </c>
      <c r="H65" s="256">
        <f t="shared" si="113"/>
        <v>1515.2</v>
      </c>
      <c r="I65" s="256">
        <f t="shared" si="113"/>
        <v>826.3</v>
      </c>
      <c r="J65" s="256">
        <f t="shared" si="113"/>
        <v>-82.7</v>
      </c>
      <c r="K65" s="256">
        <f t="shared" si="113"/>
        <v>0</v>
      </c>
      <c r="L65" s="207">
        <f t="shared" si="97"/>
        <v>3507.6</v>
      </c>
      <c r="M65" s="207">
        <f t="shared" si="98"/>
        <v>584.6</v>
      </c>
      <c r="N65" s="346">
        <f t="shared" ref="N65:S65" si="114">N95+N125+N140</f>
        <v>-92.9</v>
      </c>
      <c r="O65" s="346">
        <f t="shared" si="114"/>
        <v>0</v>
      </c>
      <c r="P65" s="346">
        <f t="shared" si="114"/>
        <v>0</v>
      </c>
      <c r="Q65" s="346">
        <f t="shared" si="114"/>
        <v>0</v>
      </c>
      <c r="R65" s="346">
        <f t="shared" si="114"/>
        <v>0</v>
      </c>
      <c r="S65" s="256">
        <f t="shared" si="114"/>
        <v>2139.3000000000002</v>
      </c>
      <c r="T65" s="207">
        <f t="shared" si="100"/>
        <v>2046.4</v>
      </c>
      <c r="U65" s="207">
        <f t="shared" si="101"/>
        <v>5554</v>
      </c>
      <c r="V65" s="184">
        <f t="shared" ref="V65" si="115">V95+V125+V140</f>
        <v>5207.8999999999996</v>
      </c>
      <c r="W65" s="184">
        <f>V65-U65</f>
        <v>-346.1</v>
      </c>
      <c r="X65" s="209">
        <f>U58-U65</f>
        <v>0</v>
      </c>
    </row>
    <row r="66" spans="1:24" s="209" customFormat="1" ht="18" customHeight="1">
      <c r="A66" s="610"/>
      <c r="B66" s="576"/>
      <c r="C66" s="577"/>
      <c r="D66" s="187" t="s">
        <v>27</v>
      </c>
      <c r="E66" s="188" t="e">
        <f t="shared" ref="E66:W66" si="116">E67/E65*1000</f>
        <v>#DIV/0!</v>
      </c>
      <c r="F66" s="188" t="e">
        <f t="shared" si="116"/>
        <v>#DIV/0!</v>
      </c>
      <c r="G66" s="188">
        <f t="shared" si="116"/>
        <v>2910.9340000000002</v>
      </c>
      <c r="H66" s="188">
        <f t="shared" si="116"/>
        <v>2923.8679999999999</v>
      </c>
      <c r="I66" s="188">
        <f t="shared" si="116"/>
        <v>3171.1239999999998</v>
      </c>
      <c r="J66" s="188">
        <f t="shared" si="116"/>
        <v>-1760.3630000000001</v>
      </c>
      <c r="K66" s="188" t="e">
        <f t="shared" si="116"/>
        <v>#DIV/0!</v>
      </c>
      <c r="L66" s="188">
        <f t="shared" si="116"/>
        <v>3205.3539999999998</v>
      </c>
      <c r="M66" s="188">
        <f t="shared" si="116"/>
        <v>3205.3539999999998</v>
      </c>
      <c r="N66" s="188">
        <f t="shared" si="116"/>
        <v>-1086.2329999999999</v>
      </c>
      <c r="O66" s="188" t="e">
        <f t="shared" si="116"/>
        <v>#DIV/0!</v>
      </c>
      <c r="P66" s="188" t="e">
        <f t="shared" si="116"/>
        <v>#DIV/0!</v>
      </c>
      <c r="Q66" s="188" t="e">
        <f t="shared" si="116"/>
        <v>#DIV/0!</v>
      </c>
      <c r="R66" s="188" t="e">
        <f t="shared" si="116"/>
        <v>#DIV/0!</v>
      </c>
      <c r="S66" s="188">
        <f t="shared" si="116"/>
        <v>3174.567</v>
      </c>
      <c r="T66" s="188">
        <f t="shared" si="116"/>
        <v>4184.2610000000004</v>
      </c>
      <c r="U66" s="188">
        <f t="shared" si="116"/>
        <v>3566.0369999999998</v>
      </c>
      <c r="V66" s="188">
        <f t="shared" si="116"/>
        <v>3593.8879999999999</v>
      </c>
      <c r="W66" s="189">
        <f t="shared" si="116"/>
        <v>3146.96</v>
      </c>
    </row>
    <row r="67" spans="1:24" s="213" customFormat="1" ht="18" customHeight="1">
      <c r="A67" s="610"/>
      <c r="B67" s="576"/>
      <c r="C67" s="577"/>
      <c r="D67" s="198" t="s">
        <v>25</v>
      </c>
      <c r="E67" s="199">
        <f t="shared" ref="E67:K67" si="117">E82+E97+E112+E127+E142+E157</f>
        <v>0</v>
      </c>
      <c r="F67" s="199">
        <f t="shared" si="117"/>
        <v>0</v>
      </c>
      <c r="G67" s="199">
        <f t="shared" si="117"/>
        <v>3635.2040000000002</v>
      </c>
      <c r="H67" s="199">
        <f t="shared" si="117"/>
        <v>4430.2449999999999</v>
      </c>
      <c r="I67" s="199">
        <f t="shared" si="117"/>
        <v>2620.3000000000002</v>
      </c>
      <c r="J67" s="199">
        <f t="shared" si="117"/>
        <v>145.58199999999999</v>
      </c>
      <c r="K67" s="199">
        <f t="shared" si="117"/>
        <v>411.76900000000001</v>
      </c>
      <c r="L67" s="199">
        <f>SUM(F67:K67)</f>
        <v>11243.1</v>
      </c>
      <c r="M67" s="199">
        <f>L67/6</f>
        <v>1873.85</v>
      </c>
      <c r="N67" s="199">
        <f t="shared" ref="N67:S69" si="118">N82+N97+N112+N127+N142+N157</f>
        <v>100.911</v>
      </c>
      <c r="O67" s="199">
        <f t="shared" si="118"/>
        <v>385.976</v>
      </c>
      <c r="P67" s="199">
        <f t="shared" si="118"/>
        <v>415.38299999999998</v>
      </c>
      <c r="Q67" s="199">
        <f t="shared" si="118"/>
        <v>434.52499999999998</v>
      </c>
      <c r="R67" s="199">
        <f t="shared" si="118"/>
        <v>434.52499999999998</v>
      </c>
      <c r="S67" s="199">
        <f t="shared" si="118"/>
        <v>6791.3519999999999</v>
      </c>
      <c r="T67" s="199">
        <f>SUM(N67:S67)</f>
        <v>8562.6720000000005</v>
      </c>
      <c r="U67" s="199">
        <f>T67+L67</f>
        <v>19805.772000000001</v>
      </c>
      <c r="V67" s="199">
        <f t="shared" ref="V67:V69" si="119">V82+V97+V112+V127+V142+V157</f>
        <v>18716.609</v>
      </c>
      <c r="W67" s="175">
        <f>V67-U67</f>
        <v>-1089.163</v>
      </c>
      <c r="X67" s="213">
        <f>U62-U67</f>
        <v>0</v>
      </c>
    </row>
    <row r="68" spans="1:24" s="213" customFormat="1" ht="18" customHeight="1">
      <c r="A68" s="610"/>
      <c r="B68" s="576"/>
      <c r="C68" s="577"/>
      <c r="D68" s="201" t="s">
        <v>55</v>
      </c>
      <c r="E68" s="212"/>
      <c r="F68" s="199">
        <f t="shared" ref="F68:K69" si="120">F83+F98+F113+F128+F143+F158</f>
        <v>0</v>
      </c>
      <c r="G68" s="199">
        <f t="shared" si="120"/>
        <v>0</v>
      </c>
      <c r="H68" s="199">
        <f t="shared" si="120"/>
        <v>169.33600000000001</v>
      </c>
      <c r="I68" s="199">
        <f t="shared" si="120"/>
        <v>0</v>
      </c>
      <c r="J68" s="199">
        <f t="shared" si="120"/>
        <v>24.728000000000002</v>
      </c>
      <c r="K68" s="199">
        <f t="shared" si="120"/>
        <v>47.076999999999998</v>
      </c>
      <c r="L68" s="199">
        <f>SUM(F68:K68)</f>
        <v>241.14099999999999</v>
      </c>
      <c r="M68" s="199">
        <f>L68/6</f>
        <v>40.19</v>
      </c>
      <c r="N68" s="199">
        <f t="shared" si="118"/>
        <v>0</v>
      </c>
      <c r="O68" s="199">
        <f t="shared" si="118"/>
        <v>0</v>
      </c>
      <c r="P68" s="199">
        <f t="shared" si="118"/>
        <v>0</v>
      </c>
      <c r="Q68" s="199">
        <f t="shared" si="118"/>
        <v>0</v>
      </c>
      <c r="R68" s="199">
        <f t="shared" si="118"/>
        <v>0</v>
      </c>
      <c r="S68" s="199">
        <f t="shared" si="118"/>
        <v>0</v>
      </c>
      <c r="T68" s="199">
        <f>SUM(N68:S68)</f>
        <v>0</v>
      </c>
      <c r="U68" s="199">
        <f>T68+L68</f>
        <v>241.14099999999999</v>
      </c>
      <c r="V68" s="199">
        <f t="shared" si="119"/>
        <v>241.14099999999999</v>
      </c>
      <c r="W68" s="175">
        <f>V68-U68</f>
        <v>0</v>
      </c>
      <c r="X68" s="213">
        <f>U63-U68</f>
        <v>0</v>
      </c>
    </row>
    <row r="69" spans="1:24" s="213" customFormat="1" ht="18" customHeight="1">
      <c r="A69" s="610"/>
      <c r="B69" s="576"/>
      <c r="C69" s="577"/>
      <c r="D69" s="201" t="s">
        <v>24</v>
      </c>
      <c r="E69" s="212"/>
      <c r="F69" s="199">
        <f t="shared" si="120"/>
        <v>0</v>
      </c>
      <c r="G69" s="199">
        <f t="shared" si="120"/>
        <v>3635.2040000000002</v>
      </c>
      <c r="H69" s="199">
        <f t="shared" si="120"/>
        <v>4260.9089999999997</v>
      </c>
      <c r="I69" s="199">
        <f t="shared" si="120"/>
        <v>2620.3000000000002</v>
      </c>
      <c r="J69" s="199">
        <f t="shared" si="120"/>
        <v>120.854</v>
      </c>
      <c r="K69" s="199">
        <f t="shared" si="120"/>
        <v>364.69200000000001</v>
      </c>
      <c r="L69" s="199">
        <f>SUM(F69:K69)</f>
        <v>11001.959000000001</v>
      </c>
      <c r="M69" s="199">
        <f>L69/6</f>
        <v>1833.66</v>
      </c>
      <c r="N69" s="199">
        <f t="shared" si="118"/>
        <v>100.911</v>
      </c>
      <c r="O69" s="199">
        <f t="shared" si="118"/>
        <v>385.976</v>
      </c>
      <c r="P69" s="199">
        <f t="shared" si="118"/>
        <v>415.38299999999998</v>
      </c>
      <c r="Q69" s="199">
        <f t="shared" si="118"/>
        <v>434.52499999999998</v>
      </c>
      <c r="R69" s="199">
        <f t="shared" si="118"/>
        <v>434.52499999999998</v>
      </c>
      <c r="S69" s="199">
        <f t="shared" si="118"/>
        <v>6791.3519999999999</v>
      </c>
      <c r="T69" s="199">
        <f>SUM(N69:S69)</f>
        <v>8562.6720000000005</v>
      </c>
      <c r="U69" s="199">
        <f>T69+L69</f>
        <v>19564.631000000001</v>
      </c>
      <c r="V69" s="199">
        <f t="shared" si="119"/>
        <v>18475.468000000001</v>
      </c>
      <c r="W69" s="175">
        <f>V69-U69</f>
        <v>-1089.163</v>
      </c>
      <c r="X69" s="213">
        <f>U64-U69</f>
        <v>-1089.163</v>
      </c>
    </row>
    <row r="70" spans="1:24" s="214" customFormat="1" ht="18" customHeight="1">
      <c r="A70" s="610"/>
      <c r="B70" s="576"/>
      <c r="C70" s="577"/>
      <c r="D70" s="202" t="s">
        <v>29</v>
      </c>
      <c r="E70" s="203"/>
      <c r="F70" s="203">
        <f t="shared" ref="F70:K70" si="121">F64+F63</f>
        <v>0</v>
      </c>
      <c r="G70" s="203">
        <f t="shared" si="121"/>
        <v>3670.1</v>
      </c>
      <c r="H70" s="203">
        <f t="shared" si="121"/>
        <v>4508.4549999999999</v>
      </c>
      <c r="I70" s="203">
        <f t="shared" si="121"/>
        <v>2599.0210000000002</v>
      </c>
      <c r="J70" s="203">
        <f t="shared" si="121"/>
        <v>298.36399999999998</v>
      </c>
      <c r="K70" s="203">
        <f t="shared" si="121"/>
        <v>267.06400000000002</v>
      </c>
      <c r="L70" s="203">
        <f>SUM(F70:K70)</f>
        <v>11343.004000000001</v>
      </c>
      <c r="M70" s="203">
        <f>L70/6</f>
        <v>1890.501</v>
      </c>
      <c r="N70" s="203">
        <f t="shared" ref="N70:S70" si="122">N64+N63</f>
        <v>303.76400000000001</v>
      </c>
      <c r="O70" s="203">
        <f t="shared" si="122"/>
        <v>301.21899999999999</v>
      </c>
      <c r="P70" s="203">
        <f t="shared" si="122"/>
        <v>426.78699999999998</v>
      </c>
      <c r="Q70" s="203">
        <f t="shared" si="122"/>
        <v>445.78699999999998</v>
      </c>
      <c r="R70" s="203">
        <f t="shared" si="122"/>
        <v>426.78699999999998</v>
      </c>
      <c r="S70" s="203">
        <f t="shared" si="122"/>
        <v>5469.2610000000004</v>
      </c>
      <c r="T70" s="203">
        <f>SUM(N70:S70)</f>
        <v>7373.6049999999996</v>
      </c>
      <c r="U70" s="203">
        <f>T70+L70</f>
        <v>18716.609</v>
      </c>
      <c r="V70" s="203">
        <f>V64+V63</f>
        <v>18716.609</v>
      </c>
      <c r="W70" s="204">
        <f>V70-U70</f>
        <v>0</v>
      </c>
    </row>
    <row r="71" spans="1:24" s="214" customFormat="1" ht="18" customHeight="1">
      <c r="A71" s="610"/>
      <c r="B71" s="576"/>
      <c r="C71" s="577"/>
      <c r="D71" s="202" t="s">
        <v>30</v>
      </c>
      <c r="E71" s="203"/>
      <c r="F71" s="203">
        <f t="shared" ref="F71:K71" si="123">F67-F70</f>
        <v>0</v>
      </c>
      <c r="G71" s="203">
        <f t="shared" si="123"/>
        <v>-34.896000000000001</v>
      </c>
      <c r="H71" s="203">
        <f t="shared" si="123"/>
        <v>-78.209999999999994</v>
      </c>
      <c r="I71" s="203">
        <f t="shared" si="123"/>
        <v>21.279</v>
      </c>
      <c r="J71" s="203">
        <f t="shared" si="123"/>
        <v>-152.78200000000001</v>
      </c>
      <c r="K71" s="203">
        <f t="shared" si="123"/>
        <v>144.70500000000001</v>
      </c>
      <c r="L71" s="203"/>
      <c r="M71" s="203"/>
      <c r="N71" s="203">
        <f t="shared" ref="N71:S71" si="124">N67-N70</f>
        <v>-202.85300000000001</v>
      </c>
      <c r="O71" s="203">
        <f t="shared" si="124"/>
        <v>84.757000000000005</v>
      </c>
      <c r="P71" s="203">
        <f t="shared" si="124"/>
        <v>-11.404</v>
      </c>
      <c r="Q71" s="203">
        <f t="shared" si="124"/>
        <v>-11.262</v>
      </c>
      <c r="R71" s="203">
        <f t="shared" si="124"/>
        <v>7.7380000000000004</v>
      </c>
      <c r="S71" s="203">
        <f t="shared" si="124"/>
        <v>1322.0909999999999</v>
      </c>
      <c r="T71" s="203"/>
      <c r="U71" s="203"/>
      <c r="V71" s="203"/>
      <c r="W71" s="203"/>
    </row>
    <row r="72" spans="1:24" s="214" customFormat="1" ht="18" customHeight="1">
      <c r="A72" s="610"/>
      <c r="B72" s="578"/>
      <c r="C72" s="579"/>
      <c r="D72" s="202" t="s">
        <v>31</v>
      </c>
      <c r="E72" s="203"/>
      <c r="F72" s="203">
        <f>F71</f>
        <v>0</v>
      </c>
      <c r="G72" s="203">
        <f>G71+F72</f>
        <v>-34.896000000000001</v>
      </c>
      <c r="H72" s="203">
        <f>H71+G72</f>
        <v>-113.10599999999999</v>
      </c>
      <c r="I72" s="203">
        <f>I71+H72</f>
        <v>-91.826999999999998</v>
      </c>
      <c r="J72" s="203">
        <f>J71+I72</f>
        <v>-244.60900000000001</v>
      </c>
      <c r="K72" s="203">
        <f>K71+J72</f>
        <v>-99.903999999999996</v>
      </c>
      <c r="L72" s="203"/>
      <c r="M72" s="203"/>
      <c r="N72" s="203">
        <f>N71+K72</f>
        <v>-302.75700000000001</v>
      </c>
      <c r="O72" s="203">
        <f>O71+N72</f>
        <v>-218</v>
      </c>
      <c r="P72" s="203">
        <f>P71+O72</f>
        <v>-229.404</v>
      </c>
      <c r="Q72" s="203">
        <f>Q71+P72</f>
        <v>-240.666</v>
      </c>
      <c r="R72" s="203">
        <f>R71+Q72</f>
        <v>-232.928</v>
      </c>
      <c r="S72" s="203">
        <f>S71+R72</f>
        <v>1089.163</v>
      </c>
      <c r="T72" s="203"/>
      <c r="U72" s="203"/>
      <c r="V72" s="203"/>
      <c r="W72" s="203"/>
    </row>
    <row r="73" spans="1:24" s="214" customFormat="1" ht="18" customHeight="1">
      <c r="A73" s="610"/>
      <c r="B73" s="582" t="s">
        <v>54</v>
      </c>
      <c r="C73" s="582" t="s">
        <v>98</v>
      </c>
      <c r="D73" s="178" t="s">
        <v>105</v>
      </c>
      <c r="E73" s="179"/>
      <c r="F73" s="396">
        <f>№2!F73+№5!F73+'№ 6'!F73+№14!F73+'№ 20'!F73+'№ 23'!F73+№27!F73+'№ 31'!F73+'№ 41'!F73</f>
        <v>4.9197579999999999</v>
      </c>
      <c r="G73" s="396">
        <f>№2!G73+№5!G73+'№ 6'!G73+№14!G73+'№ 20'!G73+'№ 23'!G73+№27!G73+'№ 31'!G73+'№ 41'!G73</f>
        <v>3.7255579999999999</v>
      </c>
      <c r="H73" s="396">
        <f>№2!H73+№5!H73+'№ 6'!H73+№14!H73+'№ 20'!H73+'№ 23'!H73+№27!H73+'№ 31'!H73+'№ 41'!H73</f>
        <v>4.0086579999999996</v>
      </c>
      <c r="I73" s="396">
        <f>№2!I73+№5!I73+'№ 6'!I73+№14!I73+'№ 20'!I73+'№ 23'!I73+№27!I73+'№ 31'!I73+'№ 41'!I73</f>
        <v>4.1218579999999996</v>
      </c>
      <c r="J73" s="396">
        <f>№2!J73+№5!J73+'№ 6'!J73+№14!J73+'№ 20'!J73+'№ 23'!J73+№27!J73+'№ 31'!J73+'№ 41'!J73</f>
        <v>4.0001579999999999</v>
      </c>
      <c r="K73" s="396">
        <f>№2!K73+№5!K73+'№ 6'!K73+№14!K73+'№ 20'!K73+'№ 23'!K73+№27!K73+'№ 31'!K73+'№ 41'!K73</f>
        <v>4.1218579999999996</v>
      </c>
      <c r="L73" s="340">
        <f>SUM(F73:K73)</f>
        <v>24.897848</v>
      </c>
      <c r="M73" s="340">
        <f>L73/6</f>
        <v>4.1496409999999999</v>
      </c>
      <c r="N73" s="531">
        <f>№2!N73+№5!N73+'№ 6'!N73+№14!N73+'№ 20'!N73+'№ 23'!N73+№27!N73+'№ 31'!N73+'№ 41'!N73</f>
        <v>4.1203510000000003</v>
      </c>
      <c r="O73" s="531">
        <f>№2!O73+№5!O73+'№ 6'!O73+№14!O73+'№ 20'!O73+'№ 23'!O73+№27!O73+'№ 31'!O73+'№ 41'!O73</f>
        <v>4.2017509999999998</v>
      </c>
      <c r="P73" s="531">
        <f>№2!P73+№5!P73+'№ 6'!P73+№14!P73+'№ 20'!P73+'№ 23'!P73+№27!P73+'№ 31'!P73+'№ 41'!P73</f>
        <v>3.4258510000000002</v>
      </c>
      <c r="Q73" s="531">
        <f>№2!Q73+№5!Q73+'№ 6'!Q73+№14!Q73+'№ 20'!Q73+'№ 23'!Q73+№27!Q73+'№ 31'!Q73+'№ 41'!Q73</f>
        <v>4.1202509999999997</v>
      </c>
      <c r="R73" s="531">
        <f>№2!R73+№5!R73+'№ 6'!R73+№14!R73+'№ 20'!R73+'№ 23'!R73+№27!R73+'№ 31'!R73+'№ 41'!R73</f>
        <v>4.1190009999999999</v>
      </c>
      <c r="S73" s="531">
        <f>№2!S73+№5!S73+'№ 6'!S73+№14!S73+'№ 20'!S73+'№ 23'!S73+№27!S73+'№ 31'!S73+'№ 41'!S73</f>
        <v>4.1161009999999996</v>
      </c>
      <c r="T73" s="215">
        <f>SUM(N73:S73)</f>
        <v>24.1</v>
      </c>
      <c r="U73" s="215">
        <f>T73+L73</f>
        <v>49</v>
      </c>
      <c r="V73" s="179">
        <f>№2!V73+№5!V73+'№ 6'!V73+№14!V73+'№ 20'!V73+'№ 23'!V73+№27!V73+'№ 31'!V73+'№ 41'!V73</f>
        <v>33.1</v>
      </c>
      <c r="W73" s="184"/>
    </row>
    <row r="74" spans="1:24" s="214" customFormat="1" ht="18" customHeight="1">
      <c r="A74" s="610"/>
      <c r="B74" s="583"/>
      <c r="C74" s="583"/>
      <c r="D74" s="178" t="s">
        <v>109</v>
      </c>
      <c r="E74" s="179"/>
      <c r="F74" s="396">
        <f>№2!F74+№5!F74+'№ 6'!F74+№14!F74+'№ 20'!F74+'№ 23'!F74+№27!F74+'№ 31'!F74+'№ 41'!F74</f>
        <v>3.309564</v>
      </c>
      <c r="G74" s="396">
        <f>№2!G74+№5!G74+'№ 6'!G74+№14!G74+'№ 20'!G74+'№ 23'!G74+№27!G74+'№ 31'!G74+'№ 41'!G74</f>
        <v>3.3418510000000001</v>
      </c>
      <c r="H74" s="396">
        <f>№2!H74+№5!H74+'№ 6'!H74+№14!H74+'№ 20'!H74+'№ 23'!H74+№27!H74+'№ 31'!H74+'№ 41'!H74</f>
        <v>3.3418610000000002</v>
      </c>
      <c r="I74" s="396">
        <f>№2!I74+№5!I74+'№ 6'!I74+№14!I74+'№ 20'!I74+'№ 23'!I74+№27!I74+'№ 31'!I74+'№ 41'!I74</f>
        <v>3.1631130000000001</v>
      </c>
      <c r="J74" s="396">
        <f>№2!J74+№5!J74+'№ 6'!J74+№14!J74+'№ 20'!J74+'№ 23'!J74+№27!J74+'№ 31'!J74+'№ 41'!J74</f>
        <v>3.2723589999999998</v>
      </c>
      <c r="K74" s="396">
        <f>№2!K74+№5!K74+'№ 6'!K74+№14!K74+'№ 20'!K74+'№ 23'!K74+№27!K74+'№ 31'!K74+'№ 41'!K74</f>
        <v>3.2022620000000002</v>
      </c>
      <c r="L74" s="340">
        <f>SUM(F74:K74)</f>
        <v>19.63101</v>
      </c>
      <c r="M74" s="340">
        <f>L74/6</f>
        <v>3.2718349999999998</v>
      </c>
      <c r="N74" s="531">
        <f>№2!N74+№5!N74+'№ 6'!N74+№14!N74+'№ 20'!N74+'№ 23'!N74+№27!N74+'№ 31'!N74+'№ 41'!N74</f>
        <v>3.4405570000000001</v>
      </c>
      <c r="O74" s="531">
        <f>№2!O74+№5!O74+'№ 6'!O74+№14!O74+'№ 20'!O74+'№ 23'!O74+№27!O74+'№ 31'!O74+'№ 41'!O74</f>
        <v>3.4351379999999998</v>
      </c>
      <c r="P74" s="531">
        <f>№2!P74+№5!P74+'№ 6'!P74+№14!P74+'№ 20'!P74+'№ 23'!P74+№27!P74+'№ 31'!P74+'№ 41'!P74</f>
        <v>3.8206660000000001</v>
      </c>
      <c r="Q74" s="531">
        <f>№2!Q74+№5!Q74+'№ 6'!Q74+№14!Q74+'№ 20'!Q74+'№ 23'!Q74+№27!Q74+'№ 31'!Q74+'№ 41'!Q74</f>
        <v>3.844878</v>
      </c>
      <c r="R74" s="531">
        <f>№2!R74+№5!R74+'№ 6'!R74+№14!R74+'№ 20'!R74+'№ 23'!R74+№27!R74+'№ 31'!R74+'№ 41'!R74</f>
        <v>3.8573780000000002</v>
      </c>
      <c r="S74" s="531">
        <f>№2!S74+№5!S74+'№ 6'!S74+№14!S74+'№ 20'!S74+'№ 23'!S74+№27!S74+'№ 31'!S74+'№ 41'!S74</f>
        <v>3.8573780000000002</v>
      </c>
      <c r="T74" s="215">
        <f>SUM(N74:S74)</f>
        <v>22.3</v>
      </c>
      <c r="U74" s="215">
        <f>T74+L74</f>
        <v>41.9</v>
      </c>
      <c r="V74" s="179">
        <f>№2!V74+№5!V74+'№ 6'!V74+№14!V74+'№ 20'!V74+'№ 23'!V74+№27!V74+'№ 31'!V74+'№ 41'!V74</f>
        <v>33.6</v>
      </c>
      <c r="W74" s="184"/>
    </row>
    <row r="75" spans="1:24" s="214" customFormat="1" ht="18" customHeight="1">
      <c r="A75" s="610"/>
      <c r="B75" s="583"/>
      <c r="C75" s="583"/>
      <c r="D75" s="178" t="s">
        <v>116</v>
      </c>
      <c r="E75" s="179"/>
      <c r="F75" s="396">
        <f>№2!F75+№5!F75+'№ 6'!F75+№14!F75+'№ 20'!F75+'№ 23'!F75+№27!F75+'№ 31'!F75+'№ 41'!F75</f>
        <v>3.9707379999999999</v>
      </c>
      <c r="G75" s="396">
        <f>№2!G75+№5!G75+'№ 6'!G75+№14!G75+'№ 20'!G75+'№ 23'!G75+№27!G75+'№ 31'!G75+'№ 41'!G75</f>
        <v>3.5235639999999999</v>
      </c>
      <c r="H75" s="396">
        <f>№2!H75+№5!H75+'№ 6'!H75+№14!H75+'№ 20'!H75+'№ 23'!H75+№27!H75+'№ 31'!H75+'№ 41'!H75</f>
        <v>3.9341819999999998</v>
      </c>
      <c r="I75" s="396">
        <f>№2!I75+№5!I75+'№ 6'!I75+№14!I75+'№ 20'!I75+'№ 23'!I75+№27!I75+'№ 31'!I75+'№ 41'!I75</f>
        <v>3.8431289999999998</v>
      </c>
      <c r="J75" s="396">
        <f>№2!J75+№5!J75+'№ 6'!J75+№14!J75+'№ 20'!J75+'№ 23'!J75+№27!J75+'№ 31'!J75+'№ 41'!J75</f>
        <v>3.9411399999999999</v>
      </c>
      <c r="K75" s="396">
        <f>№2!K75+№5!K75+'№ 6'!K75+№14!K75+'№ 20'!K75+'№ 23'!K75+№27!K75+'№ 31'!K75+'№ 41'!K75</f>
        <v>3.718909</v>
      </c>
      <c r="L75" s="340">
        <f>SUM(F75:K75)</f>
        <v>22.931661999999999</v>
      </c>
      <c r="M75" s="340">
        <f>L75/6</f>
        <v>3.8219439999999998</v>
      </c>
      <c r="N75" s="399">
        <f>№2!N75+№5!N75+'№ 6'!N75+№14!N75+'№ 20'!N75+'№ 23'!N75+№27!N75+'№ 31'!N75+'№ 41'!N75</f>
        <v>3.7485499999999998</v>
      </c>
      <c r="O75" s="399">
        <f>№2!O75+№5!O75+'№ 6'!O75+№14!O75+'№ 20'!O75+'№ 23'!O75+№27!O75+'№ 31'!O75+'№ 41'!O75</f>
        <v>3.9757500000000001</v>
      </c>
      <c r="P75" s="399">
        <f>№2!P75+№5!P75+'№ 6'!P75+№14!P75+'№ 20'!P75+'№ 23'!P75+№27!P75+'№ 31'!P75+'№ 41'!P75</f>
        <v>4.1585299999999998</v>
      </c>
      <c r="Q75" s="399">
        <f>№2!Q75+№5!Q75+'№ 6'!Q75+№14!Q75+'№ 20'!Q75+'№ 23'!Q75+№27!Q75+'№ 31'!Q75+'№ 41'!Q75</f>
        <v>4.1585299999999998</v>
      </c>
      <c r="R75" s="399">
        <f>№2!R75+№5!R75+'№ 6'!R75+№14!R75+'№ 20'!R75+'№ 23'!R75+№27!R75+'№ 31'!R75+'№ 41'!R75</f>
        <v>4.1585299999999998</v>
      </c>
      <c r="S75" s="399">
        <f>№2!S75+№5!S75+'№ 6'!S75+№14!S75+'№ 20'!S75+'№ 23'!S75+№27!S75+'№ 31'!S75+'№ 41'!S75</f>
        <v>4.1585299999999998</v>
      </c>
      <c r="T75" s="333">
        <f>SUM(N75:S75)</f>
        <v>24.358419999999999</v>
      </c>
      <c r="U75" s="333">
        <f>T75+L75</f>
        <v>47.290080000000003</v>
      </c>
      <c r="V75" s="541">
        <f>№2!V75+№5!V75+'№ 6'!V75+№14!V75+'№ 20'!V75+'№ 23'!V75+№27!V75+'№ 31'!V75+'№ 41'!V75</f>
        <v>49.19914</v>
      </c>
      <c r="W75" s="412">
        <f>U75-V75</f>
        <v>-1.909</v>
      </c>
    </row>
    <row r="76" spans="1:24" s="214" customFormat="1" ht="18" customHeight="1">
      <c r="A76" s="610"/>
      <c r="B76" s="583"/>
      <c r="C76" s="583"/>
      <c r="D76" s="187" t="s">
        <v>27</v>
      </c>
      <c r="E76" s="188"/>
      <c r="F76" s="188">
        <f t="shared" ref="F76:W76" si="125">F77/F75*1000</f>
        <v>104066.80100000001</v>
      </c>
      <c r="G76" s="188">
        <f t="shared" si="125"/>
        <v>104462.13</v>
      </c>
      <c r="H76" s="188">
        <f t="shared" si="125"/>
        <v>104461.105</v>
      </c>
      <c r="I76" s="188">
        <f t="shared" si="125"/>
        <v>104461.235</v>
      </c>
      <c r="J76" s="188">
        <f t="shared" si="125"/>
        <v>104461.399</v>
      </c>
      <c r="K76" s="188">
        <f t="shared" si="125"/>
        <v>104448.375</v>
      </c>
      <c r="L76" s="217">
        <f t="shared" si="125"/>
        <v>104390.99</v>
      </c>
      <c r="M76" s="217">
        <f t="shared" si="125"/>
        <v>104391.12</v>
      </c>
      <c r="N76" s="188">
        <f t="shared" si="125"/>
        <v>102947.806</v>
      </c>
      <c r="O76" s="188">
        <f t="shared" si="125"/>
        <v>104460.79399999999</v>
      </c>
      <c r="P76" s="188">
        <f t="shared" si="125"/>
        <v>104461.192</v>
      </c>
      <c r="Q76" s="188">
        <f t="shared" si="125"/>
        <v>104461.192</v>
      </c>
      <c r="R76" s="188">
        <f t="shared" si="125"/>
        <v>104461.192</v>
      </c>
      <c r="S76" s="188">
        <f t="shared" si="125"/>
        <v>104461.192</v>
      </c>
      <c r="T76" s="217">
        <f t="shared" si="125"/>
        <v>104228.23</v>
      </c>
      <c r="U76" s="217">
        <f t="shared" si="125"/>
        <v>104307.16</v>
      </c>
      <c r="V76" s="218">
        <f t="shared" si="125"/>
        <v>105526.41800000001</v>
      </c>
      <c r="W76" s="219">
        <f t="shared" si="125"/>
        <v>-135733.36799999999</v>
      </c>
    </row>
    <row r="77" spans="1:24" s="214" customFormat="1" ht="18" customHeight="1">
      <c r="A77" s="610"/>
      <c r="B77" s="583"/>
      <c r="C77" s="583"/>
      <c r="D77" s="191" t="s">
        <v>0</v>
      </c>
      <c r="E77" s="192"/>
      <c r="F77" s="192">
        <f>№2!F77+№5!F77+'№ 6'!F77+№14!F77+'№ 20'!F77+'№ 23'!F77+№27!F77+'№ 31'!F77+'№ 41'!F77</f>
        <v>413.22199999999998</v>
      </c>
      <c r="G77" s="192">
        <f>№2!G77+№5!G77+'№ 6'!G77+№14!G77+'№ 20'!G77+'№ 23'!G77+№27!G77+'№ 31'!G77+'№ 41'!G77</f>
        <v>368.07900000000001</v>
      </c>
      <c r="H77" s="192">
        <f>№2!H77+№5!H77+'№ 6'!H77+№14!H77+'№ 20'!H77+'№ 23'!H77+№27!H77+'№ 31'!H77+'№ 41'!H77</f>
        <v>410.96899999999999</v>
      </c>
      <c r="I77" s="192">
        <f>№2!I77+№5!I77+'№ 6'!I77+№14!I77+'№ 20'!I77+'№ 23'!I77+№27!I77+'№ 31'!I77+'№ 41'!I77</f>
        <v>401.45800000000003</v>
      </c>
      <c r="J77" s="192">
        <f>№2!J77+№5!J77+'№ 6'!J77+№14!J77+'№ 20'!J77+'№ 23'!J77+№27!J77+'№ 31'!J77+'№ 41'!J77</f>
        <v>411.697</v>
      </c>
      <c r="K77" s="192">
        <f>№2!K77+№5!K77+'№ 6'!K77+№14!K77+'№ 20'!K77+'№ 23'!K77+№27!K77+'№ 31'!K77+'№ 41'!K77</f>
        <v>388.43400000000003</v>
      </c>
      <c r="L77" s="194">
        <f>SUM(F77:K77)</f>
        <v>2393.8589999999999</v>
      </c>
      <c r="M77" s="194">
        <f>L77/6</f>
        <v>398.97699999999998</v>
      </c>
      <c r="N77" s="192">
        <f>№2!N77+№5!N77+'№ 6'!N77+№14!N77+'№ 20'!N77+'№ 23'!N77+№27!N77+'№ 31'!N77+'№ 41'!N77</f>
        <v>385.90499999999997</v>
      </c>
      <c r="O77" s="192">
        <f>№2!O77+№5!O77+'№ 6'!O77+№14!O77+'№ 20'!O77+'№ 23'!O77+№27!O77+'№ 31'!O77+'№ 41'!O77</f>
        <v>415.31</v>
      </c>
      <c r="P77" s="192">
        <f>№2!P77+№5!P77+'№ 6'!P77+№14!P77+'№ 20'!P77+'№ 23'!P77+№27!P77+'№ 31'!P77+'№ 41'!P77</f>
        <v>434.40499999999997</v>
      </c>
      <c r="Q77" s="192">
        <f>№2!Q77+№5!Q77+'№ 6'!Q77+№14!Q77+'№ 20'!Q77+'№ 23'!Q77+№27!Q77+'№ 31'!Q77+'№ 41'!Q77</f>
        <v>434.40499999999997</v>
      </c>
      <c r="R77" s="192">
        <f>№2!R77+№5!R77+'№ 6'!R77+№14!R77+'№ 20'!R77+'№ 23'!R77+№27!R77+'№ 31'!R77+'№ 41'!R77</f>
        <v>434.40499999999997</v>
      </c>
      <c r="S77" s="192">
        <f>№2!S77+№5!S77+'№ 6'!S77+№14!S77+'№ 20'!S77+'№ 23'!S77+№27!S77+'№ 31'!S77+'№ 41'!S77</f>
        <v>434.40499999999997</v>
      </c>
      <c r="T77" s="194">
        <f>SUM(N77:S77)</f>
        <v>2538.835</v>
      </c>
      <c r="U77" s="194">
        <f>T77+L77</f>
        <v>4932.6940000000004</v>
      </c>
      <c r="V77" s="171">
        <f>№2!V77+№5!V77+'№ 6'!V77+№14!V77+'№ 20'!V77+'№ 23'!V77+№27!V77+'№ 31'!V77+'№ 41'!V77</f>
        <v>5191.8090000000002</v>
      </c>
      <c r="W77" s="192">
        <f>V77-U77</f>
        <v>259.11500000000001</v>
      </c>
    </row>
    <row r="78" spans="1:24" s="214" customFormat="1" ht="18" customHeight="1">
      <c r="A78" s="610"/>
      <c r="B78" s="583"/>
      <c r="C78" s="583"/>
      <c r="D78" s="174" t="s">
        <v>55</v>
      </c>
      <c r="E78" s="210"/>
      <c r="F78" s="192">
        <f>№2!F78+№5!F78+'№ 6'!F78+№14!F78+'№ 20'!F78+'№ 23'!F78+№27!F78+'№ 31'!F78+'№ 41'!F78</f>
        <v>0</v>
      </c>
      <c r="G78" s="192">
        <f>№2!G78+№5!G78+'№ 6'!G78+№14!G78+'№ 20'!G78+'№ 23'!G78+№27!G78+'№ 31'!G78+'№ 41'!G78</f>
        <v>0</v>
      </c>
      <c r="H78" s="192">
        <f>№2!H78+№5!H78+'№ 6'!H78+№14!H78+'№ 20'!H78+'№ 23'!H78+№27!H78+'№ 31'!H78+'№ 41'!H78</f>
        <v>0</v>
      </c>
      <c r="I78" s="192">
        <f>№2!I78+№5!I78+'№ 6'!I78+№14!I78+'№ 20'!I78+'№ 23'!I78+№27!I78+'№ 31'!I78+'№ 41'!I78</f>
        <v>24.728000000000002</v>
      </c>
      <c r="J78" s="192">
        <f>№2!J78+№5!J78+'№ 6'!J78+№14!J78+'№ 20'!J78+'№ 23'!J78+№27!J78+'№ 31'!J78+'№ 41'!J78</f>
        <v>47.076999999999998</v>
      </c>
      <c r="K78" s="192">
        <f>№2!K78+№5!K78+'№ 6'!K78+№14!K78+'№ 20'!K78+'№ 23'!K78+№27!K78+'№ 31'!K78+'№ 41'!K78</f>
        <v>0</v>
      </c>
      <c r="L78" s="194">
        <f>SUM(F78:K78)</f>
        <v>71.805000000000007</v>
      </c>
      <c r="M78" s="194">
        <f>L78/6</f>
        <v>11.968</v>
      </c>
      <c r="N78" s="192">
        <f>№2!N78+№5!N78+'№ 6'!N78+№14!N78+'№ 20'!N78+'№ 23'!N78+№27!N78+'№ 31'!N78+'№ 41'!N78</f>
        <v>0</v>
      </c>
      <c r="O78" s="192">
        <f>№2!O78+№5!O78+'№ 6'!O78+№14!O78+'№ 20'!O78+'№ 23'!O78+№27!O78+'№ 31'!O78+'№ 41'!O78</f>
        <v>0</v>
      </c>
      <c r="P78" s="192">
        <f>№2!P78+№5!P78+'№ 6'!P78+№14!P78+'№ 20'!P78+'№ 23'!P78+№27!P78+'№ 31'!P78+'№ 41'!P78</f>
        <v>0</v>
      </c>
      <c r="Q78" s="192">
        <f>№2!Q78+№5!Q78+'№ 6'!Q78+№14!Q78+'№ 20'!Q78+'№ 23'!Q78+№27!Q78+'№ 31'!Q78+'№ 41'!Q78</f>
        <v>0</v>
      </c>
      <c r="R78" s="192">
        <f>№2!R78+№5!R78+'№ 6'!R78+№14!R78+'№ 20'!R78+'№ 23'!R78+№27!R78+'№ 31'!R78+'№ 41'!R78</f>
        <v>0</v>
      </c>
      <c r="S78" s="192">
        <f>№2!S78+№5!S78+'№ 6'!S78+№14!S78+'№ 20'!S78+'№ 23'!S78+№27!S78+'№ 31'!S78+'№ 41'!S78</f>
        <v>0</v>
      </c>
      <c r="T78" s="194">
        <f>SUM(N78:S78)</f>
        <v>0</v>
      </c>
      <c r="U78" s="194">
        <f>T78+L78</f>
        <v>71.805000000000007</v>
      </c>
      <c r="V78" s="171">
        <f>№2!V78+№5!V78+'№ 6'!V78+№14!V78+'№ 20'!V78+'№ 23'!V78+№27!V78+'№ 31'!V78+'№ 41'!V78</f>
        <v>71.805000000000007</v>
      </c>
      <c r="W78" s="192">
        <f>V78-U78</f>
        <v>0</v>
      </c>
    </row>
    <row r="79" spans="1:24" s="214" customFormat="1" ht="18" customHeight="1">
      <c r="A79" s="610"/>
      <c r="B79" s="583"/>
      <c r="C79" s="583"/>
      <c r="D79" s="174" t="s">
        <v>28</v>
      </c>
      <c r="E79" s="210"/>
      <c r="F79" s="192">
        <f>№2!F79+№5!F79+'№ 6'!F79+№14!F79+'№ 20'!F79+'№ 23'!F79+№27!F79+'№ 31'!F79+'№ 41'!F79</f>
        <v>0</v>
      </c>
      <c r="G79" s="192">
        <f>№2!G79+№5!G79+'№ 6'!G79+№14!G79+'№ 20'!G79+'№ 23'!G79+№27!G79+'№ 31'!G79+'№ 41'!G79</f>
        <v>427.28199999999998</v>
      </c>
      <c r="H79" s="192">
        <f>№2!H79+№5!H79+'№ 6'!H79+№14!H79+'№ 20'!H79+'№ 23'!H79+№27!H79+'№ 31'!H79+'№ 41'!H79</f>
        <v>428.03300000000002</v>
      </c>
      <c r="I79" s="192">
        <f>№2!I79+№5!I79+'№ 6'!I79+№14!I79+'№ 20'!I79+'№ 23'!I79+№27!I79+'№ 31'!I79+'№ 41'!I79</f>
        <v>403.66699999999997</v>
      </c>
      <c r="J79" s="192">
        <f>№2!J79+№5!J79+'№ 6'!J79+№14!J79+'№ 20'!J79+'№ 23'!J79+№27!J79+'№ 31'!J79+'№ 41'!J79</f>
        <v>251.167</v>
      </c>
      <c r="K79" s="192">
        <f>№2!K79+№5!K79+'№ 6'!K79+№14!K79+'№ 20'!K79+'№ 23'!K79+№27!K79+'№ 31'!K79+'№ 41'!K79</f>
        <v>266.94400000000002</v>
      </c>
      <c r="L79" s="194">
        <f>SUM(F79:K79)</f>
        <v>1777.0930000000001</v>
      </c>
      <c r="M79" s="194">
        <f>L79/6</f>
        <v>296.18200000000002</v>
      </c>
      <c r="N79" s="192">
        <f>№2!N79+№5!N79+'№ 6'!N79+№14!N79+'№ 20'!N79+'№ 23'!N79+№27!N79+'№ 31'!N79+'№ 41'!N79</f>
        <v>303.64400000000001</v>
      </c>
      <c r="O79" s="192">
        <f>№2!O79+№5!O79+'№ 6'!O79+№14!O79+'№ 20'!O79+'№ 23'!O79+№27!O79+'№ 31'!O79+'№ 41'!O79</f>
        <v>301.09899999999999</v>
      </c>
      <c r="P79" s="192">
        <f>№2!P79+№5!P79+'№ 6'!P79+№14!P79+'№ 20'!P79+'№ 23'!P79+№27!P79+'№ 31'!P79+'№ 41'!P79</f>
        <v>426.66699999999997</v>
      </c>
      <c r="Q79" s="192">
        <f>№2!Q79+№5!Q79+'№ 6'!Q79+№14!Q79+'№ 20'!Q79+'№ 23'!Q79+№27!Q79+'№ 31'!Q79+'№ 41'!Q79</f>
        <v>445.66699999999997</v>
      </c>
      <c r="R79" s="192">
        <f>№2!R79+№5!R79+'№ 6'!R79+№14!R79+'№ 20'!R79+'№ 23'!R79+№27!R79+'№ 31'!R79+'№ 41'!R79</f>
        <v>426.66699999999997</v>
      </c>
      <c r="S79" s="192">
        <f>№2!S79+№5!S79+'№ 6'!S79+№14!S79+'№ 20'!S79+'№ 23'!S79+№27!S79+'№ 31'!S79+'№ 41'!S79</f>
        <v>1439.1669999999999</v>
      </c>
      <c r="T79" s="194">
        <f>SUM(N79:S79)</f>
        <v>3342.9110000000001</v>
      </c>
      <c r="U79" s="194">
        <f>T79+L79</f>
        <v>5120.0039999999999</v>
      </c>
      <c r="V79" s="171">
        <f>№2!V79+№5!V79+'№ 6'!V79+№14!V79+'№ 20'!V79+'№ 23'!V79+№27!V79+'№ 31'!V79+'№ 41'!V79</f>
        <v>5120.0039999999999</v>
      </c>
      <c r="W79" s="192">
        <f>V79-U79</f>
        <v>0</v>
      </c>
    </row>
    <row r="80" spans="1:24" s="214" customFormat="1" ht="18" customHeight="1">
      <c r="A80" s="610"/>
      <c r="B80" s="583"/>
      <c r="C80" s="583"/>
      <c r="D80" s="178" t="s">
        <v>117</v>
      </c>
      <c r="E80" s="179">
        <f>№2!E80+№5!E80+'№ 6'!E80+№14!E80+'№ 20'!E80+'№ 23'!E80+№27!E80+'№ 31'!E80+'№ 41'!E80</f>
        <v>0</v>
      </c>
      <c r="F80" s="396">
        <f>№2!F80+№5!F80+'№ 6'!F80+№14!F80+'№ 20'!F80+'№ 23'!F80+№27!F80+'№ 31'!F80+'№ 41'!F80</f>
        <v>0</v>
      </c>
      <c r="G80" s="396">
        <f>№2!G80+№5!G80+'№ 6'!G80+№14!G80+'№ 20'!G80+'№ 23'!G80+№27!G80+'№ 31'!G80+'№ 41'!G80</f>
        <v>3.9707400000000002</v>
      </c>
      <c r="H80" s="396">
        <f>№2!H80+№5!H80+'№ 6'!H80+№14!H80+'№ 20'!H80+'№ 23'!H80+№27!H80+'№ 31'!H80+'№ 41'!H80</f>
        <v>3.5235629999999998</v>
      </c>
      <c r="I80" s="396">
        <f>№2!I80+№5!I80+'№ 6'!I80+№14!I80+'№ 20'!I80+'№ 23'!I80+№27!I80+'№ 31'!I80+'№ 41'!I80</f>
        <v>3.9341849999999998</v>
      </c>
      <c r="J80" s="358">
        <f>№2!J80+№5!J80+'№ 6'!J80+№14!J80+'№ 20'!J80+'№ 23'!J80+№27!J80+'№ 31'!J80+'№ 41'!J80</f>
        <v>3.8431359999999999</v>
      </c>
      <c r="K80" s="358">
        <f>№2!K80+№5!K80+'№ 6'!K80+№14!K80+'№ 20'!K80+'№ 23'!K80+№27!K80+'№ 31'!K80+'№ 41'!K80</f>
        <v>3.9411350000000001</v>
      </c>
      <c r="L80" s="340">
        <f>SUM(F80:K80)</f>
        <v>19.212758999999998</v>
      </c>
      <c r="M80" s="340">
        <f>L80/6</f>
        <v>3.2021269999999999</v>
      </c>
      <c r="N80" s="342">
        <f>№2!N80+№5!N80+'№ 6'!N80+№14!N80+'№ 20'!N80+'№ 23'!N80+№27!N80+'№ 31'!N80+'№ 41'!N80</f>
        <v>3.7189139999999998</v>
      </c>
      <c r="O80" s="342">
        <f>№2!O80+№5!O80+'№ 6'!O80+№14!O80+'№ 20'!O80+'№ 23'!O80+№27!O80+'№ 31'!O80+'№ 41'!O80</f>
        <v>3.748548</v>
      </c>
      <c r="P80" s="342">
        <f>№2!P80+№5!P80+'№ 6'!P80+№14!P80+'№ 20'!P80+'№ 23'!P80+№27!P80+'№ 31'!P80+'№ 41'!P80</f>
        <v>3.9362270000000001</v>
      </c>
      <c r="Q80" s="342">
        <f>№2!Q80+№5!Q80+'№ 6'!Q80+№14!Q80+'№ 20'!Q80+'№ 23'!Q80+№27!Q80+'№ 31'!Q80+'№ 41'!Q80</f>
        <v>4.1585349999999996</v>
      </c>
      <c r="R80" s="342">
        <f>№2!R80+№5!R80+'№ 6'!R80+№14!R80+'№ 20'!R80+'№ 23'!R80+№27!R80+'№ 31'!R80+'№ 41'!R80</f>
        <v>4.1585349999999996</v>
      </c>
      <c r="S80" s="342">
        <f>№2!S80+№5!S80+'№ 6'!S80+№14!S80+'№ 20'!S80+'№ 23'!S80+№27!S80+'№ 31'!S80+'№ 41'!S80</f>
        <v>8.3170599999999997</v>
      </c>
      <c r="T80" s="333">
        <f>SUM(N80:S80)</f>
        <v>28.03782</v>
      </c>
      <c r="U80" s="400">
        <f>T80+L80</f>
        <v>47.250579000000002</v>
      </c>
      <c r="V80" s="360">
        <f>№2!V80+№5!V80+'№ 6'!V80+№14!V80+'№ 20'!V80+'№ 23'!V80+№27!V80+'№ 31'!V80+'№ 41'!V80</f>
        <v>49.199100000000001</v>
      </c>
      <c r="W80" s="412">
        <f>V80-U80</f>
        <v>1.9490000000000001</v>
      </c>
      <c r="X80" s="279">
        <f>U75-U80</f>
        <v>0</v>
      </c>
    </row>
    <row r="81" spans="1:24" s="214" customFormat="1" ht="18" customHeight="1">
      <c r="A81" s="610"/>
      <c r="B81" s="583"/>
      <c r="C81" s="583"/>
      <c r="D81" s="187" t="s">
        <v>27</v>
      </c>
      <c r="E81" s="188" t="e">
        <f t="shared" ref="E81:U81" si="126">E82/E80*1000</f>
        <v>#DIV/0!</v>
      </c>
      <c r="F81" s="188" t="e">
        <f t="shared" si="126"/>
        <v>#DIV/0!</v>
      </c>
      <c r="G81" s="188">
        <f t="shared" si="126"/>
        <v>104066.74800000001</v>
      </c>
      <c r="H81" s="188">
        <f t="shared" si="126"/>
        <v>104462.159</v>
      </c>
      <c r="I81" s="188">
        <f t="shared" si="126"/>
        <v>104461.026</v>
      </c>
      <c r="J81" s="188">
        <f t="shared" si="126"/>
        <v>104461.04399999999</v>
      </c>
      <c r="K81" s="188">
        <f t="shared" si="126"/>
        <v>104461.53200000001</v>
      </c>
      <c r="L81" s="217">
        <f t="shared" si="126"/>
        <v>104379.86</v>
      </c>
      <c r="M81" s="217">
        <f t="shared" si="126"/>
        <v>104379.99</v>
      </c>
      <c r="N81" s="188">
        <f t="shared" si="126"/>
        <v>104460.872</v>
      </c>
      <c r="O81" s="188">
        <f t="shared" si="126"/>
        <v>102947.595</v>
      </c>
      <c r="P81" s="188">
        <f t="shared" si="126"/>
        <v>105509.921</v>
      </c>
      <c r="Q81" s="188">
        <f t="shared" si="126"/>
        <v>104461.06600000001</v>
      </c>
      <c r="R81" s="188">
        <f t="shared" si="126"/>
        <v>104461.06600000001</v>
      </c>
      <c r="S81" s="188">
        <f t="shared" si="126"/>
        <v>104455.541</v>
      </c>
      <c r="T81" s="217">
        <f t="shared" si="126"/>
        <v>104404.3</v>
      </c>
      <c r="U81" s="217">
        <f t="shared" si="126"/>
        <v>104394.36</v>
      </c>
      <c r="V81" s="218">
        <f t="shared" ref="V81" si="127">V82/V80*1000</f>
        <v>105526.504</v>
      </c>
      <c r="W81" s="219">
        <f>W82/W80*1000</f>
        <v>132947.66500000001</v>
      </c>
      <c r="X81" s="185"/>
    </row>
    <row r="82" spans="1:24" s="214" customFormat="1" ht="18" customHeight="1">
      <c r="A82" s="610"/>
      <c r="B82" s="583"/>
      <c r="C82" s="583"/>
      <c r="D82" s="198" t="s">
        <v>25</v>
      </c>
      <c r="E82" s="199">
        <f>№2!E82+№5!E82+'№ 6'!E82+№14!E82+'№ 20'!E82+'№ 23'!E82+№27!E82+'№ 31'!E82+'№ 41'!E82</f>
        <v>0</v>
      </c>
      <c r="F82" s="199">
        <f>№2!F82+№5!F82+'№ 6'!F82+№14!F82+'№ 20'!F82+'№ 23'!F82+№27!F82+'№ 31'!F82+'№ 41'!F82</f>
        <v>0</v>
      </c>
      <c r="G82" s="199">
        <f>№2!G82+№5!G82+'№ 6'!G82+№14!G82+'№ 20'!G82+'№ 23'!G82+№27!G82+'№ 31'!G82+'№ 41'!G82</f>
        <v>413.22199999999998</v>
      </c>
      <c r="H82" s="199">
        <f>№2!H82+№5!H82+'№ 6'!H82+№14!H82+'№ 20'!H82+'№ 23'!H82+№27!H82+'№ 31'!H82+'№ 41'!H82</f>
        <v>368.07900000000001</v>
      </c>
      <c r="I82" s="199">
        <f>№2!I82+№5!I82+'№ 6'!I82+№14!I82+'№ 20'!I82+'№ 23'!I82+№27!I82+'№ 31'!I82+'№ 41'!I82</f>
        <v>410.96899999999999</v>
      </c>
      <c r="J82" s="199">
        <f>№2!J82+№5!J82+'№ 6'!J82+№14!J82+'№ 20'!J82+'№ 23'!J82+№27!J82+'№ 31'!J82+'№ 41'!J82</f>
        <v>401.45800000000003</v>
      </c>
      <c r="K82" s="199">
        <f>№2!K82+№5!K82+'№ 6'!K82+№14!K82+'№ 20'!K82+'№ 23'!K82+№27!K82+'№ 31'!K82+'№ 41'!K82</f>
        <v>411.697</v>
      </c>
      <c r="L82" s="199">
        <f>SUM(F82:K82)</f>
        <v>2005.425</v>
      </c>
      <c r="M82" s="199">
        <f>L82/6</f>
        <v>334.238</v>
      </c>
      <c r="N82" s="199">
        <f>№2!N82+№5!N82+'№ 6'!N82+№14!N82+'№ 20'!N82+'№ 23'!N82+№27!N82+'№ 31'!N82+'№ 41'!N82</f>
        <v>388.48099999999999</v>
      </c>
      <c r="O82" s="199">
        <f>№2!O82+№5!O82+'№ 6'!O82+№14!O82+'№ 20'!O82+'№ 23'!O82+№27!O82+'№ 31'!O82+'№ 41'!O82</f>
        <v>385.904</v>
      </c>
      <c r="P82" s="199">
        <f>№2!P82+№5!P82+'№ 6'!P82+№14!P82+'№ 20'!P82+'№ 23'!P82+№27!P82+'№ 31'!P82+'№ 41'!P82</f>
        <v>415.31099999999998</v>
      </c>
      <c r="Q82" s="199">
        <f>№2!Q82+№5!Q82+'№ 6'!Q82+№14!Q82+'№ 20'!Q82+'№ 23'!Q82+№27!Q82+'№ 31'!Q82+'№ 41'!Q82</f>
        <v>434.40499999999997</v>
      </c>
      <c r="R82" s="199">
        <f>№2!R82+№5!R82+'№ 6'!R82+№14!R82+'№ 20'!R82+'№ 23'!R82+№27!R82+'№ 31'!R82+'№ 41'!R82</f>
        <v>434.40499999999997</v>
      </c>
      <c r="S82" s="199">
        <f>№2!S82+№5!S82+'№ 6'!S82+№14!S82+'№ 20'!S82+'№ 23'!S82+№27!S82+'№ 31'!S82+'№ 41'!S82</f>
        <v>868.76300000000003</v>
      </c>
      <c r="T82" s="199">
        <f>SUM(N82:S82)</f>
        <v>2927.2689999999998</v>
      </c>
      <c r="U82" s="199">
        <f>T82+L82</f>
        <v>4932.6940000000004</v>
      </c>
      <c r="V82" s="199">
        <f>№2!V82+№5!V82+'№ 6'!V82+№14!V82+'№ 20'!V82+'№ 23'!V82+№27!V82+'№ 31'!V82+'№ 41'!V82</f>
        <v>5191.8090000000002</v>
      </c>
      <c r="W82" s="221">
        <f>V82-U82</f>
        <v>259.11500000000001</v>
      </c>
      <c r="X82" s="176">
        <f>U77-U82</f>
        <v>0</v>
      </c>
    </row>
    <row r="83" spans="1:24" s="214" customFormat="1" ht="18" customHeight="1">
      <c r="A83" s="610"/>
      <c r="B83" s="583"/>
      <c r="C83" s="583"/>
      <c r="D83" s="201" t="s">
        <v>55</v>
      </c>
      <c r="E83" s="220"/>
      <c r="F83" s="199">
        <f>№2!F83+№5!F83+'№ 6'!F83+№14!F83+'№ 20'!F83+'№ 23'!F83+№27!F83+'№ 31'!F83+'№ 41'!F83</f>
        <v>0</v>
      </c>
      <c r="G83" s="199">
        <f>№2!G83+№5!G83+'№ 6'!G83+№14!G83+'№ 20'!G83+'№ 23'!G83+№27!G83+'№ 31'!G83+'№ 41'!G83</f>
        <v>0</v>
      </c>
      <c r="H83" s="199">
        <f>№2!H83+№5!H83+'№ 6'!H83+№14!H83+'№ 20'!H83+'№ 23'!H83+№27!H83+'№ 31'!H83+'№ 41'!H83</f>
        <v>0</v>
      </c>
      <c r="I83" s="199">
        <f>№2!I83+№5!I83+'№ 6'!I83+№14!I83+'№ 20'!I83+'№ 23'!I83+№27!I83+'№ 31'!I83+'№ 41'!I83</f>
        <v>0</v>
      </c>
      <c r="J83" s="199">
        <f>№2!J83+№5!J83+'№ 6'!J83+№14!J83+'№ 20'!J83+'№ 23'!J83+№27!J83+'№ 31'!J83+'№ 41'!J83</f>
        <v>24.728000000000002</v>
      </c>
      <c r="K83" s="199">
        <f>№2!K83+№5!K83+'№ 6'!K83+№14!K83+'№ 20'!K83+'№ 23'!K83+№27!K83+'№ 31'!K83+'№ 41'!K83</f>
        <v>47.076999999999998</v>
      </c>
      <c r="L83" s="199">
        <f>SUM(F83:K83)</f>
        <v>71.805000000000007</v>
      </c>
      <c r="M83" s="199">
        <f>L83/6</f>
        <v>11.968</v>
      </c>
      <c r="N83" s="199">
        <f>№2!N83+№5!N83+'№ 6'!N83+№14!N83+'№ 20'!N83+'№ 23'!N83+№27!N83+'№ 31'!N83+'№ 41'!N83</f>
        <v>0</v>
      </c>
      <c r="O83" s="199">
        <f>№2!O83+№5!O83+'№ 6'!O83+№14!O83+'№ 20'!O83+'№ 23'!O83+№27!O83+'№ 31'!O83+'№ 41'!O83</f>
        <v>0</v>
      </c>
      <c r="P83" s="199">
        <f>№2!P83+№5!P83+'№ 6'!P83+№14!P83+'№ 20'!P83+'№ 23'!P83+№27!P83+'№ 31'!P83+'№ 41'!P83</f>
        <v>0</v>
      </c>
      <c r="Q83" s="199">
        <f>№2!Q83+№5!Q83+'№ 6'!Q83+№14!Q83+'№ 20'!Q83+'№ 23'!Q83+№27!Q83+'№ 31'!Q83+'№ 41'!Q83</f>
        <v>0</v>
      </c>
      <c r="R83" s="199">
        <f>№2!R83+№5!R83+'№ 6'!R83+№14!R83+'№ 20'!R83+'№ 23'!R83+№27!R83+'№ 31'!R83+'№ 41'!R83</f>
        <v>0</v>
      </c>
      <c r="S83" s="199">
        <f>№2!S83+№5!S83+'№ 6'!S83+№14!S83+'№ 20'!S83+'№ 23'!S83+№27!S83+'№ 31'!S83+'№ 41'!S83</f>
        <v>0</v>
      </c>
      <c r="T83" s="199">
        <f>SUM(N83:S83)</f>
        <v>0</v>
      </c>
      <c r="U83" s="199">
        <f>T83+L83</f>
        <v>71.805000000000007</v>
      </c>
      <c r="V83" s="199">
        <f>№2!V83+№5!V83+'№ 6'!V83+№14!V83+'№ 20'!V83+'№ 23'!V83+№27!V83+'№ 31'!V83+'№ 41'!V83</f>
        <v>71.805000000000007</v>
      </c>
      <c r="W83" s="221">
        <f>V83-U83</f>
        <v>0</v>
      </c>
      <c r="X83" s="176">
        <f>U78-U83</f>
        <v>0</v>
      </c>
    </row>
    <row r="84" spans="1:24" s="214" customFormat="1" ht="18" customHeight="1">
      <c r="A84" s="610"/>
      <c r="B84" s="583"/>
      <c r="C84" s="583"/>
      <c r="D84" s="201" t="s">
        <v>24</v>
      </c>
      <c r="E84" s="220"/>
      <c r="F84" s="199">
        <f>№2!F84+№5!F84+'№ 6'!F84+№14!F84+'№ 20'!F84+'№ 23'!F84+№27!F84+'№ 31'!F84+'№ 41'!F84</f>
        <v>0</v>
      </c>
      <c r="G84" s="199">
        <f>№2!G84+№5!G84+'№ 6'!G84+№14!G84+'№ 20'!G84+'№ 23'!G84+№27!G84+'№ 31'!G84+'№ 41'!G84</f>
        <v>413.22199999999998</v>
      </c>
      <c r="H84" s="199">
        <f>№2!H84+№5!H84+'№ 6'!H84+№14!H84+'№ 20'!H84+'№ 23'!H84+№27!H84+'№ 31'!H84+'№ 41'!H84</f>
        <v>368.07900000000001</v>
      </c>
      <c r="I84" s="199">
        <f>№2!I84+№5!I84+'№ 6'!I84+№14!I84+'№ 20'!I84+'№ 23'!I84+№27!I84+'№ 31'!I84+'№ 41'!I84</f>
        <v>410.96899999999999</v>
      </c>
      <c r="J84" s="199">
        <f>№2!J84+№5!J84+'№ 6'!J84+№14!J84+'№ 20'!J84+'№ 23'!J84+№27!J84+'№ 31'!J84+'№ 41'!J84</f>
        <v>376.73</v>
      </c>
      <c r="K84" s="199">
        <f>№2!K84+№5!K84+'№ 6'!K84+№14!K84+'№ 20'!K84+'№ 23'!K84+№27!K84+'№ 31'!K84+'№ 41'!K84</f>
        <v>364.62</v>
      </c>
      <c r="L84" s="199">
        <f>SUM(F84:K84)</f>
        <v>1933.62</v>
      </c>
      <c r="M84" s="199">
        <f>L84/6</f>
        <v>322.27</v>
      </c>
      <c r="N84" s="199">
        <f>№2!N84+№5!N84+'№ 6'!N84+№14!N84+'№ 20'!N84+'№ 23'!N84+№27!N84+'№ 31'!N84+'№ 41'!N84</f>
        <v>388.48099999999999</v>
      </c>
      <c r="O84" s="199">
        <f>№2!O84+№5!O84+'№ 6'!O84+№14!O84+'№ 20'!O84+'№ 23'!O84+№27!O84+'№ 31'!O84+'№ 41'!O84</f>
        <v>385.904</v>
      </c>
      <c r="P84" s="199">
        <f>№2!P84+№5!P84+'№ 6'!P84+№14!P84+'№ 20'!P84+'№ 23'!P84+№27!P84+'№ 31'!P84+'№ 41'!P84</f>
        <v>415.31099999999998</v>
      </c>
      <c r="Q84" s="199">
        <f>№2!Q84+№5!Q84+'№ 6'!Q84+№14!Q84+'№ 20'!Q84+'№ 23'!Q84+№27!Q84+'№ 31'!Q84+'№ 41'!Q84</f>
        <v>434.40499999999997</v>
      </c>
      <c r="R84" s="199">
        <f>№2!R84+№5!R84+'№ 6'!R84+№14!R84+'№ 20'!R84+'№ 23'!R84+№27!R84+'№ 31'!R84+'№ 41'!R84</f>
        <v>434.40499999999997</v>
      </c>
      <c r="S84" s="199">
        <f>№2!S84+№5!S84+'№ 6'!S84+№14!S84+'№ 20'!S84+'№ 23'!S84+№27!S84+'№ 31'!S84+'№ 41'!S84</f>
        <v>868.76300000000003</v>
      </c>
      <c r="T84" s="199">
        <f>SUM(N84:S84)</f>
        <v>2927.2689999999998</v>
      </c>
      <c r="U84" s="199">
        <f>T84+L84</f>
        <v>4860.8890000000001</v>
      </c>
      <c r="V84" s="199">
        <f>№2!V84+№5!V84+'№ 6'!V84+№14!V84+'№ 20'!V84+'№ 23'!V84+№27!V84+'№ 31'!V84+'№ 41'!V84</f>
        <v>5120.0039999999999</v>
      </c>
      <c r="W84" s="221">
        <f>V84-U84</f>
        <v>259.11500000000001</v>
      </c>
      <c r="X84" s="176">
        <f>U79-U84</f>
        <v>259.11500000000001</v>
      </c>
    </row>
    <row r="85" spans="1:24" s="214" customFormat="1" ht="18" customHeight="1">
      <c r="A85" s="610"/>
      <c r="B85" s="583"/>
      <c r="C85" s="583"/>
      <c r="D85" s="202" t="s">
        <v>29</v>
      </c>
      <c r="E85" s="203"/>
      <c r="F85" s="203">
        <f t="shared" ref="F85:K85" si="128">F78+F79</f>
        <v>0</v>
      </c>
      <c r="G85" s="203">
        <f t="shared" si="128"/>
        <v>427.28199999999998</v>
      </c>
      <c r="H85" s="203">
        <f t="shared" si="128"/>
        <v>428.03300000000002</v>
      </c>
      <c r="I85" s="203">
        <f t="shared" si="128"/>
        <v>428.39499999999998</v>
      </c>
      <c r="J85" s="203">
        <f t="shared" si="128"/>
        <v>298.24400000000003</v>
      </c>
      <c r="K85" s="203">
        <f t="shared" si="128"/>
        <v>266.94400000000002</v>
      </c>
      <c r="L85" s="203">
        <f>SUM(F85:K85)</f>
        <v>1848.8979999999999</v>
      </c>
      <c r="M85" s="203">
        <f>L85/6</f>
        <v>308.14999999999998</v>
      </c>
      <c r="N85" s="203">
        <f t="shared" ref="N85:S85" si="129">N79+N78</f>
        <v>303.64400000000001</v>
      </c>
      <c r="O85" s="203">
        <f t="shared" si="129"/>
        <v>301.09899999999999</v>
      </c>
      <c r="P85" s="203">
        <f t="shared" si="129"/>
        <v>426.66699999999997</v>
      </c>
      <c r="Q85" s="203">
        <f t="shared" si="129"/>
        <v>445.66699999999997</v>
      </c>
      <c r="R85" s="203">
        <f t="shared" si="129"/>
        <v>426.66699999999997</v>
      </c>
      <c r="S85" s="203">
        <f t="shared" si="129"/>
        <v>1439.1669999999999</v>
      </c>
      <c r="T85" s="203">
        <f>SUM(N85:S85)</f>
        <v>3342.9110000000001</v>
      </c>
      <c r="U85" s="203">
        <f>T85+L85</f>
        <v>5191.8090000000002</v>
      </c>
      <c r="V85" s="203">
        <f>V82</f>
        <v>5191.8090000000002</v>
      </c>
      <c r="W85" s="203">
        <f>V85-U85</f>
        <v>0</v>
      </c>
    </row>
    <row r="86" spans="1:24" s="214" customFormat="1" ht="18" customHeight="1">
      <c r="A86" s="610"/>
      <c r="B86" s="583"/>
      <c r="C86" s="583"/>
      <c r="D86" s="202" t="s">
        <v>30</v>
      </c>
      <c r="E86" s="203"/>
      <c r="F86" s="203">
        <f t="shared" ref="F86:K86" si="130">F82-F85</f>
        <v>0</v>
      </c>
      <c r="G86" s="203">
        <f t="shared" si="130"/>
        <v>-14.06</v>
      </c>
      <c r="H86" s="203">
        <f t="shared" si="130"/>
        <v>-59.954000000000001</v>
      </c>
      <c r="I86" s="203">
        <f t="shared" si="130"/>
        <v>-17.425999999999998</v>
      </c>
      <c r="J86" s="203">
        <f t="shared" si="130"/>
        <v>103.214</v>
      </c>
      <c r="K86" s="203">
        <f t="shared" si="130"/>
        <v>144.75299999999999</v>
      </c>
      <c r="L86" s="203"/>
      <c r="M86" s="203"/>
      <c r="N86" s="203">
        <f t="shared" ref="N86:S86" si="131">N82-N85</f>
        <v>84.837000000000003</v>
      </c>
      <c r="O86" s="203">
        <f t="shared" si="131"/>
        <v>84.805000000000007</v>
      </c>
      <c r="P86" s="203">
        <f t="shared" si="131"/>
        <v>-11.356</v>
      </c>
      <c r="Q86" s="203">
        <f t="shared" si="131"/>
        <v>-11.262</v>
      </c>
      <c r="R86" s="203">
        <f t="shared" si="131"/>
        <v>7.7380000000000004</v>
      </c>
      <c r="S86" s="203">
        <f t="shared" si="131"/>
        <v>-570.404</v>
      </c>
      <c r="T86" s="203"/>
      <c r="U86" s="203"/>
      <c r="V86" s="203"/>
      <c r="W86" s="203"/>
    </row>
    <row r="87" spans="1:24" s="214" customFormat="1" ht="25.2" customHeight="1">
      <c r="A87" s="610"/>
      <c r="B87" s="583"/>
      <c r="C87" s="584"/>
      <c r="D87" s="202" t="s">
        <v>31</v>
      </c>
      <c r="E87" s="203"/>
      <c r="F87" s="203">
        <f>F86</f>
        <v>0</v>
      </c>
      <c r="G87" s="203">
        <f>G86+F87</f>
        <v>-14.06</v>
      </c>
      <c r="H87" s="203">
        <f>H86+G87</f>
        <v>-74.013999999999996</v>
      </c>
      <c r="I87" s="203">
        <f>I86+H87</f>
        <v>-91.44</v>
      </c>
      <c r="J87" s="203">
        <f>J86+I87</f>
        <v>11.773999999999999</v>
      </c>
      <c r="K87" s="203">
        <f>K86+J87</f>
        <v>156.52699999999999</v>
      </c>
      <c r="L87" s="203"/>
      <c r="M87" s="203"/>
      <c r="N87" s="203">
        <f>N86+K87</f>
        <v>241.364</v>
      </c>
      <c r="O87" s="203">
        <f>O86+N87</f>
        <v>326.16899999999998</v>
      </c>
      <c r="P87" s="203">
        <f>P86+O87</f>
        <v>314.81299999999999</v>
      </c>
      <c r="Q87" s="203">
        <f>Q86+P87</f>
        <v>303.55099999999999</v>
      </c>
      <c r="R87" s="203">
        <f>R86+Q87</f>
        <v>311.28899999999999</v>
      </c>
      <c r="S87" s="203">
        <f>S86+R87</f>
        <v>-259.11500000000001</v>
      </c>
      <c r="T87" s="203"/>
      <c r="U87" s="203"/>
      <c r="V87" s="203"/>
      <c r="W87" s="203"/>
    </row>
    <row r="88" spans="1:24" s="185" customFormat="1" ht="18" customHeight="1">
      <c r="A88" s="610"/>
      <c r="B88" s="583"/>
      <c r="C88" s="582" t="s">
        <v>99</v>
      </c>
      <c r="D88" s="178" t="s">
        <v>105</v>
      </c>
      <c r="E88" s="179"/>
      <c r="F88" s="180">
        <f>№2!F88+№5!F88+'№ 6'!F88+№14!F88+'№ 20'!F88+'№ 23'!F88+№27!F88+'№ 31'!F88+'№ 41'!F88</f>
        <v>1171.4000000000001</v>
      </c>
      <c r="G88" s="180">
        <f>№2!G88+№5!G88+'№ 6'!G88+№14!G88+'№ 20'!G88+'№ 23'!G88+№27!G88+'№ 31'!G88+'№ 41'!G88</f>
        <v>866.6</v>
      </c>
      <c r="H88" s="180">
        <f>№2!H88+№5!H88+'№ 6'!H88+№14!H88+'№ 20'!H88+'№ 23'!H88+№27!H88+'№ 31'!H88+'№ 41'!H88</f>
        <v>558.79999999999995</v>
      </c>
      <c r="I88" s="180">
        <f>№2!I88+№5!I88+'№ 6'!I88+№14!I88+'№ 20'!I88+'№ 23'!I88+№27!I88+'№ 31'!I88+'№ 41'!I88</f>
        <v>0</v>
      </c>
      <c r="J88" s="180">
        <f>№2!J88+№5!J88+'№ 6'!J88+№14!J88+'№ 20'!J88+'№ 23'!J88+№27!J88+'№ 31'!J88+'№ 41'!J88</f>
        <v>0</v>
      </c>
      <c r="K88" s="180">
        <f>№2!K88+№5!K88+'№ 6'!K88+№14!K88+'№ 20'!K88+'№ 23'!K88+№27!K88+'№ 31'!K88+'№ 41'!K88</f>
        <v>0</v>
      </c>
      <c r="L88" s="215">
        <f>SUM(F88:K88)</f>
        <v>2596.8000000000002</v>
      </c>
      <c r="M88" s="215">
        <f>L88/6</f>
        <v>432.8</v>
      </c>
      <c r="N88" s="180">
        <f>№2!N88+№5!N88+'№ 6'!N88+№14!N88+'№ 20'!N88+'№ 23'!N88+№27!N88+'№ 31'!N88+'№ 41'!N88</f>
        <v>0</v>
      </c>
      <c r="O88" s="180">
        <f>№2!O88+№5!O88+'№ 6'!O88+№14!O88+'№ 20'!O88+'№ 23'!O88+№27!O88+'№ 31'!O88+'№ 41'!O88</f>
        <v>0</v>
      </c>
      <c r="P88" s="180">
        <f>№2!P88+№5!P88+'№ 6'!P88+№14!P88+'№ 20'!P88+'№ 23'!P88+№27!P88+'№ 31'!P88+'№ 41'!P88</f>
        <v>0</v>
      </c>
      <c r="Q88" s="180">
        <f>№2!Q88+№5!Q88+'№ 6'!Q88+№14!Q88+'№ 20'!Q88+'№ 23'!Q88+№27!Q88+'№ 31'!Q88+'№ 41'!Q88</f>
        <v>38</v>
      </c>
      <c r="R88" s="180">
        <f>№2!R88+№5!R88+'№ 6'!R88+№14!R88+'№ 20'!R88+'№ 23'!R88+№27!R88+'№ 31'!R88+'№ 41'!R88</f>
        <v>449.8</v>
      </c>
      <c r="S88" s="180">
        <f>№2!S88+№5!S88+'№ 6'!S88+№14!S88+'№ 20'!S88+'№ 23'!S88+№27!S88+'№ 31'!S88+'№ 41'!S88</f>
        <v>1116.5999999999999</v>
      </c>
      <c r="T88" s="215">
        <f>SUM(N88:S88)</f>
        <v>1604.4</v>
      </c>
      <c r="U88" s="215">
        <f>T88+L88</f>
        <v>4201.2</v>
      </c>
      <c r="V88" s="233">
        <f>№2!V88+№5!V88+'№ 6'!V88+№14!V88+'№ 20'!V88+'№ 23'!V88+№27!V88+'№ 31'!V88+'№ 41'!V88</f>
        <v>2530.6</v>
      </c>
      <c r="W88" s="184"/>
    </row>
    <row r="89" spans="1:24" s="185" customFormat="1" ht="18" customHeight="1">
      <c r="A89" s="610"/>
      <c r="B89" s="583"/>
      <c r="C89" s="583"/>
      <c r="D89" s="178" t="s">
        <v>109</v>
      </c>
      <c r="E89" s="179"/>
      <c r="F89" s="180">
        <f>№2!F89+№5!F89+'№ 6'!F89+№14!F89+'№ 20'!F89+'№ 23'!F89+№27!F89+'№ 31'!F89+'№ 41'!F89</f>
        <v>975.6</v>
      </c>
      <c r="G89" s="180">
        <f>№2!G89+№5!G89+'№ 6'!G89+№14!G89+'№ 20'!G89+'№ 23'!G89+№27!G89+'№ 31'!G89+'№ 41'!G89</f>
        <v>798.6</v>
      </c>
      <c r="H89" s="180">
        <f>№2!H89+№5!H89+'№ 6'!H89+№14!H89+'№ 20'!H89+'№ 23'!H89+№27!H89+'№ 31'!H89+'№ 41'!H89</f>
        <v>642</v>
      </c>
      <c r="I89" s="180">
        <f>№2!I89+№5!I89+'№ 6'!I89+№14!I89+'№ 20'!I89+'№ 23'!I89+№27!I89+'№ 31'!I89+'№ 41'!I89</f>
        <v>0</v>
      </c>
      <c r="J89" s="180">
        <f>№2!J89+№5!J89+'№ 6'!J89+№14!J89+'№ 20'!J89+'№ 23'!J89+№27!J89+'№ 31'!J89+'№ 41'!J89</f>
        <v>0</v>
      </c>
      <c r="K89" s="180">
        <f>№2!K89+№5!K89+'№ 6'!K89+№14!K89+'№ 20'!K89+'№ 23'!K89+№27!K89+'№ 31'!K89+'№ 41'!K89</f>
        <v>0</v>
      </c>
      <c r="L89" s="215">
        <f>SUM(F89:K89)</f>
        <v>2416.1999999999998</v>
      </c>
      <c r="M89" s="215">
        <f>L89/6</f>
        <v>402.7</v>
      </c>
      <c r="N89" s="180">
        <f>№2!N89+№5!N89+'№ 6'!N89+№14!N89+'№ 20'!N89+'№ 23'!N89+№27!N89+'№ 31'!N89+'№ 41'!N89</f>
        <v>0</v>
      </c>
      <c r="O89" s="180">
        <f>№2!O89+№5!O89+'№ 6'!O89+№14!O89+'№ 20'!O89+'№ 23'!O89+№27!O89+'№ 31'!O89+'№ 41'!O89</f>
        <v>0</v>
      </c>
      <c r="P89" s="180">
        <f>№2!P89+№5!P89+'№ 6'!P89+№14!P89+'№ 20'!P89+'№ 23'!P89+№27!P89+'№ 31'!P89+'№ 41'!P89</f>
        <v>0</v>
      </c>
      <c r="Q89" s="180">
        <f>№2!Q89+№5!Q89+'№ 6'!Q89+№14!Q89+'№ 20'!Q89+'№ 23'!Q89+№27!Q89+'№ 31'!Q89+'№ 41'!Q89</f>
        <v>0</v>
      </c>
      <c r="R89" s="180">
        <f>№2!R89+№5!R89+'№ 6'!R89+№14!R89+'№ 20'!R89+'№ 23'!R89+№27!R89+'№ 31'!R89+'№ 41'!R89</f>
        <v>634.1</v>
      </c>
      <c r="S89" s="180">
        <f>№2!S89+№5!S89+'№ 6'!S89+№14!S89+'№ 20'!S89+'№ 23'!S89+№27!S89+'№ 31'!S89+'№ 41'!S89</f>
        <v>1187.2</v>
      </c>
      <c r="T89" s="215">
        <f>SUM(N89:S89)</f>
        <v>1821.3</v>
      </c>
      <c r="U89" s="215">
        <f>T89+L89</f>
        <v>4237.5</v>
      </c>
      <c r="V89" s="233">
        <f>№2!V89+№5!V89+'№ 6'!V89+№14!V89+'№ 20'!V89+'№ 23'!V89+№27!V89+'№ 31'!V89+'№ 41'!V89</f>
        <v>3058.4</v>
      </c>
      <c r="W89" s="184"/>
    </row>
    <row r="90" spans="1:24" s="185" customFormat="1" ht="18" customHeight="1">
      <c r="A90" s="610"/>
      <c r="B90" s="583"/>
      <c r="C90" s="583"/>
      <c r="D90" s="178" t="s">
        <v>116</v>
      </c>
      <c r="E90" s="179"/>
      <c r="F90" s="263">
        <f>№2!F90+№5!F90+'№ 6'!F90+№14!F90+'№ 20'!F90+'№ 23'!F90+№27!F90+'№ 31'!F90+'№ 41'!F90</f>
        <v>876.76</v>
      </c>
      <c r="G90" s="263">
        <f>№2!G90+№5!G90+'№ 6'!G90+№14!G90+'№ 20'!G90+'№ 23'!G90+№27!G90+'№ 31'!G90+'№ 41'!G90</f>
        <v>932.44</v>
      </c>
      <c r="H90" s="263">
        <f>№2!H90+№5!H90+'№ 6'!H90+№14!H90+'№ 20'!H90+'№ 23'!H90+№27!H90+'№ 31'!H90+'№ 41'!H90</f>
        <v>583.44000000000005</v>
      </c>
      <c r="I90" s="263">
        <f>№2!I90+№5!I90+'№ 6'!I90+№14!I90+'№ 20'!I90+'№ 23'!I90+№27!I90+'№ 31'!I90+'№ 41'!I90</f>
        <v>0</v>
      </c>
      <c r="J90" s="263">
        <f>№2!J90+№5!J90+'№ 6'!J90+№14!J90+'№ 20'!J90+'№ 23'!J90+№27!J90+'№ 31'!J90+'№ 41'!J90</f>
        <v>0</v>
      </c>
      <c r="K90" s="263">
        <f>№2!K90+№5!K90+'№ 6'!K90+№14!K90+'№ 20'!K90+'№ 23'!K90+№27!K90+'№ 31'!K90+'№ 41'!K90</f>
        <v>0</v>
      </c>
      <c r="L90" s="280">
        <f>SUM(F90:K90)</f>
        <v>2392.64</v>
      </c>
      <c r="M90" s="215">
        <f>L90/6</f>
        <v>398.8</v>
      </c>
      <c r="N90" s="180">
        <f>№2!N90+№5!N90+'№ 6'!N90+№14!N90+'№ 20'!N90+'№ 23'!N90+№27!N90+'№ 31'!N90+'№ 41'!N90</f>
        <v>0</v>
      </c>
      <c r="O90" s="180">
        <f>№2!O90+№5!O90+'№ 6'!O90+№14!O90+'№ 20'!O90+'№ 23'!O90+№27!O90+'№ 31'!O90+'№ 41'!O90</f>
        <v>0</v>
      </c>
      <c r="P90" s="180">
        <f>№2!P90+№5!P90+'№ 6'!P90+№14!P90+'№ 20'!P90+'№ 23'!P90+№27!P90+'№ 31'!P90+'№ 41'!P90</f>
        <v>0</v>
      </c>
      <c r="Q90" s="180">
        <f>№2!Q90+№5!Q90+'№ 6'!Q90+№14!Q90+'№ 20'!Q90+'№ 23'!Q90+№27!Q90+'№ 31'!Q90+'№ 41'!Q90</f>
        <v>0</v>
      </c>
      <c r="R90" s="180">
        <f>№2!R90+№5!R90+'№ 6'!R90+№14!R90+'№ 20'!R90+'№ 23'!R90+№27!R90+'№ 31'!R90+'№ 41'!R90</f>
        <v>436.2</v>
      </c>
      <c r="S90" s="180">
        <f>№2!S90+№5!S90+'№ 6'!S90+№14!S90+'№ 20'!S90+'№ 23'!S90+№27!S90+'№ 31'!S90+'№ 41'!S90</f>
        <v>1216.2</v>
      </c>
      <c r="T90" s="215">
        <f>SUM(N90:S90)</f>
        <v>1652.4</v>
      </c>
      <c r="U90" s="215">
        <f>T90+L90</f>
        <v>4045</v>
      </c>
      <c r="V90" s="233">
        <f>№2!V90+№5!V90+'№ 6'!V90+№14!V90+'№ 20'!V90+'№ 23'!V90+№27!V90+'№ 31'!V90+'№ 41'!V90</f>
        <v>3724.3</v>
      </c>
      <c r="W90" s="184">
        <f>V90-U90</f>
        <v>-320.7</v>
      </c>
    </row>
    <row r="91" spans="1:24" s="185" customFormat="1" ht="18" customHeight="1">
      <c r="A91" s="610"/>
      <c r="B91" s="583"/>
      <c r="C91" s="583"/>
      <c r="D91" s="187" t="s">
        <v>27</v>
      </c>
      <c r="E91" s="188"/>
      <c r="F91" s="188">
        <f t="shared" ref="F91:U91" si="132">F92/F90*1000</f>
        <v>2957.8710000000001</v>
      </c>
      <c r="G91" s="188">
        <f t="shared" si="132"/>
        <v>3096.7269999999999</v>
      </c>
      <c r="H91" s="188">
        <f t="shared" si="132"/>
        <v>3040.587</v>
      </c>
      <c r="I91" s="188" t="e">
        <f t="shared" si="132"/>
        <v>#DIV/0!</v>
      </c>
      <c r="J91" s="188" t="e">
        <f t="shared" si="132"/>
        <v>#DIV/0!</v>
      </c>
      <c r="K91" s="188" t="e">
        <f t="shared" si="132"/>
        <v>#DIV/0!</v>
      </c>
      <c r="L91" s="217">
        <f t="shared" si="132"/>
        <v>3032.15</v>
      </c>
      <c r="M91" s="217">
        <f t="shared" si="132"/>
        <v>3031.95</v>
      </c>
      <c r="N91" s="188" t="e">
        <f t="shared" si="132"/>
        <v>#DIV/0!</v>
      </c>
      <c r="O91" s="188" t="e">
        <f t="shared" si="132"/>
        <v>#DIV/0!</v>
      </c>
      <c r="P91" s="188" t="e">
        <f t="shared" si="132"/>
        <v>#DIV/0!</v>
      </c>
      <c r="Q91" s="188" t="e">
        <f t="shared" si="132"/>
        <v>#DIV/0!</v>
      </c>
      <c r="R91" s="188">
        <f t="shared" si="132"/>
        <v>3096.3690000000001</v>
      </c>
      <c r="S91" s="188">
        <f t="shared" si="132"/>
        <v>3096.451</v>
      </c>
      <c r="T91" s="217">
        <f t="shared" si="132"/>
        <v>3096.43</v>
      </c>
      <c r="U91" s="217">
        <f t="shared" si="132"/>
        <v>3058.44</v>
      </c>
      <c r="V91" s="218">
        <f t="shared" ref="V91" si="133">V92/V90*1000</f>
        <v>2926.335</v>
      </c>
      <c r="W91" s="189">
        <f>W92/W90*1000</f>
        <v>4592.6009999999997</v>
      </c>
    </row>
    <row r="92" spans="1:24" s="185" customFormat="1" ht="18" customHeight="1">
      <c r="A92" s="610"/>
      <c r="B92" s="583"/>
      <c r="C92" s="583"/>
      <c r="D92" s="191" t="s">
        <v>0</v>
      </c>
      <c r="E92" s="192"/>
      <c r="F92" s="192">
        <f>№2!F92+№5!F92+'№ 6'!F92+№14!F92+'№ 20'!F92+'№ 23'!F92+№27!F92+'№ 31'!F92+'№ 41'!F92</f>
        <v>2593.3429999999998</v>
      </c>
      <c r="G92" s="192">
        <f>№2!G92+№5!G92+'№ 6'!G92+№14!G92+'№ 20'!G92+'№ 23'!G92+№27!G92+'№ 31'!G92+'№ 41'!G92</f>
        <v>2887.5120000000002</v>
      </c>
      <c r="H92" s="192">
        <f>№2!H92+№5!H92+'№ 6'!H92+№14!H92+'№ 20'!H92+'№ 23'!H92+№27!H92+'№ 31'!H92+'№ 41'!H92</f>
        <v>1774</v>
      </c>
      <c r="I92" s="192">
        <f>№2!I92+№5!I92+'№ 6'!I92+№14!I92+'№ 20'!I92+'№ 23'!I92+№27!I92+'№ 31'!I92+'№ 41'!I92</f>
        <v>0</v>
      </c>
      <c r="J92" s="192">
        <f>№2!J92+№5!J92+'№ 6'!J92+№14!J92+'№ 20'!J92+'№ 23'!J92+№27!J92+'№ 31'!J92+'№ 41'!J92</f>
        <v>0</v>
      </c>
      <c r="K92" s="192">
        <f>№2!K92+№5!K92+'№ 6'!K92+№14!K92+'№ 20'!K92+'№ 23'!K92+№27!K92+'№ 31'!K92+'№ 41'!K92</f>
        <v>0</v>
      </c>
      <c r="L92" s="194">
        <f>SUM(F92:K92)</f>
        <v>7254.8549999999996</v>
      </c>
      <c r="M92" s="194">
        <f>L92/6</f>
        <v>1209.143</v>
      </c>
      <c r="N92" s="192">
        <f>№2!N92+№5!N92+'№ 6'!N92+№14!N92+'№ 20'!N92+'№ 23'!N92+№27!N92+'№ 31'!N92+'№ 41'!N92</f>
        <v>0</v>
      </c>
      <c r="O92" s="192">
        <f>№2!O92+№5!O92+'№ 6'!O92+№14!O92+'№ 20'!O92+'№ 23'!O92+№27!O92+'№ 31'!O92+'№ 41'!O92</f>
        <v>0</v>
      </c>
      <c r="P92" s="192">
        <f>№2!P92+№5!P92+'№ 6'!P92+№14!P92+'№ 20'!P92+'№ 23'!P92+№27!P92+'№ 31'!P92+'№ 41'!P92</f>
        <v>0</v>
      </c>
      <c r="Q92" s="192">
        <f>№2!Q92+№5!Q92+'№ 6'!Q92+№14!Q92+'№ 20'!Q92+'№ 23'!Q92+№27!Q92+'№ 31'!Q92+'№ 41'!Q92</f>
        <v>0</v>
      </c>
      <c r="R92" s="192">
        <f>№2!R92+№5!R92+'№ 6'!R92+№14!R92+'№ 20'!R92+'№ 23'!R92+№27!R92+'№ 31'!R92+'№ 41'!R92</f>
        <v>1350.636</v>
      </c>
      <c r="S92" s="192">
        <f>№2!S92+№5!S92+'№ 6'!S92+№14!S92+'№ 20'!S92+'№ 23'!S92+№27!S92+'№ 31'!S92+'№ 41'!S92</f>
        <v>3765.904</v>
      </c>
      <c r="T92" s="171">
        <f>SUM(N92:S92)</f>
        <v>5116.54</v>
      </c>
      <c r="U92" s="171">
        <f>T92+L92</f>
        <v>12371.395</v>
      </c>
      <c r="V92" s="171">
        <f>№2!V92+№5!V92+'№ 6'!V92+№14!V92+'№ 20'!V92+'№ 23'!V92+№27!V92+'№ 31'!V92+'№ 41'!V92</f>
        <v>10898.548000000001</v>
      </c>
      <c r="W92" s="193">
        <f>V92-U92</f>
        <v>-1472.847</v>
      </c>
    </row>
    <row r="93" spans="1:24" s="185" customFormat="1" ht="18" customHeight="1">
      <c r="A93" s="610"/>
      <c r="B93" s="583"/>
      <c r="C93" s="583"/>
      <c r="D93" s="174" t="s">
        <v>55</v>
      </c>
      <c r="E93" s="210"/>
      <c r="F93" s="192">
        <f>№2!F93+№5!F93+'№ 6'!F93+№14!F93+'№ 20'!F93+'№ 23'!F93+№27!F93+'№ 31'!F93+'№ 41'!F93</f>
        <v>0</v>
      </c>
      <c r="G93" s="192">
        <f>№2!G93+№5!G93+'№ 6'!G93+№14!G93+'№ 20'!G93+'№ 23'!G93+№27!G93+'№ 31'!G93+'№ 41'!G93</f>
        <v>0</v>
      </c>
      <c r="H93" s="192">
        <f>№2!H93+№5!H93+'№ 6'!H93+№14!H93+'№ 20'!H93+'№ 23'!H93+№27!H93+'№ 31'!H93+'№ 41'!H93</f>
        <v>0</v>
      </c>
      <c r="I93" s="192">
        <f>№2!I93+№5!I93+'№ 6'!I93+№14!I93+'№ 20'!I93+'№ 23'!I93+№27!I93+'№ 31'!I93+'№ 41'!I93</f>
        <v>0</v>
      </c>
      <c r="J93" s="192">
        <f>№2!J93+№5!J93+'№ 6'!J93+№14!J93+'№ 20'!J93+'№ 23'!J93+№27!J93+'№ 31'!J93+'№ 41'!J93</f>
        <v>0</v>
      </c>
      <c r="K93" s="192">
        <f>№2!K93+№5!K93+'№ 6'!K93+№14!K93+'№ 20'!K93+'№ 23'!K93+№27!K93+'№ 31'!K93+'№ 41'!K93</f>
        <v>0</v>
      </c>
      <c r="L93" s="194">
        <f>SUM(F93:K93)</f>
        <v>0</v>
      </c>
      <c r="M93" s="194">
        <f>L93/6</f>
        <v>0</v>
      </c>
      <c r="N93" s="192">
        <f>№2!N93+№5!N93+'№ 6'!N93+№14!N93+'№ 20'!N93+'№ 23'!N93+№27!N93+'№ 31'!N93+'№ 41'!N93</f>
        <v>0</v>
      </c>
      <c r="O93" s="192">
        <f>№2!O93+№5!O93+'№ 6'!O93+№14!O93+'№ 20'!O93+'№ 23'!O93+№27!O93+'№ 31'!O93+'№ 41'!O93</f>
        <v>0</v>
      </c>
      <c r="P93" s="192">
        <f>№2!P93+№5!P93+'№ 6'!P93+№14!P93+'№ 20'!P93+'№ 23'!P93+№27!P93+'№ 31'!P93+'№ 41'!P93</f>
        <v>0</v>
      </c>
      <c r="Q93" s="192">
        <f>№2!Q93+№5!Q93+'№ 6'!Q93+№14!Q93+'№ 20'!Q93+'№ 23'!Q93+№27!Q93+'№ 31'!Q93+'№ 41'!Q93</f>
        <v>0</v>
      </c>
      <c r="R93" s="192">
        <f>№2!R93+№5!R93+'№ 6'!R93+№14!R93+'№ 20'!R93+'№ 23'!R93+№27!R93+'№ 31'!R93+'№ 41'!R93</f>
        <v>0</v>
      </c>
      <c r="S93" s="192">
        <f>№2!S93+№5!S93+'№ 6'!S93+№14!S93+'№ 20'!S93+'№ 23'!S93+№27!S93+'№ 31'!S93+'№ 41'!S93</f>
        <v>0</v>
      </c>
      <c r="T93" s="171">
        <f>SUM(N93:S93)</f>
        <v>0</v>
      </c>
      <c r="U93" s="171">
        <f>T93+L93</f>
        <v>0</v>
      </c>
      <c r="V93" s="171">
        <f>№2!V93+№5!V93+'№ 6'!V93+№14!V93+'№ 20'!V93+'№ 23'!V93+№27!V93+'№ 31'!V93+'№ 41'!V93</f>
        <v>0</v>
      </c>
      <c r="W93" s="193">
        <f>V93-U93</f>
        <v>0</v>
      </c>
    </row>
    <row r="94" spans="1:24" s="185" customFormat="1" ht="18" customHeight="1">
      <c r="A94" s="610"/>
      <c r="B94" s="583"/>
      <c r="C94" s="583"/>
      <c r="D94" s="174" t="s">
        <v>28</v>
      </c>
      <c r="E94" s="210"/>
      <c r="F94" s="192">
        <f>№2!F94+№5!F94+'№ 6'!F94+№14!F94+'№ 20'!F94+'№ 23'!F94+№27!F94+'№ 31'!F94+'№ 41'!F94</f>
        <v>0</v>
      </c>
      <c r="G94" s="192">
        <f>№2!G94+№5!G94+'№ 6'!G94+№14!G94+'№ 20'!G94+'№ 23'!G94+№27!G94+'№ 31'!G94+'№ 41'!G94</f>
        <v>2623.864</v>
      </c>
      <c r="H94" s="192">
        <f>№2!H94+№5!H94+'№ 6'!H94+№14!H94+'№ 20'!H94+'№ 23'!H94+№27!H94+'№ 31'!H94+'№ 41'!H94</f>
        <v>3392.761</v>
      </c>
      <c r="I94" s="192">
        <f>№2!I94+№5!I94+'№ 6'!I94+№14!I94+'№ 20'!I94+'№ 23'!I94+№27!I94+'№ 31'!I94+'№ 41'!I94</f>
        <v>1657.9269999999999</v>
      </c>
      <c r="J94" s="192">
        <f>№2!J94+№5!J94+'№ 6'!J94+№14!J94+'№ 20'!J94+'№ 23'!J94+№27!J94+'№ 31'!J94+'№ 41'!J94</f>
        <v>0</v>
      </c>
      <c r="K94" s="192">
        <f>№2!K94+№5!K94+'№ 6'!K94+№14!K94+'№ 20'!K94+'№ 23'!K94+№27!K94+'№ 31'!K94+'№ 41'!K94</f>
        <v>0</v>
      </c>
      <c r="L94" s="194">
        <f>SUM(F94:K94)</f>
        <v>7674.5519999999997</v>
      </c>
      <c r="M94" s="194">
        <f>L94/6</f>
        <v>1279.0920000000001</v>
      </c>
      <c r="N94" s="192">
        <f>№2!N94+№5!N94+'№ 6'!N94+№14!N94+'№ 20'!N94+'№ 23'!N94+№27!N94+'№ 31'!N94+'№ 41'!N94</f>
        <v>0</v>
      </c>
      <c r="O94" s="192">
        <f>№2!O94+№5!O94+'№ 6'!O94+№14!O94+'№ 20'!O94+'№ 23'!O94+№27!O94+'№ 31'!O94+'№ 41'!O94</f>
        <v>0</v>
      </c>
      <c r="P94" s="192">
        <f>№2!P94+№5!P94+'№ 6'!P94+№14!P94+'№ 20'!P94+'№ 23'!P94+№27!P94+'№ 31'!P94+'№ 41'!P94</f>
        <v>0</v>
      </c>
      <c r="Q94" s="192">
        <f>№2!Q94+№5!Q94+'№ 6'!Q94+№14!Q94+'№ 20'!Q94+'№ 23'!Q94+№27!Q94+'№ 31'!Q94+'№ 41'!Q94</f>
        <v>0</v>
      </c>
      <c r="R94" s="192">
        <f>№2!R94+№5!R94+'№ 6'!R94+№14!R94+'№ 20'!R94+'№ 23'!R94+№27!R94+'№ 31'!R94+'№ 41'!R94</f>
        <v>0</v>
      </c>
      <c r="S94" s="192">
        <f>№2!S94+№5!S94+'№ 6'!S94+№14!S94+'№ 20'!S94+'№ 23'!S94+№27!S94+'№ 31'!S94+'№ 41'!S94</f>
        <v>3223.9960000000001</v>
      </c>
      <c r="T94" s="171">
        <f>SUM(N94:S94)</f>
        <v>3223.9960000000001</v>
      </c>
      <c r="U94" s="171">
        <f>T94+L94</f>
        <v>10898.548000000001</v>
      </c>
      <c r="V94" s="171">
        <f>№2!V94+№5!V94+'№ 6'!V94+№14!V94+'№ 20'!V94+'№ 23'!V94+№27!V94+'№ 31'!V94+'№ 41'!V94</f>
        <v>10898.548000000001</v>
      </c>
      <c r="W94" s="193">
        <f>V94-U94</f>
        <v>0</v>
      </c>
    </row>
    <row r="95" spans="1:24" s="185" customFormat="1" ht="18" customHeight="1">
      <c r="A95" s="610"/>
      <c r="B95" s="583"/>
      <c r="C95" s="583"/>
      <c r="D95" s="178" t="s">
        <v>117</v>
      </c>
      <c r="E95" s="179">
        <f>№2!E95+№5!E95+'№ 6'!E95+№14!E95+'№ 20'!E95+'№ 23'!E95+№27!E95+'№ 31'!E95+'№ 41'!E95</f>
        <v>0</v>
      </c>
      <c r="F95" s="179">
        <f>№2!F95+№5!F95+'№ 6'!F95+№14!F95+'№ 20'!F95+'№ 23'!F95+№27!F95+'№ 31'!F95+'№ 41'!F95</f>
        <v>0</v>
      </c>
      <c r="G95" s="179">
        <f>№2!G95+№5!G95+'№ 6'!G95+№14!G95+'№ 20'!G95+'№ 23'!G95+№27!G95+'№ 31'!G95+'№ 41'!G95</f>
        <v>908.6</v>
      </c>
      <c r="H95" s="179">
        <f>№2!H95+№5!H95+'№ 6'!H95+№14!H95+'№ 20'!H95+'№ 23'!H95+№27!H95+'№ 31'!H95+'№ 41'!H95</f>
        <v>1075.7</v>
      </c>
      <c r="I95" s="179">
        <f>№2!I95+№5!I95+'№ 6'!I95+№14!I95+'№ 20'!I95+'№ 23'!I95+№27!I95+'№ 31'!I95+'№ 41'!I95</f>
        <v>583.9</v>
      </c>
      <c r="J95" s="179">
        <f>№2!J95+№5!J95+'№ 6'!J95+№14!J95+'№ 20'!J95+'№ 23'!J95+№27!J95+'№ 31'!J95+'№ 41'!J95</f>
        <v>-82.7</v>
      </c>
      <c r="K95" s="179">
        <f>№2!K95+№5!K95+'№ 6'!K95+№14!K95+'№ 20'!K95+'№ 23'!K95+№27!K95+'№ 31'!K95+'№ 41'!K95</f>
        <v>0</v>
      </c>
      <c r="L95" s="280">
        <f>SUM(F95:K95)</f>
        <v>2485.5</v>
      </c>
      <c r="M95" s="215">
        <f>L95/6</f>
        <v>414.3</v>
      </c>
      <c r="N95" s="179">
        <f>№2!N95+№5!N95+'№ 6'!N95+№14!N95+'№ 20'!N95+'№ 23'!N95+№27!N95+'№ 31'!N95+'№ 41'!N95</f>
        <v>-92.9</v>
      </c>
      <c r="O95" s="179">
        <f>№2!O95+№5!O95+'№ 6'!O95+№14!O95+'№ 20'!O95+'№ 23'!O95+№27!O95+'№ 31'!O95+'№ 41'!O95</f>
        <v>0</v>
      </c>
      <c r="P95" s="179">
        <f>№2!P95+№5!P95+'№ 6'!P95+№14!P95+'№ 20'!P95+'№ 23'!P95+№27!P95+'№ 31'!P95+'№ 41'!P95</f>
        <v>0</v>
      </c>
      <c r="Q95" s="179">
        <f>№2!Q95+№5!Q95+'№ 6'!Q95+№14!Q95+'№ 20'!Q95+'№ 23'!Q95+№27!Q95+'№ 31'!Q95+'№ 41'!Q95</f>
        <v>0</v>
      </c>
      <c r="R95" s="179">
        <f>№2!R95+№5!R95+'№ 6'!R95+№14!R95+'№ 20'!R95+'№ 23'!R95+№27!R95+'№ 31'!R95+'№ 41'!R95</f>
        <v>0</v>
      </c>
      <c r="S95" s="179">
        <f>№2!S95+№5!S95+'№ 6'!S95+№14!S95+'№ 20'!S95+'№ 23'!S95+№27!S95+'№ 31'!S95+'№ 41'!S95</f>
        <v>1652.4</v>
      </c>
      <c r="T95" s="215">
        <f>SUM(N95:S95)</f>
        <v>1559.5</v>
      </c>
      <c r="U95" s="215">
        <f>T95+L95</f>
        <v>4045</v>
      </c>
      <c r="V95" s="179">
        <f>№2!V95+№5!V95+'№ 6'!V95+№14!V95+'№ 20'!V95+'№ 23'!V95+№27!V95+'№ 31'!V95+'№ 41'!V95</f>
        <v>3724.3</v>
      </c>
      <c r="W95" s="184">
        <f>V95-U95</f>
        <v>-320.7</v>
      </c>
      <c r="X95" s="279">
        <f>U90-U95</f>
        <v>0</v>
      </c>
    </row>
    <row r="96" spans="1:24" s="185" customFormat="1" ht="18" customHeight="1">
      <c r="A96" s="610"/>
      <c r="B96" s="583"/>
      <c r="C96" s="583"/>
      <c r="D96" s="187" t="s">
        <v>27</v>
      </c>
      <c r="E96" s="188" t="e">
        <f t="shared" ref="E96:U96" si="134">E97/E95*1000</f>
        <v>#DIV/0!</v>
      </c>
      <c r="F96" s="188" t="e">
        <f t="shared" si="134"/>
        <v>#DIV/0!</v>
      </c>
      <c r="G96" s="188">
        <f t="shared" si="134"/>
        <v>2926.4769999999999</v>
      </c>
      <c r="H96" s="188">
        <f t="shared" si="134"/>
        <v>3096.7919999999999</v>
      </c>
      <c r="I96" s="188">
        <f t="shared" si="134"/>
        <v>3096.8150000000001</v>
      </c>
      <c r="J96" s="188">
        <f t="shared" si="134"/>
        <v>3094.8969999999999</v>
      </c>
      <c r="K96" s="188" t="e">
        <f t="shared" si="134"/>
        <v>#DIV/0!</v>
      </c>
      <c r="L96" s="217">
        <f t="shared" si="134"/>
        <v>3034.6</v>
      </c>
      <c r="M96" s="217">
        <f t="shared" si="134"/>
        <v>3034.23</v>
      </c>
      <c r="N96" s="188">
        <f t="shared" si="134"/>
        <v>3096.2539999999999</v>
      </c>
      <c r="O96" s="188" t="e">
        <f t="shared" si="134"/>
        <v>#DIV/0!</v>
      </c>
      <c r="P96" s="188" t="e">
        <f t="shared" si="134"/>
        <v>#DIV/0!</v>
      </c>
      <c r="Q96" s="188" t="e">
        <f t="shared" si="134"/>
        <v>#DIV/0!</v>
      </c>
      <c r="R96" s="188" t="e">
        <f t="shared" si="134"/>
        <v>#DIV/0!</v>
      </c>
      <c r="S96" s="188">
        <f t="shared" si="134"/>
        <v>3096.4290000000001</v>
      </c>
      <c r="T96" s="217">
        <f t="shared" si="134"/>
        <v>3096.44</v>
      </c>
      <c r="U96" s="217">
        <f t="shared" si="134"/>
        <v>3058.44</v>
      </c>
      <c r="V96" s="218">
        <f t="shared" ref="V96" si="135">V97/V95*1000</f>
        <v>2926.335</v>
      </c>
      <c r="W96" s="189">
        <f>W97/W95*1000</f>
        <v>4592.6009999999997</v>
      </c>
    </row>
    <row r="97" spans="1:25" s="176" customFormat="1" ht="18" customHeight="1">
      <c r="A97" s="610"/>
      <c r="B97" s="583"/>
      <c r="C97" s="583"/>
      <c r="D97" s="198" t="s">
        <v>25</v>
      </c>
      <c r="E97" s="199">
        <f>№2!E97+№5!E97+'№ 6'!E97+№14!E97+'№ 20'!E97+'№ 23'!E97+№27!E97+'№ 31'!E97+'№ 41'!E97</f>
        <v>0</v>
      </c>
      <c r="F97" s="199">
        <f>№2!F97+№5!F97+'№ 6'!F97+№14!F97+'№ 20'!F97+'№ 23'!F97+№27!F97+'№ 31'!F97+'№ 41'!F97</f>
        <v>0</v>
      </c>
      <c r="G97" s="199">
        <f>№2!G97+№5!G97+'№ 6'!G97+№14!G97+'№ 20'!G97+'№ 23'!G97+№27!G97+'№ 31'!G97+'№ 41'!G97</f>
        <v>2658.9969999999998</v>
      </c>
      <c r="H97" s="199">
        <f>№2!H97+№5!H97+'№ 6'!H97+№14!H97+'№ 20'!H97+'№ 23'!H97+№27!H97+'№ 31'!H97+'№ 41'!H97</f>
        <v>3331.2190000000001</v>
      </c>
      <c r="I97" s="199">
        <f>№2!I97+№5!I97+'№ 6'!I97+№14!I97+'№ 20'!I97+'№ 23'!I97+№27!I97+'№ 31'!I97+'№ 41'!I97</f>
        <v>1808.23</v>
      </c>
      <c r="J97" s="199">
        <f>№2!J97+№5!J97+'№ 6'!J97+№14!J97+'№ 20'!J97+'№ 23'!J97+№27!J97+'№ 31'!J97+'№ 41'!J97</f>
        <v>-255.94800000000001</v>
      </c>
      <c r="K97" s="199">
        <f>№2!K97+№5!K97+'№ 6'!K97+№14!K97+'№ 20'!K97+'№ 23'!K97+№27!K97+'№ 31'!K97+'№ 41'!K97</f>
        <v>0</v>
      </c>
      <c r="L97" s="199">
        <f>SUM(F97:K97)</f>
        <v>7542.4979999999996</v>
      </c>
      <c r="M97" s="199">
        <f>L97/6</f>
        <v>1257.0830000000001</v>
      </c>
      <c r="N97" s="199">
        <f>№2!N97+№5!N97+'№ 6'!N97+№14!N97+'№ 20'!N97+'№ 23'!N97+№27!N97+'№ 31'!N97+'№ 41'!N97</f>
        <v>-287.642</v>
      </c>
      <c r="O97" s="199">
        <f>№2!O97+№5!O97+'№ 6'!O97+№14!O97+'№ 20'!O97+'№ 23'!O97+№27!O97+'№ 31'!O97+'№ 41'!O97</f>
        <v>0</v>
      </c>
      <c r="P97" s="199">
        <f>№2!P97+№5!P97+'№ 6'!P97+№14!P97+'№ 20'!P97+'№ 23'!P97+№27!P97+'№ 31'!P97+'№ 41'!P97</f>
        <v>0</v>
      </c>
      <c r="Q97" s="199">
        <f>№2!Q97+№5!Q97+'№ 6'!Q97+№14!Q97+'№ 20'!Q97+'№ 23'!Q97+№27!Q97+'№ 31'!Q97+'№ 41'!Q97</f>
        <v>0</v>
      </c>
      <c r="R97" s="199">
        <f>№2!R97+№5!R97+'№ 6'!R97+№14!R97+'№ 20'!R97+'№ 23'!R97+№27!R97+'№ 31'!R97+'№ 41'!R97</f>
        <v>0</v>
      </c>
      <c r="S97" s="175">
        <f>№2!S97+№5!S97+'№ 6'!S97+№14!S97+'№ 20'!S97+'№ 23'!S97+№27!S97+'№ 31'!S97+'№ 41'!S97</f>
        <v>5116.5389999999998</v>
      </c>
      <c r="T97" s="175">
        <f>SUM(N97:S97)</f>
        <v>4828.8969999999999</v>
      </c>
      <c r="U97" s="175">
        <f>T97+L97</f>
        <v>12371.395</v>
      </c>
      <c r="V97" s="175">
        <f>№2!V97+№5!V97+'№ 6'!V97+№14!V97+'№ 20'!V97+'№ 23'!V97+№27!V97+'№ 31'!V97+'№ 41'!V97</f>
        <v>10898.548000000001</v>
      </c>
      <c r="W97" s="221">
        <f>V97-U97</f>
        <v>-1472.847</v>
      </c>
      <c r="X97" s="176">
        <f>U92-U97</f>
        <v>0</v>
      </c>
      <c r="Y97" s="213"/>
    </row>
    <row r="98" spans="1:25" s="176" customFormat="1" ht="18" customHeight="1">
      <c r="A98" s="610"/>
      <c r="B98" s="583"/>
      <c r="C98" s="583"/>
      <c r="D98" s="201" t="s">
        <v>55</v>
      </c>
      <c r="E98" s="220"/>
      <c r="F98" s="199">
        <f>№2!F98+№5!F98+'№ 6'!F98+№14!F98+'№ 20'!F98+'№ 23'!F98+№27!F98+'№ 31'!F98+'№ 41'!F98</f>
        <v>0</v>
      </c>
      <c r="G98" s="199">
        <f>№2!G98+№5!G98+'№ 6'!G98+№14!G98+'№ 20'!G98+'№ 23'!G98+№27!G98+'№ 31'!G98+'№ 41'!G98</f>
        <v>0</v>
      </c>
      <c r="H98" s="199">
        <f>№2!H98+№5!H98+'№ 6'!H98+№14!H98+'№ 20'!H98+'№ 23'!H98+№27!H98+'№ 31'!H98+'№ 41'!H98</f>
        <v>0</v>
      </c>
      <c r="I98" s="199">
        <f>№2!I98+№5!I98+'№ 6'!I98+№14!I98+'№ 20'!I98+'№ 23'!I98+№27!I98+'№ 31'!I98+'№ 41'!I98</f>
        <v>0</v>
      </c>
      <c r="J98" s="199">
        <f>№2!J98+№5!J98+'№ 6'!J98+№14!J98+'№ 20'!J98+'№ 23'!J98+№27!J98+'№ 31'!J98+'№ 41'!J98</f>
        <v>0</v>
      </c>
      <c r="K98" s="199">
        <f>№2!K98+№5!K98+'№ 6'!K98+№14!K98+'№ 20'!K98+'№ 23'!K98+№27!K98+'№ 31'!K98+'№ 41'!K98</f>
        <v>0</v>
      </c>
      <c r="L98" s="199">
        <f>SUM(F98:K98)</f>
        <v>0</v>
      </c>
      <c r="M98" s="199">
        <f>L98/6</f>
        <v>0</v>
      </c>
      <c r="N98" s="199">
        <f>№2!N98+№5!N98+'№ 6'!N98+№14!N98+'№ 20'!N98+'№ 23'!N98+№27!N98+'№ 31'!N98+'№ 41'!N98</f>
        <v>0</v>
      </c>
      <c r="O98" s="199">
        <f>№2!O98+№5!O98+'№ 6'!O98+№14!O98+'№ 20'!O98+'№ 23'!O98+№27!O98+'№ 31'!O98+'№ 41'!O98</f>
        <v>0</v>
      </c>
      <c r="P98" s="199">
        <f>№2!P98+№5!P98+'№ 6'!P98+№14!P98+'№ 20'!P98+'№ 23'!P98+№27!P98+'№ 31'!P98+'№ 41'!P98</f>
        <v>0</v>
      </c>
      <c r="Q98" s="199">
        <f>№2!Q98+№5!Q98+'№ 6'!Q98+№14!Q98+'№ 20'!Q98+'№ 23'!Q98+№27!Q98+'№ 31'!Q98+'№ 41'!Q98</f>
        <v>0</v>
      </c>
      <c r="R98" s="199">
        <f>№2!R98+№5!R98+'№ 6'!R98+№14!R98+'№ 20'!R98+'№ 23'!R98+№27!R98+'№ 31'!R98+'№ 41'!R98</f>
        <v>0</v>
      </c>
      <c r="S98" s="175">
        <f>№2!S98+№5!S98+'№ 6'!S98+№14!S98+'№ 20'!S98+'№ 23'!S98+№27!S98+'№ 31'!S98+'№ 41'!S98</f>
        <v>0</v>
      </c>
      <c r="T98" s="175">
        <f>SUM(N98:S98)</f>
        <v>0</v>
      </c>
      <c r="U98" s="175">
        <f>T98+L98</f>
        <v>0</v>
      </c>
      <c r="V98" s="175">
        <f>№2!V98+№5!V98+'№ 6'!V98+№14!V98+'№ 20'!V98+'№ 23'!V98+№27!V98+'№ 31'!V98+'№ 41'!V98</f>
        <v>0</v>
      </c>
      <c r="W98" s="221">
        <f>V98-U98</f>
        <v>0</v>
      </c>
      <c r="X98" s="176">
        <f>U93-U98</f>
        <v>0</v>
      </c>
    </row>
    <row r="99" spans="1:25" s="176" customFormat="1" ht="18" customHeight="1">
      <c r="A99" s="610"/>
      <c r="B99" s="583"/>
      <c r="C99" s="583"/>
      <c r="D99" s="201" t="s">
        <v>24</v>
      </c>
      <c r="E99" s="220"/>
      <c r="F99" s="199">
        <f>№2!F99+№5!F99+'№ 6'!F99+№14!F99+'№ 20'!F99+'№ 23'!F99+№27!F99+'№ 31'!F99+'№ 41'!F99</f>
        <v>0</v>
      </c>
      <c r="G99" s="199">
        <f>№2!G99+№5!G99+'№ 6'!G99+№14!G99+'№ 20'!G99+'№ 23'!G99+№27!G99+'№ 31'!G99+'№ 41'!G99</f>
        <v>2658.9969999999998</v>
      </c>
      <c r="H99" s="199">
        <f>№2!H99+№5!H99+'№ 6'!H99+№14!H99+'№ 20'!H99+'№ 23'!H99+№27!H99+'№ 31'!H99+'№ 41'!H99</f>
        <v>3331.2190000000001</v>
      </c>
      <c r="I99" s="199">
        <f>№2!I99+№5!I99+'№ 6'!I99+№14!I99+'№ 20'!I99+'№ 23'!I99+№27!I99+'№ 31'!I99+'№ 41'!I99</f>
        <v>1808.23</v>
      </c>
      <c r="J99" s="199">
        <f>№2!J99+№5!J99+'№ 6'!J99+№14!J99+'№ 20'!J99+'№ 23'!J99+№27!J99+'№ 31'!J99+'№ 41'!J99</f>
        <v>-255.94800000000001</v>
      </c>
      <c r="K99" s="199">
        <f>№2!K99+№5!K99+'№ 6'!K99+№14!K99+'№ 20'!K99+'№ 23'!K99+№27!K99+'№ 31'!K99+'№ 41'!K99</f>
        <v>0</v>
      </c>
      <c r="L99" s="199">
        <f>SUM(F99:K99)</f>
        <v>7542.4979999999996</v>
      </c>
      <c r="M99" s="199">
        <f>L99/6</f>
        <v>1257.0830000000001</v>
      </c>
      <c r="N99" s="199">
        <f>№2!N99+№5!N99+'№ 6'!N99+№14!N99+'№ 20'!N99+'№ 23'!N99+№27!N99+'№ 31'!N99+'№ 41'!N99</f>
        <v>-287.642</v>
      </c>
      <c r="O99" s="199">
        <f>№2!O99+№5!O99+'№ 6'!O99+№14!O99+'№ 20'!O99+'№ 23'!O99+№27!O99+'№ 31'!O99+'№ 41'!O99</f>
        <v>0</v>
      </c>
      <c r="P99" s="199">
        <f>№2!P99+№5!P99+'№ 6'!P99+№14!P99+'№ 20'!P99+'№ 23'!P99+№27!P99+'№ 31'!P99+'№ 41'!P99</f>
        <v>0</v>
      </c>
      <c r="Q99" s="199">
        <f>№2!Q99+№5!Q99+'№ 6'!Q99+№14!Q99+'№ 20'!Q99+'№ 23'!Q99+№27!Q99+'№ 31'!Q99+'№ 41'!Q99</f>
        <v>0</v>
      </c>
      <c r="R99" s="199">
        <f>№2!R99+№5!R99+'№ 6'!R99+№14!R99+'№ 20'!R99+'№ 23'!R99+№27!R99+'№ 31'!R99+'№ 41'!R99</f>
        <v>0</v>
      </c>
      <c r="S99" s="175">
        <f>№2!S99+№5!S99+'№ 6'!S99+№14!S99+'№ 20'!S99+'№ 23'!S99+№27!S99+'№ 31'!S99+'№ 41'!S99</f>
        <v>5116.5389999999998</v>
      </c>
      <c r="T99" s="175">
        <f>SUM(N99:S99)</f>
        <v>4828.8969999999999</v>
      </c>
      <c r="U99" s="175">
        <f>T99+L99</f>
        <v>12371.395</v>
      </c>
      <c r="V99" s="175">
        <f>№2!V99+№5!V99+'№ 6'!V99+№14!V99+'№ 20'!V99+'№ 23'!V99+№27!V99+'№ 31'!V99+'№ 41'!V99</f>
        <v>10898.548000000001</v>
      </c>
      <c r="W99" s="221">
        <f>V99-U99</f>
        <v>-1472.847</v>
      </c>
      <c r="X99" s="176">
        <f>U94-U99</f>
        <v>-1472.847</v>
      </c>
    </row>
    <row r="100" spans="1:25" s="205" customFormat="1" ht="18" customHeight="1">
      <c r="A100" s="610"/>
      <c r="B100" s="583"/>
      <c r="C100" s="583"/>
      <c r="D100" s="202" t="s">
        <v>29</v>
      </c>
      <c r="E100" s="203"/>
      <c r="F100" s="203">
        <f t="shared" ref="F100:K100" si="136">F94</f>
        <v>0</v>
      </c>
      <c r="G100" s="203">
        <f t="shared" si="136"/>
        <v>2623.864</v>
      </c>
      <c r="H100" s="203">
        <f t="shared" si="136"/>
        <v>3392.761</v>
      </c>
      <c r="I100" s="203">
        <f t="shared" si="136"/>
        <v>1657.9269999999999</v>
      </c>
      <c r="J100" s="203">
        <f t="shared" si="136"/>
        <v>0</v>
      </c>
      <c r="K100" s="203">
        <f t="shared" si="136"/>
        <v>0</v>
      </c>
      <c r="L100" s="203">
        <f>SUM(F100:K100)</f>
        <v>7674.5519999999997</v>
      </c>
      <c r="M100" s="203">
        <f>L100/6</f>
        <v>1279.0920000000001</v>
      </c>
      <c r="N100" s="203">
        <f t="shared" ref="N100:S100" si="137">N94+N93</f>
        <v>0</v>
      </c>
      <c r="O100" s="203">
        <f t="shared" si="137"/>
        <v>0</v>
      </c>
      <c r="P100" s="203">
        <f t="shared" si="137"/>
        <v>0</v>
      </c>
      <c r="Q100" s="203">
        <f t="shared" si="137"/>
        <v>0</v>
      </c>
      <c r="R100" s="203">
        <f t="shared" si="137"/>
        <v>0</v>
      </c>
      <c r="S100" s="204">
        <f t="shared" si="137"/>
        <v>3223.9960000000001</v>
      </c>
      <c r="T100" s="204">
        <f>SUM(N100:S100)</f>
        <v>3223.9960000000001</v>
      </c>
      <c r="U100" s="204">
        <f>T100+L100</f>
        <v>10898.548000000001</v>
      </c>
      <c r="V100" s="204">
        <f>V94+V93</f>
        <v>10898.548000000001</v>
      </c>
      <c r="W100" s="203">
        <f>V100-U100</f>
        <v>0</v>
      </c>
    </row>
    <row r="101" spans="1:25" s="205" customFormat="1" ht="18" customHeight="1">
      <c r="A101" s="610"/>
      <c r="B101" s="583"/>
      <c r="C101" s="583"/>
      <c r="D101" s="202" t="s">
        <v>30</v>
      </c>
      <c r="E101" s="203"/>
      <c r="F101" s="203">
        <f>F97-F100</f>
        <v>0</v>
      </c>
      <c r="G101" s="203">
        <f>G97-G100</f>
        <v>35.133000000000003</v>
      </c>
      <c r="H101" s="203">
        <v>0</v>
      </c>
      <c r="I101" s="203">
        <v>0</v>
      </c>
      <c r="J101" s="203">
        <f>J97-J100</f>
        <v>-255.94800000000001</v>
      </c>
      <c r="K101" s="203">
        <f>K97-K100</f>
        <v>0</v>
      </c>
      <c r="L101" s="203"/>
      <c r="M101" s="203"/>
      <c r="N101" s="203">
        <f>N97-N100</f>
        <v>-287.642</v>
      </c>
      <c r="O101" s="203">
        <f>O97-O100</f>
        <v>0</v>
      </c>
      <c r="P101" s="203">
        <f>P97-P100</f>
        <v>0</v>
      </c>
      <c r="Q101" s="203">
        <f>Q97-Q100</f>
        <v>0</v>
      </c>
      <c r="R101" s="203">
        <f>R97-R100</f>
        <v>0</v>
      </c>
      <c r="S101" s="203">
        <v>0</v>
      </c>
      <c r="T101" s="203"/>
      <c r="U101" s="203"/>
      <c r="V101" s="203"/>
      <c r="W101" s="203"/>
    </row>
    <row r="102" spans="1:25" s="205" customFormat="1" ht="18" customHeight="1">
      <c r="A102" s="610"/>
      <c r="B102" s="583"/>
      <c r="C102" s="584"/>
      <c r="D102" s="202" t="s">
        <v>31</v>
      </c>
      <c r="E102" s="203"/>
      <c r="F102" s="203">
        <f>F101</f>
        <v>0</v>
      </c>
      <c r="G102" s="203">
        <f>G101+F102</f>
        <v>35.133000000000003</v>
      </c>
      <c r="H102" s="203">
        <f>H101+G102</f>
        <v>35.133000000000003</v>
      </c>
      <c r="I102" s="203">
        <f>I101+H102</f>
        <v>35.133000000000003</v>
      </c>
      <c r="J102" s="203">
        <f>J101+I102</f>
        <v>-220.815</v>
      </c>
      <c r="K102" s="203">
        <f>K101+J102</f>
        <v>-220.815</v>
      </c>
      <c r="L102" s="203"/>
      <c r="M102" s="203"/>
      <c r="N102" s="203">
        <f>N101+K102</f>
        <v>-508.45699999999999</v>
      </c>
      <c r="O102" s="203">
        <f>O101+N102</f>
        <v>-508.45699999999999</v>
      </c>
      <c r="P102" s="203">
        <f>P101+O102</f>
        <v>-508.45699999999999</v>
      </c>
      <c r="Q102" s="203">
        <f>Q101+P102</f>
        <v>-508.45699999999999</v>
      </c>
      <c r="R102" s="203">
        <f>R101+Q102</f>
        <v>-508.45699999999999</v>
      </c>
      <c r="S102" s="203">
        <f>S101+R102</f>
        <v>-508.45699999999999</v>
      </c>
      <c r="T102" s="203"/>
      <c r="U102" s="203"/>
      <c r="V102" s="203"/>
      <c r="W102" s="203"/>
    </row>
    <row r="103" spans="1:25" s="205" customFormat="1" ht="18" customHeight="1">
      <c r="A103" s="610"/>
      <c r="B103" s="583"/>
      <c r="C103" s="582" t="s">
        <v>96</v>
      </c>
      <c r="D103" s="178" t="s">
        <v>105</v>
      </c>
      <c r="E103" s="179"/>
      <c r="F103" s="184">
        <f>№2!F103+№5!F103+'№ 6'!F103+№14!F103+'№ 20'!F103+'№ 23'!F103+№27!F103+'№ 31'!F103+'№ 41'!F103</f>
        <v>0</v>
      </c>
      <c r="G103" s="184">
        <f>№2!G103+№5!G103+'№ 6'!G103+№14!G103+'№ 20'!G103+'№ 23'!G103+№27!G103+'№ 31'!G103+'№ 41'!G103</f>
        <v>0</v>
      </c>
      <c r="H103" s="179">
        <f>№2!H103+№5!H103+'№ 6'!H103+№14!H103+'№ 20'!H103+'№ 23'!H103+№27!H103+'№ 31'!H103+'№ 41'!H103</f>
        <v>0</v>
      </c>
      <c r="I103" s="179">
        <f>№2!I103+№5!I103+'№ 6'!I103+№14!I103+'№ 20'!I103+'№ 23'!I103+№27!I103+'№ 31'!I103+'№ 41'!I103</f>
        <v>0</v>
      </c>
      <c r="J103" s="179">
        <f>№2!J103+№5!J103+'№ 6'!J103+№14!J103+'№ 20'!J103+'№ 23'!J103+№27!J103+'№ 31'!J103+'№ 41'!J103</f>
        <v>0</v>
      </c>
      <c r="K103" s="179">
        <f>№2!K103+№5!K103+'№ 6'!K103+№14!K103+'№ 20'!K103+'№ 23'!K103+№27!K103+'№ 31'!K103+'№ 41'!K103</f>
        <v>0</v>
      </c>
      <c r="L103" s="215">
        <f>SUM(F103:K103)</f>
        <v>0</v>
      </c>
      <c r="M103" s="215">
        <f>L103/6</f>
        <v>0</v>
      </c>
      <c r="N103" s="179">
        <f>№2!N103+№5!N103+'№ 6'!N103+№14!N103+'№ 20'!N103+'№ 23'!N103+№27!N103+'№ 31'!N103+'№ 41'!N103</f>
        <v>0</v>
      </c>
      <c r="O103" s="179">
        <f>№2!O103+№5!O103+'№ 6'!O103+№14!O103+'№ 20'!O103+'№ 23'!O103+№27!O103+'№ 31'!O103+'№ 41'!O103</f>
        <v>0</v>
      </c>
      <c r="P103" s="179">
        <f>№2!P103+№5!P103+'№ 6'!P103+№14!P103+'№ 20'!P103+'№ 23'!P103+№27!P103+'№ 31'!P103+'№ 41'!P103</f>
        <v>0</v>
      </c>
      <c r="Q103" s="179">
        <f>№2!Q103+№5!Q103+'№ 6'!Q103+№14!Q103+'№ 20'!Q103+'№ 23'!Q103+№27!Q103+'№ 31'!Q103+'№ 41'!Q103</f>
        <v>0</v>
      </c>
      <c r="R103" s="179">
        <f>№2!R103+№5!R103+'№ 6'!R103+№14!R103+'№ 20'!R103+'№ 23'!R103+№27!R103+'№ 31'!R103+'№ 41'!R103</f>
        <v>0</v>
      </c>
      <c r="S103" s="179">
        <f>№2!S103+№5!S103+'№ 6'!S103+№14!S103+'№ 20'!S103+'№ 23'!S103+№27!S103+'№ 31'!S103+'№ 41'!S103</f>
        <v>0</v>
      </c>
      <c r="T103" s="215">
        <f>SUM(N103:S103)</f>
        <v>0</v>
      </c>
      <c r="U103" s="215">
        <f>T103+L103</f>
        <v>0</v>
      </c>
      <c r="V103" s="179">
        <f>№2!V103+№5!V103+'№ 6'!V103+№14!V103+'№ 20'!V103+'№ 23'!V103+№27!V103+'№ 31'!V103+'№ 41'!V103</f>
        <v>0</v>
      </c>
      <c r="W103" s="184"/>
    </row>
    <row r="104" spans="1:25" s="205" customFormat="1" ht="18" customHeight="1">
      <c r="A104" s="610"/>
      <c r="B104" s="583"/>
      <c r="C104" s="583"/>
      <c r="D104" s="178" t="s">
        <v>109</v>
      </c>
      <c r="E104" s="179"/>
      <c r="F104" s="184">
        <f>№2!F104+№5!F104+'№ 6'!F104+№14!F104+'№ 20'!F104+'№ 23'!F104+№27!F104+'№ 31'!F104+'№ 41'!F104</f>
        <v>1</v>
      </c>
      <c r="G104" s="184">
        <f>№2!G104+№5!G104+'№ 6'!G104+№14!G104+'№ 20'!G104+'№ 23'!G104+№27!G104+'№ 31'!G104+'№ 41'!G104</f>
        <v>1</v>
      </c>
      <c r="H104" s="179">
        <f>№2!H104+№5!H104+'№ 6'!H104+№14!H104+'№ 20'!H104+'№ 23'!H104+№27!H104+'№ 31'!H104+'№ 41'!H104</f>
        <v>1</v>
      </c>
      <c r="I104" s="179">
        <f>№2!I104+№5!I104+'№ 6'!I104+№14!I104+'№ 20'!I104+'№ 23'!I104+№27!I104+'№ 31'!I104+'№ 41'!I104</f>
        <v>1</v>
      </c>
      <c r="J104" s="179">
        <f>№2!J104+№5!J104+'№ 6'!J104+№14!J104+'№ 20'!J104+'№ 23'!J104+№27!J104+'№ 31'!J104+'№ 41'!J104</f>
        <v>1</v>
      </c>
      <c r="K104" s="179">
        <f>№2!K104+№5!K104+'№ 6'!K104+№14!K104+'№ 20'!K104+'№ 23'!K104+№27!K104+'№ 31'!K104+'№ 41'!K104</f>
        <v>1</v>
      </c>
      <c r="L104" s="215">
        <f>SUM(F104:K104)</f>
        <v>6</v>
      </c>
      <c r="M104" s="215">
        <f>L104/6</f>
        <v>1</v>
      </c>
      <c r="N104" s="179">
        <f>№2!N104+№5!N104+'№ 6'!N104+№14!N104+'№ 20'!N104+'№ 23'!N104+№27!N104+'№ 31'!N104+'№ 41'!N104</f>
        <v>1</v>
      </c>
      <c r="O104" s="179">
        <f>№2!O104+№5!O104+'№ 6'!O104+№14!O104+'№ 20'!O104+'№ 23'!O104+№27!O104+'№ 31'!O104+'№ 41'!O104</f>
        <v>1</v>
      </c>
      <c r="P104" s="179">
        <f>№2!P104+№5!P104+'№ 6'!P104+№14!P104+'№ 20'!P104+'№ 23'!P104+№27!P104+'№ 31'!P104+'№ 41'!P104</f>
        <v>1</v>
      </c>
      <c r="Q104" s="179">
        <f>№2!Q104+№5!Q104+'№ 6'!Q104+№14!Q104+'№ 20'!Q104+'№ 23'!Q104+№27!Q104+'№ 31'!Q104+'№ 41'!Q104</f>
        <v>1</v>
      </c>
      <c r="R104" s="179">
        <f>№2!R104+№5!R104+'№ 6'!R104+№14!R104+'№ 20'!R104+'№ 23'!R104+№27!R104+'№ 31'!R104+'№ 41'!R104</f>
        <v>1</v>
      </c>
      <c r="S104" s="179">
        <f>№2!S104+№5!S104+'№ 6'!S104+№14!S104+'№ 20'!S104+'№ 23'!S104+№27!S104+'№ 31'!S104+'№ 41'!S104</f>
        <v>1</v>
      </c>
      <c r="T104" s="215">
        <f>SUM(N104:S104)</f>
        <v>6</v>
      </c>
      <c r="U104" s="215">
        <f>T104+L104</f>
        <v>12</v>
      </c>
      <c r="V104" s="179">
        <f>№2!V104+№5!V104+'№ 6'!V104+№14!V104+'№ 20'!V104+'№ 23'!V104+№27!V104+'№ 31'!V104+'№ 41'!V104</f>
        <v>12</v>
      </c>
      <c r="W104" s="184"/>
    </row>
    <row r="105" spans="1:25" s="205" customFormat="1" ht="18" customHeight="1">
      <c r="A105" s="610"/>
      <c r="B105" s="583"/>
      <c r="C105" s="583"/>
      <c r="D105" s="178" t="s">
        <v>116</v>
      </c>
      <c r="E105" s="179"/>
      <c r="F105" s="184">
        <f>№2!F105+№5!F105+'№ 6'!F105+№14!F105+'№ 20'!F105+'№ 23'!F105+№27!F105+'№ 31'!F105+'№ 41'!F105</f>
        <v>1</v>
      </c>
      <c r="G105" s="184">
        <f>№2!G105+№5!G105+'№ 6'!G105+№14!G105+'№ 20'!G105+'№ 23'!G105+№27!G105+'№ 31'!G105+'№ 41'!G105</f>
        <v>1</v>
      </c>
      <c r="H105" s="179">
        <f>№2!H105+№5!H105+'№ 6'!H105+№14!H105+'№ 20'!H105+'№ 23'!H105+№27!H105+'№ 31'!H105+'№ 41'!H105</f>
        <v>1</v>
      </c>
      <c r="I105" s="179">
        <f>№2!I105+№5!I105+'№ 6'!I105+№14!I105+'№ 20'!I105+'№ 23'!I105+№27!I105+'№ 31'!I105+'№ 41'!I105</f>
        <v>1</v>
      </c>
      <c r="J105" s="179">
        <f>№2!J105+№5!J105+'№ 6'!J105+№14!J105+'№ 20'!J105+'№ 23'!J105+№27!J105+'№ 31'!J105+'№ 41'!J105</f>
        <v>1</v>
      </c>
      <c r="K105" s="179">
        <f>№2!K105+№5!K105+'№ 6'!K105+№14!K105+'№ 20'!K105+'№ 23'!K105+№27!K105+'№ 31'!K105+'№ 41'!K105</f>
        <v>1</v>
      </c>
      <c r="L105" s="215">
        <f>SUM(F105:K105)</f>
        <v>6</v>
      </c>
      <c r="M105" s="215">
        <f>L105/6</f>
        <v>1</v>
      </c>
      <c r="N105" s="184">
        <f>№2!N105+№5!N105+'№ 6'!N105+№14!N105+'№ 20'!N105+'№ 23'!N105+№27!N105+'№ 31'!N105+'№ 41'!N105</f>
        <v>1</v>
      </c>
      <c r="O105" s="184">
        <f>№2!O105+№5!O105+'№ 6'!O105+№14!O105+'№ 20'!O105+'№ 23'!O105+№27!O105+'№ 31'!O105+'№ 41'!O105</f>
        <v>1</v>
      </c>
      <c r="P105" s="184">
        <f>№2!P105+№5!P105+'№ 6'!P105+№14!P105+'№ 20'!P105+'№ 23'!P105+№27!P105+'№ 31'!P105+'№ 41'!P105</f>
        <v>3</v>
      </c>
      <c r="Q105" s="184">
        <f>№2!Q105+№5!Q105+'№ 6'!Q105+№14!Q105+'№ 20'!Q105+'№ 23'!Q105+№27!Q105+'№ 31'!Q105+'№ 41'!Q105</f>
        <v>3</v>
      </c>
      <c r="R105" s="184">
        <f>№2!R105+№5!R105+'№ 6'!R105+№14!R105+'№ 20'!R105+'№ 23'!R105+№27!R105+'№ 31'!R105+'№ 41'!R105</f>
        <v>3</v>
      </c>
      <c r="S105" s="184">
        <f>№2!S105+№5!S105+'№ 6'!S105+№14!S105+'№ 20'!S105+'№ 23'!S105+№27!S105+'№ 31'!S105+'№ 41'!S105</f>
        <v>3</v>
      </c>
      <c r="T105" s="215">
        <f>SUM(N105:S105)</f>
        <v>14</v>
      </c>
      <c r="U105" s="215">
        <f>T105+L105</f>
        <v>20</v>
      </c>
      <c r="V105" s="179">
        <f>№2!V105+№5!V105+'№ 6'!V105+№14!V105+'№ 20'!V105+'№ 23'!V105+№27!V105+'№ 31'!V105+'№ 41'!V105</f>
        <v>36</v>
      </c>
      <c r="W105" s="184">
        <f>U105-V105</f>
        <v>-16</v>
      </c>
    </row>
    <row r="106" spans="1:25" s="205" customFormat="1" ht="18" customHeight="1">
      <c r="A106" s="610"/>
      <c r="B106" s="583"/>
      <c r="C106" s="583"/>
      <c r="D106" s="187" t="s">
        <v>27</v>
      </c>
      <c r="E106" s="188"/>
      <c r="F106" s="188">
        <f t="shared" ref="F106:U106" si="138">F107/F105*1000</f>
        <v>24</v>
      </c>
      <c r="G106" s="188">
        <f t="shared" si="138"/>
        <v>24</v>
      </c>
      <c r="H106" s="188">
        <f t="shared" si="138"/>
        <v>24</v>
      </c>
      <c r="I106" s="188">
        <f t="shared" si="138"/>
        <v>24</v>
      </c>
      <c r="J106" s="188">
        <f t="shared" si="138"/>
        <v>24</v>
      </c>
      <c r="K106" s="188">
        <f t="shared" si="138"/>
        <v>24</v>
      </c>
      <c r="L106" s="217">
        <f t="shared" si="138"/>
        <v>24</v>
      </c>
      <c r="M106" s="217">
        <f t="shared" si="138"/>
        <v>24</v>
      </c>
      <c r="N106" s="218">
        <f t="shared" si="138"/>
        <v>24</v>
      </c>
      <c r="O106" s="218">
        <f t="shared" si="138"/>
        <v>24</v>
      </c>
      <c r="P106" s="218">
        <f t="shared" si="138"/>
        <v>8</v>
      </c>
      <c r="Q106" s="218">
        <f t="shared" si="138"/>
        <v>24</v>
      </c>
      <c r="R106" s="218">
        <f t="shared" si="138"/>
        <v>24</v>
      </c>
      <c r="S106" s="218">
        <f t="shared" si="138"/>
        <v>24</v>
      </c>
      <c r="T106" s="217">
        <f t="shared" si="138"/>
        <v>20.57</v>
      </c>
      <c r="U106" s="217">
        <f t="shared" si="138"/>
        <v>21.6</v>
      </c>
      <c r="V106" s="218">
        <f t="shared" ref="V106" si="139">V107/V105*1000</f>
        <v>24</v>
      </c>
      <c r="W106" s="219">
        <f>W107/W105*1000</f>
        <v>-27</v>
      </c>
    </row>
    <row r="107" spans="1:25" s="205" customFormat="1" ht="18" customHeight="1">
      <c r="A107" s="610"/>
      <c r="B107" s="583"/>
      <c r="C107" s="583"/>
      <c r="D107" s="191" t="s">
        <v>0</v>
      </c>
      <c r="E107" s="192"/>
      <c r="F107" s="192">
        <f>№2!F107+№5!F107+'№ 6'!F107+№14!F107+'№ 20'!F107+'№ 23'!F107+№27!F107+'№ 31'!F107+'№ 41'!F107</f>
        <v>2.4E-2</v>
      </c>
      <c r="G107" s="192">
        <f>№2!G107+№5!G107+'№ 6'!G107+№14!G107+'№ 20'!G107+'№ 23'!G107+№27!G107+'№ 31'!G107+'№ 41'!G107</f>
        <v>2.4E-2</v>
      </c>
      <c r="H107" s="192">
        <f>№2!H107+№5!H107+'№ 6'!H107+№14!H107+'№ 20'!H107+'№ 23'!H107+№27!H107+'№ 31'!H107+'№ 41'!H107</f>
        <v>2.4E-2</v>
      </c>
      <c r="I107" s="192">
        <f>№2!I107+№5!I107+'№ 6'!I107+№14!I107+'№ 20'!I107+'№ 23'!I107+№27!I107+'№ 31'!I107+'№ 41'!I107</f>
        <v>2.4E-2</v>
      </c>
      <c r="J107" s="192">
        <f>№2!J107+№5!J107+'№ 6'!J107+№14!J107+'№ 20'!J107+'№ 23'!J107+№27!J107+'№ 31'!J107+'№ 41'!J107</f>
        <v>2.4E-2</v>
      </c>
      <c r="K107" s="192">
        <f>№2!K107+№5!K107+'№ 6'!K107+№14!K107+'№ 20'!K107+'№ 23'!K107+№27!K107+'№ 31'!K107+'№ 41'!K107</f>
        <v>2.4E-2</v>
      </c>
      <c r="L107" s="194">
        <f>SUM(F107:K107)</f>
        <v>0.14399999999999999</v>
      </c>
      <c r="M107" s="194">
        <f>L107/6</f>
        <v>2.4E-2</v>
      </c>
      <c r="N107" s="192">
        <f>№2!N107+№5!N107+'№ 6'!N107+№14!N107+'№ 20'!N107+'№ 23'!N107+№27!N107+'№ 31'!N107+'№ 41'!N107</f>
        <v>2.4E-2</v>
      </c>
      <c r="O107" s="192">
        <f>№2!O107+№5!O107+'№ 6'!O107+№14!O107+'№ 20'!O107+'№ 23'!O107+№27!O107+'№ 31'!O107+'№ 41'!O107</f>
        <v>2.4E-2</v>
      </c>
      <c r="P107" s="192">
        <f>№2!P107+№5!P107+'№ 6'!P107+№14!P107+'№ 20'!P107+'№ 23'!P107+№27!P107+'№ 31'!P107+'№ 41'!P107</f>
        <v>2.4E-2</v>
      </c>
      <c r="Q107" s="192">
        <f>№2!Q107+№5!Q107+'№ 6'!Q107+№14!Q107+'№ 20'!Q107+'№ 23'!Q107+№27!Q107+'№ 31'!Q107+'№ 41'!Q107</f>
        <v>7.1999999999999995E-2</v>
      </c>
      <c r="R107" s="192">
        <f>№2!R107+№5!R107+'№ 6'!R107+№14!R107+'№ 20'!R107+'№ 23'!R107+№27!R107+'№ 31'!R107+'№ 41'!R107</f>
        <v>7.1999999999999995E-2</v>
      </c>
      <c r="S107" s="192">
        <f>№2!S107+№5!S107+'№ 6'!S107+№14!S107+'№ 20'!S107+'№ 23'!S107+№27!S107+'№ 31'!S107+'№ 41'!S107</f>
        <v>7.1999999999999995E-2</v>
      </c>
      <c r="T107" s="194">
        <f>SUM(N107:S107)</f>
        <v>0.28799999999999998</v>
      </c>
      <c r="U107" s="194">
        <f>T107+L107</f>
        <v>0.432</v>
      </c>
      <c r="V107" s="171">
        <f>№2!V107+№5!V107+'№ 6'!V107+№14!V107+'№ 20'!V107+'№ 23'!V107+№27!V107+'№ 31'!V107+'№ 41'!V107</f>
        <v>0.86399999999999999</v>
      </c>
      <c r="W107" s="192">
        <f>V107-U107</f>
        <v>0.432</v>
      </c>
    </row>
    <row r="108" spans="1:25" s="205" customFormat="1" ht="18" customHeight="1">
      <c r="A108" s="610"/>
      <c r="B108" s="583"/>
      <c r="C108" s="583"/>
      <c r="D108" s="174" t="s">
        <v>55</v>
      </c>
      <c r="E108" s="210"/>
      <c r="F108" s="192">
        <f>№2!F108+№5!F108+'№ 6'!F108+№14!F108+'№ 20'!F108+'№ 23'!F108+№27!F108+'№ 31'!F108+'№ 41'!F108</f>
        <v>0</v>
      </c>
      <c r="G108" s="192">
        <f>№2!G108+№5!G108+'№ 6'!G108+№14!G108+'№ 20'!G108+'№ 23'!G108+№27!G108+'№ 31'!G108+'№ 41'!G108</f>
        <v>0</v>
      </c>
      <c r="H108" s="192">
        <f>№2!H108+№5!H108+'№ 6'!H108+№14!H108+'№ 20'!H108+'№ 23'!H108+№27!H108+'№ 31'!H108+'№ 41'!H108</f>
        <v>0</v>
      </c>
      <c r="I108" s="192">
        <f>№2!I108+№5!I108+'№ 6'!I108+№14!I108+'№ 20'!I108+'№ 23'!I108+№27!I108+'№ 31'!I108+'№ 41'!I108</f>
        <v>0</v>
      </c>
      <c r="J108" s="192">
        <f>№2!J108+№5!J108+'№ 6'!J108+№14!J108+'№ 20'!J108+'№ 23'!J108+№27!J108+'№ 31'!J108+'№ 41'!J108</f>
        <v>0</v>
      </c>
      <c r="K108" s="192">
        <f>№2!K108+№5!K108+'№ 6'!K108+№14!K108+'№ 20'!K108+'№ 23'!K108+№27!K108+'№ 31'!K108+'№ 41'!K108</f>
        <v>0</v>
      </c>
      <c r="L108" s="194">
        <f>SUM(F108:K108)</f>
        <v>0</v>
      </c>
      <c r="M108" s="194">
        <f>L108/6</f>
        <v>0</v>
      </c>
      <c r="N108" s="192">
        <f>№2!N108+№5!N108+'№ 6'!N108+№14!N108+'№ 20'!N108+'№ 23'!N108+№27!N108+'№ 31'!N108+'№ 41'!N108</f>
        <v>0</v>
      </c>
      <c r="O108" s="192">
        <f>№2!O108+№5!O108+'№ 6'!O108+№14!O108+'№ 20'!O108+'№ 23'!O108+№27!O108+'№ 31'!O108+'№ 41'!O108</f>
        <v>0</v>
      </c>
      <c r="P108" s="192">
        <f>№2!P108+№5!P108+'№ 6'!P108+№14!P108+'№ 20'!P108+'№ 23'!P108+№27!P108+'№ 31'!P108+'№ 41'!P108</f>
        <v>0</v>
      </c>
      <c r="Q108" s="192">
        <f>№2!Q108+№5!Q108+'№ 6'!Q108+№14!Q108+'№ 20'!Q108+'№ 23'!Q108+№27!Q108+'№ 31'!Q108+'№ 41'!Q108</f>
        <v>0</v>
      </c>
      <c r="R108" s="192">
        <f>№2!R108+№5!R108+'№ 6'!R108+№14!R108+'№ 20'!R108+'№ 23'!R108+№27!R108+'№ 31'!R108+'№ 41'!R108</f>
        <v>0</v>
      </c>
      <c r="S108" s="192">
        <f>№2!S108+№5!S108+'№ 6'!S108+№14!S108+'№ 20'!S108+'№ 23'!S108+№27!S108+'№ 31'!S108+'№ 41'!S108</f>
        <v>0</v>
      </c>
      <c r="T108" s="194">
        <f>SUM(N108:S108)</f>
        <v>0</v>
      </c>
      <c r="U108" s="194">
        <f>T108+L108</f>
        <v>0</v>
      </c>
      <c r="V108" s="171">
        <f>№2!V108+№5!V108+'№ 6'!V108+№14!V108+'№ 20'!V108+'№ 23'!V108+№27!V108+'№ 31'!V108+'№ 41'!V108</f>
        <v>0</v>
      </c>
      <c r="W108" s="192">
        <f>V108-U108</f>
        <v>0</v>
      </c>
    </row>
    <row r="109" spans="1:25" s="205" customFormat="1" ht="18" customHeight="1">
      <c r="A109" s="610"/>
      <c r="B109" s="583"/>
      <c r="C109" s="583"/>
      <c r="D109" s="174" t="s">
        <v>28</v>
      </c>
      <c r="E109" s="210"/>
      <c r="F109" s="192">
        <f>№2!F109+№5!F109+'№ 6'!F109+№14!F109+'№ 20'!F109+'№ 23'!F109+№27!F109+'№ 31'!F109+'№ 41'!F109</f>
        <v>0</v>
      </c>
      <c r="G109" s="192">
        <f>№2!G109+№5!G109+'№ 6'!G109+№14!G109+'№ 20'!G109+'№ 23'!G109+№27!G109+'№ 31'!G109+'№ 41'!G109</f>
        <v>7.1999999999999995E-2</v>
      </c>
      <c r="H109" s="192">
        <f>№2!H109+№5!H109+'№ 6'!H109+№14!H109+'№ 20'!H109+'№ 23'!H109+№27!H109+'№ 31'!H109+'№ 41'!H109</f>
        <v>7.1999999999999995E-2</v>
      </c>
      <c r="I109" s="192">
        <f>№2!I109+№5!I109+'№ 6'!I109+№14!I109+'№ 20'!I109+'№ 23'!I109+№27!I109+'№ 31'!I109+'№ 41'!I109</f>
        <v>7.1999999999999995E-2</v>
      </c>
      <c r="J109" s="192">
        <f>№2!J109+№5!J109+'№ 6'!J109+№14!J109+'№ 20'!J109+'№ 23'!J109+№27!J109+'№ 31'!J109+'№ 41'!J109</f>
        <v>7.1999999999999995E-2</v>
      </c>
      <c r="K109" s="192">
        <f>№2!K109+№5!K109+'№ 6'!K109+№14!K109+'№ 20'!K109+'№ 23'!K109+№27!K109+'№ 31'!K109+'№ 41'!K109</f>
        <v>7.1999999999999995E-2</v>
      </c>
      <c r="L109" s="194">
        <f>SUM(F109:K109)</f>
        <v>0.36</v>
      </c>
      <c r="M109" s="194">
        <f>L109/6</f>
        <v>0.06</v>
      </c>
      <c r="N109" s="192">
        <f>№2!N109+№5!N109+'№ 6'!N109+№14!N109+'№ 20'!N109+'№ 23'!N109+№27!N109+'№ 31'!N109+'№ 41'!N109</f>
        <v>7.1999999999999995E-2</v>
      </c>
      <c r="O109" s="192">
        <f>№2!O109+№5!O109+'№ 6'!O109+№14!O109+'№ 20'!O109+'№ 23'!O109+№27!O109+'№ 31'!O109+'№ 41'!O109</f>
        <v>7.1999999999999995E-2</v>
      </c>
      <c r="P109" s="192">
        <f>№2!P109+№5!P109+'№ 6'!P109+№14!P109+'№ 20'!P109+'№ 23'!P109+№27!P109+'№ 31'!P109+'№ 41'!P109</f>
        <v>7.1999999999999995E-2</v>
      </c>
      <c r="Q109" s="192">
        <f>№2!Q109+№5!Q109+'№ 6'!Q109+№14!Q109+'№ 20'!Q109+'№ 23'!Q109+№27!Q109+'№ 31'!Q109+'№ 41'!Q109</f>
        <v>7.1999999999999995E-2</v>
      </c>
      <c r="R109" s="192">
        <f>№2!R109+№5!R109+'№ 6'!R109+№14!R109+'№ 20'!R109+'№ 23'!R109+№27!R109+'№ 31'!R109+'№ 41'!R109</f>
        <v>7.1999999999999995E-2</v>
      </c>
      <c r="S109" s="192">
        <f>№2!S109+№5!S109+'№ 6'!S109+№14!S109+'№ 20'!S109+'№ 23'!S109+№27!S109+'№ 31'!S109+'№ 41'!S109</f>
        <v>0.14399999999999999</v>
      </c>
      <c r="T109" s="194">
        <f>SUM(N109:S109)</f>
        <v>0.504</v>
      </c>
      <c r="U109" s="194">
        <f>T109+L109</f>
        <v>0.86399999999999999</v>
      </c>
      <c r="V109" s="171">
        <f>№2!V109+№5!V109+'№ 6'!V109+№14!V109+'№ 20'!V109+'№ 23'!V109+№27!V109+'№ 31'!V109+'№ 41'!V109</f>
        <v>0.86399999999999999</v>
      </c>
      <c r="W109" s="192">
        <f>V109-U109</f>
        <v>0</v>
      </c>
    </row>
    <row r="110" spans="1:25" s="205" customFormat="1" ht="18" customHeight="1">
      <c r="A110" s="610"/>
      <c r="B110" s="583"/>
      <c r="C110" s="583"/>
      <c r="D110" s="178" t="s">
        <v>117</v>
      </c>
      <c r="E110" s="179">
        <f>№2!E110+№5!E110+'№ 6'!E110+№14!E110+'№ 20'!E110+'№ 23'!E110+№27!E110+'№ 31'!E110+'№ 41'!E110</f>
        <v>0</v>
      </c>
      <c r="F110" s="184">
        <f>№2!F110+№5!F110+'№ 6'!F110+№14!F110+'№ 20'!F110+'№ 23'!F110+№27!F110+'№ 31'!F110+'№ 41'!F110</f>
        <v>0</v>
      </c>
      <c r="G110" s="184">
        <f>№2!G110+№5!G110+'№ 6'!G110+№14!G110+'№ 20'!G110+'№ 23'!G110+№27!G110+'№ 31'!G110+'№ 41'!G110</f>
        <v>1</v>
      </c>
      <c r="H110" s="179">
        <f>№2!H110+№5!H110+'№ 6'!H110+№14!H110+'№ 20'!H110+'№ 23'!H110+№27!H110+'№ 31'!H110+'№ 41'!H110</f>
        <v>1</v>
      </c>
      <c r="I110" s="179">
        <f>№2!I110+№5!I110+'№ 6'!I110+№14!I110+'№ 20'!I110+'№ 23'!I110+№27!I110+'№ 31'!I110+'№ 41'!I110</f>
        <v>1</v>
      </c>
      <c r="J110" s="179">
        <f>№2!J110+№5!J110+'№ 6'!J110+№14!J110+'№ 20'!J110+'№ 23'!J110+№27!J110+'№ 31'!J110+'№ 41'!J110</f>
        <v>1</v>
      </c>
      <c r="K110" s="179">
        <f>№2!K110+№5!K110+'№ 6'!K110+№14!K110+'№ 20'!K110+'№ 23'!K110+№27!K110+'№ 31'!K110+'№ 41'!K110</f>
        <v>1</v>
      </c>
      <c r="L110" s="215">
        <f>SUM(F110:K110)</f>
        <v>5</v>
      </c>
      <c r="M110" s="215">
        <f>L110/6</f>
        <v>0.8</v>
      </c>
      <c r="N110" s="179">
        <f>№2!N110+№5!N110+'№ 6'!N110+№14!N110+'№ 20'!N110+'№ 23'!N110+№27!N110+'№ 31'!N110+'№ 41'!N110</f>
        <v>3</v>
      </c>
      <c r="O110" s="179">
        <f>№2!O110+№5!O110+'№ 6'!O110+№14!O110+'№ 20'!O110+'№ 23'!O110+№27!O110+'№ 31'!O110+'№ 41'!O110</f>
        <v>1</v>
      </c>
      <c r="P110" s="179">
        <f>№2!P110+№5!P110+'№ 6'!P110+№14!P110+'№ 20'!P110+'№ 23'!P110+№27!P110+'№ 31'!P110+'№ 41'!P110</f>
        <v>1</v>
      </c>
      <c r="Q110" s="179">
        <f>№2!Q110+№5!Q110+'№ 6'!Q110+№14!Q110+'№ 20'!Q110+'№ 23'!Q110+№27!Q110+'№ 31'!Q110+'№ 41'!Q110</f>
        <v>3</v>
      </c>
      <c r="R110" s="179">
        <f>№2!R110+№5!R110+'№ 6'!R110+№14!R110+'№ 20'!R110+'№ 23'!R110+№27!R110+'№ 31'!R110+'№ 41'!R110</f>
        <v>3</v>
      </c>
      <c r="S110" s="179">
        <f>№2!S110+№5!S110+'№ 6'!S110+№14!S110+'№ 20'!S110+'№ 23'!S110+№27!S110+'№ 31'!S110+'№ 41'!S110</f>
        <v>4</v>
      </c>
      <c r="T110" s="215">
        <f>SUM(N110:S110)</f>
        <v>15</v>
      </c>
      <c r="U110" s="215">
        <f>T110+L110</f>
        <v>20</v>
      </c>
      <c r="V110" s="179">
        <f>№2!V110+№5!V110+'№ 6'!V110+№14!V110+'№ 20'!V110+'№ 23'!V110+№27!V110+'№ 31'!V110+'№ 41'!V110</f>
        <v>36</v>
      </c>
      <c r="W110" s="184">
        <f>V110-U110</f>
        <v>16</v>
      </c>
      <c r="X110" s="279">
        <f>U105-U110</f>
        <v>0</v>
      </c>
    </row>
    <row r="111" spans="1:25" s="205" customFormat="1" ht="18" customHeight="1">
      <c r="A111" s="610"/>
      <c r="B111" s="583"/>
      <c r="C111" s="583"/>
      <c r="D111" s="187" t="s">
        <v>27</v>
      </c>
      <c r="E111" s="188" t="e">
        <f t="shared" ref="E111:U111" si="140">E112/E110*1000</f>
        <v>#DIV/0!</v>
      </c>
      <c r="F111" s="188" t="e">
        <f t="shared" si="140"/>
        <v>#DIV/0!</v>
      </c>
      <c r="G111" s="188">
        <f t="shared" si="140"/>
        <v>24</v>
      </c>
      <c r="H111" s="188">
        <f t="shared" si="140"/>
        <v>24</v>
      </c>
      <c r="I111" s="188">
        <f t="shared" si="140"/>
        <v>24</v>
      </c>
      <c r="J111" s="188">
        <f t="shared" si="140"/>
        <v>24</v>
      </c>
      <c r="K111" s="188">
        <f t="shared" si="140"/>
        <v>24</v>
      </c>
      <c r="L111" s="217">
        <f t="shared" si="140"/>
        <v>24</v>
      </c>
      <c r="M111" s="217">
        <f t="shared" si="140"/>
        <v>25</v>
      </c>
      <c r="N111" s="218">
        <f t="shared" si="140"/>
        <v>8</v>
      </c>
      <c r="O111" s="218">
        <f t="shared" si="140"/>
        <v>24</v>
      </c>
      <c r="P111" s="218">
        <f t="shared" si="140"/>
        <v>24</v>
      </c>
      <c r="Q111" s="218">
        <f t="shared" si="140"/>
        <v>24</v>
      </c>
      <c r="R111" s="218">
        <f t="shared" si="140"/>
        <v>24</v>
      </c>
      <c r="S111" s="218">
        <f t="shared" si="140"/>
        <v>24</v>
      </c>
      <c r="T111" s="217">
        <f t="shared" si="140"/>
        <v>20.8</v>
      </c>
      <c r="U111" s="217">
        <f t="shared" si="140"/>
        <v>21.6</v>
      </c>
      <c r="V111" s="218">
        <f t="shared" ref="V111" si="141">V112/V110*1000</f>
        <v>24</v>
      </c>
      <c r="W111" s="219">
        <f>W112/W110*1000</f>
        <v>27</v>
      </c>
      <c r="X111" s="185"/>
    </row>
    <row r="112" spans="1:25" s="176" customFormat="1" ht="18" customHeight="1">
      <c r="A112" s="610"/>
      <c r="B112" s="583"/>
      <c r="C112" s="583"/>
      <c r="D112" s="198" t="s">
        <v>25</v>
      </c>
      <c r="E112" s="199">
        <f>№2!E112+№5!E112+'№ 6'!E112+№14!E112+'№ 20'!E112+'№ 23'!E112+№27!E112+'№ 31'!E112+'№ 41'!E112</f>
        <v>0</v>
      </c>
      <c r="F112" s="199">
        <f>№2!F112+№5!F112+'№ 6'!F112+№14!F112+'№ 20'!F112+'№ 23'!F112+№27!F112+'№ 31'!F112+'№ 41'!F112</f>
        <v>0</v>
      </c>
      <c r="G112" s="199">
        <f>№2!G112+№5!G112+'№ 6'!G112+№14!G112+'№ 20'!G112+'№ 23'!G112+№27!G112+'№ 31'!G112+'№ 41'!G112</f>
        <v>2.4E-2</v>
      </c>
      <c r="H112" s="199">
        <f>№2!H112+№5!H112+'№ 6'!H112+№14!H112+'№ 20'!H112+'№ 23'!H112+№27!H112+'№ 31'!H112+'№ 41'!H112</f>
        <v>2.4E-2</v>
      </c>
      <c r="I112" s="199">
        <f>№2!I112+№5!I112+'№ 6'!I112+№14!I112+'№ 20'!I112+'№ 23'!I112+№27!I112+'№ 31'!I112+'№ 41'!I112</f>
        <v>2.4E-2</v>
      </c>
      <c r="J112" s="199">
        <f>№2!J112+№5!J112+'№ 6'!J112+№14!J112+'№ 20'!J112+'№ 23'!J112+№27!J112+'№ 31'!J112+'№ 41'!J112</f>
        <v>2.4E-2</v>
      </c>
      <c r="K112" s="199">
        <f>№2!K112+№5!K112+'№ 6'!K112+№14!K112+'№ 20'!K112+'№ 23'!K112+№27!K112+'№ 31'!K112+'№ 41'!K112</f>
        <v>2.4E-2</v>
      </c>
      <c r="L112" s="199">
        <f>SUM(F112:K112)</f>
        <v>0.12</v>
      </c>
      <c r="M112" s="199">
        <f>L112/6</f>
        <v>0.02</v>
      </c>
      <c r="N112" s="199">
        <f>№2!N112+№5!N112+'№ 6'!N112+№14!N112+'№ 20'!N112+'№ 23'!N112+№27!N112+'№ 31'!N112+'№ 41'!N112</f>
        <v>2.4E-2</v>
      </c>
      <c r="O112" s="199">
        <f>№2!O112+№5!O112+'№ 6'!O112+№14!O112+'№ 20'!O112+'№ 23'!O112+№27!O112+'№ 31'!O112+'№ 41'!O112</f>
        <v>2.4E-2</v>
      </c>
      <c r="P112" s="199">
        <f>№2!P112+№5!P112+'№ 6'!P112+№14!P112+'№ 20'!P112+'№ 23'!P112+№27!P112+'№ 31'!P112+'№ 41'!P112</f>
        <v>2.4E-2</v>
      </c>
      <c r="Q112" s="199">
        <f>№2!Q112+№5!Q112+'№ 6'!Q112+№14!Q112+'№ 20'!Q112+'№ 23'!Q112+№27!Q112+'№ 31'!Q112+'№ 41'!Q112</f>
        <v>7.1999999999999995E-2</v>
      </c>
      <c r="R112" s="199">
        <f>№2!R112+№5!R112+'№ 6'!R112+№14!R112+'№ 20'!R112+'№ 23'!R112+№27!R112+'№ 31'!R112+'№ 41'!R112</f>
        <v>7.1999999999999995E-2</v>
      </c>
      <c r="S112" s="199">
        <f>№2!S112+№5!S112+'№ 6'!S112+№14!S112+'№ 20'!S112+'№ 23'!S112+№27!S112+'№ 31'!S112+'№ 41'!S112</f>
        <v>9.6000000000000002E-2</v>
      </c>
      <c r="T112" s="199">
        <f>SUM(N112:S112)</f>
        <v>0.312</v>
      </c>
      <c r="U112" s="199">
        <f>T112+L112</f>
        <v>0.432</v>
      </c>
      <c r="V112" s="199">
        <f>№2!V112+№5!V112+'№ 6'!V112+№14!V112+'№ 20'!V112+'№ 23'!V112+№27!V112+'№ 31'!V112+'№ 41'!V112</f>
        <v>0.86399999999999999</v>
      </c>
      <c r="W112" s="221">
        <f>V112-U112</f>
        <v>0.432</v>
      </c>
      <c r="X112" s="176">
        <f>U107-U112</f>
        <v>0</v>
      </c>
      <c r="Y112" s="213"/>
    </row>
    <row r="113" spans="1:24" s="205" customFormat="1" ht="18" customHeight="1">
      <c r="A113" s="610"/>
      <c r="B113" s="583"/>
      <c r="C113" s="583"/>
      <c r="D113" s="201" t="s">
        <v>55</v>
      </c>
      <c r="E113" s="220"/>
      <c r="F113" s="199">
        <f>№2!F113+№5!F113+'№ 6'!F113+№14!F113+'№ 20'!F113+'№ 23'!F113+№27!F113+'№ 31'!F113+'№ 41'!F113</f>
        <v>0</v>
      </c>
      <c r="G113" s="199">
        <f>№2!G113+№5!G113+'№ 6'!G113+№14!G113+'№ 20'!G113+'№ 23'!G113+№27!G113+'№ 31'!G113+'№ 41'!G113</f>
        <v>0</v>
      </c>
      <c r="H113" s="199">
        <f>№2!H113+№5!H113+'№ 6'!H113+№14!H113+'№ 20'!H113+'№ 23'!H113+№27!H113+'№ 31'!H113+'№ 41'!H113</f>
        <v>0</v>
      </c>
      <c r="I113" s="199">
        <f>№2!I113+№5!I113+'№ 6'!I113+№14!I113+'№ 20'!I113+'№ 23'!I113+№27!I113+'№ 31'!I113+'№ 41'!I113</f>
        <v>0</v>
      </c>
      <c r="J113" s="199">
        <f>№2!J113+№5!J113+'№ 6'!J113+№14!J113+'№ 20'!J113+'№ 23'!J113+№27!J113+'№ 31'!J113+'№ 41'!J113</f>
        <v>0</v>
      </c>
      <c r="K113" s="199">
        <f>№2!K113+№5!K113+'№ 6'!K113+№14!K113+'№ 20'!K113+'№ 23'!K113+№27!K113+'№ 31'!K113+'№ 41'!K113</f>
        <v>0</v>
      </c>
      <c r="L113" s="199">
        <f>SUM(F113:K113)</f>
        <v>0</v>
      </c>
      <c r="M113" s="199">
        <f>L113/6</f>
        <v>0</v>
      </c>
      <c r="N113" s="199">
        <f>№2!N113+№5!N113+'№ 6'!N113+№14!N113+'№ 20'!N113+'№ 23'!N113+№27!N113+'№ 31'!N113+'№ 41'!N113</f>
        <v>0</v>
      </c>
      <c r="O113" s="199">
        <f>№2!O113+№5!O113+'№ 6'!O113+№14!O113+'№ 20'!O113+'№ 23'!O113+№27!O113+'№ 31'!O113+'№ 41'!O113</f>
        <v>0</v>
      </c>
      <c r="P113" s="199">
        <f>№2!P113+№5!P113+'№ 6'!P113+№14!P113+'№ 20'!P113+'№ 23'!P113+№27!P113+'№ 31'!P113+'№ 41'!P113</f>
        <v>0</v>
      </c>
      <c r="Q113" s="199">
        <f>№2!Q113+№5!Q113+'№ 6'!Q113+№14!Q113+'№ 20'!Q113+'№ 23'!Q113+№27!Q113+'№ 31'!Q113+'№ 41'!Q113</f>
        <v>0</v>
      </c>
      <c r="R113" s="199">
        <f>№2!R113+№5!R113+'№ 6'!R113+№14!R113+'№ 20'!R113+'№ 23'!R113+№27!R113+'№ 31'!R113+'№ 41'!R113</f>
        <v>0</v>
      </c>
      <c r="S113" s="199">
        <f>№2!S113+№5!S113+'№ 6'!S113+№14!S113+'№ 20'!S113+'№ 23'!S113+№27!S113+'№ 31'!S113+'№ 41'!S113</f>
        <v>0</v>
      </c>
      <c r="T113" s="199">
        <f>SUM(N113:S113)</f>
        <v>0</v>
      </c>
      <c r="U113" s="199">
        <f>T113+L113</f>
        <v>0</v>
      </c>
      <c r="V113" s="199">
        <f>№2!V113+№5!V113+'№ 6'!V113+№14!V113+'№ 20'!V113+'№ 23'!V113+№27!V113+'№ 31'!V113+'№ 41'!V113</f>
        <v>0</v>
      </c>
      <c r="W113" s="221">
        <f>V113-U113</f>
        <v>0</v>
      </c>
      <c r="X113" s="176">
        <f>U108-U113</f>
        <v>0</v>
      </c>
    </row>
    <row r="114" spans="1:24" s="205" customFormat="1" ht="18" customHeight="1">
      <c r="A114" s="610"/>
      <c r="B114" s="583"/>
      <c r="C114" s="583"/>
      <c r="D114" s="201" t="s">
        <v>24</v>
      </c>
      <c r="E114" s="220"/>
      <c r="F114" s="199">
        <f>№2!F114+№5!F114+'№ 6'!F114+№14!F114+'№ 20'!F114+'№ 23'!F114+№27!F114+'№ 31'!F114+'№ 41'!F114</f>
        <v>0</v>
      </c>
      <c r="G114" s="199">
        <f>№2!G114+№5!G114+'№ 6'!G114+№14!G114+'№ 20'!G114+'№ 23'!G114+№27!G114+'№ 31'!G114+'№ 41'!G114</f>
        <v>2.4E-2</v>
      </c>
      <c r="H114" s="199">
        <f>№2!H114+№5!H114+'№ 6'!H114+№14!H114+'№ 20'!H114+'№ 23'!H114+№27!H114+'№ 31'!H114+'№ 41'!H114</f>
        <v>2.4E-2</v>
      </c>
      <c r="I114" s="199">
        <f>№2!I114+№5!I114+'№ 6'!I114+№14!I114+'№ 20'!I114+'№ 23'!I114+№27!I114+'№ 31'!I114+'№ 41'!I114</f>
        <v>2.4E-2</v>
      </c>
      <c r="J114" s="199">
        <f>№2!J114+№5!J114+'№ 6'!J114+№14!J114+'№ 20'!J114+'№ 23'!J114+№27!J114+'№ 31'!J114+'№ 41'!J114</f>
        <v>2.4E-2</v>
      </c>
      <c r="K114" s="199">
        <f>№2!K114+№5!K114+'№ 6'!K114+№14!K114+'№ 20'!K114+'№ 23'!K114+№27!K114+'№ 31'!K114+'№ 41'!K114</f>
        <v>2.4E-2</v>
      </c>
      <c r="L114" s="199">
        <f>SUM(F114:K114)</f>
        <v>0.12</v>
      </c>
      <c r="M114" s="199">
        <f>L114/6</f>
        <v>0.02</v>
      </c>
      <c r="N114" s="199">
        <f>№2!N114+№5!N114+'№ 6'!N114+№14!N114+'№ 20'!N114+'№ 23'!N114+№27!N114+'№ 31'!N114+'№ 41'!N114</f>
        <v>2.4E-2</v>
      </c>
      <c r="O114" s="199">
        <f>№2!O114+№5!O114+'№ 6'!O114+№14!O114+'№ 20'!O114+'№ 23'!O114+№27!O114+'№ 31'!O114+'№ 41'!O114</f>
        <v>2.4E-2</v>
      </c>
      <c r="P114" s="199">
        <f>№2!P114+№5!P114+'№ 6'!P114+№14!P114+'№ 20'!P114+'№ 23'!P114+№27!P114+'№ 31'!P114+'№ 41'!P114</f>
        <v>2.4E-2</v>
      </c>
      <c r="Q114" s="199">
        <f>№2!Q114+№5!Q114+'№ 6'!Q114+№14!Q114+'№ 20'!Q114+'№ 23'!Q114+№27!Q114+'№ 31'!Q114+'№ 41'!Q114</f>
        <v>7.1999999999999995E-2</v>
      </c>
      <c r="R114" s="199">
        <f>№2!R114+№5!R114+'№ 6'!R114+№14!R114+'№ 20'!R114+'№ 23'!R114+№27!R114+'№ 31'!R114+'№ 41'!R114</f>
        <v>7.1999999999999995E-2</v>
      </c>
      <c r="S114" s="199">
        <f>№2!S114+№5!S114+'№ 6'!S114+№14!S114+'№ 20'!S114+'№ 23'!S114+№27!S114+'№ 31'!S114+'№ 41'!S114</f>
        <v>9.6000000000000002E-2</v>
      </c>
      <c r="T114" s="199">
        <f>SUM(N114:S114)</f>
        <v>0.312</v>
      </c>
      <c r="U114" s="199">
        <f>T114+L114</f>
        <v>0.432</v>
      </c>
      <c r="V114" s="199">
        <f>№2!V114+№5!V114+'№ 6'!V114+№14!V114+'№ 20'!V114+'№ 23'!V114+№27!V114+'№ 31'!V114+'№ 41'!V114</f>
        <v>0.86399999999999999</v>
      </c>
      <c r="W114" s="221">
        <f>V114-U114</f>
        <v>0.432</v>
      </c>
      <c r="X114" s="176">
        <f>U109-U114</f>
        <v>0.432</v>
      </c>
    </row>
    <row r="115" spans="1:24" s="205" customFormat="1" ht="18" customHeight="1">
      <c r="A115" s="610"/>
      <c r="B115" s="583"/>
      <c r="C115" s="583"/>
      <c r="D115" s="202" t="s">
        <v>29</v>
      </c>
      <c r="E115" s="203"/>
      <c r="F115" s="203">
        <f t="shared" ref="F115:K115" si="142">F108+F109</f>
        <v>0</v>
      </c>
      <c r="G115" s="203">
        <f t="shared" si="142"/>
        <v>7.1999999999999995E-2</v>
      </c>
      <c r="H115" s="203">
        <f t="shared" si="142"/>
        <v>7.1999999999999995E-2</v>
      </c>
      <c r="I115" s="203">
        <f t="shared" si="142"/>
        <v>7.1999999999999995E-2</v>
      </c>
      <c r="J115" s="203">
        <f t="shared" si="142"/>
        <v>7.1999999999999995E-2</v>
      </c>
      <c r="K115" s="203">
        <f t="shared" si="142"/>
        <v>7.1999999999999995E-2</v>
      </c>
      <c r="L115" s="203">
        <f>SUM(F115:K115)</f>
        <v>0.36</v>
      </c>
      <c r="M115" s="203">
        <f>L115/6</f>
        <v>0.06</v>
      </c>
      <c r="N115" s="203">
        <f t="shared" ref="N115:S115" si="143">N109+N108</f>
        <v>7.1999999999999995E-2</v>
      </c>
      <c r="O115" s="203">
        <f t="shared" si="143"/>
        <v>7.1999999999999995E-2</v>
      </c>
      <c r="P115" s="203">
        <f t="shared" si="143"/>
        <v>7.1999999999999995E-2</v>
      </c>
      <c r="Q115" s="203">
        <f t="shared" si="143"/>
        <v>7.1999999999999995E-2</v>
      </c>
      <c r="R115" s="203">
        <f t="shared" si="143"/>
        <v>7.1999999999999995E-2</v>
      </c>
      <c r="S115" s="203">
        <f t="shared" si="143"/>
        <v>0.14399999999999999</v>
      </c>
      <c r="T115" s="203">
        <f>SUM(N115:S115)</f>
        <v>0.504</v>
      </c>
      <c r="U115" s="203">
        <f>T115+L115</f>
        <v>0.86399999999999999</v>
      </c>
      <c r="V115" s="203">
        <f>V112</f>
        <v>0.86399999999999999</v>
      </c>
      <c r="W115" s="203">
        <f>V115-U115</f>
        <v>0</v>
      </c>
    </row>
    <row r="116" spans="1:24" s="205" customFormat="1" ht="18" customHeight="1">
      <c r="A116" s="610"/>
      <c r="B116" s="583"/>
      <c r="C116" s="583"/>
      <c r="D116" s="202" t="s">
        <v>30</v>
      </c>
      <c r="E116" s="203"/>
      <c r="F116" s="203">
        <f t="shared" ref="F116:K116" si="144">F112-F115</f>
        <v>0</v>
      </c>
      <c r="G116" s="203">
        <f t="shared" si="144"/>
        <v>-4.8000000000000001E-2</v>
      </c>
      <c r="H116" s="203">
        <f t="shared" si="144"/>
        <v>-4.8000000000000001E-2</v>
      </c>
      <c r="I116" s="203">
        <f t="shared" si="144"/>
        <v>-4.8000000000000001E-2</v>
      </c>
      <c r="J116" s="203">
        <f t="shared" si="144"/>
        <v>-4.8000000000000001E-2</v>
      </c>
      <c r="K116" s="203">
        <f t="shared" si="144"/>
        <v>-4.8000000000000001E-2</v>
      </c>
      <c r="L116" s="203"/>
      <c r="M116" s="203"/>
      <c r="N116" s="203">
        <f t="shared" ref="N116:S116" si="145">N112-N115</f>
        <v>-4.8000000000000001E-2</v>
      </c>
      <c r="O116" s="203">
        <f t="shared" si="145"/>
        <v>-4.8000000000000001E-2</v>
      </c>
      <c r="P116" s="203">
        <f t="shared" si="145"/>
        <v>-4.8000000000000001E-2</v>
      </c>
      <c r="Q116" s="203">
        <f t="shared" si="145"/>
        <v>0</v>
      </c>
      <c r="R116" s="203">
        <f t="shared" si="145"/>
        <v>0</v>
      </c>
      <c r="S116" s="203">
        <f t="shared" si="145"/>
        <v>-4.8000000000000001E-2</v>
      </c>
      <c r="T116" s="203"/>
      <c r="U116" s="203"/>
      <c r="V116" s="203"/>
      <c r="W116" s="203"/>
    </row>
    <row r="117" spans="1:24" s="205" customFormat="1" ht="18" customHeight="1">
      <c r="A117" s="610"/>
      <c r="B117" s="584"/>
      <c r="C117" s="584"/>
      <c r="D117" s="202" t="s">
        <v>31</v>
      </c>
      <c r="E117" s="203"/>
      <c r="F117" s="203">
        <f>F116</f>
        <v>0</v>
      </c>
      <c r="G117" s="203">
        <f>G116+F117</f>
        <v>-4.8000000000000001E-2</v>
      </c>
      <c r="H117" s="203">
        <f>H116+G117</f>
        <v>-9.6000000000000002E-2</v>
      </c>
      <c r="I117" s="203">
        <f>I116+H117</f>
        <v>-0.14399999999999999</v>
      </c>
      <c r="J117" s="203">
        <f>J116+I117</f>
        <v>-0.192</v>
      </c>
      <c r="K117" s="203">
        <f>K116+J117</f>
        <v>-0.24</v>
      </c>
      <c r="L117" s="203"/>
      <c r="M117" s="203"/>
      <c r="N117" s="203">
        <f>N116+K117</f>
        <v>-0.28799999999999998</v>
      </c>
      <c r="O117" s="203">
        <f>O116+N117</f>
        <v>-0.33600000000000002</v>
      </c>
      <c r="P117" s="203">
        <f>P116+O117</f>
        <v>-0.38400000000000001</v>
      </c>
      <c r="Q117" s="203">
        <f>Q116+P117</f>
        <v>-0.38400000000000001</v>
      </c>
      <c r="R117" s="203">
        <f>R116+Q117</f>
        <v>-0.38400000000000001</v>
      </c>
      <c r="S117" s="203">
        <f>S116+R117</f>
        <v>-0.432</v>
      </c>
      <c r="T117" s="203"/>
      <c r="U117" s="203"/>
      <c r="V117" s="203"/>
      <c r="W117" s="203"/>
    </row>
    <row r="118" spans="1:24" s="205" customFormat="1" ht="18" hidden="1" customHeight="1">
      <c r="A118" s="610"/>
      <c r="B118" s="582" t="s">
        <v>57</v>
      </c>
      <c r="C118" s="582" t="s">
        <v>98</v>
      </c>
      <c r="D118" s="178" t="s">
        <v>105</v>
      </c>
      <c r="E118" s="179"/>
      <c r="F118" s="184">
        <f>№2!F118+№5!F118+'№ 6'!F118+№14!F118+'№ 20'!F118+'№ 23'!F118+№27!F118+'№ 31'!F118+'№ 41'!F118</f>
        <v>0</v>
      </c>
      <c r="G118" s="184">
        <f>№2!G118+№5!G118+'№ 6'!G118+№14!G118+'№ 20'!G118+'№ 23'!G118+№27!G118+'№ 31'!G118+'№ 41'!G118</f>
        <v>0</v>
      </c>
      <c r="H118" s="179">
        <f>№2!H118+№5!H118+'№ 6'!H118+№14!H118+'№ 20'!H118+'№ 23'!H118+№27!H118+'№ 31'!H118+'№ 41'!H118</f>
        <v>0</v>
      </c>
      <c r="I118" s="179">
        <f>№2!I118+№5!I118+'№ 6'!I118+№14!I118+'№ 20'!I118+'№ 23'!I118+№27!I118+'№ 31'!I118+'№ 41'!I118</f>
        <v>0</v>
      </c>
      <c r="J118" s="179">
        <f>№2!J118+№5!J118+'№ 6'!J118+№14!J118+'№ 20'!J118+'№ 23'!J118+№27!J118+'№ 31'!J118+'№ 41'!J118</f>
        <v>0</v>
      </c>
      <c r="K118" s="179">
        <f>№2!K118+№5!K118+'№ 6'!K118+№14!K118+'№ 20'!K118+'№ 23'!K118+№27!K118+'№ 31'!K118+'№ 41'!K118</f>
        <v>0</v>
      </c>
      <c r="L118" s="215">
        <f>SUM(F118:K118)</f>
        <v>0</v>
      </c>
      <c r="M118" s="215">
        <f>L118/6</f>
        <v>0</v>
      </c>
      <c r="N118" s="179">
        <f>№2!N118+№5!N118+'№ 6'!N118+№14!N118+'№ 20'!N118+'№ 23'!N118+№27!N118+'№ 31'!N118+'№ 41'!N118</f>
        <v>0</v>
      </c>
      <c r="O118" s="179">
        <f>№2!O118+№5!O118+'№ 6'!O118+№14!O118+'№ 20'!O118+'№ 23'!O118+№27!O118+'№ 31'!O118+'№ 41'!O118</f>
        <v>0</v>
      </c>
      <c r="P118" s="179">
        <f>№2!P118+№5!P118+'№ 6'!P118+№14!P118+'№ 20'!P118+'№ 23'!P118+№27!P118+'№ 31'!P118+'№ 41'!P118</f>
        <v>0</v>
      </c>
      <c r="Q118" s="179">
        <f>№2!Q118+№5!Q118+'№ 6'!Q118+№14!Q118+'№ 20'!Q118+'№ 23'!Q118+№27!Q118+'№ 31'!Q118+'№ 41'!Q118</f>
        <v>0</v>
      </c>
      <c r="R118" s="179">
        <f>№2!R118+№5!R118+'№ 6'!R118+№14!R118+'№ 20'!R118+'№ 23'!R118+№27!R118+'№ 31'!R118+'№ 41'!R118</f>
        <v>0</v>
      </c>
      <c r="S118" s="179">
        <f>№2!S118+№5!S118+'№ 6'!S118+№14!S118+'№ 20'!S118+'№ 23'!S118+№27!S118+'№ 31'!S118+'№ 41'!S118</f>
        <v>0</v>
      </c>
      <c r="T118" s="215">
        <f>SUM(N118:S118)</f>
        <v>0</v>
      </c>
      <c r="U118" s="215">
        <f>T118+L118</f>
        <v>0</v>
      </c>
      <c r="V118" s="179">
        <f>№2!V118+№5!V118+'№ 6'!V118+№14!V118+'№ 20'!V118+'№ 23'!V118+№27!V118+'№ 31'!V118+'№ 41'!V118</f>
        <v>0</v>
      </c>
      <c r="W118" s="184"/>
    </row>
    <row r="119" spans="1:24" s="205" customFormat="1" ht="18" hidden="1" customHeight="1">
      <c r="A119" s="610"/>
      <c r="B119" s="583"/>
      <c r="C119" s="583"/>
      <c r="D119" s="178" t="s">
        <v>109</v>
      </c>
      <c r="E119" s="179"/>
      <c r="F119" s="184">
        <f>№2!F119+№5!F119+'№ 6'!F119+№14!F119+'№ 20'!F119+'№ 23'!F119+№27!F119+'№ 31'!F119+'№ 41'!F119</f>
        <v>0</v>
      </c>
      <c r="G119" s="184">
        <f>№2!G119+№5!G119+'№ 6'!G119+№14!G119+'№ 20'!G119+'№ 23'!G119+№27!G119+'№ 31'!G119+'№ 41'!G119</f>
        <v>0</v>
      </c>
      <c r="H119" s="179">
        <f>№2!H119+№5!H119+'№ 6'!H119+№14!H119+'№ 20'!H119+'№ 23'!H119+№27!H119+'№ 31'!H119+'№ 41'!H119</f>
        <v>0</v>
      </c>
      <c r="I119" s="179">
        <f>№2!I119+№5!I119+'№ 6'!I119+№14!I119+'№ 20'!I119+'№ 23'!I119+№27!I119+'№ 31'!I119+'№ 41'!I119</f>
        <v>0</v>
      </c>
      <c r="J119" s="179">
        <f>№2!J119+№5!J119+'№ 6'!J119+№14!J119+'№ 20'!J119+'№ 23'!J119+№27!J119+'№ 31'!J119+'№ 41'!J119</f>
        <v>0</v>
      </c>
      <c r="K119" s="179">
        <f>№2!K119+№5!K119+'№ 6'!K119+№14!K119+'№ 20'!K119+'№ 23'!K119+№27!K119+'№ 31'!K119+'№ 41'!K119</f>
        <v>0</v>
      </c>
      <c r="L119" s="215">
        <f>SUM(F119:K119)</f>
        <v>0</v>
      </c>
      <c r="M119" s="215">
        <f>L119/6</f>
        <v>0</v>
      </c>
      <c r="N119" s="179">
        <f>№2!N119+№5!N119+'№ 6'!N119+№14!N119+'№ 20'!N119+'№ 23'!N119+№27!N119+'№ 31'!N119+'№ 41'!N119</f>
        <v>0</v>
      </c>
      <c r="O119" s="179">
        <f>№2!O119+№5!O119+'№ 6'!O119+№14!O119+'№ 20'!O119+'№ 23'!O119+№27!O119+'№ 31'!O119+'№ 41'!O119</f>
        <v>0</v>
      </c>
      <c r="P119" s="179">
        <f>№2!P119+№5!P119+'№ 6'!P119+№14!P119+'№ 20'!P119+'№ 23'!P119+№27!P119+'№ 31'!P119+'№ 41'!P119</f>
        <v>0</v>
      </c>
      <c r="Q119" s="179">
        <f>№2!Q119+№5!Q119+'№ 6'!Q119+№14!Q119+'№ 20'!Q119+'№ 23'!Q119+№27!Q119+'№ 31'!Q119+'№ 41'!Q119</f>
        <v>0</v>
      </c>
      <c r="R119" s="179">
        <f>№2!R119+№5!R119+'№ 6'!R119+№14!R119+'№ 20'!R119+'№ 23'!R119+№27!R119+'№ 31'!R119+'№ 41'!R119</f>
        <v>0</v>
      </c>
      <c r="S119" s="179">
        <f>№2!S119+№5!S119+'№ 6'!S119+№14!S119+'№ 20'!S119+'№ 23'!S119+№27!S119+'№ 31'!S119+'№ 41'!S119</f>
        <v>0</v>
      </c>
      <c r="T119" s="215">
        <f>SUM(N119:S119)</f>
        <v>0</v>
      </c>
      <c r="U119" s="215">
        <f>T119+L119</f>
        <v>0</v>
      </c>
      <c r="V119" s="179">
        <f>№2!V119+№5!V119+'№ 6'!V119+№14!V119+'№ 20'!V119+'№ 23'!V119+№27!V119+'№ 31'!V119+'№ 41'!V119</f>
        <v>0</v>
      </c>
      <c r="W119" s="184"/>
    </row>
    <row r="120" spans="1:24" s="205" customFormat="1" ht="18" hidden="1" customHeight="1">
      <c r="A120" s="610"/>
      <c r="B120" s="583"/>
      <c r="C120" s="583"/>
      <c r="D120" s="178" t="s">
        <v>116</v>
      </c>
      <c r="E120" s="179"/>
      <c r="F120" s="184">
        <f>№2!F120+№5!F120+'№ 6'!F120+№14!F120+'№ 20'!F120+'№ 23'!F120+№27!F120+'№ 31'!F120+'№ 41'!F120</f>
        <v>0</v>
      </c>
      <c r="G120" s="184">
        <f>№2!G120+№5!G120+'№ 6'!G120+№14!G120+'№ 20'!G120+'№ 23'!G120+№27!G120+'№ 31'!G120+'№ 41'!G120</f>
        <v>0</v>
      </c>
      <c r="H120" s="179">
        <f>№2!H120+№5!H120+'№ 6'!H120+№14!H120+'№ 20'!H120+'№ 23'!H120+№27!H120+'№ 31'!H120+'№ 41'!H120</f>
        <v>0</v>
      </c>
      <c r="I120" s="179">
        <f>№2!I120+№5!I120+'№ 6'!I120+№14!I120+'№ 20'!I120+'№ 23'!I120+№27!I120+'№ 31'!I120+'№ 41'!I120</f>
        <v>0</v>
      </c>
      <c r="J120" s="179">
        <f>№2!J120+№5!J120+'№ 6'!J120+№14!J120+'№ 20'!J120+'№ 23'!J120+№27!J120+'№ 31'!J120+'№ 41'!J120</f>
        <v>0</v>
      </c>
      <c r="K120" s="179">
        <f>№2!K120+№5!K120+'№ 6'!K120+№14!K120+'№ 20'!K120+'№ 23'!K120+№27!K120+'№ 31'!K120+'№ 41'!K120</f>
        <v>0</v>
      </c>
      <c r="L120" s="215">
        <f>SUM(F120:K120)</f>
        <v>0</v>
      </c>
      <c r="M120" s="215">
        <f>L120/6</f>
        <v>0</v>
      </c>
      <c r="N120" s="179">
        <f>№2!N120+№5!N120+'№ 6'!N120+№14!N120+'№ 20'!N120+'№ 23'!N120+№27!N120+'№ 31'!N120+'№ 41'!N120</f>
        <v>0</v>
      </c>
      <c r="O120" s="179">
        <f>№2!O120+№5!O120+'№ 6'!O120+№14!O120+'№ 20'!O120+'№ 23'!O120+№27!O120+'№ 31'!O120+'№ 41'!O120</f>
        <v>0</v>
      </c>
      <c r="P120" s="179">
        <f>№2!P120+№5!P120+'№ 6'!P120+№14!P120+'№ 20'!P120+'№ 23'!P120+№27!P120+'№ 31'!P120+'№ 41'!P120</f>
        <v>0</v>
      </c>
      <c r="Q120" s="179">
        <f>№2!Q120+№5!Q120+'№ 6'!Q120+№14!Q120+'№ 20'!Q120+'№ 23'!Q120+№27!Q120+'№ 31'!Q120+'№ 41'!Q120</f>
        <v>0</v>
      </c>
      <c r="R120" s="179">
        <f>№2!R120+№5!R120+'№ 6'!R120+№14!R120+'№ 20'!R120+'№ 23'!R120+№27!R120+'№ 31'!R120+'№ 41'!R120</f>
        <v>0</v>
      </c>
      <c r="S120" s="179">
        <f>№2!S120+№5!S120+'№ 6'!S120+№14!S120+'№ 20'!S120+'№ 23'!S120+№27!S120+'№ 31'!S120+'№ 41'!S120</f>
        <v>0</v>
      </c>
      <c r="T120" s="215">
        <f>SUM(N120:S120)</f>
        <v>0</v>
      </c>
      <c r="U120" s="215">
        <f>T120+L120</f>
        <v>0</v>
      </c>
      <c r="V120" s="179">
        <f>№2!V120+№5!V120+'№ 6'!V120+№14!V120+'№ 20'!V120+'№ 23'!V120+№27!V120+'№ 31'!V120+'№ 41'!V120</f>
        <v>0</v>
      </c>
      <c r="W120" s="184">
        <f>U120-V120</f>
        <v>0</v>
      </c>
    </row>
    <row r="121" spans="1:24" s="205" customFormat="1" ht="18" hidden="1" customHeight="1">
      <c r="A121" s="610"/>
      <c r="B121" s="583"/>
      <c r="C121" s="583"/>
      <c r="D121" s="187" t="s">
        <v>27</v>
      </c>
      <c r="E121" s="188"/>
      <c r="F121" s="188" t="e">
        <f t="shared" ref="F121:U121" si="146">F122/F120*1000</f>
        <v>#DIV/0!</v>
      </c>
      <c r="G121" s="188" t="e">
        <f t="shared" si="146"/>
        <v>#DIV/0!</v>
      </c>
      <c r="H121" s="188" t="e">
        <f t="shared" si="146"/>
        <v>#DIV/0!</v>
      </c>
      <c r="I121" s="188" t="e">
        <f t="shared" si="146"/>
        <v>#DIV/0!</v>
      </c>
      <c r="J121" s="188" t="e">
        <f t="shared" si="146"/>
        <v>#DIV/0!</v>
      </c>
      <c r="K121" s="188" t="e">
        <f t="shared" si="146"/>
        <v>#DIV/0!</v>
      </c>
      <c r="L121" s="217" t="e">
        <f t="shared" si="146"/>
        <v>#DIV/0!</v>
      </c>
      <c r="M121" s="217" t="e">
        <f t="shared" si="146"/>
        <v>#DIV/0!</v>
      </c>
      <c r="N121" s="188" t="e">
        <f t="shared" si="146"/>
        <v>#DIV/0!</v>
      </c>
      <c r="O121" s="188" t="e">
        <f t="shared" si="146"/>
        <v>#DIV/0!</v>
      </c>
      <c r="P121" s="188" t="e">
        <f t="shared" si="146"/>
        <v>#DIV/0!</v>
      </c>
      <c r="Q121" s="188" t="e">
        <f t="shared" si="146"/>
        <v>#DIV/0!</v>
      </c>
      <c r="R121" s="188" t="e">
        <f t="shared" si="146"/>
        <v>#DIV/0!</v>
      </c>
      <c r="S121" s="188" t="e">
        <f t="shared" si="146"/>
        <v>#DIV/0!</v>
      </c>
      <c r="T121" s="217" t="e">
        <f t="shared" si="146"/>
        <v>#DIV/0!</v>
      </c>
      <c r="U121" s="217" t="e">
        <f t="shared" si="146"/>
        <v>#DIV/0!</v>
      </c>
      <c r="V121" s="218" t="e">
        <f t="shared" ref="V121" si="147">V122/V120*1000</f>
        <v>#DIV/0!</v>
      </c>
      <c r="W121" s="219" t="e">
        <f>W122/W120*1000</f>
        <v>#DIV/0!</v>
      </c>
    </row>
    <row r="122" spans="1:24" s="205" customFormat="1" ht="18" hidden="1" customHeight="1">
      <c r="A122" s="610"/>
      <c r="B122" s="583"/>
      <c r="C122" s="583"/>
      <c r="D122" s="191" t="s">
        <v>0</v>
      </c>
      <c r="E122" s="192"/>
      <c r="F122" s="192">
        <f>№2!F122+№5!F122+'№ 6'!F122+№14!F122+'№ 20'!F122+'№ 23'!F122+№27!F122+'№ 31'!F122+'№ 41'!F122</f>
        <v>0</v>
      </c>
      <c r="G122" s="192">
        <f>№2!G122+№5!G122+'№ 6'!G122+№14!G122+'№ 20'!G122+'№ 23'!G122+№27!G122+'№ 31'!G122+'№ 41'!G122</f>
        <v>0</v>
      </c>
      <c r="H122" s="192">
        <f>№2!H122+№5!H122+'№ 6'!H122+№14!H122+'№ 20'!H122+'№ 23'!H122+№27!H122+'№ 31'!H122+'№ 41'!H122</f>
        <v>0</v>
      </c>
      <c r="I122" s="192">
        <f>№2!I122+№5!I122+'№ 6'!I122+№14!I122+'№ 20'!I122+'№ 23'!I122+№27!I122+'№ 31'!I122+'№ 41'!I122</f>
        <v>0</v>
      </c>
      <c r="J122" s="192">
        <f>№2!J122+№5!J122+'№ 6'!J122+№14!J122+'№ 20'!J122+'№ 23'!J122+№27!J122+'№ 31'!J122+'№ 41'!J122</f>
        <v>0</v>
      </c>
      <c r="K122" s="192">
        <f>№2!K122+№5!K122+'№ 6'!K122+№14!K122+'№ 20'!K122+'№ 23'!K122+№27!K122+'№ 31'!K122+'№ 41'!K122</f>
        <v>0</v>
      </c>
      <c r="L122" s="194">
        <f>SUM(F122:K122)</f>
        <v>0</v>
      </c>
      <c r="M122" s="194">
        <f>L122/6</f>
        <v>0</v>
      </c>
      <c r="N122" s="192">
        <f>№2!N122+№5!N122+'№ 6'!N122+№14!N122+'№ 20'!N122+'№ 23'!N122+№27!N122+'№ 31'!N122+'№ 41'!N122</f>
        <v>0</v>
      </c>
      <c r="O122" s="192">
        <f>№2!O122+№5!O122+'№ 6'!O122+№14!O122+'№ 20'!O122+'№ 23'!O122+№27!O122+'№ 31'!O122+'№ 41'!O122</f>
        <v>0</v>
      </c>
      <c r="P122" s="192">
        <f>№2!P122+№5!P122+'№ 6'!P122+№14!P122+'№ 20'!P122+'№ 23'!P122+№27!P122+'№ 31'!P122+'№ 41'!P122</f>
        <v>0</v>
      </c>
      <c r="Q122" s="192">
        <f>№2!Q122+№5!Q122+'№ 6'!Q122+№14!Q122+'№ 20'!Q122+'№ 23'!Q122+№27!Q122+'№ 31'!Q122+'№ 41'!Q122</f>
        <v>0</v>
      </c>
      <c r="R122" s="192">
        <f>№2!R122+№5!R122+'№ 6'!R122+№14!R122+'№ 20'!R122+'№ 23'!R122+№27!R122+'№ 31'!R122+'№ 41'!R122</f>
        <v>0</v>
      </c>
      <c r="S122" s="192">
        <f>№2!S122+№5!S122+'№ 6'!S122+№14!S122+'№ 20'!S122+'№ 23'!S122+№27!S122+'№ 31'!S122+'№ 41'!S122</f>
        <v>0</v>
      </c>
      <c r="T122" s="194">
        <f>SUM(N122:S122)</f>
        <v>0</v>
      </c>
      <c r="U122" s="194">
        <f>T122+L122</f>
        <v>0</v>
      </c>
      <c r="V122" s="171">
        <f>№2!V122+№5!V122+'№ 6'!V122+№14!V122+'№ 20'!V122+'№ 23'!V122+№27!V122+'№ 31'!V122+'№ 41'!V122</f>
        <v>0</v>
      </c>
      <c r="W122" s="192">
        <f>V122-U122</f>
        <v>0</v>
      </c>
    </row>
    <row r="123" spans="1:24" s="205" customFormat="1" ht="18" hidden="1" customHeight="1">
      <c r="A123" s="610"/>
      <c r="B123" s="583"/>
      <c r="C123" s="583"/>
      <c r="D123" s="174" t="s">
        <v>55</v>
      </c>
      <c r="E123" s="210"/>
      <c r="F123" s="192">
        <f>№2!F123+№5!F123+'№ 6'!F123+№14!F123+'№ 20'!F123+'№ 23'!F123+№27!F123+'№ 31'!F123+'№ 41'!F123</f>
        <v>0</v>
      </c>
      <c r="G123" s="192">
        <f>№2!G123+№5!G123+'№ 6'!G123+№14!G123+'№ 20'!G123+'№ 23'!G123+№27!G123+'№ 31'!G123+'№ 41'!G123</f>
        <v>0</v>
      </c>
      <c r="H123" s="192">
        <f>№2!H123+№5!H123+'№ 6'!H123+№14!H123+'№ 20'!H123+'№ 23'!H123+№27!H123+'№ 31'!H123+'№ 41'!H123</f>
        <v>0</v>
      </c>
      <c r="I123" s="192">
        <f>№2!I123+№5!I123+'№ 6'!I123+№14!I123+'№ 20'!I123+'№ 23'!I123+№27!I123+'№ 31'!I123+'№ 41'!I123</f>
        <v>0</v>
      </c>
      <c r="J123" s="192">
        <f>№2!J123+№5!J123+'№ 6'!J123+№14!J123+'№ 20'!J123+'№ 23'!J123+№27!J123+'№ 31'!J123+'№ 41'!J123</f>
        <v>0</v>
      </c>
      <c r="K123" s="192">
        <f>№2!K123+№5!K123+'№ 6'!K123+№14!K123+'№ 20'!K123+'№ 23'!K123+№27!K123+'№ 31'!K123+'№ 41'!K123</f>
        <v>0</v>
      </c>
      <c r="L123" s="194">
        <f>SUM(F123:K123)</f>
        <v>0</v>
      </c>
      <c r="M123" s="194">
        <f>L123/6</f>
        <v>0</v>
      </c>
      <c r="N123" s="192">
        <f>№2!N123+№5!N123+'№ 6'!N123+№14!N123+'№ 20'!N123+'№ 23'!N123+№27!N123+'№ 31'!N123+'№ 41'!N123</f>
        <v>0</v>
      </c>
      <c r="O123" s="192">
        <f>№2!O123+№5!O123+'№ 6'!O123+№14!O123+'№ 20'!O123+'№ 23'!O123+№27!O123+'№ 31'!O123+'№ 41'!O123</f>
        <v>0</v>
      </c>
      <c r="P123" s="192">
        <f>№2!P123+№5!P123+'№ 6'!P123+№14!P123+'№ 20'!P123+'№ 23'!P123+№27!P123+'№ 31'!P123+'№ 41'!P123</f>
        <v>0</v>
      </c>
      <c r="Q123" s="192">
        <f>№2!Q123+№5!Q123+'№ 6'!Q123+№14!Q123+'№ 20'!Q123+'№ 23'!Q123+№27!Q123+'№ 31'!Q123+'№ 41'!Q123</f>
        <v>0</v>
      </c>
      <c r="R123" s="192">
        <f>№2!R123+№5!R123+'№ 6'!R123+№14!R123+'№ 20'!R123+'№ 23'!R123+№27!R123+'№ 31'!R123+'№ 41'!R123</f>
        <v>0</v>
      </c>
      <c r="S123" s="192">
        <f>№2!S123+№5!S123+'№ 6'!S123+№14!S123+'№ 20'!S123+'№ 23'!S123+№27!S123+'№ 31'!S123+'№ 41'!S123</f>
        <v>0</v>
      </c>
      <c r="T123" s="194">
        <f>SUM(N123:S123)</f>
        <v>0</v>
      </c>
      <c r="U123" s="194">
        <f>T123+L123</f>
        <v>0</v>
      </c>
      <c r="V123" s="171">
        <f>№2!V123+№5!V123+'№ 6'!V123+№14!V123+'№ 20'!V123+'№ 23'!V123+№27!V123+'№ 31'!V123+'№ 41'!V123</f>
        <v>0</v>
      </c>
      <c r="W123" s="192">
        <f>V123-U123</f>
        <v>0</v>
      </c>
    </row>
    <row r="124" spans="1:24" s="205" customFormat="1" ht="18" hidden="1" customHeight="1">
      <c r="A124" s="610"/>
      <c r="B124" s="583"/>
      <c r="C124" s="583"/>
      <c r="D124" s="174" t="s">
        <v>28</v>
      </c>
      <c r="E124" s="210"/>
      <c r="F124" s="192">
        <f>№2!F124+№5!F124+'№ 6'!F124+№14!F124+'№ 20'!F124+'№ 23'!F124+№27!F124+'№ 31'!F124+'№ 41'!F124</f>
        <v>0</v>
      </c>
      <c r="G124" s="192">
        <f>№2!G124+№5!G124+'№ 6'!G124+№14!G124+'№ 20'!G124+'№ 23'!G124+№27!G124+'№ 31'!G124+'№ 41'!G124</f>
        <v>0</v>
      </c>
      <c r="H124" s="192">
        <f>№2!H124+№5!H124+'№ 6'!H124+№14!H124+'№ 20'!H124+'№ 23'!H124+№27!H124+'№ 31'!H124+'№ 41'!H124</f>
        <v>0</v>
      </c>
      <c r="I124" s="192">
        <f>№2!I124+№5!I124+'№ 6'!I124+№14!I124+'№ 20'!I124+'№ 23'!I124+№27!I124+'№ 31'!I124+'№ 41'!I124</f>
        <v>0</v>
      </c>
      <c r="J124" s="192">
        <f>№2!J124+№5!J124+'№ 6'!J124+№14!J124+'№ 20'!J124+'№ 23'!J124+№27!J124+'№ 31'!J124+'№ 41'!J124</f>
        <v>0</v>
      </c>
      <c r="K124" s="192">
        <f>№2!K124+№5!K124+'№ 6'!K124+№14!K124+'№ 20'!K124+'№ 23'!K124+№27!K124+'№ 31'!K124+'№ 41'!K124</f>
        <v>0</v>
      </c>
      <c r="L124" s="194">
        <f>SUM(F124:K124)</f>
        <v>0</v>
      </c>
      <c r="M124" s="194">
        <f>L124/6</f>
        <v>0</v>
      </c>
      <c r="N124" s="192">
        <f>№2!N124+№5!N124+'№ 6'!N124+№14!N124+'№ 20'!N124+'№ 23'!N124+№27!N124+'№ 31'!N124+'№ 41'!N124</f>
        <v>0</v>
      </c>
      <c r="O124" s="192">
        <f>№2!O124+№5!O124+'№ 6'!O124+№14!O124+'№ 20'!O124+'№ 23'!O124+№27!O124+'№ 31'!O124+'№ 41'!O124</f>
        <v>0</v>
      </c>
      <c r="P124" s="192">
        <f>№2!P124+№5!P124+'№ 6'!P124+№14!P124+'№ 20'!P124+'№ 23'!P124+№27!P124+'№ 31'!P124+'№ 41'!P124</f>
        <v>0</v>
      </c>
      <c r="Q124" s="192">
        <f>№2!Q124+№5!Q124+'№ 6'!Q124+№14!Q124+'№ 20'!Q124+'№ 23'!Q124+№27!Q124+'№ 31'!Q124+'№ 41'!Q124</f>
        <v>0</v>
      </c>
      <c r="R124" s="192">
        <f>№2!R124+№5!R124+'№ 6'!R124+№14!R124+'№ 20'!R124+'№ 23'!R124+№27!R124+'№ 31'!R124+'№ 41'!R124</f>
        <v>0</v>
      </c>
      <c r="S124" s="192">
        <f>№2!S124+№5!S124+'№ 6'!S124+№14!S124+'№ 20'!S124+'№ 23'!S124+№27!S124+'№ 31'!S124+'№ 41'!S124</f>
        <v>0</v>
      </c>
      <c r="T124" s="194">
        <f>SUM(N124:S124)</f>
        <v>0</v>
      </c>
      <c r="U124" s="194">
        <f>T124+L124</f>
        <v>0</v>
      </c>
      <c r="V124" s="171">
        <f>№2!V124+№5!V124+'№ 6'!V124+№14!V124+'№ 20'!V124+'№ 23'!V124+№27!V124+'№ 31'!V124+'№ 41'!V124</f>
        <v>0</v>
      </c>
      <c r="W124" s="192">
        <f>V124-U124</f>
        <v>0</v>
      </c>
    </row>
    <row r="125" spans="1:24" s="205" customFormat="1" ht="18" hidden="1" customHeight="1">
      <c r="A125" s="610"/>
      <c r="B125" s="583"/>
      <c r="C125" s="583"/>
      <c r="D125" s="178" t="s">
        <v>117</v>
      </c>
      <c r="E125" s="179">
        <f>№2!E125+№5!E125+'№ 6'!E125+№14!E125+'№ 20'!E125+'№ 23'!E125+№27!E125+'№ 31'!E125+'№ 41'!E125</f>
        <v>0</v>
      </c>
      <c r="F125" s="184">
        <f>№2!F125+№5!F125+'№ 6'!F125+№14!F125+'№ 20'!F125+'№ 23'!F125+№27!F125+'№ 31'!F125+'№ 41'!F125</f>
        <v>0</v>
      </c>
      <c r="G125" s="184">
        <f>№2!G125+№5!G125+'№ 6'!G125+№14!G125+'№ 20'!G125+'№ 23'!G125+№27!G125+'№ 31'!G125+'№ 41'!G125</f>
        <v>0</v>
      </c>
      <c r="H125" s="179">
        <f>№2!H125+№5!H125+'№ 6'!H125+№14!H125+'№ 20'!H125+'№ 23'!H125+№27!H125+'№ 31'!H125+'№ 41'!H125</f>
        <v>0</v>
      </c>
      <c r="I125" s="179">
        <f>№2!I125+№5!I125+'№ 6'!I125+№14!I125+'№ 20'!I125+'№ 23'!I125+№27!I125+'№ 31'!I125+'№ 41'!I125</f>
        <v>0</v>
      </c>
      <c r="J125" s="179">
        <f>№2!J125+№5!J125+'№ 6'!J125+№14!J125+'№ 20'!J125+'№ 23'!J125+№27!J125+'№ 31'!J125+'№ 41'!J125</f>
        <v>0</v>
      </c>
      <c r="K125" s="179">
        <f>№2!K125+№5!K125+'№ 6'!K125+№14!K125+'№ 20'!K125+'№ 23'!K125+№27!K125+'№ 31'!K125+'№ 41'!K125</f>
        <v>0</v>
      </c>
      <c r="L125" s="215">
        <f>SUM(F125:K125)</f>
        <v>0</v>
      </c>
      <c r="M125" s="215">
        <f>L125/6</f>
        <v>0</v>
      </c>
      <c r="N125" s="179">
        <f>№2!N125+№5!N125+'№ 6'!N125+№14!N125+'№ 20'!N125+'№ 23'!N125+№27!N125+'№ 31'!N125+'№ 41'!N125</f>
        <v>0</v>
      </c>
      <c r="O125" s="179">
        <f>№2!O125+№5!O125+'№ 6'!O125+№14!O125+'№ 20'!O125+'№ 23'!O125+№27!O125+'№ 31'!O125+'№ 41'!O125</f>
        <v>0</v>
      </c>
      <c r="P125" s="179">
        <f>№2!P125+№5!P125+'№ 6'!P125+№14!P125+'№ 20'!P125+'№ 23'!P125+№27!P125+'№ 31'!P125+'№ 41'!P125</f>
        <v>0</v>
      </c>
      <c r="Q125" s="179">
        <f>№2!Q125+№5!Q125+'№ 6'!Q125+№14!Q125+'№ 20'!Q125+'№ 23'!Q125+№27!Q125+'№ 31'!Q125+'№ 41'!Q125</f>
        <v>0</v>
      </c>
      <c r="R125" s="179">
        <f>№2!R125+№5!R125+'№ 6'!R125+№14!R125+'№ 20'!R125+'№ 23'!R125+№27!R125+'№ 31'!R125+'№ 41'!R125</f>
        <v>0</v>
      </c>
      <c r="S125" s="179">
        <f>№2!S125+№5!S125+'№ 6'!S125+№14!S125+'№ 20'!S125+'№ 23'!S125+№27!S125+'№ 31'!S125+'№ 41'!S125</f>
        <v>0</v>
      </c>
      <c r="T125" s="215">
        <f>SUM(N125:S125)</f>
        <v>0</v>
      </c>
      <c r="U125" s="215">
        <f>T125+L125</f>
        <v>0</v>
      </c>
      <c r="V125" s="179">
        <f>№2!V125+№5!V125+'№ 6'!V125+№14!V125+'№ 20'!V125+'№ 23'!V125+№27!V125+'№ 31'!V125+'№ 41'!V125</f>
        <v>0</v>
      </c>
      <c r="W125" s="184">
        <f>V125-U125</f>
        <v>0</v>
      </c>
      <c r="X125" s="279">
        <f>U120-U125</f>
        <v>0</v>
      </c>
    </row>
    <row r="126" spans="1:24" s="205" customFormat="1" ht="18" hidden="1" customHeight="1">
      <c r="A126" s="610"/>
      <c r="B126" s="583"/>
      <c r="C126" s="583"/>
      <c r="D126" s="187" t="s">
        <v>27</v>
      </c>
      <c r="E126" s="188" t="e">
        <f t="shared" ref="E126:U126" si="148">E127/E125*1000</f>
        <v>#DIV/0!</v>
      </c>
      <c r="F126" s="188" t="e">
        <f t="shared" si="148"/>
        <v>#DIV/0!</v>
      </c>
      <c r="G126" s="188" t="e">
        <f t="shared" si="148"/>
        <v>#DIV/0!</v>
      </c>
      <c r="H126" s="188" t="e">
        <f t="shared" si="148"/>
        <v>#DIV/0!</v>
      </c>
      <c r="I126" s="188" t="e">
        <f t="shared" si="148"/>
        <v>#DIV/0!</v>
      </c>
      <c r="J126" s="188" t="e">
        <f t="shared" si="148"/>
        <v>#DIV/0!</v>
      </c>
      <c r="K126" s="188" t="e">
        <f t="shared" si="148"/>
        <v>#DIV/0!</v>
      </c>
      <c r="L126" s="217" t="e">
        <f t="shared" si="148"/>
        <v>#DIV/0!</v>
      </c>
      <c r="M126" s="217" t="e">
        <f t="shared" si="148"/>
        <v>#DIV/0!</v>
      </c>
      <c r="N126" s="188" t="e">
        <f t="shared" si="148"/>
        <v>#DIV/0!</v>
      </c>
      <c r="O126" s="188" t="e">
        <f t="shared" si="148"/>
        <v>#DIV/0!</v>
      </c>
      <c r="P126" s="188" t="e">
        <f t="shared" si="148"/>
        <v>#DIV/0!</v>
      </c>
      <c r="Q126" s="188" t="e">
        <f t="shared" si="148"/>
        <v>#DIV/0!</v>
      </c>
      <c r="R126" s="188" t="e">
        <f t="shared" si="148"/>
        <v>#DIV/0!</v>
      </c>
      <c r="S126" s="188" t="e">
        <f t="shared" si="148"/>
        <v>#DIV/0!</v>
      </c>
      <c r="T126" s="217" t="e">
        <f t="shared" si="148"/>
        <v>#DIV/0!</v>
      </c>
      <c r="U126" s="217" t="e">
        <f t="shared" si="148"/>
        <v>#DIV/0!</v>
      </c>
      <c r="V126" s="218" t="e">
        <f t="shared" ref="V126" si="149">V127/V125*1000</f>
        <v>#DIV/0!</v>
      </c>
      <c r="W126" s="219" t="e">
        <f>W127/W125*1000</f>
        <v>#DIV/0!</v>
      </c>
      <c r="X126" s="185"/>
    </row>
    <row r="127" spans="1:24" s="205" customFormat="1" ht="18" hidden="1" customHeight="1">
      <c r="A127" s="610"/>
      <c r="B127" s="583"/>
      <c r="C127" s="583"/>
      <c r="D127" s="198" t="s">
        <v>25</v>
      </c>
      <c r="E127" s="199">
        <f>№2!E127+№5!E127+'№ 6'!E127+№14!E127+'№ 20'!E127+'№ 23'!E127+№27!E127+'№ 31'!E127+'№ 41'!E127</f>
        <v>0</v>
      </c>
      <c r="F127" s="199">
        <f>№2!F127+№5!F127+'№ 6'!F127+№14!F127+'№ 20'!F127+'№ 23'!F127+№27!F127+'№ 31'!F127+'№ 41'!F127</f>
        <v>0</v>
      </c>
      <c r="G127" s="199">
        <f>№2!G127+№5!G127+'№ 6'!G127+№14!G127+'№ 20'!G127+'№ 23'!G127+№27!G127+'№ 31'!G127+'№ 41'!G127</f>
        <v>0</v>
      </c>
      <c r="H127" s="199">
        <f>№2!H127+№5!H127+'№ 6'!H127+№14!H127+'№ 20'!H127+'№ 23'!H127+№27!H127+'№ 31'!H127+'№ 41'!H127</f>
        <v>0</v>
      </c>
      <c r="I127" s="199">
        <f>№2!I127+№5!I127+'№ 6'!I127+№14!I127+'№ 20'!I127+'№ 23'!I127+№27!I127+'№ 31'!I127+'№ 41'!I127</f>
        <v>0</v>
      </c>
      <c r="J127" s="199">
        <f>№2!J127+№5!J127+'№ 6'!J127+№14!J127+'№ 20'!J127+'№ 23'!J127+№27!J127+'№ 31'!J127+'№ 41'!J127</f>
        <v>0</v>
      </c>
      <c r="K127" s="199">
        <f>№2!K127+№5!K127+'№ 6'!K127+№14!K127+'№ 20'!K127+'№ 23'!K127+№27!K127+'№ 31'!K127+'№ 41'!K127</f>
        <v>0</v>
      </c>
      <c r="L127" s="199">
        <f>SUM(F127:K127)</f>
        <v>0</v>
      </c>
      <c r="M127" s="199">
        <f>L127/6</f>
        <v>0</v>
      </c>
      <c r="N127" s="199">
        <f>№2!N127+№5!N127+'№ 6'!N127+№14!N127+'№ 20'!N127+'№ 23'!N127+№27!N127+'№ 31'!N127+'№ 41'!N127</f>
        <v>0</v>
      </c>
      <c r="O127" s="199">
        <f>№2!O127+№5!O127+'№ 6'!O127+№14!O127+'№ 20'!O127+'№ 23'!O127+№27!O127+'№ 31'!O127+'№ 41'!O127</f>
        <v>0</v>
      </c>
      <c r="P127" s="199">
        <f>№2!P127+№5!P127+'№ 6'!P127+№14!P127+'№ 20'!P127+'№ 23'!P127+№27!P127+'№ 31'!P127+'№ 41'!P127</f>
        <v>0</v>
      </c>
      <c r="Q127" s="199">
        <f>№2!Q127+№5!Q127+'№ 6'!Q127+№14!Q127+'№ 20'!Q127+'№ 23'!Q127+№27!Q127+'№ 31'!Q127+'№ 41'!Q127</f>
        <v>0</v>
      </c>
      <c r="R127" s="199">
        <f>№2!R127+№5!R127+'№ 6'!R127+№14!R127+'№ 20'!R127+'№ 23'!R127+№27!R127+'№ 31'!R127+'№ 41'!R127</f>
        <v>0</v>
      </c>
      <c r="S127" s="199">
        <f>№2!S127+№5!S127+'№ 6'!S127+№14!S127+'№ 20'!S127+'№ 23'!S127+№27!S127+'№ 31'!S127+'№ 41'!S127</f>
        <v>0</v>
      </c>
      <c r="T127" s="199">
        <f>SUM(N127:S127)</f>
        <v>0</v>
      </c>
      <c r="U127" s="199">
        <f>T127+L127</f>
        <v>0</v>
      </c>
      <c r="V127" s="199">
        <f>№2!V127+№5!V127+'№ 6'!V127+№14!V127+'№ 20'!V127+'№ 23'!V127+№27!V127+'№ 31'!V127+'№ 41'!V127</f>
        <v>0</v>
      </c>
      <c r="W127" s="221">
        <f>V127-U127</f>
        <v>0</v>
      </c>
      <c r="X127" s="176">
        <f>U122-U127</f>
        <v>0</v>
      </c>
    </row>
    <row r="128" spans="1:24" s="205" customFormat="1" ht="18" hidden="1" customHeight="1">
      <c r="A128" s="610"/>
      <c r="B128" s="583"/>
      <c r="C128" s="583"/>
      <c r="D128" s="201" t="s">
        <v>55</v>
      </c>
      <c r="E128" s="220"/>
      <c r="F128" s="199">
        <f>№2!F128+№5!F128+'№ 6'!F128+№14!F128+'№ 20'!F128+'№ 23'!F128+№27!F128+'№ 31'!F128+'№ 41'!F128</f>
        <v>0</v>
      </c>
      <c r="G128" s="199">
        <f>№2!G128+№5!G128+'№ 6'!G128+№14!G128+'№ 20'!G128+'№ 23'!G128+№27!G128+'№ 31'!G128+'№ 41'!G128</f>
        <v>0</v>
      </c>
      <c r="H128" s="199">
        <f>№2!H128+№5!H128+'№ 6'!H128+№14!H128+'№ 20'!H128+'№ 23'!H128+№27!H128+'№ 31'!H128+'№ 41'!H128</f>
        <v>0</v>
      </c>
      <c r="I128" s="199">
        <f>№2!I128+№5!I128+'№ 6'!I128+№14!I128+'№ 20'!I128+'№ 23'!I128+№27!I128+'№ 31'!I128+'№ 41'!I128</f>
        <v>0</v>
      </c>
      <c r="J128" s="199">
        <f>№2!J128+№5!J128+'№ 6'!J128+№14!J128+'№ 20'!J128+'№ 23'!J128+№27!J128+'№ 31'!J128+'№ 41'!J128</f>
        <v>0</v>
      </c>
      <c r="K128" s="199">
        <f>№2!K128+№5!K128+'№ 6'!K128+№14!K128+'№ 20'!K128+'№ 23'!K128+№27!K128+'№ 31'!K128+'№ 41'!K128</f>
        <v>0</v>
      </c>
      <c r="L128" s="199">
        <f>SUM(F128:K128)</f>
        <v>0</v>
      </c>
      <c r="M128" s="199">
        <f>L128/6</f>
        <v>0</v>
      </c>
      <c r="N128" s="199">
        <f>№2!N128+№5!N128+'№ 6'!N128+№14!N128+'№ 20'!N128+'№ 23'!N128+№27!N128+'№ 31'!N128+'№ 41'!N128</f>
        <v>0</v>
      </c>
      <c r="O128" s="199">
        <f>№2!O128+№5!O128+'№ 6'!O128+№14!O128+'№ 20'!O128+'№ 23'!O128+№27!O128+'№ 31'!O128+'№ 41'!O128</f>
        <v>0</v>
      </c>
      <c r="P128" s="199">
        <f>№2!P128+№5!P128+'№ 6'!P128+№14!P128+'№ 20'!P128+'№ 23'!P128+№27!P128+'№ 31'!P128+'№ 41'!P128</f>
        <v>0</v>
      </c>
      <c r="Q128" s="199">
        <f>№2!Q128+№5!Q128+'№ 6'!Q128+№14!Q128+'№ 20'!Q128+'№ 23'!Q128+№27!Q128+'№ 31'!Q128+'№ 41'!Q128</f>
        <v>0</v>
      </c>
      <c r="R128" s="199">
        <f>№2!R128+№5!R128+'№ 6'!R128+№14!R128+'№ 20'!R128+'№ 23'!R128+№27!R128+'№ 31'!R128+'№ 41'!R128</f>
        <v>0</v>
      </c>
      <c r="S128" s="199">
        <f>№2!S128+№5!S128+'№ 6'!S128+№14!S128+'№ 20'!S128+'№ 23'!S128+№27!S128+'№ 31'!S128+'№ 41'!S128</f>
        <v>0</v>
      </c>
      <c r="T128" s="199">
        <f>SUM(N128:S128)</f>
        <v>0</v>
      </c>
      <c r="U128" s="199">
        <f>T128+L128</f>
        <v>0</v>
      </c>
      <c r="V128" s="199">
        <f>№2!V128+№5!V128+'№ 6'!V128+№14!V128+'№ 20'!V128+'№ 23'!V128+№27!V128+'№ 31'!V128+'№ 41'!V128</f>
        <v>0</v>
      </c>
      <c r="W128" s="221">
        <f>V128-U128</f>
        <v>0</v>
      </c>
      <c r="X128" s="176">
        <f>U123-U128</f>
        <v>0</v>
      </c>
    </row>
    <row r="129" spans="1:25" s="205" customFormat="1" ht="18" hidden="1" customHeight="1">
      <c r="A129" s="610"/>
      <c r="B129" s="583"/>
      <c r="C129" s="583"/>
      <c r="D129" s="201" t="s">
        <v>24</v>
      </c>
      <c r="E129" s="220"/>
      <c r="F129" s="199">
        <f>№2!F129+№5!F129+'№ 6'!F129+№14!F129+'№ 20'!F129+'№ 23'!F129+№27!F129+'№ 31'!F129+'№ 41'!F129</f>
        <v>0</v>
      </c>
      <c r="G129" s="199">
        <f>№2!G129+№5!G129+'№ 6'!G129+№14!G129+'№ 20'!G129+'№ 23'!G129+№27!G129+'№ 31'!G129+'№ 41'!G129</f>
        <v>0</v>
      </c>
      <c r="H129" s="199">
        <f>№2!H129+№5!H129+'№ 6'!H129+№14!H129+'№ 20'!H129+'№ 23'!H129+№27!H129+'№ 31'!H129+'№ 41'!H129</f>
        <v>0</v>
      </c>
      <c r="I129" s="199">
        <f>№2!I129+№5!I129+'№ 6'!I129+№14!I129+'№ 20'!I129+'№ 23'!I129+№27!I129+'№ 31'!I129+'№ 41'!I129</f>
        <v>0</v>
      </c>
      <c r="J129" s="199">
        <f>№2!J129+№5!J129+'№ 6'!J129+№14!J129+'№ 20'!J129+'№ 23'!J129+№27!J129+'№ 31'!J129+'№ 41'!J129</f>
        <v>0</v>
      </c>
      <c r="K129" s="199">
        <f>№2!K129+№5!K129+'№ 6'!K129+№14!K129+'№ 20'!K129+'№ 23'!K129+№27!K129+'№ 31'!K129+'№ 41'!K129</f>
        <v>0</v>
      </c>
      <c r="L129" s="199">
        <f>SUM(F129:K129)</f>
        <v>0</v>
      </c>
      <c r="M129" s="199">
        <f>L129/6</f>
        <v>0</v>
      </c>
      <c r="N129" s="199">
        <f>№2!N129+№5!N129+'№ 6'!N129+№14!N129+'№ 20'!N129+'№ 23'!N129+№27!N129+'№ 31'!N129+'№ 41'!N129</f>
        <v>0</v>
      </c>
      <c r="O129" s="199">
        <f>№2!O129+№5!O129+'№ 6'!O129+№14!O129+'№ 20'!O129+'№ 23'!O129+№27!O129+'№ 31'!O129+'№ 41'!O129</f>
        <v>0</v>
      </c>
      <c r="P129" s="199">
        <f>№2!P129+№5!P129+'№ 6'!P129+№14!P129+'№ 20'!P129+'№ 23'!P129+№27!P129+'№ 31'!P129+'№ 41'!P129</f>
        <v>0</v>
      </c>
      <c r="Q129" s="199">
        <f>№2!Q129+№5!Q129+'№ 6'!Q129+№14!Q129+'№ 20'!Q129+'№ 23'!Q129+№27!Q129+'№ 31'!Q129+'№ 41'!Q129</f>
        <v>0</v>
      </c>
      <c r="R129" s="199">
        <f>№2!R129+№5!R129+'№ 6'!R129+№14!R129+'№ 20'!R129+'№ 23'!R129+№27!R129+'№ 31'!R129+'№ 41'!R129</f>
        <v>0</v>
      </c>
      <c r="S129" s="199">
        <f>№2!S129+№5!S129+'№ 6'!S129+№14!S129+'№ 20'!S129+'№ 23'!S129+№27!S129+'№ 31'!S129+'№ 41'!S129</f>
        <v>0</v>
      </c>
      <c r="T129" s="199">
        <f>SUM(N129:S129)</f>
        <v>0</v>
      </c>
      <c r="U129" s="199">
        <f>T129+L129</f>
        <v>0</v>
      </c>
      <c r="V129" s="199">
        <f>№2!V129+№5!V129+'№ 6'!V129+№14!V129+'№ 20'!V129+'№ 23'!V129+№27!V129+'№ 31'!V129+'№ 41'!V129</f>
        <v>0</v>
      </c>
      <c r="W129" s="221">
        <f>V129-U129</f>
        <v>0</v>
      </c>
      <c r="X129" s="176">
        <f>U124-U129</f>
        <v>0</v>
      </c>
    </row>
    <row r="130" spans="1:25" s="205" customFormat="1" ht="18" hidden="1" customHeight="1">
      <c r="A130" s="610"/>
      <c r="B130" s="583"/>
      <c r="C130" s="583"/>
      <c r="D130" s="202" t="s">
        <v>29</v>
      </c>
      <c r="E130" s="203"/>
      <c r="F130" s="203">
        <f t="shared" ref="F130:K130" si="150">F123+F124</f>
        <v>0</v>
      </c>
      <c r="G130" s="203">
        <f t="shared" si="150"/>
        <v>0</v>
      </c>
      <c r="H130" s="203">
        <f t="shared" si="150"/>
        <v>0</v>
      </c>
      <c r="I130" s="203">
        <f t="shared" si="150"/>
        <v>0</v>
      </c>
      <c r="J130" s="203">
        <f t="shared" si="150"/>
        <v>0</v>
      </c>
      <c r="K130" s="203">
        <f t="shared" si="150"/>
        <v>0</v>
      </c>
      <c r="L130" s="203">
        <f>SUM(F130:K130)</f>
        <v>0</v>
      </c>
      <c r="M130" s="203">
        <f>L130/6</f>
        <v>0</v>
      </c>
      <c r="N130" s="203">
        <f t="shared" ref="N130:S130" si="151">N124+N123</f>
        <v>0</v>
      </c>
      <c r="O130" s="203">
        <f t="shared" si="151"/>
        <v>0</v>
      </c>
      <c r="P130" s="203">
        <f t="shared" si="151"/>
        <v>0</v>
      </c>
      <c r="Q130" s="203">
        <f t="shared" si="151"/>
        <v>0</v>
      </c>
      <c r="R130" s="203">
        <f t="shared" si="151"/>
        <v>0</v>
      </c>
      <c r="S130" s="203">
        <f t="shared" si="151"/>
        <v>0</v>
      </c>
      <c r="T130" s="203">
        <f>SUM(N130:S130)</f>
        <v>0</v>
      </c>
      <c r="U130" s="203">
        <f>T130+L130</f>
        <v>0</v>
      </c>
      <c r="V130" s="203">
        <f>V127</f>
        <v>0</v>
      </c>
      <c r="W130" s="203">
        <f>V130-U130</f>
        <v>0</v>
      </c>
    </row>
    <row r="131" spans="1:25" s="205" customFormat="1" ht="18" hidden="1" customHeight="1">
      <c r="A131" s="610"/>
      <c r="B131" s="583"/>
      <c r="C131" s="583"/>
      <c r="D131" s="202" t="s">
        <v>30</v>
      </c>
      <c r="E131" s="203"/>
      <c r="F131" s="203">
        <f t="shared" ref="F131:K131" si="152">F127-F130</f>
        <v>0</v>
      </c>
      <c r="G131" s="203">
        <f t="shared" si="152"/>
        <v>0</v>
      </c>
      <c r="H131" s="203">
        <f t="shared" si="152"/>
        <v>0</v>
      </c>
      <c r="I131" s="203">
        <f t="shared" si="152"/>
        <v>0</v>
      </c>
      <c r="J131" s="203">
        <f t="shared" si="152"/>
        <v>0</v>
      </c>
      <c r="K131" s="203">
        <f t="shared" si="152"/>
        <v>0</v>
      </c>
      <c r="L131" s="203"/>
      <c r="M131" s="203"/>
      <c r="N131" s="203">
        <f t="shared" ref="N131:S131" si="153">N127-N130</f>
        <v>0</v>
      </c>
      <c r="O131" s="203">
        <f t="shared" si="153"/>
        <v>0</v>
      </c>
      <c r="P131" s="203">
        <f t="shared" si="153"/>
        <v>0</v>
      </c>
      <c r="Q131" s="203">
        <f t="shared" si="153"/>
        <v>0</v>
      </c>
      <c r="R131" s="203">
        <f t="shared" si="153"/>
        <v>0</v>
      </c>
      <c r="S131" s="203">
        <f t="shared" si="153"/>
        <v>0</v>
      </c>
      <c r="T131" s="203"/>
      <c r="U131" s="203"/>
      <c r="V131" s="203"/>
      <c r="W131" s="203"/>
    </row>
    <row r="132" spans="1:25" s="205" customFormat="1" ht="27.1" hidden="1" customHeight="1">
      <c r="A132" s="610"/>
      <c r="B132" s="583"/>
      <c r="C132" s="584"/>
      <c r="D132" s="202" t="s">
        <v>31</v>
      </c>
      <c r="E132" s="203"/>
      <c r="F132" s="203">
        <f>F131</f>
        <v>0</v>
      </c>
      <c r="G132" s="203">
        <f>G131+F132</f>
        <v>0</v>
      </c>
      <c r="H132" s="203">
        <f>H131+G132</f>
        <v>0</v>
      </c>
      <c r="I132" s="203">
        <f>I131+H132</f>
        <v>0</v>
      </c>
      <c r="J132" s="203">
        <f>J131+I132</f>
        <v>0</v>
      </c>
      <c r="K132" s="203">
        <f>K131+J132</f>
        <v>0</v>
      </c>
      <c r="L132" s="203"/>
      <c r="M132" s="203"/>
      <c r="N132" s="203">
        <f>N131+K132</f>
        <v>0</v>
      </c>
      <c r="O132" s="203">
        <f>O131+N132</f>
        <v>0</v>
      </c>
      <c r="P132" s="203">
        <f>P131+O132</f>
        <v>0</v>
      </c>
      <c r="Q132" s="203">
        <f>Q131+P132</f>
        <v>0</v>
      </c>
      <c r="R132" s="203">
        <f>R131+Q132</f>
        <v>0</v>
      </c>
      <c r="S132" s="203">
        <f>S131+R132</f>
        <v>0</v>
      </c>
      <c r="T132" s="203"/>
      <c r="U132" s="203"/>
      <c r="V132" s="203"/>
      <c r="W132" s="203"/>
    </row>
    <row r="133" spans="1:25" s="185" customFormat="1" ht="18" customHeight="1">
      <c r="A133" s="610"/>
      <c r="B133" s="583"/>
      <c r="C133" s="582" t="s">
        <v>99</v>
      </c>
      <c r="D133" s="178" t="s">
        <v>105</v>
      </c>
      <c r="E133" s="179"/>
      <c r="F133" s="180">
        <f>№2!F133+№5!F133+'№ 6'!F133+№14!F133+'№ 20'!F133+'№ 23'!F133+№27!F133+'№ 31'!F133+'№ 41'!F133</f>
        <v>484.5</v>
      </c>
      <c r="G133" s="180">
        <f>№2!G133+№5!G133+'№ 6'!G133+№14!G133+'№ 20'!G133+'№ 23'!G133+№27!G133+'№ 31'!G133+'№ 41'!G133</f>
        <v>313.10000000000002</v>
      </c>
      <c r="H133" s="180">
        <f>№2!H133+№5!H133+'№ 6'!H133+№14!H133+'№ 20'!H133+'№ 23'!H133+№27!H133+'№ 31'!H133+'№ 41'!H133</f>
        <v>273.89999999999998</v>
      </c>
      <c r="I133" s="180">
        <f>№2!I133+№5!I133+'№ 6'!I133+№14!I133+'№ 20'!I133+'№ 23'!I133+№27!I133+'№ 31'!I133+'№ 41'!I133</f>
        <v>0</v>
      </c>
      <c r="J133" s="180">
        <f>№2!J133+№5!J133+'№ 6'!J133+№14!J133+'№ 20'!J133+'№ 23'!J133+№27!J133+'№ 31'!J133+'№ 41'!J133</f>
        <v>0</v>
      </c>
      <c r="K133" s="180">
        <f>№2!K133+№5!K133+'№ 6'!K133+№14!K133+'№ 20'!K133+'№ 23'!K133+№27!K133+'№ 31'!K133+'№ 41'!K133</f>
        <v>0</v>
      </c>
      <c r="L133" s="215">
        <f>SUM(F133:K133)</f>
        <v>1071.5</v>
      </c>
      <c r="M133" s="215">
        <f>L133/6</f>
        <v>178.6</v>
      </c>
      <c r="N133" s="180">
        <f>№2!N133+№5!N133+'№ 6'!N133+№14!N133+'№ 20'!N133+'№ 23'!N133+№27!N133+'№ 31'!N133+'№ 41'!N133</f>
        <v>0</v>
      </c>
      <c r="O133" s="180">
        <f>№2!O133+№5!O133+'№ 6'!O133+№14!O133+'№ 20'!O133+'№ 23'!O133+№27!O133+'№ 31'!O133+'№ 41'!O133</f>
        <v>0</v>
      </c>
      <c r="P133" s="180">
        <f>№2!P133+№5!P133+'№ 6'!P133+№14!P133+'№ 20'!P133+'№ 23'!P133+№27!P133+'№ 31'!P133+'№ 41'!P133</f>
        <v>0</v>
      </c>
      <c r="Q133" s="180">
        <f>№2!Q133+№5!Q133+'№ 6'!Q133+№14!Q133+'№ 20'!Q133+'№ 23'!Q133+№27!Q133+'№ 31'!Q133+'№ 41'!Q133</f>
        <v>0</v>
      </c>
      <c r="R133" s="180">
        <f>№2!R133+№5!R133+'№ 6'!R133+№14!R133+'№ 20'!R133+'№ 23'!R133+№27!R133+'№ 31'!R133+'№ 41'!R133</f>
        <v>125.6</v>
      </c>
      <c r="S133" s="180">
        <f>№2!S133+№5!S133+'№ 6'!S133+№14!S133+'№ 20'!S133+'№ 23'!S133+№27!S133+'№ 31'!S133+'№ 41'!S133</f>
        <v>315.39999999999998</v>
      </c>
      <c r="T133" s="215">
        <f>SUM(N133:S133)</f>
        <v>441</v>
      </c>
      <c r="U133" s="215">
        <f>T133+L133</f>
        <v>1512.5</v>
      </c>
      <c r="V133" s="233">
        <f>№2!V133+№5!V133+'№ 6'!V133+№14!V133+'№ 20'!V133+'№ 23'!V133+№27!V133+'№ 31'!V133+'№ 41'!V133</f>
        <v>712</v>
      </c>
      <c r="W133" s="184"/>
    </row>
    <row r="134" spans="1:25" s="185" customFormat="1" ht="18" customHeight="1">
      <c r="A134" s="610"/>
      <c r="B134" s="583"/>
      <c r="C134" s="583"/>
      <c r="D134" s="178" t="s">
        <v>109</v>
      </c>
      <c r="E134" s="179"/>
      <c r="F134" s="180">
        <f>№2!F134+№5!F134+'№ 6'!F134+№14!F134+'№ 20'!F134+'№ 23'!F134+№27!F134+'№ 31'!F134+'№ 41'!F134</f>
        <v>344.6</v>
      </c>
      <c r="G134" s="180">
        <f>№2!G134+№5!G134+'№ 6'!G134+№14!G134+'№ 20'!G134+'№ 23'!G134+№27!G134+'№ 31'!G134+'№ 41'!G134</f>
        <v>313.10000000000002</v>
      </c>
      <c r="H134" s="180">
        <f>№2!H134+№5!H134+'№ 6'!H134+№14!H134+'№ 20'!H134+'№ 23'!H134+№27!H134+'№ 31'!H134+'№ 41'!H134</f>
        <v>287</v>
      </c>
      <c r="I134" s="180">
        <f>№2!I134+№5!I134+'№ 6'!I134+№14!I134+'№ 20'!I134+'№ 23'!I134+№27!I134+'№ 31'!I134+'№ 41'!I134</f>
        <v>0</v>
      </c>
      <c r="J134" s="180">
        <f>№2!J134+№5!J134+'№ 6'!J134+№14!J134+'№ 20'!J134+'№ 23'!J134+№27!J134+'№ 31'!J134+'№ 41'!J134</f>
        <v>0</v>
      </c>
      <c r="K134" s="180">
        <f>№2!K134+№5!K134+'№ 6'!K134+№14!K134+'№ 20'!K134+'№ 23'!K134+№27!K134+'№ 31'!K134+'№ 41'!K134</f>
        <v>0</v>
      </c>
      <c r="L134" s="215">
        <f>SUM(F134:K134)</f>
        <v>944.7</v>
      </c>
      <c r="M134" s="215">
        <f>L134/6</f>
        <v>157.5</v>
      </c>
      <c r="N134" s="180">
        <f>№2!N134+№5!N134+'№ 6'!N134+№14!N134+'№ 20'!N134+'№ 23'!N134+№27!N134+'№ 31'!N134+'№ 41'!N134</f>
        <v>0</v>
      </c>
      <c r="O134" s="180">
        <f>№2!O134+№5!O134+'№ 6'!O134+№14!O134+'№ 20'!O134+'№ 23'!O134+№27!O134+'№ 31'!O134+'№ 41'!O134</f>
        <v>0</v>
      </c>
      <c r="P134" s="180">
        <f>№2!P134+№5!P134+'№ 6'!P134+№14!P134+'№ 20'!P134+'№ 23'!P134+№27!P134+'№ 31'!P134+'№ 41'!P134</f>
        <v>0</v>
      </c>
      <c r="Q134" s="180">
        <f>№2!Q134+№5!Q134+'№ 6'!Q134+№14!Q134+'№ 20'!Q134+'№ 23'!Q134+№27!Q134+'№ 31'!Q134+'№ 41'!Q134</f>
        <v>0</v>
      </c>
      <c r="R134" s="180">
        <f>№2!R134+№5!R134+'№ 6'!R134+№14!R134+'№ 20'!R134+'№ 23'!R134+№27!R134+'№ 31'!R134+'№ 41'!R134</f>
        <v>152.80000000000001</v>
      </c>
      <c r="S134" s="180">
        <f>№2!S134+№5!S134+'№ 6'!S134+№14!S134+'№ 20'!S134+'№ 23'!S134+№27!S134+'№ 31'!S134+'№ 41'!S134</f>
        <v>312</v>
      </c>
      <c r="T134" s="215">
        <f>SUM(N134:S134)</f>
        <v>464.8</v>
      </c>
      <c r="U134" s="215">
        <f>T134+L134</f>
        <v>1409.5</v>
      </c>
      <c r="V134" s="233">
        <f>№2!V134+№5!V134+'№ 6'!V134+№14!V134+'№ 20'!V134+'№ 23'!V134+№27!V134+'№ 31'!V134+'№ 41'!V134</f>
        <v>1599.6</v>
      </c>
      <c r="W134" s="184"/>
    </row>
    <row r="135" spans="1:25" s="185" customFormat="1" ht="18" customHeight="1">
      <c r="A135" s="610"/>
      <c r="B135" s="583"/>
      <c r="C135" s="583"/>
      <c r="D135" s="178" t="s">
        <v>116</v>
      </c>
      <c r="E135" s="179"/>
      <c r="F135" s="264">
        <f>№2!F135+№5!F135+'№ 6'!F135+№14!F135+'№ 20'!F135+'№ 23'!F135+№27!F135+'№ 31'!F135+'№ 41'!F135</f>
        <v>340.21</v>
      </c>
      <c r="G135" s="264">
        <f>№2!G135+№5!G135+'№ 6'!G135+№14!G135+'№ 20'!G135+'№ 23'!G135+№27!G135+'№ 31'!G135+'№ 41'!G135</f>
        <v>439.5</v>
      </c>
      <c r="H135" s="264">
        <f>№2!H135+№5!H135+'№ 6'!H135+№14!H135+'№ 20'!H135+'№ 23'!H135+№27!H135+'№ 31'!H135+'№ 41'!H135</f>
        <v>242.4</v>
      </c>
      <c r="I135" s="264">
        <f>№2!I135+№5!I135+'№ 6'!I135+№14!I135+'№ 20'!I135+'№ 23'!I135+№27!I135+'№ 31'!I135+'№ 41'!I135</f>
        <v>0</v>
      </c>
      <c r="J135" s="264">
        <f>№2!J135+№5!J135+'№ 6'!J135+№14!J135+'№ 20'!J135+'№ 23'!J135+№27!J135+'№ 31'!J135+'№ 41'!J135</f>
        <v>0</v>
      </c>
      <c r="K135" s="264">
        <f>№2!K135+№5!K135+'№ 6'!K135+№14!K135+'№ 20'!K135+'№ 23'!K135+№27!K135+'№ 31'!K135+'№ 41'!K135</f>
        <v>0</v>
      </c>
      <c r="L135" s="234">
        <f>SUM(F135:K135)</f>
        <v>1022.11</v>
      </c>
      <c r="M135" s="234">
        <f>L135/6</f>
        <v>170.352</v>
      </c>
      <c r="N135" s="264">
        <f>№2!N135+№5!N135+'№ 6'!N135+№14!N135+'№ 20'!N135+'№ 23'!N135+№27!N135+'№ 31'!N135+'№ 41'!N135</f>
        <v>0</v>
      </c>
      <c r="O135" s="264">
        <f>№2!O135+№5!O135+'№ 6'!O135+№14!O135+'№ 20'!O135+'№ 23'!O135+№27!O135+'№ 31'!O135+'№ 41'!O135</f>
        <v>0</v>
      </c>
      <c r="P135" s="264">
        <f>№2!P135+№5!P135+'№ 6'!P135+№14!P135+'№ 20'!P135+'№ 23'!P135+№27!P135+'№ 31'!P135+'№ 41'!P135</f>
        <v>0</v>
      </c>
      <c r="Q135" s="264">
        <f>№2!Q135+№5!Q135+'№ 6'!Q135+№14!Q135+'№ 20'!Q135+'№ 23'!Q135+№27!Q135+'№ 31'!Q135+'№ 41'!Q135</f>
        <v>0</v>
      </c>
      <c r="R135" s="264">
        <f>№2!R135+№5!R135+'№ 6'!R135+№14!R135+'№ 20'!R135+'№ 23'!R135+№27!R135+'№ 31'!R135+'№ 41'!R135</f>
        <v>179.3</v>
      </c>
      <c r="S135" s="264">
        <f>№2!S135+№5!S135+'№ 6'!S135+№14!S135+'№ 20'!S135+'№ 23'!S135+№27!S135+'№ 31'!S135+'№ 41'!S135</f>
        <v>307.60000000000002</v>
      </c>
      <c r="T135" s="215">
        <f>SUM(N135:S135)</f>
        <v>486.9</v>
      </c>
      <c r="U135" s="215">
        <f>T135+L135</f>
        <v>1509</v>
      </c>
      <c r="V135" s="233">
        <f>№2!V135+№5!V135+'№ 6'!V135+№14!V135+'№ 20'!V135+'№ 23'!V135+№27!V135+'№ 31'!V135+'№ 41'!V135</f>
        <v>1483.6</v>
      </c>
      <c r="W135" s="184">
        <f>V135-U135</f>
        <v>-25.4</v>
      </c>
    </row>
    <row r="136" spans="1:25" s="185" customFormat="1" ht="18" customHeight="1">
      <c r="A136" s="610"/>
      <c r="B136" s="583"/>
      <c r="C136" s="583"/>
      <c r="D136" s="187" t="s">
        <v>27</v>
      </c>
      <c r="E136" s="188"/>
      <c r="F136" s="188">
        <f t="shared" ref="F136:U136" si="154">F137/F135*1000</f>
        <v>1654.605</v>
      </c>
      <c r="G136" s="188">
        <f t="shared" si="154"/>
        <v>1662.9690000000001</v>
      </c>
      <c r="H136" s="188">
        <f t="shared" si="154"/>
        <v>1654.41</v>
      </c>
      <c r="I136" s="188" t="e">
        <f t="shared" si="154"/>
        <v>#DIV/0!</v>
      </c>
      <c r="J136" s="188" t="e">
        <f t="shared" si="154"/>
        <v>#DIV/0!</v>
      </c>
      <c r="K136" s="188" t="e">
        <f t="shared" si="154"/>
        <v>#DIV/0!</v>
      </c>
      <c r="L136" s="217">
        <f t="shared" si="154"/>
        <v>1658.16</v>
      </c>
      <c r="M136" s="217">
        <f t="shared" si="154"/>
        <v>1658.15</v>
      </c>
      <c r="N136" s="188" t="e">
        <f t="shared" si="154"/>
        <v>#DIV/0!</v>
      </c>
      <c r="O136" s="188" t="e">
        <f t="shared" si="154"/>
        <v>#DIV/0!</v>
      </c>
      <c r="P136" s="188" t="e">
        <f t="shared" si="154"/>
        <v>#DIV/0!</v>
      </c>
      <c r="Q136" s="188" t="e">
        <f t="shared" si="154"/>
        <v>#DIV/0!</v>
      </c>
      <c r="R136" s="188">
        <f t="shared" si="154"/>
        <v>1655.075</v>
      </c>
      <c r="S136" s="188">
        <f t="shared" si="154"/>
        <v>1655.0809999999999</v>
      </c>
      <c r="T136" s="217">
        <f t="shared" si="154"/>
        <v>1655.08</v>
      </c>
      <c r="U136" s="217">
        <f t="shared" si="154"/>
        <v>1657.17</v>
      </c>
      <c r="V136" s="218">
        <f t="shared" ref="V136" si="155">V137/V135*1000</f>
        <v>1769.2180000000001</v>
      </c>
      <c r="W136" s="189">
        <f>W137/W135*1000</f>
        <v>-4887.2830000000004</v>
      </c>
    </row>
    <row r="137" spans="1:25" s="185" customFormat="1" ht="18" customHeight="1">
      <c r="A137" s="610"/>
      <c r="B137" s="583"/>
      <c r="C137" s="583"/>
      <c r="D137" s="191" t="s">
        <v>0</v>
      </c>
      <c r="E137" s="192"/>
      <c r="F137" s="192">
        <f>№2!F137+№5!F137+'№ 6'!F137+№14!F137+'№ 20'!F137+'№ 23'!F137+№27!F137+'№ 31'!F137+'№ 41'!F137</f>
        <v>562.91300000000001</v>
      </c>
      <c r="G137" s="192">
        <f>№2!G137+№5!G137+'№ 6'!G137+№14!G137+'№ 20'!G137+'№ 23'!G137+№27!G137+'№ 31'!G137+'№ 41'!G137</f>
        <v>730.875</v>
      </c>
      <c r="H137" s="192">
        <f>№2!H137+№5!H137+'№ 6'!H137+№14!H137+'№ 20'!H137+'№ 23'!H137+№27!H137+'№ 31'!H137+'№ 41'!H137</f>
        <v>401.029</v>
      </c>
      <c r="I137" s="192">
        <f>№2!I137+№5!I137+'№ 6'!I137+№14!I137+'№ 20'!I137+'№ 23'!I137+№27!I137+'№ 31'!I137+'№ 41'!I137</f>
        <v>0</v>
      </c>
      <c r="J137" s="192">
        <f>№2!J137+№5!J137+'№ 6'!J137+№14!J137+'№ 20'!J137+'№ 23'!J137+№27!J137+'№ 31'!J137+'№ 41'!J137</f>
        <v>0</v>
      </c>
      <c r="K137" s="192">
        <f>№2!K137+№5!K137+'№ 6'!K137+№14!K137+'№ 20'!K137+'№ 23'!K137+№27!K137+'№ 31'!K137+'№ 41'!K137</f>
        <v>0</v>
      </c>
      <c r="L137" s="194">
        <f>SUM(F137:K137)</f>
        <v>1694.817</v>
      </c>
      <c r="M137" s="194">
        <f>L137/6</f>
        <v>282.47000000000003</v>
      </c>
      <c r="N137" s="192">
        <f>№2!N137+№5!N137+'№ 6'!N137+№14!N137+'№ 20'!N137+'№ 23'!N137+№27!N137+'№ 31'!N137+'№ 41'!N137</f>
        <v>0</v>
      </c>
      <c r="O137" s="192">
        <f>№2!O137+№5!O137+'№ 6'!O137+№14!O137+'№ 20'!O137+'№ 23'!O137+№27!O137+'№ 31'!O137+'№ 41'!O137</f>
        <v>0</v>
      </c>
      <c r="P137" s="192">
        <f>№2!P137+№5!P137+'№ 6'!P137+№14!P137+'№ 20'!P137+'№ 23'!P137+№27!P137+'№ 31'!P137+'№ 41'!P137</f>
        <v>0</v>
      </c>
      <c r="Q137" s="192">
        <f>№2!Q137+№5!Q137+'№ 6'!Q137+№14!Q137+'№ 20'!Q137+'№ 23'!Q137+№27!Q137+'№ 31'!Q137+'№ 41'!Q137</f>
        <v>0</v>
      </c>
      <c r="R137" s="192">
        <f>№2!R137+№5!R137+'№ 6'!R137+№14!R137+'№ 20'!R137+'№ 23'!R137+№27!R137+'№ 31'!R137+'№ 41'!R137</f>
        <v>296.755</v>
      </c>
      <c r="S137" s="192">
        <f>№2!S137+№5!S137+'№ 6'!S137+№14!S137+'№ 20'!S137+'№ 23'!S137+№27!S137+'№ 31'!S137+'№ 41'!S137</f>
        <v>509.10300000000001</v>
      </c>
      <c r="T137" s="194">
        <f>SUM(N137:S137)</f>
        <v>805.85799999999995</v>
      </c>
      <c r="U137" s="194">
        <f>T137+L137</f>
        <v>2500.6750000000002</v>
      </c>
      <c r="V137" s="194">
        <f>№2!V137+№5!V137+'№ 6'!V137+№14!V137+'№ 20'!V137+'№ 23'!V137+№27!V137+'№ 31'!V137+'№ 41'!V137</f>
        <v>2624.8119999999999</v>
      </c>
      <c r="W137" s="193">
        <f>V137-U137</f>
        <v>124.137</v>
      </c>
    </row>
    <row r="138" spans="1:25" s="185" customFormat="1" ht="18" customHeight="1">
      <c r="A138" s="610"/>
      <c r="B138" s="583"/>
      <c r="C138" s="583"/>
      <c r="D138" s="174" t="s">
        <v>55</v>
      </c>
      <c r="E138" s="210"/>
      <c r="F138" s="192">
        <f>№2!F138+№5!F138+'№ 6'!F138+№14!F138+'№ 20'!F138+'№ 23'!F138+№27!F138+'№ 31'!F138+'№ 41'!F138</f>
        <v>0</v>
      </c>
      <c r="G138" s="192">
        <f>№2!G138+№5!G138+'№ 6'!G138+№14!G138+'№ 20'!G138+'№ 23'!G138+№27!G138+'№ 31'!G138+'№ 41'!G138</f>
        <v>0</v>
      </c>
      <c r="H138" s="192">
        <f>№2!H138+№5!H138+'№ 6'!H138+№14!H138+'№ 20'!H138+'№ 23'!H138+№27!H138+'№ 31'!H138+'№ 41'!H138</f>
        <v>169.33600000000001</v>
      </c>
      <c r="I138" s="192">
        <f>№2!I138+№5!I138+'№ 6'!I138+№14!I138+'№ 20'!I138+'№ 23'!I138+№27!I138+'№ 31'!I138+'№ 41'!I138</f>
        <v>0</v>
      </c>
      <c r="J138" s="192">
        <f>№2!J138+№5!J138+'№ 6'!J138+№14!J138+'№ 20'!J138+'№ 23'!J138+№27!J138+'№ 31'!J138+'№ 41'!J138</f>
        <v>0</v>
      </c>
      <c r="K138" s="192">
        <f>№2!K138+№5!K138+'№ 6'!K138+№14!K138+'№ 20'!K138+'№ 23'!K138+№27!K138+'№ 31'!K138+'№ 41'!K138</f>
        <v>0</v>
      </c>
      <c r="L138" s="194">
        <f>SUM(F138:K138)</f>
        <v>169.33600000000001</v>
      </c>
      <c r="M138" s="194">
        <f>L138/6</f>
        <v>28.222999999999999</v>
      </c>
      <c r="N138" s="192">
        <f>№2!N138+№5!N138+'№ 6'!N138+№14!N138+'№ 20'!N138+'№ 23'!N138+№27!N138+'№ 31'!N138+'№ 41'!N138</f>
        <v>0</v>
      </c>
      <c r="O138" s="192">
        <f>№2!O138+№5!O138+'№ 6'!O138+№14!O138+'№ 20'!O138+'№ 23'!O138+№27!O138+'№ 31'!O138+'№ 41'!O138</f>
        <v>0</v>
      </c>
      <c r="P138" s="192">
        <f>№2!P138+№5!P138+'№ 6'!P138+№14!P138+'№ 20'!P138+'№ 23'!P138+№27!P138+'№ 31'!P138+'№ 41'!P138</f>
        <v>0</v>
      </c>
      <c r="Q138" s="192">
        <f>№2!Q138+№5!Q138+'№ 6'!Q138+№14!Q138+'№ 20'!Q138+'№ 23'!Q138+№27!Q138+'№ 31'!Q138+'№ 41'!Q138</f>
        <v>0</v>
      </c>
      <c r="R138" s="192">
        <f>№2!R138+№5!R138+'№ 6'!R138+№14!R138+'№ 20'!R138+'№ 23'!R138+№27!R138+'№ 31'!R138+'№ 41'!R138</f>
        <v>0</v>
      </c>
      <c r="S138" s="192">
        <f>№2!S138+№5!S138+'№ 6'!S138+№14!S138+'№ 20'!S138+'№ 23'!S138+№27!S138+'№ 31'!S138+'№ 41'!S138</f>
        <v>0</v>
      </c>
      <c r="T138" s="194">
        <f>SUM(N138:S138)</f>
        <v>0</v>
      </c>
      <c r="U138" s="194">
        <f>T138+L138</f>
        <v>169.33600000000001</v>
      </c>
      <c r="V138" s="194">
        <f>№2!V138+№5!V138+'№ 6'!V138+№14!V138+'№ 20'!V138+'№ 23'!V138+№27!V138+'№ 31'!V138+'№ 41'!V138</f>
        <v>169.33600000000001</v>
      </c>
      <c r="W138" s="193">
        <f>V138-U138</f>
        <v>0</v>
      </c>
    </row>
    <row r="139" spans="1:25" s="185" customFormat="1" ht="18" customHeight="1">
      <c r="A139" s="610"/>
      <c r="B139" s="583"/>
      <c r="C139" s="583"/>
      <c r="D139" s="174" t="s">
        <v>28</v>
      </c>
      <c r="E139" s="210"/>
      <c r="F139" s="192">
        <f>№2!F139+№5!F139+'№ 6'!F139+№14!F139+'№ 20'!F139+'№ 23'!F139+№27!F139+'№ 31'!F139+'№ 41'!F139</f>
        <v>0</v>
      </c>
      <c r="G139" s="192">
        <f>№2!G139+№5!G139+'№ 6'!G139+№14!G139+'№ 20'!G139+'№ 23'!G139+№27!G139+'№ 31'!G139+'№ 41'!G139</f>
        <v>618.83399999999995</v>
      </c>
      <c r="H139" s="192">
        <f>№2!H139+№5!H139+'№ 6'!H139+№14!H139+'№ 20'!H139+'№ 23'!H139+№27!H139+'№ 31'!H139+'№ 41'!H139</f>
        <v>518.20500000000004</v>
      </c>
      <c r="I139" s="192">
        <f>№2!I139+№5!I139+'№ 6'!I139+№14!I139+'№ 20'!I139+'№ 23'!I139+№27!I139+'№ 31'!I139+'№ 41'!I139</f>
        <v>512.57899999999995</v>
      </c>
      <c r="J139" s="192">
        <f>№2!J139+№5!J139+'№ 6'!J139+№14!J139+'№ 20'!J139+'№ 23'!J139+№27!J139+'№ 31'!J139+'№ 41'!J139</f>
        <v>0</v>
      </c>
      <c r="K139" s="192">
        <f>№2!K139+№5!K139+'№ 6'!K139+№14!K139+'№ 20'!K139+'№ 23'!K139+№27!K139+'№ 31'!K139+'№ 41'!K139</f>
        <v>0</v>
      </c>
      <c r="L139" s="194">
        <f>SUM(F139:K139)</f>
        <v>1649.6179999999999</v>
      </c>
      <c r="M139" s="194">
        <f>L139/6</f>
        <v>274.93599999999998</v>
      </c>
      <c r="N139" s="192">
        <f>№2!N139+№5!N139+'№ 6'!N139+№14!N139+'№ 20'!N139+'№ 23'!N139+№27!N139+'№ 31'!N139+'№ 41'!N139</f>
        <v>0</v>
      </c>
      <c r="O139" s="192">
        <f>№2!O139+№5!O139+'№ 6'!O139+№14!O139+'№ 20'!O139+'№ 23'!O139+№27!O139+'№ 31'!O139+'№ 41'!O139</f>
        <v>0</v>
      </c>
      <c r="P139" s="192">
        <f>№2!P139+№5!P139+'№ 6'!P139+№14!P139+'№ 20'!P139+'№ 23'!P139+№27!P139+'№ 31'!P139+'№ 41'!P139</f>
        <v>0</v>
      </c>
      <c r="Q139" s="192">
        <f>№2!Q139+№5!Q139+'№ 6'!Q139+№14!Q139+'№ 20'!Q139+'№ 23'!Q139+№27!Q139+'№ 31'!Q139+'№ 41'!Q139</f>
        <v>0</v>
      </c>
      <c r="R139" s="192">
        <f>№2!R139+№5!R139+'№ 6'!R139+№14!R139+'№ 20'!R139+'№ 23'!R139+№27!R139+'№ 31'!R139+'№ 41'!R139</f>
        <v>0</v>
      </c>
      <c r="S139" s="192">
        <f>№2!S139+№5!S139+'№ 6'!S139+№14!S139+'№ 20'!S139+'№ 23'!S139+№27!S139+'№ 31'!S139+'№ 41'!S139</f>
        <v>805.85799999999995</v>
      </c>
      <c r="T139" s="194">
        <f>SUM(N139:S139)</f>
        <v>805.85799999999995</v>
      </c>
      <c r="U139" s="194">
        <f>T139+L139</f>
        <v>2455.4760000000001</v>
      </c>
      <c r="V139" s="194">
        <f>№2!V139+№5!V139+'№ 6'!V139+№14!V139+'№ 20'!V139+'№ 23'!V139+№27!V139+'№ 31'!V139+'№ 41'!V139</f>
        <v>2455.4760000000001</v>
      </c>
      <c r="W139" s="193">
        <f>V139-U139</f>
        <v>0</v>
      </c>
    </row>
    <row r="140" spans="1:25" s="185" customFormat="1" ht="18" customHeight="1">
      <c r="A140" s="610"/>
      <c r="B140" s="583"/>
      <c r="C140" s="583"/>
      <c r="D140" s="178" t="s">
        <v>117</v>
      </c>
      <c r="E140" s="179">
        <f>№2!E140+№5!E140+'№ 6'!E140+№14!E140+'№ 20'!E140+'№ 23'!E140+№27!E140+'№ 31'!E140+'№ 41'!E140</f>
        <v>0</v>
      </c>
      <c r="F140" s="260">
        <f>№2!F140+№5!F140+'№ 6'!F140+№14!F140+'№ 20'!F140+'№ 23'!F140+№27!F140+'№ 31'!F140+'№ 41'!F140</f>
        <v>0</v>
      </c>
      <c r="G140" s="260">
        <f>№2!G140+№5!G140+'№ 6'!G140+№14!G140+'№ 20'!G140+'№ 23'!G140+№27!G140+'№ 31'!G140+'№ 41'!G140</f>
        <v>340.21</v>
      </c>
      <c r="H140" s="260">
        <f>№2!H140+№5!H140+'№ 6'!H140+№14!H140+'№ 20'!H140+'№ 23'!H140+№27!H140+'№ 31'!H140+'№ 41'!H140</f>
        <v>439.5</v>
      </c>
      <c r="I140" s="260">
        <f>№2!I140+№5!I140+'№ 6'!I140+№14!I140+'№ 20'!I140+'№ 23'!I140+№27!I140+'№ 31'!I140+'№ 41'!I140</f>
        <v>242.4</v>
      </c>
      <c r="J140" s="260">
        <f>№2!J140+№5!J140+'№ 6'!J140+№14!J140+'№ 20'!J140+'№ 23'!J140+№27!J140+'№ 31'!J140+'№ 41'!J140</f>
        <v>0</v>
      </c>
      <c r="K140" s="260">
        <f>№2!K140+№5!K140+'№ 6'!K140+№14!K140+'№ 20'!K140+'№ 23'!K140+№27!K140+'№ 31'!K140+'№ 41'!K140</f>
        <v>0</v>
      </c>
      <c r="L140" s="234">
        <f>SUM(F140:K140)</f>
        <v>1022.11</v>
      </c>
      <c r="M140" s="234">
        <f>L140/6</f>
        <v>170.352</v>
      </c>
      <c r="N140" s="260">
        <f>№2!N140+№5!N140+'№ 6'!N140+№14!N140+'№ 20'!N140+'№ 23'!N140+№27!N140+'№ 31'!N140+'№ 41'!N140</f>
        <v>0</v>
      </c>
      <c r="O140" s="260">
        <f>№2!O140+№5!O140+'№ 6'!O140+№14!O140+'№ 20'!O140+'№ 23'!O140+№27!O140+'№ 31'!O140+'№ 41'!O140</f>
        <v>0</v>
      </c>
      <c r="P140" s="260">
        <f>№2!P140+№5!P140+'№ 6'!P140+№14!P140+'№ 20'!P140+'№ 23'!P140+№27!P140+'№ 31'!P140+'№ 41'!P140</f>
        <v>0</v>
      </c>
      <c r="Q140" s="260">
        <f>№2!Q140+№5!Q140+'№ 6'!Q140+№14!Q140+'№ 20'!Q140+'№ 23'!Q140+№27!Q140+'№ 31'!Q140+'№ 41'!Q140</f>
        <v>0</v>
      </c>
      <c r="R140" s="260">
        <f>№2!R140+№5!R140+'№ 6'!R140+№14!R140+'№ 20'!R140+'№ 23'!R140+№27!R140+'№ 31'!R140+'№ 41'!R140</f>
        <v>0</v>
      </c>
      <c r="S140" s="260">
        <f>№2!S140+№5!S140+'№ 6'!S140+№14!S140+'№ 20'!S140+'№ 23'!S140+№27!S140+'№ 31'!S140+'№ 41'!S140</f>
        <v>486.9</v>
      </c>
      <c r="T140" s="215">
        <f>SUM(N140:S140)</f>
        <v>486.9</v>
      </c>
      <c r="U140" s="215">
        <f>T140+L140</f>
        <v>1509</v>
      </c>
      <c r="V140" s="179">
        <f>№2!V140+№5!V140+'№ 6'!V140+№14!V140+'№ 20'!V140+'№ 23'!V140+№27!V140+'№ 31'!V140+'№ 41'!V140</f>
        <v>1483.6</v>
      </c>
      <c r="W140" s="184">
        <f>V140-U140</f>
        <v>-25.4</v>
      </c>
      <c r="X140" s="279">
        <v>0</v>
      </c>
    </row>
    <row r="141" spans="1:25" s="185" customFormat="1" ht="18" customHeight="1">
      <c r="A141" s="610"/>
      <c r="B141" s="583"/>
      <c r="C141" s="583"/>
      <c r="D141" s="187" t="s">
        <v>27</v>
      </c>
      <c r="E141" s="188" t="e">
        <f t="shared" ref="E141:U141" si="156">E142/E140*1000</f>
        <v>#DIV/0!</v>
      </c>
      <c r="F141" s="188" t="e">
        <f t="shared" si="156"/>
        <v>#DIV/0!</v>
      </c>
      <c r="G141" s="188">
        <f t="shared" si="156"/>
        <v>1654.605</v>
      </c>
      <c r="H141" s="188">
        <f t="shared" si="156"/>
        <v>1662.9690000000001</v>
      </c>
      <c r="I141" s="188">
        <f t="shared" si="156"/>
        <v>1654.41</v>
      </c>
      <c r="J141" s="188" t="e">
        <f t="shared" si="156"/>
        <v>#DIV/0!</v>
      </c>
      <c r="K141" s="188" t="e">
        <f t="shared" si="156"/>
        <v>#DIV/0!</v>
      </c>
      <c r="L141" s="217">
        <f t="shared" si="156"/>
        <v>1658.16</v>
      </c>
      <c r="M141" s="217">
        <f t="shared" si="156"/>
        <v>1658.15</v>
      </c>
      <c r="N141" s="188" t="e">
        <f t="shared" si="156"/>
        <v>#DIV/0!</v>
      </c>
      <c r="O141" s="188" t="e">
        <f t="shared" si="156"/>
        <v>#DIV/0!</v>
      </c>
      <c r="P141" s="188" t="e">
        <f t="shared" si="156"/>
        <v>#DIV/0!</v>
      </c>
      <c r="Q141" s="188" t="e">
        <f t="shared" si="156"/>
        <v>#DIV/0!</v>
      </c>
      <c r="R141" s="188" t="e">
        <f t="shared" si="156"/>
        <v>#DIV/0!</v>
      </c>
      <c r="S141" s="188">
        <f t="shared" si="156"/>
        <v>1655.079</v>
      </c>
      <c r="T141" s="217">
        <f t="shared" si="156"/>
        <v>1655.08</v>
      </c>
      <c r="U141" s="217">
        <f t="shared" si="156"/>
        <v>1657.17</v>
      </c>
      <c r="V141" s="218">
        <f t="shared" ref="V141" si="157">V142/V140*1000</f>
        <v>1769.2180000000001</v>
      </c>
      <c r="W141" s="189">
        <f>W142/W140*1000</f>
        <v>-4887.2830000000004</v>
      </c>
    </row>
    <row r="142" spans="1:25" s="176" customFormat="1" ht="18" customHeight="1">
      <c r="A142" s="610"/>
      <c r="B142" s="583"/>
      <c r="C142" s="583"/>
      <c r="D142" s="198" t="s">
        <v>25</v>
      </c>
      <c r="E142" s="199">
        <f>№2!E142+№5!E142+'№ 6'!E142+№14!E142+'№ 20'!E142+'№ 23'!E142+№27!E142+'№ 31'!E142+'№ 41'!E142</f>
        <v>0</v>
      </c>
      <c r="F142" s="199">
        <f>№2!F142+№5!F142+'№ 6'!F142+№14!F142+'№ 20'!F142+'№ 23'!F142+№27!F142+'№ 31'!F142+'№ 41'!F142</f>
        <v>0</v>
      </c>
      <c r="G142" s="199">
        <f>№2!G142+№5!G142+'№ 6'!G142+№14!G142+'№ 20'!G142+'№ 23'!G142+№27!G142+'№ 31'!G142+'№ 41'!G142</f>
        <v>562.91300000000001</v>
      </c>
      <c r="H142" s="199">
        <f>№2!H142+№5!H142+'№ 6'!H142+№14!H142+'№ 20'!H142+'№ 23'!H142+№27!H142+'№ 31'!H142+'№ 41'!H142</f>
        <v>730.875</v>
      </c>
      <c r="I142" s="199">
        <f>№2!I142+№5!I142+'№ 6'!I142+№14!I142+'№ 20'!I142+'№ 23'!I142+№27!I142+'№ 31'!I142+'№ 41'!I142</f>
        <v>401.029</v>
      </c>
      <c r="J142" s="199">
        <f>№2!J142+№5!J142+'№ 6'!J142+№14!J142+'№ 20'!J142+'№ 23'!J142+№27!J142+'№ 31'!J142+'№ 41'!J142</f>
        <v>0</v>
      </c>
      <c r="K142" s="199">
        <f>№2!K142+№5!K142+'№ 6'!K142+№14!K142+'№ 20'!K142+'№ 23'!K142+№27!K142+'№ 31'!K142+'№ 41'!K142</f>
        <v>0</v>
      </c>
      <c r="L142" s="199">
        <f>SUM(F142:K142)</f>
        <v>1694.817</v>
      </c>
      <c r="M142" s="199">
        <f>L142/6</f>
        <v>282.47000000000003</v>
      </c>
      <c r="N142" s="199">
        <f>№2!N142+№5!N142+'№ 6'!N142+№14!N142+'№ 20'!N142+'№ 23'!N142+№27!N142+'№ 31'!N142+'№ 41'!N142</f>
        <v>0</v>
      </c>
      <c r="O142" s="199">
        <f>№2!O142+№5!O142+'№ 6'!O142+№14!O142+'№ 20'!O142+'№ 23'!O142+№27!O142+'№ 31'!O142+'№ 41'!O142</f>
        <v>0</v>
      </c>
      <c r="P142" s="199">
        <f>№2!P142+№5!P142+'№ 6'!P142+№14!P142+'№ 20'!P142+'№ 23'!P142+№27!P142+'№ 31'!P142+'№ 41'!P142</f>
        <v>0</v>
      </c>
      <c r="Q142" s="199">
        <f>№2!Q142+№5!Q142+'№ 6'!Q142+№14!Q142+'№ 20'!Q142+'№ 23'!Q142+№27!Q142+'№ 31'!Q142+'№ 41'!Q142</f>
        <v>0</v>
      </c>
      <c r="R142" s="199">
        <f>№2!R142+№5!R142+'№ 6'!R142+№14!R142+'№ 20'!R142+'№ 23'!R142+№27!R142+'№ 31'!R142+'№ 41'!R142</f>
        <v>0</v>
      </c>
      <c r="S142" s="199">
        <f>№2!S142+№5!S142+'№ 6'!S142+№14!S142+'№ 20'!S142+'№ 23'!S142+№27!S142+'№ 31'!S142+'№ 41'!S142</f>
        <v>805.85799999999995</v>
      </c>
      <c r="T142" s="199">
        <f>SUM(N142:S142)</f>
        <v>805.85799999999995</v>
      </c>
      <c r="U142" s="199">
        <f>T142+L142</f>
        <v>2500.6750000000002</v>
      </c>
      <c r="V142" s="199">
        <f>№2!V142+№5!V142+'№ 6'!V142+№14!V142+'№ 20'!V142+'№ 23'!V142+№27!V142+'№ 31'!V142+'№ 41'!V142</f>
        <v>2624.8119999999999</v>
      </c>
      <c r="W142" s="221">
        <f>V142-U142</f>
        <v>124.137</v>
      </c>
      <c r="X142" s="176">
        <f>U137-U142</f>
        <v>0</v>
      </c>
      <c r="Y142" s="213"/>
    </row>
    <row r="143" spans="1:25" s="176" customFormat="1" ht="18" customHeight="1">
      <c r="A143" s="610"/>
      <c r="B143" s="583"/>
      <c r="C143" s="583"/>
      <c r="D143" s="201" t="s">
        <v>55</v>
      </c>
      <c r="E143" s="220"/>
      <c r="F143" s="199">
        <f>№2!F143+№5!F143+'№ 6'!F143+№14!F143+'№ 20'!F143+'№ 23'!F143+№27!F143+'№ 31'!F143+'№ 41'!F143</f>
        <v>0</v>
      </c>
      <c r="G143" s="199">
        <f>№2!G143+№5!G143+'№ 6'!G143+№14!G143+'№ 20'!G143+'№ 23'!G143+№27!G143+'№ 31'!G143+'№ 41'!G143</f>
        <v>0</v>
      </c>
      <c r="H143" s="199">
        <f>№2!H143+№5!H143+'№ 6'!H143+№14!H143+'№ 20'!H143+'№ 23'!H143+№27!H143+'№ 31'!H143+'№ 41'!H143</f>
        <v>169.33600000000001</v>
      </c>
      <c r="I143" s="199">
        <f>№2!I143+№5!I143+'№ 6'!I143+№14!I143+'№ 20'!I143+'№ 23'!I143+№27!I143+'№ 31'!I143+'№ 41'!I143</f>
        <v>0</v>
      </c>
      <c r="J143" s="199">
        <f>№2!J143+№5!J143+'№ 6'!J143+№14!J143+'№ 20'!J143+'№ 23'!J143+№27!J143+'№ 31'!J143+'№ 41'!J143</f>
        <v>0</v>
      </c>
      <c r="K143" s="199">
        <f>№2!K143+№5!K143+'№ 6'!K143+№14!K143+'№ 20'!K143+'№ 23'!K143+№27!K143+'№ 31'!K143+'№ 41'!K143</f>
        <v>0</v>
      </c>
      <c r="L143" s="199">
        <f>SUM(F143:K143)</f>
        <v>169.33600000000001</v>
      </c>
      <c r="M143" s="199">
        <f>L143/6</f>
        <v>28.222999999999999</v>
      </c>
      <c r="N143" s="199">
        <f>№2!N143+№5!N143+'№ 6'!N143+№14!N143+'№ 20'!N143+'№ 23'!N143+№27!N143+'№ 31'!N143+'№ 41'!N143</f>
        <v>0</v>
      </c>
      <c r="O143" s="199">
        <f>№2!O143+№5!O143+'№ 6'!O143+№14!O143+'№ 20'!O143+'№ 23'!O143+№27!O143+'№ 31'!O143+'№ 41'!O143</f>
        <v>0</v>
      </c>
      <c r="P143" s="199">
        <f>№2!P143+№5!P143+'№ 6'!P143+№14!P143+'№ 20'!P143+'№ 23'!P143+№27!P143+'№ 31'!P143+'№ 41'!P143</f>
        <v>0</v>
      </c>
      <c r="Q143" s="199">
        <f>№2!Q143+№5!Q143+'№ 6'!Q143+№14!Q143+'№ 20'!Q143+'№ 23'!Q143+№27!Q143+'№ 31'!Q143+'№ 41'!Q143</f>
        <v>0</v>
      </c>
      <c r="R143" s="199">
        <f>№2!R143+№5!R143+'№ 6'!R143+№14!R143+'№ 20'!R143+'№ 23'!R143+№27!R143+'№ 31'!R143+'№ 41'!R143</f>
        <v>0</v>
      </c>
      <c r="S143" s="199">
        <f>№2!S143+№5!S143+'№ 6'!S143+№14!S143+'№ 20'!S143+'№ 23'!S143+№27!S143+'№ 31'!S143+'№ 41'!S143</f>
        <v>0</v>
      </c>
      <c r="T143" s="199">
        <f>SUM(N143:S143)</f>
        <v>0</v>
      </c>
      <c r="U143" s="199">
        <f>T143+L143</f>
        <v>169.33600000000001</v>
      </c>
      <c r="V143" s="199">
        <f>№2!V143+№5!V143+'№ 6'!V143+№14!V143+'№ 20'!V143+'№ 23'!V143+№27!V143+'№ 31'!V143+'№ 41'!V143</f>
        <v>169.33600000000001</v>
      </c>
      <c r="W143" s="221">
        <f>V143-U143</f>
        <v>0</v>
      </c>
      <c r="X143" s="176">
        <f>U138-U143</f>
        <v>0</v>
      </c>
    </row>
    <row r="144" spans="1:25" s="176" customFormat="1" ht="18" customHeight="1">
      <c r="A144" s="610"/>
      <c r="B144" s="583"/>
      <c r="C144" s="583"/>
      <c r="D144" s="201" t="s">
        <v>24</v>
      </c>
      <c r="E144" s="220"/>
      <c r="F144" s="199">
        <f>№2!F144+№5!F144+'№ 6'!F144+№14!F144+'№ 20'!F144+'№ 23'!F144+№27!F144+'№ 31'!F144+'№ 41'!F144</f>
        <v>0</v>
      </c>
      <c r="G144" s="199">
        <f>№2!G144+№5!G144+'№ 6'!G144+№14!G144+'№ 20'!G144+'№ 23'!G144+№27!G144+'№ 31'!G144+'№ 41'!G144</f>
        <v>562.91300000000001</v>
      </c>
      <c r="H144" s="199">
        <f>№2!H144+№5!H144+'№ 6'!H144+№14!H144+'№ 20'!H144+'№ 23'!H144+№27!H144+'№ 31'!H144+'№ 41'!H144</f>
        <v>561.53899999999999</v>
      </c>
      <c r="I144" s="199">
        <f>№2!I144+№5!I144+'№ 6'!I144+№14!I144+'№ 20'!I144+'№ 23'!I144+№27!I144+'№ 31'!I144+'№ 41'!I144</f>
        <v>401.029</v>
      </c>
      <c r="J144" s="199">
        <f>№2!J144+№5!J144+'№ 6'!J144+№14!J144+'№ 20'!J144+'№ 23'!J144+№27!J144+'№ 31'!J144+'№ 41'!J144</f>
        <v>0</v>
      </c>
      <c r="K144" s="199">
        <f>№2!K144+№5!K144+'№ 6'!K144+№14!K144+'№ 20'!K144+'№ 23'!K144+№27!K144+'№ 31'!K144+'№ 41'!K144</f>
        <v>0</v>
      </c>
      <c r="L144" s="199">
        <f>SUM(F144:K144)</f>
        <v>1525.481</v>
      </c>
      <c r="M144" s="199">
        <f>L144/6</f>
        <v>254.24700000000001</v>
      </c>
      <c r="N144" s="199">
        <f>№2!N144+№5!N144+'№ 6'!N144+№14!N144+'№ 20'!N144+'№ 23'!N144+№27!N144+'№ 31'!N144+'№ 41'!N144</f>
        <v>0</v>
      </c>
      <c r="O144" s="199">
        <f>№2!O144+№5!O144+'№ 6'!O144+№14!O144+'№ 20'!O144+'№ 23'!O144+№27!O144+'№ 31'!O144+'№ 41'!O144</f>
        <v>0</v>
      </c>
      <c r="P144" s="199">
        <f>№2!P144+№5!P144+'№ 6'!P144+№14!P144+'№ 20'!P144+'№ 23'!P144+№27!P144+'№ 31'!P144+'№ 41'!P144</f>
        <v>0</v>
      </c>
      <c r="Q144" s="199">
        <f>№2!Q144+№5!Q144+'№ 6'!Q144+№14!Q144+'№ 20'!Q144+'№ 23'!Q144+№27!Q144+'№ 31'!Q144+'№ 41'!Q144</f>
        <v>0</v>
      </c>
      <c r="R144" s="199">
        <f>№2!R144+№5!R144+'№ 6'!R144+№14!R144+'№ 20'!R144+'№ 23'!R144+№27!R144+'№ 31'!R144+'№ 41'!R144</f>
        <v>0</v>
      </c>
      <c r="S144" s="199">
        <f>№2!S144+№5!S144+'№ 6'!S144+№14!S144+'№ 20'!S144+'№ 23'!S144+№27!S144+'№ 31'!S144+'№ 41'!S144</f>
        <v>805.85799999999995</v>
      </c>
      <c r="T144" s="199">
        <f>SUM(N144:S144)</f>
        <v>805.85799999999995</v>
      </c>
      <c r="U144" s="199">
        <f>T144+L144</f>
        <v>2331.3389999999999</v>
      </c>
      <c r="V144" s="199">
        <f>№2!V144+№5!V144+'№ 6'!V144+№14!V144+'№ 20'!V144+'№ 23'!V144+№27!V144+'№ 31'!V144+'№ 41'!V144</f>
        <v>2455.4760000000001</v>
      </c>
      <c r="W144" s="221">
        <f>V144-U144</f>
        <v>124.137</v>
      </c>
      <c r="X144" s="176">
        <f>U139-U144</f>
        <v>124.137</v>
      </c>
    </row>
    <row r="145" spans="1:25" s="205" customFormat="1" ht="18" customHeight="1">
      <c r="A145" s="610"/>
      <c r="B145" s="583"/>
      <c r="C145" s="583"/>
      <c r="D145" s="202" t="s">
        <v>29</v>
      </c>
      <c r="E145" s="203"/>
      <c r="F145" s="203">
        <f t="shared" ref="F145:K145" si="158">F139+F138</f>
        <v>0</v>
      </c>
      <c r="G145" s="203">
        <f t="shared" si="158"/>
        <v>618.83399999999995</v>
      </c>
      <c r="H145" s="203">
        <f t="shared" si="158"/>
        <v>687.54100000000005</v>
      </c>
      <c r="I145" s="203">
        <f t="shared" si="158"/>
        <v>512.57899999999995</v>
      </c>
      <c r="J145" s="203">
        <f t="shared" si="158"/>
        <v>0</v>
      </c>
      <c r="K145" s="203">
        <f t="shared" si="158"/>
        <v>0</v>
      </c>
      <c r="L145" s="203">
        <f>SUM(F145:K145)</f>
        <v>1818.954</v>
      </c>
      <c r="M145" s="203">
        <f>L145/6</f>
        <v>303.15899999999999</v>
      </c>
      <c r="N145" s="203">
        <f t="shared" ref="N145:S145" si="159">N139+N138</f>
        <v>0</v>
      </c>
      <c r="O145" s="203">
        <f t="shared" si="159"/>
        <v>0</v>
      </c>
      <c r="P145" s="203">
        <f t="shared" si="159"/>
        <v>0</v>
      </c>
      <c r="Q145" s="203">
        <f t="shared" si="159"/>
        <v>0</v>
      </c>
      <c r="R145" s="203">
        <f t="shared" si="159"/>
        <v>0</v>
      </c>
      <c r="S145" s="203">
        <f t="shared" si="159"/>
        <v>805.85799999999995</v>
      </c>
      <c r="T145" s="203">
        <f>SUM(N145:S145)</f>
        <v>805.85799999999995</v>
      </c>
      <c r="U145" s="203">
        <f>T145+L145</f>
        <v>2624.8119999999999</v>
      </c>
      <c r="V145" s="203">
        <f>V139+V138</f>
        <v>2624.8119999999999</v>
      </c>
      <c r="W145" s="203">
        <f>V145-U145</f>
        <v>0</v>
      </c>
    </row>
    <row r="146" spans="1:25" s="205" customFormat="1" ht="18" customHeight="1">
      <c r="A146" s="610"/>
      <c r="B146" s="583"/>
      <c r="C146" s="583"/>
      <c r="D146" s="202" t="s">
        <v>30</v>
      </c>
      <c r="E146" s="203"/>
      <c r="F146" s="203">
        <f t="shared" ref="F146:K146" si="160">F142-F145</f>
        <v>0</v>
      </c>
      <c r="G146" s="203">
        <f t="shared" si="160"/>
        <v>-55.920999999999999</v>
      </c>
      <c r="H146" s="203">
        <f t="shared" si="160"/>
        <v>43.334000000000003</v>
      </c>
      <c r="I146" s="203">
        <f t="shared" si="160"/>
        <v>-111.55</v>
      </c>
      <c r="J146" s="203">
        <f t="shared" si="160"/>
        <v>0</v>
      </c>
      <c r="K146" s="203">
        <f t="shared" si="160"/>
        <v>0</v>
      </c>
      <c r="L146" s="203"/>
      <c r="M146" s="203"/>
      <c r="N146" s="203">
        <f t="shared" ref="N146:S146" si="161">N142-N145</f>
        <v>0</v>
      </c>
      <c r="O146" s="203">
        <f t="shared" si="161"/>
        <v>0</v>
      </c>
      <c r="P146" s="203">
        <f t="shared" si="161"/>
        <v>0</v>
      </c>
      <c r="Q146" s="203">
        <f t="shared" si="161"/>
        <v>0</v>
      </c>
      <c r="R146" s="203">
        <f t="shared" si="161"/>
        <v>0</v>
      </c>
      <c r="S146" s="203">
        <f t="shared" si="161"/>
        <v>0</v>
      </c>
      <c r="T146" s="203"/>
      <c r="U146" s="203"/>
      <c r="V146" s="203"/>
      <c r="W146" s="203"/>
    </row>
    <row r="147" spans="1:25" s="205" customFormat="1" ht="18" customHeight="1">
      <c r="A147" s="610"/>
      <c r="B147" s="583"/>
      <c r="C147" s="584"/>
      <c r="D147" s="202" t="s">
        <v>31</v>
      </c>
      <c r="E147" s="203"/>
      <c r="F147" s="203">
        <f>F146</f>
        <v>0</v>
      </c>
      <c r="G147" s="203">
        <f>G146+F147</f>
        <v>-55.920999999999999</v>
      </c>
      <c r="H147" s="203">
        <f>H146+G147</f>
        <v>-12.587</v>
      </c>
      <c r="I147" s="203">
        <f>I146+H147</f>
        <v>-124.137</v>
      </c>
      <c r="J147" s="203">
        <f>J146+I147</f>
        <v>-124.137</v>
      </c>
      <c r="K147" s="203">
        <f>K146+J147</f>
        <v>-124.137</v>
      </c>
      <c r="L147" s="203"/>
      <c r="M147" s="203"/>
      <c r="N147" s="203">
        <f>N146+K147</f>
        <v>-124.137</v>
      </c>
      <c r="O147" s="203">
        <f>O146+N147</f>
        <v>-124.137</v>
      </c>
      <c r="P147" s="203">
        <f>P146+O147</f>
        <v>-124.137</v>
      </c>
      <c r="Q147" s="203">
        <f>Q146+P147</f>
        <v>-124.137</v>
      </c>
      <c r="R147" s="203">
        <f>R146+Q147</f>
        <v>-124.137</v>
      </c>
      <c r="S147" s="203">
        <f>S146+R147</f>
        <v>-124.137</v>
      </c>
      <c r="T147" s="203"/>
      <c r="U147" s="203"/>
      <c r="V147" s="203"/>
      <c r="W147" s="203"/>
    </row>
    <row r="148" spans="1:25" s="185" customFormat="1" ht="18" customHeight="1">
      <c r="A148" s="610"/>
      <c r="B148" s="583"/>
      <c r="C148" s="582" t="s">
        <v>96</v>
      </c>
      <c r="D148" s="178" t="s">
        <v>105</v>
      </c>
      <c r="E148" s="179"/>
      <c r="F148" s="180">
        <f>№2!F148+№5!F148+'№ 6'!F148+№14!F148+'№ 20'!F148+'№ 23'!F148+№27!F148+'№ 31'!F148+'№ 41'!F148</f>
        <v>0</v>
      </c>
      <c r="G148" s="180">
        <f>№2!G148+№5!G148+'№ 6'!G148+№14!G148+'№ 20'!G148+'№ 23'!G148+№27!G148+'№ 31'!G148+'№ 41'!G148</f>
        <v>0</v>
      </c>
      <c r="H148" s="180">
        <f>№2!H148+№5!H148+'№ 6'!H148+№14!H148+'№ 20'!H148+'№ 23'!H148+№27!H148+'№ 31'!H148+'№ 41'!H148</f>
        <v>0</v>
      </c>
      <c r="I148" s="180">
        <f>№2!I148+№5!I148+'№ 6'!I148+№14!I148+'№ 20'!I148+'№ 23'!I148+№27!I148+'№ 31'!I148+'№ 41'!I148</f>
        <v>0</v>
      </c>
      <c r="J148" s="180">
        <f>№2!J148+№5!J148+'№ 6'!J148+№14!J148+'№ 20'!J148+'№ 23'!J148+№27!J148+'№ 31'!J148+'№ 41'!J148</f>
        <v>0</v>
      </c>
      <c r="K148" s="180">
        <f>№2!K148+№5!K148+'№ 6'!K148+№14!K148+'№ 20'!K148+'№ 23'!K148+№27!K148+'№ 31'!K148+'№ 41'!K148</f>
        <v>0</v>
      </c>
      <c r="L148" s="215">
        <f>SUM(F148:K148)</f>
        <v>0</v>
      </c>
      <c r="M148" s="215">
        <f>L148/6</f>
        <v>0</v>
      </c>
      <c r="N148" s="180">
        <f>№2!N148+№5!N148+'№ 6'!N148+№14!N148+'№ 20'!N148+'№ 23'!N148+№27!N148+'№ 31'!N148+'№ 41'!N148</f>
        <v>0</v>
      </c>
      <c r="O148" s="180">
        <f>№2!O148+№5!O148+'№ 6'!O148+№14!O148+'№ 20'!O148+'№ 23'!O148+№27!O148+'№ 31'!O148+'№ 41'!O148</f>
        <v>0</v>
      </c>
      <c r="P148" s="180">
        <f>№2!P148+№5!P148+'№ 6'!P148+№14!P148+'№ 20'!P148+'№ 23'!P148+№27!P148+'№ 31'!P148+'№ 41'!P148</f>
        <v>0</v>
      </c>
      <c r="Q148" s="180">
        <f>№2!Q148+№5!Q148+'№ 6'!Q148+№14!Q148+'№ 20'!Q148+'№ 23'!Q148+№27!Q148+'№ 31'!Q148+'№ 41'!Q148</f>
        <v>0</v>
      </c>
      <c r="R148" s="180">
        <f>№2!R148+№5!R148+'№ 6'!R148+№14!R148+'№ 20'!R148+'№ 23'!R148+№27!R148+'№ 31'!R148+'№ 41'!R148</f>
        <v>0</v>
      </c>
      <c r="S148" s="180">
        <f>№2!S148+№5!S148+'№ 6'!S148+№14!S148+'№ 20'!S148+'№ 23'!S148+№27!S148+'№ 31'!S148+'№ 41'!S148</f>
        <v>0</v>
      </c>
      <c r="T148" s="215">
        <f>SUM(N148:S148)</f>
        <v>0</v>
      </c>
      <c r="U148" s="215">
        <f>T148+L148</f>
        <v>0</v>
      </c>
      <c r="V148" s="233">
        <f>№2!V148+№5!V148+'№ 6'!V148+№14!V148+'№ 20'!V148+'№ 23'!V148+№27!V148+'№ 31'!V148+'№ 41'!V148</f>
        <v>0</v>
      </c>
      <c r="W148" s="184"/>
    </row>
    <row r="149" spans="1:25" s="185" customFormat="1" ht="18" customHeight="1">
      <c r="A149" s="610"/>
      <c r="B149" s="583"/>
      <c r="C149" s="583"/>
      <c r="D149" s="178" t="s">
        <v>109</v>
      </c>
      <c r="E149" s="179"/>
      <c r="F149" s="180">
        <f>№2!F149+№5!F149+'№ 6'!F149+№14!F149+'№ 20'!F149+'№ 23'!F149+№27!F149+'№ 31'!F149+'№ 41'!F149</f>
        <v>0</v>
      </c>
      <c r="G149" s="180">
        <f>№2!G149+№5!G149+'№ 6'!G149+№14!G149+'№ 20'!G149+'№ 23'!G149+№27!G149+'№ 31'!G149+'№ 41'!G149</f>
        <v>0</v>
      </c>
      <c r="H149" s="180">
        <f>№2!H149+№5!H149+'№ 6'!H149+№14!H149+'№ 20'!H149+'№ 23'!H149+№27!H149+'№ 31'!H149+'№ 41'!H149</f>
        <v>0</v>
      </c>
      <c r="I149" s="180">
        <f>№2!I149+№5!I149+'№ 6'!I149+№14!I149+'№ 20'!I149+'№ 23'!I149+№27!I149+'№ 31'!I149+'№ 41'!I149</f>
        <v>0</v>
      </c>
      <c r="J149" s="180">
        <f>№2!J149+№5!J149+'№ 6'!J149+№14!J149+'№ 20'!J149+'№ 23'!J149+№27!J149+'№ 31'!J149+'№ 41'!J149</f>
        <v>0</v>
      </c>
      <c r="K149" s="180">
        <f>№2!K149+№5!K149+'№ 6'!K149+№14!K149+'№ 20'!K149+'№ 23'!K149+№27!K149+'№ 31'!K149+'№ 41'!K149</f>
        <v>0</v>
      </c>
      <c r="L149" s="215">
        <f>SUM(F149:K149)</f>
        <v>0</v>
      </c>
      <c r="M149" s="215">
        <f>L149/6</f>
        <v>0</v>
      </c>
      <c r="N149" s="180">
        <f>№2!N149+№5!N149+'№ 6'!N149+№14!N149+'№ 20'!N149+'№ 23'!N149+№27!N149+'№ 31'!N149+'№ 41'!N149</f>
        <v>0</v>
      </c>
      <c r="O149" s="180">
        <f>№2!O149+№5!O149+'№ 6'!O149+№14!O149+'№ 20'!O149+'№ 23'!O149+№27!O149+'№ 31'!O149+'№ 41'!O149</f>
        <v>0</v>
      </c>
      <c r="P149" s="180">
        <f>№2!P149+№5!P149+'№ 6'!P149+№14!P149+'№ 20'!P149+'№ 23'!P149+№27!P149+'№ 31'!P149+'№ 41'!P149</f>
        <v>0</v>
      </c>
      <c r="Q149" s="180">
        <f>№2!Q149+№5!Q149+'№ 6'!Q149+№14!Q149+'№ 20'!Q149+'№ 23'!Q149+№27!Q149+'№ 31'!Q149+'№ 41'!Q149</f>
        <v>0</v>
      </c>
      <c r="R149" s="180">
        <f>№2!R149+№5!R149+'№ 6'!R149+№14!R149+'№ 20'!R149+'№ 23'!R149+№27!R149+'№ 31'!R149+'№ 41'!R149</f>
        <v>0</v>
      </c>
      <c r="S149" s="180">
        <f>№2!S149+№5!S149+'№ 6'!S149+№14!S149+'№ 20'!S149+'№ 23'!S149+№27!S149+'№ 31'!S149+'№ 41'!S149</f>
        <v>0</v>
      </c>
      <c r="T149" s="215">
        <f>SUM(N149:S149)</f>
        <v>0</v>
      </c>
      <c r="U149" s="215">
        <f>T149+L149</f>
        <v>0</v>
      </c>
      <c r="V149" s="233">
        <f>№2!V149+№5!V149+'№ 6'!V149+№14!V149+'№ 20'!V149+'№ 23'!V149+№27!V149+'№ 31'!V149+'№ 41'!V149</f>
        <v>12</v>
      </c>
      <c r="W149" s="184"/>
    </row>
    <row r="150" spans="1:25" s="185" customFormat="1" ht="18" customHeight="1">
      <c r="A150" s="610"/>
      <c r="B150" s="583"/>
      <c r="C150" s="583"/>
      <c r="D150" s="178" t="s">
        <v>116</v>
      </c>
      <c r="E150" s="179"/>
      <c r="F150" s="180">
        <f>№2!F150+№5!F150+'№ 6'!F150+№14!F150+'№ 20'!F150+'№ 23'!F150+№27!F150+'№ 31'!F150+'№ 41'!F150</f>
        <v>2</v>
      </c>
      <c r="G150" s="180">
        <f>№2!G150+№5!G150+'№ 6'!G150+№14!G150+'№ 20'!G150+'№ 23'!G150+№27!G150+'№ 31'!G150+'№ 41'!G150</f>
        <v>2</v>
      </c>
      <c r="H150" s="180">
        <f>№2!H150+№5!H150+'№ 6'!H150+№14!H150+'№ 20'!H150+'№ 23'!H150+№27!H150+'№ 31'!H150+'№ 41'!H150</f>
        <v>2</v>
      </c>
      <c r="I150" s="180">
        <f>№2!I150+№5!I150+'№ 6'!I150+№14!I150+'№ 20'!I150+'№ 23'!I150+№27!I150+'№ 31'!I150+'№ 41'!I150</f>
        <v>2</v>
      </c>
      <c r="J150" s="180">
        <f>№2!J150+№5!J150+'№ 6'!J150+№14!J150+'№ 20'!J150+'№ 23'!J150+№27!J150+'№ 31'!J150+'№ 41'!J150</f>
        <v>2</v>
      </c>
      <c r="K150" s="180">
        <f>№2!K150+№5!K150+'№ 6'!K150+№14!K150+'№ 20'!K150+'№ 23'!K150+№27!K150+'№ 31'!K150+'№ 41'!K150</f>
        <v>2</v>
      </c>
      <c r="L150" s="215">
        <f>SUM(F150:K150)</f>
        <v>12</v>
      </c>
      <c r="M150" s="215">
        <f>L150/6</f>
        <v>2</v>
      </c>
      <c r="N150" s="180">
        <f>№2!N150+№5!N150+'№ 6'!N150+№14!N150+'№ 20'!N150+'№ 23'!N150+№27!N150+'№ 31'!N150+'№ 41'!N150</f>
        <v>2</v>
      </c>
      <c r="O150" s="180">
        <f>№2!O150+№5!O150+'№ 6'!O150+№14!O150+'№ 20'!O150+'№ 23'!O150+№27!O150+'№ 31'!O150+'№ 41'!O150</f>
        <v>2</v>
      </c>
      <c r="P150" s="180">
        <f>№2!P150+№5!P150+'№ 6'!P150+№14!P150+'№ 20'!P150+'№ 23'!P150+№27!P150+'№ 31'!P150+'№ 41'!P150</f>
        <v>2</v>
      </c>
      <c r="Q150" s="180">
        <f>№2!Q150+№5!Q150+'№ 6'!Q150+№14!Q150+'№ 20'!Q150+'№ 23'!Q150+№27!Q150+'№ 31'!Q150+'№ 41'!Q150</f>
        <v>2</v>
      </c>
      <c r="R150" s="180">
        <f>№2!R150+№5!R150+'№ 6'!R150+№14!R150+'№ 20'!R150+'№ 23'!R150+№27!R150+'№ 31'!R150+'№ 41'!R150</f>
        <v>2</v>
      </c>
      <c r="S150" s="180">
        <f>№2!S150+№5!S150+'№ 6'!S150+№14!S150+'№ 20'!S150+'№ 23'!S150+№27!S150+'№ 31'!S150+'№ 41'!S150</f>
        <v>2</v>
      </c>
      <c r="T150" s="215">
        <f>SUM(N150:S150)</f>
        <v>12</v>
      </c>
      <c r="U150" s="215">
        <f>T150+L150</f>
        <v>24</v>
      </c>
      <c r="V150" s="233">
        <f>№2!V150+№5!V150+'№ 6'!V150+№14!V150+'№ 20'!V150+'№ 23'!V150+№27!V150+'№ 31'!V150+'№ 41'!V150</f>
        <v>12</v>
      </c>
      <c r="W150" s="184">
        <f>V150-U150</f>
        <v>-12</v>
      </c>
    </row>
    <row r="151" spans="1:25" s="185" customFormat="1" ht="18" customHeight="1">
      <c r="A151" s="610"/>
      <c r="B151" s="583"/>
      <c r="C151" s="583"/>
      <c r="D151" s="187" t="s">
        <v>27</v>
      </c>
      <c r="E151" s="188"/>
      <c r="F151" s="188">
        <f t="shared" ref="F151:W151" si="162">F152/F150*1000</f>
        <v>24</v>
      </c>
      <c r="G151" s="188">
        <f t="shared" si="162"/>
        <v>24</v>
      </c>
      <c r="H151" s="188">
        <f t="shared" si="162"/>
        <v>24</v>
      </c>
      <c r="I151" s="188">
        <f t="shared" si="162"/>
        <v>24</v>
      </c>
      <c r="J151" s="188">
        <f t="shared" si="162"/>
        <v>24</v>
      </c>
      <c r="K151" s="188">
        <f t="shared" si="162"/>
        <v>24</v>
      </c>
      <c r="L151" s="217">
        <f t="shared" si="162"/>
        <v>24</v>
      </c>
      <c r="M151" s="217">
        <f t="shared" si="162"/>
        <v>24</v>
      </c>
      <c r="N151" s="188">
        <f t="shared" si="162"/>
        <v>24</v>
      </c>
      <c r="O151" s="188">
        <f t="shared" si="162"/>
        <v>24</v>
      </c>
      <c r="P151" s="188">
        <f t="shared" si="162"/>
        <v>24</v>
      </c>
      <c r="Q151" s="188">
        <f t="shared" si="162"/>
        <v>24</v>
      </c>
      <c r="R151" s="188">
        <f t="shared" si="162"/>
        <v>24</v>
      </c>
      <c r="S151" s="188">
        <f t="shared" si="162"/>
        <v>24</v>
      </c>
      <c r="T151" s="217">
        <f t="shared" si="162"/>
        <v>24</v>
      </c>
      <c r="U151" s="217">
        <f t="shared" si="162"/>
        <v>24</v>
      </c>
      <c r="V151" s="218">
        <f t="shared" si="162"/>
        <v>48</v>
      </c>
      <c r="W151" s="189">
        <f t="shared" si="162"/>
        <v>0</v>
      </c>
    </row>
    <row r="152" spans="1:25" s="185" customFormat="1" ht="18" customHeight="1">
      <c r="A152" s="610"/>
      <c r="B152" s="583"/>
      <c r="C152" s="583"/>
      <c r="D152" s="191" t="s">
        <v>0</v>
      </c>
      <c r="E152" s="192"/>
      <c r="F152" s="192">
        <f>№2!F152+№5!F152+'№ 6'!F152+№14!F152+'№ 20'!F152+'№ 23'!F152+№27!F152+'№ 31'!F152+'№ 41'!F152</f>
        <v>4.8000000000000001E-2</v>
      </c>
      <c r="G152" s="192">
        <f>№2!G152+№5!G152+'№ 6'!G152+№14!G152+'№ 20'!G152+'№ 23'!G152+№27!G152+'№ 31'!G152+'№ 41'!G152</f>
        <v>4.8000000000000001E-2</v>
      </c>
      <c r="H152" s="192">
        <f>№2!H152+№5!H152+'№ 6'!H152+№14!H152+'№ 20'!H152+'№ 23'!H152+№27!H152+'№ 31'!H152+'№ 41'!H152</f>
        <v>4.8000000000000001E-2</v>
      </c>
      <c r="I152" s="192">
        <f>№2!I152+№5!I152+'№ 6'!I152+№14!I152+'№ 20'!I152+'№ 23'!I152+№27!I152+'№ 31'!I152+'№ 41'!I152</f>
        <v>4.8000000000000001E-2</v>
      </c>
      <c r="J152" s="192">
        <f>№2!J152+№5!J152+'№ 6'!J152+№14!J152+'№ 20'!J152+'№ 23'!J152+№27!J152+'№ 31'!J152+'№ 41'!J152</f>
        <v>4.8000000000000001E-2</v>
      </c>
      <c r="K152" s="192">
        <f>№2!K152+№5!K152+'№ 6'!K152+№14!K152+'№ 20'!K152+'№ 23'!K152+№27!K152+'№ 31'!K152+'№ 41'!K152</f>
        <v>4.8000000000000001E-2</v>
      </c>
      <c r="L152" s="194">
        <f>SUM(F152:K152)</f>
        <v>0.28799999999999998</v>
      </c>
      <c r="M152" s="194">
        <f>L152/6</f>
        <v>4.8000000000000001E-2</v>
      </c>
      <c r="N152" s="192">
        <f>№2!N152+№5!N152+'№ 6'!N152+№14!N152+'№ 20'!N152+'№ 23'!N152+№27!N152+'№ 31'!N152+'№ 41'!N152</f>
        <v>4.8000000000000001E-2</v>
      </c>
      <c r="O152" s="192">
        <f>№2!O152+№5!O152+'№ 6'!O152+№14!O152+'№ 20'!O152+'№ 23'!O152+№27!O152+'№ 31'!O152+'№ 41'!O152</f>
        <v>4.8000000000000001E-2</v>
      </c>
      <c r="P152" s="192">
        <f>№2!P152+№5!P152+'№ 6'!P152+№14!P152+'№ 20'!P152+'№ 23'!P152+№27!P152+'№ 31'!P152+'№ 41'!P152</f>
        <v>4.8000000000000001E-2</v>
      </c>
      <c r="Q152" s="192">
        <f>№2!Q152+№5!Q152+'№ 6'!Q152+№14!Q152+'№ 20'!Q152+'№ 23'!Q152+№27!Q152+'№ 31'!Q152+'№ 41'!Q152</f>
        <v>4.8000000000000001E-2</v>
      </c>
      <c r="R152" s="192">
        <f>№2!R152+№5!R152+'№ 6'!R152+№14!R152+'№ 20'!R152+'№ 23'!R152+№27!R152+'№ 31'!R152+'№ 41'!R152</f>
        <v>4.8000000000000001E-2</v>
      </c>
      <c r="S152" s="192">
        <f>№2!S152+№5!S152+'№ 6'!S152+№14!S152+'№ 20'!S152+'№ 23'!S152+№27!S152+'№ 31'!S152+'№ 41'!S152</f>
        <v>4.8000000000000001E-2</v>
      </c>
      <c r="T152" s="194">
        <f>SUM(N152:S152)</f>
        <v>0.28799999999999998</v>
      </c>
      <c r="U152" s="194">
        <f>T152+L152</f>
        <v>0.57599999999999996</v>
      </c>
      <c r="V152" s="194">
        <f>№2!V152+№5!V152+'№ 6'!V152+№14!V152+'№ 20'!V152+'№ 23'!V152+№27!V152+'№ 31'!V152+'№ 41'!V152</f>
        <v>0.57599999999999996</v>
      </c>
      <c r="W152" s="193">
        <f>V152-U152</f>
        <v>0</v>
      </c>
    </row>
    <row r="153" spans="1:25" s="185" customFormat="1" ht="18" customHeight="1">
      <c r="A153" s="610"/>
      <c r="B153" s="583"/>
      <c r="C153" s="583"/>
      <c r="D153" s="174" t="s">
        <v>55</v>
      </c>
      <c r="E153" s="210"/>
      <c r="F153" s="192">
        <f>№2!F153+№5!F153+'№ 6'!F153+№14!F153+'№ 20'!F153+'№ 23'!F153+№27!F153+'№ 31'!F153+'№ 41'!F153</f>
        <v>0</v>
      </c>
      <c r="G153" s="192">
        <f>№2!G153+№5!G153+'№ 6'!G153+№14!G153+'№ 20'!G153+'№ 23'!G153+№27!G153+'№ 31'!G153+'№ 41'!G153</f>
        <v>0</v>
      </c>
      <c r="H153" s="192">
        <f>№2!H153+№5!H153+'№ 6'!H153+№14!H153+'№ 20'!H153+'№ 23'!H153+№27!H153+'№ 31'!H153+'№ 41'!H153</f>
        <v>0</v>
      </c>
      <c r="I153" s="192">
        <f>№2!I153+№5!I153+'№ 6'!I153+№14!I153+'№ 20'!I153+'№ 23'!I153+№27!I153+'№ 31'!I153+'№ 41'!I153</f>
        <v>0</v>
      </c>
      <c r="J153" s="192">
        <f>№2!J153+№5!J153+'№ 6'!J153+№14!J153+'№ 20'!J153+'№ 23'!J153+№27!J153+'№ 31'!J153+'№ 41'!J153</f>
        <v>0</v>
      </c>
      <c r="K153" s="192">
        <f>№2!K153+№5!K153+'№ 6'!K153+№14!K153+'№ 20'!K153+'№ 23'!K153+№27!K153+'№ 31'!K153+'№ 41'!K153</f>
        <v>0</v>
      </c>
      <c r="L153" s="194">
        <f>SUM(F153:K153)</f>
        <v>0</v>
      </c>
      <c r="M153" s="194">
        <f>L153/6</f>
        <v>0</v>
      </c>
      <c r="N153" s="192">
        <f>№2!N153+№5!N153+'№ 6'!N153+№14!N153+'№ 20'!N153+'№ 23'!N153+№27!N153+'№ 31'!N153+'№ 41'!N153</f>
        <v>0</v>
      </c>
      <c r="O153" s="192">
        <f>№2!O153+№5!O153+'№ 6'!O153+№14!O153+'№ 20'!O153+'№ 23'!O153+№27!O153+'№ 31'!O153+'№ 41'!O153</f>
        <v>0</v>
      </c>
      <c r="P153" s="192">
        <f>№2!P153+№5!P153+'№ 6'!P153+№14!P153+'№ 20'!P153+'№ 23'!P153+№27!P153+'№ 31'!P153+'№ 41'!P153</f>
        <v>0</v>
      </c>
      <c r="Q153" s="192">
        <f>№2!Q153+№5!Q153+'№ 6'!Q153+№14!Q153+'№ 20'!Q153+'№ 23'!Q153+№27!Q153+'№ 31'!Q153+'№ 41'!Q153</f>
        <v>0</v>
      </c>
      <c r="R153" s="192">
        <f>№2!R153+№5!R153+'№ 6'!R153+№14!R153+'№ 20'!R153+'№ 23'!R153+№27!R153+'№ 31'!R153+'№ 41'!R153</f>
        <v>0</v>
      </c>
      <c r="S153" s="192">
        <f>№2!S153+№5!S153+'№ 6'!S153+№14!S153+'№ 20'!S153+'№ 23'!S153+№27!S153+'№ 31'!S153+'№ 41'!S153</f>
        <v>0</v>
      </c>
      <c r="T153" s="194">
        <f>SUM(N153:S153)</f>
        <v>0</v>
      </c>
      <c r="U153" s="194">
        <f>T153+L153</f>
        <v>0</v>
      </c>
      <c r="V153" s="194">
        <f>№2!V153+№5!V153+'№ 6'!V153+№14!V153+'№ 20'!V153+'№ 23'!V153+№27!V153+'№ 31'!V153+'№ 41'!V153</f>
        <v>0</v>
      </c>
      <c r="W153" s="193">
        <f>V153-U153</f>
        <v>0</v>
      </c>
    </row>
    <row r="154" spans="1:25" s="185" customFormat="1" ht="18" customHeight="1">
      <c r="A154" s="610"/>
      <c r="B154" s="583"/>
      <c r="C154" s="583"/>
      <c r="D154" s="174" t="s">
        <v>28</v>
      </c>
      <c r="E154" s="210"/>
      <c r="F154" s="192">
        <f>№2!F154+№5!F154+'№ 6'!F154+№14!F154+'№ 20'!F154+'№ 23'!F154+№27!F154+'№ 31'!F154+'№ 41'!F154</f>
        <v>0</v>
      </c>
      <c r="G154" s="192">
        <f>№2!G154+№5!G154+'№ 6'!G154+№14!G154+'№ 20'!G154+'№ 23'!G154+№27!G154+'№ 31'!G154+'№ 41'!G154</f>
        <v>4.8000000000000001E-2</v>
      </c>
      <c r="H154" s="192">
        <f>№2!H154+№5!H154+'№ 6'!H154+№14!H154+'№ 20'!H154+'№ 23'!H154+№27!H154+'№ 31'!H154+'№ 41'!H154</f>
        <v>4.8000000000000001E-2</v>
      </c>
      <c r="I154" s="192">
        <f>№2!I154+№5!I154+'№ 6'!I154+№14!I154+'№ 20'!I154+'№ 23'!I154+№27!I154+'№ 31'!I154+'№ 41'!I154</f>
        <v>4.8000000000000001E-2</v>
      </c>
      <c r="J154" s="192">
        <f>№2!J154+№5!J154+'№ 6'!J154+№14!J154+'№ 20'!J154+'№ 23'!J154+№27!J154+'№ 31'!J154+'№ 41'!J154</f>
        <v>4.8000000000000001E-2</v>
      </c>
      <c r="K154" s="192">
        <f>№2!K154+№5!K154+'№ 6'!K154+№14!K154+'№ 20'!K154+'№ 23'!K154+№27!K154+'№ 31'!K154+'№ 41'!K154</f>
        <v>4.8000000000000001E-2</v>
      </c>
      <c r="L154" s="194">
        <f>SUM(F154:K154)</f>
        <v>0.24</v>
      </c>
      <c r="M154" s="194">
        <f>L154/6</f>
        <v>0.04</v>
      </c>
      <c r="N154" s="192">
        <f>№2!N154+№5!N154+'№ 6'!N154+№14!N154+'№ 20'!N154+'№ 23'!N154+№27!N154+'№ 31'!N154+'№ 41'!N154</f>
        <v>4.8000000000000001E-2</v>
      </c>
      <c r="O154" s="192">
        <f>№2!O154+№5!O154+'№ 6'!O154+№14!O154+'№ 20'!O154+'№ 23'!O154+№27!O154+'№ 31'!O154+'№ 41'!O154</f>
        <v>4.8000000000000001E-2</v>
      </c>
      <c r="P154" s="192">
        <f>№2!P154+№5!P154+'№ 6'!P154+№14!P154+'№ 20'!P154+'№ 23'!P154+№27!P154+'№ 31'!P154+'№ 41'!P154</f>
        <v>4.8000000000000001E-2</v>
      </c>
      <c r="Q154" s="192">
        <f>№2!Q154+№5!Q154+'№ 6'!Q154+№14!Q154+'№ 20'!Q154+'№ 23'!Q154+№27!Q154+'№ 31'!Q154+'№ 41'!Q154</f>
        <v>4.8000000000000001E-2</v>
      </c>
      <c r="R154" s="192">
        <f>№2!R154+№5!R154+'№ 6'!R154+№14!R154+'№ 20'!R154+'№ 23'!R154+№27!R154+'№ 31'!R154+'№ 41'!R154</f>
        <v>4.8000000000000001E-2</v>
      </c>
      <c r="S154" s="192">
        <f>№2!S154+№5!S154+'№ 6'!S154+№14!S154+'№ 20'!S154+'№ 23'!S154+№27!S154+'№ 31'!S154+'№ 41'!S154</f>
        <v>9.6000000000000002E-2</v>
      </c>
      <c r="T154" s="194">
        <f>SUM(N154:S154)</f>
        <v>0.33600000000000002</v>
      </c>
      <c r="U154" s="194">
        <f>T154+L154</f>
        <v>0.57599999999999996</v>
      </c>
      <c r="V154" s="194">
        <f>№2!V154+№5!V154+'№ 6'!V154+№14!V154+'№ 20'!V154+'№ 23'!V154+№27!V154+'№ 31'!V154+'№ 41'!V154</f>
        <v>0.57599999999999996</v>
      </c>
      <c r="W154" s="193">
        <f>V154-U154</f>
        <v>0</v>
      </c>
    </row>
    <row r="155" spans="1:25" s="185" customFormat="1" ht="18" customHeight="1">
      <c r="A155" s="610"/>
      <c r="B155" s="583"/>
      <c r="C155" s="583"/>
      <c r="D155" s="178" t="s">
        <v>117</v>
      </c>
      <c r="E155" s="179">
        <f>№2!E155+№5!E155+'№ 6'!E155+№14!E155+'№ 20'!E155+'№ 23'!E155+№27!E155+'№ 31'!E155+'№ 41'!E155</f>
        <v>0</v>
      </c>
      <c r="F155" s="179">
        <f>№2!F155+№5!F155+'№ 6'!F155+№14!F155+'№ 20'!F155+'№ 23'!F155+№27!F155+'№ 31'!F155+'№ 41'!F155</f>
        <v>0</v>
      </c>
      <c r="G155" s="179">
        <f>№2!G155+№5!G155+'№ 6'!G155+№14!G155+'№ 20'!G155+'№ 23'!G155+№27!G155+'№ 31'!G155+'№ 41'!G155</f>
        <v>2</v>
      </c>
      <c r="H155" s="179">
        <f>№2!H155+№5!H155+'№ 6'!H155+№14!H155+'№ 20'!H155+'№ 23'!H155+№27!H155+'№ 31'!H155+'№ 41'!H155</f>
        <v>2</v>
      </c>
      <c r="I155" s="179">
        <f>№2!I155+№5!I155+'№ 6'!I155+№14!I155+'№ 20'!I155+'№ 23'!I155+№27!I155+'№ 31'!I155+'№ 41'!I155</f>
        <v>2</v>
      </c>
      <c r="J155" s="179">
        <f>№2!J155+№5!J155+'№ 6'!J155+№14!J155+'№ 20'!J155+'№ 23'!J155+№27!J155+'№ 31'!J155+'№ 41'!J155</f>
        <v>2</v>
      </c>
      <c r="K155" s="179">
        <f>№2!K155+№5!K155+'№ 6'!K155+№14!K155+'№ 20'!K155+'№ 23'!K155+№27!K155+'№ 31'!K155+'№ 41'!K155</f>
        <v>2</v>
      </c>
      <c r="L155" s="215">
        <f>SUM(F155:K155)</f>
        <v>10</v>
      </c>
      <c r="M155" s="215">
        <f>L155/6</f>
        <v>1.7</v>
      </c>
      <c r="N155" s="179">
        <f>№2!N155+№5!N155+'№ 6'!N155+№14!N155+'№ 20'!N155+'№ 23'!N155+№27!N155+'№ 31'!N155+'№ 41'!N155</f>
        <v>2</v>
      </c>
      <c r="O155" s="179">
        <f>№2!O155+№5!O155+'№ 6'!O155+№14!O155+'№ 20'!O155+'№ 23'!O155+№27!O155+'№ 31'!O155+'№ 41'!O155</f>
        <v>2</v>
      </c>
      <c r="P155" s="179">
        <f>№2!P155+№5!P155+'№ 6'!P155+№14!P155+'№ 20'!P155+'№ 23'!P155+№27!P155+'№ 31'!P155+'№ 41'!P155</f>
        <v>2</v>
      </c>
      <c r="Q155" s="179">
        <f>№2!Q155+№5!Q155+'№ 6'!Q155+№14!Q155+'№ 20'!Q155+'№ 23'!Q155+№27!Q155+'№ 31'!Q155+'№ 41'!Q155</f>
        <v>2</v>
      </c>
      <c r="R155" s="179">
        <f>№2!R155+№5!R155+'№ 6'!R155+№14!R155+'№ 20'!R155+'№ 23'!R155+№27!R155+'№ 31'!R155+'№ 41'!R155</f>
        <v>2</v>
      </c>
      <c r="S155" s="179">
        <f>№2!S155+№5!S155+'№ 6'!S155+№14!S155+'№ 20'!S155+'№ 23'!S155+№27!S155+'№ 31'!S155+'№ 41'!S155</f>
        <v>4</v>
      </c>
      <c r="T155" s="215">
        <f>SUM(N155:S155)</f>
        <v>14</v>
      </c>
      <c r="U155" s="215">
        <f>T155+L155</f>
        <v>24</v>
      </c>
      <c r="V155" s="179">
        <f>№2!V155+№5!V155+'№ 6'!V155+№14!V155+'№ 20'!V155+'№ 23'!V155+№27!V155+'№ 31'!V155+'№ 41'!V155</f>
        <v>24</v>
      </c>
      <c r="W155" s="184">
        <f>V155-U155</f>
        <v>0</v>
      </c>
      <c r="X155" s="176">
        <f>U150-U155</f>
        <v>0</v>
      </c>
    </row>
    <row r="156" spans="1:25" s="185" customFormat="1" ht="18" customHeight="1">
      <c r="A156" s="610"/>
      <c r="B156" s="583"/>
      <c r="C156" s="583"/>
      <c r="D156" s="187" t="s">
        <v>27</v>
      </c>
      <c r="E156" s="188" t="e">
        <f t="shared" ref="E156:W156" si="163">E157/E155*1000</f>
        <v>#DIV/0!</v>
      </c>
      <c r="F156" s="188" t="e">
        <f t="shared" si="163"/>
        <v>#DIV/0!</v>
      </c>
      <c r="G156" s="188">
        <f t="shared" si="163"/>
        <v>24</v>
      </c>
      <c r="H156" s="188">
        <f t="shared" si="163"/>
        <v>24</v>
      </c>
      <c r="I156" s="188">
        <f t="shared" si="163"/>
        <v>24</v>
      </c>
      <c r="J156" s="188">
        <f t="shared" si="163"/>
        <v>24</v>
      </c>
      <c r="K156" s="188">
        <f t="shared" si="163"/>
        <v>24</v>
      </c>
      <c r="L156" s="217">
        <f t="shared" si="163"/>
        <v>24</v>
      </c>
      <c r="M156" s="217">
        <f t="shared" si="163"/>
        <v>23.53</v>
      </c>
      <c r="N156" s="188">
        <f t="shared" si="163"/>
        <v>24</v>
      </c>
      <c r="O156" s="188">
        <f t="shared" si="163"/>
        <v>24</v>
      </c>
      <c r="P156" s="188">
        <f t="shared" si="163"/>
        <v>24</v>
      </c>
      <c r="Q156" s="188">
        <f t="shared" si="163"/>
        <v>24</v>
      </c>
      <c r="R156" s="188">
        <f t="shared" si="163"/>
        <v>24</v>
      </c>
      <c r="S156" s="188">
        <f t="shared" si="163"/>
        <v>24</v>
      </c>
      <c r="T156" s="217">
        <f t="shared" si="163"/>
        <v>24</v>
      </c>
      <c r="U156" s="217">
        <f t="shared" si="163"/>
        <v>24</v>
      </c>
      <c r="V156" s="218">
        <f t="shared" si="163"/>
        <v>24</v>
      </c>
      <c r="W156" s="189" t="e">
        <f t="shared" si="163"/>
        <v>#DIV/0!</v>
      </c>
    </row>
    <row r="157" spans="1:25" s="176" customFormat="1" ht="18" customHeight="1">
      <c r="A157" s="610"/>
      <c r="B157" s="583"/>
      <c r="C157" s="583"/>
      <c r="D157" s="198" t="s">
        <v>25</v>
      </c>
      <c r="E157" s="199">
        <f>№2!E157+№5!E157+'№ 6'!E157+№14!E157+'№ 20'!E157+'№ 23'!E157+№27!E157+'№ 31'!E157+'№ 41'!E157</f>
        <v>0</v>
      </c>
      <c r="F157" s="199">
        <f>№2!F157+№5!F157+'№ 6'!F157+№14!F157+'№ 20'!F157+'№ 23'!F157+№27!F157+'№ 31'!F157+'№ 41'!F157</f>
        <v>0</v>
      </c>
      <c r="G157" s="199">
        <f>№2!G157+№5!G157+'№ 6'!G157+№14!G157+'№ 20'!G157+'№ 23'!G157+№27!G157+'№ 31'!G157+'№ 41'!G157</f>
        <v>4.8000000000000001E-2</v>
      </c>
      <c r="H157" s="199">
        <f>№2!H157+№5!H157+'№ 6'!H157+№14!H157+'№ 20'!H157+'№ 23'!H157+№27!H157+'№ 31'!H157+'№ 41'!H157</f>
        <v>4.8000000000000001E-2</v>
      </c>
      <c r="I157" s="199">
        <f>№2!I157+№5!I157+'№ 6'!I157+№14!I157+'№ 20'!I157+'№ 23'!I157+№27!I157+'№ 31'!I157+'№ 41'!I157</f>
        <v>4.8000000000000001E-2</v>
      </c>
      <c r="J157" s="199">
        <f>№2!J157+№5!J157+'№ 6'!J157+№14!J157+'№ 20'!J157+'№ 23'!J157+№27!J157+'№ 31'!J157+'№ 41'!J157</f>
        <v>4.8000000000000001E-2</v>
      </c>
      <c r="K157" s="199">
        <f>№2!K157+№5!K157+'№ 6'!K157+№14!K157+'№ 20'!K157+'№ 23'!K157+№27!K157+'№ 31'!K157+'№ 41'!K157</f>
        <v>4.8000000000000001E-2</v>
      </c>
      <c r="L157" s="199">
        <f>SUM(F157:K157)</f>
        <v>0.24</v>
      </c>
      <c r="M157" s="199">
        <f>L157/6</f>
        <v>0.04</v>
      </c>
      <c r="N157" s="199">
        <f>№2!N157+№5!N157+'№ 6'!N157+№14!N157+'№ 20'!N157+'№ 23'!N157+№27!N157+'№ 31'!N157+'№ 41'!N157</f>
        <v>4.8000000000000001E-2</v>
      </c>
      <c r="O157" s="199">
        <f>№2!O157+№5!O157+'№ 6'!O157+№14!O157+'№ 20'!O157+'№ 23'!O157+№27!O157+'№ 31'!O157+'№ 41'!O157</f>
        <v>4.8000000000000001E-2</v>
      </c>
      <c r="P157" s="199">
        <f>№2!P157+№5!P157+'№ 6'!P157+№14!P157+'№ 20'!P157+'№ 23'!P157+№27!P157+'№ 31'!P157+'№ 41'!P157</f>
        <v>4.8000000000000001E-2</v>
      </c>
      <c r="Q157" s="199">
        <f>№2!Q157+№5!Q157+'№ 6'!Q157+№14!Q157+'№ 20'!Q157+'№ 23'!Q157+№27!Q157+'№ 31'!Q157+'№ 41'!Q157</f>
        <v>4.8000000000000001E-2</v>
      </c>
      <c r="R157" s="199">
        <f>№2!R157+№5!R157+'№ 6'!R157+№14!R157+'№ 20'!R157+'№ 23'!R157+№27!R157+'№ 31'!R157+'№ 41'!R157</f>
        <v>4.8000000000000001E-2</v>
      </c>
      <c r="S157" s="199">
        <f>№2!S157+№5!S157+'№ 6'!S157+№14!S157+'№ 20'!S157+'№ 23'!S157+№27!S157+'№ 31'!S157+'№ 41'!S157</f>
        <v>9.6000000000000002E-2</v>
      </c>
      <c r="T157" s="199">
        <f>SUM(N157:S157)</f>
        <v>0.33600000000000002</v>
      </c>
      <c r="U157" s="199">
        <f>T157+L157</f>
        <v>0.57599999999999996</v>
      </c>
      <c r="V157" s="199">
        <f>№2!V157+№5!V157+'№ 6'!V157+№14!V157+'№ 20'!V157+'№ 23'!V157+№27!V157+'№ 31'!V157+'№ 41'!V157</f>
        <v>0.57599999999999996</v>
      </c>
      <c r="W157" s="221">
        <f>V157-U157</f>
        <v>0</v>
      </c>
      <c r="X157" s="176">
        <f>U152-U157</f>
        <v>0</v>
      </c>
      <c r="Y157" s="213"/>
    </row>
    <row r="158" spans="1:25" s="176" customFormat="1" ht="18" customHeight="1">
      <c r="A158" s="610"/>
      <c r="B158" s="583"/>
      <c r="C158" s="583"/>
      <c r="D158" s="201" t="s">
        <v>55</v>
      </c>
      <c r="E158" s="220"/>
      <c r="F158" s="199">
        <f>№2!F158+№5!F158+'№ 6'!F158+№14!F158+'№ 20'!F158+'№ 23'!F158+№27!F158+'№ 31'!F158+'№ 41'!F158</f>
        <v>0</v>
      </c>
      <c r="G158" s="199">
        <f>№2!G158+№5!G158+'№ 6'!G158+№14!G158+'№ 20'!G158+'№ 23'!G158+№27!G158+'№ 31'!G158+'№ 41'!G158</f>
        <v>0</v>
      </c>
      <c r="H158" s="199">
        <f>№2!H158+№5!H158+'№ 6'!H158+№14!H158+'№ 20'!H158+'№ 23'!H158+№27!H158+'№ 31'!H158+'№ 41'!H158</f>
        <v>0</v>
      </c>
      <c r="I158" s="199">
        <f>№2!I158+№5!I158+'№ 6'!I158+№14!I158+'№ 20'!I158+'№ 23'!I158+№27!I158+'№ 31'!I158+'№ 41'!I158</f>
        <v>0</v>
      </c>
      <c r="J158" s="199">
        <f>№2!J158+№5!J158+'№ 6'!J158+№14!J158+'№ 20'!J158+'№ 23'!J158+№27!J158+'№ 31'!J158+'№ 41'!J158</f>
        <v>0</v>
      </c>
      <c r="K158" s="199">
        <f>№2!K158+№5!K158+'№ 6'!K158+№14!K158+'№ 20'!K158+'№ 23'!K158+№27!K158+'№ 31'!K158+'№ 41'!K158</f>
        <v>0</v>
      </c>
      <c r="L158" s="199">
        <f>SUM(F158:K158)</f>
        <v>0</v>
      </c>
      <c r="M158" s="199">
        <f>L158/6</f>
        <v>0</v>
      </c>
      <c r="N158" s="199">
        <f>№2!N158+№5!N158+'№ 6'!N158+№14!N158+'№ 20'!N158+'№ 23'!N158+№27!N158+'№ 31'!N158+'№ 41'!N158</f>
        <v>0</v>
      </c>
      <c r="O158" s="199">
        <f>№2!O158+№5!O158+'№ 6'!O158+№14!O158+'№ 20'!O158+'№ 23'!O158+№27!O158+'№ 31'!O158+'№ 41'!O158</f>
        <v>0</v>
      </c>
      <c r="P158" s="199">
        <f>№2!P158+№5!P158+'№ 6'!P158+№14!P158+'№ 20'!P158+'№ 23'!P158+№27!P158+'№ 31'!P158+'№ 41'!P158</f>
        <v>0</v>
      </c>
      <c r="Q158" s="199">
        <f>№2!Q158+№5!Q158+'№ 6'!Q158+№14!Q158+'№ 20'!Q158+'№ 23'!Q158+№27!Q158+'№ 31'!Q158+'№ 41'!Q158</f>
        <v>0</v>
      </c>
      <c r="R158" s="199">
        <f>№2!R158+№5!R158+'№ 6'!R158+№14!R158+'№ 20'!R158+'№ 23'!R158+№27!R158+'№ 31'!R158+'№ 41'!R158</f>
        <v>0</v>
      </c>
      <c r="S158" s="199">
        <f>№2!S158+№5!S158+'№ 6'!S158+№14!S158+'№ 20'!S158+'№ 23'!S158+№27!S158+'№ 31'!S158+'№ 41'!S158</f>
        <v>0</v>
      </c>
      <c r="T158" s="199">
        <f>SUM(N158:S158)</f>
        <v>0</v>
      </c>
      <c r="U158" s="199">
        <f>T158+L158</f>
        <v>0</v>
      </c>
      <c r="V158" s="199">
        <f>№2!V158+№5!V158+'№ 6'!V158+№14!V158+'№ 20'!V158+'№ 23'!V158+№27!V158+'№ 31'!V158+'№ 41'!V158</f>
        <v>0</v>
      </c>
      <c r="W158" s="221">
        <f>V158-U158</f>
        <v>0</v>
      </c>
      <c r="X158" s="176">
        <f>U153-U158</f>
        <v>0</v>
      </c>
    </row>
    <row r="159" spans="1:25" s="176" customFormat="1" ht="18" customHeight="1">
      <c r="A159" s="610"/>
      <c r="B159" s="583"/>
      <c r="C159" s="583"/>
      <c r="D159" s="201" t="s">
        <v>24</v>
      </c>
      <c r="E159" s="220"/>
      <c r="F159" s="199">
        <f>№2!F159+№5!F159+'№ 6'!F159+№14!F159+'№ 20'!F159+'№ 23'!F159+№27!F159+'№ 31'!F159+'№ 41'!F159</f>
        <v>0</v>
      </c>
      <c r="G159" s="199">
        <f>№2!G159+№5!G159+'№ 6'!G159+№14!G159+'№ 20'!G159+'№ 23'!G159+№27!G159+'№ 31'!G159+'№ 41'!G159</f>
        <v>4.8000000000000001E-2</v>
      </c>
      <c r="H159" s="199">
        <f>№2!H159+№5!H159+'№ 6'!H159+№14!H159+'№ 20'!H159+'№ 23'!H159+№27!H159+'№ 31'!H159+'№ 41'!H159</f>
        <v>4.8000000000000001E-2</v>
      </c>
      <c r="I159" s="199">
        <f>№2!I159+№5!I159+'№ 6'!I159+№14!I159+'№ 20'!I159+'№ 23'!I159+№27!I159+'№ 31'!I159+'№ 41'!I159</f>
        <v>4.8000000000000001E-2</v>
      </c>
      <c r="J159" s="199">
        <f>№2!J159+№5!J159+'№ 6'!J159+№14!J159+'№ 20'!J159+'№ 23'!J159+№27!J159+'№ 31'!J159+'№ 41'!J159</f>
        <v>4.8000000000000001E-2</v>
      </c>
      <c r="K159" s="199">
        <f>№2!K159+№5!K159+'№ 6'!K159+№14!K159+'№ 20'!K159+'№ 23'!K159+№27!K159+'№ 31'!K159+'№ 41'!K159</f>
        <v>4.8000000000000001E-2</v>
      </c>
      <c r="L159" s="199">
        <f>SUM(F159:K159)</f>
        <v>0.24</v>
      </c>
      <c r="M159" s="199">
        <f>L159/6</f>
        <v>0.04</v>
      </c>
      <c r="N159" s="199">
        <f>№2!N159+№5!N159+'№ 6'!N159+№14!N159+'№ 20'!N159+'№ 23'!N159+№27!N159+'№ 31'!N159+'№ 41'!N159</f>
        <v>4.8000000000000001E-2</v>
      </c>
      <c r="O159" s="199">
        <f>№2!O159+№5!O159+'№ 6'!O159+№14!O159+'№ 20'!O159+'№ 23'!O159+№27!O159+'№ 31'!O159+'№ 41'!O159</f>
        <v>4.8000000000000001E-2</v>
      </c>
      <c r="P159" s="199">
        <f>№2!P159+№5!P159+'№ 6'!P159+№14!P159+'№ 20'!P159+'№ 23'!P159+№27!P159+'№ 31'!P159+'№ 41'!P159</f>
        <v>4.8000000000000001E-2</v>
      </c>
      <c r="Q159" s="199">
        <f>№2!Q159+№5!Q159+'№ 6'!Q159+№14!Q159+'№ 20'!Q159+'№ 23'!Q159+№27!Q159+'№ 31'!Q159+'№ 41'!Q159</f>
        <v>4.8000000000000001E-2</v>
      </c>
      <c r="R159" s="199">
        <f>№2!R159+№5!R159+'№ 6'!R159+№14!R159+'№ 20'!R159+'№ 23'!R159+№27!R159+'№ 31'!R159+'№ 41'!R159</f>
        <v>4.8000000000000001E-2</v>
      </c>
      <c r="S159" s="199">
        <f>№2!S159+№5!S159+'№ 6'!S159+№14!S159+'№ 20'!S159+'№ 23'!S159+№27!S159+'№ 31'!S159+'№ 41'!S159</f>
        <v>9.6000000000000002E-2</v>
      </c>
      <c r="T159" s="199">
        <f>SUM(N159:S159)</f>
        <v>0.33600000000000002</v>
      </c>
      <c r="U159" s="199">
        <f>T159+L159</f>
        <v>0.57599999999999996</v>
      </c>
      <c r="V159" s="199">
        <f>№2!V159+№5!V159+'№ 6'!V159+№14!V159+'№ 20'!V159+'№ 23'!V159+№27!V159+'№ 31'!V159+'№ 41'!V159</f>
        <v>0.57599999999999996</v>
      </c>
      <c r="W159" s="221">
        <f>V159-U159</f>
        <v>0</v>
      </c>
      <c r="X159" s="176">
        <f>U154-U159</f>
        <v>0</v>
      </c>
    </row>
    <row r="160" spans="1:25" s="205" customFormat="1" ht="18" customHeight="1">
      <c r="A160" s="610"/>
      <c r="B160" s="583"/>
      <c r="C160" s="583"/>
      <c r="D160" s="202" t="s">
        <v>29</v>
      </c>
      <c r="E160" s="203"/>
      <c r="F160" s="203">
        <f t="shared" ref="F160:K160" si="164">F154</f>
        <v>0</v>
      </c>
      <c r="G160" s="203">
        <f t="shared" si="164"/>
        <v>4.8000000000000001E-2</v>
      </c>
      <c r="H160" s="203">
        <f t="shared" si="164"/>
        <v>4.8000000000000001E-2</v>
      </c>
      <c r="I160" s="203">
        <f t="shared" si="164"/>
        <v>4.8000000000000001E-2</v>
      </c>
      <c r="J160" s="203">
        <f t="shared" si="164"/>
        <v>4.8000000000000001E-2</v>
      </c>
      <c r="K160" s="203">
        <f t="shared" si="164"/>
        <v>4.8000000000000001E-2</v>
      </c>
      <c r="L160" s="203">
        <f>SUM(F160:K160)</f>
        <v>0.24</v>
      </c>
      <c r="M160" s="203">
        <f>L160/6</f>
        <v>0.04</v>
      </c>
      <c r="N160" s="203">
        <f t="shared" ref="N160:S160" si="165">N154+N153</f>
        <v>4.8000000000000001E-2</v>
      </c>
      <c r="O160" s="203">
        <f t="shared" si="165"/>
        <v>4.8000000000000001E-2</v>
      </c>
      <c r="P160" s="203">
        <f t="shared" si="165"/>
        <v>4.8000000000000001E-2</v>
      </c>
      <c r="Q160" s="203">
        <f t="shared" si="165"/>
        <v>4.8000000000000001E-2</v>
      </c>
      <c r="R160" s="203">
        <f t="shared" si="165"/>
        <v>4.8000000000000001E-2</v>
      </c>
      <c r="S160" s="203">
        <f t="shared" si="165"/>
        <v>9.6000000000000002E-2</v>
      </c>
      <c r="T160" s="203">
        <f>SUM(N160:S160)</f>
        <v>0.33600000000000002</v>
      </c>
      <c r="U160" s="203">
        <f>T160+L160</f>
        <v>0.57599999999999996</v>
      </c>
      <c r="V160" s="203">
        <f>V157</f>
        <v>0.57599999999999996</v>
      </c>
      <c r="W160" s="203">
        <f>V160-U160</f>
        <v>0</v>
      </c>
    </row>
    <row r="161" spans="1:34" s="205" customFormat="1" ht="18" customHeight="1">
      <c r="A161" s="610"/>
      <c r="B161" s="583"/>
      <c r="C161" s="583"/>
      <c r="D161" s="202" t="s">
        <v>30</v>
      </c>
      <c r="E161" s="203"/>
      <c r="F161" s="203">
        <f t="shared" ref="F161:K161" si="166">F157-F160</f>
        <v>0</v>
      </c>
      <c r="G161" s="203">
        <f t="shared" si="166"/>
        <v>0</v>
      </c>
      <c r="H161" s="203">
        <f t="shared" si="166"/>
        <v>0</v>
      </c>
      <c r="I161" s="203">
        <f t="shared" si="166"/>
        <v>0</v>
      </c>
      <c r="J161" s="203">
        <f t="shared" si="166"/>
        <v>0</v>
      </c>
      <c r="K161" s="203">
        <f t="shared" si="166"/>
        <v>0</v>
      </c>
      <c r="L161" s="203"/>
      <c r="M161" s="203"/>
      <c r="N161" s="203">
        <f t="shared" ref="N161:S161" si="167">N157-N160</f>
        <v>0</v>
      </c>
      <c r="O161" s="203">
        <f t="shared" si="167"/>
        <v>0</v>
      </c>
      <c r="P161" s="203">
        <f t="shared" si="167"/>
        <v>0</v>
      </c>
      <c r="Q161" s="203">
        <f t="shared" si="167"/>
        <v>0</v>
      </c>
      <c r="R161" s="203">
        <f t="shared" si="167"/>
        <v>0</v>
      </c>
      <c r="S161" s="203">
        <f t="shared" si="167"/>
        <v>0</v>
      </c>
      <c r="T161" s="203"/>
      <c r="U161" s="203"/>
      <c r="V161" s="203"/>
      <c r="W161" s="203"/>
    </row>
    <row r="162" spans="1:34" s="205" customFormat="1" ht="18" customHeight="1">
      <c r="A162" s="610"/>
      <c r="B162" s="584"/>
      <c r="C162" s="584"/>
      <c r="D162" s="202" t="s">
        <v>31</v>
      </c>
      <c r="E162" s="203"/>
      <c r="F162" s="203">
        <f>F161</f>
        <v>0</v>
      </c>
      <c r="G162" s="203">
        <f>G161+F162</f>
        <v>0</v>
      </c>
      <c r="H162" s="203">
        <f>H161+G162</f>
        <v>0</v>
      </c>
      <c r="I162" s="203">
        <f>I161+H162</f>
        <v>0</v>
      </c>
      <c r="J162" s="203">
        <f>J161+I162</f>
        <v>0</v>
      </c>
      <c r="K162" s="203">
        <f>K161+J162</f>
        <v>0</v>
      </c>
      <c r="L162" s="203"/>
      <c r="M162" s="203"/>
      <c r="N162" s="203">
        <f>N161+K162</f>
        <v>0</v>
      </c>
      <c r="O162" s="203">
        <f>O161+N162</f>
        <v>0</v>
      </c>
      <c r="P162" s="203">
        <f>P161+O162</f>
        <v>0</v>
      </c>
      <c r="Q162" s="203">
        <f>Q161+P162</f>
        <v>0</v>
      </c>
      <c r="R162" s="203">
        <f>R161+Q162</f>
        <v>0</v>
      </c>
      <c r="S162" s="203">
        <f>S161+R162</f>
        <v>0</v>
      </c>
      <c r="T162" s="203"/>
      <c r="U162" s="203"/>
      <c r="V162" s="203"/>
      <c r="W162" s="203"/>
    </row>
    <row r="163" spans="1:34" s="186" customFormat="1" ht="18" customHeight="1">
      <c r="A163" s="610"/>
      <c r="B163" s="580" t="s">
        <v>61</v>
      </c>
      <c r="C163" s="575"/>
      <c r="D163" s="178" t="s">
        <v>105</v>
      </c>
      <c r="E163" s="179"/>
      <c r="F163" s="180">
        <f t="shared" ref="F163:K165" si="168">F178+F193</f>
        <v>83.2</v>
      </c>
      <c r="G163" s="180">
        <f t="shared" si="168"/>
        <v>75.7</v>
      </c>
      <c r="H163" s="180">
        <f t="shared" si="168"/>
        <v>38.6</v>
      </c>
      <c r="I163" s="180">
        <f t="shared" si="168"/>
        <v>0</v>
      </c>
      <c r="J163" s="180">
        <f t="shared" si="168"/>
        <v>0</v>
      </c>
      <c r="K163" s="180">
        <f t="shared" si="168"/>
        <v>0</v>
      </c>
      <c r="L163" s="207">
        <f>SUM(F163:K163)</f>
        <v>197.5</v>
      </c>
      <c r="M163" s="207">
        <f>L163/6</f>
        <v>32.9</v>
      </c>
      <c r="N163" s="180">
        <f t="shared" ref="N163:S165" si="169">N178+N193</f>
        <v>0</v>
      </c>
      <c r="O163" s="180">
        <f t="shared" si="169"/>
        <v>0</v>
      </c>
      <c r="P163" s="180">
        <f t="shared" si="169"/>
        <v>0</v>
      </c>
      <c r="Q163" s="180">
        <f t="shared" si="169"/>
        <v>0</v>
      </c>
      <c r="R163" s="180">
        <f t="shared" si="169"/>
        <v>26.1</v>
      </c>
      <c r="S163" s="180">
        <f t="shared" si="169"/>
        <v>125.1</v>
      </c>
      <c r="T163" s="207">
        <f>SUM(N163:S163)</f>
        <v>151.19999999999999</v>
      </c>
      <c r="U163" s="222">
        <f>T163+L163</f>
        <v>348.7</v>
      </c>
      <c r="V163" s="183"/>
      <c r="W163" s="184"/>
      <c r="X163" s="185"/>
    </row>
    <row r="164" spans="1:34" s="186" customFormat="1" ht="18" customHeight="1">
      <c r="A164" s="610"/>
      <c r="B164" s="576"/>
      <c r="C164" s="577"/>
      <c r="D164" s="178" t="s">
        <v>109</v>
      </c>
      <c r="E164" s="179"/>
      <c r="F164" s="180">
        <f t="shared" si="168"/>
        <v>99.9</v>
      </c>
      <c r="G164" s="180">
        <f t="shared" si="168"/>
        <v>73</v>
      </c>
      <c r="H164" s="180">
        <f t="shared" si="168"/>
        <v>45.6</v>
      </c>
      <c r="I164" s="180">
        <f t="shared" si="168"/>
        <v>0</v>
      </c>
      <c r="J164" s="180">
        <f t="shared" si="168"/>
        <v>0</v>
      </c>
      <c r="K164" s="180">
        <f t="shared" si="168"/>
        <v>0</v>
      </c>
      <c r="L164" s="207">
        <f>SUM(F164:K164)</f>
        <v>218.5</v>
      </c>
      <c r="M164" s="207">
        <f>L164/6</f>
        <v>36.4</v>
      </c>
      <c r="N164" s="179">
        <f t="shared" si="169"/>
        <v>0</v>
      </c>
      <c r="O164" s="179">
        <f t="shared" si="169"/>
        <v>0</v>
      </c>
      <c r="P164" s="179">
        <f t="shared" si="169"/>
        <v>0</v>
      </c>
      <c r="Q164" s="179">
        <f t="shared" si="169"/>
        <v>0</v>
      </c>
      <c r="R164" s="179">
        <f t="shared" si="169"/>
        <v>83</v>
      </c>
      <c r="S164" s="179">
        <f t="shared" si="169"/>
        <v>125.1</v>
      </c>
      <c r="T164" s="207">
        <f>SUM(N164:S164)</f>
        <v>208.1</v>
      </c>
      <c r="U164" s="222">
        <f>T164+L164</f>
        <v>426.6</v>
      </c>
      <c r="V164" s="183"/>
      <c r="W164" s="184"/>
      <c r="X164" s="185"/>
    </row>
    <row r="165" spans="1:34" s="186" customFormat="1" ht="18" customHeight="1">
      <c r="A165" s="610"/>
      <c r="B165" s="576"/>
      <c r="C165" s="577"/>
      <c r="D165" s="178" t="s">
        <v>116</v>
      </c>
      <c r="E165" s="179"/>
      <c r="F165" s="180">
        <f t="shared" si="168"/>
        <v>77.3</v>
      </c>
      <c r="G165" s="180">
        <f t="shared" si="168"/>
        <v>89.4</v>
      </c>
      <c r="H165" s="180">
        <f t="shared" si="168"/>
        <v>40.4</v>
      </c>
      <c r="I165" s="180">
        <f t="shared" si="168"/>
        <v>0</v>
      </c>
      <c r="J165" s="180">
        <f t="shared" si="168"/>
        <v>0</v>
      </c>
      <c r="K165" s="180">
        <f t="shared" si="168"/>
        <v>0</v>
      </c>
      <c r="L165" s="207">
        <f>SUM(F165:K165)</f>
        <v>207.1</v>
      </c>
      <c r="M165" s="207">
        <f>L165/6</f>
        <v>34.5</v>
      </c>
      <c r="N165" s="180">
        <f t="shared" si="169"/>
        <v>0</v>
      </c>
      <c r="O165" s="180">
        <f t="shared" si="169"/>
        <v>0</v>
      </c>
      <c r="P165" s="180">
        <f t="shared" si="169"/>
        <v>0</v>
      </c>
      <c r="Q165" s="180">
        <f t="shared" si="169"/>
        <v>0</v>
      </c>
      <c r="R165" s="180">
        <f t="shared" si="169"/>
        <v>94.2</v>
      </c>
      <c r="S165" s="180">
        <f t="shared" si="169"/>
        <v>170.3</v>
      </c>
      <c r="T165" s="207">
        <f>SUM(N165:S165)</f>
        <v>264.5</v>
      </c>
      <c r="U165" s="222">
        <f>T165+L165</f>
        <v>471.6</v>
      </c>
      <c r="V165" s="183">
        <f>V180+V195</f>
        <v>486</v>
      </c>
      <c r="W165" s="184">
        <f>V165-U165</f>
        <v>14.4</v>
      </c>
      <c r="X165" s="185"/>
    </row>
    <row r="166" spans="1:34" s="190" customFormat="1" ht="18" customHeight="1">
      <c r="A166" s="610"/>
      <c r="B166" s="576"/>
      <c r="C166" s="577"/>
      <c r="D166" s="187" t="s">
        <v>27</v>
      </c>
      <c r="E166" s="188"/>
      <c r="F166" s="188">
        <f t="shared" ref="F166:W166" si="170">F167/F165*1000</f>
        <v>2440.0650000000001</v>
      </c>
      <c r="G166" s="188">
        <f t="shared" si="170"/>
        <v>2629.3739999999998</v>
      </c>
      <c r="H166" s="188">
        <f t="shared" si="170"/>
        <v>2651.2869999999998</v>
      </c>
      <c r="I166" s="188" t="e">
        <f t="shared" si="170"/>
        <v>#DIV/0!</v>
      </c>
      <c r="J166" s="188" t="e">
        <f t="shared" si="170"/>
        <v>#DIV/0!</v>
      </c>
      <c r="K166" s="188" t="e">
        <f t="shared" si="170"/>
        <v>#DIV/0!</v>
      </c>
      <c r="L166" s="188">
        <f t="shared" si="170"/>
        <v>2562.989</v>
      </c>
      <c r="M166" s="188">
        <f t="shared" si="170"/>
        <v>2564.232</v>
      </c>
      <c r="N166" s="188" t="e">
        <f t="shared" si="170"/>
        <v>#DIV/0!</v>
      </c>
      <c r="O166" s="188" t="e">
        <f t="shared" si="170"/>
        <v>#DIV/0!</v>
      </c>
      <c r="P166" s="188" t="e">
        <f t="shared" si="170"/>
        <v>#DIV/0!</v>
      </c>
      <c r="Q166" s="188" t="e">
        <f t="shared" si="170"/>
        <v>#DIV/0!</v>
      </c>
      <c r="R166" s="188">
        <f t="shared" si="170"/>
        <v>2801.73</v>
      </c>
      <c r="S166" s="188">
        <f t="shared" si="170"/>
        <v>2489.63</v>
      </c>
      <c r="T166" s="188">
        <f t="shared" si="170"/>
        <v>2600.7829999999999</v>
      </c>
      <c r="U166" s="188">
        <f t="shared" si="170"/>
        <v>2584.1860000000001</v>
      </c>
      <c r="V166" s="188">
        <f t="shared" si="170"/>
        <v>2528.44</v>
      </c>
      <c r="W166" s="189">
        <f t="shared" si="170"/>
        <v>702.77800000000002</v>
      </c>
      <c r="X166" s="223"/>
    </row>
    <row r="167" spans="1:34" s="196" customFormat="1" ht="18" customHeight="1">
      <c r="A167" s="610"/>
      <c r="B167" s="576"/>
      <c r="C167" s="577"/>
      <c r="D167" s="191" t="s">
        <v>0</v>
      </c>
      <c r="E167" s="192"/>
      <c r="F167" s="192">
        <f t="shared" ref="F167:K170" si="171">F182+F197</f>
        <v>188.61699999999999</v>
      </c>
      <c r="G167" s="192">
        <f t="shared" si="171"/>
        <v>235.066</v>
      </c>
      <c r="H167" s="192">
        <f t="shared" si="171"/>
        <v>107.11199999999999</v>
      </c>
      <c r="I167" s="192">
        <f t="shared" si="171"/>
        <v>0</v>
      </c>
      <c r="J167" s="192">
        <f t="shared" si="171"/>
        <v>0</v>
      </c>
      <c r="K167" s="192">
        <f t="shared" si="171"/>
        <v>0</v>
      </c>
      <c r="L167" s="192">
        <f>SUM(F167:K167)</f>
        <v>530.79499999999996</v>
      </c>
      <c r="M167" s="192">
        <f>L167/6</f>
        <v>88.465999999999994</v>
      </c>
      <c r="N167" s="192">
        <f t="shared" ref="N167:S170" si="172">N182+N197</f>
        <v>0</v>
      </c>
      <c r="O167" s="192">
        <f t="shared" si="172"/>
        <v>0</v>
      </c>
      <c r="P167" s="192">
        <f t="shared" si="172"/>
        <v>0</v>
      </c>
      <c r="Q167" s="192">
        <f t="shared" si="172"/>
        <v>0</v>
      </c>
      <c r="R167" s="192">
        <f t="shared" si="172"/>
        <v>263.923</v>
      </c>
      <c r="S167" s="192">
        <f t="shared" si="172"/>
        <v>423.98399999999998</v>
      </c>
      <c r="T167" s="192">
        <f>SUM(N167:S167)</f>
        <v>687.90700000000004</v>
      </c>
      <c r="U167" s="192">
        <f>T167+L167</f>
        <v>1218.702</v>
      </c>
      <c r="V167" s="193">
        <f>V182+V197</f>
        <v>1228.8219999999999</v>
      </c>
      <c r="W167" s="193">
        <f>V167-U167</f>
        <v>10.119999999999999</v>
      </c>
      <c r="X167" s="281"/>
    </row>
    <row r="168" spans="1:34" s="196" customFormat="1" ht="18" customHeight="1">
      <c r="A168" s="610"/>
      <c r="B168" s="576"/>
      <c r="C168" s="577"/>
      <c r="D168" s="174" t="s">
        <v>55</v>
      </c>
      <c r="E168" s="210"/>
      <c r="F168" s="192">
        <f t="shared" si="171"/>
        <v>0</v>
      </c>
      <c r="G168" s="192">
        <f t="shared" si="171"/>
        <v>0</v>
      </c>
      <c r="H168" s="192">
        <f t="shared" si="171"/>
        <v>0</v>
      </c>
      <c r="I168" s="192">
        <f t="shared" si="171"/>
        <v>0</v>
      </c>
      <c r="J168" s="192">
        <f t="shared" si="171"/>
        <v>0</v>
      </c>
      <c r="K168" s="192">
        <f t="shared" si="171"/>
        <v>0</v>
      </c>
      <c r="L168" s="192">
        <f>SUM(F168:K168)</f>
        <v>0</v>
      </c>
      <c r="M168" s="192">
        <f>L168/6</f>
        <v>0</v>
      </c>
      <c r="N168" s="192">
        <f t="shared" si="172"/>
        <v>0</v>
      </c>
      <c r="O168" s="192">
        <f t="shared" si="172"/>
        <v>0</v>
      </c>
      <c r="P168" s="192">
        <f t="shared" si="172"/>
        <v>0</v>
      </c>
      <c r="Q168" s="192">
        <f t="shared" si="172"/>
        <v>0</v>
      </c>
      <c r="R168" s="192">
        <f t="shared" si="172"/>
        <v>0</v>
      </c>
      <c r="S168" s="192">
        <f t="shared" si="172"/>
        <v>0</v>
      </c>
      <c r="T168" s="192">
        <f>SUM(N168:S168)</f>
        <v>0</v>
      </c>
      <c r="U168" s="192">
        <f>T168+L168</f>
        <v>0</v>
      </c>
      <c r="V168" s="193">
        <f>V183+V198</f>
        <v>0</v>
      </c>
      <c r="W168" s="211">
        <f>V168-U168</f>
        <v>0</v>
      </c>
      <c r="X168" s="195"/>
    </row>
    <row r="169" spans="1:34" s="196" customFormat="1" ht="18" customHeight="1">
      <c r="A169" s="610"/>
      <c r="B169" s="576"/>
      <c r="C169" s="577"/>
      <c r="D169" s="174" t="s">
        <v>28</v>
      </c>
      <c r="E169" s="210"/>
      <c r="F169" s="192">
        <f t="shared" si="171"/>
        <v>0</v>
      </c>
      <c r="G169" s="192">
        <f t="shared" si="171"/>
        <v>188.61699999999999</v>
      </c>
      <c r="H169" s="192">
        <f t="shared" si="171"/>
        <v>235.066</v>
      </c>
      <c r="I169" s="192">
        <f t="shared" si="171"/>
        <v>107.179</v>
      </c>
      <c r="J169" s="192">
        <f t="shared" si="171"/>
        <v>0</v>
      </c>
      <c r="K169" s="192">
        <f t="shared" si="171"/>
        <v>0</v>
      </c>
      <c r="L169" s="192">
        <f>SUM(F169:K169)</f>
        <v>530.86199999999997</v>
      </c>
      <c r="M169" s="192">
        <f>L169/6</f>
        <v>88.477000000000004</v>
      </c>
      <c r="N169" s="192">
        <f t="shared" si="172"/>
        <v>0</v>
      </c>
      <c r="O169" s="192">
        <f t="shared" si="172"/>
        <v>0</v>
      </c>
      <c r="P169" s="192">
        <f t="shared" si="172"/>
        <v>0</v>
      </c>
      <c r="Q169" s="192">
        <f t="shared" si="172"/>
        <v>0</v>
      </c>
      <c r="R169" s="192">
        <f t="shared" si="172"/>
        <v>0</v>
      </c>
      <c r="S169" s="192">
        <f t="shared" si="172"/>
        <v>697.96</v>
      </c>
      <c r="T169" s="192">
        <f>SUM(N169:S169)</f>
        <v>697.96</v>
      </c>
      <c r="U169" s="192">
        <f>T169+L169</f>
        <v>1228.8219999999999</v>
      </c>
      <c r="V169" s="193">
        <f>V184+V199</f>
        <v>1228.8219999999999</v>
      </c>
      <c r="W169" s="193">
        <f>V169-U169</f>
        <v>0</v>
      </c>
      <c r="X169" s="195"/>
    </row>
    <row r="170" spans="1:34" s="186" customFormat="1" ht="18" customHeight="1">
      <c r="A170" s="610"/>
      <c r="B170" s="576"/>
      <c r="C170" s="577"/>
      <c r="D170" s="178" t="s">
        <v>117</v>
      </c>
      <c r="E170" s="179">
        <f>E185+E200</f>
        <v>0</v>
      </c>
      <c r="F170" s="179">
        <f t="shared" si="171"/>
        <v>0</v>
      </c>
      <c r="G170" s="179">
        <f t="shared" si="171"/>
        <v>77.3</v>
      </c>
      <c r="H170" s="179">
        <f t="shared" si="171"/>
        <v>89.4</v>
      </c>
      <c r="I170" s="179">
        <f t="shared" si="171"/>
        <v>40.4</v>
      </c>
      <c r="J170" s="179">
        <f t="shared" si="171"/>
        <v>0</v>
      </c>
      <c r="K170" s="179">
        <f t="shared" si="171"/>
        <v>0</v>
      </c>
      <c r="L170" s="207">
        <f>SUM(F170:K170)</f>
        <v>207.1</v>
      </c>
      <c r="M170" s="207">
        <f>L170/6</f>
        <v>34.5</v>
      </c>
      <c r="N170" s="179">
        <f t="shared" si="172"/>
        <v>0</v>
      </c>
      <c r="O170" s="179">
        <f t="shared" si="172"/>
        <v>0</v>
      </c>
      <c r="P170" s="179">
        <f t="shared" si="172"/>
        <v>0</v>
      </c>
      <c r="Q170" s="179">
        <f t="shared" si="172"/>
        <v>0</v>
      </c>
      <c r="R170" s="179">
        <f t="shared" si="172"/>
        <v>0</v>
      </c>
      <c r="S170" s="179">
        <f t="shared" si="172"/>
        <v>264.5</v>
      </c>
      <c r="T170" s="207">
        <f>SUM(N170:S170)</f>
        <v>264.5</v>
      </c>
      <c r="U170" s="207">
        <f>T170+L170</f>
        <v>471.6</v>
      </c>
      <c r="V170" s="184">
        <f>V185+V200</f>
        <v>486</v>
      </c>
      <c r="W170" s="184">
        <f>V170-U170</f>
        <v>14.4</v>
      </c>
      <c r="X170" s="279">
        <f>U165-U170</f>
        <v>0</v>
      </c>
    </row>
    <row r="171" spans="1:34" s="190" customFormat="1" ht="18" customHeight="1">
      <c r="A171" s="610"/>
      <c r="B171" s="576"/>
      <c r="C171" s="577"/>
      <c r="D171" s="187" t="s">
        <v>27</v>
      </c>
      <c r="E171" s="188" t="e">
        <f t="shared" ref="E171:W171" si="173">E172/E170*1000</f>
        <v>#DIV/0!</v>
      </c>
      <c r="F171" s="188" t="e">
        <f t="shared" si="173"/>
        <v>#DIV/0!</v>
      </c>
      <c r="G171" s="188">
        <f t="shared" si="173"/>
        <v>2440.0650000000001</v>
      </c>
      <c r="H171" s="188">
        <f t="shared" si="173"/>
        <v>2629.3739999999998</v>
      </c>
      <c r="I171" s="188">
        <f t="shared" si="173"/>
        <v>2651.2869999999998</v>
      </c>
      <c r="J171" s="188" t="e">
        <f t="shared" si="173"/>
        <v>#DIV/0!</v>
      </c>
      <c r="K171" s="188" t="e">
        <f t="shared" si="173"/>
        <v>#DIV/0!</v>
      </c>
      <c r="L171" s="188">
        <f t="shared" si="173"/>
        <v>2562.989</v>
      </c>
      <c r="M171" s="188">
        <f t="shared" si="173"/>
        <v>2564.232</v>
      </c>
      <c r="N171" s="188" t="e">
        <f t="shared" si="173"/>
        <v>#DIV/0!</v>
      </c>
      <c r="O171" s="188" t="e">
        <f t="shared" si="173"/>
        <v>#DIV/0!</v>
      </c>
      <c r="P171" s="188" t="e">
        <f t="shared" si="173"/>
        <v>#DIV/0!</v>
      </c>
      <c r="Q171" s="188" t="e">
        <f t="shared" si="173"/>
        <v>#DIV/0!</v>
      </c>
      <c r="R171" s="188" t="e">
        <f t="shared" si="173"/>
        <v>#DIV/0!</v>
      </c>
      <c r="S171" s="188">
        <f t="shared" si="173"/>
        <v>2600.7829999999999</v>
      </c>
      <c r="T171" s="188">
        <f t="shared" si="173"/>
        <v>2600.7829999999999</v>
      </c>
      <c r="U171" s="188">
        <f t="shared" si="173"/>
        <v>2584.1860000000001</v>
      </c>
      <c r="V171" s="188">
        <f t="shared" si="173"/>
        <v>2528.44</v>
      </c>
      <c r="W171" s="189">
        <f t="shared" si="173"/>
        <v>702.77800000000002</v>
      </c>
      <c r="X171" s="225"/>
    </row>
    <row r="172" spans="1:34" s="176" customFormat="1" ht="18" customHeight="1">
      <c r="A172" s="610"/>
      <c r="B172" s="576"/>
      <c r="C172" s="577"/>
      <c r="D172" s="198" t="s">
        <v>25</v>
      </c>
      <c r="E172" s="212">
        <f t="shared" ref="E172:K172" si="174">E187+E202</f>
        <v>0</v>
      </c>
      <c r="F172" s="199">
        <f t="shared" si="174"/>
        <v>0</v>
      </c>
      <c r="G172" s="199">
        <f t="shared" si="174"/>
        <v>188.61699999999999</v>
      </c>
      <c r="H172" s="199">
        <f t="shared" si="174"/>
        <v>235.066</v>
      </c>
      <c r="I172" s="199">
        <f t="shared" si="174"/>
        <v>107.11199999999999</v>
      </c>
      <c r="J172" s="199">
        <f t="shared" si="174"/>
        <v>0</v>
      </c>
      <c r="K172" s="199">
        <f t="shared" si="174"/>
        <v>0</v>
      </c>
      <c r="L172" s="199">
        <f>SUM(F172:K172)</f>
        <v>530.79499999999996</v>
      </c>
      <c r="M172" s="199">
        <f>L172/6</f>
        <v>88.465999999999994</v>
      </c>
      <c r="N172" s="199">
        <f t="shared" ref="N172:S174" si="175">N187+N202</f>
        <v>0</v>
      </c>
      <c r="O172" s="199">
        <f t="shared" si="175"/>
        <v>0</v>
      </c>
      <c r="P172" s="199">
        <f t="shared" si="175"/>
        <v>0</v>
      </c>
      <c r="Q172" s="199">
        <f t="shared" si="175"/>
        <v>0</v>
      </c>
      <c r="R172" s="199">
        <f t="shared" si="175"/>
        <v>0</v>
      </c>
      <c r="S172" s="199">
        <f t="shared" si="175"/>
        <v>687.90700000000004</v>
      </c>
      <c r="T172" s="199">
        <f>SUM(N172:S172)</f>
        <v>687.90700000000004</v>
      </c>
      <c r="U172" s="199">
        <f>T172+L172</f>
        <v>1218.702</v>
      </c>
      <c r="V172" s="175">
        <f>V167</f>
        <v>1228.8219999999999</v>
      </c>
      <c r="W172" s="175">
        <f>V172-U172</f>
        <v>10.119999999999999</v>
      </c>
      <c r="X172" s="176">
        <f>U167-U172</f>
        <v>0</v>
      </c>
    </row>
    <row r="173" spans="1:34" s="176" customFormat="1" ht="18" customHeight="1">
      <c r="A173" s="610"/>
      <c r="B173" s="576"/>
      <c r="C173" s="577"/>
      <c r="D173" s="201" t="s">
        <v>55</v>
      </c>
      <c r="E173" s="212"/>
      <c r="F173" s="199">
        <f t="shared" ref="F173:K174" si="176">F188+F203</f>
        <v>0</v>
      </c>
      <c r="G173" s="199">
        <f t="shared" si="176"/>
        <v>0</v>
      </c>
      <c r="H173" s="199">
        <f t="shared" si="176"/>
        <v>0</v>
      </c>
      <c r="I173" s="199">
        <f t="shared" si="176"/>
        <v>0</v>
      </c>
      <c r="J173" s="199">
        <f t="shared" si="176"/>
        <v>0</v>
      </c>
      <c r="K173" s="199">
        <f t="shared" si="176"/>
        <v>0</v>
      </c>
      <c r="L173" s="199">
        <f>SUM(F173:K173)</f>
        <v>0</v>
      </c>
      <c r="M173" s="199">
        <f>L173/6</f>
        <v>0</v>
      </c>
      <c r="N173" s="199">
        <f t="shared" si="175"/>
        <v>0</v>
      </c>
      <c r="O173" s="199">
        <f t="shared" si="175"/>
        <v>0</v>
      </c>
      <c r="P173" s="199">
        <f t="shared" si="175"/>
        <v>0</v>
      </c>
      <c r="Q173" s="199">
        <f t="shared" si="175"/>
        <v>0</v>
      </c>
      <c r="R173" s="199">
        <f t="shared" si="175"/>
        <v>0</v>
      </c>
      <c r="S173" s="199">
        <f t="shared" si="175"/>
        <v>0</v>
      </c>
      <c r="T173" s="199">
        <f>SUM(N173:S173)</f>
        <v>0</v>
      </c>
      <c r="U173" s="199">
        <f>T173+L173</f>
        <v>0</v>
      </c>
      <c r="V173" s="175">
        <f>V168</f>
        <v>0</v>
      </c>
      <c r="W173" s="175">
        <f>V173-U173</f>
        <v>0</v>
      </c>
      <c r="X173" s="176">
        <f>U168-U173</f>
        <v>0</v>
      </c>
    </row>
    <row r="174" spans="1:34" s="176" customFormat="1" ht="18" customHeight="1">
      <c r="A174" s="610"/>
      <c r="B174" s="576"/>
      <c r="C174" s="577"/>
      <c r="D174" s="201" t="s">
        <v>24</v>
      </c>
      <c r="E174" s="212"/>
      <c r="F174" s="199">
        <f t="shared" si="176"/>
        <v>0</v>
      </c>
      <c r="G174" s="199">
        <f t="shared" si="176"/>
        <v>188.61699999999999</v>
      </c>
      <c r="H174" s="199">
        <f t="shared" si="176"/>
        <v>235.066</v>
      </c>
      <c r="I174" s="199">
        <f t="shared" si="176"/>
        <v>107.11199999999999</v>
      </c>
      <c r="J174" s="199">
        <f t="shared" si="176"/>
        <v>0</v>
      </c>
      <c r="K174" s="199">
        <f t="shared" si="176"/>
        <v>0</v>
      </c>
      <c r="L174" s="199">
        <f>SUM(F174:K174)</f>
        <v>530.79499999999996</v>
      </c>
      <c r="M174" s="199">
        <f>L174/6</f>
        <v>88.465999999999994</v>
      </c>
      <c r="N174" s="199">
        <f t="shared" si="175"/>
        <v>0</v>
      </c>
      <c r="O174" s="199">
        <f t="shared" si="175"/>
        <v>0</v>
      </c>
      <c r="P174" s="199">
        <f t="shared" si="175"/>
        <v>0</v>
      </c>
      <c r="Q174" s="199">
        <f t="shared" si="175"/>
        <v>0</v>
      </c>
      <c r="R174" s="199">
        <f t="shared" si="175"/>
        <v>0</v>
      </c>
      <c r="S174" s="199">
        <f t="shared" si="175"/>
        <v>687.90700000000004</v>
      </c>
      <c r="T174" s="199">
        <f>SUM(N174:S174)</f>
        <v>687.90700000000004</v>
      </c>
      <c r="U174" s="199">
        <f>T174+L174</f>
        <v>1218.702</v>
      </c>
      <c r="V174" s="175">
        <f>V169</f>
        <v>1228.8219999999999</v>
      </c>
      <c r="W174" s="175">
        <f>V174-U174</f>
        <v>10.119999999999999</v>
      </c>
      <c r="X174" s="176">
        <f>U169-U174</f>
        <v>10.119999999999999</v>
      </c>
    </row>
    <row r="175" spans="1:34" s="205" customFormat="1" ht="18" customHeight="1">
      <c r="A175" s="610"/>
      <c r="B175" s="576"/>
      <c r="C175" s="577"/>
      <c r="D175" s="202" t="s">
        <v>29</v>
      </c>
      <c r="E175" s="203"/>
      <c r="F175" s="203">
        <f t="shared" ref="F175:K175" si="177">F169</f>
        <v>0</v>
      </c>
      <c r="G175" s="203">
        <f t="shared" si="177"/>
        <v>188.61699999999999</v>
      </c>
      <c r="H175" s="203">
        <f t="shared" si="177"/>
        <v>235.066</v>
      </c>
      <c r="I175" s="203">
        <f t="shared" si="177"/>
        <v>107.179</v>
      </c>
      <c r="J175" s="203">
        <f t="shared" si="177"/>
        <v>0</v>
      </c>
      <c r="K175" s="203">
        <f t="shared" si="177"/>
        <v>0</v>
      </c>
      <c r="L175" s="203">
        <f>SUM(F175:K175)</f>
        <v>530.86199999999997</v>
      </c>
      <c r="M175" s="203">
        <f>L175/6</f>
        <v>88.477000000000004</v>
      </c>
      <c r="N175" s="203">
        <f t="shared" ref="N175:S175" si="178">N169+N168</f>
        <v>0</v>
      </c>
      <c r="O175" s="203">
        <f t="shared" si="178"/>
        <v>0</v>
      </c>
      <c r="P175" s="203">
        <f t="shared" si="178"/>
        <v>0</v>
      </c>
      <c r="Q175" s="203">
        <f t="shared" si="178"/>
        <v>0</v>
      </c>
      <c r="R175" s="203">
        <f t="shared" si="178"/>
        <v>0</v>
      </c>
      <c r="S175" s="203">
        <f t="shared" si="178"/>
        <v>697.96</v>
      </c>
      <c r="T175" s="203">
        <f>SUM(N175:S175)</f>
        <v>697.96</v>
      </c>
      <c r="U175" s="203">
        <f>T175+L175</f>
        <v>1228.8219999999999</v>
      </c>
      <c r="V175" s="204">
        <f>V172</f>
        <v>1228.8219999999999</v>
      </c>
      <c r="W175" s="204">
        <f>V175-U175</f>
        <v>0</v>
      </c>
      <c r="Y175" s="532"/>
      <c r="Z175" s="532"/>
      <c r="AA175" s="532"/>
      <c r="AB175" s="532"/>
      <c r="AC175" s="532"/>
      <c r="AD175" s="532"/>
      <c r="AE175" s="532"/>
      <c r="AF175" s="532"/>
      <c r="AG175" s="532"/>
      <c r="AH175" s="532"/>
    </row>
    <row r="176" spans="1:34" s="205" customFormat="1" ht="18" customHeight="1">
      <c r="A176" s="610"/>
      <c r="B176" s="576"/>
      <c r="C176" s="577"/>
      <c r="D176" s="202" t="s">
        <v>30</v>
      </c>
      <c r="E176" s="203"/>
      <c r="F176" s="203">
        <f t="shared" ref="F176:K176" si="179">F172-F175</f>
        <v>0</v>
      </c>
      <c r="G176" s="203">
        <f t="shared" si="179"/>
        <v>0</v>
      </c>
      <c r="H176" s="203">
        <f t="shared" si="179"/>
        <v>0</v>
      </c>
      <c r="I176" s="203">
        <f t="shared" si="179"/>
        <v>-6.7000000000000004E-2</v>
      </c>
      <c r="J176" s="203">
        <f t="shared" si="179"/>
        <v>0</v>
      </c>
      <c r="K176" s="203">
        <f t="shared" si="179"/>
        <v>0</v>
      </c>
      <c r="L176" s="203"/>
      <c r="M176" s="203"/>
      <c r="N176" s="203">
        <f t="shared" ref="N176:S176" si="180">N172-N175</f>
        <v>0</v>
      </c>
      <c r="O176" s="203">
        <f t="shared" si="180"/>
        <v>0</v>
      </c>
      <c r="P176" s="203">
        <f t="shared" si="180"/>
        <v>0</v>
      </c>
      <c r="Q176" s="203">
        <f t="shared" si="180"/>
        <v>0</v>
      </c>
      <c r="R176" s="203">
        <f t="shared" si="180"/>
        <v>0</v>
      </c>
      <c r="S176" s="203">
        <f t="shared" si="180"/>
        <v>-10.053000000000001</v>
      </c>
      <c r="T176" s="203"/>
      <c r="U176" s="203"/>
      <c r="V176" s="203"/>
      <c r="W176" s="203"/>
    </row>
    <row r="177" spans="1:24" s="205" customFormat="1" ht="18" customHeight="1">
      <c r="A177" s="610"/>
      <c r="B177" s="578"/>
      <c r="C177" s="579"/>
      <c r="D177" s="202" t="s">
        <v>31</v>
      </c>
      <c r="E177" s="203"/>
      <c r="F177" s="203">
        <f>F176</f>
        <v>0</v>
      </c>
      <c r="G177" s="203">
        <f>G176+F177</f>
        <v>0</v>
      </c>
      <c r="H177" s="203">
        <f>H176+G177</f>
        <v>0</v>
      </c>
      <c r="I177" s="203">
        <f>I176+H177</f>
        <v>-6.7000000000000004E-2</v>
      </c>
      <c r="J177" s="203">
        <f>J176+I177</f>
        <v>-6.7000000000000004E-2</v>
      </c>
      <c r="K177" s="203">
        <f>K176+J177</f>
        <v>-6.7000000000000004E-2</v>
      </c>
      <c r="L177" s="203"/>
      <c r="M177" s="203"/>
      <c r="N177" s="203">
        <f>N176+K177</f>
        <v>-6.7000000000000004E-2</v>
      </c>
      <c r="O177" s="203">
        <f>O176+N177</f>
        <v>-6.7000000000000004E-2</v>
      </c>
      <c r="P177" s="203">
        <f>P176+O177</f>
        <v>-6.7000000000000004E-2</v>
      </c>
      <c r="Q177" s="203">
        <f>Q176+P177</f>
        <v>-6.7000000000000004E-2</v>
      </c>
      <c r="R177" s="203">
        <f>R176+Q177</f>
        <v>-6.7000000000000004E-2</v>
      </c>
      <c r="S177" s="203">
        <f>S176+R177</f>
        <v>-10.119999999999999</v>
      </c>
      <c r="T177" s="203"/>
      <c r="U177" s="203"/>
      <c r="V177" s="203"/>
      <c r="W177" s="203"/>
    </row>
    <row r="178" spans="1:24" s="185" customFormat="1" ht="18" customHeight="1">
      <c r="A178" s="610"/>
      <c r="B178" s="585" t="s">
        <v>89</v>
      </c>
      <c r="C178" s="586"/>
      <c r="D178" s="178" t="s">
        <v>105</v>
      </c>
      <c r="E178" s="179"/>
      <c r="F178" s="180">
        <f>№2!F178+№5!F178+'№ 6'!F178+№14!F178+'№ 20'!F178+'№ 23'!F178+№27!F178+'№ 31'!F178+'№ 34'!F178+'№ 41'!F178</f>
        <v>59.6</v>
      </c>
      <c r="G178" s="180">
        <f>№2!G178+№5!G178+'№ 6'!G178+№14!G178+'№ 20'!G178+'№ 23'!G178+№27!G178+'№ 31'!G178+'№ 34'!G178+'№ 41'!G178</f>
        <v>50.5</v>
      </c>
      <c r="H178" s="180">
        <f>№2!H178+№5!H178+'№ 6'!H178+№14!H178+'№ 20'!H178+'№ 23'!H178+№27!H178+'№ 31'!H178+'№ 34'!H178+'№ 41'!H178</f>
        <v>26.5</v>
      </c>
      <c r="I178" s="180">
        <f>№2!I178+№5!I178+'№ 6'!I178+№14!I178+'№ 20'!I178+'№ 23'!I178+№27!I178+'№ 31'!I178+'№ 34'!I178+'№ 41'!I178</f>
        <v>0</v>
      </c>
      <c r="J178" s="180">
        <f>№2!J178+№5!J178+'№ 6'!J178+№14!J178+'№ 20'!J178+'№ 23'!J178+№27!J178+'№ 31'!J178+'№ 34'!J178+'№ 41'!J178</f>
        <v>0</v>
      </c>
      <c r="K178" s="180">
        <f>№2!K178+№5!K178+'№ 6'!K178+№14!K178+'№ 20'!K178+'№ 23'!K178+№27!K178+'№ 31'!K178+'№ 34'!K178+'№ 41'!K178</f>
        <v>0</v>
      </c>
      <c r="L178" s="215">
        <f>SUM(F178:K178)</f>
        <v>136.6</v>
      </c>
      <c r="M178" s="215">
        <f>L178/6</f>
        <v>22.8</v>
      </c>
      <c r="N178" s="180">
        <f>№2!N178+№5!N178+'№ 6'!N178+№14!N178+'№ 20'!N178+'№ 23'!N178+№27!N178+'№ 31'!N178+'№ 34'!N178+'№ 41'!N178</f>
        <v>0</v>
      </c>
      <c r="O178" s="180">
        <f>№2!O178+№5!O178+'№ 6'!O178+№14!O178+'№ 20'!O178+'№ 23'!O178+№27!O178+'№ 31'!O178+'№ 34'!O178+'№ 41'!O178</f>
        <v>0</v>
      </c>
      <c r="P178" s="180">
        <f>№2!P178+№5!P178+'№ 6'!P178+№14!P178+'№ 20'!P178+'№ 23'!P178+№27!P178+'№ 31'!P178+'№ 34'!P178+'№ 41'!P178</f>
        <v>0</v>
      </c>
      <c r="Q178" s="180">
        <f>№2!Q178+№5!Q178+'№ 6'!Q178+№14!Q178+'№ 20'!Q178+'№ 23'!Q178+№27!Q178+'№ 31'!Q178+'№ 34'!Q178+'№ 41'!Q178</f>
        <v>0</v>
      </c>
      <c r="R178" s="180">
        <f>№2!R178+№5!R178+'№ 6'!R178+№14!R178+'№ 20'!R178+'№ 23'!R178+№27!R178+'№ 31'!R178+'№ 34'!R178+'№ 41'!R178</f>
        <v>14.4</v>
      </c>
      <c r="S178" s="180">
        <f>№2!S178+№5!S178+'№ 6'!S178+№14!S178+'№ 20'!S178+'№ 23'!S178+№27!S178+'№ 31'!S178+'№ 34'!S178+'№ 41'!S178</f>
        <v>86.3</v>
      </c>
      <c r="T178" s="215">
        <f>SUM(N178:S178)</f>
        <v>100.7</v>
      </c>
      <c r="U178" s="215">
        <f>T178+L178</f>
        <v>237.3</v>
      </c>
      <c r="V178" s="233">
        <f>№2!V178+№5!V178+'№ 6'!V178+№14!V178+'№ 20'!V178+'№ 23'!V178+№27!V178+'№ 31'!V178+'№ 34'!V178+'№ 41'!V178</f>
        <v>0</v>
      </c>
      <c r="W178" s="184"/>
    </row>
    <row r="179" spans="1:24" s="185" customFormat="1" ht="18" customHeight="1">
      <c r="A179" s="610"/>
      <c r="B179" s="587"/>
      <c r="C179" s="588"/>
      <c r="D179" s="178" t="s">
        <v>109</v>
      </c>
      <c r="E179" s="179"/>
      <c r="F179" s="180">
        <f>№2!F179+№5!F179+'№ 6'!F179+№14!F179+'№ 20'!F179+'№ 23'!F179+№27!F179+'№ 31'!F179+'№ 34'!F179+'№ 41'!F179</f>
        <v>64.5</v>
      </c>
      <c r="G179" s="180">
        <f>№2!G179+№5!G179+'№ 6'!G179+№14!G179+'№ 20'!G179+'№ 23'!G179+№27!G179+'№ 31'!G179+'№ 34'!G179+'№ 41'!G179</f>
        <v>50.8</v>
      </c>
      <c r="H179" s="180">
        <f>№2!H179+№5!H179+'№ 6'!H179+№14!H179+'№ 20'!H179+'№ 23'!H179+№27!H179+'№ 31'!H179+'№ 34'!H179+'№ 41'!H179</f>
        <v>30.1</v>
      </c>
      <c r="I179" s="180">
        <f>№2!I179+№5!I179+'№ 6'!I179+№14!I179+'№ 20'!I179+'№ 23'!I179+№27!I179+'№ 31'!I179+'№ 34'!I179+'№ 41'!I179</f>
        <v>0</v>
      </c>
      <c r="J179" s="180">
        <f>№2!J179+№5!J179+'№ 6'!J179+№14!J179+'№ 20'!J179+'№ 23'!J179+№27!J179+'№ 31'!J179+'№ 34'!J179+'№ 41'!J179</f>
        <v>0</v>
      </c>
      <c r="K179" s="180">
        <f>№2!K179+№5!K179+'№ 6'!K179+№14!K179+'№ 20'!K179+'№ 23'!K179+№27!K179+'№ 31'!K179+'№ 34'!K179+'№ 41'!K179</f>
        <v>0</v>
      </c>
      <c r="L179" s="215">
        <f>SUM(F179:K179)</f>
        <v>145.4</v>
      </c>
      <c r="M179" s="215">
        <f>L179/6</f>
        <v>24.2</v>
      </c>
      <c r="N179" s="180">
        <f>№2!N179+№5!N179+'№ 6'!N179+№14!N179+'№ 20'!N179+'№ 23'!N179+№27!N179+'№ 31'!N179+'№ 34'!N179+'№ 41'!N179</f>
        <v>0</v>
      </c>
      <c r="O179" s="180">
        <f>№2!O179+№5!O179+'№ 6'!O179+№14!O179+'№ 20'!O179+'№ 23'!O179+№27!O179+'№ 31'!O179+'№ 34'!O179+'№ 41'!O179</f>
        <v>0</v>
      </c>
      <c r="P179" s="180">
        <f>№2!P179+№5!P179+'№ 6'!P179+№14!P179+'№ 20'!P179+'№ 23'!P179+№27!P179+'№ 31'!P179+'№ 34'!P179+'№ 41'!P179</f>
        <v>0</v>
      </c>
      <c r="Q179" s="180">
        <f>№2!Q179+№5!Q179+'№ 6'!Q179+№14!Q179+'№ 20'!Q179+'№ 23'!Q179+№27!Q179+'№ 31'!Q179+'№ 34'!Q179+'№ 41'!Q179</f>
        <v>0</v>
      </c>
      <c r="R179" s="180">
        <f>№2!R179+№5!R179+'№ 6'!R179+№14!R179+'№ 20'!R179+'№ 23'!R179+№27!R179+'№ 31'!R179+'№ 34'!R179+'№ 41'!R179</f>
        <v>53.4</v>
      </c>
      <c r="S179" s="180">
        <f>№2!S179+№5!S179+'№ 6'!S179+№14!S179+'№ 20'!S179+'№ 23'!S179+№27!S179+'№ 31'!S179+'№ 34'!S179+'№ 41'!S179</f>
        <v>86.3</v>
      </c>
      <c r="T179" s="215">
        <f>SUM(N179:S179)</f>
        <v>139.69999999999999</v>
      </c>
      <c r="U179" s="215">
        <f>T179+L179</f>
        <v>285.10000000000002</v>
      </c>
      <c r="V179" s="233">
        <f>№2!V179+№5!V179+'№ 6'!V179+№14!V179+'№ 20'!V179+'№ 23'!V179+№27!V179+'№ 31'!V179+'№ 34'!V179+'№ 41'!V179</f>
        <v>284</v>
      </c>
      <c r="W179" s="184"/>
    </row>
    <row r="180" spans="1:24" s="185" customFormat="1" ht="18" customHeight="1">
      <c r="A180" s="610"/>
      <c r="B180" s="587"/>
      <c r="C180" s="588"/>
      <c r="D180" s="178" t="s">
        <v>116</v>
      </c>
      <c r="E180" s="179"/>
      <c r="F180" s="180">
        <f>№2!F180+№5!F180+'№ 6'!F180+№14!F180+'№ 20'!F180+'№ 23'!F180+№27!F180+'№ 31'!F180+'№ 34'!F180+'№ 41'!F180</f>
        <v>48.2</v>
      </c>
      <c r="G180" s="180">
        <f>№2!G180+№5!G180+'№ 6'!G180+№14!G180+'№ 20'!G180+'№ 23'!G180+№27!G180+'№ 31'!G180+'№ 34'!G180+'№ 41'!G180</f>
        <v>60.3</v>
      </c>
      <c r="H180" s="180">
        <f>№2!H180+№5!H180+'№ 6'!H180+№14!H180+'№ 20'!H180+'№ 23'!H180+№27!H180+'№ 31'!H180+'№ 34'!H180+'№ 41'!H180</f>
        <v>27.7</v>
      </c>
      <c r="I180" s="180">
        <f>№2!I180+№5!I180+'№ 6'!I180+№14!I180+'№ 20'!I180+'№ 23'!I180+№27!I180+'№ 31'!I180+'№ 34'!I180+'№ 41'!I180</f>
        <v>0</v>
      </c>
      <c r="J180" s="180">
        <f>№2!J180+№5!J180+'№ 6'!J180+№14!J180+'№ 20'!J180+'№ 23'!J180+№27!J180+'№ 31'!J180+'№ 34'!J180+'№ 41'!J180</f>
        <v>0</v>
      </c>
      <c r="K180" s="180">
        <f>№2!K180+№5!K180+'№ 6'!K180+№14!K180+'№ 20'!K180+'№ 23'!K180+№27!K180+'№ 31'!K180+'№ 34'!K180+'№ 41'!K180</f>
        <v>0</v>
      </c>
      <c r="L180" s="215">
        <f>SUM(F180:K180)</f>
        <v>136.19999999999999</v>
      </c>
      <c r="M180" s="215">
        <f>L180/6</f>
        <v>22.7</v>
      </c>
      <c r="N180" s="180">
        <f>№2!N180+№5!N180+'№ 6'!N180+№14!N180+'№ 20'!N180+'№ 23'!N180+№27!N180+'№ 31'!N180+'№ 34'!N180+'№ 41'!N180</f>
        <v>0</v>
      </c>
      <c r="O180" s="180">
        <f>№2!O180+№5!O180+'№ 6'!O180+№14!O180+'№ 20'!O180+'№ 23'!O180+№27!O180+'№ 31'!O180+'№ 34'!O180+'№ 41'!O180</f>
        <v>0</v>
      </c>
      <c r="P180" s="180">
        <f>№2!P180+№5!P180+'№ 6'!P180+№14!P180+'№ 20'!P180+'№ 23'!P180+№27!P180+'№ 31'!P180+'№ 34'!P180+'№ 41'!P180</f>
        <v>0</v>
      </c>
      <c r="Q180" s="180">
        <f>№2!Q180+№5!Q180+'№ 6'!Q180+№14!Q180+'№ 20'!Q180+'№ 23'!Q180+№27!Q180+'№ 31'!Q180+'№ 34'!Q180+'№ 41'!Q180</f>
        <v>0</v>
      </c>
      <c r="R180" s="180">
        <f>№2!R180+№5!R180+'№ 6'!R180+№14!R180+'№ 20'!R180+'№ 23'!R180+№27!R180+'№ 31'!R180+'№ 34'!R180+'№ 41'!R180</f>
        <v>62.4</v>
      </c>
      <c r="S180" s="180">
        <f>№2!S180+№5!S180+'№ 6'!S180+№14!S180+'№ 20'!S180+'№ 23'!S180+№27!S180+'№ 31'!S180+'№ 34'!S180+'№ 41'!S180</f>
        <v>67.900000000000006</v>
      </c>
      <c r="T180" s="215">
        <f>SUM(N180:S180)</f>
        <v>130.30000000000001</v>
      </c>
      <c r="U180" s="215">
        <f>T180+L180</f>
        <v>266.5</v>
      </c>
      <c r="V180" s="233">
        <f>№2!V180+№5!V180+'№ 6'!V180+№14!V180+'№ 20'!V180+'№ 23'!V180+№27!V180+'№ 31'!V180+'№ 34'!V180+'№ 41'!V180</f>
        <v>275.7</v>
      </c>
      <c r="W180" s="184">
        <f>V180-U180</f>
        <v>9.1999999999999993</v>
      </c>
    </row>
    <row r="181" spans="1:24" s="185" customFormat="1" ht="18" customHeight="1">
      <c r="A181" s="610"/>
      <c r="B181" s="587"/>
      <c r="C181" s="588"/>
      <c r="D181" s="187" t="s">
        <v>27</v>
      </c>
      <c r="E181" s="188"/>
      <c r="F181" s="188">
        <f t="shared" ref="F181:M181" si="181">F182/F180*1000</f>
        <v>3043.154</v>
      </c>
      <c r="G181" s="188">
        <f t="shared" si="181"/>
        <v>3201.6419999999998</v>
      </c>
      <c r="H181" s="188">
        <f t="shared" si="181"/>
        <v>3203.7910000000002</v>
      </c>
      <c r="I181" s="188" t="e">
        <f t="shared" si="181"/>
        <v>#DIV/0!</v>
      </c>
      <c r="J181" s="188" t="e">
        <f t="shared" si="181"/>
        <v>#DIV/0!</v>
      </c>
      <c r="K181" s="188" t="e">
        <f t="shared" si="181"/>
        <v>#DIV/0!</v>
      </c>
      <c r="L181" s="217">
        <f t="shared" si="181"/>
        <v>3145.99</v>
      </c>
      <c r="M181" s="217">
        <f t="shared" si="181"/>
        <v>3145.99</v>
      </c>
      <c r="N181" s="188" t="e">
        <f t="shared" ref="N181:S181" si="182">N182*1000/N180</f>
        <v>#DIV/0!</v>
      </c>
      <c r="O181" s="188" t="e">
        <f t="shared" si="182"/>
        <v>#DIV/0!</v>
      </c>
      <c r="P181" s="188" t="e">
        <f t="shared" si="182"/>
        <v>#DIV/0!</v>
      </c>
      <c r="Q181" s="188" t="e">
        <f t="shared" si="182"/>
        <v>#DIV/0!</v>
      </c>
      <c r="R181" s="188">
        <f t="shared" si="182"/>
        <v>3201.3139999999999</v>
      </c>
      <c r="S181" s="188">
        <f t="shared" si="182"/>
        <v>3200.913</v>
      </c>
      <c r="T181" s="217">
        <f>T182/T180*1000</f>
        <v>3201.11</v>
      </c>
      <c r="U181" s="217">
        <f>U182/U180*1000</f>
        <v>3172.94</v>
      </c>
      <c r="V181" s="218">
        <f t="shared" ref="V181" si="183">V182*1000/V180</f>
        <v>3040.5770000000002</v>
      </c>
      <c r="W181" s="189">
        <f>W182/W180*1000</f>
        <v>-793.58699999999999</v>
      </c>
    </row>
    <row r="182" spans="1:24" s="185" customFormat="1" ht="18" customHeight="1">
      <c r="A182" s="610"/>
      <c r="B182" s="587"/>
      <c r="C182" s="588"/>
      <c r="D182" s="191" t="s">
        <v>0</v>
      </c>
      <c r="E182" s="192"/>
      <c r="F182" s="192">
        <f>№2!F182+№5!F182+'№ 6'!F182+№14!F182+'№ 20'!F182+'№ 23'!F182+№27!F182+'№ 31'!F182+'№ 34'!F182+'№ 41'!F182</f>
        <v>146.68</v>
      </c>
      <c r="G182" s="192">
        <f>№2!G182+№5!G182+'№ 6'!G182+№14!G182+'№ 20'!G182+'№ 23'!G182+№27!G182+'№ 31'!G182+'№ 34'!G182+'№ 41'!G182</f>
        <v>193.059</v>
      </c>
      <c r="H182" s="192">
        <f>№2!H182+№5!H182+'№ 6'!H182+№14!H182+'№ 20'!H182+'№ 23'!H182+№27!H182+'№ 31'!H182+'№ 34'!H182+'№ 41'!H182</f>
        <v>88.745000000000005</v>
      </c>
      <c r="I182" s="192">
        <f>№2!I182+№5!I182+'№ 6'!I182+№14!I182+'№ 20'!I182+'№ 23'!I182+№27!I182+'№ 31'!I182+'№ 34'!I182+'№ 41'!I182</f>
        <v>0</v>
      </c>
      <c r="J182" s="192">
        <f>№2!J182+№5!J182+'№ 6'!J182+№14!J182+'№ 20'!J182+'№ 23'!J182+№27!J182+'№ 31'!J182+'№ 34'!J182+'№ 41'!J182</f>
        <v>0</v>
      </c>
      <c r="K182" s="192">
        <f>№2!K182+№5!K182+'№ 6'!K182+№14!K182+'№ 20'!K182+'№ 23'!K182+№27!K182+'№ 31'!K182+'№ 34'!K182+'№ 41'!K182</f>
        <v>0</v>
      </c>
      <c r="L182" s="194">
        <f>SUM(F182:K182)</f>
        <v>428.48399999999998</v>
      </c>
      <c r="M182" s="194">
        <f>L182/6</f>
        <v>71.414000000000001</v>
      </c>
      <c r="N182" s="192">
        <f>№2!N182+№5!N182+'№ 6'!N182+№14!N182+'№ 20'!N182+'№ 23'!N182+№27!N182+'№ 31'!N182+'№ 34'!N182+'№ 41'!N182</f>
        <v>0</v>
      </c>
      <c r="O182" s="192">
        <f>№2!O182+№5!O182+'№ 6'!O182+№14!O182+'№ 20'!O182+'№ 23'!O182+№27!O182+'№ 31'!O182+'№ 34'!O182+'№ 41'!O182</f>
        <v>0</v>
      </c>
      <c r="P182" s="192">
        <f>№2!P182+№5!P182+'№ 6'!P182+№14!P182+'№ 20'!P182+'№ 23'!P182+№27!P182+'№ 31'!P182+'№ 34'!P182+'№ 41'!P182</f>
        <v>0</v>
      </c>
      <c r="Q182" s="192">
        <f>№2!Q182+№5!Q182+'№ 6'!Q182+№14!Q182+'№ 20'!Q182+'№ 23'!Q182+№27!Q182+'№ 31'!Q182+'№ 34'!Q182+'№ 41'!Q182</f>
        <v>0</v>
      </c>
      <c r="R182" s="192">
        <f>№2!R182+№5!R182+'№ 6'!R182+№14!R182+'№ 20'!R182+'№ 23'!R182+№27!R182+'№ 31'!R182+'№ 34'!R182+'№ 41'!R182</f>
        <v>199.762</v>
      </c>
      <c r="S182" s="192">
        <f>№2!S182+№5!S182+'№ 6'!S182+№14!S182+'№ 20'!S182+'№ 23'!S182+№27!S182+'№ 31'!S182+'№ 34'!S182+'№ 41'!S182</f>
        <v>217.34200000000001</v>
      </c>
      <c r="T182" s="194">
        <f>SUM(N182:S182)</f>
        <v>417.10399999999998</v>
      </c>
      <c r="U182" s="194">
        <f>T182+L182</f>
        <v>845.58799999999997</v>
      </c>
      <c r="V182" s="194">
        <f>№2!V182+№5!V182+'№ 6'!V182+№14!V182+'№ 20'!V182+'№ 23'!V182+№27!V182+'№ 31'!V182+'№ 34'!V182+'№ 41'!V182</f>
        <v>838.28700000000003</v>
      </c>
      <c r="W182" s="193">
        <f>V182-U182</f>
        <v>-7.3010000000000002</v>
      </c>
    </row>
    <row r="183" spans="1:24" s="185" customFormat="1" ht="18" customHeight="1">
      <c r="A183" s="610"/>
      <c r="B183" s="587"/>
      <c r="C183" s="588"/>
      <c r="D183" s="174" t="s">
        <v>55</v>
      </c>
      <c r="E183" s="210"/>
      <c r="F183" s="192">
        <f>№2!F183+№5!F183+'№ 6'!F183+№14!F183+'№ 20'!F183+'№ 23'!F183+№27!F183+'№ 31'!F183+'№ 34'!F183+'№ 41'!F183</f>
        <v>0</v>
      </c>
      <c r="G183" s="192">
        <f>№2!G183+№5!G183+'№ 6'!G183+№14!G183+'№ 20'!G183+'№ 23'!G183+№27!G183+'№ 31'!G183+'№ 34'!G183+'№ 41'!G183</f>
        <v>0</v>
      </c>
      <c r="H183" s="192">
        <f>№2!H183+№5!H183+'№ 6'!H183+№14!H183+'№ 20'!H183+'№ 23'!H183+№27!H183+'№ 31'!H183+'№ 34'!H183+'№ 41'!H183</f>
        <v>0</v>
      </c>
      <c r="I183" s="192">
        <f>№2!I183+№5!I183+'№ 6'!I183+№14!I183+'№ 20'!I183+'№ 23'!I183+№27!I183+'№ 31'!I183+'№ 34'!I183+'№ 41'!I183</f>
        <v>0</v>
      </c>
      <c r="J183" s="192">
        <f>№2!J183+№5!J183+'№ 6'!J183+№14!J183+'№ 20'!J183+'№ 23'!J183+№27!J183+'№ 31'!J183+'№ 34'!J183+'№ 41'!J183</f>
        <v>0</v>
      </c>
      <c r="K183" s="192">
        <f>№2!K183+№5!K183+'№ 6'!K183+№14!K183+'№ 20'!K183+'№ 23'!K183+№27!K183+'№ 31'!K183+'№ 34'!K183+'№ 41'!K183</f>
        <v>0</v>
      </c>
      <c r="L183" s="194">
        <f>SUM(F183:K183)</f>
        <v>0</v>
      </c>
      <c r="M183" s="194">
        <f>L183/6</f>
        <v>0</v>
      </c>
      <c r="N183" s="192">
        <f>№2!N183+№5!N183+'№ 6'!N183+№14!N183+'№ 20'!N183+'№ 23'!N183+№27!N183+'№ 31'!N183+'№ 34'!N183+'№ 41'!N183</f>
        <v>0</v>
      </c>
      <c r="O183" s="192">
        <f>№2!O183+№5!O183+'№ 6'!O183+№14!O183+'№ 20'!O183+'№ 23'!O183+№27!O183+'№ 31'!O183+'№ 34'!O183+'№ 41'!O183</f>
        <v>0</v>
      </c>
      <c r="P183" s="192">
        <f>№2!P183+№5!P183+'№ 6'!P183+№14!P183+'№ 20'!P183+'№ 23'!P183+№27!P183+'№ 31'!P183+'№ 34'!P183+'№ 41'!P183</f>
        <v>0</v>
      </c>
      <c r="Q183" s="192">
        <f>№2!Q183+№5!Q183+'№ 6'!Q183+№14!Q183+'№ 20'!Q183+'№ 23'!Q183+№27!Q183+'№ 31'!Q183+'№ 34'!Q183+'№ 41'!Q183</f>
        <v>0</v>
      </c>
      <c r="R183" s="192">
        <f>№2!R183+№5!R183+'№ 6'!R183+№14!R183+'№ 20'!R183+'№ 23'!R183+№27!R183+'№ 31'!R183+'№ 34'!R183+'№ 41'!R183</f>
        <v>0</v>
      </c>
      <c r="S183" s="192">
        <f>№2!S183+№5!S183+'№ 6'!S183+№14!S183+'№ 20'!S183+'№ 23'!S183+№27!S183+'№ 31'!S183+'№ 34'!S183+'№ 41'!S183</f>
        <v>0</v>
      </c>
      <c r="T183" s="194">
        <f>SUM(N183:S183)</f>
        <v>0</v>
      </c>
      <c r="U183" s="194">
        <f>T183+L183</f>
        <v>0</v>
      </c>
      <c r="V183" s="194">
        <f>№2!V183+№5!V183+'№ 6'!V183+№14!V183+'№ 20'!V183+'№ 23'!V183+№27!V183+'№ 31'!V183+'№ 34'!V183+'№ 41'!V183</f>
        <v>0</v>
      </c>
      <c r="W183" s="193">
        <f>V183-U183</f>
        <v>0</v>
      </c>
    </row>
    <row r="184" spans="1:24" s="185" customFormat="1" ht="18" customHeight="1">
      <c r="A184" s="610"/>
      <c r="B184" s="587"/>
      <c r="C184" s="588"/>
      <c r="D184" s="174" t="s">
        <v>28</v>
      </c>
      <c r="E184" s="210"/>
      <c r="F184" s="192">
        <f>№2!F184+№5!F184+'№ 6'!F184+№14!F184+'№ 20'!F184+'№ 23'!F184+№27!F184+'№ 31'!F184+'№ 34'!F184+'№ 41'!F184</f>
        <v>0</v>
      </c>
      <c r="G184" s="192">
        <f>№2!G184+№5!G184+'№ 6'!G184+№14!G184+'№ 20'!G184+'№ 23'!G184+№27!G184+'№ 31'!G184+'№ 34'!G184+'№ 41'!G184</f>
        <v>122.907</v>
      </c>
      <c r="H184" s="192">
        <f>№2!H184+№5!H184+'№ 6'!H184+№14!H184+'№ 20'!H184+'№ 23'!H184+№27!H184+'№ 31'!H184+'№ 34'!H184+'№ 41'!H184</f>
        <v>193.84</v>
      </c>
      <c r="I184" s="192">
        <f>№2!I184+№5!I184+'№ 6'!I184+№14!I184+'№ 20'!I184+'№ 23'!I184+№27!I184+'№ 31'!I184+'№ 34'!I184+'№ 41'!I184</f>
        <v>72.823999999999998</v>
      </c>
      <c r="J184" s="192">
        <f>№2!J184+№5!J184+'№ 6'!J184+№14!J184+'№ 20'!J184+'№ 23'!J184+№27!J184+'№ 31'!J184+'№ 34'!J184+'№ 41'!J184</f>
        <v>0</v>
      </c>
      <c r="K184" s="192">
        <f>№2!K184+№5!K184+'№ 6'!K184+№14!K184+'№ 20'!K184+'№ 23'!K184+№27!K184+'№ 31'!K184+'№ 34'!K184+'№ 41'!K184</f>
        <v>0</v>
      </c>
      <c r="L184" s="194">
        <f>SUM(F184:K184)</f>
        <v>389.57100000000003</v>
      </c>
      <c r="M184" s="194">
        <f>L184/6</f>
        <v>64.929000000000002</v>
      </c>
      <c r="N184" s="192">
        <f>№2!N184+№5!N184+'№ 6'!N184+№14!N184+'№ 20'!N184+'№ 23'!N184+№27!N184+'№ 31'!N184+'№ 34'!N184+'№ 41'!N184</f>
        <v>0</v>
      </c>
      <c r="O184" s="192">
        <f>№2!O184+№5!O184+'№ 6'!O184+№14!O184+'№ 20'!O184+'№ 23'!O184+№27!O184+'№ 31'!O184+'№ 34'!O184+'№ 41'!O184</f>
        <v>0</v>
      </c>
      <c r="P184" s="192">
        <f>№2!P184+№5!P184+'№ 6'!P184+№14!P184+'№ 20'!P184+'№ 23'!P184+№27!P184+'№ 31'!P184+'№ 34'!P184+'№ 41'!P184</f>
        <v>0</v>
      </c>
      <c r="Q184" s="192">
        <f>№2!Q184+№5!Q184+'№ 6'!Q184+№14!Q184+'№ 20'!Q184+'№ 23'!Q184+№27!Q184+'№ 31'!Q184+'№ 34'!Q184+'№ 41'!Q184</f>
        <v>0</v>
      </c>
      <c r="R184" s="192">
        <f>№2!R184+№5!R184+'№ 6'!R184+№14!R184+'№ 20'!R184+'№ 23'!R184+№27!R184+'№ 31'!R184+'№ 34'!R184+'№ 41'!R184</f>
        <v>0</v>
      </c>
      <c r="S184" s="192">
        <f>№2!S184+№5!S184+'№ 6'!S184+№14!S184+'№ 20'!S184+'№ 23'!S184+№27!S184+'№ 31'!S184+'№ 34'!S184+'№ 41'!S184</f>
        <v>448.71600000000001</v>
      </c>
      <c r="T184" s="194">
        <f>SUM(N184:S184)</f>
        <v>448.71600000000001</v>
      </c>
      <c r="U184" s="194">
        <f>T184+L184</f>
        <v>838.28700000000003</v>
      </c>
      <c r="V184" s="194">
        <f>№2!V184+№5!V184+'№ 6'!V184+№14!V184+'№ 20'!V184+'№ 23'!V184+№27!V184+'№ 31'!V184+'№ 34'!V184+'№ 41'!V184</f>
        <v>838.28700000000003</v>
      </c>
      <c r="W184" s="193">
        <f>V184-U184</f>
        <v>0</v>
      </c>
    </row>
    <row r="185" spans="1:24" s="185" customFormat="1" ht="18" customHeight="1">
      <c r="A185" s="610"/>
      <c r="B185" s="587"/>
      <c r="C185" s="588"/>
      <c r="D185" s="178" t="s">
        <v>117</v>
      </c>
      <c r="E185" s="179">
        <f>№2!E185+№5!E185+'№ 6'!E185+№14!E185+'№ 20'!E185+'№ 23'!E185+№27!E185+'№ 31'!E185+'№ 34'!E185+'№ 41'!E185</f>
        <v>0</v>
      </c>
      <c r="F185" s="179">
        <f>№2!F185+№5!F185+'№ 6'!F185+№14!F185+'№ 20'!F185+'№ 23'!F185+№27!F185+'№ 31'!F185+'№ 34'!F185+'№ 41'!F185</f>
        <v>0</v>
      </c>
      <c r="G185" s="179">
        <f>№2!G185+№5!G185+'№ 6'!G185+№14!G185+'№ 20'!G185+'№ 23'!G185+№27!G185+'№ 31'!G185+'№ 34'!G185+'№ 41'!G185</f>
        <v>48.2</v>
      </c>
      <c r="H185" s="179">
        <f>№2!H185+№5!H185+'№ 6'!H185+№14!H185+'№ 20'!H185+'№ 23'!H185+№27!H185+'№ 31'!H185+'№ 34'!H185+'№ 41'!H185</f>
        <v>60.3</v>
      </c>
      <c r="I185" s="179">
        <f>№2!I185+№5!I185+'№ 6'!I185+№14!I185+'№ 20'!I185+'№ 23'!I185+№27!I185+'№ 31'!I185+'№ 34'!I185+'№ 41'!I185</f>
        <v>27.7</v>
      </c>
      <c r="J185" s="179">
        <f>№2!J185+№5!J185+'№ 6'!J185+№14!J185+'№ 20'!J185+'№ 23'!J185+№27!J185+'№ 31'!J185+'№ 34'!J185+'№ 41'!J185</f>
        <v>0</v>
      </c>
      <c r="K185" s="179">
        <f>№2!K185+№5!K185+'№ 6'!K185+№14!K185+'№ 20'!K185+'№ 23'!K185+№27!K185+'№ 31'!K185+'№ 34'!K185+'№ 41'!K185</f>
        <v>0</v>
      </c>
      <c r="L185" s="215">
        <f>SUM(F185:K185)</f>
        <v>136.19999999999999</v>
      </c>
      <c r="M185" s="215">
        <f>L185/6</f>
        <v>22.7</v>
      </c>
      <c r="N185" s="179">
        <f>№2!N185+№5!N185+'№ 6'!N185+№14!N185+'№ 20'!N185+'№ 23'!N185+№27!N185+'№ 31'!N185+'№ 34'!N185+'№ 41'!N185</f>
        <v>0</v>
      </c>
      <c r="O185" s="179">
        <f>№2!O185+№5!O185+'№ 6'!O185+№14!O185+'№ 20'!O185+'№ 23'!O185+№27!O185+'№ 31'!O185+'№ 34'!O185+'№ 41'!O185</f>
        <v>0</v>
      </c>
      <c r="P185" s="179">
        <f>№2!P185+№5!P185+'№ 6'!P185+№14!P185+'№ 20'!P185+'№ 23'!P185+№27!P185+'№ 31'!P185+'№ 34'!P185+'№ 41'!P185</f>
        <v>0</v>
      </c>
      <c r="Q185" s="179">
        <f>№2!Q185+№5!Q185+'№ 6'!Q185+№14!Q185+'№ 20'!Q185+'№ 23'!Q185+№27!Q185+'№ 31'!Q185+'№ 34'!Q185+'№ 41'!Q185</f>
        <v>0</v>
      </c>
      <c r="R185" s="179">
        <f>№2!R185+№5!R185+'№ 6'!R185+№14!R185+'№ 20'!R185+'№ 23'!R185+№27!R185+'№ 31'!R185+'№ 34'!R185+'№ 41'!R185</f>
        <v>0</v>
      </c>
      <c r="S185" s="179">
        <f>№2!S185+№5!S185+'№ 6'!S185+№14!S185+'№ 20'!S185+'№ 23'!S185+№27!S185+'№ 31'!S185+'№ 34'!S185+'№ 41'!S185</f>
        <v>130.30000000000001</v>
      </c>
      <c r="T185" s="215">
        <f>SUM(N185:S185)</f>
        <v>130.30000000000001</v>
      </c>
      <c r="U185" s="215">
        <f>T185+L185</f>
        <v>266.5</v>
      </c>
      <c r="V185" s="179">
        <f>№2!V185+№5!V185+'№ 6'!V185+№14!V185+'№ 20'!V185+'№ 23'!V185+№27!V185+'№ 31'!V185+'№ 34'!V185+'№ 41'!V185</f>
        <v>275.7</v>
      </c>
      <c r="W185" s="184">
        <f>V185-U185</f>
        <v>9.1999999999999993</v>
      </c>
      <c r="X185" s="279">
        <f>U180-U185</f>
        <v>0</v>
      </c>
    </row>
    <row r="186" spans="1:24" s="185" customFormat="1" ht="18" customHeight="1">
      <c r="A186" s="610"/>
      <c r="B186" s="587"/>
      <c r="C186" s="588"/>
      <c r="D186" s="187" t="s">
        <v>27</v>
      </c>
      <c r="E186" s="188" t="e">
        <f t="shared" ref="E186:M186" si="184">E187/E185*1000</f>
        <v>#DIV/0!</v>
      </c>
      <c r="F186" s="188" t="e">
        <f t="shared" si="184"/>
        <v>#DIV/0!</v>
      </c>
      <c r="G186" s="188">
        <f t="shared" si="184"/>
        <v>3043.154</v>
      </c>
      <c r="H186" s="188">
        <f t="shared" si="184"/>
        <v>3201.6419999999998</v>
      </c>
      <c r="I186" s="188">
        <f t="shared" si="184"/>
        <v>3203.7910000000002</v>
      </c>
      <c r="J186" s="188" t="e">
        <f t="shared" si="184"/>
        <v>#DIV/0!</v>
      </c>
      <c r="K186" s="188" t="e">
        <f t="shared" si="184"/>
        <v>#DIV/0!</v>
      </c>
      <c r="L186" s="217">
        <f t="shared" si="184"/>
        <v>3145.99</v>
      </c>
      <c r="M186" s="217">
        <f t="shared" si="184"/>
        <v>3145.99</v>
      </c>
      <c r="N186" s="188" t="e">
        <f t="shared" ref="N186:S186" si="185">N187*1000/N185</f>
        <v>#DIV/0!</v>
      </c>
      <c r="O186" s="188" t="e">
        <f t="shared" si="185"/>
        <v>#DIV/0!</v>
      </c>
      <c r="P186" s="188" t="e">
        <f t="shared" si="185"/>
        <v>#DIV/0!</v>
      </c>
      <c r="Q186" s="188" t="e">
        <f t="shared" si="185"/>
        <v>#DIV/0!</v>
      </c>
      <c r="R186" s="188" t="e">
        <f t="shared" si="185"/>
        <v>#DIV/0!</v>
      </c>
      <c r="S186" s="188">
        <f t="shared" si="185"/>
        <v>3201.105</v>
      </c>
      <c r="T186" s="217">
        <f>T187/T185*1000</f>
        <v>3201.11</v>
      </c>
      <c r="U186" s="217">
        <f>U187/U185*1000</f>
        <v>3172.94</v>
      </c>
      <c r="V186" s="218">
        <f t="shared" ref="V186" si="186">V187*1000/V185</f>
        <v>3040.5770000000002</v>
      </c>
      <c r="W186" s="189">
        <f>W187/W185*1000</f>
        <v>-793.58699999999999</v>
      </c>
    </row>
    <row r="187" spans="1:24" s="176" customFormat="1" ht="18" customHeight="1">
      <c r="A187" s="610"/>
      <c r="B187" s="587"/>
      <c r="C187" s="588"/>
      <c r="D187" s="198" t="s">
        <v>25</v>
      </c>
      <c r="E187" s="199">
        <f>№2!E187+№5!E187+'№ 6'!E187+№14!E187+'№ 20'!E187+'№ 23'!E187+№27!E187+'№ 31'!E187+'№ 34'!E187+'№ 41'!E187</f>
        <v>0</v>
      </c>
      <c r="F187" s="199">
        <f>№2!F187+№5!F187+'№ 6'!F187+№14!F187+'№ 20'!F187+'№ 23'!F187+№27!F187+'№ 31'!F187+'№ 34'!F187+'№ 41'!F187</f>
        <v>0</v>
      </c>
      <c r="G187" s="199">
        <f>№2!G187+№5!G187+'№ 6'!G187+№14!G187+'№ 20'!G187+'№ 23'!G187+№27!G187+'№ 31'!G187+'№ 34'!G187+'№ 41'!G187</f>
        <v>146.68</v>
      </c>
      <c r="H187" s="199">
        <f>№2!H187+№5!H187+'№ 6'!H187+№14!H187+'№ 20'!H187+'№ 23'!H187+№27!H187+'№ 31'!H187+'№ 34'!H187+'№ 41'!H187</f>
        <v>193.059</v>
      </c>
      <c r="I187" s="199">
        <f>№2!I187+№5!I187+'№ 6'!I187+№14!I187+'№ 20'!I187+'№ 23'!I187+№27!I187+'№ 31'!I187+'№ 34'!I187+'№ 41'!I187</f>
        <v>88.745000000000005</v>
      </c>
      <c r="J187" s="199">
        <f>№2!J187+№5!J187+'№ 6'!J187+№14!J187+'№ 20'!J187+'№ 23'!J187+№27!J187+'№ 31'!J187+'№ 34'!J187+'№ 41'!J187</f>
        <v>0</v>
      </c>
      <c r="K187" s="199">
        <f>№2!K187+№5!K187+'№ 6'!K187+№14!K187+'№ 20'!K187+'№ 23'!K187+№27!K187+'№ 31'!K187+'№ 34'!K187+'№ 41'!K187</f>
        <v>0</v>
      </c>
      <c r="L187" s="199">
        <f>SUM(F187:K187)</f>
        <v>428.48399999999998</v>
      </c>
      <c r="M187" s="199">
        <f>L187/6</f>
        <v>71.414000000000001</v>
      </c>
      <c r="N187" s="199">
        <f>№2!N187+№5!N187+'№ 6'!N187+№14!N187+'№ 20'!N187+'№ 23'!N187+№27!N187+'№ 31'!N187+'№ 34'!N187+'№ 41'!N187</f>
        <v>0</v>
      </c>
      <c r="O187" s="199">
        <f>№2!O187+№5!O187+'№ 6'!O187+№14!O187+'№ 20'!O187+'№ 23'!O187+№27!O187+'№ 31'!O187+'№ 34'!O187+'№ 41'!O187</f>
        <v>0</v>
      </c>
      <c r="P187" s="199">
        <f>№2!P187+№5!P187+'№ 6'!P187+№14!P187+'№ 20'!P187+'№ 23'!P187+№27!P187+'№ 31'!P187+'№ 34'!P187+'№ 41'!P187</f>
        <v>0</v>
      </c>
      <c r="Q187" s="199">
        <f>№2!Q187+№5!Q187+'№ 6'!Q187+№14!Q187+'№ 20'!Q187+'№ 23'!Q187+№27!Q187+'№ 31'!Q187+'№ 34'!Q187+'№ 41'!Q187</f>
        <v>0</v>
      </c>
      <c r="R187" s="199">
        <f>№2!R187+№5!R187+'№ 6'!R187+№14!R187+'№ 20'!R187+'№ 23'!R187+№27!R187+'№ 31'!R187+'№ 34'!R187+'№ 41'!R187</f>
        <v>0</v>
      </c>
      <c r="S187" s="199">
        <f>№2!S187+№5!S187+'№ 6'!S187+№14!S187+'№ 20'!S187+'№ 23'!S187+№27!S187+'№ 31'!S187+'№ 34'!S187+'№ 41'!S187</f>
        <v>417.10399999999998</v>
      </c>
      <c r="T187" s="199">
        <f>SUM(N187:S187)</f>
        <v>417.10399999999998</v>
      </c>
      <c r="U187" s="199">
        <f>T187+L187</f>
        <v>845.58799999999997</v>
      </c>
      <c r="V187" s="199">
        <f>№2!V187+№5!V187+'№ 6'!V187+№14!V187+'№ 20'!V187+'№ 23'!V187+№27!V187+'№ 31'!V187+'№ 34'!V187+'№ 41'!V187</f>
        <v>838.28700000000003</v>
      </c>
      <c r="W187" s="221">
        <f>V187-U187</f>
        <v>-7.3010000000000002</v>
      </c>
      <c r="X187" s="176">
        <f>U182-U187</f>
        <v>0</v>
      </c>
    </row>
    <row r="188" spans="1:24" s="176" customFormat="1" ht="18" customHeight="1">
      <c r="A188" s="610"/>
      <c r="B188" s="587"/>
      <c r="C188" s="588"/>
      <c r="D188" s="201" t="s">
        <v>55</v>
      </c>
      <c r="E188" s="220"/>
      <c r="F188" s="199">
        <f>№2!F188+№5!F188+'№ 6'!F188+№14!F188+'№ 20'!F188+'№ 23'!F188+№27!F188+'№ 31'!F188+'№ 34'!F188+'№ 41'!F188</f>
        <v>0</v>
      </c>
      <c r="G188" s="199">
        <f>№2!G188+№5!G188+'№ 6'!G188+№14!G188+'№ 20'!G188+'№ 23'!G188+№27!G188+'№ 31'!G188+'№ 34'!G188+'№ 41'!G188</f>
        <v>0</v>
      </c>
      <c r="H188" s="199">
        <f>№2!H188+№5!H188+'№ 6'!H188+№14!H188+'№ 20'!H188+'№ 23'!H188+№27!H188+'№ 31'!H188+'№ 34'!H188+'№ 41'!H188</f>
        <v>0</v>
      </c>
      <c r="I188" s="199">
        <f>№2!I188+№5!I188+'№ 6'!I188+№14!I188+'№ 20'!I188+'№ 23'!I188+№27!I188+'№ 31'!I188+'№ 34'!I188+'№ 41'!I188</f>
        <v>0</v>
      </c>
      <c r="J188" s="199">
        <f>№2!J188+№5!J188+'№ 6'!J188+№14!J188+'№ 20'!J188+'№ 23'!J188+№27!J188+'№ 31'!J188+'№ 34'!J188+'№ 41'!J188</f>
        <v>0</v>
      </c>
      <c r="K188" s="199">
        <f>№2!K188+№5!K188+'№ 6'!K188+№14!K188+'№ 20'!K188+'№ 23'!K188+№27!K188+'№ 31'!K188+'№ 34'!K188+'№ 41'!K188</f>
        <v>0</v>
      </c>
      <c r="L188" s="199">
        <f>SUM(F188:K188)</f>
        <v>0</v>
      </c>
      <c r="M188" s="199">
        <f>L188/6</f>
        <v>0</v>
      </c>
      <c r="N188" s="199">
        <f>№2!N188+№5!N188+'№ 6'!N188+№14!N188+'№ 20'!N188+'№ 23'!N188+№27!N188+'№ 31'!N188+'№ 34'!N188+'№ 41'!N188</f>
        <v>0</v>
      </c>
      <c r="O188" s="199">
        <f>№2!O188+№5!O188+'№ 6'!O188+№14!O188+'№ 20'!O188+'№ 23'!O188+№27!O188+'№ 31'!O188+'№ 34'!O188+'№ 41'!O188</f>
        <v>0</v>
      </c>
      <c r="P188" s="199">
        <f>№2!P188+№5!P188+'№ 6'!P188+№14!P188+'№ 20'!P188+'№ 23'!P188+№27!P188+'№ 31'!P188+'№ 34'!P188+'№ 41'!P188</f>
        <v>0</v>
      </c>
      <c r="Q188" s="199">
        <f>№2!Q188+№5!Q188+'№ 6'!Q188+№14!Q188+'№ 20'!Q188+'№ 23'!Q188+№27!Q188+'№ 31'!Q188+'№ 34'!Q188+'№ 41'!Q188</f>
        <v>0</v>
      </c>
      <c r="R188" s="199">
        <f>№2!R188+№5!R188+'№ 6'!R188+№14!R188+'№ 20'!R188+'№ 23'!R188+№27!R188+'№ 31'!R188+'№ 34'!R188+'№ 41'!R188</f>
        <v>0</v>
      </c>
      <c r="S188" s="199">
        <f>№2!S188+№5!S188+'№ 6'!S188+№14!S188+'№ 20'!S188+'№ 23'!S188+№27!S188+'№ 31'!S188+'№ 34'!S188+'№ 41'!S188</f>
        <v>0</v>
      </c>
      <c r="T188" s="199">
        <f>SUM(N188:S188)</f>
        <v>0</v>
      </c>
      <c r="U188" s="199">
        <f>T188+L188</f>
        <v>0</v>
      </c>
      <c r="V188" s="199">
        <f>№2!V188+№5!V188+'№ 6'!V188+№14!V188+'№ 20'!V188+'№ 23'!V188+№27!V188+'№ 31'!V188+'№ 34'!V188+'№ 41'!V188</f>
        <v>0</v>
      </c>
      <c r="W188" s="221">
        <f>V188-U188</f>
        <v>0</v>
      </c>
      <c r="X188" s="176">
        <f>U183-U188</f>
        <v>0</v>
      </c>
    </row>
    <row r="189" spans="1:24" s="176" customFormat="1" ht="18" customHeight="1">
      <c r="A189" s="610"/>
      <c r="B189" s="587"/>
      <c r="C189" s="588"/>
      <c r="D189" s="201" t="s">
        <v>24</v>
      </c>
      <c r="E189" s="220"/>
      <c r="F189" s="199">
        <f>№2!F189+№5!F189+'№ 6'!F189+№14!F189+'№ 20'!F189+'№ 23'!F189+№27!F189+'№ 31'!F189+'№ 34'!F189+'№ 41'!F189</f>
        <v>0</v>
      </c>
      <c r="G189" s="199">
        <f>№2!G189+№5!G189+'№ 6'!G189+№14!G189+'№ 20'!G189+'№ 23'!G189+№27!G189+'№ 31'!G189+'№ 34'!G189+'№ 41'!G189</f>
        <v>146.68</v>
      </c>
      <c r="H189" s="199">
        <f>№2!H189+№5!H189+'№ 6'!H189+№14!H189+'№ 20'!H189+'№ 23'!H189+№27!H189+'№ 31'!H189+'№ 34'!H189+'№ 41'!H189</f>
        <v>193.059</v>
      </c>
      <c r="I189" s="199">
        <f>№2!I189+№5!I189+'№ 6'!I189+№14!I189+'№ 20'!I189+'№ 23'!I189+№27!I189+'№ 31'!I189+'№ 34'!I189+'№ 41'!I189</f>
        <v>88.745000000000005</v>
      </c>
      <c r="J189" s="199">
        <f>№2!J189+№5!J189+'№ 6'!J189+№14!J189+'№ 20'!J189+'№ 23'!J189+№27!J189+'№ 31'!J189+'№ 34'!J189+'№ 41'!J189</f>
        <v>0</v>
      </c>
      <c r="K189" s="199">
        <f>№2!K189+№5!K189+'№ 6'!K189+№14!K189+'№ 20'!K189+'№ 23'!K189+№27!K189+'№ 31'!K189+'№ 34'!K189+'№ 41'!K189</f>
        <v>0</v>
      </c>
      <c r="L189" s="199">
        <f>SUM(F189:K189)</f>
        <v>428.48399999999998</v>
      </c>
      <c r="M189" s="199">
        <f>L189/6</f>
        <v>71.414000000000001</v>
      </c>
      <c r="N189" s="199">
        <f>№2!N189+№5!N189+'№ 6'!N189+№14!N189+'№ 20'!N189+'№ 23'!N189+№27!N189+'№ 31'!N189+'№ 34'!N189+'№ 41'!N189</f>
        <v>0</v>
      </c>
      <c r="O189" s="199">
        <f>№2!O189+№5!O189+'№ 6'!O189+№14!O189+'№ 20'!O189+'№ 23'!O189+№27!O189+'№ 31'!O189+'№ 34'!O189+'№ 41'!O189</f>
        <v>0</v>
      </c>
      <c r="P189" s="199">
        <f>№2!P189+№5!P189+'№ 6'!P189+№14!P189+'№ 20'!P189+'№ 23'!P189+№27!P189+'№ 31'!P189+'№ 34'!P189+'№ 41'!P189</f>
        <v>0</v>
      </c>
      <c r="Q189" s="199">
        <f>№2!Q189+№5!Q189+'№ 6'!Q189+№14!Q189+'№ 20'!Q189+'№ 23'!Q189+№27!Q189+'№ 31'!Q189+'№ 34'!Q189+'№ 41'!Q189</f>
        <v>0</v>
      </c>
      <c r="R189" s="199">
        <f>№2!R189+№5!R189+'№ 6'!R189+№14!R189+'№ 20'!R189+'№ 23'!R189+№27!R189+'№ 31'!R189+'№ 34'!R189+'№ 41'!R189</f>
        <v>0</v>
      </c>
      <c r="S189" s="199">
        <f>№2!S189+№5!S189+'№ 6'!S189+№14!S189+'№ 20'!S189+'№ 23'!S189+№27!S189+'№ 31'!S189+'№ 34'!S189+'№ 41'!S189</f>
        <v>417.10399999999998</v>
      </c>
      <c r="T189" s="199">
        <f>SUM(N189:S189)</f>
        <v>417.10399999999998</v>
      </c>
      <c r="U189" s="199">
        <f>T189+L189</f>
        <v>845.58799999999997</v>
      </c>
      <c r="V189" s="199">
        <f>№2!V189+№5!V189+'№ 6'!V189+№14!V189+'№ 20'!V189+'№ 23'!V189+№27!V189+'№ 31'!V189+'№ 34'!V189+'№ 41'!V189</f>
        <v>838.28700000000003</v>
      </c>
      <c r="W189" s="221">
        <f>V189-U189</f>
        <v>-7.3010000000000002</v>
      </c>
      <c r="X189" s="176">
        <f>U184-U189</f>
        <v>-7.3010000000000002</v>
      </c>
    </row>
    <row r="190" spans="1:24" s="205" customFormat="1" ht="18" customHeight="1">
      <c r="A190" s="610"/>
      <c r="B190" s="587"/>
      <c r="C190" s="588"/>
      <c r="D190" s="202" t="s">
        <v>29</v>
      </c>
      <c r="E190" s="203"/>
      <c r="F190" s="203">
        <f t="shared" ref="F190:K190" si="187">F184</f>
        <v>0</v>
      </c>
      <c r="G190" s="203">
        <f t="shared" si="187"/>
        <v>122.907</v>
      </c>
      <c r="H190" s="203">
        <f t="shared" si="187"/>
        <v>193.84</v>
      </c>
      <c r="I190" s="203">
        <f t="shared" si="187"/>
        <v>72.823999999999998</v>
      </c>
      <c r="J190" s="203">
        <f t="shared" si="187"/>
        <v>0</v>
      </c>
      <c r="K190" s="203">
        <f t="shared" si="187"/>
        <v>0</v>
      </c>
      <c r="L190" s="203">
        <f>SUM(F190:K190)</f>
        <v>389.57100000000003</v>
      </c>
      <c r="M190" s="203">
        <f>L190/6</f>
        <v>64.929000000000002</v>
      </c>
      <c r="N190" s="203">
        <f t="shared" ref="N190:S190" si="188">N184+N183</f>
        <v>0</v>
      </c>
      <c r="O190" s="203">
        <f t="shared" si="188"/>
        <v>0</v>
      </c>
      <c r="P190" s="203">
        <f t="shared" si="188"/>
        <v>0</v>
      </c>
      <c r="Q190" s="203">
        <f t="shared" si="188"/>
        <v>0</v>
      </c>
      <c r="R190" s="203">
        <f t="shared" si="188"/>
        <v>0</v>
      </c>
      <c r="S190" s="203">
        <f t="shared" si="188"/>
        <v>448.71600000000001</v>
      </c>
      <c r="T190" s="203">
        <f>SUM(N190:S190)</f>
        <v>448.71600000000001</v>
      </c>
      <c r="U190" s="203">
        <f>T190+L190</f>
        <v>838.28700000000003</v>
      </c>
      <c r="V190" s="203">
        <f>V187</f>
        <v>838.28700000000003</v>
      </c>
      <c r="W190" s="203">
        <f>V190-U190</f>
        <v>0</v>
      </c>
    </row>
    <row r="191" spans="1:24" s="205" customFormat="1" ht="18" customHeight="1">
      <c r="A191" s="610"/>
      <c r="B191" s="587"/>
      <c r="C191" s="588"/>
      <c r="D191" s="202" t="s">
        <v>30</v>
      </c>
      <c r="E191" s="203"/>
      <c r="F191" s="203">
        <f t="shared" ref="F191:K191" si="189">F187-F190</f>
        <v>0</v>
      </c>
      <c r="G191" s="203">
        <f t="shared" si="189"/>
        <v>23.773</v>
      </c>
      <c r="H191" s="203">
        <f t="shared" si="189"/>
        <v>-0.78100000000000003</v>
      </c>
      <c r="I191" s="203">
        <f t="shared" si="189"/>
        <v>15.920999999999999</v>
      </c>
      <c r="J191" s="203">
        <f t="shared" si="189"/>
        <v>0</v>
      </c>
      <c r="K191" s="203">
        <f t="shared" si="189"/>
        <v>0</v>
      </c>
      <c r="L191" s="203"/>
      <c r="M191" s="203"/>
      <c r="N191" s="203">
        <f t="shared" ref="N191:S191" si="190">N187-N190</f>
        <v>0</v>
      </c>
      <c r="O191" s="203">
        <f t="shared" si="190"/>
        <v>0</v>
      </c>
      <c r="P191" s="203">
        <f t="shared" si="190"/>
        <v>0</v>
      </c>
      <c r="Q191" s="203">
        <f t="shared" si="190"/>
        <v>0</v>
      </c>
      <c r="R191" s="203">
        <f t="shared" si="190"/>
        <v>0</v>
      </c>
      <c r="S191" s="203">
        <f t="shared" si="190"/>
        <v>-31.611999999999998</v>
      </c>
      <c r="T191" s="203"/>
      <c r="U191" s="203"/>
      <c r="V191" s="203"/>
      <c r="W191" s="203"/>
    </row>
    <row r="192" spans="1:24" s="205" customFormat="1" ht="18" customHeight="1">
      <c r="A192" s="610"/>
      <c r="B192" s="589"/>
      <c r="C192" s="590"/>
      <c r="D192" s="202" t="s">
        <v>31</v>
      </c>
      <c r="E192" s="203"/>
      <c r="F192" s="203">
        <f>F191</f>
        <v>0</v>
      </c>
      <c r="G192" s="203">
        <f>G191+F192</f>
        <v>23.773</v>
      </c>
      <c r="H192" s="203">
        <f>H191+G192</f>
        <v>22.992000000000001</v>
      </c>
      <c r="I192" s="203">
        <f>I191+H192</f>
        <v>38.912999999999997</v>
      </c>
      <c r="J192" s="203">
        <f>J191+I192</f>
        <v>38.912999999999997</v>
      </c>
      <c r="K192" s="203">
        <f>K191+J192</f>
        <v>38.912999999999997</v>
      </c>
      <c r="L192" s="203"/>
      <c r="M192" s="203"/>
      <c r="N192" s="203">
        <f>N191+K192</f>
        <v>38.912999999999997</v>
      </c>
      <c r="O192" s="203">
        <f>O191+N192</f>
        <v>38.912999999999997</v>
      </c>
      <c r="P192" s="203">
        <f>P191+O192</f>
        <v>38.912999999999997</v>
      </c>
      <c r="Q192" s="203">
        <f>Q191+P192</f>
        <v>38.912999999999997</v>
      </c>
      <c r="R192" s="203">
        <f>R191+Q192</f>
        <v>38.912999999999997</v>
      </c>
      <c r="S192" s="203">
        <f>S191+R192</f>
        <v>7.3010000000000002</v>
      </c>
      <c r="T192" s="203"/>
      <c r="U192" s="203"/>
      <c r="V192" s="203"/>
      <c r="W192" s="203"/>
    </row>
    <row r="193" spans="1:24" s="186" customFormat="1" ht="18" customHeight="1">
      <c r="A193" s="610"/>
      <c r="B193" s="585" t="s">
        <v>69</v>
      </c>
      <c r="C193" s="586"/>
      <c r="D193" s="178" t="s">
        <v>105</v>
      </c>
      <c r="E193" s="179"/>
      <c r="F193" s="180">
        <f>№2!F193+№5!F193+'№ 6'!F193+№14!F193+'№ 20'!F193+'№ 23'!F193+№27!F193+'№ 31'!F193+'№ 34'!F193+'№ 41'!F193</f>
        <v>23.6</v>
      </c>
      <c r="G193" s="180">
        <f>№2!G193+№5!G193+'№ 6'!G193+№14!G193+'№ 20'!G193+'№ 23'!G193+№27!G193+'№ 31'!G193+'№ 34'!G193+'№ 41'!G193</f>
        <v>25.2</v>
      </c>
      <c r="H193" s="180">
        <f>№2!H193+№5!H193+'№ 6'!H193+№14!H193+'№ 20'!H193+'№ 23'!H193+№27!H193+'№ 31'!H193+'№ 34'!H193+'№ 41'!H193</f>
        <v>12.1</v>
      </c>
      <c r="I193" s="180">
        <f>№2!I193+№5!I193+'№ 6'!I193+№14!I193+'№ 20'!I193+'№ 23'!I193+№27!I193+'№ 31'!I193+'№ 34'!I193+'№ 41'!I193</f>
        <v>0</v>
      </c>
      <c r="J193" s="180">
        <f>№2!J193+№5!J193+'№ 6'!J193+№14!J193+'№ 20'!J193+'№ 23'!J193+№27!J193+'№ 31'!J193+'№ 34'!J193+'№ 41'!J193</f>
        <v>0</v>
      </c>
      <c r="K193" s="180">
        <f>№2!K193+№5!K193+'№ 6'!K193+№14!K193+'№ 20'!K193+'№ 23'!K193+№27!K193+'№ 31'!K193+'№ 34'!K193+'№ 41'!K193</f>
        <v>0</v>
      </c>
      <c r="L193" s="215">
        <f>SUM(F193:K193)</f>
        <v>60.9</v>
      </c>
      <c r="M193" s="215">
        <f>L193/6</f>
        <v>10.199999999999999</v>
      </c>
      <c r="N193" s="180">
        <f>№2!N193+№5!N193+'№ 6'!N193+№14!N193+'№ 20'!N193+'№ 23'!N193+№27!N193+'№ 31'!N193+'№ 34'!N193+'№ 41'!N193</f>
        <v>0</v>
      </c>
      <c r="O193" s="180">
        <f>№2!O193+№5!O193+'№ 6'!O193+№14!O193+'№ 20'!O193+'№ 23'!O193+№27!O193+'№ 31'!O193+'№ 34'!O193+'№ 41'!O193</f>
        <v>0</v>
      </c>
      <c r="P193" s="180">
        <f>№2!P193+№5!P193+'№ 6'!P193+№14!P193+'№ 20'!P193+'№ 23'!P193+№27!P193+'№ 31'!P193+'№ 34'!P193+'№ 41'!P193</f>
        <v>0</v>
      </c>
      <c r="Q193" s="180">
        <f>№2!Q193+№5!Q193+'№ 6'!Q193+№14!Q193+'№ 20'!Q193+'№ 23'!Q193+№27!Q193+'№ 31'!Q193+'№ 34'!Q193+'№ 41'!Q193</f>
        <v>0</v>
      </c>
      <c r="R193" s="180">
        <f>№2!R193+№5!R193+'№ 6'!R193+№14!R193+'№ 20'!R193+'№ 23'!R193+№27!R193+'№ 31'!R193+'№ 34'!R193+'№ 41'!R193</f>
        <v>11.7</v>
      </c>
      <c r="S193" s="180">
        <f>№2!S193+№5!S193+'№ 6'!S193+№14!S193+'№ 20'!S193+'№ 23'!S193+№27!S193+'№ 31'!S193+'№ 34'!S193+'№ 41'!S193</f>
        <v>38.799999999999997</v>
      </c>
      <c r="T193" s="215">
        <f>SUM(N193:S193)</f>
        <v>50.5</v>
      </c>
      <c r="U193" s="215">
        <f>T193+L193</f>
        <v>111.4</v>
      </c>
      <c r="V193" s="233">
        <f>№2!V193+№5!V193+'№ 6'!V193+№14!V193+'№ 20'!V193+'№ 23'!V193+№27!V193+'№ 31'!V193+'№ 34'!V193+'№ 41'!V193</f>
        <v>0</v>
      </c>
      <c r="W193" s="184"/>
      <c r="X193" s="185"/>
    </row>
    <row r="194" spans="1:24" s="186" customFormat="1" ht="18" customHeight="1">
      <c r="A194" s="610"/>
      <c r="B194" s="587"/>
      <c r="C194" s="588"/>
      <c r="D194" s="178" t="s">
        <v>109</v>
      </c>
      <c r="E194" s="179"/>
      <c r="F194" s="180">
        <f>№2!F194+№5!F194+'№ 6'!F194+№14!F194+'№ 20'!F194+'№ 23'!F194+№27!F194+'№ 31'!F194+'№ 34'!F194+'№ 41'!F194</f>
        <v>35.4</v>
      </c>
      <c r="G194" s="180">
        <f>№2!G194+№5!G194+'№ 6'!G194+№14!G194+'№ 20'!G194+'№ 23'!G194+№27!G194+'№ 31'!G194+'№ 34'!G194+'№ 41'!G194</f>
        <v>22.2</v>
      </c>
      <c r="H194" s="180">
        <f>№2!H194+№5!H194+'№ 6'!H194+№14!H194+'№ 20'!H194+'№ 23'!H194+№27!H194+'№ 31'!H194+'№ 34'!H194+'№ 41'!H194</f>
        <v>15.5</v>
      </c>
      <c r="I194" s="180">
        <f>№2!I194+№5!I194+'№ 6'!I194+№14!I194+'№ 20'!I194+'№ 23'!I194+№27!I194+'№ 31'!I194+'№ 34'!I194+'№ 41'!I194</f>
        <v>0</v>
      </c>
      <c r="J194" s="180">
        <f>№2!J194+№5!J194+'№ 6'!J194+№14!J194+'№ 20'!J194+'№ 23'!J194+№27!J194+'№ 31'!J194+'№ 34'!J194+'№ 41'!J194</f>
        <v>0</v>
      </c>
      <c r="K194" s="180">
        <f>№2!K194+№5!K194+'№ 6'!K194+№14!K194+'№ 20'!K194+'№ 23'!K194+№27!K194+'№ 31'!K194+'№ 34'!K194+'№ 41'!K194</f>
        <v>0</v>
      </c>
      <c r="L194" s="215">
        <f>SUM(F194:K194)</f>
        <v>73.099999999999994</v>
      </c>
      <c r="M194" s="215">
        <f>L194/6</f>
        <v>12.2</v>
      </c>
      <c r="N194" s="180">
        <f>№2!N194+№5!N194+'№ 6'!N194+№14!N194+'№ 20'!N194+'№ 23'!N194+№27!N194+'№ 31'!N194+'№ 34'!N194+'№ 41'!N194</f>
        <v>0</v>
      </c>
      <c r="O194" s="180">
        <f>№2!O194+№5!O194+'№ 6'!O194+№14!O194+'№ 20'!O194+'№ 23'!O194+№27!O194+'№ 31'!O194+'№ 34'!O194+'№ 41'!O194</f>
        <v>0</v>
      </c>
      <c r="P194" s="180">
        <f>№2!P194+№5!P194+'№ 6'!P194+№14!P194+'№ 20'!P194+'№ 23'!P194+№27!P194+'№ 31'!P194+'№ 34'!P194+'№ 41'!P194</f>
        <v>0</v>
      </c>
      <c r="Q194" s="180">
        <f>№2!Q194+№5!Q194+'№ 6'!Q194+№14!Q194+'№ 20'!Q194+'№ 23'!Q194+№27!Q194+'№ 31'!Q194+'№ 34'!Q194+'№ 41'!Q194</f>
        <v>0</v>
      </c>
      <c r="R194" s="180">
        <f>№2!R194+№5!R194+'№ 6'!R194+№14!R194+'№ 20'!R194+'№ 23'!R194+№27!R194+'№ 31'!R194+'№ 34'!R194+'№ 41'!R194</f>
        <v>29.6</v>
      </c>
      <c r="S194" s="180">
        <f>№2!S194+№5!S194+'№ 6'!S194+№14!S194+'№ 20'!S194+'№ 23'!S194+№27!S194+'№ 31'!S194+'№ 34'!S194+'№ 41'!S194</f>
        <v>38.799999999999997</v>
      </c>
      <c r="T194" s="215">
        <f>SUM(N194:S194)</f>
        <v>68.400000000000006</v>
      </c>
      <c r="U194" s="215">
        <f>T194+L194</f>
        <v>141.5</v>
      </c>
      <c r="V194" s="233">
        <f>№2!V194+№5!V194+'№ 6'!V194+№14!V194+'№ 20'!V194+'№ 23'!V194+№27!V194+'№ 31'!V194+'№ 34'!V194+'№ 41'!V194</f>
        <v>129.30000000000001</v>
      </c>
      <c r="W194" s="184"/>
      <c r="X194" s="185"/>
    </row>
    <row r="195" spans="1:24" s="186" customFormat="1" ht="18" customHeight="1">
      <c r="A195" s="610"/>
      <c r="B195" s="587"/>
      <c r="C195" s="588"/>
      <c r="D195" s="178" t="s">
        <v>116</v>
      </c>
      <c r="E195" s="179"/>
      <c r="F195" s="180">
        <f>№2!F195+№5!F195+'№ 6'!F195+№14!F195+'№ 20'!F195+'№ 23'!F195+№27!F195+'№ 31'!F195+'№ 34'!F195+'№ 41'!F195</f>
        <v>29.1</v>
      </c>
      <c r="G195" s="180">
        <f>№2!G195+№5!G195+'№ 6'!G195+№14!G195+'№ 20'!G195+'№ 23'!G195+№27!G195+'№ 31'!G195+'№ 34'!G195+'№ 41'!G195</f>
        <v>29.1</v>
      </c>
      <c r="H195" s="180">
        <f>№2!H195+№5!H195+'№ 6'!H195+№14!H195+'№ 20'!H195+'№ 23'!H195+№27!H195+'№ 31'!H195+'№ 34'!H195+'№ 41'!H195</f>
        <v>12.7</v>
      </c>
      <c r="I195" s="180">
        <f>№2!I195+№5!I195+'№ 6'!I195+№14!I195+'№ 20'!I195+'№ 23'!I195+№27!I195+'№ 31'!I195+'№ 34'!I195+'№ 41'!I195</f>
        <v>0</v>
      </c>
      <c r="J195" s="180">
        <f>№2!J195+№5!J195+'№ 6'!J195+№14!J195+'№ 20'!J195+'№ 23'!J195+№27!J195+'№ 31'!J195+'№ 34'!J195+'№ 41'!J195</f>
        <v>0</v>
      </c>
      <c r="K195" s="180">
        <f>№2!K195+№5!K195+'№ 6'!K195+№14!K195+'№ 20'!K195+'№ 23'!K195+№27!K195+'№ 31'!K195+'№ 34'!K195+'№ 41'!K195</f>
        <v>0</v>
      </c>
      <c r="L195" s="215">
        <f>SUM(F195:K195)</f>
        <v>70.900000000000006</v>
      </c>
      <c r="M195" s="215">
        <f>L195/6</f>
        <v>11.8</v>
      </c>
      <c r="N195" s="180">
        <f>№2!N195+№5!N195+'№ 6'!N195+№14!N195+'№ 20'!N195+'№ 23'!N195+№27!N195+'№ 31'!N195+'№ 34'!N195+'№ 41'!N195</f>
        <v>0</v>
      </c>
      <c r="O195" s="180">
        <f>№2!O195+№5!O195+'№ 6'!O195+№14!O195+'№ 20'!O195+'№ 23'!O195+№27!O195+'№ 31'!O195+'№ 34'!O195+'№ 41'!O195</f>
        <v>0</v>
      </c>
      <c r="P195" s="180">
        <f>№2!P195+№5!P195+'№ 6'!P195+№14!P195+'№ 20'!P195+'№ 23'!P195+№27!P195+'№ 31'!P195+'№ 34'!P195+'№ 41'!P195</f>
        <v>0</v>
      </c>
      <c r="Q195" s="180">
        <f>№2!Q195+№5!Q195+'№ 6'!Q195+№14!Q195+'№ 20'!Q195+'№ 23'!Q195+№27!Q195+'№ 31'!Q195+'№ 34'!Q195+'№ 41'!Q195</f>
        <v>0</v>
      </c>
      <c r="R195" s="180">
        <f>№2!R195+№5!R195+'№ 6'!R195+№14!R195+'№ 20'!R195+'№ 23'!R195+№27!R195+'№ 31'!R195+'№ 34'!R195+'№ 41'!R195</f>
        <v>31.8</v>
      </c>
      <c r="S195" s="180">
        <f>№2!S195+№5!S195+'№ 6'!S195+№14!S195+'№ 20'!S195+'№ 23'!S195+№27!S195+'№ 31'!S195+'№ 34'!S195+'№ 41'!S195</f>
        <v>102.4</v>
      </c>
      <c r="T195" s="215">
        <f>SUM(N195:S195)</f>
        <v>134.19999999999999</v>
      </c>
      <c r="U195" s="215">
        <f>T195+L195</f>
        <v>205.1</v>
      </c>
      <c r="V195" s="233">
        <f>№2!V195+№5!V195+'№ 6'!V195+№14!V195+'№ 20'!V195+'№ 23'!V195+№27!V195+'№ 31'!V195+'№ 34'!V195+'№ 41'!V195</f>
        <v>210.3</v>
      </c>
      <c r="W195" s="184">
        <f>V195-U195</f>
        <v>5.2</v>
      </c>
      <c r="X195" s="185"/>
    </row>
    <row r="196" spans="1:24" s="190" customFormat="1" ht="18" customHeight="1">
      <c r="A196" s="610"/>
      <c r="B196" s="587"/>
      <c r="C196" s="588"/>
      <c r="D196" s="187" t="s">
        <v>27</v>
      </c>
      <c r="E196" s="188"/>
      <c r="F196" s="188">
        <f t="shared" ref="F196:K196" si="191">F197*1000/F195</f>
        <v>1441.134</v>
      </c>
      <c r="G196" s="188">
        <f t="shared" si="191"/>
        <v>1443.54</v>
      </c>
      <c r="H196" s="188">
        <f t="shared" si="191"/>
        <v>1446.22</v>
      </c>
      <c r="I196" s="188" t="e">
        <f t="shared" si="191"/>
        <v>#DIV/0!</v>
      </c>
      <c r="J196" s="188" t="e">
        <f t="shared" si="191"/>
        <v>#DIV/0!</v>
      </c>
      <c r="K196" s="188" t="e">
        <f t="shared" si="191"/>
        <v>#DIV/0!</v>
      </c>
      <c r="L196" s="217">
        <f>L197/L195*1000</f>
        <v>1443.03</v>
      </c>
      <c r="M196" s="217">
        <f>M197/M195*1000</f>
        <v>1445.08</v>
      </c>
      <c r="N196" s="188" t="e">
        <f t="shared" ref="N196:S196" si="192">N197*1000/N195</f>
        <v>#DIV/0!</v>
      </c>
      <c r="O196" s="188" t="e">
        <f t="shared" si="192"/>
        <v>#DIV/0!</v>
      </c>
      <c r="P196" s="188" t="e">
        <f t="shared" si="192"/>
        <v>#DIV/0!</v>
      </c>
      <c r="Q196" s="188" t="e">
        <f t="shared" si="192"/>
        <v>#DIV/0!</v>
      </c>
      <c r="R196" s="188">
        <f t="shared" si="192"/>
        <v>2017.6420000000001</v>
      </c>
      <c r="S196" s="188">
        <f t="shared" si="192"/>
        <v>2017.9880000000001</v>
      </c>
      <c r="T196" s="217">
        <f>T197/T195*1000</f>
        <v>2017.91</v>
      </c>
      <c r="U196" s="217">
        <f>U197/U195*1000</f>
        <v>1819.18</v>
      </c>
      <c r="V196" s="218">
        <f t="shared" ref="V196" si="193">V197*1000/V195</f>
        <v>1857.038</v>
      </c>
      <c r="W196" s="189">
        <f>W197/W195*1000</f>
        <v>3350.192</v>
      </c>
      <c r="X196" s="225"/>
    </row>
    <row r="197" spans="1:24" s="196" customFormat="1" ht="18" customHeight="1">
      <c r="A197" s="610"/>
      <c r="B197" s="587"/>
      <c r="C197" s="588"/>
      <c r="D197" s="191" t="s">
        <v>0</v>
      </c>
      <c r="E197" s="192"/>
      <c r="F197" s="192">
        <f>№2!F197+№5!F197+'№ 6'!F197+№14!F197+'№ 20'!F197+'№ 23'!F197+№27!F197+'№ 31'!F197+'№ 34'!F197+'№ 41'!F197</f>
        <v>41.936999999999998</v>
      </c>
      <c r="G197" s="192">
        <f>№2!G197+№5!G197+'№ 6'!G197+№14!G197+'№ 20'!G197+'№ 23'!G197+№27!G197+'№ 31'!G197+'№ 34'!G197+'№ 41'!G197</f>
        <v>42.006999999999998</v>
      </c>
      <c r="H197" s="192">
        <f>№2!H197+№5!H197+'№ 6'!H197+№14!H197+'№ 20'!H197+'№ 23'!H197+№27!H197+'№ 31'!H197+'№ 34'!H197+'№ 41'!H197</f>
        <v>18.367000000000001</v>
      </c>
      <c r="I197" s="192">
        <f>№2!I197+№5!I197+'№ 6'!I197+№14!I197+'№ 20'!I197+'№ 23'!I197+№27!I197+'№ 31'!I197+'№ 34'!I197+'№ 41'!I197</f>
        <v>0</v>
      </c>
      <c r="J197" s="192">
        <f>№2!J197+№5!J197+'№ 6'!J197+№14!J197+'№ 20'!J197+'№ 23'!J197+№27!J197+'№ 31'!J197+'№ 34'!J197+'№ 41'!J197</f>
        <v>0</v>
      </c>
      <c r="K197" s="192">
        <f>№2!K197+№5!K197+'№ 6'!K197+№14!K197+'№ 20'!K197+'№ 23'!K197+№27!K197+'№ 31'!K197+'№ 34'!K197+'№ 41'!K197</f>
        <v>0</v>
      </c>
      <c r="L197" s="194">
        <f>SUM(F197:K197)</f>
        <v>102.31100000000001</v>
      </c>
      <c r="M197" s="194">
        <f>L197/6</f>
        <v>17.052</v>
      </c>
      <c r="N197" s="192">
        <f>№2!N197+№5!N197+'№ 6'!N197+№14!N197+'№ 20'!N197+'№ 23'!N197+№27!N197+'№ 31'!N197+'№ 34'!N197+'№ 41'!N197</f>
        <v>0</v>
      </c>
      <c r="O197" s="192">
        <f>№2!O197+№5!O197+'№ 6'!O197+№14!O197+'№ 20'!O197+'№ 23'!O197+№27!O197+'№ 31'!O197+'№ 34'!O197+'№ 41'!O197</f>
        <v>0</v>
      </c>
      <c r="P197" s="192">
        <f>№2!P197+№5!P197+'№ 6'!P197+№14!P197+'№ 20'!P197+'№ 23'!P197+№27!P197+'№ 31'!P197+'№ 34'!P197+'№ 41'!P197</f>
        <v>0</v>
      </c>
      <c r="Q197" s="192">
        <f>№2!Q197+№5!Q197+'№ 6'!Q197+№14!Q197+'№ 20'!Q197+'№ 23'!Q197+№27!Q197+'№ 31'!Q197+'№ 34'!Q197+'№ 41'!Q197</f>
        <v>0</v>
      </c>
      <c r="R197" s="192">
        <f>№2!R197+№5!R197+'№ 6'!R197+№14!R197+'№ 20'!R197+'№ 23'!R197+№27!R197+'№ 31'!R197+'№ 34'!R197+'№ 41'!R197</f>
        <v>64.161000000000001</v>
      </c>
      <c r="S197" s="192">
        <f>№2!S197+№5!S197+'№ 6'!S197+№14!S197+'№ 20'!S197+'№ 23'!S197+№27!S197+'№ 31'!S197+'№ 34'!S197+'№ 41'!S197</f>
        <v>206.642</v>
      </c>
      <c r="T197" s="194">
        <f>SUM(N197:S197)</f>
        <v>270.803</v>
      </c>
      <c r="U197" s="194">
        <f>T197+L197</f>
        <v>373.11399999999998</v>
      </c>
      <c r="V197" s="194">
        <f>№2!V197+№5!V197+'№ 6'!V197+№14!V197+'№ 20'!V197+'№ 23'!V197+№27!V197+'№ 31'!V197+'№ 34'!V197+'№ 41'!V197</f>
        <v>390.53500000000003</v>
      </c>
      <c r="W197" s="193">
        <f>V197-U197</f>
        <v>17.420999999999999</v>
      </c>
      <c r="X197" s="224"/>
    </row>
    <row r="198" spans="1:24" s="196" customFormat="1" ht="18" customHeight="1">
      <c r="A198" s="610"/>
      <c r="B198" s="587"/>
      <c r="C198" s="588"/>
      <c r="D198" s="174" t="s">
        <v>55</v>
      </c>
      <c r="E198" s="210"/>
      <c r="F198" s="192">
        <f>№2!F198+№5!F198+'№ 6'!F198+№14!F198+'№ 20'!F198+'№ 23'!F198+№27!F198+'№ 31'!F198+'№ 34'!F198+'№ 41'!F198</f>
        <v>0</v>
      </c>
      <c r="G198" s="192">
        <f>№2!G198+№5!G198+'№ 6'!G198+№14!G198+'№ 20'!G198+'№ 23'!G198+№27!G198+'№ 31'!G198+'№ 34'!G198+'№ 41'!G198</f>
        <v>0</v>
      </c>
      <c r="H198" s="192">
        <f>№2!H198+№5!H198+'№ 6'!H198+№14!H198+'№ 20'!H198+'№ 23'!H198+№27!H198+'№ 31'!H198+'№ 34'!H198+'№ 41'!H198</f>
        <v>0</v>
      </c>
      <c r="I198" s="192">
        <f>№2!I198+№5!I198+'№ 6'!I198+№14!I198+'№ 20'!I198+'№ 23'!I198+№27!I198+'№ 31'!I198+'№ 34'!I198+'№ 41'!I198</f>
        <v>0</v>
      </c>
      <c r="J198" s="192">
        <f>№2!J198+№5!J198+'№ 6'!J198+№14!J198+'№ 20'!J198+'№ 23'!J198+№27!J198+'№ 31'!J198+'№ 34'!J198+'№ 41'!J198</f>
        <v>0</v>
      </c>
      <c r="K198" s="192">
        <f>№2!K198+№5!K198+'№ 6'!K198+№14!K198+'№ 20'!K198+'№ 23'!K198+№27!K198+'№ 31'!K198+'№ 34'!K198+'№ 41'!K198</f>
        <v>0</v>
      </c>
      <c r="L198" s="194">
        <f>SUM(F198:K198)</f>
        <v>0</v>
      </c>
      <c r="M198" s="194">
        <f>L198/6</f>
        <v>0</v>
      </c>
      <c r="N198" s="192">
        <f>№2!N198+№5!N198+'№ 6'!N198+№14!N198+'№ 20'!N198+'№ 23'!N198+№27!N198+'№ 31'!N198+'№ 34'!N198+'№ 41'!N198</f>
        <v>0</v>
      </c>
      <c r="O198" s="192">
        <f>№2!O198+№5!O198+'№ 6'!O198+№14!O198+'№ 20'!O198+'№ 23'!O198+№27!O198+'№ 31'!O198+'№ 34'!O198+'№ 41'!O198</f>
        <v>0</v>
      </c>
      <c r="P198" s="192">
        <f>№2!P198+№5!P198+'№ 6'!P198+№14!P198+'№ 20'!P198+'№ 23'!P198+№27!P198+'№ 31'!P198+'№ 34'!P198+'№ 41'!P198</f>
        <v>0</v>
      </c>
      <c r="Q198" s="192">
        <f>№2!Q198+№5!Q198+'№ 6'!Q198+№14!Q198+'№ 20'!Q198+'№ 23'!Q198+№27!Q198+'№ 31'!Q198+'№ 34'!Q198+'№ 41'!Q198</f>
        <v>0</v>
      </c>
      <c r="R198" s="192">
        <f>№2!R198+№5!R198+'№ 6'!R198+№14!R198+'№ 20'!R198+'№ 23'!R198+№27!R198+'№ 31'!R198+'№ 34'!R198+'№ 41'!R198</f>
        <v>0</v>
      </c>
      <c r="S198" s="192">
        <f>№2!S198+№5!S198+'№ 6'!S198+№14!S198+'№ 20'!S198+'№ 23'!S198+№27!S198+'№ 31'!S198+'№ 34'!S198+'№ 41'!S198</f>
        <v>0</v>
      </c>
      <c r="T198" s="194">
        <f>SUM(N198:S198)</f>
        <v>0</v>
      </c>
      <c r="U198" s="194">
        <f>T198+L198</f>
        <v>0</v>
      </c>
      <c r="V198" s="194">
        <f>№2!V198+№5!V198+'№ 6'!V198+№14!V198+'№ 20'!V198+'№ 23'!V198+№27!V198+'№ 31'!V198+'№ 34'!V198+'№ 41'!V198</f>
        <v>0</v>
      </c>
      <c r="W198" s="193">
        <f>V198-U198</f>
        <v>0</v>
      </c>
      <c r="X198" s="195"/>
    </row>
    <row r="199" spans="1:24" s="196" customFormat="1" ht="18" customHeight="1">
      <c r="A199" s="610"/>
      <c r="B199" s="587"/>
      <c r="C199" s="588"/>
      <c r="D199" s="174" t="s">
        <v>28</v>
      </c>
      <c r="E199" s="210"/>
      <c r="F199" s="192">
        <f>№2!F199+№5!F199+'№ 6'!F199+№14!F199+'№ 20'!F199+'№ 23'!F199+№27!F199+'№ 31'!F199+'№ 34'!F199+'№ 41'!F199</f>
        <v>0</v>
      </c>
      <c r="G199" s="192">
        <f>№2!G199+№5!G199+'№ 6'!G199+№14!G199+'№ 20'!G199+'№ 23'!G199+№27!G199+'№ 31'!G199+'№ 34'!G199+'№ 41'!G199</f>
        <v>65.709999999999994</v>
      </c>
      <c r="H199" s="192">
        <f>№2!H199+№5!H199+'№ 6'!H199+№14!H199+'№ 20'!H199+'№ 23'!H199+№27!H199+'№ 31'!H199+'№ 34'!H199+'№ 41'!H199</f>
        <v>41.225999999999999</v>
      </c>
      <c r="I199" s="192">
        <f>№2!I199+№5!I199+'№ 6'!I199+№14!I199+'№ 20'!I199+'№ 23'!I199+№27!I199+'№ 31'!I199+'№ 34'!I199+'№ 41'!I199</f>
        <v>34.354999999999997</v>
      </c>
      <c r="J199" s="192">
        <f>№2!J199+№5!J199+'№ 6'!J199+№14!J199+'№ 20'!J199+'№ 23'!J199+№27!J199+'№ 31'!J199+'№ 34'!J199+'№ 41'!J199</f>
        <v>0</v>
      </c>
      <c r="K199" s="192">
        <f>№2!K199+№5!K199+'№ 6'!K199+№14!K199+'№ 20'!K199+'№ 23'!K199+№27!K199+'№ 31'!K199+'№ 34'!K199+'№ 41'!K199</f>
        <v>0</v>
      </c>
      <c r="L199" s="194">
        <f>SUM(F199:K199)</f>
        <v>141.291</v>
      </c>
      <c r="M199" s="194">
        <f>L199/6</f>
        <v>23.548999999999999</v>
      </c>
      <c r="N199" s="192">
        <f>№2!N199+№5!N199+'№ 6'!N199+№14!N199+'№ 20'!N199+'№ 23'!N199+№27!N199+'№ 31'!N199+'№ 34'!N199+'№ 41'!N199</f>
        <v>0</v>
      </c>
      <c r="O199" s="192">
        <f>№2!O199+№5!O199+'№ 6'!O199+№14!O199+'№ 20'!O199+'№ 23'!O199+№27!O199+'№ 31'!O199+'№ 34'!O199+'№ 41'!O199</f>
        <v>0</v>
      </c>
      <c r="P199" s="192">
        <f>№2!P199+№5!P199+'№ 6'!P199+№14!P199+'№ 20'!P199+'№ 23'!P199+№27!P199+'№ 31'!P199+'№ 34'!P199+'№ 41'!P199</f>
        <v>0</v>
      </c>
      <c r="Q199" s="192">
        <f>№2!Q199+№5!Q199+'№ 6'!Q199+№14!Q199+'№ 20'!Q199+'№ 23'!Q199+№27!Q199+'№ 31'!Q199+'№ 34'!Q199+'№ 41'!Q199</f>
        <v>0</v>
      </c>
      <c r="R199" s="192">
        <f>№2!R199+№5!R199+'№ 6'!R199+№14!R199+'№ 20'!R199+'№ 23'!R199+№27!R199+'№ 31'!R199+'№ 34'!R199+'№ 41'!R199</f>
        <v>0</v>
      </c>
      <c r="S199" s="192">
        <f>№2!S199+№5!S199+'№ 6'!S199+№14!S199+'№ 20'!S199+'№ 23'!S199+№27!S199+'№ 31'!S199+'№ 34'!S199+'№ 41'!S199</f>
        <v>249.244</v>
      </c>
      <c r="T199" s="194">
        <f>SUM(N199:S199)</f>
        <v>249.244</v>
      </c>
      <c r="U199" s="194">
        <f>T199+L199</f>
        <v>390.53500000000003</v>
      </c>
      <c r="V199" s="194">
        <f>№2!V199+№5!V199+'№ 6'!V199+№14!V199+'№ 20'!V199+'№ 23'!V199+№27!V199+'№ 31'!V199+'№ 34'!V199+'№ 41'!V199</f>
        <v>390.53500000000003</v>
      </c>
      <c r="W199" s="193">
        <f>V199-U199</f>
        <v>0</v>
      </c>
      <c r="X199" s="195"/>
    </row>
    <row r="200" spans="1:24" s="186" customFormat="1" ht="18" customHeight="1">
      <c r="A200" s="610"/>
      <c r="B200" s="587"/>
      <c r="C200" s="588"/>
      <c r="D200" s="178" t="s">
        <v>117</v>
      </c>
      <c r="E200" s="179">
        <f>№2!E200+№5!E200+'№ 6'!E200+№14!E200+'№ 20'!E200+'№ 23'!E200+№27!E200+'№ 31'!E200+'№ 34'!E200+'№ 41'!E200</f>
        <v>0</v>
      </c>
      <c r="F200" s="179">
        <f>№2!F200+№5!F200+'№ 6'!F200+№14!F200+'№ 20'!F200+'№ 23'!F200+№27!F200+'№ 31'!F200+'№ 34'!F200+'№ 41'!F200</f>
        <v>0</v>
      </c>
      <c r="G200" s="179">
        <f>№2!G200+№5!G200+'№ 6'!G200+№14!G200+'№ 20'!G200+'№ 23'!G200+№27!G200+'№ 31'!G200+'№ 34'!G200+'№ 41'!G200</f>
        <v>29.1</v>
      </c>
      <c r="H200" s="179">
        <f>№2!H200+№5!H200+'№ 6'!H200+№14!H200+'№ 20'!H200+'№ 23'!H200+№27!H200+'№ 31'!H200+'№ 34'!H200+'№ 41'!H200</f>
        <v>29.1</v>
      </c>
      <c r="I200" s="179">
        <f>№2!I200+№5!I200+'№ 6'!I200+№14!I200+'№ 20'!I200+'№ 23'!I200+№27!I200+'№ 31'!I200+'№ 34'!I200+'№ 41'!I200</f>
        <v>12.7</v>
      </c>
      <c r="J200" s="179">
        <f>№2!J200+№5!J200+'№ 6'!J200+№14!J200+'№ 20'!J200+'№ 23'!J200+№27!J200+'№ 31'!J200+'№ 34'!J200+'№ 41'!J200</f>
        <v>0</v>
      </c>
      <c r="K200" s="179">
        <f>№2!K200+№5!K200+'№ 6'!K200+№14!K200+'№ 20'!K200+'№ 23'!K200+№27!K200+'№ 31'!K200+'№ 34'!K200+'№ 41'!K200</f>
        <v>0</v>
      </c>
      <c r="L200" s="215">
        <f>SUM(F200:K200)</f>
        <v>70.900000000000006</v>
      </c>
      <c r="M200" s="215">
        <f>L200/6</f>
        <v>11.8</v>
      </c>
      <c r="N200" s="179">
        <f>№2!N200+№5!N200+'№ 6'!N200+№14!N200+'№ 20'!N200+'№ 23'!N200+№27!N200+'№ 31'!N200+'№ 34'!N200+'№ 41'!N200</f>
        <v>0</v>
      </c>
      <c r="O200" s="179">
        <f>№2!O200+№5!O200+'№ 6'!O200+№14!O200+'№ 20'!O200+'№ 23'!O200+№27!O200+'№ 31'!O200+'№ 34'!O200+'№ 41'!O200</f>
        <v>0</v>
      </c>
      <c r="P200" s="179">
        <f>№2!P200+№5!P200+'№ 6'!P200+№14!P200+'№ 20'!P200+'№ 23'!P200+№27!P200+'№ 31'!P200+'№ 34'!P200+'№ 41'!P200</f>
        <v>0</v>
      </c>
      <c r="Q200" s="179">
        <f>№2!Q200+№5!Q200+'№ 6'!Q200+№14!Q200+'№ 20'!Q200+'№ 23'!Q200+№27!Q200+'№ 31'!Q200+'№ 34'!Q200+'№ 41'!Q200</f>
        <v>0</v>
      </c>
      <c r="R200" s="179">
        <f>№2!R200+№5!R200+'№ 6'!R200+№14!R200+'№ 20'!R200+'№ 23'!R200+№27!R200+'№ 31'!R200+'№ 34'!R200+'№ 41'!R200</f>
        <v>0</v>
      </c>
      <c r="S200" s="179">
        <f>№2!S200+№5!S200+'№ 6'!S200+№14!S200+'№ 20'!S200+'№ 23'!S200+№27!S200+'№ 31'!S200+'№ 34'!S200+'№ 41'!S200</f>
        <v>134.19999999999999</v>
      </c>
      <c r="T200" s="215">
        <f>SUM(N200:S200)</f>
        <v>134.19999999999999</v>
      </c>
      <c r="U200" s="215">
        <f>T200+L200</f>
        <v>205.1</v>
      </c>
      <c r="V200" s="179">
        <f>№2!V200+№5!V200+'№ 6'!V200+№14!V200+'№ 20'!V200+'№ 23'!V200+№27!V200+'№ 31'!V200+'№ 34'!V200+'№ 41'!V200</f>
        <v>210.3</v>
      </c>
      <c r="W200" s="184">
        <f>V200-U200</f>
        <v>5.2</v>
      </c>
      <c r="X200" s="279"/>
    </row>
    <row r="201" spans="1:24" s="190" customFormat="1" ht="18" customHeight="1">
      <c r="A201" s="610"/>
      <c r="B201" s="587"/>
      <c r="C201" s="588"/>
      <c r="D201" s="187" t="s">
        <v>27</v>
      </c>
      <c r="E201" s="188" t="e">
        <f t="shared" ref="E201:K201" si="194">E202*1000/E200</f>
        <v>#DIV/0!</v>
      </c>
      <c r="F201" s="188" t="e">
        <f t="shared" si="194"/>
        <v>#DIV/0!</v>
      </c>
      <c r="G201" s="188">
        <f t="shared" si="194"/>
        <v>1441.134</v>
      </c>
      <c r="H201" s="188">
        <f t="shared" si="194"/>
        <v>1443.54</v>
      </c>
      <c r="I201" s="188">
        <f t="shared" si="194"/>
        <v>1446.22</v>
      </c>
      <c r="J201" s="188" t="e">
        <f t="shared" si="194"/>
        <v>#DIV/0!</v>
      </c>
      <c r="K201" s="188" t="e">
        <f t="shared" si="194"/>
        <v>#DIV/0!</v>
      </c>
      <c r="L201" s="217">
        <f>L202/L200*1000</f>
        <v>1443.03</v>
      </c>
      <c r="M201" s="217">
        <f>M202/M200*1000</f>
        <v>1445.08</v>
      </c>
      <c r="N201" s="188" t="e">
        <f t="shared" ref="N201:S201" si="195">N202*1000/N200</f>
        <v>#DIV/0!</v>
      </c>
      <c r="O201" s="188" t="e">
        <f t="shared" si="195"/>
        <v>#DIV/0!</v>
      </c>
      <c r="P201" s="188" t="e">
        <f t="shared" si="195"/>
        <v>#DIV/0!</v>
      </c>
      <c r="Q201" s="188" t="e">
        <f t="shared" si="195"/>
        <v>#DIV/0!</v>
      </c>
      <c r="R201" s="188" t="e">
        <f t="shared" si="195"/>
        <v>#DIV/0!</v>
      </c>
      <c r="S201" s="188">
        <f t="shared" si="195"/>
        <v>2017.9059999999999</v>
      </c>
      <c r="T201" s="217">
        <f>T202/T200*1000</f>
        <v>2017.91</v>
      </c>
      <c r="U201" s="217">
        <f>U202/U200*1000</f>
        <v>1819.18</v>
      </c>
      <c r="V201" s="218">
        <f t="shared" ref="V201" si="196">V202*1000/V200</f>
        <v>1857.038</v>
      </c>
      <c r="W201" s="189">
        <f>W202/W200*1000</f>
        <v>3350.192</v>
      </c>
      <c r="X201" s="225"/>
    </row>
    <row r="202" spans="1:24" s="176" customFormat="1" ht="18" customHeight="1">
      <c r="A202" s="610"/>
      <c r="B202" s="587"/>
      <c r="C202" s="588"/>
      <c r="D202" s="198" t="s">
        <v>25</v>
      </c>
      <c r="E202" s="199">
        <f>№2!E202+№5!E202+'№ 6'!E202+№14!E202+'№ 20'!E202+'№ 23'!E202+№27!E202+'№ 31'!E202+'№ 34'!E202+'№ 41'!E202</f>
        <v>0</v>
      </c>
      <c r="F202" s="199">
        <f>№2!F202+№5!F202+'№ 6'!F202+№14!F202+'№ 20'!F202+'№ 23'!F202+№27!F202+'№ 31'!F202+'№ 34'!F202+'№ 41'!F202</f>
        <v>0</v>
      </c>
      <c r="G202" s="199">
        <f>№2!G202+№5!G202+'№ 6'!G202+№14!G202+'№ 20'!G202+'№ 23'!G202+№27!G202+'№ 31'!G202+'№ 34'!G202+'№ 41'!G202</f>
        <v>41.936999999999998</v>
      </c>
      <c r="H202" s="199">
        <f>№2!H202+№5!H202+'№ 6'!H202+№14!H202+'№ 20'!H202+'№ 23'!H202+№27!H202+'№ 31'!H202+'№ 34'!H202+'№ 41'!H202</f>
        <v>42.006999999999998</v>
      </c>
      <c r="I202" s="199">
        <f>№2!I202+№5!I202+'№ 6'!I202+№14!I202+'№ 20'!I202+'№ 23'!I202+№27!I202+'№ 31'!I202+'№ 34'!I202+'№ 41'!I202</f>
        <v>18.367000000000001</v>
      </c>
      <c r="J202" s="199">
        <f>№2!J202+№5!J202+'№ 6'!J202+№14!J202+'№ 20'!J202+'№ 23'!J202+№27!J202+'№ 31'!J202+'№ 34'!J202+'№ 41'!J202</f>
        <v>0</v>
      </c>
      <c r="K202" s="199">
        <f>№2!K202+№5!K202+'№ 6'!K202+№14!K202+'№ 20'!K202+'№ 23'!K202+№27!K202+'№ 31'!K202+'№ 34'!K202+'№ 41'!K202</f>
        <v>0</v>
      </c>
      <c r="L202" s="199">
        <f>SUM(F202:K202)</f>
        <v>102.31100000000001</v>
      </c>
      <c r="M202" s="199">
        <f>L202/6</f>
        <v>17.052</v>
      </c>
      <c r="N202" s="199">
        <f>№2!N202+№5!N202+'№ 6'!N202+№14!N202+'№ 20'!N202+'№ 23'!N202+№27!N202+'№ 31'!N202+'№ 34'!N202+'№ 41'!N202</f>
        <v>0</v>
      </c>
      <c r="O202" s="199">
        <f>№2!O202+№5!O202+'№ 6'!O202+№14!O202+'№ 20'!O202+'№ 23'!O202+№27!O202+'№ 31'!O202+'№ 34'!O202+'№ 41'!O202</f>
        <v>0</v>
      </c>
      <c r="P202" s="199">
        <f>№2!P202+№5!P202+'№ 6'!P202+№14!P202+'№ 20'!P202+'№ 23'!P202+№27!P202+'№ 31'!P202+'№ 34'!P202+'№ 41'!P202</f>
        <v>0</v>
      </c>
      <c r="Q202" s="199">
        <f>№2!Q202+№5!Q202+'№ 6'!Q202+№14!Q202+'№ 20'!Q202+'№ 23'!Q202+№27!Q202+'№ 31'!Q202+'№ 34'!Q202+'№ 41'!Q202</f>
        <v>0</v>
      </c>
      <c r="R202" s="199">
        <f>№2!R202+№5!R202+'№ 6'!R202+№14!R202+'№ 20'!R202+'№ 23'!R202+№27!R202+'№ 31'!R202+'№ 34'!R202+'№ 41'!R202</f>
        <v>0</v>
      </c>
      <c r="S202" s="199">
        <f>№2!S202+№5!S202+'№ 6'!S202+№14!S202+'№ 20'!S202+'№ 23'!S202+№27!S202+'№ 31'!S202+'№ 34'!S202+'№ 41'!S202</f>
        <v>270.803</v>
      </c>
      <c r="T202" s="199">
        <f>SUM(N202:S202)</f>
        <v>270.803</v>
      </c>
      <c r="U202" s="199">
        <f>T202+L202</f>
        <v>373.11399999999998</v>
      </c>
      <c r="V202" s="199">
        <f>№2!V202+№5!V202+'№ 6'!V202+№14!V202+'№ 20'!V202+'№ 23'!V202+№27!V202+'№ 31'!V202+'№ 34'!V202+'№ 41'!V202</f>
        <v>390.53500000000003</v>
      </c>
      <c r="W202" s="221">
        <f>V202-U202</f>
        <v>17.420999999999999</v>
      </c>
      <c r="X202" s="176">
        <f>U197-U202</f>
        <v>0</v>
      </c>
    </row>
    <row r="203" spans="1:24" s="176" customFormat="1" ht="18" customHeight="1">
      <c r="A203" s="610"/>
      <c r="B203" s="587"/>
      <c r="C203" s="588"/>
      <c r="D203" s="201" t="s">
        <v>55</v>
      </c>
      <c r="E203" s="220"/>
      <c r="F203" s="199">
        <f>№2!F203+№5!F203+'№ 6'!F203+№14!F203+'№ 20'!F203+'№ 23'!F203+№27!F203+'№ 31'!F203+'№ 34'!F203+'№ 41'!F203</f>
        <v>0</v>
      </c>
      <c r="G203" s="199">
        <f>№2!G203+№5!G203+'№ 6'!G203+№14!G203+'№ 20'!G203+'№ 23'!G203+№27!G203+'№ 31'!G203+'№ 34'!G203+'№ 41'!G203</f>
        <v>0</v>
      </c>
      <c r="H203" s="199">
        <f>№2!H203+№5!H203+'№ 6'!H203+№14!H203+'№ 20'!H203+'№ 23'!H203+№27!H203+'№ 31'!H203+'№ 34'!H203+'№ 41'!H203</f>
        <v>0</v>
      </c>
      <c r="I203" s="199">
        <f>№2!I203+№5!I203+'№ 6'!I203+№14!I203+'№ 20'!I203+'№ 23'!I203+№27!I203+'№ 31'!I203+'№ 34'!I203+'№ 41'!I203</f>
        <v>0</v>
      </c>
      <c r="J203" s="199">
        <f>№2!J203+№5!J203+'№ 6'!J203+№14!J203+'№ 20'!J203+'№ 23'!J203+№27!J203+'№ 31'!J203+'№ 34'!J203+'№ 41'!J203</f>
        <v>0</v>
      </c>
      <c r="K203" s="199">
        <f>№2!K203+№5!K203+'№ 6'!K203+№14!K203+'№ 20'!K203+'№ 23'!K203+№27!K203+'№ 31'!K203+'№ 34'!K203+'№ 41'!K203</f>
        <v>0</v>
      </c>
      <c r="L203" s="199">
        <f>SUM(F203:K203)</f>
        <v>0</v>
      </c>
      <c r="M203" s="199">
        <f>L203/6</f>
        <v>0</v>
      </c>
      <c r="N203" s="199">
        <f>№2!N203+№5!N203+'№ 6'!N203+№14!N203+'№ 20'!N203+'№ 23'!N203+№27!N203+'№ 31'!N203+'№ 34'!N203+'№ 41'!N203</f>
        <v>0</v>
      </c>
      <c r="O203" s="199">
        <f>№2!O203+№5!O203+'№ 6'!O203+№14!O203+'№ 20'!O203+'№ 23'!O203+№27!O203+'№ 31'!O203+'№ 34'!O203+'№ 41'!O203</f>
        <v>0</v>
      </c>
      <c r="P203" s="199">
        <f>№2!P203+№5!P203+'№ 6'!P203+№14!P203+'№ 20'!P203+'№ 23'!P203+№27!P203+'№ 31'!P203+'№ 34'!P203+'№ 41'!P203</f>
        <v>0</v>
      </c>
      <c r="Q203" s="199">
        <f>№2!Q203+№5!Q203+'№ 6'!Q203+№14!Q203+'№ 20'!Q203+'№ 23'!Q203+№27!Q203+'№ 31'!Q203+'№ 34'!Q203+'№ 41'!Q203</f>
        <v>0</v>
      </c>
      <c r="R203" s="199">
        <f>№2!R203+№5!R203+'№ 6'!R203+№14!R203+'№ 20'!R203+'№ 23'!R203+№27!R203+'№ 31'!R203+'№ 34'!R203+'№ 41'!R203</f>
        <v>0</v>
      </c>
      <c r="S203" s="199">
        <f>№2!S203+№5!S203+'№ 6'!S203+№14!S203+'№ 20'!S203+'№ 23'!S203+№27!S203+'№ 31'!S203+'№ 34'!S203+'№ 41'!S203</f>
        <v>0</v>
      </c>
      <c r="T203" s="199">
        <f>SUM(N203:S203)</f>
        <v>0</v>
      </c>
      <c r="U203" s="199">
        <f>T203+L203</f>
        <v>0</v>
      </c>
      <c r="V203" s="199">
        <f>№2!V203+№5!V203+'№ 6'!V203+№14!V203+'№ 20'!V203+'№ 23'!V203+№27!V203+'№ 31'!V203+'№ 34'!V203+'№ 41'!V203</f>
        <v>0</v>
      </c>
      <c r="W203" s="221">
        <f>V203-U203</f>
        <v>0</v>
      </c>
      <c r="X203" s="176">
        <f>U198-U203</f>
        <v>0</v>
      </c>
    </row>
    <row r="204" spans="1:24" s="176" customFormat="1" ht="18" customHeight="1">
      <c r="A204" s="610"/>
      <c r="B204" s="587"/>
      <c r="C204" s="588"/>
      <c r="D204" s="201" t="s">
        <v>24</v>
      </c>
      <c r="E204" s="220"/>
      <c r="F204" s="199">
        <f>№2!F204+№5!F204+'№ 6'!F204+№14!F204+'№ 20'!F204+'№ 23'!F204+№27!F204+'№ 31'!F204+'№ 34'!F204+'№ 41'!F204</f>
        <v>0</v>
      </c>
      <c r="G204" s="199">
        <f>№2!G204+№5!G204+'№ 6'!G204+№14!G204+'№ 20'!G204+'№ 23'!G204+№27!G204+'№ 31'!G204+'№ 34'!G204+'№ 41'!G204</f>
        <v>41.936999999999998</v>
      </c>
      <c r="H204" s="199">
        <f>№2!H204+№5!H204+'№ 6'!H204+№14!H204+'№ 20'!H204+'№ 23'!H204+№27!H204+'№ 31'!H204+'№ 34'!H204+'№ 41'!H204</f>
        <v>42.006999999999998</v>
      </c>
      <c r="I204" s="199">
        <f>№2!I204+№5!I204+'№ 6'!I204+№14!I204+'№ 20'!I204+'№ 23'!I204+№27!I204+'№ 31'!I204+'№ 34'!I204+'№ 41'!I204</f>
        <v>18.367000000000001</v>
      </c>
      <c r="J204" s="199">
        <f>№2!J204+№5!J204+'№ 6'!J204+№14!J204+'№ 20'!J204+'№ 23'!J204+№27!J204+'№ 31'!J204+'№ 34'!J204+'№ 41'!J204</f>
        <v>0</v>
      </c>
      <c r="K204" s="199">
        <f>№2!K204+№5!K204+'№ 6'!K204+№14!K204+'№ 20'!K204+'№ 23'!K204+№27!K204+'№ 31'!K204+'№ 34'!K204+'№ 41'!K204</f>
        <v>0</v>
      </c>
      <c r="L204" s="199">
        <f>SUM(F204:K204)</f>
        <v>102.31100000000001</v>
      </c>
      <c r="M204" s="199">
        <f>L204/6</f>
        <v>17.052</v>
      </c>
      <c r="N204" s="199">
        <f>№2!N204+№5!N204+'№ 6'!N204+№14!N204+'№ 20'!N204+'№ 23'!N204+№27!N204+'№ 31'!N204+'№ 34'!N204+'№ 41'!N204</f>
        <v>0</v>
      </c>
      <c r="O204" s="199">
        <f>№2!O204+№5!O204+'№ 6'!O204+№14!O204+'№ 20'!O204+'№ 23'!O204+№27!O204+'№ 31'!O204+'№ 34'!O204+'№ 41'!O204</f>
        <v>0</v>
      </c>
      <c r="P204" s="199">
        <f>№2!P204+№5!P204+'№ 6'!P204+№14!P204+'№ 20'!P204+'№ 23'!P204+№27!P204+'№ 31'!P204+'№ 34'!P204+'№ 41'!P204</f>
        <v>0</v>
      </c>
      <c r="Q204" s="199">
        <f>№2!Q204+№5!Q204+'№ 6'!Q204+№14!Q204+'№ 20'!Q204+'№ 23'!Q204+№27!Q204+'№ 31'!Q204+'№ 34'!Q204+'№ 41'!Q204</f>
        <v>0</v>
      </c>
      <c r="R204" s="199">
        <f>№2!R204+№5!R204+'№ 6'!R204+№14!R204+'№ 20'!R204+'№ 23'!R204+№27!R204+'№ 31'!R204+'№ 34'!R204+'№ 41'!R204</f>
        <v>0</v>
      </c>
      <c r="S204" s="199">
        <f>№2!S204+№5!S204+'№ 6'!S204+№14!S204+'№ 20'!S204+'№ 23'!S204+№27!S204+'№ 31'!S204+'№ 34'!S204+'№ 41'!S204</f>
        <v>270.803</v>
      </c>
      <c r="T204" s="199">
        <f>SUM(N204:S204)</f>
        <v>270.803</v>
      </c>
      <c r="U204" s="199">
        <f>T204+L204</f>
        <v>373.11399999999998</v>
      </c>
      <c r="V204" s="199">
        <f>№2!V204+№5!V204+'№ 6'!V204+№14!V204+'№ 20'!V204+'№ 23'!V204+№27!V204+'№ 31'!V204+'№ 34'!V204+'№ 41'!V204</f>
        <v>390.53500000000003</v>
      </c>
      <c r="W204" s="221">
        <f>V204-U204</f>
        <v>17.420999999999999</v>
      </c>
      <c r="X204" s="176">
        <f>U199-U204</f>
        <v>17.420999999999999</v>
      </c>
    </row>
    <row r="205" spans="1:24" s="205" customFormat="1" ht="18" customHeight="1">
      <c r="A205" s="610"/>
      <c r="B205" s="587"/>
      <c r="C205" s="588"/>
      <c r="D205" s="202" t="s">
        <v>29</v>
      </c>
      <c r="E205" s="203"/>
      <c r="F205" s="203">
        <f t="shared" ref="F205:K205" si="197">F199</f>
        <v>0</v>
      </c>
      <c r="G205" s="203">
        <f t="shared" si="197"/>
        <v>65.709999999999994</v>
      </c>
      <c r="H205" s="203">
        <f t="shared" si="197"/>
        <v>41.225999999999999</v>
      </c>
      <c r="I205" s="203">
        <f t="shared" si="197"/>
        <v>34.354999999999997</v>
      </c>
      <c r="J205" s="203">
        <f t="shared" si="197"/>
        <v>0</v>
      </c>
      <c r="K205" s="203">
        <f t="shared" si="197"/>
        <v>0</v>
      </c>
      <c r="L205" s="203">
        <f>SUM(F205:K205)</f>
        <v>141.291</v>
      </c>
      <c r="M205" s="203">
        <f>L205/6</f>
        <v>23.548999999999999</v>
      </c>
      <c r="N205" s="203">
        <f t="shared" ref="N205:S205" si="198">N199+N198</f>
        <v>0</v>
      </c>
      <c r="O205" s="203">
        <f t="shared" si="198"/>
        <v>0</v>
      </c>
      <c r="P205" s="203">
        <f t="shared" si="198"/>
        <v>0</v>
      </c>
      <c r="Q205" s="203">
        <f t="shared" si="198"/>
        <v>0</v>
      </c>
      <c r="R205" s="203">
        <f t="shared" si="198"/>
        <v>0</v>
      </c>
      <c r="S205" s="203">
        <f t="shared" si="198"/>
        <v>249.244</v>
      </c>
      <c r="T205" s="203">
        <f>SUM(N205:S205)</f>
        <v>249.244</v>
      </c>
      <c r="U205" s="203">
        <f>T205+L205</f>
        <v>390.53500000000003</v>
      </c>
      <c r="V205" s="203">
        <f>V202</f>
        <v>390.53500000000003</v>
      </c>
      <c r="W205" s="203">
        <f>V205-U205</f>
        <v>0</v>
      </c>
    </row>
    <row r="206" spans="1:24" s="205" customFormat="1" ht="18" customHeight="1">
      <c r="A206" s="610"/>
      <c r="B206" s="587"/>
      <c r="C206" s="588"/>
      <c r="D206" s="202" t="s">
        <v>30</v>
      </c>
      <c r="E206" s="203"/>
      <c r="F206" s="203">
        <f t="shared" ref="F206:K206" si="199">F202-F205</f>
        <v>0</v>
      </c>
      <c r="G206" s="203">
        <f t="shared" si="199"/>
        <v>-23.773</v>
      </c>
      <c r="H206" s="203">
        <f t="shared" si="199"/>
        <v>0.78100000000000003</v>
      </c>
      <c r="I206" s="203">
        <f t="shared" si="199"/>
        <v>-15.988</v>
      </c>
      <c r="J206" s="203">
        <f t="shared" si="199"/>
        <v>0</v>
      </c>
      <c r="K206" s="203">
        <f t="shared" si="199"/>
        <v>0</v>
      </c>
      <c r="L206" s="203"/>
      <c r="M206" s="203"/>
      <c r="N206" s="203">
        <f t="shared" ref="N206:S206" si="200">N202-N205</f>
        <v>0</v>
      </c>
      <c r="O206" s="203">
        <f t="shared" si="200"/>
        <v>0</v>
      </c>
      <c r="P206" s="203">
        <f t="shared" si="200"/>
        <v>0</v>
      </c>
      <c r="Q206" s="203">
        <f t="shared" si="200"/>
        <v>0</v>
      </c>
      <c r="R206" s="203">
        <f t="shared" si="200"/>
        <v>0</v>
      </c>
      <c r="S206" s="203">
        <f t="shared" si="200"/>
        <v>21.559000000000001</v>
      </c>
      <c r="T206" s="203"/>
      <c r="U206" s="203"/>
      <c r="V206" s="203"/>
      <c r="W206" s="203"/>
    </row>
    <row r="207" spans="1:24" s="205" customFormat="1" ht="18" customHeight="1">
      <c r="A207" s="611"/>
      <c r="B207" s="589"/>
      <c r="C207" s="590"/>
      <c r="D207" s="202" t="s">
        <v>31</v>
      </c>
      <c r="E207" s="203"/>
      <c r="F207" s="203">
        <f>F206</f>
        <v>0</v>
      </c>
      <c r="G207" s="203">
        <f>G206+F207</f>
        <v>-23.773</v>
      </c>
      <c r="H207" s="203">
        <f>H206+G207</f>
        <v>-22.992000000000001</v>
      </c>
      <c r="I207" s="203">
        <f>I206+H207</f>
        <v>-38.979999999999997</v>
      </c>
      <c r="J207" s="203">
        <f>J206+I207</f>
        <v>-38.979999999999997</v>
      </c>
      <c r="K207" s="203">
        <f>K206+J207</f>
        <v>-38.979999999999997</v>
      </c>
      <c r="L207" s="203"/>
      <c r="M207" s="203"/>
      <c r="N207" s="203">
        <f>N206+K207</f>
        <v>-38.979999999999997</v>
      </c>
      <c r="O207" s="203">
        <f>O206+N207</f>
        <v>-38.979999999999997</v>
      </c>
      <c r="P207" s="203">
        <f>P206+O207</f>
        <v>-38.979999999999997</v>
      </c>
      <c r="Q207" s="203">
        <f>Q206+P207</f>
        <v>-38.979999999999997</v>
      </c>
      <c r="R207" s="203">
        <f>R206+Q207</f>
        <v>-38.979999999999997</v>
      </c>
      <c r="S207" s="203">
        <f>S206+R207</f>
        <v>-17.420999999999999</v>
      </c>
      <c r="T207" s="203"/>
      <c r="U207" s="203"/>
      <c r="V207" s="203"/>
      <c r="W207" s="203"/>
    </row>
    <row r="208" spans="1:24" s="185" customFormat="1" ht="18" customHeight="1">
      <c r="A208" s="609"/>
      <c r="B208" s="585" t="s">
        <v>92</v>
      </c>
      <c r="C208" s="586"/>
      <c r="D208" s="178" t="s">
        <v>105</v>
      </c>
      <c r="E208" s="179"/>
      <c r="F208" s="180">
        <f t="shared" ref="F208:K210" si="201">F223+F238</f>
        <v>192</v>
      </c>
      <c r="G208" s="180">
        <f t="shared" si="201"/>
        <v>129.4</v>
      </c>
      <c r="H208" s="180">
        <f t="shared" si="201"/>
        <v>137.69999999999999</v>
      </c>
      <c r="I208" s="180">
        <f t="shared" si="201"/>
        <v>12.1</v>
      </c>
      <c r="J208" s="180">
        <f t="shared" si="201"/>
        <v>0</v>
      </c>
      <c r="K208" s="180">
        <f t="shared" si="201"/>
        <v>0</v>
      </c>
      <c r="L208" s="207">
        <f>SUM(F208:K208)</f>
        <v>471.2</v>
      </c>
      <c r="M208" s="207">
        <f>L208/6</f>
        <v>78.5</v>
      </c>
      <c r="N208" s="180">
        <f t="shared" ref="N208:S210" si="202">N223+N238</f>
        <v>0</v>
      </c>
      <c r="O208" s="180">
        <f t="shared" si="202"/>
        <v>0</v>
      </c>
      <c r="P208" s="180">
        <f t="shared" si="202"/>
        <v>0</v>
      </c>
      <c r="Q208" s="180">
        <f t="shared" si="202"/>
        <v>0</v>
      </c>
      <c r="R208" s="180">
        <f t="shared" si="202"/>
        <v>103.6</v>
      </c>
      <c r="S208" s="180">
        <f t="shared" si="202"/>
        <v>127.9</v>
      </c>
      <c r="T208" s="207">
        <f>SUM(N208:S208)</f>
        <v>231.5</v>
      </c>
      <c r="U208" s="222">
        <f>T208+L208</f>
        <v>702.7</v>
      </c>
      <c r="V208" s="183"/>
      <c r="W208" s="184"/>
    </row>
    <row r="209" spans="1:34" s="185" customFormat="1" ht="18" customHeight="1">
      <c r="A209" s="610"/>
      <c r="B209" s="587"/>
      <c r="C209" s="588"/>
      <c r="D209" s="178" t="s">
        <v>109</v>
      </c>
      <c r="E209" s="179"/>
      <c r="F209" s="180">
        <f t="shared" si="201"/>
        <v>115.6</v>
      </c>
      <c r="G209" s="180">
        <f t="shared" si="201"/>
        <v>83.5</v>
      </c>
      <c r="H209" s="180">
        <f t="shared" si="201"/>
        <v>74.2</v>
      </c>
      <c r="I209" s="180">
        <f t="shared" si="201"/>
        <v>0</v>
      </c>
      <c r="J209" s="180">
        <f t="shared" si="201"/>
        <v>0</v>
      </c>
      <c r="K209" s="180">
        <f t="shared" si="201"/>
        <v>0</v>
      </c>
      <c r="L209" s="207">
        <f>SUM(F209:K209)</f>
        <v>273.3</v>
      </c>
      <c r="M209" s="207">
        <f>L209/6</f>
        <v>45.6</v>
      </c>
      <c r="N209" s="179">
        <f t="shared" si="202"/>
        <v>0</v>
      </c>
      <c r="O209" s="179">
        <f t="shared" si="202"/>
        <v>0</v>
      </c>
      <c r="P209" s="179">
        <f t="shared" si="202"/>
        <v>0</v>
      </c>
      <c r="Q209" s="179">
        <f t="shared" si="202"/>
        <v>0</v>
      </c>
      <c r="R209" s="179">
        <f t="shared" si="202"/>
        <v>103.6</v>
      </c>
      <c r="S209" s="179">
        <f t="shared" si="202"/>
        <v>127.9</v>
      </c>
      <c r="T209" s="207">
        <f>SUM(N209:S209)</f>
        <v>231.5</v>
      </c>
      <c r="U209" s="222">
        <f>T209+L209</f>
        <v>504.8</v>
      </c>
      <c r="V209" s="183"/>
      <c r="W209" s="184"/>
    </row>
    <row r="210" spans="1:34" s="185" customFormat="1" ht="18" customHeight="1">
      <c r="A210" s="610"/>
      <c r="B210" s="587"/>
      <c r="C210" s="588"/>
      <c r="D210" s="178" t="s">
        <v>116</v>
      </c>
      <c r="E210" s="179"/>
      <c r="F210" s="180">
        <f t="shared" si="201"/>
        <v>96.1</v>
      </c>
      <c r="G210" s="180">
        <f t="shared" si="201"/>
        <v>125.4</v>
      </c>
      <c r="H210" s="180">
        <f t="shared" si="201"/>
        <v>62.3</v>
      </c>
      <c r="I210" s="180">
        <f t="shared" si="201"/>
        <v>0</v>
      </c>
      <c r="J210" s="180">
        <f t="shared" si="201"/>
        <v>0</v>
      </c>
      <c r="K210" s="180">
        <f t="shared" si="201"/>
        <v>0</v>
      </c>
      <c r="L210" s="207">
        <f>SUM(F210:K210)</f>
        <v>283.8</v>
      </c>
      <c r="M210" s="207">
        <f>L210/6</f>
        <v>47.3</v>
      </c>
      <c r="N210" s="180">
        <f t="shared" si="202"/>
        <v>0</v>
      </c>
      <c r="O210" s="180">
        <f t="shared" si="202"/>
        <v>0</v>
      </c>
      <c r="P210" s="180">
        <f t="shared" si="202"/>
        <v>0</v>
      </c>
      <c r="Q210" s="180">
        <f t="shared" si="202"/>
        <v>0</v>
      </c>
      <c r="R210" s="180">
        <f t="shared" si="202"/>
        <v>103.6</v>
      </c>
      <c r="S210" s="180">
        <f t="shared" si="202"/>
        <v>127.9</v>
      </c>
      <c r="T210" s="207">
        <f>SUM(N210:S210)</f>
        <v>231.5</v>
      </c>
      <c r="U210" s="222">
        <f>T210+L210</f>
        <v>515.29999999999995</v>
      </c>
      <c r="V210" s="183">
        <f>V225+V240</f>
        <v>564.79999999999995</v>
      </c>
      <c r="W210" s="184">
        <f>V210-U210</f>
        <v>49.5</v>
      </c>
    </row>
    <row r="211" spans="1:34" s="185" customFormat="1" ht="18" customHeight="1">
      <c r="A211" s="610"/>
      <c r="B211" s="587"/>
      <c r="C211" s="588"/>
      <c r="D211" s="187" t="s">
        <v>27</v>
      </c>
      <c r="E211" s="188"/>
      <c r="F211" s="188">
        <f t="shared" ref="F211:W211" si="203">F212/F210*1000</f>
        <v>3266.4720000000002</v>
      </c>
      <c r="G211" s="188">
        <f t="shared" si="203"/>
        <v>3931.5149999999999</v>
      </c>
      <c r="H211" s="188">
        <f t="shared" si="203"/>
        <v>4049.6149999999998</v>
      </c>
      <c r="I211" s="188" t="e">
        <f t="shared" si="203"/>
        <v>#DIV/0!</v>
      </c>
      <c r="J211" s="188" t="e">
        <f t="shared" si="203"/>
        <v>#DIV/0!</v>
      </c>
      <c r="K211" s="188" t="e">
        <f t="shared" si="203"/>
        <v>#DIV/0!</v>
      </c>
      <c r="L211" s="188">
        <f t="shared" si="203"/>
        <v>3732.2449999999999</v>
      </c>
      <c r="M211" s="188">
        <f t="shared" si="203"/>
        <v>3732.241</v>
      </c>
      <c r="N211" s="188" t="e">
        <f t="shared" si="203"/>
        <v>#DIV/0!</v>
      </c>
      <c r="O211" s="188" t="e">
        <f t="shared" si="203"/>
        <v>#DIV/0!</v>
      </c>
      <c r="P211" s="188" t="e">
        <f t="shared" si="203"/>
        <v>#DIV/0!</v>
      </c>
      <c r="Q211" s="188" t="e">
        <f t="shared" si="203"/>
        <v>#DIV/0!</v>
      </c>
      <c r="R211" s="188">
        <f t="shared" si="203"/>
        <v>4086.0230000000001</v>
      </c>
      <c r="S211" s="188">
        <f t="shared" si="203"/>
        <v>4086.0279999999998</v>
      </c>
      <c r="T211" s="188">
        <f t="shared" si="203"/>
        <v>4086.0259999999998</v>
      </c>
      <c r="U211" s="188">
        <f t="shared" si="203"/>
        <v>3891.1819999999998</v>
      </c>
      <c r="V211" s="188">
        <f t="shared" si="203"/>
        <v>3267.6770000000001</v>
      </c>
      <c r="W211" s="189">
        <f t="shared" si="203"/>
        <v>-3223.0709999999999</v>
      </c>
    </row>
    <row r="212" spans="1:34" s="185" customFormat="1" ht="18" customHeight="1">
      <c r="A212" s="610"/>
      <c r="B212" s="587"/>
      <c r="C212" s="588"/>
      <c r="D212" s="191" t="s">
        <v>0</v>
      </c>
      <c r="E212" s="192"/>
      <c r="F212" s="192">
        <f t="shared" ref="F212:K215" si="204">F227+F242</f>
        <v>313.90800000000002</v>
      </c>
      <c r="G212" s="192">
        <f t="shared" si="204"/>
        <v>493.012</v>
      </c>
      <c r="H212" s="192">
        <f t="shared" si="204"/>
        <v>252.291</v>
      </c>
      <c r="I212" s="192">
        <f t="shared" si="204"/>
        <v>0</v>
      </c>
      <c r="J212" s="192">
        <f t="shared" si="204"/>
        <v>0</v>
      </c>
      <c r="K212" s="192">
        <f t="shared" si="204"/>
        <v>0</v>
      </c>
      <c r="L212" s="192">
        <f>SUM(F212:K212)</f>
        <v>1059.211</v>
      </c>
      <c r="M212" s="192">
        <f>L212/6</f>
        <v>176.535</v>
      </c>
      <c r="N212" s="192">
        <f t="shared" ref="N212:S215" si="205">N227+N242</f>
        <v>0</v>
      </c>
      <c r="O212" s="192">
        <f t="shared" si="205"/>
        <v>0</v>
      </c>
      <c r="P212" s="192">
        <f t="shared" si="205"/>
        <v>0</v>
      </c>
      <c r="Q212" s="192">
        <f t="shared" si="205"/>
        <v>0</v>
      </c>
      <c r="R212" s="192">
        <f t="shared" si="205"/>
        <v>423.31200000000001</v>
      </c>
      <c r="S212" s="192">
        <f t="shared" si="205"/>
        <v>522.60299999999995</v>
      </c>
      <c r="T212" s="192">
        <f>SUM(N212:S212)</f>
        <v>945.91499999999996</v>
      </c>
      <c r="U212" s="192">
        <f>T212+L212</f>
        <v>2005.126</v>
      </c>
      <c r="V212" s="193">
        <f>V227+V242</f>
        <v>1845.5840000000001</v>
      </c>
      <c r="W212" s="193">
        <f>V212-U212</f>
        <v>-159.542</v>
      </c>
    </row>
    <row r="213" spans="1:34" s="185" customFormat="1" ht="18" customHeight="1">
      <c r="A213" s="610"/>
      <c r="B213" s="587"/>
      <c r="C213" s="588"/>
      <c r="D213" s="174" t="s">
        <v>55</v>
      </c>
      <c r="E213" s="210"/>
      <c r="F213" s="192">
        <f t="shared" si="204"/>
        <v>0</v>
      </c>
      <c r="G213" s="192">
        <f t="shared" si="204"/>
        <v>0</v>
      </c>
      <c r="H213" s="192">
        <f t="shared" si="204"/>
        <v>0</v>
      </c>
      <c r="I213" s="192">
        <f t="shared" si="204"/>
        <v>0</v>
      </c>
      <c r="J213" s="192">
        <f t="shared" si="204"/>
        <v>0</v>
      </c>
      <c r="K213" s="192">
        <f t="shared" si="204"/>
        <v>0</v>
      </c>
      <c r="L213" s="192">
        <f>SUM(F213:K213)</f>
        <v>0</v>
      </c>
      <c r="M213" s="192">
        <f>L213/6</f>
        <v>0</v>
      </c>
      <c r="N213" s="192">
        <f t="shared" si="205"/>
        <v>0</v>
      </c>
      <c r="O213" s="192">
        <f t="shared" si="205"/>
        <v>0</v>
      </c>
      <c r="P213" s="192">
        <f t="shared" si="205"/>
        <v>0</v>
      </c>
      <c r="Q213" s="192">
        <f t="shared" si="205"/>
        <v>0</v>
      </c>
      <c r="R213" s="192">
        <f t="shared" si="205"/>
        <v>0</v>
      </c>
      <c r="S213" s="192">
        <f t="shared" si="205"/>
        <v>0</v>
      </c>
      <c r="T213" s="192">
        <f>SUM(N213:S213)</f>
        <v>0</v>
      </c>
      <c r="U213" s="192">
        <f>T213+L213</f>
        <v>0</v>
      </c>
      <c r="V213" s="193">
        <f>V228+V243</f>
        <v>0</v>
      </c>
      <c r="W213" s="211">
        <f>V213-U213</f>
        <v>0</v>
      </c>
    </row>
    <row r="214" spans="1:34" s="185" customFormat="1" ht="18" customHeight="1">
      <c r="A214" s="610"/>
      <c r="B214" s="587"/>
      <c r="C214" s="588"/>
      <c r="D214" s="174" t="s">
        <v>28</v>
      </c>
      <c r="E214" s="210"/>
      <c r="F214" s="192">
        <f t="shared" si="204"/>
        <v>0</v>
      </c>
      <c r="G214" s="192">
        <f t="shared" si="204"/>
        <v>313.90800000000002</v>
      </c>
      <c r="H214" s="192">
        <f t="shared" si="204"/>
        <v>502.399</v>
      </c>
      <c r="I214" s="192">
        <f t="shared" si="204"/>
        <v>215.35599999999999</v>
      </c>
      <c r="J214" s="192">
        <f t="shared" si="204"/>
        <v>0</v>
      </c>
      <c r="K214" s="192">
        <f t="shared" si="204"/>
        <v>0</v>
      </c>
      <c r="L214" s="192">
        <f>SUM(F214:K214)</f>
        <v>1031.663</v>
      </c>
      <c r="M214" s="192">
        <f>L214/6</f>
        <v>171.94399999999999</v>
      </c>
      <c r="N214" s="192">
        <f t="shared" si="205"/>
        <v>0</v>
      </c>
      <c r="O214" s="192">
        <f t="shared" si="205"/>
        <v>0</v>
      </c>
      <c r="P214" s="192">
        <f t="shared" si="205"/>
        <v>0</v>
      </c>
      <c r="Q214" s="192">
        <f t="shared" si="205"/>
        <v>0</v>
      </c>
      <c r="R214" s="192">
        <f t="shared" si="205"/>
        <v>0</v>
      </c>
      <c r="S214" s="192">
        <f t="shared" si="205"/>
        <v>813.92100000000005</v>
      </c>
      <c r="T214" s="192">
        <f>SUM(N214:S214)</f>
        <v>813.92100000000005</v>
      </c>
      <c r="U214" s="192">
        <f>T214+L214</f>
        <v>1845.5840000000001</v>
      </c>
      <c r="V214" s="193">
        <f>V229+V244</f>
        <v>1845.5840000000001</v>
      </c>
      <c r="W214" s="193">
        <f>V214-U214</f>
        <v>0</v>
      </c>
    </row>
    <row r="215" spans="1:34" s="185" customFormat="1" ht="18" customHeight="1">
      <c r="A215" s="610"/>
      <c r="B215" s="587"/>
      <c r="C215" s="588"/>
      <c r="D215" s="178" t="s">
        <v>117</v>
      </c>
      <c r="E215" s="179">
        <f>E230+E245</f>
        <v>0</v>
      </c>
      <c r="F215" s="179">
        <f t="shared" si="204"/>
        <v>0</v>
      </c>
      <c r="G215" s="179">
        <f t="shared" si="204"/>
        <v>96.1</v>
      </c>
      <c r="H215" s="179">
        <f t="shared" si="204"/>
        <v>125.4</v>
      </c>
      <c r="I215" s="179">
        <f t="shared" si="204"/>
        <v>62.3</v>
      </c>
      <c r="J215" s="179">
        <f t="shared" si="204"/>
        <v>0</v>
      </c>
      <c r="K215" s="179">
        <f t="shared" si="204"/>
        <v>0</v>
      </c>
      <c r="L215" s="207">
        <f>SUM(F215:K215)</f>
        <v>283.8</v>
      </c>
      <c r="M215" s="207">
        <f>L215/6</f>
        <v>47.3</v>
      </c>
      <c r="N215" s="179">
        <f t="shared" si="205"/>
        <v>0</v>
      </c>
      <c r="O215" s="179">
        <f t="shared" si="205"/>
        <v>0</v>
      </c>
      <c r="P215" s="179">
        <f t="shared" si="205"/>
        <v>0</v>
      </c>
      <c r="Q215" s="179">
        <f t="shared" si="205"/>
        <v>0</v>
      </c>
      <c r="R215" s="179">
        <f t="shared" si="205"/>
        <v>0</v>
      </c>
      <c r="S215" s="179">
        <f t="shared" si="205"/>
        <v>231.5</v>
      </c>
      <c r="T215" s="207">
        <f>SUM(N215:S215)</f>
        <v>231.5</v>
      </c>
      <c r="U215" s="207">
        <f>T215+L215</f>
        <v>515.29999999999995</v>
      </c>
      <c r="V215" s="184">
        <f>V230+V245</f>
        <v>564.79999999999995</v>
      </c>
      <c r="W215" s="184">
        <f>V215-U215</f>
        <v>49.5</v>
      </c>
      <c r="X215" s="279">
        <f>U210-U215</f>
        <v>0</v>
      </c>
    </row>
    <row r="216" spans="1:34" s="185" customFormat="1" ht="18" customHeight="1">
      <c r="A216" s="610"/>
      <c r="B216" s="587"/>
      <c r="C216" s="588"/>
      <c r="D216" s="187" t="s">
        <v>27</v>
      </c>
      <c r="E216" s="188" t="e">
        <f t="shared" ref="E216:W216" si="206">E217/E215*1000</f>
        <v>#DIV/0!</v>
      </c>
      <c r="F216" s="188" t="e">
        <f t="shared" si="206"/>
        <v>#DIV/0!</v>
      </c>
      <c r="G216" s="188">
        <f t="shared" si="206"/>
        <v>3266.4720000000002</v>
      </c>
      <c r="H216" s="188">
        <f t="shared" si="206"/>
        <v>3931.5149999999999</v>
      </c>
      <c r="I216" s="188">
        <f t="shared" si="206"/>
        <v>4049.6149999999998</v>
      </c>
      <c r="J216" s="188" t="e">
        <f t="shared" si="206"/>
        <v>#DIV/0!</v>
      </c>
      <c r="K216" s="188" t="e">
        <f t="shared" si="206"/>
        <v>#DIV/0!</v>
      </c>
      <c r="L216" s="188">
        <f t="shared" si="206"/>
        <v>3732.2449999999999</v>
      </c>
      <c r="M216" s="188">
        <f t="shared" si="206"/>
        <v>3732.241</v>
      </c>
      <c r="N216" s="188" t="e">
        <f t="shared" si="206"/>
        <v>#DIV/0!</v>
      </c>
      <c r="O216" s="188" t="e">
        <f t="shared" si="206"/>
        <v>#DIV/0!</v>
      </c>
      <c r="P216" s="188" t="e">
        <f t="shared" si="206"/>
        <v>#DIV/0!</v>
      </c>
      <c r="Q216" s="188" t="e">
        <f t="shared" si="206"/>
        <v>#DIV/0!</v>
      </c>
      <c r="R216" s="188" t="e">
        <f t="shared" si="206"/>
        <v>#DIV/0!</v>
      </c>
      <c r="S216" s="188">
        <f t="shared" si="206"/>
        <v>4086.0259999999998</v>
      </c>
      <c r="T216" s="188">
        <f t="shared" si="206"/>
        <v>4086.0259999999998</v>
      </c>
      <c r="U216" s="188">
        <f t="shared" si="206"/>
        <v>3891.1819999999998</v>
      </c>
      <c r="V216" s="188">
        <f t="shared" si="206"/>
        <v>3267.6770000000001</v>
      </c>
      <c r="W216" s="189">
        <f t="shared" si="206"/>
        <v>-3223.0709999999999</v>
      </c>
    </row>
    <row r="217" spans="1:34" s="176" customFormat="1" ht="18" customHeight="1">
      <c r="A217" s="610"/>
      <c r="B217" s="587"/>
      <c r="C217" s="588"/>
      <c r="D217" s="198" t="s">
        <v>25</v>
      </c>
      <c r="E217" s="212">
        <f t="shared" ref="E217:K217" si="207">E232+E247</f>
        <v>0</v>
      </c>
      <c r="F217" s="199">
        <f t="shared" si="207"/>
        <v>0</v>
      </c>
      <c r="G217" s="199">
        <f t="shared" si="207"/>
        <v>313.90800000000002</v>
      </c>
      <c r="H217" s="199">
        <f t="shared" si="207"/>
        <v>493.012</v>
      </c>
      <c r="I217" s="199">
        <f t="shared" si="207"/>
        <v>252.291</v>
      </c>
      <c r="J217" s="199">
        <f t="shared" si="207"/>
        <v>0</v>
      </c>
      <c r="K217" s="199">
        <f t="shared" si="207"/>
        <v>0</v>
      </c>
      <c r="L217" s="199">
        <f>SUM(F217:K217)</f>
        <v>1059.211</v>
      </c>
      <c r="M217" s="199">
        <f>L217/6</f>
        <v>176.535</v>
      </c>
      <c r="N217" s="199">
        <f t="shared" ref="N217:S219" si="208">N232+N247</f>
        <v>0</v>
      </c>
      <c r="O217" s="199">
        <f t="shared" si="208"/>
        <v>0</v>
      </c>
      <c r="P217" s="199">
        <f t="shared" si="208"/>
        <v>0</v>
      </c>
      <c r="Q217" s="199">
        <f t="shared" si="208"/>
        <v>0</v>
      </c>
      <c r="R217" s="199">
        <f t="shared" si="208"/>
        <v>0</v>
      </c>
      <c r="S217" s="199">
        <f t="shared" si="208"/>
        <v>945.91499999999996</v>
      </c>
      <c r="T217" s="199">
        <f>SUM(N217:S217)</f>
        <v>945.91499999999996</v>
      </c>
      <c r="U217" s="199">
        <f>T217+L217</f>
        <v>2005.126</v>
      </c>
      <c r="V217" s="175">
        <f t="shared" ref="V217:W217" si="209">V232+V247</f>
        <v>1845.5840000000001</v>
      </c>
      <c r="W217" s="175">
        <f t="shared" si="209"/>
        <v>-159.542</v>
      </c>
      <c r="X217" s="176">
        <f>U212-U217</f>
        <v>0</v>
      </c>
    </row>
    <row r="218" spans="1:34" s="176" customFormat="1" ht="18" customHeight="1">
      <c r="A218" s="610"/>
      <c r="B218" s="587"/>
      <c r="C218" s="588"/>
      <c r="D218" s="201" t="s">
        <v>55</v>
      </c>
      <c r="E218" s="212"/>
      <c r="F218" s="199">
        <f t="shared" ref="F218:K219" si="210">F233+F248</f>
        <v>0</v>
      </c>
      <c r="G218" s="199">
        <f t="shared" si="210"/>
        <v>0</v>
      </c>
      <c r="H218" s="199">
        <f t="shared" si="210"/>
        <v>0</v>
      </c>
      <c r="I218" s="199">
        <f t="shared" si="210"/>
        <v>0</v>
      </c>
      <c r="J218" s="199">
        <f t="shared" si="210"/>
        <v>0</v>
      </c>
      <c r="K218" s="199">
        <f t="shared" si="210"/>
        <v>0</v>
      </c>
      <c r="L218" s="199">
        <f>SUM(F218:K218)</f>
        <v>0</v>
      </c>
      <c r="M218" s="199">
        <f>L218/6</f>
        <v>0</v>
      </c>
      <c r="N218" s="199">
        <f t="shared" si="208"/>
        <v>0</v>
      </c>
      <c r="O218" s="199">
        <f t="shared" si="208"/>
        <v>0</v>
      </c>
      <c r="P218" s="199">
        <f t="shared" si="208"/>
        <v>0</v>
      </c>
      <c r="Q218" s="199">
        <f t="shared" si="208"/>
        <v>0</v>
      </c>
      <c r="R218" s="199">
        <f t="shared" si="208"/>
        <v>0</v>
      </c>
      <c r="S218" s="199">
        <f t="shared" si="208"/>
        <v>0</v>
      </c>
      <c r="T218" s="199">
        <f>SUM(N218:S218)</f>
        <v>0</v>
      </c>
      <c r="U218" s="199">
        <f>T218+L218</f>
        <v>0</v>
      </c>
      <c r="V218" s="175">
        <f t="shared" ref="V218:W218" si="211">V233+V248</f>
        <v>0</v>
      </c>
      <c r="W218" s="175">
        <f t="shared" si="211"/>
        <v>0</v>
      </c>
      <c r="X218" s="176">
        <f>U213-U218</f>
        <v>0</v>
      </c>
    </row>
    <row r="219" spans="1:34" s="176" customFormat="1" ht="18" customHeight="1">
      <c r="A219" s="610"/>
      <c r="B219" s="587"/>
      <c r="C219" s="588"/>
      <c r="D219" s="201" t="s">
        <v>24</v>
      </c>
      <c r="E219" s="212"/>
      <c r="F219" s="199">
        <f t="shared" si="210"/>
        <v>0</v>
      </c>
      <c r="G219" s="199">
        <f t="shared" si="210"/>
        <v>313.90800000000002</v>
      </c>
      <c r="H219" s="199">
        <f t="shared" si="210"/>
        <v>493.012</v>
      </c>
      <c r="I219" s="199">
        <f t="shared" si="210"/>
        <v>252.291</v>
      </c>
      <c r="J219" s="199">
        <f t="shared" si="210"/>
        <v>0</v>
      </c>
      <c r="K219" s="199">
        <f t="shared" si="210"/>
        <v>0</v>
      </c>
      <c r="L219" s="199">
        <f>SUM(F219:K219)</f>
        <v>1059.211</v>
      </c>
      <c r="M219" s="199">
        <f>L219/6</f>
        <v>176.535</v>
      </c>
      <c r="N219" s="199">
        <f t="shared" si="208"/>
        <v>0</v>
      </c>
      <c r="O219" s="199">
        <f t="shared" si="208"/>
        <v>0</v>
      </c>
      <c r="P219" s="199">
        <f t="shared" si="208"/>
        <v>0</v>
      </c>
      <c r="Q219" s="199">
        <f t="shared" si="208"/>
        <v>0</v>
      </c>
      <c r="R219" s="199">
        <f t="shared" si="208"/>
        <v>0</v>
      </c>
      <c r="S219" s="199">
        <f t="shared" si="208"/>
        <v>945.91499999999996</v>
      </c>
      <c r="T219" s="199">
        <f>SUM(N219:S219)</f>
        <v>945.91499999999996</v>
      </c>
      <c r="U219" s="199">
        <f>T219+L219</f>
        <v>2005.126</v>
      </c>
      <c r="V219" s="175">
        <f t="shared" ref="V219:W219" si="212">V234+V249</f>
        <v>1845.5840000000001</v>
      </c>
      <c r="W219" s="175">
        <f t="shared" si="212"/>
        <v>-159.542</v>
      </c>
      <c r="X219" s="176">
        <f>U214-U219</f>
        <v>-159.542</v>
      </c>
    </row>
    <row r="220" spans="1:34" s="205" customFormat="1" ht="18" customHeight="1">
      <c r="A220" s="610"/>
      <c r="B220" s="587"/>
      <c r="C220" s="588"/>
      <c r="D220" s="202" t="s">
        <v>29</v>
      </c>
      <c r="E220" s="203"/>
      <c r="F220" s="203">
        <f t="shared" ref="F220:K220" si="213">F214</f>
        <v>0</v>
      </c>
      <c r="G220" s="203">
        <f t="shared" si="213"/>
        <v>313.90800000000002</v>
      </c>
      <c r="H220" s="203">
        <f t="shared" si="213"/>
        <v>502.399</v>
      </c>
      <c r="I220" s="203">
        <f t="shared" si="213"/>
        <v>215.35599999999999</v>
      </c>
      <c r="J220" s="203">
        <f t="shared" si="213"/>
        <v>0</v>
      </c>
      <c r="K220" s="203">
        <f t="shared" si="213"/>
        <v>0</v>
      </c>
      <c r="L220" s="203">
        <f>SUM(F220:K220)</f>
        <v>1031.663</v>
      </c>
      <c r="M220" s="203">
        <f>L220/6</f>
        <v>171.94399999999999</v>
      </c>
      <c r="N220" s="203">
        <f t="shared" ref="N220:S220" si="214">N214+N213</f>
        <v>0</v>
      </c>
      <c r="O220" s="203">
        <f t="shared" si="214"/>
        <v>0</v>
      </c>
      <c r="P220" s="203">
        <f t="shared" si="214"/>
        <v>0</v>
      </c>
      <c r="Q220" s="203">
        <f t="shared" si="214"/>
        <v>0</v>
      </c>
      <c r="R220" s="203">
        <f t="shared" si="214"/>
        <v>0</v>
      </c>
      <c r="S220" s="203">
        <f t="shared" si="214"/>
        <v>813.92100000000005</v>
      </c>
      <c r="T220" s="203">
        <f>SUM(N220:S220)</f>
        <v>813.92100000000005</v>
      </c>
      <c r="U220" s="203">
        <f>T220+L220</f>
        <v>1845.5840000000001</v>
      </c>
      <c r="V220" s="204">
        <f t="shared" ref="V220:W220" si="215">V235+V250</f>
        <v>1845.5840000000001</v>
      </c>
      <c r="W220" s="204">
        <f t="shared" si="215"/>
        <v>0</v>
      </c>
      <c r="Y220" s="532"/>
      <c r="Z220" s="532"/>
      <c r="AA220" s="532"/>
      <c r="AB220" s="532"/>
      <c r="AC220" s="532"/>
      <c r="AD220" s="532"/>
      <c r="AE220" s="532"/>
      <c r="AF220" s="532"/>
      <c r="AG220" s="532"/>
      <c r="AH220" s="532"/>
    </row>
    <row r="221" spans="1:34" s="205" customFormat="1" ht="18" customHeight="1">
      <c r="A221" s="610"/>
      <c r="B221" s="587"/>
      <c r="C221" s="588"/>
      <c r="D221" s="202" t="s">
        <v>30</v>
      </c>
      <c r="E221" s="203"/>
      <c r="F221" s="203">
        <f t="shared" ref="F221:K221" si="216">F217-F220</f>
        <v>0</v>
      </c>
      <c r="G221" s="203">
        <f t="shared" si="216"/>
        <v>0</v>
      </c>
      <c r="H221" s="203">
        <f t="shared" si="216"/>
        <v>-9.3870000000000005</v>
      </c>
      <c r="I221" s="203">
        <f t="shared" si="216"/>
        <v>36.935000000000002</v>
      </c>
      <c r="J221" s="203">
        <f t="shared" si="216"/>
        <v>0</v>
      </c>
      <c r="K221" s="203">
        <f t="shared" si="216"/>
        <v>0</v>
      </c>
      <c r="L221" s="203"/>
      <c r="M221" s="203"/>
      <c r="N221" s="203">
        <f t="shared" ref="N221:S221" si="217">N217-N220</f>
        <v>0</v>
      </c>
      <c r="O221" s="203">
        <f t="shared" si="217"/>
        <v>0</v>
      </c>
      <c r="P221" s="203">
        <f t="shared" si="217"/>
        <v>0</v>
      </c>
      <c r="Q221" s="203">
        <f t="shared" si="217"/>
        <v>0</v>
      </c>
      <c r="R221" s="203">
        <f t="shared" si="217"/>
        <v>0</v>
      </c>
      <c r="S221" s="203">
        <f t="shared" si="217"/>
        <v>131.994</v>
      </c>
      <c r="T221" s="203"/>
      <c r="U221" s="203"/>
      <c r="V221" s="203"/>
      <c r="W221" s="203"/>
    </row>
    <row r="222" spans="1:34" s="205" customFormat="1" ht="18" customHeight="1">
      <c r="A222" s="610"/>
      <c r="B222" s="589"/>
      <c r="C222" s="590"/>
      <c r="D222" s="202" t="s">
        <v>31</v>
      </c>
      <c r="E222" s="203"/>
      <c r="F222" s="203">
        <f>F221</f>
        <v>0</v>
      </c>
      <c r="G222" s="203">
        <f>G221+F222</f>
        <v>0</v>
      </c>
      <c r="H222" s="203">
        <f>H221+G222</f>
        <v>-9.3870000000000005</v>
      </c>
      <c r="I222" s="203">
        <f>I221+H222</f>
        <v>27.547999999999998</v>
      </c>
      <c r="J222" s="203">
        <f>J221+I222</f>
        <v>27.547999999999998</v>
      </c>
      <c r="K222" s="203">
        <f>K221+J222</f>
        <v>27.547999999999998</v>
      </c>
      <c r="L222" s="203"/>
      <c r="M222" s="203"/>
      <c r="N222" s="203">
        <f>N221+K222</f>
        <v>27.547999999999998</v>
      </c>
      <c r="O222" s="203">
        <f>O221+N222</f>
        <v>27.547999999999998</v>
      </c>
      <c r="P222" s="203">
        <f>P221+O222</f>
        <v>27.547999999999998</v>
      </c>
      <c r="Q222" s="203">
        <f>Q221+P222</f>
        <v>27.547999999999998</v>
      </c>
      <c r="R222" s="203">
        <f>R221+Q222</f>
        <v>27.547999999999998</v>
      </c>
      <c r="S222" s="203">
        <f>S221+R222</f>
        <v>159.542</v>
      </c>
      <c r="T222" s="203"/>
      <c r="U222" s="203"/>
      <c r="V222" s="203"/>
      <c r="W222" s="203"/>
    </row>
    <row r="223" spans="1:34" s="186" customFormat="1" ht="18" customHeight="1">
      <c r="A223" s="610"/>
      <c r="B223" s="585" t="s">
        <v>91</v>
      </c>
      <c r="C223" s="586"/>
      <c r="D223" s="178" t="s">
        <v>105</v>
      </c>
      <c r="E223" s="179"/>
      <c r="F223" s="180">
        <f>№2!F223+№5!F223+'№ 6'!F223+№14!F223+'№ 20'!F223+'№ 23'!F223+№27!F223+'№ 31'!F223+'№ 34'!F223+'№ 41'!F223</f>
        <v>131.1</v>
      </c>
      <c r="G223" s="180">
        <f>№2!G223+№5!G223+'№ 6'!G223+№14!G223+'№ 20'!G223+'№ 23'!G223+№27!G223+'№ 31'!G223+'№ 34'!G223+'№ 41'!G223</f>
        <v>89</v>
      </c>
      <c r="H223" s="180">
        <f>№2!H223+№5!H223+'№ 6'!H223+№14!H223+'№ 20'!H223+'№ 23'!H223+№27!H223+'№ 31'!H223+'№ 34'!H223+'№ 41'!H223</f>
        <v>92.9</v>
      </c>
      <c r="I223" s="180">
        <f>№2!I223+№5!I223+'№ 6'!I223+№14!I223+'№ 20'!I223+'№ 23'!I223+№27!I223+'№ 31'!I223+'№ 34'!I223+'№ 41'!I223</f>
        <v>0</v>
      </c>
      <c r="J223" s="180">
        <f>№2!J223+№5!J223+'№ 6'!J223+№14!J223+'№ 20'!J223+'№ 23'!J223+№27!J223+'№ 31'!J223+'№ 34'!J223+'№ 41'!J223</f>
        <v>0</v>
      </c>
      <c r="K223" s="180">
        <f>№2!K223+№5!K223+'№ 6'!K223+№14!K223+'№ 20'!K223+'№ 23'!K223+№27!K223+'№ 31'!K223+'№ 34'!K223+'№ 41'!K223</f>
        <v>0</v>
      </c>
      <c r="L223" s="215">
        <f>SUM(F223:K223)</f>
        <v>313</v>
      </c>
      <c r="M223" s="215">
        <f>L223/6</f>
        <v>52.2</v>
      </c>
      <c r="N223" s="180">
        <f>№2!N223+№5!N223+'№ 6'!N223+№14!N223+'№ 20'!N223+'№ 23'!N223+№27!N223+'№ 31'!N223+'№ 34'!N223+'№ 41'!N223</f>
        <v>0</v>
      </c>
      <c r="O223" s="180">
        <f>№2!O223+№5!O223+'№ 6'!O223+№14!O223+'№ 20'!O223+'№ 23'!O223+№27!O223+'№ 31'!O223+'№ 34'!O223+'№ 41'!O223</f>
        <v>0</v>
      </c>
      <c r="P223" s="180">
        <f>№2!P223+№5!P223+'№ 6'!P223+№14!P223+'№ 20'!P223+'№ 23'!P223+№27!P223+'№ 31'!P223+'№ 34'!P223+'№ 41'!P223</f>
        <v>0</v>
      </c>
      <c r="Q223" s="180">
        <f>№2!Q223+№5!Q223+'№ 6'!Q223+№14!Q223+'№ 20'!Q223+'№ 23'!Q223+№27!Q223+'№ 31'!Q223+'№ 34'!Q223+'№ 41'!Q223</f>
        <v>0</v>
      </c>
      <c r="R223" s="180">
        <f>№2!R223+№5!R223+'№ 6'!R223+№14!R223+'№ 20'!R223+'№ 23'!R223+№27!R223+'№ 31'!R223+'№ 34'!R223+'№ 41'!R223</f>
        <v>103.6</v>
      </c>
      <c r="S223" s="180">
        <f>№2!S223+№5!S223+'№ 6'!S223+№14!S223+'№ 20'!S223+'№ 23'!S223+№27!S223+'№ 31'!S223+'№ 34'!S223+'№ 41'!S223</f>
        <v>127.9</v>
      </c>
      <c r="T223" s="215">
        <f>SUM(N223:S223)</f>
        <v>231.5</v>
      </c>
      <c r="U223" s="215">
        <f>T223+L223</f>
        <v>544.5</v>
      </c>
      <c r="V223" s="233">
        <f>№2!V223+№5!V223+'№ 6'!V223+№14!V223+'№ 20'!V223+'№ 23'!V223+№27!V223+'№ 31'!V223+'№ 34'!V223+'№ 41'!V223</f>
        <v>0</v>
      </c>
      <c r="W223" s="184"/>
      <c r="X223" s="185"/>
    </row>
    <row r="224" spans="1:34" s="186" customFormat="1" ht="18" customHeight="1">
      <c r="A224" s="610"/>
      <c r="B224" s="587"/>
      <c r="C224" s="588"/>
      <c r="D224" s="178" t="s">
        <v>109</v>
      </c>
      <c r="E224" s="179"/>
      <c r="F224" s="180">
        <f>№2!F224+№5!F224+'№ 6'!F224+№14!F224+'№ 20'!F224+'№ 23'!F224+№27!F224+'№ 31'!F224+'№ 34'!F224+'№ 41'!F224</f>
        <v>115.6</v>
      </c>
      <c r="G224" s="180">
        <f>№2!G224+№5!G224+'№ 6'!G224+№14!G224+'№ 20'!G224+'№ 23'!G224+№27!G224+'№ 31'!G224+'№ 34'!G224+'№ 41'!G224</f>
        <v>83.5</v>
      </c>
      <c r="H224" s="180">
        <f>№2!H224+№5!H224+'№ 6'!H224+№14!H224+'№ 20'!H224+'№ 23'!H224+№27!H224+'№ 31'!H224+'№ 34'!H224+'№ 41'!H224</f>
        <v>74.2</v>
      </c>
      <c r="I224" s="180">
        <f>№2!I224+№5!I224+'№ 6'!I224+№14!I224+'№ 20'!I224+'№ 23'!I224+№27!I224+'№ 31'!I224+'№ 34'!I224+'№ 41'!I224</f>
        <v>0</v>
      </c>
      <c r="J224" s="180">
        <f>№2!J224+№5!J224+'№ 6'!J224+№14!J224+'№ 20'!J224+'№ 23'!J224+№27!J224+'№ 31'!J224+'№ 34'!J224+'№ 41'!J224</f>
        <v>0</v>
      </c>
      <c r="K224" s="180">
        <f>№2!K224+№5!K224+'№ 6'!K224+№14!K224+'№ 20'!K224+'№ 23'!K224+№27!K224+'№ 31'!K224+'№ 34'!K224+'№ 41'!K224</f>
        <v>0</v>
      </c>
      <c r="L224" s="215">
        <f>SUM(F224:K224)</f>
        <v>273.3</v>
      </c>
      <c r="M224" s="215">
        <f>L224/6</f>
        <v>45.6</v>
      </c>
      <c r="N224" s="180">
        <f>№2!N224+№5!N224+'№ 6'!N224+№14!N224+'№ 20'!N224+'№ 23'!N224+№27!N224+'№ 31'!N224+'№ 34'!N224+'№ 41'!N224</f>
        <v>0</v>
      </c>
      <c r="O224" s="180">
        <f>№2!O224+№5!O224+'№ 6'!O224+№14!O224+'№ 20'!O224+'№ 23'!O224+№27!O224+'№ 31'!O224+'№ 34'!O224+'№ 41'!O224</f>
        <v>0</v>
      </c>
      <c r="P224" s="180">
        <f>№2!P224+№5!P224+'№ 6'!P224+№14!P224+'№ 20'!P224+'№ 23'!P224+№27!P224+'№ 31'!P224+'№ 34'!P224+'№ 41'!P224</f>
        <v>0</v>
      </c>
      <c r="Q224" s="180">
        <f>№2!Q224+№5!Q224+'№ 6'!Q224+№14!Q224+'№ 20'!Q224+'№ 23'!Q224+№27!Q224+'№ 31'!Q224+'№ 34'!Q224+'№ 41'!Q224</f>
        <v>0</v>
      </c>
      <c r="R224" s="180">
        <f>№2!R224+№5!R224+'№ 6'!R224+№14!R224+'№ 20'!R224+'№ 23'!R224+№27!R224+'№ 31'!R224+'№ 34'!R224+'№ 41'!R224</f>
        <v>103.6</v>
      </c>
      <c r="S224" s="180">
        <f>№2!S224+№5!S224+'№ 6'!S224+№14!S224+'№ 20'!S224+'№ 23'!S224+№27!S224+'№ 31'!S224+'№ 34'!S224+'№ 41'!S224</f>
        <v>127.9</v>
      </c>
      <c r="T224" s="215">
        <f>SUM(N224:S224)</f>
        <v>231.5</v>
      </c>
      <c r="U224" s="215">
        <f>T224+L224</f>
        <v>504.8</v>
      </c>
      <c r="V224" s="233">
        <f>№2!V224+№5!V224+'№ 6'!V224+№14!V224+'№ 20'!V224+'№ 23'!V224+№27!V224+'№ 31'!V224+'№ 34'!V224+'№ 41'!V224</f>
        <v>483.1</v>
      </c>
      <c r="W224" s="184"/>
      <c r="X224" s="185"/>
    </row>
    <row r="225" spans="1:24" s="186" customFormat="1" ht="18" customHeight="1">
      <c r="A225" s="610"/>
      <c r="B225" s="587"/>
      <c r="C225" s="588"/>
      <c r="D225" s="178" t="s">
        <v>116</v>
      </c>
      <c r="E225" s="179"/>
      <c r="F225" s="180">
        <f>№2!F225+№5!F225+'№ 6'!F225+№14!F225+'№ 20'!F225+'№ 23'!F225+№27!F225+'№ 31'!F225+'№ 34'!F225+'№ 41'!F225</f>
        <v>96.1</v>
      </c>
      <c r="G225" s="180">
        <f>№2!G225+№5!G225+'№ 6'!G225+№14!G225+'№ 20'!G225+'№ 23'!G225+№27!G225+'№ 31'!G225+'№ 34'!G225+'№ 41'!G225</f>
        <v>125.4</v>
      </c>
      <c r="H225" s="180">
        <f>№2!H225+№5!H225+'№ 6'!H225+№14!H225+'№ 20'!H225+'№ 23'!H225+№27!H225+'№ 31'!H225+'№ 34'!H225+'№ 41'!H225</f>
        <v>62.3</v>
      </c>
      <c r="I225" s="180">
        <f>№2!I225+№5!I225+'№ 6'!I225+№14!I225+'№ 20'!I225+'№ 23'!I225+№27!I225+'№ 31'!I225+'№ 34'!I225+'№ 41'!I225</f>
        <v>0</v>
      </c>
      <c r="J225" s="180">
        <f>№2!J225+№5!J225+'№ 6'!J225+№14!J225+'№ 20'!J225+'№ 23'!J225+№27!J225+'№ 31'!J225+'№ 34'!J225+'№ 41'!J225</f>
        <v>0</v>
      </c>
      <c r="K225" s="180">
        <f>№2!K225+№5!K225+'№ 6'!K225+№14!K225+'№ 20'!K225+'№ 23'!K225+№27!K225+'№ 31'!K225+'№ 34'!K225+'№ 41'!K225</f>
        <v>0</v>
      </c>
      <c r="L225" s="215">
        <f>SUM(F225:K225)</f>
        <v>283.8</v>
      </c>
      <c r="M225" s="215">
        <f>L225/6</f>
        <v>47.3</v>
      </c>
      <c r="N225" s="180">
        <f>№2!N225+№5!N225+'№ 6'!N225+№14!N225+'№ 20'!N225+'№ 23'!N225+№27!N225+'№ 31'!N225+'№ 34'!N225+'№ 41'!N225</f>
        <v>0</v>
      </c>
      <c r="O225" s="180">
        <f>№2!O225+№5!O225+'№ 6'!O225+№14!O225+'№ 20'!O225+'№ 23'!O225+№27!O225+'№ 31'!O225+'№ 34'!O225+'№ 41'!O225</f>
        <v>0</v>
      </c>
      <c r="P225" s="180">
        <f>№2!P225+№5!P225+'№ 6'!P225+№14!P225+'№ 20'!P225+'№ 23'!P225+№27!P225+'№ 31'!P225+'№ 34'!P225+'№ 41'!P225</f>
        <v>0</v>
      </c>
      <c r="Q225" s="180">
        <f>№2!Q225+№5!Q225+'№ 6'!Q225+№14!Q225+'№ 20'!Q225+'№ 23'!Q225+№27!Q225+'№ 31'!Q225+'№ 34'!Q225+'№ 41'!Q225</f>
        <v>0</v>
      </c>
      <c r="R225" s="180">
        <f>№2!R225+№5!R225+'№ 6'!R225+№14!R225+'№ 20'!R225+'№ 23'!R225+№27!R225+'№ 31'!R225+'№ 34'!R225+'№ 41'!R225</f>
        <v>103.6</v>
      </c>
      <c r="S225" s="180">
        <f>№2!S225+№5!S225+'№ 6'!S225+№14!S225+'№ 20'!S225+'№ 23'!S225+№27!S225+'№ 31'!S225+'№ 34'!S225+'№ 41'!S225</f>
        <v>127.9</v>
      </c>
      <c r="T225" s="215">
        <f>SUM(N225:S225)</f>
        <v>231.5</v>
      </c>
      <c r="U225" s="215">
        <f>T225+L225</f>
        <v>515.29999999999995</v>
      </c>
      <c r="V225" s="233">
        <f>№2!V225+№5!V225+'№ 6'!V225+№14!V225+'№ 20'!V225+'№ 23'!V225+№27!V225+'№ 31'!V225+'№ 34'!V225+'№ 41'!V225</f>
        <v>564.79999999999995</v>
      </c>
      <c r="W225" s="184">
        <f>V225-U225</f>
        <v>49.5</v>
      </c>
      <c r="X225" s="185"/>
    </row>
    <row r="226" spans="1:24" s="190" customFormat="1" ht="18" customHeight="1">
      <c r="A226" s="610"/>
      <c r="B226" s="587"/>
      <c r="C226" s="588"/>
      <c r="D226" s="187" t="s">
        <v>27</v>
      </c>
      <c r="E226" s="188"/>
      <c r="F226" s="188">
        <f t="shared" ref="F226:K226" si="218">F227*1000/F225</f>
        <v>3266.4720000000002</v>
      </c>
      <c r="G226" s="188">
        <f t="shared" si="218"/>
        <v>3931.5149999999999</v>
      </c>
      <c r="H226" s="188">
        <f t="shared" si="218"/>
        <v>4049.6149999999998</v>
      </c>
      <c r="I226" s="188" t="e">
        <f t="shared" si="218"/>
        <v>#DIV/0!</v>
      </c>
      <c r="J226" s="188" t="e">
        <f t="shared" si="218"/>
        <v>#DIV/0!</v>
      </c>
      <c r="K226" s="188" t="e">
        <f t="shared" si="218"/>
        <v>#DIV/0!</v>
      </c>
      <c r="L226" s="217">
        <f>L227/L225*1000</f>
        <v>3732.24</v>
      </c>
      <c r="M226" s="217">
        <f>M227/M225*1000</f>
        <v>3732.24</v>
      </c>
      <c r="N226" s="188" t="e">
        <f t="shared" ref="N226:S226" si="219">N227*1000/N225</f>
        <v>#DIV/0!</v>
      </c>
      <c r="O226" s="188" t="e">
        <f t="shared" si="219"/>
        <v>#DIV/0!</v>
      </c>
      <c r="P226" s="188" t="e">
        <f t="shared" si="219"/>
        <v>#DIV/0!</v>
      </c>
      <c r="Q226" s="188" t="e">
        <f t="shared" si="219"/>
        <v>#DIV/0!</v>
      </c>
      <c r="R226" s="188">
        <f t="shared" si="219"/>
        <v>4086.0230000000001</v>
      </c>
      <c r="S226" s="188">
        <f t="shared" si="219"/>
        <v>4086.0279999999998</v>
      </c>
      <c r="T226" s="217">
        <f>T227/T225*1000</f>
        <v>4086.03</v>
      </c>
      <c r="U226" s="217">
        <f>U227/U225*1000</f>
        <v>3891.18</v>
      </c>
      <c r="V226" s="218">
        <f t="shared" ref="V226" si="220">V227*1000/V225</f>
        <v>3267.6770000000001</v>
      </c>
      <c r="W226" s="189">
        <f>W227/W225*1000</f>
        <v>-3223.0709999999999</v>
      </c>
      <c r="X226" s="225"/>
    </row>
    <row r="227" spans="1:24" s="196" customFormat="1" ht="18" customHeight="1">
      <c r="A227" s="610"/>
      <c r="B227" s="587"/>
      <c r="C227" s="588"/>
      <c r="D227" s="191" t="s">
        <v>0</v>
      </c>
      <c r="E227" s="192"/>
      <c r="F227" s="192">
        <f>№2!F227+№5!F227+'№ 6'!F227+№14!F227+'№ 20'!F227+'№ 23'!F227+№27!F227+'№ 31'!F227+'№ 34'!F227+'№ 41'!F227</f>
        <v>313.90800000000002</v>
      </c>
      <c r="G227" s="192">
        <f>№2!G227+№5!G227+'№ 6'!G227+№14!G227+'№ 20'!G227+'№ 23'!G227+№27!G227+'№ 31'!G227+'№ 34'!G227+'№ 41'!G227</f>
        <v>493.012</v>
      </c>
      <c r="H227" s="192">
        <f>№2!H227+№5!H227+'№ 6'!H227+№14!H227+'№ 20'!H227+'№ 23'!H227+№27!H227+'№ 31'!H227+'№ 34'!H227+'№ 41'!H227</f>
        <v>252.291</v>
      </c>
      <c r="I227" s="192">
        <f>№2!I227+№5!I227+'№ 6'!I227+№14!I227+'№ 20'!I227+'№ 23'!I227+№27!I227+'№ 31'!I227+'№ 34'!I227+'№ 41'!I227</f>
        <v>0</v>
      </c>
      <c r="J227" s="192">
        <f>№2!J227+№5!J227+'№ 6'!J227+№14!J227+'№ 20'!J227+'№ 23'!J227+№27!J227+'№ 31'!J227+'№ 34'!J227+'№ 41'!J227</f>
        <v>0</v>
      </c>
      <c r="K227" s="192">
        <f>№2!K227+№5!K227+'№ 6'!K227+№14!K227+'№ 20'!K227+'№ 23'!K227+№27!K227+'№ 31'!K227+'№ 34'!K227+'№ 41'!K227</f>
        <v>0</v>
      </c>
      <c r="L227" s="194">
        <f>SUM(F227:K227)</f>
        <v>1059.211</v>
      </c>
      <c r="M227" s="194">
        <f>L227/6</f>
        <v>176.535</v>
      </c>
      <c r="N227" s="192">
        <f>№2!N227+№5!N227+'№ 6'!N227+№14!N227+'№ 20'!N227+'№ 23'!N227+№27!N227+'№ 31'!N227+'№ 34'!N227+'№ 41'!N227</f>
        <v>0</v>
      </c>
      <c r="O227" s="192">
        <f>№2!O227+№5!O227+'№ 6'!O227+№14!O227+'№ 20'!O227+'№ 23'!O227+№27!O227+'№ 31'!O227+'№ 34'!O227+'№ 41'!O227</f>
        <v>0</v>
      </c>
      <c r="P227" s="192">
        <f>№2!P227+№5!P227+'№ 6'!P227+№14!P227+'№ 20'!P227+'№ 23'!P227+№27!P227+'№ 31'!P227+'№ 34'!P227+'№ 41'!P227</f>
        <v>0</v>
      </c>
      <c r="Q227" s="192">
        <f>№2!Q227+№5!Q227+'№ 6'!Q227+№14!Q227+'№ 20'!Q227+'№ 23'!Q227+№27!Q227+'№ 31'!Q227+'№ 34'!Q227+'№ 41'!Q227</f>
        <v>0</v>
      </c>
      <c r="R227" s="192">
        <f>№2!R227+№5!R227+'№ 6'!R227+№14!R227+'№ 20'!R227+'№ 23'!R227+№27!R227+'№ 31'!R227+'№ 34'!R227+'№ 41'!R227</f>
        <v>423.31200000000001</v>
      </c>
      <c r="S227" s="192">
        <f>№2!S227+№5!S227+'№ 6'!S227+№14!S227+'№ 20'!S227+'№ 23'!S227+№27!S227+'№ 31'!S227+'№ 34'!S227+'№ 41'!S227</f>
        <v>522.60299999999995</v>
      </c>
      <c r="T227" s="194">
        <f>SUM(N227:S227)</f>
        <v>945.91499999999996</v>
      </c>
      <c r="U227" s="194">
        <f>T227+L227</f>
        <v>2005.126</v>
      </c>
      <c r="V227" s="194">
        <f>№2!V227+№5!V227+'№ 6'!V227+№14!V227+'№ 20'!V227+'№ 23'!V227+№27!V227+'№ 31'!V227+'№ 34'!V227+'№ 41'!V227</f>
        <v>1845.5840000000001</v>
      </c>
      <c r="W227" s="193">
        <f>V227-U227</f>
        <v>-159.542</v>
      </c>
      <c r="X227" s="224">
        <f>2726951.723/1000</f>
        <v>2726.9520000000002</v>
      </c>
    </row>
    <row r="228" spans="1:24" s="196" customFormat="1" ht="18" customHeight="1">
      <c r="A228" s="610"/>
      <c r="B228" s="587"/>
      <c r="C228" s="588"/>
      <c r="D228" s="174" t="s">
        <v>55</v>
      </c>
      <c r="E228" s="210"/>
      <c r="F228" s="192">
        <f>№2!F228+№5!F228+'№ 6'!F228+№14!F228+'№ 20'!F228+'№ 23'!F228+№27!F228+'№ 31'!F228+'№ 34'!F228+'№ 41'!F228</f>
        <v>0</v>
      </c>
      <c r="G228" s="192">
        <f>№2!G228+№5!G228+'№ 6'!G228+№14!G228+'№ 20'!G228+'№ 23'!G228+№27!G228+'№ 31'!G228+'№ 34'!G228+'№ 41'!G228</f>
        <v>0</v>
      </c>
      <c r="H228" s="192">
        <f>№2!H228+№5!H228+'№ 6'!H228+№14!H228+'№ 20'!H228+'№ 23'!H228+№27!H228+'№ 31'!H228+'№ 34'!H228+'№ 41'!H228</f>
        <v>0</v>
      </c>
      <c r="I228" s="192">
        <f>№2!I228+№5!I228+'№ 6'!I228+№14!I228+'№ 20'!I228+'№ 23'!I228+№27!I228+'№ 31'!I228+'№ 34'!I228+'№ 41'!I228</f>
        <v>0</v>
      </c>
      <c r="J228" s="192">
        <f>№2!J228+№5!J228+'№ 6'!J228+№14!J228+'№ 20'!J228+'№ 23'!J228+№27!J228+'№ 31'!J228+'№ 34'!J228+'№ 41'!J228</f>
        <v>0</v>
      </c>
      <c r="K228" s="192">
        <f>№2!K228+№5!K228+'№ 6'!K228+№14!K228+'№ 20'!K228+'№ 23'!K228+№27!K228+'№ 31'!K228+'№ 34'!K228+'№ 41'!K228</f>
        <v>0</v>
      </c>
      <c r="L228" s="194">
        <f>SUM(F228:K228)</f>
        <v>0</v>
      </c>
      <c r="M228" s="194">
        <f>L228/6</f>
        <v>0</v>
      </c>
      <c r="N228" s="192">
        <f>№2!N228+№5!N228+'№ 6'!N228+№14!N228+'№ 20'!N228+'№ 23'!N228+№27!N228+'№ 31'!N228+'№ 34'!N228+'№ 41'!N228</f>
        <v>0</v>
      </c>
      <c r="O228" s="192">
        <f>№2!O228+№5!O228+'№ 6'!O228+№14!O228+'№ 20'!O228+'№ 23'!O228+№27!O228+'№ 31'!O228+'№ 34'!O228+'№ 41'!O228</f>
        <v>0</v>
      </c>
      <c r="P228" s="192">
        <f>№2!P228+№5!P228+'№ 6'!P228+№14!P228+'№ 20'!P228+'№ 23'!P228+№27!P228+'№ 31'!P228+'№ 34'!P228+'№ 41'!P228</f>
        <v>0</v>
      </c>
      <c r="Q228" s="192">
        <f>№2!Q228+№5!Q228+'№ 6'!Q228+№14!Q228+'№ 20'!Q228+'№ 23'!Q228+№27!Q228+'№ 31'!Q228+'№ 34'!Q228+'№ 41'!Q228</f>
        <v>0</v>
      </c>
      <c r="R228" s="192">
        <f>№2!R228+№5!R228+'№ 6'!R228+№14!R228+'№ 20'!R228+'№ 23'!R228+№27!R228+'№ 31'!R228+'№ 34'!R228+'№ 41'!R228</f>
        <v>0</v>
      </c>
      <c r="S228" s="192">
        <f>№2!S228+№5!S228+'№ 6'!S228+№14!S228+'№ 20'!S228+'№ 23'!S228+№27!S228+'№ 31'!S228+'№ 34'!S228+'№ 41'!S228</f>
        <v>0</v>
      </c>
      <c r="T228" s="194">
        <f>SUM(N228:S228)</f>
        <v>0</v>
      </c>
      <c r="U228" s="194">
        <f>T228+L228</f>
        <v>0</v>
      </c>
      <c r="V228" s="194">
        <f>№2!V228+№5!V228+'№ 6'!V228+№14!V228+'№ 20'!V228+'№ 23'!V228+№27!V228+'№ 31'!V228+'№ 34'!V228+'№ 41'!V228</f>
        <v>0</v>
      </c>
      <c r="W228" s="193">
        <f>V228-U228</f>
        <v>0</v>
      </c>
      <c r="X228" s="195"/>
    </row>
    <row r="229" spans="1:24" s="196" customFormat="1" ht="18" customHeight="1">
      <c r="A229" s="610"/>
      <c r="B229" s="587"/>
      <c r="C229" s="588"/>
      <c r="D229" s="174" t="s">
        <v>28</v>
      </c>
      <c r="E229" s="210"/>
      <c r="F229" s="192">
        <f>№2!F229+№5!F229+'№ 6'!F229+№14!F229+'№ 20'!F229+'№ 23'!F229+№27!F229+'№ 31'!F229+'№ 34'!F229+'№ 41'!F229</f>
        <v>0</v>
      </c>
      <c r="G229" s="192">
        <f>№2!G229+№5!G229+'№ 6'!G229+№14!G229+'№ 20'!G229+'№ 23'!G229+№27!G229+'№ 31'!G229+'№ 34'!G229+'№ 41'!G229</f>
        <v>313.90800000000002</v>
      </c>
      <c r="H229" s="192">
        <f>№2!H229+№5!H229+'№ 6'!H229+№14!H229+'№ 20'!H229+'№ 23'!H229+№27!H229+'№ 31'!H229+'№ 34'!H229+'№ 41'!H229</f>
        <v>502.399</v>
      </c>
      <c r="I229" s="192">
        <f>№2!I229+№5!I229+'№ 6'!I229+№14!I229+'№ 20'!I229+'№ 23'!I229+№27!I229+'№ 31'!I229+'№ 34'!I229+'№ 41'!I229</f>
        <v>215.35599999999999</v>
      </c>
      <c r="J229" s="192">
        <f>№2!J229+№5!J229+'№ 6'!J229+№14!J229+'№ 20'!J229+'№ 23'!J229+№27!J229+'№ 31'!J229+'№ 34'!J229+'№ 41'!J229</f>
        <v>0</v>
      </c>
      <c r="K229" s="192">
        <f>№2!K229+№5!K229+'№ 6'!K229+№14!K229+'№ 20'!K229+'№ 23'!K229+№27!K229+'№ 31'!K229+'№ 34'!K229+'№ 41'!K229</f>
        <v>0</v>
      </c>
      <c r="L229" s="194">
        <f>SUM(F229:K229)</f>
        <v>1031.663</v>
      </c>
      <c r="M229" s="194">
        <f>L229/6</f>
        <v>171.94399999999999</v>
      </c>
      <c r="N229" s="192">
        <f>№2!N229+№5!N229+'№ 6'!N229+№14!N229+'№ 20'!N229+'№ 23'!N229+№27!N229+'№ 31'!N229+'№ 34'!N229+'№ 41'!N229</f>
        <v>0</v>
      </c>
      <c r="O229" s="192">
        <f>№2!O229+№5!O229+'№ 6'!O229+№14!O229+'№ 20'!O229+'№ 23'!O229+№27!O229+'№ 31'!O229+'№ 34'!O229+'№ 41'!O229</f>
        <v>0</v>
      </c>
      <c r="P229" s="192">
        <f>№2!P229+№5!P229+'№ 6'!P229+№14!P229+'№ 20'!P229+'№ 23'!P229+№27!P229+'№ 31'!P229+'№ 34'!P229+'№ 41'!P229</f>
        <v>0</v>
      </c>
      <c r="Q229" s="192">
        <f>№2!Q229+№5!Q229+'№ 6'!Q229+№14!Q229+'№ 20'!Q229+'№ 23'!Q229+№27!Q229+'№ 31'!Q229+'№ 34'!Q229+'№ 41'!Q229</f>
        <v>0</v>
      </c>
      <c r="R229" s="192">
        <f>№2!R229+№5!R229+'№ 6'!R229+№14!R229+'№ 20'!R229+'№ 23'!R229+№27!R229+'№ 31'!R229+'№ 34'!R229+'№ 41'!R229</f>
        <v>0</v>
      </c>
      <c r="S229" s="192">
        <f>№2!S229+№5!S229+'№ 6'!S229+№14!S229+'№ 20'!S229+'№ 23'!S229+№27!S229+'№ 31'!S229+'№ 34'!S229+'№ 41'!S229</f>
        <v>813.92100000000005</v>
      </c>
      <c r="T229" s="194">
        <f>SUM(N229:S229)</f>
        <v>813.92100000000005</v>
      </c>
      <c r="U229" s="194">
        <f>T229+L229</f>
        <v>1845.5840000000001</v>
      </c>
      <c r="V229" s="194">
        <f>№2!V229+№5!V229+'№ 6'!V229+№14!V229+'№ 20'!V229+'№ 23'!V229+№27!V229+'№ 31'!V229+'№ 34'!V229+'№ 41'!V229</f>
        <v>1845.5840000000001</v>
      </c>
      <c r="W229" s="193">
        <f>V229-U229</f>
        <v>0</v>
      </c>
      <c r="X229" s="195"/>
    </row>
    <row r="230" spans="1:24" s="186" customFormat="1" ht="18" customHeight="1">
      <c r="A230" s="610"/>
      <c r="B230" s="587"/>
      <c r="C230" s="588"/>
      <c r="D230" s="178" t="s">
        <v>117</v>
      </c>
      <c r="E230" s="179">
        <f>№2!E230+№5!E230+'№ 6'!E230+№14!E230+'№ 20'!E230+'№ 23'!E230+№27!E230+'№ 31'!E230+'№ 34'!E230+'№ 41'!E230</f>
        <v>0</v>
      </c>
      <c r="F230" s="179">
        <f>№2!F230+№5!F230+'№ 6'!F230+№14!F230+'№ 20'!F230+'№ 23'!F230+№27!F230+'№ 31'!F230+'№ 34'!F230+'№ 41'!F230</f>
        <v>0</v>
      </c>
      <c r="G230" s="179">
        <f>№2!G230+№5!G230+'№ 6'!G230+№14!G230+'№ 20'!G230+'№ 23'!G230+№27!G230+'№ 31'!G230+'№ 34'!G230+'№ 41'!G230</f>
        <v>96.1</v>
      </c>
      <c r="H230" s="179">
        <f>№2!H230+№5!H230+'№ 6'!H230+№14!H230+'№ 20'!H230+'№ 23'!H230+№27!H230+'№ 31'!H230+'№ 34'!H230+'№ 41'!H230</f>
        <v>125.4</v>
      </c>
      <c r="I230" s="179">
        <f>№2!I230+№5!I230+'№ 6'!I230+№14!I230+'№ 20'!I230+'№ 23'!I230+№27!I230+'№ 31'!I230+'№ 34'!I230+'№ 41'!I230</f>
        <v>62.3</v>
      </c>
      <c r="J230" s="179">
        <f>№2!J230+№5!J230+'№ 6'!J230+№14!J230+'№ 20'!J230+'№ 23'!J230+№27!J230+'№ 31'!J230+'№ 34'!J230+'№ 41'!J230</f>
        <v>0</v>
      </c>
      <c r="K230" s="179">
        <f>№2!K230+№5!K230+'№ 6'!K230+№14!K230+'№ 20'!K230+'№ 23'!K230+№27!K230+'№ 31'!K230+'№ 34'!K230+'№ 41'!K230</f>
        <v>0</v>
      </c>
      <c r="L230" s="215">
        <f>SUM(F230:K230)</f>
        <v>283.8</v>
      </c>
      <c r="M230" s="215">
        <f>L230/6</f>
        <v>47.3</v>
      </c>
      <c r="N230" s="179">
        <f>№2!N230+№5!N230+'№ 6'!N230+№14!N230+'№ 20'!N230+'№ 23'!N230+№27!N230+'№ 31'!N230+'№ 34'!N230+'№ 41'!N230</f>
        <v>0</v>
      </c>
      <c r="O230" s="179">
        <f>№2!O230+№5!O230+'№ 6'!O230+№14!O230+'№ 20'!O230+'№ 23'!O230+№27!O230+'№ 31'!O230+'№ 34'!O230+'№ 41'!O230</f>
        <v>0</v>
      </c>
      <c r="P230" s="179">
        <f>№2!P230+№5!P230+'№ 6'!P230+№14!P230+'№ 20'!P230+'№ 23'!P230+№27!P230+'№ 31'!P230+'№ 34'!P230+'№ 41'!P230</f>
        <v>0</v>
      </c>
      <c r="Q230" s="179">
        <f>№2!Q230+№5!Q230+'№ 6'!Q230+№14!Q230+'№ 20'!Q230+'№ 23'!Q230+№27!Q230+'№ 31'!Q230+'№ 34'!Q230+'№ 41'!Q230</f>
        <v>0</v>
      </c>
      <c r="R230" s="179">
        <f>№2!R230+№5!R230+'№ 6'!R230+№14!R230+'№ 20'!R230+'№ 23'!R230+№27!R230+'№ 31'!R230+'№ 34'!R230+'№ 41'!R230</f>
        <v>0</v>
      </c>
      <c r="S230" s="179">
        <f>№2!S230+№5!S230+'№ 6'!S230+№14!S230+'№ 20'!S230+'№ 23'!S230+№27!S230+'№ 31'!S230+'№ 34'!S230+'№ 41'!S230</f>
        <v>231.5</v>
      </c>
      <c r="T230" s="215">
        <f>SUM(N230:S230)</f>
        <v>231.5</v>
      </c>
      <c r="U230" s="215">
        <f>T230+L230</f>
        <v>515.29999999999995</v>
      </c>
      <c r="V230" s="179">
        <f>№2!V230+№5!V230+'№ 6'!V230+№14!V230+'№ 20'!V230+'№ 23'!V230+№27!V230+'№ 31'!V230+'№ 34'!V230+'№ 41'!V230</f>
        <v>564.79999999999995</v>
      </c>
      <c r="W230" s="184">
        <f>V230-U230</f>
        <v>49.5</v>
      </c>
      <c r="X230" s="279">
        <f>U225-U230</f>
        <v>0</v>
      </c>
    </row>
    <row r="231" spans="1:24" s="190" customFormat="1" ht="18" customHeight="1">
      <c r="A231" s="610"/>
      <c r="B231" s="587"/>
      <c r="C231" s="588"/>
      <c r="D231" s="187" t="s">
        <v>27</v>
      </c>
      <c r="E231" s="188" t="e">
        <f t="shared" ref="E231:K231" si="221">E232*1000/E230</f>
        <v>#DIV/0!</v>
      </c>
      <c r="F231" s="188" t="e">
        <f t="shared" si="221"/>
        <v>#DIV/0!</v>
      </c>
      <c r="G231" s="188">
        <f t="shared" si="221"/>
        <v>3266.4720000000002</v>
      </c>
      <c r="H231" s="188">
        <f t="shared" si="221"/>
        <v>3931.5149999999999</v>
      </c>
      <c r="I231" s="188">
        <f t="shared" si="221"/>
        <v>4049.6149999999998</v>
      </c>
      <c r="J231" s="188" t="e">
        <f t="shared" si="221"/>
        <v>#DIV/0!</v>
      </c>
      <c r="K231" s="188" t="e">
        <f t="shared" si="221"/>
        <v>#DIV/0!</v>
      </c>
      <c r="L231" s="217">
        <f>L232/L230*1000</f>
        <v>3732.24</v>
      </c>
      <c r="M231" s="217">
        <f>M232/M230*1000</f>
        <v>3732.24</v>
      </c>
      <c r="N231" s="188" t="e">
        <f t="shared" ref="N231:S231" si="222">N232*1000/N230</f>
        <v>#DIV/0!</v>
      </c>
      <c r="O231" s="188" t="e">
        <f t="shared" si="222"/>
        <v>#DIV/0!</v>
      </c>
      <c r="P231" s="188" t="e">
        <f t="shared" si="222"/>
        <v>#DIV/0!</v>
      </c>
      <c r="Q231" s="188" t="e">
        <f t="shared" si="222"/>
        <v>#DIV/0!</v>
      </c>
      <c r="R231" s="188" t="e">
        <f t="shared" si="222"/>
        <v>#DIV/0!</v>
      </c>
      <c r="S231" s="188">
        <f t="shared" si="222"/>
        <v>4086.0259999999998</v>
      </c>
      <c r="T231" s="217">
        <f>T232/T230*1000</f>
        <v>4086.03</v>
      </c>
      <c r="U231" s="217">
        <f>U232/U230*1000</f>
        <v>3891.18</v>
      </c>
      <c r="V231" s="218">
        <f t="shared" ref="V231" si="223">V232*1000/V230</f>
        <v>3267.6770000000001</v>
      </c>
      <c r="W231" s="189">
        <f>W232/W230*1000</f>
        <v>-3223.0709999999999</v>
      </c>
      <c r="X231" s="225"/>
    </row>
    <row r="232" spans="1:24" s="176" customFormat="1" ht="18" customHeight="1">
      <c r="A232" s="610"/>
      <c r="B232" s="587"/>
      <c r="C232" s="588"/>
      <c r="D232" s="198" t="s">
        <v>25</v>
      </c>
      <c r="E232" s="199">
        <f>№2!E232+№5!E232+'№ 6'!E232+№14!E232+'№ 20'!E232+'№ 23'!E232+№27!E232+'№ 31'!E232+'№ 34'!E232+'№ 41'!E232</f>
        <v>0</v>
      </c>
      <c r="F232" s="199">
        <f>№2!F232+№5!F232+'№ 6'!F232+№14!F232+'№ 20'!F232+'№ 23'!F232+№27!F232+'№ 31'!F232+'№ 34'!F232+'№ 41'!F232</f>
        <v>0</v>
      </c>
      <c r="G232" s="199">
        <f>№2!G232+№5!G232+'№ 6'!G232+№14!G232+'№ 20'!G232+'№ 23'!G232+№27!G232+'№ 31'!G232+'№ 34'!G232+'№ 41'!G232</f>
        <v>313.90800000000002</v>
      </c>
      <c r="H232" s="199">
        <f>№2!H232+№5!H232+'№ 6'!H232+№14!H232+'№ 20'!H232+'№ 23'!H232+№27!H232+'№ 31'!H232+'№ 34'!H232+'№ 41'!H232</f>
        <v>493.012</v>
      </c>
      <c r="I232" s="199">
        <f>№2!I232+№5!I232+'№ 6'!I232+№14!I232+'№ 20'!I232+'№ 23'!I232+№27!I232+'№ 31'!I232+'№ 34'!I232+'№ 41'!I232</f>
        <v>252.291</v>
      </c>
      <c r="J232" s="199">
        <f>№2!J232+№5!J232+'№ 6'!J232+№14!J232+'№ 20'!J232+'№ 23'!J232+№27!J232+'№ 31'!J232+'№ 34'!J232+'№ 41'!J232</f>
        <v>0</v>
      </c>
      <c r="K232" s="199">
        <f>№2!K232+№5!K232+'№ 6'!K232+№14!K232+'№ 20'!K232+'№ 23'!K232+№27!K232+'№ 31'!K232+'№ 34'!K232+'№ 41'!K232</f>
        <v>0</v>
      </c>
      <c r="L232" s="199">
        <f>SUM(F232:K232)</f>
        <v>1059.211</v>
      </c>
      <c r="M232" s="199">
        <f>L232/6</f>
        <v>176.535</v>
      </c>
      <c r="N232" s="199">
        <f>№2!N232+№5!N232+'№ 6'!N232+№14!N232+'№ 20'!N232+'№ 23'!N232+№27!N232+'№ 31'!N232+'№ 34'!N232+'№ 41'!N232</f>
        <v>0</v>
      </c>
      <c r="O232" s="199">
        <f>№2!O232+№5!O232+'№ 6'!O232+№14!O232+'№ 20'!O232+'№ 23'!O232+№27!O232+'№ 31'!O232+'№ 34'!O232+'№ 41'!O232</f>
        <v>0</v>
      </c>
      <c r="P232" s="199">
        <f>№2!P232+№5!P232+'№ 6'!P232+№14!P232+'№ 20'!P232+'№ 23'!P232+№27!P232+'№ 31'!P232+'№ 34'!P232+'№ 41'!P232</f>
        <v>0</v>
      </c>
      <c r="Q232" s="199">
        <f>№2!Q232+№5!Q232+'№ 6'!Q232+№14!Q232+'№ 20'!Q232+'№ 23'!Q232+№27!Q232+'№ 31'!Q232+'№ 34'!Q232+'№ 41'!Q232</f>
        <v>0</v>
      </c>
      <c r="R232" s="199">
        <f>№2!R232+№5!R232+'№ 6'!R232+№14!R232+'№ 20'!R232+'№ 23'!R232+№27!R232+'№ 31'!R232+'№ 34'!R232+'№ 41'!R232</f>
        <v>0</v>
      </c>
      <c r="S232" s="199">
        <f>№2!S232+№5!S232+'№ 6'!S232+№14!S232+'№ 20'!S232+'№ 23'!S232+№27!S232+'№ 31'!S232+'№ 34'!S232+'№ 41'!S232</f>
        <v>945.91499999999996</v>
      </c>
      <c r="T232" s="199">
        <f>SUM(N232:S232)</f>
        <v>945.91499999999996</v>
      </c>
      <c r="U232" s="199">
        <f>T232+L232</f>
        <v>2005.126</v>
      </c>
      <c r="V232" s="199">
        <f>№2!V232+№5!V232+'№ 6'!V232+№14!V232+'№ 20'!V232+'№ 23'!V232+№27!V232+'№ 31'!V232+'№ 34'!V232+'№ 41'!V232</f>
        <v>1845.5840000000001</v>
      </c>
      <c r="W232" s="221">
        <f>V232-U232</f>
        <v>-159.542</v>
      </c>
      <c r="X232" s="176">
        <f>U227-U232</f>
        <v>0</v>
      </c>
    </row>
    <row r="233" spans="1:24" s="176" customFormat="1" ht="18" customHeight="1">
      <c r="A233" s="610"/>
      <c r="B233" s="587"/>
      <c r="C233" s="588"/>
      <c r="D233" s="201" t="s">
        <v>55</v>
      </c>
      <c r="E233" s="220"/>
      <c r="F233" s="199">
        <f>№2!F233+№5!F233+'№ 6'!F233+№14!F233+'№ 20'!F233+'№ 23'!F233+№27!F233+'№ 31'!F233+'№ 34'!F233+'№ 41'!F233</f>
        <v>0</v>
      </c>
      <c r="G233" s="199">
        <f>№2!G233+№5!G233+'№ 6'!G233+№14!G233+'№ 20'!G233+'№ 23'!G233+№27!G233+'№ 31'!G233+'№ 34'!G233+'№ 41'!G233</f>
        <v>0</v>
      </c>
      <c r="H233" s="199">
        <f>№2!H233+№5!H233+'№ 6'!H233+№14!H233+'№ 20'!H233+'№ 23'!H233+№27!H233+'№ 31'!H233+'№ 34'!H233+'№ 41'!H233</f>
        <v>0</v>
      </c>
      <c r="I233" s="199">
        <f>№2!I233+№5!I233+'№ 6'!I233+№14!I233+'№ 20'!I233+'№ 23'!I233+№27!I233+'№ 31'!I233+'№ 34'!I233+'№ 41'!I233</f>
        <v>0</v>
      </c>
      <c r="J233" s="199">
        <f>№2!J233+№5!J233+'№ 6'!J233+№14!J233+'№ 20'!J233+'№ 23'!J233+№27!J233+'№ 31'!J233+'№ 34'!J233+'№ 41'!J233</f>
        <v>0</v>
      </c>
      <c r="K233" s="199">
        <f>№2!K233+№5!K233+'№ 6'!K233+№14!K233+'№ 20'!K233+'№ 23'!K233+№27!K233+'№ 31'!K233+'№ 34'!K233+'№ 41'!K233</f>
        <v>0</v>
      </c>
      <c r="L233" s="199">
        <f>SUM(F233:K233)</f>
        <v>0</v>
      </c>
      <c r="M233" s="199">
        <f>L233/6</f>
        <v>0</v>
      </c>
      <c r="N233" s="199">
        <f>№2!N233+№5!N233+'№ 6'!N233+№14!N233+'№ 20'!N233+'№ 23'!N233+№27!N233+'№ 31'!N233+'№ 34'!N233+'№ 41'!N233</f>
        <v>0</v>
      </c>
      <c r="O233" s="199">
        <f>№2!O233+№5!O233+'№ 6'!O233+№14!O233+'№ 20'!O233+'№ 23'!O233+№27!O233+'№ 31'!O233+'№ 34'!O233+'№ 41'!O233</f>
        <v>0</v>
      </c>
      <c r="P233" s="199">
        <f>№2!P233+№5!P233+'№ 6'!P233+№14!P233+'№ 20'!P233+'№ 23'!P233+№27!P233+'№ 31'!P233+'№ 34'!P233+'№ 41'!P233</f>
        <v>0</v>
      </c>
      <c r="Q233" s="199">
        <f>№2!Q233+№5!Q233+'№ 6'!Q233+№14!Q233+'№ 20'!Q233+'№ 23'!Q233+№27!Q233+'№ 31'!Q233+'№ 34'!Q233+'№ 41'!Q233</f>
        <v>0</v>
      </c>
      <c r="R233" s="199">
        <f>№2!R233+№5!R233+'№ 6'!R233+№14!R233+'№ 20'!R233+'№ 23'!R233+№27!R233+'№ 31'!R233+'№ 34'!R233+'№ 41'!R233</f>
        <v>0</v>
      </c>
      <c r="S233" s="199">
        <f>№2!S233+№5!S233+'№ 6'!S233+№14!S233+'№ 20'!S233+'№ 23'!S233+№27!S233+'№ 31'!S233+'№ 34'!S233+'№ 41'!S233</f>
        <v>0</v>
      </c>
      <c r="T233" s="199">
        <f>SUM(N233:S233)</f>
        <v>0</v>
      </c>
      <c r="U233" s="199">
        <f>T233+L233</f>
        <v>0</v>
      </c>
      <c r="V233" s="199">
        <f>№2!V233+№5!V233+'№ 6'!V233+№14!V233+'№ 20'!V233+'№ 23'!V233+№27!V233+'№ 31'!V233+'№ 34'!V233+'№ 41'!V233</f>
        <v>0</v>
      </c>
      <c r="W233" s="221">
        <f>V233-U233</f>
        <v>0</v>
      </c>
      <c r="X233" s="176">
        <f>U228-U233</f>
        <v>0</v>
      </c>
    </row>
    <row r="234" spans="1:24" s="176" customFormat="1" ht="18" customHeight="1">
      <c r="A234" s="610"/>
      <c r="B234" s="587"/>
      <c r="C234" s="588"/>
      <c r="D234" s="201" t="s">
        <v>24</v>
      </c>
      <c r="E234" s="220"/>
      <c r="F234" s="199">
        <f>№2!F234+№5!F234+'№ 6'!F234+№14!F234+'№ 20'!F234+'№ 23'!F234+№27!F234+'№ 31'!F234+'№ 34'!F234+'№ 41'!F234</f>
        <v>0</v>
      </c>
      <c r="G234" s="199">
        <f>№2!G234+№5!G234+'№ 6'!G234+№14!G234+'№ 20'!G234+'№ 23'!G234+№27!G234+'№ 31'!G234+'№ 34'!G234+'№ 41'!G234</f>
        <v>313.90800000000002</v>
      </c>
      <c r="H234" s="199">
        <f>№2!H234+№5!H234+'№ 6'!H234+№14!H234+'№ 20'!H234+'№ 23'!H234+№27!H234+'№ 31'!H234+'№ 34'!H234+'№ 41'!H234</f>
        <v>493.012</v>
      </c>
      <c r="I234" s="199">
        <f>№2!I234+№5!I234+'№ 6'!I234+№14!I234+'№ 20'!I234+'№ 23'!I234+№27!I234+'№ 31'!I234+'№ 34'!I234+'№ 41'!I234</f>
        <v>252.291</v>
      </c>
      <c r="J234" s="199">
        <f>№2!J234+№5!J234+'№ 6'!J234+№14!J234+'№ 20'!J234+'№ 23'!J234+№27!J234+'№ 31'!J234+'№ 34'!J234+'№ 41'!J234</f>
        <v>0</v>
      </c>
      <c r="K234" s="199">
        <f>№2!K234+№5!K234+'№ 6'!K234+№14!K234+'№ 20'!K234+'№ 23'!K234+№27!K234+'№ 31'!K234+'№ 34'!K234+'№ 41'!K234</f>
        <v>0</v>
      </c>
      <c r="L234" s="199">
        <f>SUM(F234:K234)</f>
        <v>1059.211</v>
      </c>
      <c r="M234" s="199">
        <f>L234/6</f>
        <v>176.535</v>
      </c>
      <c r="N234" s="199">
        <f>№2!N234+№5!N234+'№ 6'!N234+№14!N234+'№ 20'!N234+'№ 23'!N234+№27!N234+'№ 31'!N234+'№ 34'!N234+'№ 41'!N234</f>
        <v>0</v>
      </c>
      <c r="O234" s="199">
        <f>№2!O234+№5!O234+'№ 6'!O234+№14!O234+'№ 20'!O234+'№ 23'!O234+№27!O234+'№ 31'!O234+'№ 34'!O234+'№ 41'!O234</f>
        <v>0</v>
      </c>
      <c r="P234" s="199">
        <f>№2!P234+№5!P234+'№ 6'!P234+№14!P234+'№ 20'!P234+'№ 23'!P234+№27!P234+'№ 31'!P234+'№ 34'!P234+'№ 41'!P234</f>
        <v>0</v>
      </c>
      <c r="Q234" s="199">
        <f>№2!Q234+№5!Q234+'№ 6'!Q234+№14!Q234+'№ 20'!Q234+'№ 23'!Q234+№27!Q234+'№ 31'!Q234+'№ 34'!Q234+'№ 41'!Q234</f>
        <v>0</v>
      </c>
      <c r="R234" s="199">
        <f>№2!R234+№5!R234+'№ 6'!R234+№14!R234+'№ 20'!R234+'№ 23'!R234+№27!R234+'№ 31'!R234+'№ 34'!R234+'№ 41'!R234</f>
        <v>0</v>
      </c>
      <c r="S234" s="199">
        <f>№2!S234+№5!S234+'№ 6'!S234+№14!S234+'№ 20'!S234+'№ 23'!S234+№27!S234+'№ 31'!S234+'№ 34'!S234+'№ 41'!S234</f>
        <v>945.91499999999996</v>
      </c>
      <c r="T234" s="199">
        <f>SUM(N234:S234)</f>
        <v>945.91499999999996</v>
      </c>
      <c r="U234" s="199">
        <f>T234+L234</f>
        <v>2005.126</v>
      </c>
      <c r="V234" s="199">
        <f>№2!V234+№5!V234+'№ 6'!V234+№14!V234+'№ 20'!V234+'№ 23'!V234+№27!V234+'№ 31'!V234+'№ 34'!V234+'№ 41'!V234</f>
        <v>1845.5840000000001</v>
      </c>
      <c r="W234" s="221">
        <f>V234-U234</f>
        <v>-159.542</v>
      </c>
      <c r="X234" s="176">
        <f>U229-U234</f>
        <v>-159.542</v>
      </c>
    </row>
    <row r="235" spans="1:24" s="205" customFormat="1" ht="18" customHeight="1">
      <c r="A235" s="610"/>
      <c r="B235" s="587"/>
      <c r="C235" s="588"/>
      <c r="D235" s="202" t="s">
        <v>29</v>
      </c>
      <c r="E235" s="203"/>
      <c r="F235" s="203">
        <f t="shared" ref="F235:K235" si="224">F229</f>
        <v>0</v>
      </c>
      <c r="G235" s="203">
        <f t="shared" si="224"/>
        <v>313.90800000000002</v>
      </c>
      <c r="H235" s="203">
        <f t="shared" si="224"/>
        <v>502.399</v>
      </c>
      <c r="I235" s="203">
        <f t="shared" si="224"/>
        <v>215.35599999999999</v>
      </c>
      <c r="J235" s="203">
        <f t="shared" si="224"/>
        <v>0</v>
      </c>
      <c r="K235" s="203">
        <f t="shared" si="224"/>
        <v>0</v>
      </c>
      <c r="L235" s="203">
        <f>SUM(F235:K235)</f>
        <v>1031.663</v>
      </c>
      <c r="M235" s="203">
        <f>L235/6</f>
        <v>171.94399999999999</v>
      </c>
      <c r="N235" s="203">
        <f t="shared" ref="N235:S235" si="225">N229+N228</f>
        <v>0</v>
      </c>
      <c r="O235" s="203">
        <f t="shared" si="225"/>
        <v>0</v>
      </c>
      <c r="P235" s="203">
        <f t="shared" si="225"/>
        <v>0</v>
      </c>
      <c r="Q235" s="203">
        <f t="shared" si="225"/>
        <v>0</v>
      </c>
      <c r="R235" s="203">
        <f t="shared" si="225"/>
        <v>0</v>
      </c>
      <c r="S235" s="203">
        <f t="shared" si="225"/>
        <v>813.92100000000005</v>
      </c>
      <c r="T235" s="203">
        <f>SUM(N235:S235)</f>
        <v>813.92100000000005</v>
      </c>
      <c r="U235" s="203">
        <f>T235+L235</f>
        <v>1845.5840000000001</v>
      </c>
      <c r="V235" s="203">
        <f>V232</f>
        <v>1845.5840000000001</v>
      </c>
      <c r="W235" s="203">
        <f>V235-U235</f>
        <v>0</v>
      </c>
    </row>
    <row r="236" spans="1:24" s="205" customFormat="1" ht="18" customHeight="1">
      <c r="A236" s="610"/>
      <c r="B236" s="587"/>
      <c r="C236" s="588"/>
      <c r="D236" s="202" t="s">
        <v>30</v>
      </c>
      <c r="E236" s="203"/>
      <c r="F236" s="203">
        <f t="shared" ref="F236:K236" si="226">F232-F235</f>
        <v>0</v>
      </c>
      <c r="G236" s="203">
        <f t="shared" si="226"/>
        <v>0</v>
      </c>
      <c r="H236" s="203">
        <f t="shared" si="226"/>
        <v>-9.3870000000000005</v>
      </c>
      <c r="I236" s="203">
        <f t="shared" si="226"/>
        <v>36.935000000000002</v>
      </c>
      <c r="J236" s="203">
        <f t="shared" si="226"/>
        <v>0</v>
      </c>
      <c r="K236" s="203">
        <f t="shared" si="226"/>
        <v>0</v>
      </c>
      <c r="L236" s="203"/>
      <c r="M236" s="203"/>
      <c r="N236" s="203">
        <f t="shared" ref="N236:S236" si="227">N232-N235</f>
        <v>0</v>
      </c>
      <c r="O236" s="203">
        <f t="shared" si="227"/>
        <v>0</v>
      </c>
      <c r="P236" s="203">
        <f t="shared" si="227"/>
        <v>0</v>
      </c>
      <c r="Q236" s="203">
        <f t="shared" si="227"/>
        <v>0</v>
      </c>
      <c r="R236" s="203">
        <f t="shared" si="227"/>
        <v>0</v>
      </c>
      <c r="S236" s="203">
        <f t="shared" si="227"/>
        <v>131.994</v>
      </c>
      <c r="T236" s="203"/>
      <c r="U236" s="203"/>
      <c r="V236" s="203"/>
      <c r="W236" s="203"/>
    </row>
    <row r="237" spans="1:24" s="205" customFormat="1" ht="18" customHeight="1">
      <c r="A237" s="610"/>
      <c r="B237" s="589"/>
      <c r="C237" s="590"/>
      <c r="D237" s="202" t="s">
        <v>31</v>
      </c>
      <c r="E237" s="203"/>
      <c r="F237" s="203">
        <f>F236</f>
        <v>0</v>
      </c>
      <c r="G237" s="203">
        <f>G236+F237</f>
        <v>0</v>
      </c>
      <c r="H237" s="203">
        <f>H236+G237</f>
        <v>-9.3870000000000005</v>
      </c>
      <c r="I237" s="203">
        <f>I236+H237</f>
        <v>27.547999999999998</v>
      </c>
      <c r="J237" s="203">
        <f>J236+I237</f>
        <v>27.547999999999998</v>
      </c>
      <c r="K237" s="203">
        <f>K236+J237</f>
        <v>27.547999999999998</v>
      </c>
      <c r="L237" s="203"/>
      <c r="M237" s="203"/>
      <c r="N237" s="203">
        <f>N236+K237</f>
        <v>27.547999999999998</v>
      </c>
      <c r="O237" s="203">
        <f>O236+N237</f>
        <v>27.547999999999998</v>
      </c>
      <c r="P237" s="203">
        <f>P236+O237</f>
        <v>27.547999999999998</v>
      </c>
      <c r="Q237" s="203">
        <f>Q236+P237</f>
        <v>27.547999999999998</v>
      </c>
      <c r="R237" s="203">
        <f>R236+Q237</f>
        <v>27.547999999999998</v>
      </c>
      <c r="S237" s="203">
        <f>S236+R237</f>
        <v>159.542</v>
      </c>
      <c r="T237" s="203"/>
      <c r="U237" s="203"/>
      <c r="V237" s="203"/>
      <c r="W237" s="203"/>
    </row>
    <row r="238" spans="1:24" s="186" customFormat="1" ht="18" hidden="1" customHeight="1">
      <c r="A238" s="610"/>
      <c r="B238" s="585" t="s">
        <v>56</v>
      </c>
      <c r="C238" s="586"/>
      <c r="D238" s="178" t="s">
        <v>105</v>
      </c>
      <c r="E238" s="179"/>
      <c r="F238" s="180">
        <f>№2!F238+№5!F238+'№ 6'!F238+№14!F238+'№ 20'!F238+'№ 23'!F238+№27!F238+'№ 31'!F238+'№ 34'!F238+'№ 41'!F238</f>
        <v>60.9</v>
      </c>
      <c r="G238" s="180">
        <f>№2!G238+№5!G238+'№ 6'!G238+№14!G238+'№ 20'!G238+'№ 23'!G238+№27!G238+'№ 31'!G238+'№ 34'!G238+'№ 41'!G238</f>
        <v>40.4</v>
      </c>
      <c r="H238" s="180">
        <f>№2!H238+№5!H238+'№ 6'!H238+№14!H238+'№ 20'!H238+'№ 23'!H238+№27!H238+'№ 31'!H238+'№ 34'!H238+'№ 41'!H238</f>
        <v>44.8</v>
      </c>
      <c r="I238" s="180">
        <f>№2!I238+№5!I238+'№ 6'!I238+№14!I238+'№ 20'!I238+'№ 23'!I238+№27!I238+'№ 31'!I238+'№ 34'!I238+'№ 41'!I238</f>
        <v>12.1</v>
      </c>
      <c r="J238" s="180">
        <f>№2!J238+№5!J238+'№ 6'!J238+№14!J238+'№ 20'!J238+'№ 23'!J238+№27!J238+'№ 31'!J238+'№ 34'!J238+'№ 41'!J238</f>
        <v>0</v>
      </c>
      <c r="K238" s="180">
        <f>№2!K238+№5!K238+'№ 6'!K238+№14!K238+'№ 20'!K238+'№ 23'!K238+№27!K238+'№ 31'!K238+'№ 34'!K238+'№ 41'!K238</f>
        <v>0</v>
      </c>
      <c r="L238" s="215">
        <f>SUM(F238:K238)</f>
        <v>158.19999999999999</v>
      </c>
      <c r="M238" s="215">
        <f>L238/6</f>
        <v>26.4</v>
      </c>
      <c r="N238" s="180">
        <f>№2!N238+№5!N238+'№ 6'!N238+№14!N238+'№ 20'!N238+'№ 23'!N238+№27!N238+'№ 31'!N238+'№ 34'!N238+'№ 41'!N238</f>
        <v>0</v>
      </c>
      <c r="O238" s="180">
        <f>№2!O238+№5!O238+'№ 6'!O238+№14!O238+'№ 20'!O238+'№ 23'!O238+№27!O238+'№ 31'!O238+'№ 34'!O238+'№ 41'!O238</f>
        <v>0</v>
      </c>
      <c r="P238" s="180">
        <f>№2!P238+№5!P238+'№ 6'!P238+№14!P238+'№ 20'!P238+'№ 23'!P238+№27!P238+'№ 31'!P238+'№ 34'!P238+'№ 41'!P238</f>
        <v>0</v>
      </c>
      <c r="Q238" s="180">
        <f>№2!Q238+№5!Q238+'№ 6'!Q238+№14!Q238+'№ 20'!Q238+'№ 23'!Q238+№27!Q238+'№ 31'!Q238+'№ 34'!Q238+'№ 41'!Q238</f>
        <v>0</v>
      </c>
      <c r="R238" s="180">
        <f>№2!R238+№5!R238+'№ 6'!R238+№14!R238+'№ 20'!R238+'№ 23'!R238+№27!R238+'№ 31'!R238+'№ 34'!R238+'№ 41'!R238</f>
        <v>0</v>
      </c>
      <c r="S238" s="180">
        <f>№2!S238+№5!S238+'№ 6'!S238+№14!S238+'№ 20'!S238+'№ 23'!S238+№27!S238+'№ 31'!S238+'№ 34'!S238+'№ 41'!S238</f>
        <v>0</v>
      </c>
      <c r="T238" s="215">
        <f>SUM(N238:S238)</f>
        <v>0</v>
      </c>
      <c r="U238" s="215">
        <f>T238+L238</f>
        <v>158.19999999999999</v>
      </c>
      <c r="V238" s="233">
        <f>№2!V238+№5!V238+'№ 6'!V238+№14!V238+'№ 20'!V238+'№ 23'!V238+№27!V238+'№ 31'!V238+'№ 34'!V238+'№ 41'!V238</f>
        <v>0</v>
      </c>
      <c r="W238" s="184"/>
      <c r="X238" s="185"/>
    </row>
    <row r="239" spans="1:24" s="186" customFormat="1" ht="18" hidden="1" customHeight="1">
      <c r="A239" s="610"/>
      <c r="B239" s="587"/>
      <c r="C239" s="588"/>
      <c r="D239" s="178" t="s">
        <v>109</v>
      </c>
      <c r="E239" s="179"/>
      <c r="F239" s="180">
        <f>№2!F239+№5!F239+'№ 6'!F239+№14!F239+'№ 20'!F239+'№ 23'!F239+№27!F239+'№ 31'!F239+'№ 34'!F239+'№ 41'!F239</f>
        <v>0</v>
      </c>
      <c r="G239" s="180">
        <f>№2!G239+№5!G239+'№ 6'!G239+№14!G239+'№ 20'!G239+'№ 23'!G239+№27!G239+'№ 31'!G239+'№ 34'!G239+'№ 41'!G239</f>
        <v>0</v>
      </c>
      <c r="H239" s="180">
        <f>№2!H239+№5!H239+'№ 6'!H239+№14!H239+'№ 20'!H239+'№ 23'!H239+№27!H239+'№ 31'!H239+'№ 34'!H239+'№ 41'!H239</f>
        <v>0</v>
      </c>
      <c r="I239" s="180">
        <f>№2!I239+№5!I239+'№ 6'!I239+№14!I239+'№ 20'!I239+'№ 23'!I239+№27!I239+'№ 31'!I239+'№ 34'!I239+'№ 41'!I239</f>
        <v>0</v>
      </c>
      <c r="J239" s="180">
        <f>№2!J239+№5!J239+'№ 6'!J239+№14!J239+'№ 20'!J239+'№ 23'!J239+№27!J239+'№ 31'!J239+'№ 34'!J239+'№ 41'!J239</f>
        <v>0</v>
      </c>
      <c r="K239" s="180">
        <f>№2!K239+№5!K239+'№ 6'!K239+№14!K239+'№ 20'!K239+'№ 23'!K239+№27!K239+'№ 31'!K239+'№ 34'!K239+'№ 41'!K239</f>
        <v>0</v>
      </c>
      <c r="L239" s="215">
        <f>SUM(F239:K239)</f>
        <v>0</v>
      </c>
      <c r="M239" s="215">
        <f>L239/6</f>
        <v>0</v>
      </c>
      <c r="N239" s="180">
        <f>№2!N239+№5!N239+'№ 6'!N239+№14!N239+'№ 20'!N239+'№ 23'!N239+№27!N239+'№ 31'!N239+'№ 34'!N239+'№ 41'!N239</f>
        <v>0</v>
      </c>
      <c r="O239" s="180">
        <f>№2!O239+№5!O239+'№ 6'!O239+№14!O239+'№ 20'!O239+'№ 23'!O239+№27!O239+'№ 31'!O239+'№ 34'!O239+'№ 41'!O239</f>
        <v>0</v>
      </c>
      <c r="P239" s="180">
        <f>№2!P239+№5!P239+'№ 6'!P239+№14!P239+'№ 20'!P239+'№ 23'!P239+№27!P239+'№ 31'!P239+'№ 34'!P239+'№ 41'!P239</f>
        <v>0</v>
      </c>
      <c r="Q239" s="180">
        <f>№2!Q239+№5!Q239+'№ 6'!Q239+№14!Q239+'№ 20'!Q239+'№ 23'!Q239+№27!Q239+'№ 31'!Q239+'№ 34'!Q239+'№ 41'!Q239</f>
        <v>0</v>
      </c>
      <c r="R239" s="180">
        <f>№2!R239+№5!R239+'№ 6'!R239+№14!R239+'№ 20'!R239+'№ 23'!R239+№27!R239+'№ 31'!R239+'№ 34'!R239+'№ 41'!R239</f>
        <v>0</v>
      </c>
      <c r="S239" s="180">
        <f>№2!S239+№5!S239+'№ 6'!S239+№14!S239+'№ 20'!S239+'№ 23'!S239+№27!S239+'№ 31'!S239+'№ 34'!S239+'№ 41'!S239</f>
        <v>0</v>
      </c>
      <c r="T239" s="215">
        <f>SUM(N239:S239)</f>
        <v>0</v>
      </c>
      <c r="U239" s="215">
        <f>T239+L239</f>
        <v>0</v>
      </c>
      <c r="V239" s="233">
        <f>№2!V239+№5!V239+'№ 6'!V239+№14!V239+'№ 20'!V239+'№ 23'!V239+№27!V239+'№ 31'!V239+'№ 34'!V239+'№ 41'!V239</f>
        <v>0</v>
      </c>
      <c r="W239" s="184"/>
      <c r="X239" s="185"/>
    </row>
    <row r="240" spans="1:24" s="186" customFormat="1" ht="18" hidden="1" customHeight="1">
      <c r="A240" s="610"/>
      <c r="B240" s="587"/>
      <c r="C240" s="588"/>
      <c r="D240" s="178" t="s">
        <v>116</v>
      </c>
      <c r="E240" s="179"/>
      <c r="F240" s="180">
        <f>№2!F240+№5!F240+'№ 6'!F240+№14!F240+'№ 20'!F240+'№ 23'!F240+№27!F240+'№ 31'!F240+'№ 34'!F240+'№ 41'!F240</f>
        <v>0</v>
      </c>
      <c r="G240" s="180">
        <f>№2!G240+№5!G240+'№ 6'!G240+№14!G240+'№ 20'!G240+'№ 23'!G240+№27!G240+'№ 31'!G240+'№ 34'!G240+'№ 41'!G240</f>
        <v>0</v>
      </c>
      <c r="H240" s="180">
        <f>№2!H240+№5!H240+'№ 6'!H240+№14!H240+'№ 20'!H240+'№ 23'!H240+№27!H240+'№ 31'!H240+'№ 34'!H240+'№ 41'!H240</f>
        <v>0</v>
      </c>
      <c r="I240" s="180">
        <f>№2!I240+№5!I240+'№ 6'!I240+№14!I240+'№ 20'!I240+'№ 23'!I240+№27!I240+'№ 31'!I240+'№ 34'!I240+'№ 41'!I240</f>
        <v>0</v>
      </c>
      <c r="J240" s="180">
        <f>№2!J240+№5!J240+'№ 6'!J240+№14!J240+'№ 20'!J240+'№ 23'!J240+№27!J240+'№ 31'!J240+'№ 34'!J240+'№ 41'!J240</f>
        <v>0</v>
      </c>
      <c r="K240" s="180">
        <f>№2!K240+№5!K240+'№ 6'!K240+№14!K240+'№ 20'!K240+'№ 23'!K240+№27!K240+'№ 31'!K240+'№ 34'!K240+'№ 41'!K240</f>
        <v>0</v>
      </c>
      <c r="L240" s="215">
        <f>SUM(F240:K240)</f>
        <v>0</v>
      </c>
      <c r="M240" s="215">
        <f>L240/6</f>
        <v>0</v>
      </c>
      <c r="N240" s="180">
        <f>№2!N240+№5!N240+'№ 6'!N240+№14!N240+'№ 20'!N240+'№ 23'!N240+№27!N240+'№ 31'!N240+'№ 34'!N240+'№ 41'!N240</f>
        <v>0</v>
      </c>
      <c r="O240" s="180">
        <f>№2!O240+№5!O240+'№ 6'!O240+№14!O240+'№ 20'!O240+'№ 23'!O240+№27!O240+'№ 31'!O240+'№ 34'!O240+'№ 41'!O240</f>
        <v>0</v>
      </c>
      <c r="P240" s="180">
        <f>№2!P240+№5!P240+'№ 6'!P240+№14!P240+'№ 20'!P240+'№ 23'!P240+№27!P240+'№ 31'!P240+'№ 34'!P240+'№ 41'!P240</f>
        <v>0</v>
      </c>
      <c r="Q240" s="180">
        <f>№2!Q240+№5!Q240+'№ 6'!Q240+№14!Q240+'№ 20'!Q240+'№ 23'!Q240+№27!Q240+'№ 31'!Q240+'№ 34'!Q240+'№ 41'!Q240</f>
        <v>0</v>
      </c>
      <c r="R240" s="180">
        <f>№2!R240+№5!R240+'№ 6'!R240+№14!R240+'№ 20'!R240+'№ 23'!R240+№27!R240+'№ 31'!R240+'№ 34'!R240+'№ 41'!R240</f>
        <v>0</v>
      </c>
      <c r="S240" s="180">
        <f>№2!S240+№5!S240+'№ 6'!S240+№14!S240+'№ 20'!S240+'№ 23'!S240+№27!S240+'№ 31'!S240+'№ 34'!S240+'№ 41'!S240</f>
        <v>0</v>
      </c>
      <c r="T240" s="215">
        <f>SUM(N240:S240)</f>
        <v>0</v>
      </c>
      <c r="U240" s="215">
        <f>T240+L240</f>
        <v>0</v>
      </c>
      <c r="V240" s="233">
        <f>№2!V240+№5!V240+'№ 6'!V240+№14!V240+'№ 20'!V240+'№ 23'!V240+№27!V240+'№ 31'!V240+'№ 34'!V240+'№ 41'!V240</f>
        <v>0</v>
      </c>
      <c r="W240" s="184">
        <f>V240-U240</f>
        <v>0</v>
      </c>
      <c r="X240" s="185"/>
    </row>
    <row r="241" spans="1:24" s="190" customFormat="1" ht="18" hidden="1" customHeight="1">
      <c r="A241" s="610"/>
      <c r="B241" s="587"/>
      <c r="C241" s="588"/>
      <c r="D241" s="187" t="s">
        <v>27</v>
      </c>
      <c r="E241" s="188"/>
      <c r="F241" s="188" t="e">
        <f t="shared" ref="F241:K241" si="228">F242*1000/F240</f>
        <v>#DIV/0!</v>
      </c>
      <c r="G241" s="188" t="e">
        <f t="shared" si="228"/>
        <v>#DIV/0!</v>
      </c>
      <c r="H241" s="188" t="e">
        <f t="shared" si="228"/>
        <v>#DIV/0!</v>
      </c>
      <c r="I241" s="188" t="e">
        <f t="shared" si="228"/>
        <v>#DIV/0!</v>
      </c>
      <c r="J241" s="188" t="e">
        <f t="shared" si="228"/>
        <v>#DIV/0!</v>
      </c>
      <c r="K241" s="188" t="e">
        <f t="shared" si="228"/>
        <v>#DIV/0!</v>
      </c>
      <c r="L241" s="217" t="e">
        <f>L242/L240*1000</f>
        <v>#DIV/0!</v>
      </c>
      <c r="M241" s="217" t="e">
        <f>M242/M240*1000</f>
        <v>#DIV/0!</v>
      </c>
      <c r="N241" s="188" t="e">
        <f t="shared" ref="N241:S241" si="229">N242*1000/N240</f>
        <v>#DIV/0!</v>
      </c>
      <c r="O241" s="188" t="e">
        <f t="shared" si="229"/>
        <v>#DIV/0!</v>
      </c>
      <c r="P241" s="188" t="e">
        <f t="shared" si="229"/>
        <v>#DIV/0!</v>
      </c>
      <c r="Q241" s="188" t="e">
        <f t="shared" si="229"/>
        <v>#DIV/0!</v>
      </c>
      <c r="R241" s="188" t="e">
        <f t="shared" si="229"/>
        <v>#DIV/0!</v>
      </c>
      <c r="S241" s="188" t="e">
        <f t="shared" si="229"/>
        <v>#DIV/0!</v>
      </c>
      <c r="T241" s="217" t="e">
        <f>T242/T240*1000</f>
        <v>#DIV/0!</v>
      </c>
      <c r="U241" s="217" t="e">
        <f>U242/U240*1000</f>
        <v>#DIV/0!</v>
      </c>
      <c r="V241" s="218" t="e">
        <f t="shared" ref="V241" si="230">V242*1000/V240</f>
        <v>#DIV/0!</v>
      </c>
      <c r="W241" s="189" t="e">
        <f>W242/W240*1000</f>
        <v>#DIV/0!</v>
      </c>
      <c r="X241" s="225"/>
    </row>
    <row r="242" spans="1:24" s="196" customFormat="1" ht="18" hidden="1" customHeight="1">
      <c r="A242" s="610"/>
      <c r="B242" s="587"/>
      <c r="C242" s="588"/>
      <c r="D242" s="191" t="s">
        <v>0</v>
      </c>
      <c r="E242" s="192"/>
      <c r="F242" s="192">
        <f>№2!F242+№5!F242+'№ 6'!F242+№14!F242+'№ 20'!F242+'№ 23'!F242+№27!F242+'№ 31'!F242+'№ 34'!F242+'№ 41'!F242</f>
        <v>0</v>
      </c>
      <c r="G242" s="192">
        <f>№2!G242+№5!G242+'№ 6'!G242+№14!G242+'№ 20'!G242+'№ 23'!G242+№27!G242+'№ 31'!G242+'№ 34'!G242+'№ 41'!G242</f>
        <v>0</v>
      </c>
      <c r="H242" s="192">
        <f>№2!H242+№5!H242+'№ 6'!H242+№14!H242+'№ 20'!H242+'№ 23'!H242+№27!H242+'№ 31'!H242+'№ 34'!H242+'№ 41'!H242</f>
        <v>0</v>
      </c>
      <c r="I242" s="192">
        <f>№2!I242+№5!I242+'№ 6'!I242+№14!I242+'№ 20'!I242+'№ 23'!I242+№27!I242+'№ 31'!I242+'№ 34'!I242+'№ 41'!I242</f>
        <v>0</v>
      </c>
      <c r="J242" s="192">
        <f>№2!J242+№5!J242+'№ 6'!J242+№14!J242+'№ 20'!J242+'№ 23'!J242+№27!J242+'№ 31'!J242+'№ 34'!J242+'№ 41'!J242</f>
        <v>0</v>
      </c>
      <c r="K242" s="192">
        <f>№2!K242+№5!K242+'№ 6'!K242+№14!K242+'№ 20'!K242+'№ 23'!K242+№27!K242+'№ 31'!K242+'№ 34'!K242+'№ 41'!K242</f>
        <v>0</v>
      </c>
      <c r="L242" s="194">
        <f>SUM(F242:K242)</f>
        <v>0</v>
      </c>
      <c r="M242" s="194">
        <f>L242/6</f>
        <v>0</v>
      </c>
      <c r="N242" s="192">
        <f>№2!N242+№5!N242+'№ 6'!N242+№14!N242+'№ 20'!N242+'№ 23'!N242+№27!N242+'№ 31'!N242+'№ 34'!N242+'№ 41'!N242</f>
        <v>0</v>
      </c>
      <c r="O242" s="192">
        <f>№2!O242+№5!O242+'№ 6'!O242+№14!O242+'№ 20'!O242+'№ 23'!O242+№27!O242+'№ 31'!O242+'№ 34'!O242+'№ 41'!O242</f>
        <v>0</v>
      </c>
      <c r="P242" s="192">
        <f>№2!P242+№5!P242+'№ 6'!P242+№14!P242+'№ 20'!P242+'№ 23'!P242+№27!P242+'№ 31'!P242+'№ 34'!P242+'№ 41'!P242</f>
        <v>0</v>
      </c>
      <c r="Q242" s="192">
        <f>№2!Q242+№5!Q242+'№ 6'!Q242+№14!Q242+'№ 20'!Q242+'№ 23'!Q242+№27!Q242+'№ 31'!Q242+'№ 34'!Q242+'№ 41'!Q242</f>
        <v>0</v>
      </c>
      <c r="R242" s="192">
        <f>№2!R242+№5!R242+'№ 6'!R242+№14!R242+'№ 20'!R242+'№ 23'!R242+№27!R242+'№ 31'!R242+'№ 34'!R242+'№ 41'!R242</f>
        <v>0</v>
      </c>
      <c r="S242" s="192">
        <f>№2!S242+№5!S242+'№ 6'!S242+№14!S242+'№ 20'!S242+'№ 23'!S242+№27!S242+'№ 31'!S242+'№ 34'!S242+'№ 41'!S242</f>
        <v>0</v>
      </c>
      <c r="T242" s="194">
        <f>SUM(N242:S242)</f>
        <v>0</v>
      </c>
      <c r="U242" s="194">
        <f>T242+L242</f>
        <v>0</v>
      </c>
      <c r="V242" s="194">
        <f>№2!V242+№5!V242+'№ 6'!V242+№14!V242+'№ 20'!V242+'№ 23'!V242+№27!V242+'№ 31'!V242+'№ 34'!V242+'№ 41'!V242</f>
        <v>0</v>
      </c>
      <c r="W242" s="193">
        <f>V242-U242</f>
        <v>0</v>
      </c>
      <c r="X242" s="281"/>
    </row>
    <row r="243" spans="1:24" s="196" customFormat="1" ht="18" hidden="1" customHeight="1">
      <c r="A243" s="610"/>
      <c r="B243" s="587"/>
      <c r="C243" s="588"/>
      <c r="D243" s="174" t="s">
        <v>55</v>
      </c>
      <c r="E243" s="210"/>
      <c r="F243" s="192">
        <f>№2!F243+№5!F243+'№ 6'!F243+№14!F243+'№ 20'!F243+'№ 23'!F243+№27!F243+'№ 31'!F243+'№ 34'!F243+'№ 41'!F243</f>
        <v>0</v>
      </c>
      <c r="G243" s="192">
        <f>№2!G243+№5!G243+'№ 6'!G243+№14!G243+'№ 20'!G243+'№ 23'!G243+№27!G243+'№ 31'!G243+'№ 34'!G243+'№ 41'!G243</f>
        <v>0</v>
      </c>
      <c r="H243" s="192">
        <f>№2!H243+№5!H243+'№ 6'!H243+№14!H243+'№ 20'!H243+'№ 23'!H243+№27!H243+'№ 31'!H243+'№ 34'!H243+'№ 41'!H243</f>
        <v>0</v>
      </c>
      <c r="I243" s="192">
        <f>№2!I243+№5!I243+'№ 6'!I243+№14!I243+'№ 20'!I243+'№ 23'!I243+№27!I243+'№ 31'!I243+'№ 34'!I243+'№ 41'!I243</f>
        <v>0</v>
      </c>
      <c r="J243" s="192">
        <f>№2!J243+№5!J243+'№ 6'!J243+№14!J243+'№ 20'!J243+'№ 23'!J243+№27!J243+'№ 31'!J243+'№ 34'!J243+'№ 41'!J243</f>
        <v>0</v>
      </c>
      <c r="K243" s="192">
        <f>№2!K243+№5!K243+'№ 6'!K243+№14!K243+'№ 20'!K243+'№ 23'!K243+№27!K243+'№ 31'!K243+'№ 34'!K243+'№ 41'!K243</f>
        <v>0</v>
      </c>
      <c r="L243" s="194">
        <f>SUM(F243:K243)</f>
        <v>0</v>
      </c>
      <c r="M243" s="194">
        <f>L243/6</f>
        <v>0</v>
      </c>
      <c r="N243" s="192">
        <f>№2!N243+№5!N243+'№ 6'!N243+№14!N243+'№ 20'!N243+'№ 23'!N243+№27!N243+'№ 31'!N243+'№ 34'!N243+'№ 41'!N243</f>
        <v>0</v>
      </c>
      <c r="O243" s="192">
        <f>№2!O243+№5!O243+'№ 6'!O243+№14!O243+'№ 20'!O243+'№ 23'!O243+№27!O243+'№ 31'!O243+'№ 34'!O243+'№ 41'!O243</f>
        <v>0</v>
      </c>
      <c r="P243" s="192">
        <f>№2!P243+№5!P243+'№ 6'!P243+№14!P243+'№ 20'!P243+'№ 23'!P243+№27!P243+'№ 31'!P243+'№ 34'!P243+'№ 41'!P243</f>
        <v>0</v>
      </c>
      <c r="Q243" s="192">
        <f>№2!Q243+№5!Q243+'№ 6'!Q243+№14!Q243+'№ 20'!Q243+'№ 23'!Q243+№27!Q243+'№ 31'!Q243+'№ 34'!Q243+'№ 41'!Q243</f>
        <v>0</v>
      </c>
      <c r="R243" s="192">
        <f>№2!R243+№5!R243+'№ 6'!R243+№14!R243+'№ 20'!R243+'№ 23'!R243+№27!R243+'№ 31'!R243+'№ 34'!R243+'№ 41'!R243</f>
        <v>0</v>
      </c>
      <c r="S243" s="192">
        <f>№2!S243+№5!S243+'№ 6'!S243+№14!S243+'№ 20'!S243+'№ 23'!S243+№27!S243+'№ 31'!S243+'№ 34'!S243+'№ 41'!S243</f>
        <v>0</v>
      </c>
      <c r="T243" s="194">
        <f>SUM(N243:S243)</f>
        <v>0</v>
      </c>
      <c r="U243" s="194">
        <f>T243+L243</f>
        <v>0</v>
      </c>
      <c r="V243" s="194">
        <f>№2!V243+№5!V243+'№ 6'!V243+№14!V243+'№ 20'!V243+'№ 23'!V243+№27!V243+'№ 31'!V243+'№ 34'!V243+'№ 41'!V243</f>
        <v>0</v>
      </c>
      <c r="W243" s="193">
        <f>V243-U243</f>
        <v>0</v>
      </c>
      <c r="X243" s="195"/>
    </row>
    <row r="244" spans="1:24" s="196" customFormat="1" ht="18" hidden="1" customHeight="1">
      <c r="A244" s="610"/>
      <c r="B244" s="587"/>
      <c r="C244" s="588"/>
      <c r="D244" s="174" t="s">
        <v>28</v>
      </c>
      <c r="E244" s="210"/>
      <c r="F244" s="192">
        <f>№2!F244+№5!F244+'№ 6'!F244+№14!F244+'№ 20'!F244+'№ 23'!F244+№27!F244+'№ 31'!F244+'№ 34'!F244+'№ 41'!F244</f>
        <v>0</v>
      </c>
      <c r="G244" s="192">
        <f>№2!G244+№5!G244+'№ 6'!G244+№14!G244+'№ 20'!G244+'№ 23'!G244+№27!G244+'№ 31'!G244+'№ 34'!G244+'№ 41'!G244</f>
        <v>0</v>
      </c>
      <c r="H244" s="192">
        <f>№2!H244+№5!H244+'№ 6'!H244+№14!H244+'№ 20'!H244+'№ 23'!H244+№27!H244+'№ 31'!H244+'№ 34'!H244+'№ 41'!H244</f>
        <v>0</v>
      </c>
      <c r="I244" s="192">
        <f>№2!I244+№5!I244+'№ 6'!I244+№14!I244+'№ 20'!I244+'№ 23'!I244+№27!I244+'№ 31'!I244+'№ 34'!I244+'№ 41'!I244</f>
        <v>0</v>
      </c>
      <c r="J244" s="192">
        <f>№2!J244+№5!J244+'№ 6'!J244+№14!J244+'№ 20'!J244+'№ 23'!J244+№27!J244+'№ 31'!J244+'№ 34'!J244+'№ 41'!J244</f>
        <v>0</v>
      </c>
      <c r="K244" s="192">
        <f>№2!K244+№5!K244+'№ 6'!K244+№14!K244+'№ 20'!K244+'№ 23'!K244+№27!K244+'№ 31'!K244+'№ 34'!K244+'№ 41'!K244</f>
        <v>0</v>
      </c>
      <c r="L244" s="194">
        <f>SUM(F244:K244)</f>
        <v>0</v>
      </c>
      <c r="M244" s="194">
        <f>L244/6</f>
        <v>0</v>
      </c>
      <c r="N244" s="192">
        <f>№2!N244+№5!N244+'№ 6'!N244+№14!N244+'№ 20'!N244+'№ 23'!N244+№27!N244+'№ 31'!N244+'№ 34'!N244+'№ 41'!N244</f>
        <v>0</v>
      </c>
      <c r="O244" s="192">
        <f>№2!O244+№5!O244+'№ 6'!O244+№14!O244+'№ 20'!O244+'№ 23'!O244+№27!O244+'№ 31'!O244+'№ 34'!O244+'№ 41'!O244</f>
        <v>0</v>
      </c>
      <c r="P244" s="192">
        <f>№2!P244+№5!P244+'№ 6'!P244+№14!P244+'№ 20'!P244+'№ 23'!P244+№27!P244+'№ 31'!P244+'№ 34'!P244+'№ 41'!P244</f>
        <v>0</v>
      </c>
      <c r="Q244" s="192">
        <f>№2!Q244+№5!Q244+'№ 6'!Q244+№14!Q244+'№ 20'!Q244+'№ 23'!Q244+№27!Q244+'№ 31'!Q244+'№ 34'!Q244+'№ 41'!Q244</f>
        <v>0</v>
      </c>
      <c r="R244" s="192">
        <f>№2!R244+№5!R244+'№ 6'!R244+№14!R244+'№ 20'!R244+'№ 23'!R244+№27!R244+'№ 31'!R244+'№ 34'!R244+'№ 41'!R244</f>
        <v>0</v>
      </c>
      <c r="S244" s="192">
        <f>№2!S244+№5!S244+'№ 6'!S244+№14!S244+'№ 20'!S244+'№ 23'!S244+№27!S244+'№ 31'!S244+'№ 34'!S244+'№ 41'!S244</f>
        <v>0</v>
      </c>
      <c r="T244" s="194">
        <f>SUM(N244:S244)</f>
        <v>0</v>
      </c>
      <c r="U244" s="194">
        <f>T244+L244</f>
        <v>0</v>
      </c>
      <c r="V244" s="194">
        <f>№2!V244+№5!V244+'№ 6'!V244+№14!V244+'№ 20'!V244+'№ 23'!V244+№27!V244+'№ 31'!V244+'№ 34'!V244+'№ 41'!V244</f>
        <v>0</v>
      </c>
      <c r="W244" s="193">
        <f>V244-U244</f>
        <v>0</v>
      </c>
      <c r="X244" s="195"/>
    </row>
    <row r="245" spans="1:24" s="186" customFormat="1" ht="18" hidden="1" customHeight="1">
      <c r="A245" s="610"/>
      <c r="B245" s="587"/>
      <c r="C245" s="588"/>
      <c r="D245" s="178" t="s">
        <v>117</v>
      </c>
      <c r="E245" s="179">
        <f>№2!E245+№5!E245+'№ 6'!E245+№14!E245+'№ 20'!E245+'№ 23'!E245+№27!E245+'№ 31'!E245+'№ 34'!E245+'№ 41'!E245</f>
        <v>0</v>
      </c>
      <c r="F245" s="179">
        <f>№2!F245+№5!F245+'№ 6'!F245+№14!F245+'№ 20'!F245+'№ 23'!F245+№27!F245+'№ 31'!F245+'№ 34'!F245+'№ 41'!F245</f>
        <v>0</v>
      </c>
      <c r="G245" s="179">
        <f>№2!G245+№5!G245+'№ 6'!G245+№14!G245+'№ 20'!G245+'№ 23'!G245+№27!G245+'№ 31'!G245+'№ 34'!G245+'№ 41'!G245</f>
        <v>0</v>
      </c>
      <c r="H245" s="179">
        <f>№2!H245+№5!H245+'№ 6'!H245+№14!H245+'№ 20'!H245+'№ 23'!H245+№27!H245+'№ 31'!H245+'№ 34'!H245+'№ 41'!H245</f>
        <v>0</v>
      </c>
      <c r="I245" s="179">
        <f>№2!I245+№5!I245+'№ 6'!I245+№14!I245+'№ 20'!I245+'№ 23'!I245+№27!I245+'№ 31'!I245+'№ 34'!I245+'№ 41'!I245</f>
        <v>0</v>
      </c>
      <c r="J245" s="179">
        <f>№2!J245+№5!J245+'№ 6'!J245+№14!J245+'№ 20'!J245+'№ 23'!J245+№27!J245+'№ 31'!J245+'№ 34'!J245+'№ 41'!J245</f>
        <v>0</v>
      </c>
      <c r="K245" s="179">
        <f>№2!K245+№5!K245+'№ 6'!K245+№14!K245+'№ 20'!K245+'№ 23'!K245+№27!K245+'№ 31'!K245+'№ 34'!K245+'№ 41'!K245</f>
        <v>0</v>
      </c>
      <c r="L245" s="215">
        <f>SUM(F245:K245)</f>
        <v>0</v>
      </c>
      <c r="M245" s="215">
        <f>L245/6</f>
        <v>0</v>
      </c>
      <c r="N245" s="179">
        <f>№2!N245+№5!N245+'№ 6'!N245+№14!N245+'№ 20'!N245+'№ 23'!N245+№27!N245+'№ 31'!N245+'№ 34'!N245+'№ 41'!N245</f>
        <v>0</v>
      </c>
      <c r="O245" s="179">
        <f>№2!O245+№5!O245+'№ 6'!O245+№14!O245+'№ 20'!O245+'№ 23'!O245+№27!O245+'№ 31'!O245+'№ 34'!O245+'№ 41'!O245</f>
        <v>0</v>
      </c>
      <c r="P245" s="179">
        <f>№2!P245+№5!P245+'№ 6'!P245+№14!P245+'№ 20'!P245+'№ 23'!P245+№27!P245+'№ 31'!P245+'№ 34'!P245+'№ 41'!P245</f>
        <v>0</v>
      </c>
      <c r="Q245" s="179">
        <f>№2!Q245+№5!Q245+'№ 6'!Q245+№14!Q245+'№ 20'!Q245+'№ 23'!Q245+№27!Q245+'№ 31'!Q245+'№ 34'!Q245+'№ 41'!Q245</f>
        <v>0</v>
      </c>
      <c r="R245" s="179">
        <f>№2!R245+№5!R245+'№ 6'!R245+№14!R245+'№ 20'!R245+'№ 23'!R245+№27!R245+'№ 31'!R245+'№ 34'!R245+'№ 41'!R245</f>
        <v>0</v>
      </c>
      <c r="S245" s="179">
        <f>№2!S245+№5!S245+'№ 6'!S245+№14!S245+'№ 20'!S245+'№ 23'!S245+№27!S245+'№ 31'!S245+'№ 34'!S245+'№ 41'!S245</f>
        <v>0</v>
      </c>
      <c r="T245" s="215">
        <f>SUM(N245:S245)</f>
        <v>0</v>
      </c>
      <c r="U245" s="215">
        <f>T245+L245</f>
        <v>0</v>
      </c>
      <c r="V245" s="179">
        <f>№2!V245+№5!V245+'№ 6'!V245+№14!V245+'№ 20'!V245+'№ 23'!V245+№27!V245+'№ 31'!V245+'№ 34'!V245+'№ 41'!V245</f>
        <v>0</v>
      </c>
      <c r="W245" s="184">
        <f>V245-U245</f>
        <v>0</v>
      </c>
      <c r="X245" s="279">
        <f>U240-U245</f>
        <v>0</v>
      </c>
    </row>
    <row r="246" spans="1:24" s="190" customFormat="1" ht="18" hidden="1" customHeight="1">
      <c r="A246" s="610"/>
      <c r="B246" s="587"/>
      <c r="C246" s="588"/>
      <c r="D246" s="187" t="s">
        <v>27</v>
      </c>
      <c r="E246" s="188" t="e">
        <f t="shared" ref="E246:K246" si="231">E247*1000/E245</f>
        <v>#DIV/0!</v>
      </c>
      <c r="F246" s="188" t="e">
        <f t="shared" si="231"/>
        <v>#DIV/0!</v>
      </c>
      <c r="G246" s="188" t="e">
        <f t="shared" si="231"/>
        <v>#DIV/0!</v>
      </c>
      <c r="H246" s="188" t="e">
        <f t="shared" si="231"/>
        <v>#DIV/0!</v>
      </c>
      <c r="I246" s="188" t="e">
        <f t="shared" si="231"/>
        <v>#DIV/0!</v>
      </c>
      <c r="J246" s="188" t="e">
        <f t="shared" si="231"/>
        <v>#DIV/0!</v>
      </c>
      <c r="K246" s="188" t="e">
        <f t="shared" si="231"/>
        <v>#DIV/0!</v>
      </c>
      <c r="L246" s="217" t="e">
        <f>L247/L245*1000</f>
        <v>#DIV/0!</v>
      </c>
      <c r="M246" s="217" t="e">
        <f>M247/M245*1000</f>
        <v>#DIV/0!</v>
      </c>
      <c r="N246" s="188" t="e">
        <f t="shared" ref="N246:S246" si="232">N247*1000/N245</f>
        <v>#DIV/0!</v>
      </c>
      <c r="O246" s="188" t="e">
        <f t="shared" si="232"/>
        <v>#DIV/0!</v>
      </c>
      <c r="P246" s="188" t="e">
        <f t="shared" si="232"/>
        <v>#DIV/0!</v>
      </c>
      <c r="Q246" s="188" t="e">
        <f t="shared" si="232"/>
        <v>#DIV/0!</v>
      </c>
      <c r="R246" s="188" t="e">
        <f t="shared" si="232"/>
        <v>#DIV/0!</v>
      </c>
      <c r="S246" s="188" t="e">
        <f t="shared" si="232"/>
        <v>#DIV/0!</v>
      </c>
      <c r="T246" s="217" t="e">
        <f>T247/T245*1000</f>
        <v>#DIV/0!</v>
      </c>
      <c r="U246" s="217" t="e">
        <f>U247/U245*1000</f>
        <v>#DIV/0!</v>
      </c>
      <c r="V246" s="218" t="e">
        <f t="shared" ref="V246" si="233">V247*1000/V245</f>
        <v>#DIV/0!</v>
      </c>
      <c r="W246" s="189" t="e">
        <f>W247/W245*1000</f>
        <v>#DIV/0!</v>
      </c>
      <c r="X246" s="225"/>
    </row>
    <row r="247" spans="1:24" s="176" customFormat="1" ht="18" hidden="1" customHeight="1">
      <c r="A247" s="610"/>
      <c r="B247" s="587"/>
      <c r="C247" s="588"/>
      <c r="D247" s="198" t="s">
        <v>25</v>
      </c>
      <c r="E247" s="199">
        <f>№2!E247+№5!E247+'№ 6'!E247+№14!E247+'№ 20'!E247+'№ 23'!E247+№27!E247+'№ 31'!E247+'№ 34'!E247+'№ 41'!E247</f>
        <v>0</v>
      </c>
      <c r="F247" s="199">
        <f>№2!F247+№5!F247+'№ 6'!F247+№14!F247+'№ 20'!F247+'№ 23'!F247+№27!F247+'№ 31'!F247+'№ 34'!F247+'№ 41'!F247</f>
        <v>0</v>
      </c>
      <c r="G247" s="199">
        <f>№2!G247+№5!G247+'№ 6'!G247+№14!G247+'№ 20'!G247+'№ 23'!G247+№27!G247+'№ 31'!G247+'№ 34'!G247+'№ 41'!G247</f>
        <v>0</v>
      </c>
      <c r="H247" s="199">
        <f>№2!H247+№5!H247+'№ 6'!H247+№14!H247+'№ 20'!H247+'№ 23'!H247+№27!H247+'№ 31'!H247+'№ 34'!H247+'№ 41'!H247</f>
        <v>0</v>
      </c>
      <c r="I247" s="199">
        <f>№2!I247+№5!I247+'№ 6'!I247+№14!I247+'№ 20'!I247+'№ 23'!I247+№27!I247+'№ 31'!I247+'№ 34'!I247+'№ 41'!I247</f>
        <v>0</v>
      </c>
      <c r="J247" s="199">
        <f>№2!J247+№5!J247+'№ 6'!J247+№14!J247+'№ 20'!J247+'№ 23'!J247+№27!J247+'№ 31'!J247+'№ 34'!J247+'№ 41'!J247</f>
        <v>0</v>
      </c>
      <c r="K247" s="199">
        <f>№2!K247+№5!K247+'№ 6'!K247+№14!K247+'№ 20'!K247+'№ 23'!K247+№27!K247+'№ 31'!K247+'№ 34'!K247+'№ 41'!K247</f>
        <v>0</v>
      </c>
      <c r="L247" s="199">
        <f>SUM(F247:K247)</f>
        <v>0</v>
      </c>
      <c r="M247" s="199">
        <f>L247/6</f>
        <v>0</v>
      </c>
      <c r="N247" s="199">
        <f>№2!N247+№5!N247+'№ 6'!N247+№14!N247+'№ 20'!N247+'№ 23'!N247+№27!N247+'№ 31'!N247+'№ 34'!N247+'№ 41'!N247</f>
        <v>0</v>
      </c>
      <c r="O247" s="199">
        <f>№2!O247+№5!O247+'№ 6'!O247+№14!O247+'№ 20'!O247+'№ 23'!O247+№27!O247+'№ 31'!O247+'№ 34'!O247+'№ 41'!O247</f>
        <v>0</v>
      </c>
      <c r="P247" s="199">
        <f>№2!P247+№5!P247+'№ 6'!P247+№14!P247+'№ 20'!P247+'№ 23'!P247+№27!P247+'№ 31'!P247+'№ 34'!P247+'№ 41'!P247</f>
        <v>0</v>
      </c>
      <c r="Q247" s="199">
        <f>№2!Q247+№5!Q247+'№ 6'!Q247+№14!Q247+'№ 20'!Q247+'№ 23'!Q247+№27!Q247+'№ 31'!Q247+'№ 34'!Q247+'№ 41'!Q247</f>
        <v>0</v>
      </c>
      <c r="R247" s="199">
        <f>№2!R247+№5!R247+'№ 6'!R247+№14!R247+'№ 20'!R247+'№ 23'!R247+№27!R247+'№ 31'!R247+'№ 34'!R247+'№ 41'!R247</f>
        <v>0</v>
      </c>
      <c r="S247" s="199">
        <f>№2!S247+№5!S247+'№ 6'!S247+№14!S247+'№ 20'!S247+'№ 23'!S247+№27!S247+'№ 31'!S247+'№ 34'!S247+'№ 41'!S247</f>
        <v>0</v>
      </c>
      <c r="T247" s="199">
        <f>SUM(N247:S247)</f>
        <v>0</v>
      </c>
      <c r="U247" s="199">
        <f>T247+L247</f>
        <v>0</v>
      </c>
      <c r="V247" s="199">
        <f>№2!V247+№5!V247+'№ 6'!V247+№14!V247+'№ 20'!V247+'№ 23'!V247+№27!V247+'№ 31'!V247+'№ 34'!V247+'№ 41'!V247</f>
        <v>0</v>
      </c>
      <c r="W247" s="221">
        <f>V247-U247</f>
        <v>0</v>
      </c>
      <c r="X247" s="176">
        <f>U242-U247</f>
        <v>0</v>
      </c>
    </row>
    <row r="248" spans="1:24" s="176" customFormat="1" ht="18" hidden="1" customHeight="1">
      <c r="A248" s="610"/>
      <c r="B248" s="587"/>
      <c r="C248" s="588"/>
      <c r="D248" s="201" t="s">
        <v>55</v>
      </c>
      <c r="E248" s="220"/>
      <c r="F248" s="199">
        <f>№2!F248+№5!F248+'№ 6'!F248+№14!F248+'№ 20'!F248+'№ 23'!F248+№27!F248+'№ 31'!F248+'№ 34'!F248+'№ 41'!F248</f>
        <v>0</v>
      </c>
      <c r="G248" s="199">
        <f>№2!G248+№5!G248+'№ 6'!G248+№14!G248+'№ 20'!G248+'№ 23'!G248+№27!G248+'№ 31'!G248+'№ 34'!G248+'№ 41'!G248</f>
        <v>0</v>
      </c>
      <c r="H248" s="199">
        <f>№2!H248+№5!H248+'№ 6'!H248+№14!H248+'№ 20'!H248+'№ 23'!H248+№27!H248+'№ 31'!H248+'№ 34'!H248+'№ 41'!H248</f>
        <v>0</v>
      </c>
      <c r="I248" s="199">
        <f>№2!I248+№5!I248+'№ 6'!I248+№14!I248+'№ 20'!I248+'№ 23'!I248+№27!I248+'№ 31'!I248+'№ 34'!I248+'№ 41'!I248</f>
        <v>0</v>
      </c>
      <c r="J248" s="199">
        <f>№2!J248+№5!J248+'№ 6'!J248+№14!J248+'№ 20'!J248+'№ 23'!J248+№27!J248+'№ 31'!J248+'№ 34'!J248+'№ 41'!J248</f>
        <v>0</v>
      </c>
      <c r="K248" s="199">
        <f>№2!K248+№5!K248+'№ 6'!K248+№14!K248+'№ 20'!K248+'№ 23'!K248+№27!K248+'№ 31'!K248+'№ 34'!K248+'№ 41'!K248</f>
        <v>0</v>
      </c>
      <c r="L248" s="199">
        <f>SUM(F248:K248)</f>
        <v>0</v>
      </c>
      <c r="M248" s="199">
        <f>L248/6</f>
        <v>0</v>
      </c>
      <c r="N248" s="199">
        <f>№2!N248+№5!N248+'№ 6'!N248+№14!N248+'№ 20'!N248+'№ 23'!N248+№27!N248+'№ 31'!N248+'№ 34'!N248+'№ 41'!N248</f>
        <v>0</v>
      </c>
      <c r="O248" s="199">
        <f>№2!O248+№5!O248+'№ 6'!O248+№14!O248+'№ 20'!O248+'№ 23'!O248+№27!O248+'№ 31'!O248+'№ 34'!O248+'№ 41'!O248</f>
        <v>0</v>
      </c>
      <c r="P248" s="199">
        <f>№2!P248+№5!P248+'№ 6'!P248+№14!P248+'№ 20'!P248+'№ 23'!P248+№27!P248+'№ 31'!P248+'№ 34'!P248+'№ 41'!P248</f>
        <v>0</v>
      </c>
      <c r="Q248" s="199">
        <f>№2!Q248+№5!Q248+'№ 6'!Q248+№14!Q248+'№ 20'!Q248+'№ 23'!Q248+№27!Q248+'№ 31'!Q248+'№ 34'!Q248+'№ 41'!Q248</f>
        <v>0</v>
      </c>
      <c r="R248" s="199">
        <f>№2!R248+№5!R248+'№ 6'!R248+№14!R248+'№ 20'!R248+'№ 23'!R248+№27!R248+'№ 31'!R248+'№ 34'!R248+'№ 41'!R248</f>
        <v>0</v>
      </c>
      <c r="S248" s="199">
        <f>№2!S248+№5!S248+'№ 6'!S248+№14!S248+'№ 20'!S248+'№ 23'!S248+№27!S248+'№ 31'!S248+'№ 34'!S248+'№ 41'!S248</f>
        <v>0</v>
      </c>
      <c r="T248" s="199">
        <f>SUM(N248:S248)</f>
        <v>0</v>
      </c>
      <c r="U248" s="199">
        <f>T248+L248</f>
        <v>0</v>
      </c>
      <c r="V248" s="199">
        <f>№2!V248+№5!V248+'№ 6'!V248+№14!V248+'№ 20'!V248+'№ 23'!V248+№27!V248+'№ 31'!V248+'№ 34'!V248+'№ 41'!V248</f>
        <v>0</v>
      </c>
      <c r="W248" s="221">
        <f>V248-U248</f>
        <v>0</v>
      </c>
      <c r="X248" s="176">
        <f>U243-U248</f>
        <v>0</v>
      </c>
    </row>
    <row r="249" spans="1:24" s="176" customFormat="1" ht="18" hidden="1" customHeight="1">
      <c r="A249" s="610"/>
      <c r="B249" s="587"/>
      <c r="C249" s="588"/>
      <c r="D249" s="201" t="s">
        <v>24</v>
      </c>
      <c r="E249" s="220"/>
      <c r="F249" s="199">
        <f>№2!F249+№5!F249+'№ 6'!F249+№14!F249+'№ 20'!F249+'№ 23'!F249+№27!F249+'№ 31'!F249+'№ 34'!F249+'№ 41'!F249</f>
        <v>0</v>
      </c>
      <c r="G249" s="199">
        <f>№2!G249+№5!G249+'№ 6'!G249+№14!G249+'№ 20'!G249+'№ 23'!G249+№27!G249+'№ 31'!G249+'№ 34'!G249+'№ 41'!G249</f>
        <v>0</v>
      </c>
      <c r="H249" s="199">
        <f>№2!H249+№5!H249+'№ 6'!H249+№14!H249+'№ 20'!H249+'№ 23'!H249+№27!H249+'№ 31'!H249+'№ 34'!H249+'№ 41'!H249</f>
        <v>0</v>
      </c>
      <c r="I249" s="199">
        <f>№2!I249+№5!I249+'№ 6'!I249+№14!I249+'№ 20'!I249+'№ 23'!I249+№27!I249+'№ 31'!I249+'№ 34'!I249+'№ 41'!I249</f>
        <v>0</v>
      </c>
      <c r="J249" s="199">
        <f>№2!J249+№5!J249+'№ 6'!J249+№14!J249+'№ 20'!J249+'№ 23'!J249+№27!J249+'№ 31'!J249+'№ 34'!J249+'№ 41'!J249</f>
        <v>0</v>
      </c>
      <c r="K249" s="199">
        <f>№2!K249+№5!K249+'№ 6'!K249+№14!K249+'№ 20'!K249+'№ 23'!K249+№27!K249+'№ 31'!K249+'№ 34'!K249+'№ 41'!K249</f>
        <v>0</v>
      </c>
      <c r="L249" s="199">
        <f>SUM(F249:K249)</f>
        <v>0</v>
      </c>
      <c r="M249" s="199">
        <f>L249/6</f>
        <v>0</v>
      </c>
      <c r="N249" s="199">
        <f>№2!N249+№5!N249+'№ 6'!N249+№14!N249+'№ 20'!N249+'№ 23'!N249+№27!N249+'№ 31'!N249+'№ 34'!N249+'№ 41'!N249</f>
        <v>0</v>
      </c>
      <c r="O249" s="199">
        <f>№2!O249+№5!O249+'№ 6'!O249+№14!O249+'№ 20'!O249+'№ 23'!O249+№27!O249+'№ 31'!O249+'№ 34'!O249+'№ 41'!O249</f>
        <v>0</v>
      </c>
      <c r="P249" s="199">
        <f>№2!P249+№5!P249+'№ 6'!P249+№14!P249+'№ 20'!P249+'№ 23'!P249+№27!P249+'№ 31'!P249+'№ 34'!P249+'№ 41'!P249</f>
        <v>0</v>
      </c>
      <c r="Q249" s="199">
        <f>№2!Q249+№5!Q249+'№ 6'!Q249+№14!Q249+'№ 20'!Q249+'№ 23'!Q249+№27!Q249+'№ 31'!Q249+'№ 34'!Q249+'№ 41'!Q249</f>
        <v>0</v>
      </c>
      <c r="R249" s="199">
        <f>№2!R249+№5!R249+'№ 6'!R249+№14!R249+'№ 20'!R249+'№ 23'!R249+№27!R249+'№ 31'!R249+'№ 34'!R249+'№ 41'!R249</f>
        <v>0</v>
      </c>
      <c r="S249" s="199">
        <f>№2!S249+№5!S249+'№ 6'!S249+№14!S249+'№ 20'!S249+'№ 23'!S249+№27!S249+'№ 31'!S249+'№ 34'!S249+'№ 41'!S249</f>
        <v>0</v>
      </c>
      <c r="T249" s="199">
        <f>SUM(N249:S249)</f>
        <v>0</v>
      </c>
      <c r="U249" s="199">
        <f>T249+L249</f>
        <v>0</v>
      </c>
      <c r="V249" s="199">
        <f>№2!V249+№5!V249+'№ 6'!V249+№14!V249+'№ 20'!V249+'№ 23'!V249+№27!V249+'№ 31'!V249+'№ 34'!V249+'№ 41'!V249</f>
        <v>0</v>
      </c>
      <c r="W249" s="221">
        <f>V249-U249</f>
        <v>0</v>
      </c>
      <c r="X249" s="176">
        <f>U244-U249</f>
        <v>0</v>
      </c>
    </row>
    <row r="250" spans="1:24" s="205" customFormat="1" ht="18" hidden="1" customHeight="1">
      <c r="A250" s="610"/>
      <c r="B250" s="587"/>
      <c r="C250" s="588"/>
      <c r="D250" s="202" t="s">
        <v>29</v>
      </c>
      <c r="E250" s="203"/>
      <c r="F250" s="203">
        <f t="shared" ref="F250:K250" si="234">F244</f>
        <v>0</v>
      </c>
      <c r="G250" s="203">
        <f t="shared" si="234"/>
        <v>0</v>
      </c>
      <c r="H250" s="203">
        <f t="shared" si="234"/>
        <v>0</v>
      </c>
      <c r="I250" s="203">
        <f t="shared" si="234"/>
        <v>0</v>
      </c>
      <c r="J250" s="203">
        <f t="shared" si="234"/>
        <v>0</v>
      </c>
      <c r="K250" s="203">
        <f t="shared" si="234"/>
        <v>0</v>
      </c>
      <c r="L250" s="203">
        <f>SUM(F250:K250)</f>
        <v>0</v>
      </c>
      <c r="M250" s="203">
        <f>L250/6</f>
        <v>0</v>
      </c>
      <c r="N250" s="203">
        <f t="shared" ref="N250:S250" si="235">N244+N243</f>
        <v>0</v>
      </c>
      <c r="O250" s="203">
        <f t="shared" si="235"/>
        <v>0</v>
      </c>
      <c r="P250" s="203">
        <f t="shared" si="235"/>
        <v>0</v>
      </c>
      <c r="Q250" s="203">
        <f t="shared" si="235"/>
        <v>0</v>
      </c>
      <c r="R250" s="203">
        <f t="shared" si="235"/>
        <v>0</v>
      </c>
      <c r="S250" s="203">
        <f t="shared" si="235"/>
        <v>0</v>
      </c>
      <c r="T250" s="203">
        <f>SUM(N250:S250)</f>
        <v>0</v>
      </c>
      <c r="U250" s="203">
        <f>T250+L250</f>
        <v>0</v>
      </c>
      <c r="V250" s="203">
        <f>V247</f>
        <v>0</v>
      </c>
      <c r="W250" s="203">
        <f>V250-U250</f>
        <v>0</v>
      </c>
    </row>
    <row r="251" spans="1:24" s="205" customFormat="1" ht="18" hidden="1" customHeight="1">
      <c r="A251" s="610"/>
      <c r="B251" s="587"/>
      <c r="C251" s="588"/>
      <c r="D251" s="202" t="s">
        <v>30</v>
      </c>
      <c r="E251" s="203"/>
      <c r="F251" s="203">
        <f t="shared" ref="F251:K251" si="236">F247-F250</f>
        <v>0</v>
      </c>
      <c r="G251" s="203">
        <f t="shared" si="236"/>
        <v>0</v>
      </c>
      <c r="H251" s="203">
        <f t="shared" si="236"/>
        <v>0</v>
      </c>
      <c r="I251" s="203">
        <f t="shared" si="236"/>
        <v>0</v>
      </c>
      <c r="J251" s="203">
        <f t="shared" si="236"/>
        <v>0</v>
      </c>
      <c r="K251" s="203">
        <f t="shared" si="236"/>
        <v>0</v>
      </c>
      <c r="L251" s="203"/>
      <c r="M251" s="203"/>
      <c r="N251" s="203">
        <f t="shared" ref="N251:S251" si="237">N247-N250</f>
        <v>0</v>
      </c>
      <c r="O251" s="203">
        <f t="shared" si="237"/>
        <v>0</v>
      </c>
      <c r="P251" s="203">
        <f t="shared" si="237"/>
        <v>0</v>
      </c>
      <c r="Q251" s="203">
        <f t="shared" si="237"/>
        <v>0</v>
      </c>
      <c r="R251" s="203">
        <f t="shared" si="237"/>
        <v>0</v>
      </c>
      <c r="S251" s="203">
        <f t="shared" si="237"/>
        <v>0</v>
      </c>
      <c r="T251" s="203"/>
      <c r="U251" s="203"/>
      <c r="V251" s="203"/>
      <c r="W251" s="203"/>
    </row>
    <row r="252" spans="1:24" s="205" customFormat="1" ht="18" hidden="1" customHeight="1">
      <c r="A252" s="611"/>
      <c r="B252" s="589"/>
      <c r="C252" s="590"/>
      <c r="D252" s="202" t="s">
        <v>31</v>
      </c>
      <c r="E252" s="203"/>
      <c r="F252" s="203">
        <f>F251</f>
        <v>0</v>
      </c>
      <c r="G252" s="203">
        <f>G251+F252</f>
        <v>0</v>
      </c>
      <c r="H252" s="203">
        <f>H251+G252</f>
        <v>0</v>
      </c>
      <c r="I252" s="203">
        <f>I251+H252</f>
        <v>0</v>
      </c>
      <c r="J252" s="203">
        <f>J251+I252</f>
        <v>0</v>
      </c>
      <c r="K252" s="203">
        <f>K251+J252</f>
        <v>0</v>
      </c>
      <c r="L252" s="203"/>
      <c r="M252" s="203"/>
      <c r="N252" s="203">
        <f>N251+K252</f>
        <v>0</v>
      </c>
      <c r="O252" s="203">
        <f>O251+N252</f>
        <v>0</v>
      </c>
      <c r="P252" s="203">
        <f>P251+O252</f>
        <v>0</v>
      </c>
      <c r="Q252" s="203">
        <f>Q251+P252</f>
        <v>0</v>
      </c>
      <c r="R252" s="203">
        <f>R251+Q252</f>
        <v>0</v>
      </c>
      <c r="S252" s="203">
        <f>S251+R252</f>
        <v>0</v>
      </c>
      <c r="T252" s="203"/>
      <c r="U252" s="203"/>
      <c r="V252" s="203"/>
      <c r="W252" s="203"/>
    </row>
    <row r="253" spans="1:24" s="186" customFormat="1" ht="18" customHeight="1">
      <c r="A253" s="591">
        <v>2272</v>
      </c>
      <c r="B253" s="597" t="s">
        <v>34</v>
      </c>
      <c r="C253" s="598"/>
      <c r="D253" s="178" t="s">
        <v>105</v>
      </c>
      <c r="E253" s="179"/>
      <c r="F253" s="264">
        <f t="shared" ref="F253:K255" si="238">F270+F332</f>
        <v>4655.7</v>
      </c>
      <c r="G253" s="264">
        <f t="shared" si="238"/>
        <v>3772</v>
      </c>
      <c r="H253" s="264">
        <f t="shared" si="238"/>
        <v>4425.5</v>
      </c>
      <c r="I253" s="264">
        <f t="shared" si="238"/>
        <v>4926.8</v>
      </c>
      <c r="J253" s="264">
        <f t="shared" si="238"/>
        <v>4437.6000000000004</v>
      </c>
      <c r="K253" s="264">
        <f t="shared" si="238"/>
        <v>4395</v>
      </c>
      <c r="L253" s="234">
        <f>SUM(F253:K253)</f>
        <v>26612.6</v>
      </c>
      <c r="M253" s="234">
        <f>L253/6</f>
        <v>4435.433</v>
      </c>
      <c r="N253" s="264">
        <f t="shared" ref="N253:S255" si="239">N270+N332</f>
        <v>4803.8</v>
      </c>
      <c r="O253" s="264">
        <f t="shared" si="239"/>
        <v>4614.6000000000004</v>
      </c>
      <c r="P253" s="260">
        <f t="shared" si="239"/>
        <v>4784.2</v>
      </c>
      <c r="Q253" s="264">
        <f t="shared" si="239"/>
        <v>5206.8999999999996</v>
      </c>
      <c r="R253" s="264">
        <f t="shared" si="239"/>
        <v>4966.8999999999996</v>
      </c>
      <c r="S253" s="264">
        <f t="shared" si="239"/>
        <v>7292.8</v>
      </c>
      <c r="T253" s="215">
        <f>SUM(N253:S253)</f>
        <v>31669.200000000001</v>
      </c>
      <c r="U253" s="215">
        <f>T253+L253</f>
        <v>58281.8</v>
      </c>
      <c r="V253" s="490">
        <f>V270+V332</f>
        <v>39259.4</v>
      </c>
      <c r="W253" s="523"/>
      <c r="X253" s="185"/>
    </row>
    <row r="254" spans="1:24" s="186" customFormat="1" ht="18" customHeight="1">
      <c r="A254" s="592"/>
      <c r="B254" s="599"/>
      <c r="C254" s="600"/>
      <c r="D254" s="178" t="s">
        <v>109</v>
      </c>
      <c r="E254" s="179"/>
      <c r="F254" s="264">
        <f t="shared" si="238"/>
        <v>3901.3</v>
      </c>
      <c r="G254" s="264">
        <f t="shared" si="238"/>
        <v>4490.7</v>
      </c>
      <c r="H254" s="264">
        <f t="shared" si="238"/>
        <v>4368.1000000000004</v>
      </c>
      <c r="I254" s="264">
        <f t="shared" si="238"/>
        <v>4758.7</v>
      </c>
      <c r="J254" s="264">
        <f t="shared" si="238"/>
        <v>4382.3</v>
      </c>
      <c r="K254" s="264">
        <f t="shared" si="238"/>
        <v>5140.6000000000004</v>
      </c>
      <c r="L254" s="234">
        <f>SUM(F254:K254)</f>
        <v>27041.7</v>
      </c>
      <c r="M254" s="234">
        <f>L254/6</f>
        <v>4506.95</v>
      </c>
      <c r="N254" s="264">
        <f t="shared" si="239"/>
        <v>4551.8</v>
      </c>
      <c r="O254" s="264">
        <f t="shared" si="239"/>
        <v>4480.8</v>
      </c>
      <c r="P254" s="260">
        <f t="shared" si="239"/>
        <v>4785.7</v>
      </c>
      <c r="Q254" s="264">
        <f t="shared" si="239"/>
        <v>4553.8999999999996</v>
      </c>
      <c r="R254" s="264">
        <f t="shared" si="239"/>
        <v>5285.1</v>
      </c>
      <c r="S254" s="264">
        <f t="shared" si="239"/>
        <v>6011.2</v>
      </c>
      <c r="T254" s="215">
        <f>SUM(N254:S254)</f>
        <v>29668.5</v>
      </c>
      <c r="U254" s="215">
        <f>T254+L254</f>
        <v>56710.2</v>
      </c>
      <c r="V254" s="490">
        <f>V271+V333</f>
        <v>54153.4</v>
      </c>
      <c r="W254" s="523"/>
      <c r="X254" s="185"/>
    </row>
    <row r="255" spans="1:24" s="186" customFormat="1" ht="18" customHeight="1">
      <c r="A255" s="592"/>
      <c r="B255" s="599"/>
      <c r="C255" s="600"/>
      <c r="D255" s="178" t="s">
        <v>116</v>
      </c>
      <c r="E255" s="179"/>
      <c r="F255" s="264">
        <f t="shared" si="238"/>
        <v>3523.7669999999998</v>
      </c>
      <c r="G255" s="264">
        <f t="shared" si="238"/>
        <v>4264.3959999999997</v>
      </c>
      <c r="H255" s="264">
        <f t="shared" si="238"/>
        <v>3998.7249999999999</v>
      </c>
      <c r="I255" s="264">
        <f t="shared" si="238"/>
        <v>4401.5240000000003</v>
      </c>
      <c r="J255" s="264">
        <f t="shared" si="238"/>
        <v>4678.4650000000001</v>
      </c>
      <c r="K255" s="264">
        <f t="shared" si="238"/>
        <v>5278.19</v>
      </c>
      <c r="L255" s="234">
        <f>SUM(F255:K255)</f>
        <v>26145.066999999999</v>
      </c>
      <c r="M255" s="234">
        <f>L255/6</f>
        <v>4357.5110000000004</v>
      </c>
      <c r="N255" s="264">
        <f t="shared" si="239"/>
        <v>3504.732</v>
      </c>
      <c r="O255" s="264">
        <f t="shared" si="239"/>
        <v>4069.6370000000002</v>
      </c>
      <c r="P255" s="264">
        <f t="shared" si="239"/>
        <v>5341.2</v>
      </c>
      <c r="Q255" s="264">
        <f t="shared" si="239"/>
        <v>5274.3</v>
      </c>
      <c r="R255" s="264">
        <f t="shared" si="239"/>
        <v>5814.84</v>
      </c>
      <c r="S255" s="264">
        <f t="shared" si="239"/>
        <v>7000.7</v>
      </c>
      <c r="T255" s="421">
        <f>SUM(N255:S255)</f>
        <v>31005.409</v>
      </c>
      <c r="U255" s="326">
        <f>T255+L255</f>
        <v>57150.476000000002</v>
      </c>
      <c r="V255" s="490">
        <f>V272+V334</f>
        <v>61658.9</v>
      </c>
      <c r="W255" s="183">
        <f>V255-U255</f>
        <v>4508.3999999999996</v>
      </c>
      <c r="X255" s="185"/>
    </row>
    <row r="256" spans="1:24" s="190" customFormat="1" ht="18" customHeight="1">
      <c r="A256" s="592"/>
      <c r="B256" s="599"/>
      <c r="C256" s="600"/>
      <c r="D256" s="187" t="s">
        <v>27</v>
      </c>
      <c r="E256" s="188"/>
      <c r="F256" s="188">
        <f t="shared" ref="F256:W256" si="240">F257/F255*1000</f>
        <v>17.728000000000002</v>
      </c>
      <c r="G256" s="188">
        <f t="shared" si="240"/>
        <v>18.817</v>
      </c>
      <c r="H256" s="188">
        <f t="shared" si="240"/>
        <v>17.803000000000001</v>
      </c>
      <c r="I256" s="188">
        <f t="shared" si="240"/>
        <v>17.648</v>
      </c>
      <c r="J256" s="188">
        <f t="shared" si="240"/>
        <v>18.05</v>
      </c>
      <c r="K256" s="188">
        <f t="shared" si="240"/>
        <v>18.628</v>
      </c>
      <c r="L256" s="188">
        <f t="shared" si="240"/>
        <v>18.143000000000001</v>
      </c>
      <c r="M256" s="188">
        <f t="shared" si="240"/>
        <v>18.143000000000001</v>
      </c>
      <c r="N256" s="188">
        <f t="shared" si="240"/>
        <v>18.643000000000001</v>
      </c>
      <c r="O256" s="188">
        <f t="shared" si="240"/>
        <v>18.916</v>
      </c>
      <c r="P256" s="188">
        <f t="shared" si="240"/>
        <v>19.164000000000001</v>
      </c>
      <c r="Q256" s="188">
        <f t="shared" si="240"/>
        <v>18.869</v>
      </c>
      <c r="R256" s="188">
        <f t="shared" si="240"/>
        <v>18.991</v>
      </c>
      <c r="S256" s="188">
        <f t="shared" si="240"/>
        <v>18.027999999999999</v>
      </c>
      <c r="T256" s="188">
        <f t="shared" si="240"/>
        <v>18.733000000000001</v>
      </c>
      <c r="U256" s="188">
        <f t="shared" si="240"/>
        <v>18.463000000000001</v>
      </c>
      <c r="V256" s="188">
        <f t="shared" si="240"/>
        <v>17.405000000000001</v>
      </c>
      <c r="W256" s="189">
        <f t="shared" si="240"/>
        <v>3.9950000000000001</v>
      </c>
      <c r="X256" s="225"/>
    </row>
    <row r="257" spans="1:24" s="172" customFormat="1" ht="18" customHeight="1">
      <c r="A257" s="592"/>
      <c r="B257" s="599"/>
      <c r="C257" s="600"/>
      <c r="D257" s="191" t="s">
        <v>0</v>
      </c>
      <c r="E257" s="192"/>
      <c r="F257" s="192">
        <f t="shared" ref="F257:K258" si="241">F274+F336</f>
        <v>62.470999999999997</v>
      </c>
      <c r="G257" s="192">
        <f t="shared" si="241"/>
        <v>80.242000000000004</v>
      </c>
      <c r="H257" s="192">
        <f t="shared" si="241"/>
        <v>71.19</v>
      </c>
      <c r="I257" s="192">
        <f t="shared" si="241"/>
        <v>77.676000000000002</v>
      </c>
      <c r="J257" s="192">
        <f t="shared" si="241"/>
        <v>84.445999999999998</v>
      </c>
      <c r="K257" s="192">
        <f t="shared" si="241"/>
        <v>98.322999999999993</v>
      </c>
      <c r="L257" s="194">
        <f t="shared" ref="L257:L262" si="242">SUM(F257:K257)</f>
        <v>474.34800000000001</v>
      </c>
      <c r="M257" s="194">
        <f t="shared" ref="M257:M262" si="243">L257/6</f>
        <v>79.058000000000007</v>
      </c>
      <c r="N257" s="192">
        <f t="shared" ref="N257:S258" si="244">N274+N336</f>
        <v>65.337999999999994</v>
      </c>
      <c r="O257" s="192">
        <f t="shared" si="244"/>
        <v>76.983000000000004</v>
      </c>
      <c r="P257" s="192">
        <f t="shared" si="244"/>
        <v>102.36</v>
      </c>
      <c r="Q257" s="192">
        <f t="shared" si="244"/>
        <v>99.522999999999996</v>
      </c>
      <c r="R257" s="192">
        <f t="shared" si="244"/>
        <v>110.428</v>
      </c>
      <c r="S257" s="192">
        <f t="shared" si="244"/>
        <v>126.206</v>
      </c>
      <c r="T257" s="194">
        <f t="shared" ref="T257:T262" si="245">SUM(N257:S257)</f>
        <v>580.83799999999997</v>
      </c>
      <c r="U257" s="194">
        <f t="shared" ref="U257:U262" si="246">T257+L257</f>
        <v>1055.1859999999999</v>
      </c>
      <c r="V257" s="194">
        <f>V274+V336</f>
        <v>1073.1959999999999</v>
      </c>
      <c r="W257" s="192">
        <f>V257-U257</f>
        <v>18.010000000000002</v>
      </c>
    </row>
    <row r="258" spans="1:24" s="172" customFormat="1" ht="18" customHeight="1">
      <c r="A258" s="592"/>
      <c r="B258" s="599"/>
      <c r="C258" s="600"/>
      <c r="D258" s="174" t="s">
        <v>102</v>
      </c>
      <c r="E258" s="192"/>
      <c r="F258" s="192">
        <f t="shared" si="241"/>
        <v>0</v>
      </c>
      <c r="G258" s="192">
        <f t="shared" si="241"/>
        <v>0</v>
      </c>
      <c r="H258" s="192">
        <f t="shared" si="241"/>
        <v>0</v>
      </c>
      <c r="I258" s="192">
        <f t="shared" si="241"/>
        <v>0</v>
      </c>
      <c r="J258" s="192">
        <f t="shared" si="241"/>
        <v>0</v>
      </c>
      <c r="K258" s="192">
        <f t="shared" si="241"/>
        <v>0</v>
      </c>
      <c r="L258" s="194">
        <f t="shared" si="242"/>
        <v>0</v>
      </c>
      <c r="M258" s="194">
        <f t="shared" si="243"/>
        <v>0</v>
      </c>
      <c r="N258" s="192">
        <f t="shared" si="244"/>
        <v>0</v>
      </c>
      <c r="O258" s="192">
        <f t="shared" si="244"/>
        <v>0</v>
      </c>
      <c r="P258" s="192">
        <f t="shared" si="244"/>
        <v>0</v>
      </c>
      <c r="Q258" s="192">
        <f t="shared" si="244"/>
        <v>0</v>
      </c>
      <c r="R258" s="192">
        <f t="shared" si="244"/>
        <v>0</v>
      </c>
      <c r="S258" s="192">
        <f t="shared" si="244"/>
        <v>0</v>
      </c>
      <c r="T258" s="194">
        <f t="shared" si="245"/>
        <v>0</v>
      </c>
      <c r="U258" s="194">
        <f t="shared" si="246"/>
        <v>0</v>
      </c>
      <c r="V258" s="194">
        <f t="shared" ref="V258" si="247">V275+V337</f>
        <v>0</v>
      </c>
      <c r="W258" s="192">
        <f t="shared" ref="W258:W260" si="248">V258-U258</f>
        <v>0</v>
      </c>
    </row>
    <row r="259" spans="1:24" s="172" customFormat="1" ht="18" customHeight="1">
      <c r="A259" s="592"/>
      <c r="B259" s="599"/>
      <c r="C259" s="600"/>
      <c r="D259" s="174" t="s">
        <v>103</v>
      </c>
      <c r="E259" s="192"/>
      <c r="F259" s="192">
        <f t="shared" ref="F259:K259" si="249">F257+F258</f>
        <v>62.470999999999997</v>
      </c>
      <c r="G259" s="192">
        <f t="shared" si="249"/>
        <v>80.242000000000004</v>
      </c>
      <c r="H259" s="192">
        <f t="shared" si="249"/>
        <v>71.19</v>
      </c>
      <c r="I259" s="192">
        <f t="shared" si="249"/>
        <v>77.676000000000002</v>
      </c>
      <c r="J259" s="192">
        <f t="shared" si="249"/>
        <v>84.445999999999998</v>
      </c>
      <c r="K259" s="192">
        <f t="shared" si="249"/>
        <v>98.322999999999993</v>
      </c>
      <c r="L259" s="194">
        <f t="shared" si="242"/>
        <v>474.34800000000001</v>
      </c>
      <c r="M259" s="194">
        <f t="shared" si="243"/>
        <v>79.058000000000007</v>
      </c>
      <c r="N259" s="192">
        <f t="shared" ref="N259:S259" si="250">N257+N258</f>
        <v>65.337999999999994</v>
      </c>
      <c r="O259" s="192">
        <f t="shared" si="250"/>
        <v>76.983000000000004</v>
      </c>
      <c r="P259" s="192">
        <f t="shared" si="250"/>
        <v>102.36</v>
      </c>
      <c r="Q259" s="192">
        <f t="shared" si="250"/>
        <v>99.522999999999996</v>
      </c>
      <c r="R259" s="192">
        <f t="shared" si="250"/>
        <v>110.428</v>
      </c>
      <c r="S259" s="192">
        <f t="shared" si="250"/>
        <v>126.206</v>
      </c>
      <c r="T259" s="194">
        <f t="shared" si="245"/>
        <v>580.83799999999997</v>
      </c>
      <c r="U259" s="194">
        <f t="shared" si="246"/>
        <v>1055.1859999999999</v>
      </c>
      <c r="V259" s="194">
        <f t="shared" ref="V259" si="251">V257+V258</f>
        <v>1073.1959999999999</v>
      </c>
      <c r="W259" s="192">
        <f t="shared" si="248"/>
        <v>18.010000000000002</v>
      </c>
    </row>
    <row r="260" spans="1:24" s="172" customFormat="1" ht="18" customHeight="1">
      <c r="A260" s="592"/>
      <c r="B260" s="599"/>
      <c r="C260" s="600"/>
      <c r="D260" s="174" t="s">
        <v>55</v>
      </c>
      <c r="E260" s="192"/>
      <c r="F260" s="192">
        <f t="shared" ref="F260:K262" si="252">F277+F339</f>
        <v>0</v>
      </c>
      <c r="G260" s="192">
        <f t="shared" si="252"/>
        <v>0</v>
      </c>
      <c r="H260" s="192">
        <f t="shared" si="252"/>
        <v>0</v>
      </c>
      <c r="I260" s="192">
        <f t="shared" si="252"/>
        <v>0</v>
      </c>
      <c r="J260" s="192">
        <f t="shared" si="252"/>
        <v>0</v>
      </c>
      <c r="K260" s="192">
        <f t="shared" si="252"/>
        <v>0</v>
      </c>
      <c r="L260" s="194">
        <f t="shared" si="242"/>
        <v>0</v>
      </c>
      <c r="M260" s="194">
        <f t="shared" si="243"/>
        <v>0</v>
      </c>
      <c r="N260" s="192">
        <f t="shared" ref="N260:S262" si="253">N277+N339</f>
        <v>0</v>
      </c>
      <c r="O260" s="192">
        <f t="shared" si="253"/>
        <v>0</v>
      </c>
      <c r="P260" s="192">
        <f t="shared" si="253"/>
        <v>0</v>
      </c>
      <c r="Q260" s="192">
        <f t="shared" si="253"/>
        <v>0</v>
      </c>
      <c r="R260" s="192">
        <f t="shared" si="253"/>
        <v>0</v>
      </c>
      <c r="S260" s="192">
        <f t="shared" si="253"/>
        <v>0</v>
      </c>
      <c r="T260" s="194">
        <f t="shared" si="245"/>
        <v>0</v>
      </c>
      <c r="U260" s="194">
        <f t="shared" si="246"/>
        <v>0</v>
      </c>
      <c r="V260" s="194">
        <f>V277+V339</f>
        <v>0</v>
      </c>
      <c r="W260" s="192">
        <f t="shared" si="248"/>
        <v>0</v>
      </c>
    </row>
    <row r="261" spans="1:24" s="172" customFormat="1" ht="18" customHeight="1">
      <c r="A261" s="592"/>
      <c r="B261" s="599"/>
      <c r="C261" s="600"/>
      <c r="D261" s="174" t="s">
        <v>28</v>
      </c>
      <c r="E261" s="192"/>
      <c r="F261" s="192">
        <f t="shared" si="252"/>
        <v>57.234999999999999</v>
      </c>
      <c r="G261" s="192">
        <f t="shared" si="252"/>
        <v>84.608000000000004</v>
      </c>
      <c r="H261" s="192">
        <f t="shared" si="252"/>
        <v>80.066000000000003</v>
      </c>
      <c r="I261" s="192">
        <f t="shared" si="252"/>
        <v>89.85</v>
      </c>
      <c r="J261" s="192">
        <f t="shared" si="252"/>
        <v>95.911000000000001</v>
      </c>
      <c r="K261" s="192">
        <f t="shared" si="252"/>
        <v>83.876000000000005</v>
      </c>
      <c r="L261" s="194">
        <f t="shared" si="242"/>
        <v>491.54599999999999</v>
      </c>
      <c r="M261" s="194">
        <f t="shared" si="243"/>
        <v>81.924000000000007</v>
      </c>
      <c r="N261" s="192">
        <f t="shared" si="253"/>
        <v>57.375999999999998</v>
      </c>
      <c r="O261" s="192">
        <f t="shared" si="253"/>
        <v>67.004999999999995</v>
      </c>
      <c r="P261" s="192">
        <f t="shared" si="253"/>
        <v>107.10299999999999</v>
      </c>
      <c r="Q261" s="192">
        <f t="shared" si="253"/>
        <v>113.467</v>
      </c>
      <c r="R261" s="192">
        <f t="shared" si="253"/>
        <v>116.111</v>
      </c>
      <c r="S261" s="192">
        <f t="shared" si="253"/>
        <v>120.58799999999999</v>
      </c>
      <c r="T261" s="194">
        <f t="shared" si="245"/>
        <v>581.65</v>
      </c>
      <c r="U261" s="194">
        <f t="shared" si="246"/>
        <v>1073.1959999999999</v>
      </c>
      <c r="V261" s="194">
        <f>V278+V340</f>
        <v>1073.1959999999999</v>
      </c>
      <c r="W261" s="192">
        <f>V261-U261</f>
        <v>0</v>
      </c>
    </row>
    <row r="262" spans="1:24" s="186" customFormat="1" ht="18" customHeight="1">
      <c r="A262" s="592"/>
      <c r="B262" s="599"/>
      <c r="C262" s="600"/>
      <c r="D262" s="178" t="s">
        <v>117</v>
      </c>
      <c r="E262" s="317">
        <f>E294+E356</f>
        <v>0</v>
      </c>
      <c r="F262" s="420">
        <f t="shared" si="252"/>
        <v>1899.5329999999999</v>
      </c>
      <c r="G262" s="420">
        <f t="shared" si="252"/>
        <v>4694.2550000000001</v>
      </c>
      <c r="H262" s="420">
        <f t="shared" si="252"/>
        <v>5088.4319999999998</v>
      </c>
      <c r="I262" s="420">
        <f t="shared" si="252"/>
        <v>4637.2179999999998</v>
      </c>
      <c r="J262" s="420">
        <f t="shared" si="252"/>
        <v>4701.8360000000002</v>
      </c>
      <c r="K262" s="420">
        <f t="shared" si="252"/>
        <v>5290.8220000000001</v>
      </c>
      <c r="L262" s="262">
        <f t="shared" si="242"/>
        <v>26312.096000000001</v>
      </c>
      <c r="M262" s="262">
        <f t="shared" si="243"/>
        <v>4385.3490000000002</v>
      </c>
      <c r="N262" s="260">
        <f t="shared" si="253"/>
        <v>2634.1309999999999</v>
      </c>
      <c r="O262" s="260">
        <f t="shared" si="253"/>
        <v>3170.1329999999998</v>
      </c>
      <c r="P262" s="260">
        <f t="shared" si="253"/>
        <v>6944.32</v>
      </c>
      <c r="Q262" s="260">
        <f t="shared" si="253"/>
        <v>5274.3</v>
      </c>
      <c r="R262" s="260">
        <f t="shared" si="253"/>
        <v>5814.84</v>
      </c>
      <c r="S262" s="260">
        <f t="shared" si="253"/>
        <v>7000.7</v>
      </c>
      <c r="T262" s="262">
        <f t="shared" si="245"/>
        <v>30838.423999999999</v>
      </c>
      <c r="U262" s="262">
        <f t="shared" si="246"/>
        <v>57150.52</v>
      </c>
      <c r="V262" s="410">
        <f>V279+V341</f>
        <v>61658.9</v>
      </c>
      <c r="W262" s="184">
        <f>V262-U262</f>
        <v>4508.3999999999996</v>
      </c>
      <c r="X262" s="546">
        <f>U255-U262</f>
        <v>0</v>
      </c>
    </row>
    <row r="263" spans="1:24" s="190" customFormat="1" ht="18" customHeight="1">
      <c r="A263" s="592"/>
      <c r="B263" s="599"/>
      <c r="C263" s="600"/>
      <c r="D263" s="187" t="s">
        <v>27</v>
      </c>
      <c r="E263" s="188" t="e">
        <f t="shared" ref="E263:W263" si="254">E264/E262*1000</f>
        <v>#DIV/0!</v>
      </c>
      <c r="F263" s="188">
        <f t="shared" si="254"/>
        <v>18.219000000000001</v>
      </c>
      <c r="G263" s="188">
        <f t="shared" si="254"/>
        <v>18.878</v>
      </c>
      <c r="H263" s="188">
        <f t="shared" si="254"/>
        <v>18.350999999999999</v>
      </c>
      <c r="I263" s="188">
        <f t="shared" si="254"/>
        <v>18.204000000000001</v>
      </c>
      <c r="J263" s="188">
        <f t="shared" si="254"/>
        <v>18.123000000000001</v>
      </c>
      <c r="K263" s="188">
        <f t="shared" si="254"/>
        <v>18.687000000000001</v>
      </c>
      <c r="L263" s="188">
        <f t="shared" si="254"/>
        <v>18.437000000000001</v>
      </c>
      <c r="M263" s="188">
        <f t="shared" si="254"/>
        <v>18.437000000000001</v>
      </c>
      <c r="N263" s="188">
        <f t="shared" si="254"/>
        <v>14.832000000000001</v>
      </c>
      <c r="O263" s="188">
        <f t="shared" si="254"/>
        <v>18.806000000000001</v>
      </c>
      <c r="P263" s="188">
        <f t="shared" si="254"/>
        <v>19.474</v>
      </c>
      <c r="Q263" s="188">
        <f t="shared" si="254"/>
        <v>18.869</v>
      </c>
      <c r="R263" s="188">
        <f t="shared" si="254"/>
        <v>18.991</v>
      </c>
      <c r="S263" s="188">
        <f t="shared" si="254"/>
        <v>18.027999999999999</v>
      </c>
      <c r="T263" s="188">
        <f t="shared" si="254"/>
        <v>18.486000000000001</v>
      </c>
      <c r="U263" s="188">
        <f t="shared" si="254"/>
        <v>18.463000000000001</v>
      </c>
      <c r="V263" s="188">
        <f t="shared" si="254"/>
        <v>17.405000000000001</v>
      </c>
      <c r="W263" s="189">
        <f t="shared" si="254"/>
        <v>3.9950000000000001</v>
      </c>
      <c r="X263" s="185"/>
    </row>
    <row r="264" spans="1:24" s="213" customFormat="1" ht="18" customHeight="1">
      <c r="A264" s="592"/>
      <c r="B264" s="599"/>
      <c r="C264" s="600"/>
      <c r="D264" s="198" t="s">
        <v>25</v>
      </c>
      <c r="E264" s="316">
        <f>E296+E358</f>
        <v>0</v>
      </c>
      <c r="F264" s="199">
        <f t="shared" ref="F264:K266" si="255">F281+F343</f>
        <v>34.607999999999997</v>
      </c>
      <c r="G264" s="199">
        <f t="shared" si="255"/>
        <v>88.619</v>
      </c>
      <c r="H264" s="199">
        <f t="shared" si="255"/>
        <v>93.38</v>
      </c>
      <c r="I264" s="199">
        <f t="shared" si="255"/>
        <v>84.415999999999997</v>
      </c>
      <c r="J264" s="199">
        <f t="shared" si="255"/>
        <v>85.212000000000003</v>
      </c>
      <c r="K264" s="199">
        <f t="shared" si="255"/>
        <v>98.869</v>
      </c>
      <c r="L264" s="199">
        <f>SUM(F264:K264)</f>
        <v>485.10399999999998</v>
      </c>
      <c r="M264" s="199">
        <f>L264/6</f>
        <v>80.850999999999999</v>
      </c>
      <c r="N264" s="199">
        <f t="shared" ref="N264:S266" si="256">N281+N343</f>
        <v>39.07</v>
      </c>
      <c r="O264" s="199">
        <f t="shared" si="256"/>
        <v>59.618000000000002</v>
      </c>
      <c r="P264" s="199">
        <f t="shared" si="256"/>
        <v>135.23699999999999</v>
      </c>
      <c r="Q264" s="199">
        <f t="shared" si="256"/>
        <v>99.522999999999996</v>
      </c>
      <c r="R264" s="199">
        <f t="shared" si="256"/>
        <v>110.428</v>
      </c>
      <c r="S264" s="199">
        <f t="shared" si="256"/>
        <v>126.206</v>
      </c>
      <c r="T264" s="199">
        <f>SUM(N264:S264)</f>
        <v>570.08199999999999</v>
      </c>
      <c r="U264" s="175">
        <f>T264+L264</f>
        <v>1055.1859999999999</v>
      </c>
      <c r="V264" s="175">
        <f>V281+V343</f>
        <v>1073.1959999999999</v>
      </c>
      <c r="W264" s="221">
        <f>V264-U264</f>
        <v>18.010000000000002</v>
      </c>
      <c r="X264" s="452">
        <f>U257-U264</f>
        <v>0</v>
      </c>
    </row>
    <row r="265" spans="1:24" s="213" customFormat="1" ht="18" customHeight="1">
      <c r="A265" s="592"/>
      <c r="B265" s="599"/>
      <c r="C265" s="600"/>
      <c r="D265" s="201" t="s">
        <v>55</v>
      </c>
      <c r="E265" s="220"/>
      <c r="F265" s="199">
        <f t="shared" si="255"/>
        <v>0</v>
      </c>
      <c r="G265" s="199">
        <f t="shared" si="255"/>
        <v>0</v>
      </c>
      <c r="H265" s="199">
        <f t="shared" si="255"/>
        <v>0</v>
      </c>
      <c r="I265" s="199">
        <f t="shared" si="255"/>
        <v>0</v>
      </c>
      <c r="J265" s="199">
        <f t="shared" si="255"/>
        <v>0</v>
      </c>
      <c r="K265" s="199">
        <f t="shared" si="255"/>
        <v>0</v>
      </c>
      <c r="L265" s="199">
        <f>SUM(F265:K265)</f>
        <v>0</v>
      </c>
      <c r="M265" s="199">
        <f>L265/6</f>
        <v>0</v>
      </c>
      <c r="N265" s="199">
        <f t="shared" si="256"/>
        <v>0</v>
      </c>
      <c r="O265" s="199">
        <f t="shared" si="256"/>
        <v>0</v>
      </c>
      <c r="P265" s="199">
        <f t="shared" si="256"/>
        <v>0</v>
      </c>
      <c r="Q265" s="199">
        <f t="shared" si="256"/>
        <v>0</v>
      </c>
      <c r="R265" s="199">
        <f t="shared" si="256"/>
        <v>0</v>
      </c>
      <c r="S265" s="199">
        <f t="shared" si="256"/>
        <v>0</v>
      </c>
      <c r="T265" s="199">
        <f>SUM(N265:S265)</f>
        <v>0</v>
      </c>
      <c r="U265" s="175">
        <f>T265+L265</f>
        <v>0</v>
      </c>
      <c r="V265" s="175">
        <f>V282+V344</f>
        <v>0</v>
      </c>
      <c r="W265" s="221">
        <f>V265-U265</f>
        <v>0</v>
      </c>
      <c r="X265" s="176">
        <f>U260-U265</f>
        <v>0</v>
      </c>
    </row>
    <row r="266" spans="1:24" s="213" customFormat="1" ht="18" customHeight="1">
      <c r="A266" s="592"/>
      <c r="B266" s="599"/>
      <c r="C266" s="600"/>
      <c r="D266" s="201" t="s">
        <v>24</v>
      </c>
      <c r="E266" s="199"/>
      <c r="F266" s="199">
        <f t="shared" si="255"/>
        <v>34.607999999999997</v>
      </c>
      <c r="G266" s="199">
        <f t="shared" si="255"/>
        <v>88.619</v>
      </c>
      <c r="H266" s="199">
        <f t="shared" si="255"/>
        <v>93.38</v>
      </c>
      <c r="I266" s="199">
        <f t="shared" si="255"/>
        <v>84.415999999999997</v>
      </c>
      <c r="J266" s="199">
        <f t="shared" si="255"/>
        <v>85.212000000000003</v>
      </c>
      <c r="K266" s="199">
        <f t="shared" si="255"/>
        <v>98.869</v>
      </c>
      <c r="L266" s="199">
        <f>SUM(F266:K266)</f>
        <v>485.10399999999998</v>
      </c>
      <c r="M266" s="199">
        <f>L266/6</f>
        <v>80.850999999999999</v>
      </c>
      <c r="N266" s="199">
        <f t="shared" si="256"/>
        <v>39.07</v>
      </c>
      <c r="O266" s="199">
        <f t="shared" si="256"/>
        <v>59.618000000000002</v>
      </c>
      <c r="P266" s="199">
        <f t="shared" si="256"/>
        <v>135.23699999999999</v>
      </c>
      <c r="Q266" s="199">
        <f t="shared" si="256"/>
        <v>99.522999999999996</v>
      </c>
      <c r="R266" s="199">
        <f t="shared" si="256"/>
        <v>110.428</v>
      </c>
      <c r="S266" s="199">
        <f t="shared" si="256"/>
        <v>126.206</v>
      </c>
      <c r="T266" s="199">
        <f>SUM(N266:S266)</f>
        <v>570.08199999999999</v>
      </c>
      <c r="U266" s="175">
        <f>T266+L266</f>
        <v>1055.1859999999999</v>
      </c>
      <c r="V266" s="175">
        <f>V283+V345</f>
        <v>1073.1959999999999</v>
      </c>
      <c r="W266" s="221">
        <f>V266-U266</f>
        <v>18.010000000000002</v>
      </c>
      <c r="X266" s="176">
        <f>U261-U266</f>
        <v>18.010000000000002</v>
      </c>
    </row>
    <row r="267" spans="1:24" s="205" customFormat="1" ht="18" customHeight="1">
      <c r="A267" s="592"/>
      <c r="B267" s="599"/>
      <c r="C267" s="600"/>
      <c r="D267" s="202" t="s">
        <v>29</v>
      </c>
      <c r="E267" s="203"/>
      <c r="F267" s="203">
        <f t="shared" ref="F267:K267" si="257">F261+F260</f>
        <v>57.234999999999999</v>
      </c>
      <c r="G267" s="203">
        <f t="shared" si="257"/>
        <v>84.608000000000004</v>
      </c>
      <c r="H267" s="203">
        <f t="shared" si="257"/>
        <v>80.066000000000003</v>
      </c>
      <c r="I267" s="203">
        <f t="shared" si="257"/>
        <v>89.85</v>
      </c>
      <c r="J267" s="203">
        <f t="shared" si="257"/>
        <v>95.911000000000001</v>
      </c>
      <c r="K267" s="203">
        <f t="shared" si="257"/>
        <v>83.876000000000005</v>
      </c>
      <c r="L267" s="203">
        <f>SUM(F267:K267)</f>
        <v>491.54599999999999</v>
      </c>
      <c r="M267" s="203">
        <f>L267/6</f>
        <v>81.924000000000007</v>
      </c>
      <c r="N267" s="203">
        <f t="shared" ref="N267:S267" si="258">N261+N260</f>
        <v>57.375999999999998</v>
      </c>
      <c r="O267" s="203">
        <f t="shared" si="258"/>
        <v>67.004999999999995</v>
      </c>
      <c r="P267" s="203">
        <f t="shared" si="258"/>
        <v>107.10299999999999</v>
      </c>
      <c r="Q267" s="203">
        <f t="shared" si="258"/>
        <v>113.467</v>
      </c>
      <c r="R267" s="203">
        <f t="shared" si="258"/>
        <v>116.111</v>
      </c>
      <c r="S267" s="203">
        <f t="shared" si="258"/>
        <v>120.58799999999999</v>
      </c>
      <c r="T267" s="203">
        <f>SUM(N267:S267)</f>
        <v>581.65</v>
      </c>
      <c r="U267" s="204">
        <f>T267+L267</f>
        <v>1073.1959999999999</v>
      </c>
      <c r="V267" s="204">
        <f>V261+V260</f>
        <v>1073.1959999999999</v>
      </c>
      <c r="W267" s="203">
        <f>V267-U267</f>
        <v>0</v>
      </c>
    </row>
    <row r="268" spans="1:24" s="205" customFormat="1" ht="18" customHeight="1">
      <c r="A268" s="592"/>
      <c r="B268" s="599"/>
      <c r="C268" s="600"/>
      <c r="D268" s="202" t="s">
        <v>30</v>
      </c>
      <c r="E268" s="203"/>
      <c r="F268" s="203">
        <f t="shared" ref="F268:K268" si="259">F264-F267</f>
        <v>-22.626999999999999</v>
      </c>
      <c r="G268" s="203">
        <f t="shared" si="259"/>
        <v>4.0110000000000001</v>
      </c>
      <c r="H268" s="203">
        <f t="shared" si="259"/>
        <v>13.314</v>
      </c>
      <c r="I268" s="203">
        <f t="shared" si="259"/>
        <v>-5.4340000000000002</v>
      </c>
      <c r="J268" s="203">
        <f t="shared" si="259"/>
        <v>-10.699</v>
      </c>
      <c r="K268" s="203">
        <f t="shared" si="259"/>
        <v>14.993</v>
      </c>
      <c r="L268" s="203"/>
      <c r="M268" s="203"/>
      <c r="N268" s="203">
        <f t="shared" ref="N268:S268" si="260">N264-N267</f>
        <v>-18.306000000000001</v>
      </c>
      <c r="O268" s="203">
        <f t="shared" si="260"/>
        <v>-7.3869999999999996</v>
      </c>
      <c r="P268" s="203">
        <f t="shared" si="260"/>
        <v>28.134</v>
      </c>
      <c r="Q268" s="203">
        <f t="shared" si="260"/>
        <v>-13.944000000000001</v>
      </c>
      <c r="R268" s="203">
        <f t="shared" si="260"/>
        <v>-5.6829999999999998</v>
      </c>
      <c r="S268" s="203">
        <f t="shared" si="260"/>
        <v>5.6180000000000003</v>
      </c>
      <c r="T268" s="203"/>
      <c r="U268" s="203"/>
      <c r="V268" s="203"/>
      <c r="W268" s="203"/>
    </row>
    <row r="269" spans="1:24" s="205" customFormat="1" ht="18" customHeight="1">
      <c r="A269" s="593"/>
      <c r="B269" s="601"/>
      <c r="C269" s="602"/>
      <c r="D269" s="202" t="s">
        <v>31</v>
      </c>
      <c r="E269" s="203"/>
      <c r="F269" s="203">
        <f>F268</f>
        <v>-22.626999999999999</v>
      </c>
      <c r="G269" s="203">
        <f>G268+F269</f>
        <v>-18.616</v>
      </c>
      <c r="H269" s="203">
        <f>H268+G269</f>
        <v>-5.3019999999999996</v>
      </c>
      <c r="I269" s="203">
        <f>I268+H269</f>
        <v>-10.736000000000001</v>
      </c>
      <c r="J269" s="203">
        <f>J268+I269</f>
        <v>-21.434999999999999</v>
      </c>
      <c r="K269" s="203">
        <f>K268+J269</f>
        <v>-6.4420000000000002</v>
      </c>
      <c r="L269" s="203"/>
      <c r="M269" s="203"/>
      <c r="N269" s="203">
        <f>N268+K269</f>
        <v>-24.748000000000001</v>
      </c>
      <c r="O269" s="203">
        <f>O268+N269</f>
        <v>-32.134999999999998</v>
      </c>
      <c r="P269" s="203">
        <f>P268+O269</f>
        <v>-4.0010000000000003</v>
      </c>
      <c r="Q269" s="203">
        <f>Q268+P269</f>
        <v>-17.945</v>
      </c>
      <c r="R269" s="203">
        <f>R268+Q269</f>
        <v>-23.628</v>
      </c>
      <c r="S269" s="203">
        <f>S268+R269</f>
        <v>-18.010000000000002</v>
      </c>
      <c r="T269" s="203"/>
      <c r="U269" s="203"/>
      <c r="V269" s="203"/>
      <c r="W269" s="203"/>
    </row>
    <row r="270" spans="1:24" s="186" customFormat="1" ht="18" customHeight="1">
      <c r="A270" s="594" t="s">
        <v>35</v>
      </c>
      <c r="B270" s="603" t="s">
        <v>36</v>
      </c>
      <c r="C270" s="604"/>
      <c r="D270" s="178" t="s">
        <v>105</v>
      </c>
      <c r="E270" s="179"/>
      <c r="F270" s="180">
        <f t="shared" ref="F270:K271" si="261">F287+F302+F317</f>
        <v>863.7</v>
      </c>
      <c r="G270" s="180">
        <f t="shared" si="261"/>
        <v>993</v>
      </c>
      <c r="H270" s="180">
        <f t="shared" si="261"/>
        <v>1140.4000000000001</v>
      </c>
      <c r="I270" s="180">
        <f t="shared" si="261"/>
        <v>1332.4</v>
      </c>
      <c r="J270" s="180">
        <f t="shared" si="261"/>
        <v>1121.5</v>
      </c>
      <c r="K270" s="180">
        <f t="shared" si="261"/>
        <v>1394</v>
      </c>
      <c r="L270" s="215">
        <f>SUM(F270:K270)</f>
        <v>6845</v>
      </c>
      <c r="M270" s="215">
        <f>L270/6</f>
        <v>1140.8</v>
      </c>
      <c r="N270" s="180">
        <f t="shared" ref="N270:S271" si="262">N287+N302+N317</f>
        <v>1233.0999999999999</v>
      </c>
      <c r="O270" s="180">
        <f t="shared" si="262"/>
        <v>1215</v>
      </c>
      <c r="P270" s="180">
        <f t="shared" si="262"/>
        <v>1277.2</v>
      </c>
      <c r="Q270" s="180">
        <f t="shared" si="262"/>
        <v>1983</v>
      </c>
      <c r="R270" s="180">
        <f t="shared" si="262"/>
        <v>1740.4</v>
      </c>
      <c r="S270" s="180">
        <f t="shared" si="262"/>
        <v>2652.2</v>
      </c>
      <c r="T270" s="215">
        <f>SUM(N270:S270)</f>
        <v>10100.9</v>
      </c>
      <c r="U270" s="215">
        <f>T270+L270</f>
        <v>16945.900000000001</v>
      </c>
      <c r="V270" s="233">
        <f>V287+V317</f>
        <v>11319</v>
      </c>
      <c r="W270" s="184"/>
      <c r="X270" s="185"/>
    </row>
    <row r="271" spans="1:24" s="186" customFormat="1" ht="18" customHeight="1">
      <c r="A271" s="595"/>
      <c r="B271" s="605"/>
      <c r="C271" s="606"/>
      <c r="D271" s="178" t="s">
        <v>109</v>
      </c>
      <c r="E271" s="179"/>
      <c r="F271" s="180">
        <f t="shared" si="261"/>
        <v>999.1</v>
      </c>
      <c r="G271" s="180">
        <f t="shared" si="261"/>
        <v>1337</v>
      </c>
      <c r="H271" s="180">
        <f t="shared" si="261"/>
        <v>1436.8</v>
      </c>
      <c r="I271" s="180">
        <f t="shared" si="261"/>
        <v>1495</v>
      </c>
      <c r="J271" s="180">
        <f t="shared" si="261"/>
        <v>1564.7</v>
      </c>
      <c r="K271" s="180">
        <f t="shared" si="261"/>
        <v>1597.8</v>
      </c>
      <c r="L271" s="215">
        <f>SUM(F271:K271)</f>
        <v>8430.4</v>
      </c>
      <c r="M271" s="215">
        <f>L271/6</f>
        <v>1405.1</v>
      </c>
      <c r="N271" s="180">
        <f t="shared" si="262"/>
        <v>1380.5</v>
      </c>
      <c r="O271" s="180">
        <f t="shared" si="262"/>
        <v>1218.5999999999999</v>
      </c>
      <c r="P271" s="180">
        <f t="shared" si="262"/>
        <v>1764.1</v>
      </c>
      <c r="Q271" s="180">
        <f t="shared" si="262"/>
        <v>1506.2</v>
      </c>
      <c r="R271" s="180">
        <f t="shared" si="262"/>
        <v>1761</v>
      </c>
      <c r="S271" s="180">
        <f t="shared" si="262"/>
        <v>2231.3000000000002</v>
      </c>
      <c r="T271" s="215">
        <f>SUM(N271:S271)</f>
        <v>9861.7000000000007</v>
      </c>
      <c r="U271" s="215">
        <f>T271+L271</f>
        <v>18292.099999999999</v>
      </c>
      <c r="V271" s="233">
        <f>V288+V318</f>
        <v>18042.5</v>
      </c>
      <c r="W271" s="184"/>
      <c r="X271" s="185"/>
    </row>
    <row r="272" spans="1:24" s="186" customFormat="1" ht="18" customHeight="1">
      <c r="A272" s="595"/>
      <c r="B272" s="605"/>
      <c r="C272" s="606"/>
      <c r="D272" s="178" t="s">
        <v>116</v>
      </c>
      <c r="E272" s="179"/>
      <c r="F272" s="264">
        <f t="shared" ref="F272:K272" si="263">F289+F319</f>
        <v>1175.9179999999999</v>
      </c>
      <c r="G272" s="264">
        <f t="shared" si="263"/>
        <v>1663.662</v>
      </c>
      <c r="H272" s="264">
        <f t="shared" si="263"/>
        <v>1208.5450000000001</v>
      </c>
      <c r="I272" s="264">
        <f t="shared" si="263"/>
        <v>1273.2739999999999</v>
      </c>
      <c r="J272" s="264">
        <f t="shared" si="263"/>
        <v>1509.9649999999999</v>
      </c>
      <c r="K272" s="264">
        <f t="shared" si="263"/>
        <v>1961.19</v>
      </c>
      <c r="L272" s="234">
        <f>SUM(F272:K272)</f>
        <v>8792.5540000000001</v>
      </c>
      <c r="M272" s="234">
        <f>L272/6</f>
        <v>1465.4259999999999</v>
      </c>
      <c r="N272" s="264">
        <f t="shared" ref="N272:S272" si="264">N289+N319</f>
        <v>1304.932</v>
      </c>
      <c r="O272" s="264">
        <f t="shared" si="264"/>
        <v>1608.337</v>
      </c>
      <c r="P272" s="264">
        <f t="shared" si="264"/>
        <v>2221.1999999999998</v>
      </c>
      <c r="Q272" s="264">
        <f t="shared" si="264"/>
        <v>2063.5</v>
      </c>
      <c r="R272" s="264">
        <f t="shared" si="264"/>
        <v>2333.7399999999998</v>
      </c>
      <c r="S272" s="264">
        <f t="shared" si="264"/>
        <v>2246.4</v>
      </c>
      <c r="T272" s="234">
        <f>SUM(N272:S272)</f>
        <v>11778.109</v>
      </c>
      <c r="U272" s="234">
        <f>T272+L272</f>
        <v>20570.663</v>
      </c>
      <c r="V272" s="233">
        <f>V289+V304+V319</f>
        <v>20838.599999999999</v>
      </c>
      <c r="W272" s="184">
        <f>V272-U272</f>
        <v>267.89999999999998</v>
      </c>
      <c r="X272" s="185"/>
    </row>
    <row r="273" spans="1:24" s="190" customFormat="1" ht="18" customHeight="1">
      <c r="A273" s="595"/>
      <c r="B273" s="605"/>
      <c r="C273" s="606"/>
      <c r="D273" s="187" t="s">
        <v>27</v>
      </c>
      <c r="E273" s="188"/>
      <c r="F273" s="188">
        <f t="shared" ref="F273:W273" si="265">F274/F272*1000</f>
        <v>24.806000000000001</v>
      </c>
      <c r="G273" s="188">
        <f t="shared" si="265"/>
        <v>26.059000000000001</v>
      </c>
      <c r="H273" s="188">
        <f t="shared" si="265"/>
        <v>26.158999999999999</v>
      </c>
      <c r="I273" s="188">
        <f t="shared" si="265"/>
        <v>26.157</v>
      </c>
      <c r="J273" s="188">
        <f t="shared" si="265"/>
        <v>26.161999999999999</v>
      </c>
      <c r="K273" s="188">
        <f t="shared" si="265"/>
        <v>26.145</v>
      </c>
      <c r="L273" s="188">
        <f t="shared" si="265"/>
        <v>25.956</v>
      </c>
      <c r="M273" s="188">
        <f t="shared" si="265"/>
        <v>25.956</v>
      </c>
      <c r="N273" s="188">
        <f t="shared" si="265"/>
        <v>26.16</v>
      </c>
      <c r="O273" s="188">
        <f t="shared" si="265"/>
        <v>26.158999999999999</v>
      </c>
      <c r="P273" s="188">
        <f t="shared" si="265"/>
        <v>26.16</v>
      </c>
      <c r="Q273" s="188">
        <f t="shared" si="265"/>
        <v>26.16</v>
      </c>
      <c r="R273" s="188">
        <f t="shared" si="265"/>
        <v>26.161000000000001</v>
      </c>
      <c r="S273" s="188">
        <f t="shared" si="265"/>
        <v>26.164000000000001</v>
      </c>
      <c r="T273" s="188">
        <f t="shared" si="265"/>
        <v>26.161000000000001</v>
      </c>
      <c r="U273" s="188">
        <f t="shared" si="265"/>
        <v>26.073</v>
      </c>
      <c r="V273" s="188">
        <f t="shared" si="265"/>
        <v>23.585000000000001</v>
      </c>
      <c r="W273" s="189">
        <f t="shared" si="265"/>
        <v>-167.47300000000001</v>
      </c>
      <c r="X273" s="225"/>
    </row>
    <row r="274" spans="1:24" s="172" customFormat="1" ht="18" customHeight="1">
      <c r="A274" s="595"/>
      <c r="B274" s="605"/>
      <c r="C274" s="606"/>
      <c r="D274" s="191" t="s">
        <v>0</v>
      </c>
      <c r="E274" s="192"/>
      <c r="F274" s="192">
        <f t="shared" ref="F274:K274" si="266">F291+F321</f>
        <v>29.17</v>
      </c>
      <c r="G274" s="192">
        <f t="shared" si="266"/>
        <v>43.353999999999999</v>
      </c>
      <c r="H274" s="192">
        <f t="shared" si="266"/>
        <v>31.614000000000001</v>
      </c>
      <c r="I274" s="192">
        <f t="shared" si="266"/>
        <v>33.305</v>
      </c>
      <c r="J274" s="192">
        <f t="shared" si="266"/>
        <v>39.503</v>
      </c>
      <c r="K274" s="192">
        <f t="shared" si="266"/>
        <v>51.276000000000003</v>
      </c>
      <c r="L274" s="194">
        <f t="shared" ref="L274:L279" si="267">SUM(F274:K274)</f>
        <v>228.22200000000001</v>
      </c>
      <c r="M274" s="194">
        <f t="shared" ref="M274:M279" si="268">L274/6</f>
        <v>38.036999999999999</v>
      </c>
      <c r="N274" s="192">
        <f t="shared" ref="N274:S274" si="269">N291+N321</f>
        <v>34.137</v>
      </c>
      <c r="O274" s="192">
        <f t="shared" si="269"/>
        <v>42.072000000000003</v>
      </c>
      <c r="P274" s="192">
        <f t="shared" si="269"/>
        <v>58.106999999999999</v>
      </c>
      <c r="Q274" s="192">
        <f t="shared" si="269"/>
        <v>53.981000000000002</v>
      </c>
      <c r="R274" s="192">
        <f t="shared" si="269"/>
        <v>61.052</v>
      </c>
      <c r="S274" s="192">
        <f t="shared" si="269"/>
        <v>58.774999999999999</v>
      </c>
      <c r="T274" s="194">
        <f t="shared" ref="T274:T279" si="270">SUM(N274:S274)</f>
        <v>308.12400000000002</v>
      </c>
      <c r="U274" s="194">
        <f t="shared" ref="U274:U279" si="271">T274+L274</f>
        <v>536.346</v>
      </c>
      <c r="V274" s="192">
        <f>V291+V321</f>
        <v>491.48</v>
      </c>
      <c r="W274" s="192">
        <f>V274-U274</f>
        <v>-44.866</v>
      </c>
    </row>
    <row r="275" spans="1:24" s="172" customFormat="1" ht="18" customHeight="1">
      <c r="A275" s="595"/>
      <c r="B275" s="605"/>
      <c r="C275" s="606"/>
      <c r="D275" s="174" t="s">
        <v>102</v>
      </c>
      <c r="E275" s="192"/>
      <c r="F275" s="192">
        <f t="shared" ref="F275:K275" si="272">F306</f>
        <v>0</v>
      </c>
      <c r="G275" s="192">
        <f t="shared" si="272"/>
        <v>0</v>
      </c>
      <c r="H275" s="192">
        <f t="shared" si="272"/>
        <v>0</v>
      </c>
      <c r="I275" s="192">
        <f t="shared" si="272"/>
        <v>0</v>
      </c>
      <c r="J275" s="192">
        <f t="shared" si="272"/>
        <v>0</v>
      </c>
      <c r="K275" s="192">
        <f t="shared" si="272"/>
        <v>0</v>
      </c>
      <c r="L275" s="194">
        <f t="shared" si="267"/>
        <v>0</v>
      </c>
      <c r="M275" s="194">
        <f t="shared" si="268"/>
        <v>0</v>
      </c>
      <c r="N275" s="192">
        <f t="shared" ref="N275:S275" si="273">N306</f>
        <v>0</v>
      </c>
      <c r="O275" s="192">
        <f t="shared" si="273"/>
        <v>0</v>
      </c>
      <c r="P275" s="192">
        <f t="shared" si="273"/>
        <v>0</v>
      </c>
      <c r="Q275" s="192">
        <f t="shared" si="273"/>
        <v>0</v>
      </c>
      <c r="R275" s="192">
        <f t="shared" si="273"/>
        <v>0</v>
      </c>
      <c r="S275" s="192">
        <f t="shared" si="273"/>
        <v>0</v>
      </c>
      <c r="T275" s="194">
        <f t="shared" si="270"/>
        <v>0</v>
      </c>
      <c r="U275" s="194">
        <f t="shared" si="271"/>
        <v>0</v>
      </c>
      <c r="V275" s="192">
        <f t="shared" ref="V275" si="274">V306</f>
        <v>0</v>
      </c>
      <c r="W275" s="192">
        <f t="shared" ref="W275:W276" si="275">V275-U275</f>
        <v>0</v>
      </c>
    </row>
    <row r="276" spans="1:24" s="172" customFormat="1" ht="18" customHeight="1">
      <c r="A276" s="595"/>
      <c r="B276" s="605"/>
      <c r="C276" s="606"/>
      <c r="D276" s="174" t="s">
        <v>103</v>
      </c>
      <c r="E276" s="192"/>
      <c r="F276" s="192">
        <f t="shared" ref="F276:K276" si="276">F274+F275</f>
        <v>29.17</v>
      </c>
      <c r="G276" s="192">
        <f t="shared" si="276"/>
        <v>43.353999999999999</v>
      </c>
      <c r="H276" s="192">
        <f t="shared" si="276"/>
        <v>31.614000000000001</v>
      </c>
      <c r="I276" s="192">
        <f t="shared" si="276"/>
        <v>33.305</v>
      </c>
      <c r="J276" s="192">
        <f t="shared" si="276"/>
        <v>39.503</v>
      </c>
      <c r="K276" s="192">
        <f t="shared" si="276"/>
        <v>51.276000000000003</v>
      </c>
      <c r="L276" s="194">
        <f t="shared" si="267"/>
        <v>228.22200000000001</v>
      </c>
      <c r="M276" s="194">
        <f t="shared" si="268"/>
        <v>38.036999999999999</v>
      </c>
      <c r="N276" s="192">
        <f t="shared" ref="N276:S276" si="277">N274+N275</f>
        <v>34.137</v>
      </c>
      <c r="O276" s="192">
        <f t="shared" si="277"/>
        <v>42.072000000000003</v>
      </c>
      <c r="P276" s="192">
        <f t="shared" si="277"/>
        <v>58.106999999999999</v>
      </c>
      <c r="Q276" s="192">
        <f t="shared" si="277"/>
        <v>53.981000000000002</v>
      </c>
      <c r="R276" s="192">
        <f t="shared" si="277"/>
        <v>61.052</v>
      </c>
      <c r="S276" s="192">
        <f t="shared" si="277"/>
        <v>58.774999999999999</v>
      </c>
      <c r="T276" s="194">
        <f t="shared" si="270"/>
        <v>308.12400000000002</v>
      </c>
      <c r="U276" s="194">
        <f t="shared" si="271"/>
        <v>536.346</v>
      </c>
      <c r="V276" s="192">
        <f t="shared" ref="V276" si="278">V274+V275</f>
        <v>491.48</v>
      </c>
      <c r="W276" s="192">
        <f t="shared" si="275"/>
        <v>-44.866</v>
      </c>
    </row>
    <row r="277" spans="1:24" s="172" customFormat="1" ht="18" customHeight="1">
      <c r="A277" s="595"/>
      <c r="B277" s="605"/>
      <c r="C277" s="606"/>
      <c r="D277" s="174" t="s">
        <v>55</v>
      </c>
      <c r="E277" s="192"/>
      <c r="F277" s="192">
        <f t="shared" ref="F277:K279" si="279">F292+F307+F322</f>
        <v>0</v>
      </c>
      <c r="G277" s="192">
        <f t="shared" si="279"/>
        <v>0</v>
      </c>
      <c r="H277" s="192">
        <f t="shared" si="279"/>
        <v>0</v>
      </c>
      <c r="I277" s="192">
        <f t="shared" si="279"/>
        <v>0</v>
      </c>
      <c r="J277" s="192">
        <f t="shared" si="279"/>
        <v>0</v>
      </c>
      <c r="K277" s="192">
        <f t="shared" si="279"/>
        <v>0</v>
      </c>
      <c r="L277" s="194">
        <f t="shared" si="267"/>
        <v>0</v>
      </c>
      <c r="M277" s="194">
        <f t="shared" si="268"/>
        <v>0</v>
      </c>
      <c r="N277" s="192">
        <f t="shared" ref="N277:S279" si="280">N292+N307+N322</f>
        <v>0</v>
      </c>
      <c r="O277" s="192">
        <f t="shared" si="280"/>
        <v>0</v>
      </c>
      <c r="P277" s="192">
        <f t="shared" si="280"/>
        <v>0</v>
      </c>
      <c r="Q277" s="192">
        <f t="shared" si="280"/>
        <v>0</v>
      </c>
      <c r="R277" s="192">
        <f t="shared" si="280"/>
        <v>0</v>
      </c>
      <c r="S277" s="192">
        <f t="shared" si="280"/>
        <v>0</v>
      </c>
      <c r="T277" s="194">
        <f t="shared" si="270"/>
        <v>0</v>
      </c>
      <c r="U277" s="194">
        <f t="shared" si="271"/>
        <v>0</v>
      </c>
      <c r="V277" s="192">
        <f>V292+V322</f>
        <v>0</v>
      </c>
      <c r="W277" s="192">
        <f>V277-U277</f>
        <v>0</v>
      </c>
    </row>
    <row r="278" spans="1:24" s="172" customFormat="1" ht="18" customHeight="1">
      <c r="A278" s="595"/>
      <c r="B278" s="605"/>
      <c r="C278" s="606"/>
      <c r="D278" s="174" t="s">
        <v>28</v>
      </c>
      <c r="E278" s="192"/>
      <c r="F278" s="192">
        <f t="shared" si="279"/>
        <v>25.428999999999998</v>
      </c>
      <c r="G278" s="192">
        <f t="shared" si="279"/>
        <v>41.457999999999998</v>
      </c>
      <c r="H278" s="192">
        <f t="shared" si="279"/>
        <v>50.795000000000002</v>
      </c>
      <c r="I278" s="192">
        <f t="shared" si="279"/>
        <v>44.101999999999997</v>
      </c>
      <c r="J278" s="192">
        <f t="shared" si="279"/>
        <v>47.466999999999999</v>
      </c>
      <c r="K278" s="192">
        <f t="shared" si="279"/>
        <v>31.344000000000001</v>
      </c>
      <c r="L278" s="194">
        <f t="shared" si="267"/>
        <v>240.595</v>
      </c>
      <c r="M278" s="194">
        <f t="shared" si="268"/>
        <v>40.098999999999997</v>
      </c>
      <c r="N278" s="192">
        <f t="shared" si="280"/>
        <v>27.661000000000001</v>
      </c>
      <c r="O278" s="192">
        <f t="shared" si="280"/>
        <v>32.768000000000001</v>
      </c>
      <c r="P278" s="192">
        <f t="shared" si="280"/>
        <v>44.963999999999999</v>
      </c>
      <c r="Q278" s="192">
        <f t="shared" si="280"/>
        <v>39.829000000000001</v>
      </c>
      <c r="R278" s="192">
        <f t="shared" si="280"/>
        <v>54.180999999999997</v>
      </c>
      <c r="S278" s="192">
        <f t="shared" si="280"/>
        <v>51.481999999999999</v>
      </c>
      <c r="T278" s="194">
        <f t="shared" si="270"/>
        <v>250.88499999999999</v>
      </c>
      <c r="U278" s="194">
        <f t="shared" si="271"/>
        <v>491.48</v>
      </c>
      <c r="V278" s="192">
        <f>V293+V323</f>
        <v>491.48</v>
      </c>
      <c r="W278" s="192">
        <f>V278-U278</f>
        <v>0</v>
      </c>
    </row>
    <row r="279" spans="1:24" s="186" customFormat="1" ht="18" customHeight="1">
      <c r="A279" s="595"/>
      <c r="B279" s="605"/>
      <c r="C279" s="606"/>
      <c r="D279" s="178" t="s">
        <v>117</v>
      </c>
      <c r="E279" s="179">
        <f>E294</f>
        <v>0</v>
      </c>
      <c r="F279" s="260">
        <f t="shared" si="279"/>
        <v>743.21400000000006</v>
      </c>
      <c r="G279" s="260">
        <f t="shared" si="279"/>
        <v>1894.4059999999999</v>
      </c>
      <c r="H279" s="260">
        <f t="shared" si="279"/>
        <v>1770.7170000000001</v>
      </c>
      <c r="I279" s="260">
        <f t="shared" si="279"/>
        <v>1558.3520000000001</v>
      </c>
      <c r="J279" s="260">
        <f t="shared" si="279"/>
        <v>1546.596</v>
      </c>
      <c r="K279" s="260">
        <f t="shared" si="279"/>
        <v>1990.374</v>
      </c>
      <c r="L279" s="262">
        <f t="shared" si="267"/>
        <v>9503.6589999999997</v>
      </c>
      <c r="M279" s="262">
        <f t="shared" si="268"/>
        <v>1583.943</v>
      </c>
      <c r="N279" s="420">
        <f t="shared" si="280"/>
        <v>142.631</v>
      </c>
      <c r="O279" s="420">
        <f t="shared" si="280"/>
        <v>1223.633</v>
      </c>
      <c r="P279" s="420">
        <f t="shared" si="280"/>
        <v>3057.12</v>
      </c>
      <c r="Q279" s="420">
        <f t="shared" si="280"/>
        <v>2063.5</v>
      </c>
      <c r="R279" s="420">
        <f t="shared" si="280"/>
        <v>2333.7399999999998</v>
      </c>
      <c r="S279" s="420">
        <f t="shared" si="280"/>
        <v>2246.4</v>
      </c>
      <c r="T279" s="262">
        <f t="shared" si="270"/>
        <v>11067.023999999999</v>
      </c>
      <c r="U279" s="262">
        <f t="shared" si="271"/>
        <v>20570.683000000001</v>
      </c>
      <c r="V279" s="179">
        <f>V294+V324</f>
        <v>20838.599999999999</v>
      </c>
      <c r="W279" s="184">
        <f>V279-U279</f>
        <v>267.89999999999998</v>
      </c>
      <c r="X279" s="319">
        <f>U272-U279</f>
        <v>0</v>
      </c>
    </row>
    <row r="280" spans="1:24" s="190" customFormat="1" ht="18" customHeight="1">
      <c r="A280" s="595"/>
      <c r="B280" s="605"/>
      <c r="C280" s="606"/>
      <c r="D280" s="187" t="s">
        <v>27</v>
      </c>
      <c r="E280" s="188" t="e">
        <f t="shared" ref="E280:W280" si="281">E281/E279*1000</f>
        <v>#DIV/0!</v>
      </c>
      <c r="F280" s="188">
        <f t="shared" si="281"/>
        <v>24.498000000000001</v>
      </c>
      <c r="G280" s="188">
        <f t="shared" si="281"/>
        <v>25.815000000000001</v>
      </c>
      <c r="H280" s="188">
        <f t="shared" si="281"/>
        <v>26.16</v>
      </c>
      <c r="I280" s="188">
        <f t="shared" si="281"/>
        <v>26.146999999999998</v>
      </c>
      <c r="J280" s="188">
        <f t="shared" si="281"/>
        <v>26.158999999999999</v>
      </c>
      <c r="K280" s="188">
        <f t="shared" si="281"/>
        <v>26.154</v>
      </c>
      <c r="L280" s="188">
        <f t="shared" si="281"/>
        <v>25.957999999999998</v>
      </c>
      <c r="M280" s="188">
        <f t="shared" si="281"/>
        <v>25.957999999999998</v>
      </c>
      <c r="N280" s="188">
        <f t="shared" si="281"/>
        <v>26.164999999999999</v>
      </c>
      <c r="O280" s="188">
        <f t="shared" si="281"/>
        <v>26.158999999999999</v>
      </c>
      <c r="P280" s="188">
        <f t="shared" si="281"/>
        <v>26.202000000000002</v>
      </c>
      <c r="Q280" s="188">
        <f t="shared" si="281"/>
        <v>26.16</v>
      </c>
      <c r="R280" s="188">
        <f t="shared" si="281"/>
        <v>26.161000000000001</v>
      </c>
      <c r="S280" s="188">
        <f t="shared" si="281"/>
        <v>26.164999999999999</v>
      </c>
      <c r="T280" s="188">
        <f t="shared" si="281"/>
        <v>26.172999999999998</v>
      </c>
      <c r="U280" s="188">
        <f t="shared" si="281"/>
        <v>26.073</v>
      </c>
      <c r="V280" s="188">
        <f t="shared" si="281"/>
        <v>23.585000000000001</v>
      </c>
      <c r="W280" s="189">
        <f t="shared" si="281"/>
        <v>-167.47300000000001</v>
      </c>
      <c r="X280" s="240"/>
    </row>
    <row r="281" spans="1:24" s="213" customFormat="1" ht="18" customHeight="1">
      <c r="A281" s="595"/>
      <c r="B281" s="605"/>
      <c r="C281" s="606"/>
      <c r="D281" s="198" t="s">
        <v>25</v>
      </c>
      <c r="E281" s="220">
        <f>E296+E326</f>
        <v>0</v>
      </c>
      <c r="F281" s="199">
        <f t="shared" ref="F281:K283" si="282">F296+F311+F326</f>
        <v>18.207000000000001</v>
      </c>
      <c r="G281" s="199">
        <f t="shared" si="282"/>
        <v>48.905000000000001</v>
      </c>
      <c r="H281" s="199">
        <f t="shared" si="282"/>
        <v>46.322000000000003</v>
      </c>
      <c r="I281" s="199">
        <f t="shared" si="282"/>
        <v>40.746000000000002</v>
      </c>
      <c r="J281" s="199">
        <f t="shared" si="282"/>
        <v>40.457000000000001</v>
      </c>
      <c r="K281" s="199">
        <f t="shared" si="282"/>
        <v>52.055999999999997</v>
      </c>
      <c r="L281" s="199">
        <f>SUM(F281:K281)</f>
        <v>246.69300000000001</v>
      </c>
      <c r="M281" s="199">
        <f>L281/6</f>
        <v>41.116</v>
      </c>
      <c r="N281" s="199">
        <f t="shared" ref="N281:S283" si="283">N296+N311+N326</f>
        <v>3.7320000000000002</v>
      </c>
      <c r="O281" s="199">
        <f t="shared" si="283"/>
        <v>32.009</v>
      </c>
      <c r="P281" s="199">
        <f t="shared" si="283"/>
        <v>80.102999999999994</v>
      </c>
      <c r="Q281" s="199">
        <f t="shared" si="283"/>
        <v>53.981000000000002</v>
      </c>
      <c r="R281" s="199">
        <f t="shared" si="283"/>
        <v>61.052</v>
      </c>
      <c r="S281" s="199">
        <f t="shared" si="283"/>
        <v>58.776000000000003</v>
      </c>
      <c r="T281" s="199">
        <f>SUM(N281:S281)</f>
        <v>289.65300000000002</v>
      </c>
      <c r="U281" s="199">
        <f>T281+L281</f>
        <v>536.346</v>
      </c>
      <c r="V281" s="199">
        <f>V296+V326</f>
        <v>491.48</v>
      </c>
      <c r="W281" s="221">
        <f>V281-U281</f>
        <v>-44.866</v>
      </c>
      <c r="X281" s="213">
        <f>U274-U281</f>
        <v>0</v>
      </c>
    </row>
    <row r="282" spans="1:24" s="213" customFormat="1" ht="18" customHeight="1">
      <c r="A282" s="595"/>
      <c r="B282" s="605"/>
      <c r="C282" s="606"/>
      <c r="D282" s="201" t="s">
        <v>55</v>
      </c>
      <c r="E282" s="220"/>
      <c r="F282" s="199">
        <f t="shared" si="282"/>
        <v>0</v>
      </c>
      <c r="G282" s="199">
        <f t="shared" si="282"/>
        <v>0</v>
      </c>
      <c r="H282" s="199">
        <f t="shared" si="282"/>
        <v>0</v>
      </c>
      <c r="I282" s="199">
        <f t="shared" si="282"/>
        <v>0</v>
      </c>
      <c r="J282" s="199">
        <f t="shared" si="282"/>
        <v>0</v>
      </c>
      <c r="K282" s="199">
        <f t="shared" si="282"/>
        <v>0</v>
      </c>
      <c r="L282" s="199">
        <f>SUM(F282:K282)</f>
        <v>0</v>
      </c>
      <c r="M282" s="199">
        <f>L282/6</f>
        <v>0</v>
      </c>
      <c r="N282" s="199">
        <f t="shared" si="283"/>
        <v>0</v>
      </c>
      <c r="O282" s="199">
        <f t="shared" si="283"/>
        <v>0</v>
      </c>
      <c r="P282" s="199">
        <f t="shared" si="283"/>
        <v>0</v>
      </c>
      <c r="Q282" s="199">
        <f t="shared" si="283"/>
        <v>0</v>
      </c>
      <c r="R282" s="199">
        <f t="shared" si="283"/>
        <v>0</v>
      </c>
      <c r="S282" s="199">
        <f t="shared" si="283"/>
        <v>0</v>
      </c>
      <c r="T282" s="199">
        <f>SUM(N282:S282)</f>
        <v>0</v>
      </c>
      <c r="U282" s="199">
        <f>T282+L282</f>
        <v>0</v>
      </c>
      <c r="V282" s="199">
        <f>V297+V327</f>
        <v>0</v>
      </c>
      <c r="W282" s="221">
        <f>V282-U282</f>
        <v>0</v>
      </c>
      <c r="X282" s="213">
        <f>U277-U282</f>
        <v>0</v>
      </c>
    </row>
    <row r="283" spans="1:24" s="213" customFormat="1" ht="18" customHeight="1">
      <c r="A283" s="595"/>
      <c r="B283" s="605"/>
      <c r="C283" s="606"/>
      <c r="D283" s="201" t="s">
        <v>24</v>
      </c>
      <c r="E283" s="220"/>
      <c r="F283" s="199">
        <f t="shared" si="282"/>
        <v>18.207000000000001</v>
      </c>
      <c r="G283" s="199">
        <f t="shared" si="282"/>
        <v>48.905000000000001</v>
      </c>
      <c r="H283" s="199">
        <f t="shared" si="282"/>
        <v>46.322000000000003</v>
      </c>
      <c r="I283" s="199">
        <f t="shared" si="282"/>
        <v>40.746000000000002</v>
      </c>
      <c r="J283" s="199">
        <f t="shared" si="282"/>
        <v>40.457000000000001</v>
      </c>
      <c r="K283" s="199">
        <f t="shared" si="282"/>
        <v>52.055999999999997</v>
      </c>
      <c r="L283" s="199">
        <f>SUM(F283:K283)</f>
        <v>246.69300000000001</v>
      </c>
      <c r="M283" s="199">
        <f>L283/6</f>
        <v>41.116</v>
      </c>
      <c r="N283" s="199">
        <f t="shared" si="283"/>
        <v>3.7320000000000002</v>
      </c>
      <c r="O283" s="199">
        <f t="shared" si="283"/>
        <v>32.009</v>
      </c>
      <c r="P283" s="199">
        <f t="shared" si="283"/>
        <v>80.102999999999994</v>
      </c>
      <c r="Q283" s="199">
        <f t="shared" si="283"/>
        <v>53.981000000000002</v>
      </c>
      <c r="R283" s="199">
        <f t="shared" si="283"/>
        <v>61.052</v>
      </c>
      <c r="S283" s="199">
        <f t="shared" si="283"/>
        <v>58.776000000000003</v>
      </c>
      <c r="T283" s="199">
        <f>SUM(N283:S283)</f>
        <v>289.65300000000002</v>
      </c>
      <c r="U283" s="199">
        <f>T283+L283</f>
        <v>536.346</v>
      </c>
      <c r="V283" s="199">
        <f>V298+V328</f>
        <v>491.48</v>
      </c>
      <c r="W283" s="221">
        <f>V283-U283</f>
        <v>-44.866</v>
      </c>
      <c r="X283" s="213">
        <f>U278-U283</f>
        <v>-44.866</v>
      </c>
    </row>
    <row r="284" spans="1:24" s="205" customFormat="1" ht="18" customHeight="1">
      <c r="A284" s="595"/>
      <c r="B284" s="605"/>
      <c r="C284" s="606"/>
      <c r="D284" s="202" t="s">
        <v>29</v>
      </c>
      <c r="E284" s="203"/>
      <c r="F284" s="203">
        <f t="shared" ref="F284:K284" si="284">F278+F277</f>
        <v>25.428999999999998</v>
      </c>
      <c r="G284" s="203">
        <f t="shared" si="284"/>
        <v>41.457999999999998</v>
      </c>
      <c r="H284" s="203">
        <f t="shared" si="284"/>
        <v>50.795000000000002</v>
      </c>
      <c r="I284" s="203">
        <f t="shared" si="284"/>
        <v>44.101999999999997</v>
      </c>
      <c r="J284" s="203">
        <f t="shared" si="284"/>
        <v>47.466999999999999</v>
      </c>
      <c r="K284" s="203">
        <f t="shared" si="284"/>
        <v>31.344000000000001</v>
      </c>
      <c r="L284" s="203">
        <f>SUM(F284:K284)</f>
        <v>240.595</v>
      </c>
      <c r="M284" s="203">
        <f>L284/6</f>
        <v>40.098999999999997</v>
      </c>
      <c r="N284" s="203">
        <f t="shared" ref="N284:S284" si="285">N278+N277</f>
        <v>27.661000000000001</v>
      </c>
      <c r="O284" s="203">
        <f t="shared" si="285"/>
        <v>32.768000000000001</v>
      </c>
      <c r="P284" s="203">
        <f t="shared" si="285"/>
        <v>44.963999999999999</v>
      </c>
      <c r="Q284" s="203">
        <f t="shared" si="285"/>
        <v>39.829000000000001</v>
      </c>
      <c r="R284" s="203">
        <f t="shared" si="285"/>
        <v>54.180999999999997</v>
      </c>
      <c r="S284" s="203">
        <f t="shared" si="285"/>
        <v>51.481999999999999</v>
      </c>
      <c r="T284" s="203">
        <f>SUM(N284:S284)</f>
        <v>250.88499999999999</v>
      </c>
      <c r="U284" s="203">
        <f>T284+L284</f>
        <v>491.48</v>
      </c>
      <c r="V284" s="203">
        <f>V278+V277</f>
        <v>491.48</v>
      </c>
      <c r="W284" s="203">
        <f>V284-U284</f>
        <v>0</v>
      </c>
    </row>
    <row r="285" spans="1:24" s="205" customFormat="1" ht="18" customHeight="1">
      <c r="A285" s="595"/>
      <c r="B285" s="605"/>
      <c r="C285" s="606"/>
      <c r="D285" s="202" t="s">
        <v>30</v>
      </c>
      <c r="E285" s="203"/>
      <c r="F285" s="203">
        <f t="shared" ref="F285:K285" si="286">F281-F284</f>
        <v>-7.2220000000000004</v>
      </c>
      <c r="G285" s="203">
        <f t="shared" si="286"/>
        <v>7.4470000000000001</v>
      </c>
      <c r="H285" s="203">
        <f t="shared" si="286"/>
        <v>-4.4729999999999999</v>
      </c>
      <c r="I285" s="203">
        <f t="shared" si="286"/>
        <v>-3.3559999999999999</v>
      </c>
      <c r="J285" s="203">
        <f t="shared" si="286"/>
        <v>-7.01</v>
      </c>
      <c r="K285" s="203">
        <f t="shared" si="286"/>
        <v>20.712</v>
      </c>
      <c r="L285" s="203"/>
      <c r="M285" s="203"/>
      <c r="N285" s="203">
        <f t="shared" ref="N285:S285" si="287">N281-N284</f>
        <v>-23.928999999999998</v>
      </c>
      <c r="O285" s="203">
        <f t="shared" si="287"/>
        <v>-0.75900000000000001</v>
      </c>
      <c r="P285" s="203">
        <f t="shared" si="287"/>
        <v>35.139000000000003</v>
      </c>
      <c r="Q285" s="203">
        <f t="shared" si="287"/>
        <v>14.151999999999999</v>
      </c>
      <c r="R285" s="203">
        <f t="shared" si="287"/>
        <v>6.8710000000000004</v>
      </c>
      <c r="S285" s="203">
        <f t="shared" si="287"/>
        <v>7.2939999999999996</v>
      </c>
      <c r="T285" s="203"/>
      <c r="U285" s="203"/>
      <c r="V285" s="203"/>
      <c r="W285" s="203"/>
    </row>
    <row r="286" spans="1:24" s="205" customFormat="1" ht="23.5" customHeight="1">
      <c r="A286" s="595"/>
      <c r="B286" s="607"/>
      <c r="C286" s="608"/>
      <c r="D286" s="202" t="s">
        <v>31</v>
      </c>
      <c r="E286" s="203"/>
      <c r="F286" s="203">
        <f>F285</f>
        <v>-7.2220000000000004</v>
      </c>
      <c r="G286" s="203">
        <f>G285+F286</f>
        <v>0.22500000000000001</v>
      </c>
      <c r="H286" s="203">
        <f>H285+G286</f>
        <v>-4.2480000000000002</v>
      </c>
      <c r="I286" s="203">
        <f>I285+H286</f>
        <v>-7.6040000000000001</v>
      </c>
      <c r="J286" s="203">
        <f>J285+I286</f>
        <v>-14.614000000000001</v>
      </c>
      <c r="K286" s="203">
        <f>K285+J286</f>
        <v>6.0979999999999999</v>
      </c>
      <c r="L286" s="203"/>
      <c r="M286" s="203"/>
      <c r="N286" s="203">
        <f>N285+K286</f>
        <v>-17.831</v>
      </c>
      <c r="O286" s="203">
        <f>O285+N286</f>
        <v>-18.59</v>
      </c>
      <c r="P286" s="203">
        <f>P285+O286</f>
        <v>16.548999999999999</v>
      </c>
      <c r="Q286" s="203">
        <f>Q285+P286</f>
        <v>30.701000000000001</v>
      </c>
      <c r="R286" s="203">
        <f>R285+Q286</f>
        <v>37.572000000000003</v>
      </c>
      <c r="S286" s="203">
        <f>S285+R286</f>
        <v>44.866</v>
      </c>
      <c r="T286" s="203"/>
      <c r="U286" s="203"/>
      <c r="V286" s="203"/>
      <c r="W286" s="203"/>
    </row>
    <row r="287" spans="1:24" s="237" customFormat="1" ht="18" customHeight="1">
      <c r="A287" s="595"/>
      <c r="B287" s="580" t="s">
        <v>37</v>
      </c>
      <c r="C287" s="575"/>
      <c r="D287" s="178" t="s">
        <v>105</v>
      </c>
      <c r="E287" s="179"/>
      <c r="F287" s="180">
        <f>№2!F364+№5!F364+'№ 6'!F364+№14!F364+'№ 20'!F364+'№ 23'!F364+№27!F364+'№ 31'!F364+'№ 34'!F364+'№ 41'!F364</f>
        <v>863.7</v>
      </c>
      <c r="G287" s="180">
        <f>№2!G364+№5!G364+'№ 6'!G364+№14!G364+'№ 20'!G364+'№ 23'!G364+№27!G364+'№ 31'!G364+'№ 34'!G364+'№ 41'!G364</f>
        <v>993</v>
      </c>
      <c r="H287" s="180">
        <f>№2!H364+№5!H364+'№ 6'!H364+№14!H364+'№ 20'!H364+'№ 23'!H364+№27!H364+'№ 31'!H364+'№ 34'!H364+'№ 41'!H364</f>
        <v>1140.4000000000001</v>
      </c>
      <c r="I287" s="180">
        <f>№2!I364+№5!I364+'№ 6'!I364+№14!I364+'№ 20'!I364+'№ 23'!I364+№27!I364+'№ 31'!I364+'№ 34'!I364+'№ 41'!I364</f>
        <v>1332.4</v>
      </c>
      <c r="J287" s="180">
        <f>№2!J364+№5!J364+'№ 6'!J364+№14!J364+'№ 20'!J364+'№ 23'!J364+№27!J364+'№ 31'!J364+'№ 34'!J364+'№ 41'!J364</f>
        <v>1121.5</v>
      </c>
      <c r="K287" s="180">
        <f>№2!K364+№5!K364+'№ 6'!K364+№14!K364+'№ 20'!K364+'№ 23'!K364+№27!K364+'№ 31'!K364+'№ 34'!K364+'№ 41'!K364</f>
        <v>1394</v>
      </c>
      <c r="L287" s="215">
        <f>SUM(F287:K287)</f>
        <v>6845</v>
      </c>
      <c r="M287" s="215">
        <f>L287/6</f>
        <v>1140.8</v>
      </c>
      <c r="N287" s="180">
        <f>№2!N364+№5!N364+'№ 6'!N364+№14!N364+'№ 20'!N364+'№ 23'!N364+№27!N364+'№ 31'!N364+'№ 34'!N364+'№ 41'!N364</f>
        <v>1233.0999999999999</v>
      </c>
      <c r="O287" s="180">
        <f>№2!O364+№5!O364+'№ 6'!O364+№14!O364+'№ 20'!O364+'№ 23'!O364+№27!O364+'№ 31'!O364+'№ 34'!O364+'№ 41'!O364</f>
        <v>1215</v>
      </c>
      <c r="P287" s="180">
        <f>№2!P364+№5!P364+'№ 6'!P364+№14!P364+'№ 20'!P364+'№ 23'!P364+№27!P364+'№ 31'!P364+'№ 34'!P364+'№ 41'!P364</f>
        <v>1264.2</v>
      </c>
      <c r="Q287" s="180">
        <f>№2!Q364+№5!Q364+'№ 6'!Q364+№14!Q364+'№ 20'!Q364+'№ 23'!Q364+№27!Q364+'№ 31'!Q364+'№ 34'!Q364+'№ 41'!Q364</f>
        <v>1960</v>
      </c>
      <c r="R287" s="180">
        <f>№2!R364+№5!R364+'№ 6'!R364+№14!R364+'№ 20'!R364+'№ 23'!R364+№27!R364+'№ 31'!R364+'№ 34'!R364+'№ 41'!R364</f>
        <v>1690.4</v>
      </c>
      <c r="S287" s="180">
        <f>№2!S364+№5!S364+'№ 6'!S364+№14!S364+'№ 20'!S364+'№ 23'!S364+№27!S364+'№ 31'!S364+'№ 34'!S364+'№ 41'!S364</f>
        <v>2602.1999999999998</v>
      </c>
      <c r="T287" s="215">
        <f>SUM(N287:S287)</f>
        <v>9964.9</v>
      </c>
      <c r="U287" s="215">
        <f>T287+L287</f>
        <v>16809.900000000001</v>
      </c>
      <c r="V287" s="233">
        <f>№2!V364+№5!V364+'№ 6'!V364+№14!V364+'№ 20'!V364+'№ 23'!V364+№27!V364+'№ 31'!V364+'№ 34'!V364+'№ 41'!V364</f>
        <v>11319</v>
      </c>
      <c r="W287" s="184"/>
      <c r="X287" s="209"/>
    </row>
    <row r="288" spans="1:24" s="186" customFormat="1" ht="18" customHeight="1">
      <c r="A288" s="595"/>
      <c r="B288" s="576"/>
      <c r="C288" s="577"/>
      <c r="D288" s="178" t="s">
        <v>109</v>
      </c>
      <c r="E288" s="179"/>
      <c r="F288" s="180">
        <f>№2!F365+№5!F365+'№ 6'!F365+№14!F365+'№ 20'!F365+'№ 23'!F365+№27!F365+'№ 31'!F365+'№ 34'!F365+'№ 41'!F365</f>
        <v>999.1</v>
      </c>
      <c r="G288" s="180">
        <f>№2!G365+№5!G365+'№ 6'!G365+№14!G365+'№ 20'!G365+'№ 23'!G365+№27!G365+'№ 31'!G365+'№ 34'!G365+'№ 41'!G365</f>
        <v>1337</v>
      </c>
      <c r="H288" s="180">
        <f>№2!H365+№5!H365+'№ 6'!H365+№14!H365+'№ 20'!H365+'№ 23'!H365+№27!H365+'№ 31'!H365+'№ 34'!H365+'№ 41'!H365</f>
        <v>1436.8</v>
      </c>
      <c r="I288" s="180">
        <f>№2!I365+№5!I365+'№ 6'!I365+№14!I365+'№ 20'!I365+'№ 23'!I365+№27!I365+'№ 31'!I365+'№ 34'!I365+'№ 41'!I365</f>
        <v>1495</v>
      </c>
      <c r="J288" s="180">
        <f>№2!J365+№5!J365+'№ 6'!J365+№14!J365+'№ 20'!J365+'№ 23'!J365+№27!J365+'№ 31'!J365+'№ 34'!J365+'№ 41'!J365</f>
        <v>1564.7</v>
      </c>
      <c r="K288" s="180">
        <f>№2!K365+№5!K365+'№ 6'!K365+№14!K365+'№ 20'!K365+'№ 23'!K365+№27!K365+'№ 31'!K365+'№ 34'!K365+'№ 41'!K365</f>
        <v>1597.8</v>
      </c>
      <c r="L288" s="215">
        <f>SUM(F288:K288)</f>
        <v>8430.4</v>
      </c>
      <c r="M288" s="215">
        <f>L288/6</f>
        <v>1405.1</v>
      </c>
      <c r="N288" s="180">
        <f>№2!N365+№5!N365+'№ 6'!N365+№14!N365+'№ 20'!N365+'№ 23'!N365+№27!N365+'№ 31'!N365+'№ 34'!N365+'№ 41'!N365</f>
        <v>1380.5</v>
      </c>
      <c r="O288" s="180">
        <f>№2!O365+№5!O365+'№ 6'!O365+№14!O365+'№ 20'!O365+'№ 23'!O365+№27!O365+'№ 31'!O365+'№ 34'!O365+'№ 41'!O365</f>
        <v>1218.5999999999999</v>
      </c>
      <c r="P288" s="180">
        <f>№2!P365+№5!P365+'№ 6'!P365+№14!P365+'№ 20'!P365+'№ 23'!P365+№27!P365+'№ 31'!P365+'№ 34'!P365+'№ 41'!P365</f>
        <v>1764.1</v>
      </c>
      <c r="Q288" s="180">
        <f>№2!Q365+№5!Q365+'№ 6'!Q365+№14!Q365+'№ 20'!Q365+'№ 23'!Q365+№27!Q365+'№ 31'!Q365+'№ 34'!Q365+'№ 41'!Q365</f>
        <v>1506.2</v>
      </c>
      <c r="R288" s="180">
        <f>№2!R365+№5!R365+'№ 6'!R365+№14!R365+'№ 20'!R365+'№ 23'!R365+№27!R365+'№ 31'!R365+'№ 34'!R365+'№ 41'!R365</f>
        <v>1761</v>
      </c>
      <c r="S288" s="180">
        <f>№2!S365+№5!S365+'№ 6'!S365+№14!S365+'№ 20'!S365+'№ 23'!S365+№27!S365+'№ 31'!S365+'№ 34'!S365+'№ 41'!S365</f>
        <v>2231.3000000000002</v>
      </c>
      <c r="T288" s="215">
        <f>SUM(N288:S288)</f>
        <v>9861.7000000000007</v>
      </c>
      <c r="U288" s="215">
        <f>T288+L288</f>
        <v>18292.099999999999</v>
      </c>
      <c r="V288" s="233">
        <f>№2!V365+№5!V365+'№ 6'!V365+№14!V365+'№ 20'!V365+'№ 23'!V365+№27!V365+'№ 31'!V365+'№ 34'!V365+'№ 41'!V365</f>
        <v>18042.5</v>
      </c>
      <c r="W288" s="184"/>
      <c r="X288" s="185"/>
    </row>
    <row r="289" spans="1:28" s="237" customFormat="1" ht="18" customHeight="1">
      <c r="A289" s="595"/>
      <c r="B289" s="576"/>
      <c r="C289" s="577"/>
      <c r="D289" s="178" t="s">
        <v>116</v>
      </c>
      <c r="E289" s="179"/>
      <c r="F289" s="264">
        <f>№2!F366+№5!F366+'№ 6'!F366+№14!F366+'№ 20'!F366+'№ 23'!F366+№27!F366+'№ 31'!F366+'№ 34'!F366+'№ 41'!F366</f>
        <v>1175.9179999999999</v>
      </c>
      <c r="G289" s="264">
        <f>№2!G366+№5!G366+'№ 6'!G366+№14!G366+'№ 20'!G366+'№ 23'!G366+№27!G366+'№ 31'!G366+'№ 34'!G366+'№ 41'!G366</f>
        <v>1663.662</v>
      </c>
      <c r="H289" s="264">
        <f>№2!H366+№5!H366+'№ 6'!H366+№14!H366+'№ 20'!H366+'№ 23'!H366+№27!H366+'№ 31'!H366+'№ 34'!H366+'№ 41'!H366</f>
        <v>1208.5450000000001</v>
      </c>
      <c r="I289" s="264">
        <f>№2!I366+№5!I366+'№ 6'!I366+№14!I366+'№ 20'!I366+'№ 23'!I366+№27!I366+'№ 31'!I366+'№ 34'!I366+'№ 41'!I366</f>
        <v>1273.2739999999999</v>
      </c>
      <c r="J289" s="264">
        <f>№2!J366+№5!J366+'№ 6'!J366+№14!J366+'№ 20'!J366+'№ 23'!J366+№27!J366+'№ 31'!J366+'№ 34'!J366+'№ 41'!J366</f>
        <v>1509.9649999999999</v>
      </c>
      <c r="K289" s="264">
        <f>№2!K366+№5!K366+'№ 6'!K366+№14!K366+'№ 20'!K366+'№ 23'!K366+№27!K366+'№ 31'!K366+'№ 34'!K366+'№ 41'!K366</f>
        <v>1961.19</v>
      </c>
      <c r="L289" s="262">
        <f>SUM(F289:K289)</f>
        <v>8792.5540000000001</v>
      </c>
      <c r="M289" s="262">
        <f>L289/6</f>
        <v>1465.4259999999999</v>
      </c>
      <c r="N289" s="264">
        <f>№2!N366+№5!N366+'№ 6'!N366+№14!N366+'№ 20'!N366+'№ 23'!N366+№27!N366+'№ 31'!N366+'№ 34'!N366+'№ 41'!N366</f>
        <v>1304.932</v>
      </c>
      <c r="O289" s="264">
        <f>№2!O366+№5!O366+'№ 6'!O366+№14!O366+'№ 20'!O366+'№ 23'!O366+№27!O366+'№ 31'!O366+'№ 34'!O366+'№ 41'!O366</f>
        <v>1608.337</v>
      </c>
      <c r="P289" s="264">
        <f>№2!P366+№5!P366+'№ 6'!P366+№14!P366+'№ 20'!P366+'№ 23'!P366+№27!P366+'№ 31'!P366+'№ 34'!P366+'№ 41'!P366</f>
        <v>2221.1999999999998</v>
      </c>
      <c r="Q289" s="264">
        <f>№2!Q366+№5!Q366+'№ 6'!Q366+№14!Q366+'№ 20'!Q366+'№ 23'!Q366+№27!Q366+'№ 31'!Q366+'№ 34'!Q366+'№ 41'!Q366</f>
        <v>2063.5</v>
      </c>
      <c r="R289" s="264">
        <f>№2!R366+№5!R366+'№ 6'!R366+№14!R366+'№ 20'!R366+'№ 23'!R366+№27!R366+'№ 31'!R366+'№ 34'!R366+'№ 41'!R366</f>
        <v>2333.7399999999998</v>
      </c>
      <c r="S289" s="264">
        <f>№2!S366+№5!S366+'№ 6'!S366+№14!S366+'№ 20'!S366+'№ 23'!S366+№27!S366+'№ 31'!S366+'№ 34'!S366+'№ 41'!S366</f>
        <v>2246.4</v>
      </c>
      <c r="T289" s="215">
        <f>SUM(N289:S289)</f>
        <v>11778.1</v>
      </c>
      <c r="U289" s="215">
        <f>T289+L289</f>
        <v>20570.7</v>
      </c>
      <c r="V289" s="233">
        <f>№2!V366+№5!V366+'№ 6'!V366+№14!V366+'№ 20'!V366+'№ 23'!V366+№27!V366+'№ 31'!V366+'№ 34'!V366+'№ 41'!V366</f>
        <v>20838.599999999999</v>
      </c>
      <c r="W289" s="184">
        <f>V289-U289</f>
        <v>267.89999999999998</v>
      </c>
      <c r="X289" s="209"/>
      <c r="Y289" s="157"/>
      <c r="Z289" s="157"/>
      <c r="AA289" s="157"/>
      <c r="AB289" s="157"/>
    </row>
    <row r="290" spans="1:28" s="173" customFormat="1" ht="18" customHeight="1">
      <c r="A290" s="595"/>
      <c r="B290" s="576"/>
      <c r="C290" s="577"/>
      <c r="D290" s="187" t="s">
        <v>27</v>
      </c>
      <c r="E290" s="188"/>
      <c r="F290" s="188">
        <f t="shared" ref="F290:K290" si="288">F291*1000/F289</f>
        <v>24.806000000000001</v>
      </c>
      <c r="G290" s="188">
        <f t="shared" si="288"/>
        <v>26.059000000000001</v>
      </c>
      <c r="H290" s="188">
        <f t="shared" si="288"/>
        <v>26.158999999999999</v>
      </c>
      <c r="I290" s="188">
        <f t="shared" si="288"/>
        <v>26.157</v>
      </c>
      <c r="J290" s="188">
        <f t="shared" si="288"/>
        <v>26.161999999999999</v>
      </c>
      <c r="K290" s="188">
        <f t="shared" si="288"/>
        <v>26.145</v>
      </c>
      <c r="L290" s="217">
        <f>L291/L289*1000</f>
        <v>25.96</v>
      </c>
      <c r="M290" s="217">
        <f>M291/M289*1000</f>
        <v>25.96</v>
      </c>
      <c r="N290" s="188">
        <f t="shared" ref="N290:S290" si="289">N291*1000/N289</f>
        <v>26.16</v>
      </c>
      <c r="O290" s="188">
        <f t="shared" si="289"/>
        <v>26.158999999999999</v>
      </c>
      <c r="P290" s="188">
        <f t="shared" si="289"/>
        <v>26.16</v>
      </c>
      <c r="Q290" s="188">
        <f t="shared" si="289"/>
        <v>26.16</v>
      </c>
      <c r="R290" s="188">
        <f t="shared" si="289"/>
        <v>26.161000000000001</v>
      </c>
      <c r="S290" s="188">
        <f t="shared" si="289"/>
        <v>26.164000000000001</v>
      </c>
      <c r="T290" s="218">
        <f>T291/T289*1000</f>
        <v>26.161000000000001</v>
      </c>
      <c r="U290" s="218">
        <f>U291/U289*1000</f>
        <v>26.073</v>
      </c>
      <c r="V290" s="218">
        <f t="shared" ref="V290" si="290">V291*1000/V289</f>
        <v>23.585000000000001</v>
      </c>
      <c r="W290" s="189">
        <f>W291/W289*1000</f>
        <v>-167.47300000000001</v>
      </c>
      <c r="X290" s="209"/>
      <c r="Y290" s="157"/>
      <c r="Z290" s="157"/>
      <c r="AA290" s="157"/>
      <c r="AB290" s="157"/>
    </row>
    <row r="291" spans="1:28" s="173" customFormat="1" ht="18" customHeight="1">
      <c r="A291" s="595"/>
      <c r="B291" s="576"/>
      <c r="C291" s="577"/>
      <c r="D291" s="191" t="s">
        <v>0</v>
      </c>
      <c r="E291" s="192"/>
      <c r="F291" s="192">
        <f>№2!F368+№5!F368+'№ 6'!F368+№14!F368+'№ 20'!F368+'№ 23'!F368+№27!F368+'№ 31'!F368+'№ 34'!F368+'№ 41'!F368</f>
        <v>29.17</v>
      </c>
      <c r="G291" s="192">
        <f>№2!G368+№5!G368+'№ 6'!G368+№14!G368+'№ 20'!G368+'№ 23'!G368+№27!G368+'№ 31'!G368+'№ 34'!G368+'№ 41'!G368</f>
        <v>43.353999999999999</v>
      </c>
      <c r="H291" s="192">
        <f>№2!H368+№5!H368+'№ 6'!H368+№14!H368+'№ 20'!H368+'№ 23'!H368+№27!H368+'№ 31'!H368+'№ 34'!H368+'№ 41'!H368</f>
        <v>31.614000000000001</v>
      </c>
      <c r="I291" s="192">
        <f>№2!I368+№5!I368+'№ 6'!I368+№14!I368+'№ 20'!I368+'№ 23'!I368+№27!I368+'№ 31'!I368+'№ 34'!I368+'№ 41'!I368</f>
        <v>33.305</v>
      </c>
      <c r="J291" s="192">
        <f>№2!J368+№5!J368+'№ 6'!J368+№14!J368+'№ 20'!J368+'№ 23'!J368+№27!J368+'№ 31'!J368+'№ 34'!J368+'№ 41'!J368</f>
        <v>39.503</v>
      </c>
      <c r="K291" s="192">
        <f>№2!K368+№5!K368+'№ 6'!K368+№14!K368+'№ 20'!K368+'№ 23'!K368+№27!K368+'№ 31'!K368+'№ 34'!K368+'№ 41'!K368</f>
        <v>51.276000000000003</v>
      </c>
      <c r="L291" s="194">
        <f>SUM(F291:K291)</f>
        <v>228.22200000000001</v>
      </c>
      <c r="M291" s="194">
        <f>L291/6</f>
        <v>38.036999999999999</v>
      </c>
      <c r="N291" s="192">
        <f>№2!N368+№5!N368+'№ 6'!N368+№14!N368+'№ 20'!N368+'№ 23'!N368+№27!N368+'№ 31'!N368+'№ 34'!N368+'№ 41'!N368</f>
        <v>34.137</v>
      </c>
      <c r="O291" s="192">
        <f>№2!O368+№5!O368+'№ 6'!O368+№14!O368+'№ 20'!O368+'№ 23'!O368+№27!O368+'№ 31'!O368+'№ 34'!O368+'№ 41'!O368</f>
        <v>42.072000000000003</v>
      </c>
      <c r="P291" s="192">
        <f>№2!P368+№5!P368+'№ 6'!P368+№14!P368+'№ 20'!P368+'№ 23'!P368+№27!P368+'№ 31'!P368+'№ 34'!P368+'№ 41'!P368</f>
        <v>58.106999999999999</v>
      </c>
      <c r="Q291" s="192">
        <f>№2!Q368+№5!Q368+'№ 6'!Q368+№14!Q368+'№ 20'!Q368+'№ 23'!Q368+№27!Q368+'№ 31'!Q368+'№ 34'!Q368+'№ 41'!Q368</f>
        <v>53.981000000000002</v>
      </c>
      <c r="R291" s="192">
        <f>№2!R368+№5!R368+'№ 6'!R368+№14!R368+'№ 20'!R368+'№ 23'!R368+№27!R368+'№ 31'!R368+'№ 34'!R368+'№ 41'!R368</f>
        <v>61.052</v>
      </c>
      <c r="S291" s="192">
        <f>№2!S368+№5!S368+'№ 6'!S368+№14!S368+'№ 20'!S368+'№ 23'!S368+№27!S368+'№ 31'!S368+'№ 34'!S368+'№ 41'!S368</f>
        <v>58.774999999999999</v>
      </c>
      <c r="T291" s="194">
        <f>SUM(N291:S291)</f>
        <v>308.12400000000002</v>
      </c>
      <c r="U291" s="194">
        <f>T291+L291</f>
        <v>536.346</v>
      </c>
      <c r="V291" s="194">
        <f>№2!V368+№5!V368+'№ 6'!V368+№14!V368+'№ 20'!V368+'№ 23'!V368+№27!V368+'№ 31'!V368+'№ 34'!V368+'№ 41'!V368</f>
        <v>491.48</v>
      </c>
      <c r="W291" s="193">
        <f>V291-U291</f>
        <v>-44.866</v>
      </c>
      <c r="X291" s="172"/>
    </row>
    <row r="292" spans="1:28" s="173" customFormat="1" ht="18" customHeight="1">
      <c r="A292" s="595"/>
      <c r="B292" s="576"/>
      <c r="C292" s="577"/>
      <c r="D292" s="174" t="s">
        <v>55</v>
      </c>
      <c r="E292" s="210"/>
      <c r="F292" s="192">
        <f>№2!F369+№5!F369+'№ 6'!F369+№14!F369+'№ 20'!F369+'№ 23'!F369+№27!F369+'№ 31'!F369+'№ 34'!F369+'№ 41'!F369</f>
        <v>0</v>
      </c>
      <c r="G292" s="192">
        <f>№2!G369+№5!G369+'№ 6'!G369+№14!G369+'№ 20'!G369+'№ 23'!G369+№27!G369+'№ 31'!G369+'№ 34'!G369+'№ 41'!G369</f>
        <v>0</v>
      </c>
      <c r="H292" s="192">
        <f>№2!H369+№5!H369+'№ 6'!H369+№14!H369+'№ 20'!H369+'№ 23'!H369+№27!H369+'№ 31'!H369+'№ 34'!H369+'№ 41'!H369</f>
        <v>0</v>
      </c>
      <c r="I292" s="192">
        <f>№2!I369+№5!I369+'№ 6'!I369+№14!I369+'№ 20'!I369+'№ 23'!I369+№27!I369+'№ 31'!I369+'№ 34'!I369+'№ 41'!I369</f>
        <v>0</v>
      </c>
      <c r="J292" s="192">
        <f>№2!J369+№5!J369+'№ 6'!J369+№14!J369+'№ 20'!J369+'№ 23'!J369+№27!J369+'№ 31'!J369+'№ 34'!J369+'№ 41'!J369</f>
        <v>0</v>
      </c>
      <c r="K292" s="192">
        <f>№2!K369+№5!K369+'№ 6'!K369+№14!K369+'№ 20'!K369+'№ 23'!K369+№27!K369+'№ 31'!K369+'№ 34'!K369+'№ 41'!K369</f>
        <v>0</v>
      </c>
      <c r="L292" s="194">
        <f>SUM(F292:K292)</f>
        <v>0</v>
      </c>
      <c r="M292" s="194">
        <f>L292/6</f>
        <v>0</v>
      </c>
      <c r="N292" s="192">
        <f>№2!N369+№5!N369+'№ 6'!N369+№14!N369+'№ 20'!N369+'№ 23'!N369+№27!N369+'№ 31'!N369+'№ 34'!N369+'№ 41'!N369</f>
        <v>0</v>
      </c>
      <c r="O292" s="192">
        <f>№2!O369+№5!O369+'№ 6'!O369+№14!O369+'№ 20'!O369+'№ 23'!O369+№27!O369+'№ 31'!O369+'№ 34'!O369+'№ 41'!O369</f>
        <v>0</v>
      </c>
      <c r="P292" s="192">
        <f>№2!P369+№5!P369+'№ 6'!P369+№14!P369+'№ 20'!P369+'№ 23'!P369+№27!P369+'№ 31'!P369+'№ 34'!P369+'№ 41'!P369</f>
        <v>0</v>
      </c>
      <c r="Q292" s="192">
        <f>№2!Q369+№5!Q369+'№ 6'!Q369+№14!Q369+'№ 20'!Q369+'№ 23'!Q369+№27!Q369+'№ 31'!Q369+'№ 34'!Q369+'№ 41'!Q369</f>
        <v>0</v>
      </c>
      <c r="R292" s="192">
        <f>№2!R369+№5!R369+'№ 6'!R369+№14!R369+'№ 20'!R369+'№ 23'!R369+№27!R369+'№ 31'!R369+'№ 34'!R369+'№ 41'!R369</f>
        <v>0</v>
      </c>
      <c r="S292" s="192">
        <f>№2!S369+№5!S369+'№ 6'!S369+№14!S369+'№ 20'!S369+'№ 23'!S369+№27!S369+'№ 31'!S369+'№ 34'!S369+'№ 41'!S369</f>
        <v>0</v>
      </c>
      <c r="T292" s="194">
        <f>SUM(N292:S292)</f>
        <v>0</v>
      </c>
      <c r="U292" s="194">
        <f>T292+L292</f>
        <v>0</v>
      </c>
      <c r="V292" s="194">
        <f>№2!V369+№5!V369+'№ 6'!V369+№14!V369+'№ 20'!V369+'№ 23'!V369+№27!V369+'№ 31'!V369+'№ 34'!V369+'№ 41'!V369</f>
        <v>0</v>
      </c>
      <c r="W292" s="193">
        <f>V292-U292</f>
        <v>0</v>
      </c>
      <c r="X292" s="172"/>
    </row>
    <row r="293" spans="1:28" s="173" customFormat="1" ht="18" customHeight="1">
      <c r="A293" s="595"/>
      <c r="B293" s="576"/>
      <c r="C293" s="577"/>
      <c r="D293" s="174" t="s">
        <v>28</v>
      </c>
      <c r="E293" s="210"/>
      <c r="F293" s="192">
        <f>№2!F370+№5!F370+'№ 6'!F370+№14!F370+'№ 20'!F370+'№ 23'!F370+№27!F370+'№ 31'!F370+'№ 34'!F370+'№ 41'!F370</f>
        <v>25.428999999999998</v>
      </c>
      <c r="G293" s="192">
        <f>№2!G370+№5!G370+'№ 6'!G370+№14!G370+'№ 20'!G370+'№ 23'!G370+№27!G370+'№ 31'!G370+'№ 34'!G370+'№ 41'!G370</f>
        <v>41.457999999999998</v>
      </c>
      <c r="H293" s="192">
        <f>№2!H370+№5!H370+'№ 6'!H370+№14!H370+'№ 20'!H370+'№ 23'!H370+№27!H370+'№ 31'!H370+'№ 34'!H370+'№ 41'!H370</f>
        <v>50.795000000000002</v>
      </c>
      <c r="I293" s="192">
        <f>№2!I370+№5!I370+'№ 6'!I370+№14!I370+'№ 20'!I370+'№ 23'!I370+№27!I370+'№ 31'!I370+'№ 34'!I370+'№ 41'!I370</f>
        <v>44.101999999999997</v>
      </c>
      <c r="J293" s="192">
        <f>№2!J370+№5!J370+'№ 6'!J370+№14!J370+'№ 20'!J370+'№ 23'!J370+№27!J370+'№ 31'!J370+'№ 34'!J370+'№ 41'!J370</f>
        <v>47.466999999999999</v>
      </c>
      <c r="K293" s="192">
        <f>№2!K370+№5!K370+'№ 6'!K370+№14!K370+'№ 20'!K370+'№ 23'!K370+№27!K370+'№ 31'!K370+'№ 34'!K370+'№ 41'!K370</f>
        <v>31.344000000000001</v>
      </c>
      <c r="L293" s="194">
        <f>SUM(F293:K293)</f>
        <v>240.595</v>
      </c>
      <c r="M293" s="194">
        <f>L293/6</f>
        <v>40.098999999999997</v>
      </c>
      <c r="N293" s="192">
        <f>№2!N370+№5!N370+'№ 6'!N370+№14!N370+'№ 20'!N370+'№ 23'!N370+№27!N370+'№ 31'!N370+'№ 34'!N370+'№ 41'!N370</f>
        <v>27.661000000000001</v>
      </c>
      <c r="O293" s="192">
        <f>№2!O370+№5!O370+'№ 6'!O370+№14!O370+'№ 20'!O370+'№ 23'!O370+№27!O370+'№ 31'!O370+'№ 34'!O370+'№ 41'!O370</f>
        <v>32.768000000000001</v>
      </c>
      <c r="P293" s="192">
        <f>№2!P370+№5!P370+'№ 6'!P370+№14!P370+'№ 20'!P370+'№ 23'!P370+№27!P370+'№ 31'!P370+'№ 34'!P370+'№ 41'!P370</f>
        <v>44.963999999999999</v>
      </c>
      <c r="Q293" s="192">
        <f>№2!Q370+№5!Q370+'№ 6'!Q370+№14!Q370+'№ 20'!Q370+'№ 23'!Q370+№27!Q370+'№ 31'!Q370+'№ 34'!Q370+'№ 41'!Q370</f>
        <v>39.829000000000001</v>
      </c>
      <c r="R293" s="192">
        <f>№2!R370+№5!R370+'№ 6'!R370+№14!R370+'№ 20'!R370+'№ 23'!R370+№27!R370+'№ 31'!R370+'№ 34'!R370+'№ 41'!R370</f>
        <v>54.180999999999997</v>
      </c>
      <c r="S293" s="192">
        <f>№2!S370+№5!S370+'№ 6'!S370+№14!S370+'№ 20'!S370+'№ 23'!S370+№27!S370+'№ 31'!S370+'№ 34'!S370+'№ 41'!S370</f>
        <v>51.481999999999999</v>
      </c>
      <c r="T293" s="194">
        <f>SUM(N293:S293)</f>
        <v>250.88499999999999</v>
      </c>
      <c r="U293" s="194">
        <f>T293+L293</f>
        <v>491.48</v>
      </c>
      <c r="V293" s="194">
        <f>№2!V370+№5!V370+'№ 6'!V370+№14!V370+'№ 20'!V370+'№ 23'!V370+№27!V370+'№ 31'!V370+'№ 34'!V370+'№ 41'!V370</f>
        <v>491.48</v>
      </c>
      <c r="W293" s="193">
        <f>V293-U293</f>
        <v>0</v>
      </c>
      <c r="X293" s="172"/>
    </row>
    <row r="294" spans="1:28" s="157" customFormat="1" ht="18" customHeight="1">
      <c r="A294" s="595"/>
      <c r="B294" s="576"/>
      <c r="C294" s="577"/>
      <c r="D294" s="178" t="s">
        <v>117</v>
      </c>
      <c r="E294" s="179">
        <f>№2!E371+№5!E371+'№ 6'!E371+№14!E371+'№ 20'!E371+'№ 23'!E371+№27!E371+'№ 31'!E371+'№ 34'!E371+'№ 41'!E371</f>
        <v>0</v>
      </c>
      <c r="F294" s="260">
        <f>№2!F371+№5!F371+'№ 6'!F371+№14!F371+'№ 20'!F371+'№ 23'!F371+№27!F371+'№ 31'!F371+'№ 34'!F371+'№ 41'!F371</f>
        <v>743.21400000000006</v>
      </c>
      <c r="G294" s="260">
        <f>№2!G371+№5!G371+'№ 6'!G371+№14!G371+'№ 20'!G371+'№ 23'!G371+№27!G371+'№ 31'!G371+'№ 34'!G371+'№ 41'!G371</f>
        <v>1894.4059999999999</v>
      </c>
      <c r="H294" s="260">
        <f>№2!H371+№5!H371+'№ 6'!H371+№14!H371+'№ 20'!H371+'№ 23'!H371+№27!H371+'№ 31'!H371+'№ 34'!H371+'№ 41'!H371</f>
        <v>1770.7170000000001</v>
      </c>
      <c r="I294" s="260">
        <f>№2!I371+№5!I371+'№ 6'!I371+№14!I371+'№ 20'!I371+'№ 23'!I371+№27!I371+'№ 31'!I371+'№ 34'!I371+'№ 41'!I371</f>
        <v>1558.3520000000001</v>
      </c>
      <c r="J294" s="260">
        <f>№2!J371+№5!J371+'№ 6'!J371+№14!J371+'№ 20'!J371+'№ 23'!J371+№27!J371+'№ 31'!J371+'№ 34'!J371+'№ 41'!J371</f>
        <v>1546.596</v>
      </c>
      <c r="K294" s="260">
        <f>№2!K371+№5!K371+'№ 6'!K371+№14!K371+'№ 20'!K371+'№ 23'!K371+№27!K371+'№ 31'!K371+'№ 34'!K371+'№ 41'!K371</f>
        <v>1990.374</v>
      </c>
      <c r="L294" s="262">
        <f>SUM(F294:K294)</f>
        <v>9503.6589999999997</v>
      </c>
      <c r="M294" s="262">
        <f>L294/6</f>
        <v>1583.943</v>
      </c>
      <c r="N294" s="260">
        <f>№2!N371+№5!N371+'№ 6'!N371+№14!N371+'№ 20'!N371+'№ 23'!N371+№27!N371+'№ 31'!N371+'№ 34'!N371+'№ 41'!N371</f>
        <v>142.631</v>
      </c>
      <c r="O294" s="260">
        <f>№2!O371+№5!O371+'№ 6'!O371+№14!O371+'№ 20'!O371+'№ 23'!O371+№27!O371+'№ 31'!O371+'№ 34'!O371+'№ 41'!O371</f>
        <v>1223.633</v>
      </c>
      <c r="P294" s="260">
        <f>№2!P371+№5!P371+'№ 6'!P371+№14!P371+'№ 20'!P371+'№ 23'!P371+№27!P371+'№ 31'!P371+'№ 34'!P371+'№ 41'!P371</f>
        <v>3057.12</v>
      </c>
      <c r="Q294" s="260">
        <f>№2!Q371+№5!Q371+'№ 6'!Q371+№14!Q371+'№ 20'!Q371+'№ 23'!Q371+№27!Q371+'№ 31'!Q371+'№ 34'!Q371+'№ 41'!Q371</f>
        <v>2063.5</v>
      </c>
      <c r="R294" s="260">
        <f>№2!R371+№5!R371+'№ 6'!R371+№14!R371+'№ 20'!R371+'№ 23'!R371+№27!R371+'№ 31'!R371+'№ 34'!R371+'№ 41'!R371</f>
        <v>2333.7399999999998</v>
      </c>
      <c r="S294" s="260">
        <f>№2!S371+№5!S371+'№ 6'!S371+№14!S371+'№ 20'!S371+'№ 23'!S371+№27!S371+'№ 31'!S371+'№ 34'!S371+'№ 41'!S371</f>
        <v>2246.4</v>
      </c>
      <c r="T294" s="262">
        <f>SUM(N294:S294)</f>
        <v>11067.023999999999</v>
      </c>
      <c r="U294" s="262">
        <f>T294+L294</f>
        <v>20570.683000000001</v>
      </c>
      <c r="V294" s="179">
        <f>№2!V371+№5!V371+'№ 6'!V371+№14!V371+'№ 20'!V371+'№ 23'!V371+№27!V371+'№ 31'!V371+'№ 34'!V371+'№ 41'!V371</f>
        <v>20838.599999999999</v>
      </c>
      <c r="W294" s="184">
        <f>V294-U294</f>
        <v>267.89999999999998</v>
      </c>
      <c r="X294" s="319">
        <f>U289-U294</f>
        <v>0</v>
      </c>
    </row>
    <row r="295" spans="1:28" s="228" customFormat="1" ht="18" customHeight="1">
      <c r="A295" s="595"/>
      <c r="B295" s="576"/>
      <c r="C295" s="577"/>
      <c r="D295" s="187" t="s">
        <v>27</v>
      </c>
      <c r="E295" s="188" t="e">
        <f t="shared" ref="E295:K295" si="291">E296*1000/E294</f>
        <v>#DIV/0!</v>
      </c>
      <c r="F295" s="188">
        <f t="shared" si="291"/>
        <v>24.498000000000001</v>
      </c>
      <c r="G295" s="188">
        <f t="shared" si="291"/>
        <v>25.815000000000001</v>
      </c>
      <c r="H295" s="188">
        <f t="shared" si="291"/>
        <v>26.16</v>
      </c>
      <c r="I295" s="188">
        <f t="shared" si="291"/>
        <v>26.146999999999998</v>
      </c>
      <c r="J295" s="188">
        <f t="shared" si="291"/>
        <v>26.158999999999999</v>
      </c>
      <c r="K295" s="188">
        <f t="shared" si="291"/>
        <v>26.154</v>
      </c>
      <c r="L295" s="217">
        <f>L296/L294*1000</f>
        <v>25.96</v>
      </c>
      <c r="M295" s="217">
        <f>M296/M294*1000</f>
        <v>25.96</v>
      </c>
      <c r="N295" s="188">
        <f t="shared" ref="N295:S295" si="292">N296*1000/N294</f>
        <v>26.164999999999999</v>
      </c>
      <c r="O295" s="188">
        <f t="shared" si="292"/>
        <v>26.158999999999999</v>
      </c>
      <c r="P295" s="188">
        <f t="shared" si="292"/>
        <v>26.202000000000002</v>
      </c>
      <c r="Q295" s="188">
        <f t="shared" si="292"/>
        <v>26.16</v>
      </c>
      <c r="R295" s="188">
        <f t="shared" si="292"/>
        <v>26.161000000000001</v>
      </c>
      <c r="S295" s="188">
        <f t="shared" si="292"/>
        <v>26.164999999999999</v>
      </c>
      <c r="T295" s="218">
        <f>T296/T294*1000</f>
        <v>26.172999999999998</v>
      </c>
      <c r="U295" s="218">
        <f>U296/U294*1000</f>
        <v>26.073</v>
      </c>
      <c r="V295" s="218">
        <f t="shared" ref="V295" si="293">V296*1000/V294</f>
        <v>23.585000000000001</v>
      </c>
      <c r="W295" s="189">
        <f>W296/W294*1000</f>
        <v>-167.47300000000001</v>
      </c>
      <c r="X295" s="240"/>
      <c r="Y295" s="209"/>
      <c r="Z295" s="209"/>
      <c r="AA295" s="209"/>
      <c r="AB295" s="209"/>
    </row>
    <row r="296" spans="1:28" s="239" customFormat="1" ht="18" customHeight="1">
      <c r="A296" s="595"/>
      <c r="B296" s="576"/>
      <c r="C296" s="577"/>
      <c r="D296" s="198" t="s">
        <v>25</v>
      </c>
      <c r="E296" s="199">
        <f>№2!E373+№5!E373+'№ 6'!E373+№14!E373+'№ 20'!E373+'№ 23'!E373+№27!E373+'№ 31'!E373+'№ 34'!E373+'№ 41'!E373</f>
        <v>0</v>
      </c>
      <c r="F296" s="199">
        <f>№2!F373+№5!F373+'№ 6'!F373+№14!F373+'№ 20'!F373+'№ 23'!F373+№27!F373+'№ 31'!F373+'№ 34'!F373+'№ 41'!F373</f>
        <v>18.207000000000001</v>
      </c>
      <c r="G296" s="199">
        <f>№2!G373+№5!G373+'№ 6'!G373+№14!G373+'№ 20'!G373+'№ 23'!G373+№27!G373+'№ 31'!G373+'№ 34'!G373+'№ 41'!G373</f>
        <v>48.905000000000001</v>
      </c>
      <c r="H296" s="199">
        <f>№2!H373+№5!H373+'№ 6'!H373+№14!H373+'№ 20'!H373+'№ 23'!H373+№27!H373+'№ 31'!H373+'№ 34'!H373+'№ 41'!H373</f>
        <v>46.322000000000003</v>
      </c>
      <c r="I296" s="199">
        <f>№2!I373+№5!I373+'№ 6'!I373+№14!I373+'№ 20'!I373+'№ 23'!I373+№27!I373+'№ 31'!I373+'№ 34'!I373+'№ 41'!I373</f>
        <v>40.746000000000002</v>
      </c>
      <c r="J296" s="199">
        <f>№2!J373+№5!J373+'№ 6'!J373+№14!J373+'№ 20'!J373+'№ 23'!J373+№27!J373+'№ 31'!J373+'№ 34'!J373+'№ 41'!J373</f>
        <v>40.457000000000001</v>
      </c>
      <c r="K296" s="199">
        <f>№2!K373+№5!K373+'№ 6'!K373+№14!K373+'№ 20'!K373+'№ 23'!K373+№27!K373+'№ 31'!K373+'№ 34'!K373+'№ 41'!K373</f>
        <v>52.055999999999997</v>
      </c>
      <c r="L296" s="199">
        <f>SUM(F296:K296)</f>
        <v>246.69300000000001</v>
      </c>
      <c r="M296" s="199">
        <f>L296/6</f>
        <v>41.116</v>
      </c>
      <c r="N296" s="199">
        <f>№2!N373+№5!N373+'№ 6'!N373+№14!N373+'№ 20'!N373+'№ 23'!N373+№27!N373+'№ 31'!N373+'№ 34'!N373+'№ 41'!N373</f>
        <v>3.7320000000000002</v>
      </c>
      <c r="O296" s="199">
        <f>№2!O373+№5!O373+'№ 6'!O373+№14!O373+'№ 20'!O373+'№ 23'!O373+№27!O373+'№ 31'!O373+'№ 34'!O373+'№ 41'!O373</f>
        <v>32.009</v>
      </c>
      <c r="P296" s="199">
        <f>№2!P373+№5!P373+'№ 6'!P373+№14!P373+'№ 20'!P373+'№ 23'!P373+№27!P373+'№ 31'!P373+'№ 34'!P373+'№ 41'!P373</f>
        <v>80.102999999999994</v>
      </c>
      <c r="Q296" s="199">
        <f>№2!Q373+№5!Q373+'№ 6'!Q373+№14!Q373+'№ 20'!Q373+'№ 23'!Q373+№27!Q373+'№ 31'!Q373+'№ 34'!Q373+'№ 41'!Q373</f>
        <v>53.981000000000002</v>
      </c>
      <c r="R296" s="199">
        <f>№2!R373+№5!R373+'№ 6'!R373+№14!R373+'№ 20'!R373+'№ 23'!R373+№27!R373+'№ 31'!R373+'№ 34'!R373+'№ 41'!R373</f>
        <v>61.052</v>
      </c>
      <c r="S296" s="199">
        <f>№2!S373+№5!S373+'№ 6'!S373+№14!S373+'№ 20'!S373+'№ 23'!S373+№27!S373+'№ 31'!S373+'№ 34'!S373+'№ 41'!S373</f>
        <v>58.776000000000003</v>
      </c>
      <c r="T296" s="199">
        <f>SUM(N296:S296)</f>
        <v>289.65300000000002</v>
      </c>
      <c r="U296" s="199">
        <f>T296+L296</f>
        <v>536.346</v>
      </c>
      <c r="V296" s="199">
        <f>№2!V373+№5!V373+'№ 6'!V373+№14!V373+'№ 20'!V373+'№ 23'!V373+№27!V373+'№ 31'!V373+'№ 34'!V373+'№ 41'!V373</f>
        <v>491.48</v>
      </c>
      <c r="W296" s="221">
        <f>V296-U296</f>
        <v>-44.866</v>
      </c>
      <c r="X296" s="213">
        <f>U291-U296</f>
        <v>0</v>
      </c>
    </row>
    <row r="297" spans="1:28" s="239" customFormat="1" ht="18" customHeight="1">
      <c r="A297" s="595"/>
      <c r="B297" s="576"/>
      <c r="C297" s="577"/>
      <c r="D297" s="201" t="s">
        <v>55</v>
      </c>
      <c r="E297" s="220"/>
      <c r="F297" s="199">
        <f>№2!F374+№5!F374+'№ 6'!F374+№14!F374+'№ 20'!F374+'№ 23'!F374+№27!F374+'№ 31'!F374+'№ 34'!F374+'№ 41'!F374</f>
        <v>0</v>
      </c>
      <c r="G297" s="199">
        <f>№2!G374+№5!G374+'№ 6'!G374+№14!G374+'№ 20'!G374+'№ 23'!G374+№27!G374+'№ 31'!G374+'№ 34'!G374+'№ 41'!G374</f>
        <v>0</v>
      </c>
      <c r="H297" s="199">
        <f>№2!H374+№5!H374+'№ 6'!H374+№14!H374+'№ 20'!H374+'№ 23'!H374+№27!H374+'№ 31'!H374+'№ 34'!H374+'№ 41'!H374</f>
        <v>0</v>
      </c>
      <c r="I297" s="199">
        <f>№2!I374+№5!I374+'№ 6'!I374+№14!I374+'№ 20'!I374+'№ 23'!I374+№27!I374+'№ 31'!I374+'№ 34'!I374+'№ 41'!I374</f>
        <v>0</v>
      </c>
      <c r="J297" s="199">
        <f>№2!J374+№5!J374+'№ 6'!J374+№14!J374+'№ 20'!J374+'№ 23'!J374+№27!J374+'№ 31'!J374+'№ 34'!J374+'№ 41'!J374</f>
        <v>0</v>
      </c>
      <c r="K297" s="199">
        <f>№2!K374+№5!K374+'№ 6'!K374+№14!K374+'№ 20'!K374+'№ 23'!K374+№27!K374+'№ 31'!K374+'№ 34'!K374+'№ 41'!K374</f>
        <v>0</v>
      </c>
      <c r="L297" s="199">
        <f>SUM(F297:K297)</f>
        <v>0</v>
      </c>
      <c r="M297" s="199">
        <f>L297/6</f>
        <v>0</v>
      </c>
      <c r="N297" s="199">
        <f>№2!N374+№5!N374+'№ 6'!N374+№14!N374+'№ 20'!N374+'№ 23'!N374+№27!N374+'№ 31'!N374+'№ 34'!N374+'№ 41'!N374</f>
        <v>0</v>
      </c>
      <c r="O297" s="199">
        <f>№2!O374+№5!O374+'№ 6'!O374+№14!O374+'№ 20'!O374+'№ 23'!O374+№27!O374+'№ 31'!O374+'№ 34'!O374+'№ 41'!O374</f>
        <v>0</v>
      </c>
      <c r="P297" s="199">
        <f>№2!P374+№5!P374+'№ 6'!P374+№14!P374+'№ 20'!P374+'№ 23'!P374+№27!P374+'№ 31'!P374+'№ 34'!P374+'№ 41'!P374</f>
        <v>0</v>
      </c>
      <c r="Q297" s="199">
        <f>№2!Q374+№5!Q374+'№ 6'!Q374+№14!Q374+'№ 20'!Q374+'№ 23'!Q374+№27!Q374+'№ 31'!Q374+'№ 34'!Q374+'№ 41'!Q374</f>
        <v>0</v>
      </c>
      <c r="R297" s="199">
        <f>№2!R374+№5!R374+'№ 6'!R374+№14!R374+'№ 20'!R374+'№ 23'!R374+№27!R374+'№ 31'!R374+'№ 34'!R374+'№ 41'!R374</f>
        <v>0</v>
      </c>
      <c r="S297" s="199">
        <f>№2!S374+№5!S374+'№ 6'!S374+№14!S374+'№ 20'!S374+'№ 23'!S374+№27!S374+'№ 31'!S374+'№ 34'!S374+'№ 41'!S374</f>
        <v>0</v>
      </c>
      <c r="T297" s="199">
        <f>SUM(N297:S297)</f>
        <v>0</v>
      </c>
      <c r="U297" s="199">
        <f>T297+L297</f>
        <v>0</v>
      </c>
      <c r="V297" s="199">
        <f>№2!V374+№5!V374+'№ 6'!V374+№14!V374+'№ 20'!V374+'№ 23'!V374+№27!V374+'№ 31'!V374+'№ 34'!V374+'№ 41'!V374</f>
        <v>0</v>
      </c>
      <c r="W297" s="221">
        <f>V297-U297</f>
        <v>0</v>
      </c>
      <c r="X297" s="213">
        <f>U292-U297</f>
        <v>0</v>
      </c>
    </row>
    <row r="298" spans="1:28" s="239" customFormat="1" ht="18" customHeight="1">
      <c r="A298" s="595"/>
      <c r="B298" s="576"/>
      <c r="C298" s="577"/>
      <c r="D298" s="201" t="s">
        <v>24</v>
      </c>
      <c r="E298" s="220"/>
      <c r="F298" s="199">
        <f>№2!F375+№5!F375+'№ 6'!F375+№14!F375+'№ 20'!F375+'№ 23'!F375+№27!F375+'№ 31'!F375+'№ 34'!F375+'№ 41'!F375</f>
        <v>18.207000000000001</v>
      </c>
      <c r="G298" s="199">
        <f>№2!G375+№5!G375+'№ 6'!G375+№14!G375+'№ 20'!G375+'№ 23'!G375+№27!G375+'№ 31'!G375+'№ 34'!G375+'№ 41'!G375</f>
        <v>48.905000000000001</v>
      </c>
      <c r="H298" s="199">
        <f>№2!H375+№5!H375+'№ 6'!H375+№14!H375+'№ 20'!H375+'№ 23'!H375+№27!H375+'№ 31'!H375+'№ 34'!H375+'№ 41'!H375</f>
        <v>46.322000000000003</v>
      </c>
      <c r="I298" s="199">
        <f>№2!I375+№5!I375+'№ 6'!I375+№14!I375+'№ 20'!I375+'№ 23'!I375+№27!I375+'№ 31'!I375+'№ 34'!I375+'№ 41'!I375</f>
        <v>40.746000000000002</v>
      </c>
      <c r="J298" s="199">
        <f>№2!J375+№5!J375+'№ 6'!J375+№14!J375+'№ 20'!J375+'№ 23'!J375+№27!J375+'№ 31'!J375+'№ 34'!J375+'№ 41'!J375</f>
        <v>40.457000000000001</v>
      </c>
      <c r="K298" s="199">
        <f>№2!K375+№5!K375+'№ 6'!K375+№14!K375+'№ 20'!K375+'№ 23'!K375+№27!K375+'№ 31'!K375+'№ 34'!K375+'№ 41'!K375</f>
        <v>52.055999999999997</v>
      </c>
      <c r="L298" s="199">
        <f>SUM(F298:K298)</f>
        <v>246.69300000000001</v>
      </c>
      <c r="M298" s="199">
        <f>L298/6</f>
        <v>41.116</v>
      </c>
      <c r="N298" s="199">
        <f>№2!N375+№5!N375+'№ 6'!N375+№14!N375+'№ 20'!N375+'№ 23'!N375+№27!N375+'№ 31'!N375+'№ 34'!N375+'№ 41'!N375</f>
        <v>3.7320000000000002</v>
      </c>
      <c r="O298" s="199">
        <f>№2!O375+№5!O375+'№ 6'!O375+№14!O375+'№ 20'!O375+'№ 23'!O375+№27!O375+'№ 31'!O375+'№ 34'!O375+'№ 41'!O375</f>
        <v>32.009</v>
      </c>
      <c r="P298" s="199">
        <f>№2!P375+№5!P375+'№ 6'!P375+№14!P375+'№ 20'!P375+'№ 23'!P375+№27!P375+'№ 31'!P375+'№ 34'!P375+'№ 41'!P375</f>
        <v>80.102999999999994</v>
      </c>
      <c r="Q298" s="199">
        <f>№2!Q375+№5!Q375+'№ 6'!Q375+№14!Q375+'№ 20'!Q375+'№ 23'!Q375+№27!Q375+'№ 31'!Q375+'№ 34'!Q375+'№ 41'!Q375</f>
        <v>53.981000000000002</v>
      </c>
      <c r="R298" s="199">
        <f>№2!R375+№5!R375+'№ 6'!R375+№14!R375+'№ 20'!R375+'№ 23'!R375+№27!R375+'№ 31'!R375+'№ 34'!R375+'№ 41'!R375</f>
        <v>61.052</v>
      </c>
      <c r="S298" s="199">
        <f>№2!S375+№5!S375+'№ 6'!S375+№14!S375+'№ 20'!S375+'№ 23'!S375+№27!S375+'№ 31'!S375+'№ 34'!S375+'№ 41'!S375</f>
        <v>58.776000000000003</v>
      </c>
      <c r="T298" s="199">
        <f>SUM(N298:S298)</f>
        <v>289.65300000000002</v>
      </c>
      <c r="U298" s="199">
        <f>T298+L298</f>
        <v>536.346</v>
      </c>
      <c r="V298" s="199">
        <f>№2!V375+№5!V375+'№ 6'!V375+№14!V375+'№ 20'!V375+'№ 23'!V375+№27!V375+'№ 31'!V375+'№ 34'!V375+'№ 41'!V375</f>
        <v>491.48</v>
      </c>
      <c r="W298" s="221">
        <f>V298-U298</f>
        <v>-44.866</v>
      </c>
      <c r="X298" s="213">
        <f>U293-U298</f>
        <v>-44.866</v>
      </c>
    </row>
    <row r="299" spans="1:28" s="205" customFormat="1" ht="18" customHeight="1">
      <c r="A299" s="595"/>
      <c r="B299" s="576"/>
      <c r="C299" s="577"/>
      <c r="D299" s="202" t="s">
        <v>29</v>
      </c>
      <c r="E299" s="203"/>
      <c r="F299" s="203">
        <f t="shared" ref="F299:K299" si="294">F293+F292</f>
        <v>25.428999999999998</v>
      </c>
      <c r="G299" s="203">
        <f t="shared" si="294"/>
        <v>41.457999999999998</v>
      </c>
      <c r="H299" s="203">
        <f t="shared" si="294"/>
        <v>50.795000000000002</v>
      </c>
      <c r="I299" s="203">
        <f t="shared" si="294"/>
        <v>44.101999999999997</v>
      </c>
      <c r="J299" s="203">
        <f t="shared" si="294"/>
        <v>47.466999999999999</v>
      </c>
      <c r="K299" s="203">
        <f t="shared" si="294"/>
        <v>31.344000000000001</v>
      </c>
      <c r="L299" s="203">
        <f>SUM(F299:K299)</f>
        <v>240.595</v>
      </c>
      <c r="M299" s="203">
        <f>L299/6</f>
        <v>40.098999999999997</v>
      </c>
      <c r="N299" s="203">
        <f t="shared" ref="N299:S299" si="295">N293+N292</f>
        <v>27.661000000000001</v>
      </c>
      <c r="O299" s="203">
        <f t="shared" si="295"/>
        <v>32.768000000000001</v>
      </c>
      <c r="P299" s="203">
        <f t="shared" si="295"/>
        <v>44.963999999999999</v>
      </c>
      <c r="Q299" s="203">
        <f t="shared" si="295"/>
        <v>39.829000000000001</v>
      </c>
      <c r="R299" s="203">
        <f t="shared" si="295"/>
        <v>54.180999999999997</v>
      </c>
      <c r="S299" s="203">
        <f t="shared" si="295"/>
        <v>51.481999999999999</v>
      </c>
      <c r="T299" s="203">
        <f>SUM(N299:S299)</f>
        <v>250.88499999999999</v>
      </c>
      <c r="U299" s="203">
        <f>T299+L299</f>
        <v>491.48</v>
      </c>
      <c r="V299" s="203">
        <f>V296</f>
        <v>491.48</v>
      </c>
      <c r="W299" s="203">
        <f>V299-U299</f>
        <v>0</v>
      </c>
    </row>
    <row r="300" spans="1:28" s="205" customFormat="1" ht="18" customHeight="1">
      <c r="A300" s="595"/>
      <c r="B300" s="576"/>
      <c r="C300" s="577"/>
      <c r="D300" s="202" t="s">
        <v>30</v>
      </c>
      <c r="E300" s="203"/>
      <c r="F300" s="203">
        <f t="shared" ref="F300:K300" si="296">F296-F299</f>
        <v>-7.2220000000000004</v>
      </c>
      <c r="G300" s="203">
        <f t="shared" si="296"/>
        <v>7.4470000000000001</v>
      </c>
      <c r="H300" s="203">
        <f t="shared" si="296"/>
        <v>-4.4729999999999999</v>
      </c>
      <c r="I300" s="203">
        <f t="shared" si="296"/>
        <v>-3.3559999999999999</v>
      </c>
      <c r="J300" s="203">
        <f t="shared" si="296"/>
        <v>-7.01</v>
      </c>
      <c r="K300" s="203">
        <f t="shared" si="296"/>
        <v>20.712</v>
      </c>
      <c r="L300" s="203"/>
      <c r="M300" s="203"/>
      <c r="N300" s="203">
        <f t="shared" ref="N300:S300" si="297">N296-N299</f>
        <v>-23.928999999999998</v>
      </c>
      <c r="O300" s="203">
        <f t="shared" si="297"/>
        <v>-0.75900000000000001</v>
      </c>
      <c r="P300" s="203">
        <f t="shared" si="297"/>
        <v>35.139000000000003</v>
      </c>
      <c r="Q300" s="203">
        <f t="shared" si="297"/>
        <v>14.151999999999999</v>
      </c>
      <c r="R300" s="203">
        <f t="shared" si="297"/>
        <v>6.8710000000000004</v>
      </c>
      <c r="S300" s="203">
        <f t="shared" si="297"/>
        <v>7.2939999999999996</v>
      </c>
      <c r="T300" s="203"/>
      <c r="U300" s="203"/>
      <c r="V300" s="203"/>
      <c r="W300" s="203"/>
    </row>
    <row r="301" spans="1:28" s="205" customFormat="1" ht="18" customHeight="1">
      <c r="A301" s="595"/>
      <c r="B301" s="578"/>
      <c r="C301" s="579"/>
      <c r="D301" s="202" t="s">
        <v>31</v>
      </c>
      <c r="E301" s="203"/>
      <c r="F301" s="203">
        <f>F300</f>
        <v>-7.2220000000000004</v>
      </c>
      <c r="G301" s="203">
        <f>G300+F301</f>
        <v>0.22500000000000001</v>
      </c>
      <c r="H301" s="203">
        <f>H300+G301</f>
        <v>-4.2480000000000002</v>
      </c>
      <c r="I301" s="203">
        <f>I300+H301</f>
        <v>-7.6040000000000001</v>
      </c>
      <c r="J301" s="203">
        <f>J300+I301</f>
        <v>-14.614000000000001</v>
      </c>
      <c r="K301" s="203">
        <f>K300+J301</f>
        <v>6.0979999999999999</v>
      </c>
      <c r="L301" s="203"/>
      <c r="M301" s="203"/>
      <c r="N301" s="203">
        <f>N300+K301</f>
        <v>-17.831</v>
      </c>
      <c r="O301" s="203">
        <f>O300+N301</f>
        <v>-18.59</v>
      </c>
      <c r="P301" s="203">
        <f>P300+O301</f>
        <v>16.548999999999999</v>
      </c>
      <c r="Q301" s="203">
        <f>Q300+P301</f>
        <v>30.701000000000001</v>
      </c>
      <c r="R301" s="203">
        <f>R300+Q301</f>
        <v>37.572000000000003</v>
      </c>
      <c r="S301" s="203">
        <f>S300+R301</f>
        <v>44.866</v>
      </c>
      <c r="T301" s="203"/>
      <c r="U301" s="203"/>
      <c r="V301" s="203"/>
      <c r="W301" s="203"/>
    </row>
    <row r="302" spans="1:28" s="186" customFormat="1" ht="15.85" hidden="1" customHeight="1">
      <c r="A302" s="595"/>
      <c r="B302" s="580" t="s">
        <v>96</v>
      </c>
      <c r="C302" s="575"/>
      <c r="D302" s="178" t="s">
        <v>105</v>
      </c>
      <c r="E302" s="179"/>
      <c r="F302" s="180">
        <f>№2!F379+№5!F379+'№ 6'!F379+№14!F379+'№ 20'!F379+'№ 23'!F379+№27!F379+'№ 31'!F379+'№ 34'!F379+'№ 41'!F379</f>
        <v>0</v>
      </c>
      <c r="G302" s="180">
        <f>№2!G379+№5!G379+'№ 6'!G379+№14!G379+'№ 20'!G379+'№ 23'!G379+№27!G379+'№ 31'!G379+'№ 34'!G379+'№ 41'!G379</f>
        <v>0</v>
      </c>
      <c r="H302" s="180">
        <f>№2!H379+№5!H379+'№ 6'!H379+№14!H379+'№ 20'!H379+'№ 23'!H379+№27!H379+'№ 31'!H379+'№ 34'!H379+'№ 41'!H379</f>
        <v>0</v>
      </c>
      <c r="I302" s="180">
        <f>№2!I379+№5!I379+'№ 6'!I379+№14!I379+'№ 20'!I379+'№ 23'!I379+№27!I379+'№ 31'!I379+'№ 34'!I379+'№ 41'!I379</f>
        <v>0</v>
      </c>
      <c r="J302" s="180">
        <f>№2!J379+№5!J379+'№ 6'!J379+№14!J379+'№ 20'!J379+'№ 23'!J379+№27!J379+'№ 31'!J379+'№ 34'!J379+'№ 41'!J379</f>
        <v>0</v>
      </c>
      <c r="K302" s="180">
        <f>№2!K379+№5!K379+'№ 6'!K379+№14!K379+'№ 20'!K379+'№ 23'!K379+№27!K379+'№ 31'!K379+'№ 34'!K379+'№ 41'!K379</f>
        <v>0</v>
      </c>
      <c r="L302" s="215">
        <f>SUM(F302:K302)</f>
        <v>0</v>
      </c>
      <c r="M302" s="215">
        <f>L302/6</f>
        <v>0</v>
      </c>
      <c r="N302" s="180">
        <f>№2!N379+№5!N379+'№ 6'!N379+№14!N379+'№ 20'!N379+'№ 23'!N379+№27!N379+'№ 31'!N379+'№ 34'!N379+'№ 41'!N379</f>
        <v>0</v>
      </c>
      <c r="O302" s="180">
        <f>№2!O379+№5!O379+'№ 6'!O379+№14!O379+'№ 20'!O379+'№ 23'!O379+№27!O379+'№ 31'!O379+'№ 34'!O379+'№ 41'!O379</f>
        <v>0</v>
      </c>
      <c r="P302" s="180">
        <f>№2!P379+№5!P379+'№ 6'!P379+№14!P379+'№ 20'!P379+'№ 23'!P379+№27!P379+'№ 31'!P379+'№ 34'!P379+'№ 41'!P379</f>
        <v>0</v>
      </c>
      <c r="Q302" s="180">
        <f>№2!Q379+№5!Q379+'№ 6'!Q379+№14!Q379+'№ 20'!Q379+'№ 23'!Q379+№27!Q379+'№ 31'!Q379+'№ 34'!Q379+'№ 41'!Q379</f>
        <v>0</v>
      </c>
      <c r="R302" s="180">
        <f>№2!R379+№5!R379+'№ 6'!R379+№14!R379+'№ 20'!R379+'№ 23'!R379+№27!R379+'№ 31'!R379+'№ 34'!R379+'№ 41'!R379</f>
        <v>0</v>
      </c>
      <c r="S302" s="180">
        <f>№2!S379+№5!S379+'№ 6'!S379+№14!S379+'№ 20'!S379+'№ 23'!S379+№27!S379+'№ 31'!S379+'№ 34'!S379+'№ 41'!S379</f>
        <v>0</v>
      </c>
      <c r="T302" s="215">
        <f>SUM(N302:S302)</f>
        <v>0</v>
      </c>
      <c r="U302" s="226">
        <f>T302+L302</f>
        <v>0</v>
      </c>
      <c r="V302" s="227">
        <f>№2!V379+№5!V379+'№ 6'!V379+№14!V379+'№ 20'!V379+'№ 23'!V379+№27!V379+'№ 31'!V379+'№ 34'!V379+'№ 41'!V379</f>
        <v>0</v>
      </c>
      <c r="W302" s="184">
        <f>V302-U302</f>
        <v>0</v>
      </c>
      <c r="X302" s="185"/>
    </row>
    <row r="303" spans="1:28" s="186" customFormat="1" ht="15.85" hidden="1" customHeight="1">
      <c r="A303" s="595"/>
      <c r="B303" s="576"/>
      <c r="C303" s="577"/>
      <c r="D303" s="178" t="s">
        <v>109</v>
      </c>
      <c r="E303" s="179"/>
      <c r="F303" s="180">
        <f>№2!F380+№5!F380+'№ 6'!F380+№14!F380+'№ 20'!F380+'№ 23'!F380+№27!F380+'№ 31'!F380+'№ 34'!F380+'№ 41'!F380</f>
        <v>0</v>
      </c>
      <c r="G303" s="180">
        <f>№2!G380+№5!G380+'№ 6'!G380+№14!G380+'№ 20'!G380+'№ 23'!G380+№27!G380+'№ 31'!G380+'№ 34'!G380+'№ 41'!G380</f>
        <v>0</v>
      </c>
      <c r="H303" s="180">
        <f>№2!H380+№5!H380+'№ 6'!H380+№14!H380+'№ 20'!H380+'№ 23'!H380+№27!H380+'№ 31'!H380+'№ 34'!H380+'№ 41'!H380</f>
        <v>0</v>
      </c>
      <c r="I303" s="180">
        <f>№2!I380+№5!I380+'№ 6'!I380+№14!I380+'№ 20'!I380+'№ 23'!I380+№27!I380+'№ 31'!I380+'№ 34'!I380+'№ 41'!I380</f>
        <v>0</v>
      </c>
      <c r="J303" s="180">
        <f>№2!J380+№5!J380+'№ 6'!J380+№14!J380+'№ 20'!J380+'№ 23'!J380+№27!J380+'№ 31'!J380+'№ 34'!J380+'№ 41'!J380</f>
        <v>0</v>
      </c>
      <c r="K303" s="180">
        <f>№2!K380+№5!K380+'№ 6'!K380+№14!K380+'№ 20'!K380+'№ 23'!K380+№27!K380+'№ 31'!K380+'№ 34'!K380+'№ 41'!K380</f>
        <v>0</v>
      </c>
      <c r="L303" s="215">
        <f>SUM(F303:K303)</f>
        <v>0</v>
      </c>
      <c r="M303" s="215">
        <f>L303/6</f>
        <v>0</v>
      </c>
      <c r="N303" s="180">
        <f>№2!N380+№5!N380+'№ 6'!N380+№14!N380+'№ 20'!N380+'№ 23'!N380+№27!N380+'№ 31'!N380+'№ 34'!N380+'№ 41'!N380</f>
        <v>0</v>
      </c>
      <c r="O303" s="180">
        <f>№2!O380+№5!O380+'№ 6'!O380+№14!O380+'№ 20'!O380+'№ 23'!O380+№27!O380+'№ 31'!O380+'№ 34'!O380+'№ 41'!O380</f>
        <v>0</v>
      </c>
      <c r="P303" s="180">
        <f>№2!P380+№5!P380+'№ 6'!P380+№14!P380+'№ 20'!P380+'№ 23'!P380+№27!P380+'№ 31'!P380+'№ 34'!P380+'№ 41'!P380</f>
        <v>0</v>
      </c>
      <c r="Q303" s="180">
        <f>№2!Q380+№5!Q380+'№ 6'!Q380+№14!Q380+'№ 20'!Q380+'№ 23'!Q380+№27!Q380+'№ 31'!Q380+'№ 34'!Q380+'№ 41'!Q380</f>
        <v>0</v>
      </c>
      <c r="R303" s="180">
        <f>№2!R380+№5!R380+'№ 6'!R380+№14!R380+'№ 20'!R380+'№ 23'!R380+№27!R380+'№ 31'!R380+'№ 34'!R380+'№ 41'!R380</f>
        <v>0</v>
      </c>
      <c r="S303" s="180">
        <f>№2!S380+№5!S380+'№ 6'!S380+№14!S380+'№ 20'!S380+'№ 23'!S380+№27!S380+'№ 31'!S380+'№ 34'!S380+'№ 41'!S380</f>
        <v>0</v>
      </c>
      <c r="T303" s="215">
        <f>SUM(N303:S303)</f>
        <v>0</v>
      </c>
      <c r="U303" s="226">
        <f>T303+L303</f>
        <v>0</v>
      </c>
      <c r="V303" s="227">
        <f>№2!V380+№5!V380+'№ 6'!V380+№14!V380+'№ 20'!V380+'№ 23'!V380+№27!V380+'№ 31'!V380+'№ 34'!V380+'№ 41'!V380</f>
        <v>0</v>
      </c>
      <c r="W303" s="184">
        <f>V303-U303</f>
        <v>0</v>
      </c>
      <c r="X303" s="185"/>
    </row>
    <row r="304" spans="1:28" s="186" customFormat="1" ht="15.85" hidden="1" customHeight="1">
      <c r="A304" s="595"/>
      <c r="B304" s="576"/>
      <c r="C304" s="577"/>
      <c r="D304" s="178" t="s">
        <v>116</v>
      </c>
      <c r="E304" s="179"/>
      <c r="F304" s="180">
        <f>№2!F381+№5!F381+'№ 6'!F381+№14!F381+'№ 20'!F381+'№ 23'!F381+№27!F381+'№ 31'!F381+'№ 34'!F381+'№ 41'!F381</f>
        <v>0</v>
      </c>
      <c r="G304" s="180">
        <f>№2!G381+№5!G381+'№ 6'!G381+№14!G381+'№ 20'!G381+'№ 23'!G381+№27!G381+'№ 31'!G381+'№ 34'!G381+'№ 41'!G381</f>
        <v>0</v>
      </c>
      <c r="H304" s="180">
        <f>№2!H381+№5!H381+'№ 6'!H381+№14!H381+'№ 20'!H381+'№ 23'!H381+№27!H381+'№ 31'!H381+'№ 34'!H381+'№ 41'!H381</f>
        <v>0</v>
      </c>
      <c r="I304" s="180">
        <f>№2!I381+№5!I381+'№ 6'!I381+№14!I381+'№ 20'!I381+'№ 23'!I381+№27!I381+'№ 31'!I381+'№ 34'!I381+'№ 41'!I381</f>
        <v>0</v>
      </c>
      <c r="J304" s="180">
        <f>№2!J381+№5!J381+'№ 6'!J381+№14!J381+'№ 20'!J381+'№ 23'!J381+№27!J381+'№ 31'!J381+'№ 34'!J381+'№ 41'!J381</f>
        <v>0</v>
      </c>
      <c r="K304" s="180">
        <f>№2!K381+№5!K381+'№ 6'!K381+№14!K381+'№ 20'!K381+'№ 23'!K381+№27!K381+'№ 31'!K381+'№ 34'!K381+'№ 41'!K381</f>
        <v>0</v>
      </c>
      <c r="L304" s="215">
        <f>SUM(F304:K304)</f>
        <v>0</v>
      </c>
      <c r="M304" s="215">
        <f>L304/6</f>
        <v>0</v>
      </c>
      <c r="N304" s="180">
        <f>№2!N381+№5!N381+'№ 6'!N381+№14!N381+'№ 20'!N381+'№ 23'!N381+№27!N381+'№ 31'!N381+'№ 34'!N381+'№ 41'!N381</f>
        <v>0</v>
      </c>
      <c r="O304" s="180">
        <f>№2!O381+№5!O381+'№ 6'!O381+№14!O381+'№ 20'!O381+'№ 23'!O381+№27!O381+'№ 31'!O381+'№ 34'!O381+'№ 41'!O381</f>
        <v>0</v>
      </c>
      <c r="P304" s="180">
        <f>№2!P381+№5!P381+'№ 6'!P381+№14!P381+'№ 20'!P381+'№ 23'!P381+№27!P381+'№ 31'!P381+'№ 34'!P381+'№ 41'!P381</f>
        <v>0</v>
      </c>
      <c r="Q304" s="180">
        <f>№2!Q381+№5!Q381+'№ 6'!Q381+№14!Q381+'№ 20'!Q381+'№ 23'!Q381+№27!Q381+'№ 31'!Q381+'№ 34'!Q381+'№ 41'!Q381</f>
        <v>0</v>
      </c>
      <c r="R304" s="180">
        <f>№2!R381+№5!R381+'№ 6'!R381+№14!R381+'№ 20'!R381+'№ 23'!R381+№27!R381+'№ 31'!R381+'№ 34'!R381+'№ 41'!R381</f>
        <v>0</v>
      </c>
      <c r="S304" s="180">
        <f>№2!S381+№5!S381+'№ 6'!S381+№14!S381+'№ 20'!S381+'№ 23'!S381+№27!S381+'№ 31'!S381+'№ 34'!S381+'№ 41'!S381</f>
        <v>0</v>
      </c>
      <c r="T304" s="215">
        <f>SUM(N304:S304)</f>
        <v>0</v>
      </c>
      <c r="U304" s="226">
        <f>T304+L304</f>
        <v>0</v>
      </c>
      <c r="V304" s="180">
        <f>№2!V381+№5!V381+'№ 6'!V381+№14!V381+'№ 20'!V381+'№ 23'!V381+№27!V381+'№ 31'!V381+'№ 34'!V381+'№ 41'!V381</f>
        <v>0</v>
      </c>
      <c r="W304" s="184">
        <f>V304-U304</f>
        <v>0</v>
      </c>
      <c r="X304" s="185"/>
    </row>
    <row r="305" spans="1:28" s="190" customFormat="1" ht="15.85" hidden="1" customHeight="1">
      <c r="A305" s="595"/>
      <c r="B305" s="576"/>
      <c r="C305" s="577"/>
      <c r="D305" s="187" t="s">
        <v>27</v>
      </c>
      <c r="E305" s="188"/>
      <c r="F305" s="188" t="e">
        <f t="shared" ref="F305:U305" si="298">F306/F304*1000</f>
        <v>#DIV/0!</v>
      </c>
      <c r="G305" s="188" t="e">
        <f t="shared" si="298"/>
        <v>#DIV/0!</v>
      </c>
      <c r="H305" s="188" t="e">
        <f t="shared" si="298"/>
        <v>#DIV/0!</v>
      </c>
      <c r="I305" s="188" t="e">
        <f t="shared" si="298"/>
        <v>#DIV/0!</v>
      </c>
      <c r="J305" s="188" t="e">
        <f t="shared" si="298"/>
        <v>#DIV/0!</v>
      </c>
      <c r="K305" s="188" t="e">
        <f t="shared" si="298"/>
        <v>#DIV/0!</v>
      </c>
      <c r="L305" s="188" t="e">
        <f t="shared" si="298"/>
        <v>#DIV/0!</v>
      </c>
      <c r="M305" s="188" t="e">
        <f t="shared" si="298"/>
        <v>#DIV/0!</v>
      </c>
      <c r="N305" s="188" t="e">
        <f t="shared" si="298"/>
        <v>#DIV/0!</v>
      </c>
      <c r="O305" s="188" t="e">
        <f t="shared" si="298"/>
        <v>#DIV/0!</v>
      </c>
      <c r="P305" s="188" t="e">
        <f t="shared" si="298"/>
        <v>#DIV/0!</v>
      </c>
      <c r="Q305" s="188" t="e">
        <f t="shared" si="298"/>
        <v>#DIV/0!</v>
      </c>
      <c r="R305" s="188" t="e">
        <f t="shared" si="298"/>
        <v>#DIV/0!</v>
      </c>
      <c r="S305" s="188" t="e">
        <f t="shared" si="298"/>
        <v>#DIV/0!</v>
      </c>
      <c r="T305" s="188" t="e">
        <f t="shared" si="298"/>
        <v>#DIV/0!</v>
      </c>
      <c r="U305" s="188" t="e">
        <f t="shared" si="298"/>
        <v>#DIV/0!</v>
      </c>
      <c r="V305" s="218" t="e">
        <f t="shared" ref="V305" si="299">V306/V304*1000</f>
        <v>#DIV/0!</v>
      </c>
      <c r="W305" s="189" t="e">
        <f>W306/W304*1000</f>
        <v>#DIV/0!</v>
      </c>
      <c r="X305" s="223"/>
    </row>
    <row r="306" spans="1:28" s="196" customFormat="1" ht="15.85" hidden="1" customHeight="1">
      <c r="A306" s="595"/>
      <c r="B306" s="576"/>
      <c r="C306" s="577"/>
      <c r="D306" s="191" t="s">
        <v>0</v>
      </c>
      <c r="E306" s="192"/>
      <c r="F306" s="192">
        <f>№2!F383+№5!F383+'№ 6'!F383+№14!F383+'№ 20'!F383+'№ 23'!F383+№27!F383+'№ 31'!F383+'№ 34'!F383+'№ 41'!F383</f>
        <v>0</v>
      </c>
      <c r="G306" s="192">
        <f>№2!G383+№5!G383+'№ 6'!G383+№14!G383+'№ 20'!G383+'№ 23'!G383+№27!G383+'№ 31'!G383+'№ 34'!G383+'№ 41'!G383</f>
        <v>0</v>
      </c>
      <c r="H306" s="192">
        <f>№2!H383+№5!H383+'№ 6'!H383+№14!H383+'№ 20'!H383+'№ 23'!H383+№27!H383+'№ 31'!H383+'№ 34'!H383+'№ 41'!H383</f>
        <v>0</v>
      </c>
      <c r="I306" s="192">
        <f>№2!I383+№5!I383+'№ 6'!I383+№14!I383+'№ 20'!I383+'№ 23'!I383+№27!I383+'№ 31'!I383+'№ 34'!I383+'№ 41'!I383</f>
        <v>0</v>
      </c>
      <c r="J306" s="192">
        <f>№2!J383+№5!J383+'№ 6'!J383+№14!J383+'№ 20'!J383+'№ 23'!J383+№27!J383+'№ 31'!J383+'№ 34'!J383+'№ 41'!J383</f>
        <v>0</v>
      </c>
      <c r="K306" s="192">
        <f>№2!K383+№5!K383+'№ 6'!K383+№14!K383+'№ 20'!K383+'№ 23'!K383+№27!K383+'№ 31'!K383+'№ 34'!K383+'№ 41'!K383</f>
        <v>0</v>
      </c>
      <c r="L306" s="194">
        <f>SUM(F306:K306)</f>
        <v>0</v>
      </c>
      <c r="M306" s="194">
        <f>L306/6</f>
        <v>0</v>
      </c>
      <c r="N306" s="192">
        <f>№2!N383+№5!N383+'№ 6'!N383+№14!N383+'№ 20'!N383+'№ 23'!N383+№27!N383+'№ 31'!N383+'№ 34'!N383+'№ 41'!N383</f>
        <v>0</v>
      </c>
      <c r="O306" s="192">
        <f>№2!O383+№5!O383+'№ 6'!O383+№14!O383+'№ 20'!O383+'№ 23'!O383+№27!O383+'№ 31'!O383+'№ 34'!O383+'№ 41'!O383</f>
        <v>0</v>
      </c>
      <c r="P306" s="192">
        <f>№2!P383+№5!P383+'№ 6'!P383+№14!P383+'№ 20'!P383+'№ 23'!P383+№27!P383+'№ 31'!P383+'№ 34'!P383+'№ 41'!P383</f>
        <v>0</v>
      </c>
      <c r="Q306" s="192">
        <f>№2!Q383+№5!Q383+'№ 6'!Q383+№14!Q383+'№ 20'!Q383+'№ 23'!Q383+№27!Q383+'№ 31'!Q383+'№ 34'!Q383+'№ 41'!Q383</f>
        <v>0</v>
      </c>
      <c r="R306" s="192">
        <f>№2!R383+№5!R383+'№ 6'!R383+№14!R383+'№ 20'!R383+'№ 23'!R383+№27!R383+'№ 31'!R383+'№ 34'!R383+'№ 41'!R383</f>
        <v>0</v>
      </c>
      <c r="S306" s="192">
        <f>№2!S383+№5!S383+'№ 6'!S383+№14!S383+'№ 20'!S383+'№ 23'!S383+№27!S383+'№ 31'!S383+'№ 34'!S383+'№ 41'!S383</f>
        <v>0</v>
      </c>
      <c r="T306" s="194">
        <f>SUM(N306:S306)</f>
        <v>0</v>
      </c>
      <c r="U306" s="194">
        <f>T306+L306</f>
        <v>0</v>
      </c>
      <c r="V306" s="171">
        <f>№2!V383+№5!V383+'№ 6'!V383+№14!V383+'№ 20'!V383+'№ 23'!V383+№27!V383+'№ 31'!V383+'№ 34'!V383+'№ 41'!V383</f>
        <v>0</v>
      </c>
      <c r="W306" s="193">
        <f>V306-U306</f>
        <v>0</v>
      </c>
      <c r="X306" s="224">
        <f>9891253.845/1000</f>
        <v>9891.2540000000008</v>
      </c>
    </row>
    <row r="307" spans="1:28" s="196" customFormat="1" ht="15.85" hidden="1" customHeight="1">
      <c r="A307" s="595"/>
      <c r="B307" s="576"/>
      <c r="C307" s="577"/>
      <c r="D307" s="174" t="s">
        <v>55</v>
      </c>
      <c r="E307" s="210"/>
      <c r="F307" s="192">
        <f>№2!F384+№5!F384+'№ 6'!F384+№14!F384+'№ 20'!F384+'№ 23'!F384+№27!F384+'№ 31'!F384+'№ 34'!F384+'№ 41'!F384</f>
        <v>0</v>
      </c>
      <c r="G307" s="192">
        <f>№2!G384+№5!G384+'№ 6'!G384+№14!G384+'№ 20'!G384+'№ 23'!G384+№27!G384+'№ 31'!G384+'№ 34'!G384+'№ 41'!G384</f>
        <v>0</v>
      </c>
      <c r="H307" s="192">
        <f>№2!H384+№5!H384+'№ 6'!H384+№14!H384+'№ 20'!H384+'№ 23'!H384+№27!H384+'№ 31'!H384+'№ 34'!H384+'№ 41'!H384</f>
        <v>0</v>
      </c>
      <c r="I307" s="192">
        <f>№2!I384+№5!I384+'№ 6'!I384+№14!I384+'№ 20'!I384+'№ 23'!I384+№27!I384+'№ 31'!I384+'№ 34'!I384+'№ 41'!I384</f>
        <v>0</v>
      </c>
      <c r="J307" s="192">
        <f>№2!J384+№5!J384+'№ 6'!J384+№14!J384+'№ 20'!J384+'№ 23'!J384+№27!J384+'№ 31'!J384+'№ 34'!J384+'№ 41'!J384</f>
        <v>0</v>
      </c>
      <c r="K307" s="192">
        <f>№2!K384+№5!K384+'№ 6'!K384+№14!K384+'№ 20'!K384+'№ 23'!K384+№27!K384+'№ 31'!K384+'№ 34'!K384+'№ 41'!K384</f>
        <v>0</v>
      </c>
      <c r="L307" s="194">
        <f>SUM(F307:K307)</f>
        <v>0</v>
      </c>
      <c r="M307" s="194">
        <f>L307/6</f>
        <v>0</v>
      </c>
      <c r="N307" s="192">
        <f>№2!N384+№5!N384+'№ 6'!N384+№14!N384+'№ 20'!N384+'№ 23'!N384+№27!N384+'№ 31'!N384+'№ 34'!N384+'№ 41'!N384</f>
        <v>0</v>
      </c>
      <c r="O307" s="192">
        <f>№2!O384+№5!O384+'№ 6'!O384+№14!O384+'№ 20'!O384+'№ 23'!O384+№27!O384+'№ 31'!O384+'№ 34'!O384+'№ 41'!O384</f>
        <v>0</v>
      </c>
      <c r="P307" s="192">
        <f>№2!P384+№5!P384+'№ 6'!P384+№14!P384+'№ 20'!P384+'№ 23'!P384+№27!P384+'№ 31'!P384+'№ 34'!P384+'№ 41'!P384</f>
        <v>0</v>
      </c>
      <c r="Q307" s="192">
        <f>№2!Q384+№5!Q384+'№ 6'!Q384+№14!Q384+'№ 20'!Q384+'№ 23'!Q384+№27!Q384+'№ 31'!Q384+'№ 34'!Q384+'№ 41'!Q384</f>
        <v>0</v>
      </c>
      <c r="R307" s="192">
        <f>№2!R384+№5!R384+'№ 6'!R384+№14!R384+'№ 20'!R384+'№ 23'!R384+№27!R384+'№ 31'!R384+'№ 34'!R384+'№ 41'!R384</f>
        <v>0</v>
      </c>
      <c r="S307" s="192">
        <f>№2!S384+№5!S384+'№ 6'!S384+№14!S384+'№ 20'!S384+'№ 23'!S384+№27!S384+'№ 31'!S384+'№ 34'!S384+'№ 41'!S384</f>
        <v>0</v>
      </c>
      <c r="T307" s="194">
        <f>SUM(N307:S307)</f>
        <v>0</v>
      </c>
      <c r="U307" s="194">
        <f>T307+L307</f>
        <v>0</v>
      </c>
      <c r="V307" s="171">
        <f>№2!V384+№5!V384+'№ 6'!V384+№14!V384+'№ 20'!V384+'№ 23'!V384+№27!V384+'№ 31'!V384+'№ 34'!V384+'№ 41'!V384</f>
        <v>0</v>
      </c>
      <c r="W307" s="193">
        <f>V307-U307</f>
        <v>0</v>
      </c>
      <c r="X307" s="195"/>
    </row>
    <row r="308" spans="1:28" s="196" customFormat="1" ht="15.85" hidden="1" customHeight="1">
      <c r="A308" s="595"/>
      <c r="B308" s="576"/>
      <c r="C308" s="577"/>
      <c r="D308" s="174" t="s">
        <v>28</v>
      </c>
      <c r="E308" s="210"/>
      <c r="F308" s="192">
        <f>№2!F385+№5!F385+'№ 6'!F385+№14!F385+'№ 20'!F385+'№ 23'!F385+№27!F385+'№ 31'!F385+'№ 34'!F385+'№ 41'!F385</f>
        <v>0</v>
      </c>
      <c r="G308" s="192">
        <f>№2!G385+№5!G385+'№ 6'!G385+№14!G385+'№ 20'!G385+'№ 23'!G385+№27!G385+'№ 31'!G385+'№ 34'!G385+'№ 41'!G385</f>
        <v>0</v>
      </c>
      <c r="H308" s="192">
        <f>№2!H385+№5!H385+'№ 6'!H385+№14!H385+'№ 20'!H385+'№ 23'!H385+№27!H385+'№ 31'!H385+'№ 34'!H385+'№ 41'!H385</f>
        <v>0</v>
      </c>
      <c r="I308" s="192">
        <f>№2!I385+№5!I385+'№ 6'!I385+№14!I385+'№ 20'!I385+'№ 23'!I385+№27!I385+'№ 31'!I385+'№ 34'!I385+'№ 41'!I385</f>
        <v>0</v>
      </c>
      <c r="J308" s="192">
        <f>№2!J385+№5!J385+'№ 6'!J385+№14!J385+'№ 20'!J385+'№ 23'!J385+№27!J385+'№ 31'!J385+'№ 34'!J385+'№ 41'!J385</f>
        <v>0</v>
      </c>
      <c r="K308" s="192">
        <f>№2!K385+№5!K385+'№ 6'!K385+№14!K385+'№ 20'!K385+'№ 23'!K385+№27!K385+'№ 31'!K385+'№ 34'!K385+'№ 41'!K385</f>
        <v>0</v>
      </c>
      <c r="L308" s="194">
        <f>SUM(F308:K308)</f>
        <v>0</v>
      </c>
      <c r="M308" s="194">
        <f>L308/6</f>
        <v>0</v>
      </c>
      <c r="N308" s="192">
        <f>№2!N385+№5!N385+'№ 6'!N385+№14!N385+'№ 20'!N385+'№ 23'!N385+№27!N385+'№ 31'!N385+'№ 34'!N385+'№ 41'!N385</f>
        <v>0</v>
      </c>
      <c r="O308" s="192">
        <f>№2!O385+№5!O385+'№ 6'!O385+№14!O385+'№ 20'!O385+'№ 23'!O385+№27!O385+'№ 31'!O385+'№ 34'!O385+'№ 41'!O385</f>
        <v>0</v>
      </c>
      <c r="P308" s="192">
        <f>№2!P385+№5!P385+'№ 6'!P385+№14!P385+'№ 20'!P385+'№ 23'!P385+№27!P385+'№ 31'!P385+'№ 34'!P385+'№ 41'!P385</f>
        <v>0</v>
      </c>
      <c r="Q308" s="192">
        <f>№2!Q385+№5!Q385+'№ 6'!Q385+№14!Q385+'№ 20'!Q385+'№ 23'!Q385+№27!Q385+'№ 31'!Q385+'№ 34'!Q385+'№ 41'!Q385</f>
        <v>0</v>
      </c>
      <c r="R308" s="192">
        <f>№2!R385+№5!R385+'№ 6'!R385+№14!R385+'№ 20'!R385+'№ 23'!R385+№27!R385+'№ 31'!R385+'№ 34'!R385+'№ 41'!R385</f>
        <v>0</v>
      </c>
      <c r="S308" s="192">
        <f>№2!S385+№5!S385+'№ 6'!S385+№14!S385+'№ 20'!S385+'№ 23'!S385+№27!S385+'№ 31'!S385+'№ 34'!S385+'№ 41'!S385</f>
        <v>0</v>
      </c>
      <c r="T308" s="194">
        <f>SUM(N308:S308)</f>
        <v>0</v>
      </c>
      <c r="U308" s="194">
        <f>T308+L308</f>
        <v>0</v>
      </c>
      <c r="V308" s="171">
        <f>№2!V385+№5!V385+'№ 6'!V385+№14!V385+'№ 20'!V385+'№ 23'!V385+№27!V385+'№ 31'!V385+'№ 34'!V385+'№ 41'!V385</f>
        <v>0</v>
      </c>
      <c r="W308" s="193">
        <f>V308-U308</f>
        <v>0</v>
      </c>
      <c r="X308" s="195"/>
    </row>
    <row r="309" spans="1:28" s="186" customFormat="1" ht="15.85" hidden="1" customHeight="1">
      <c r="A309" s="595"/>
      <c r="B309" s="576"/>
      <c r="C309" s="577"/>
      <c r="D309" s="178" t="s">
        <v>117</v>
      </c>
      <c r="E309" s="179">
        <f>№2!E386+№5!E386+'№ 6'!E386+№14!E386+'№ 20'!E386+'№ 23'!E386+№27!E386+'№ 31'!E386+'№ 34'!E386+'№ 41'!E386</f>
        <v>0</v>
      </c>
      <c r="F309" s="179">
        <f>№2!F386+№5!F386+'№ 6'!F386+№14!F386+'№ 20'!F386+'№ 23'!F386+№27!F386+'№ 31'!F386+'№ 34'!F386+'№ 41'!F386</f>
        <v>0</v>
      </c>
      <c r="G309" s="179">
        <f>№2!G386+№5!G386+'№ 6'!G386+№14!G386+'№ 20'!G386+'№ 23'!G386+№27!G386+'№ 31'!G386+'№ 34'!G386+'№ 41'!G386</f>
        <v>0</v>
      </c>
      <c r="H309" s="179">
        <f>№2!H386+№5!H386+'№ 6'!H386+№14!H386+'№ 20'!H386+'№ 23'!H386+№27!H386+'№ 31'!H386+'№ 34'!H386+'№ 41'!H386</f>
        <v>0</v>
      </c>
      <c r="I309" s="179">
        <f>№2!I386+№5!I386+'№ 6'!I386+№14!I386+'№ 20'!I386+'№ 23'!I386+№27!I386+'№ 31'!I386+'№ 34'!I386+'№ 41'!I386</f>
        <v>0</v>
      </c>
      <c r="J309" s="179">
        <f>№2!J386+№5!J386+'№ 6'!J386+№14!J386+'№ 20'!J386+'№ 23'!J386+№27!J386+'№ 31'!J386+'№ 34'!J386+'№ 41'!J386</f>
        <v>0</v>
      </c>
      <c r="K309" s="179">
        <f>№2!K386+№5!K386+'№ 6'!K386+№14!K386+'№ 20'!K386+'№ 23'!K386+№27!K386+'№ 31'!K386+'№ 34'!K386+'№ 41'!K386</f>
        <v>0</v>
      </c>
      <c r="L309" s="215">
        <f>SUM(F309:K309)</f>
        <v>0</v>
      </c>
      <c r="M309" s="215">
        <f>L309/6</f>
        <v>0</v>
      </c>
      <c r="N309" s="179">
        <f>№2!N386+№5!N386+'№ 6'!N386+№14!N386+'№ 20'!N386+'№ 23'!N386+№27!N386+'№ 31'!N386+'№ 34'!N386+'№ 41'!N386</f>
        <v>0</v>
      </c>
      <c r="O309" s="179">
        <f>№2!O386+№5!O386+'№ 6'!O386+№14!O386+'№ 20'!O386+'№ 23'!O386+№27!O386+'№ 31'!O386+'№ 34'!O386+'№ 41'!O386</f>
        <v>0</v>
      </c>
      <c r="P309" s="179">
        <f>№2!P386+№5!P386+'№ 6'!P386+№14!P386+'№ 20'!P386+'№ 23'!P386+№27!P386+'№ 31'!P386+'№ 34'!P386+'№ 41'!P386</f>
        <v>0</v>
      </c>
      <c r="Q309" s="179">
        <f>№2!Q386+№5!Q386+'№ 6'!Q386+№14!Q386+'№ 20'!Q386+'№ 23'!Q386+№27!Q386+'№ 31'!Q386+'№ 34'!Q386+'№ 41'!Q386</f>
        <v>0</v>
      </c>
      <c r="R309" s="179">
        <f>№2!R386+№5!R386+'№ 6'!R386+№14!R386+'№ 20'!R386+'№ 23'!R386+№27!R386+'№ 31'!R386+'№ 34'!R386+'№ 41'!R386</f>
        <v>0</v>
      </c>
      <c r="S309" s="179">
        <f>№2!S386+№5!S386+'№ 6'!S386+№14!S386+'№ 20'!S386+'№ 23'!S386+№27!S386+'№ 31'!S386+'№ 34'!S386+'№ 41'!S386</f>
        <v>0</v>
      </c>
      <c r="T309" s="215">
        <f>SUM(N309:S309)</f>
        <v>0</v>
      </c>
      <c r="U309" s="215">
        <f>T309+L309</f>
        <v>0</v>
      </c>
      <c r="V309" s="179">
        <f>№2!V386+№5!V386+'№ 6'!V386+№14!V386+'№ 20'!V386+'№ 23'!V386+№27!V386+'№ 31'!V386+'№ 34'!V386+'№ 41'!V386</f>
        <v>0</v>
      </c>
      <c r="W309" s="184">
        <f>V309-U309</f>
        <v>0</v>
      </c>
      <c r="X309" s="185">
        <f>U304-U309</f>
        <v>0</v>
      </c>
    </row>
    <row r="310" spans="1:28" s="190" customFormat="1" ht="15.85" hidden="1" customHeight="1">
      <c r="A310" s="595"/>
      <c r="B310" s="576"/>
      <c r="C310" s="577"/>
      <c r="D310" s="187" t="s">
        <v>27</v>
      </c>
      <c r="E310" s="188" t="e">
        <f t="shared" ref="E310:U310" si="300">E311/E309*1000</f>
        <v>#DIV/0!</v>
      </c>
      <c r="F310" s="188" t="e">
        <f t="shared" si="300"/>
        <v>#DIV/0!</v>
      </c>
      <c r="G310" s="188" t="e">
        <f t="shared" si="300"/>
        <v>#DIV/0!</v>
      </c>
      <c r="H310" s="188" t="e">
        <f t="shared" si="300"/>
        <v>#DIV/0!</v>
      </c>
      <c r="I310" s="188" t="e">
        <f t="shared" si="300"/>
        <v>#DIV/0!</v>
      </c>
      <c r="J310" s="188" t="e">
        <f t="shared" si="300"/>
        <v>#DIV/0!</v>
      </c>
      <c r="K310" s="188" t="e">
        <f t="shared" si="300"/>
        <v>#DIV/0!</v>
      </c>
      <c r="L310" s="188" t="e">
        <f t="shared" si="300"/>
        <v>#DIV/0!</v>
      </c>
      <c r="M310" s="188" t="e">
        <f t="shared" si="300"/>
        <v>#DIV/0!</v>
      </c>
      <c r="N310" s="188" t="e">
        <f t="shared" si="300"/>
        <v>#DIV/0!</v>
      </c>
      <c r="O310" s="188" t="e">
        <f t="shared" si="300"/>
        <v>#DIV/0!</v>
      </c>
      <c r="P310" s="188" t="e">
        <f t="shared" si="300"/>
        <v>#DIV/0!</v>
      </c>
      <c r="Q310" s="188" t="e">
        <f t="shared" si="300"/>
        <v>#DIV/0!</v>
      </c>
      <c r="R310" s="188" t="e">
        <f t="shared" si="300"/>
        <v>#DIV/0!</v>
      </c>
      <c r="S310" s="188" t="e">
        <f t="shared" si="300"/>
        <v>#DIV/0!</v>
      </c>
      <c r="T310" s="188" t="e">
        <f t="shared" si="300"/>
        <v>#DIV/0!</v>
      </c>
      <c r="U310" s="188" t="e">
        <f t="shared" si="300"/>
        <v>#DIV/0!</v>
      </c>
      <c r="V310" s="218" t="e">
        <f t="shared" ref="V310" si="301">V311/V309*1000</f>
        <v>#DIV/0!</v>
      </c>
      <c r="W310" s="189" t="e">
        <f>W311/W309*1000</f>
        <v>#DIV/0!</v>
      </c>
      <c r="X310" s="225"/>
    </row>
    <row r="311" spans="1:28" s="176" customFormat="1" ht="15.85" hidden="1" customHeight="1">
      <c r="A311" s="595"/>
      <c r="B311" s="576"/>
      <c r="C311" s="577"/>
      <c r="D311" s="198" t="s">
        <v>25</v>
      </c>
      <c r="E311" s="220">
        <f>№2!E388+№5!E388+'№ 6'!E388+№14!E388+'№ 20'!E388+'№ 23'!E388+№27!E388+'№ 31'!E388+'№ 34'!E388+'№ 41'!E388</f>
        <v>0</v>
      </c>
      <c r="F311" s="199">
        <f>№2!F388+№5!F388+'№ 6'!F388+№14!F388+'№ 20'!F388+'№ 23'!F388+№27!F388+'№ 31'!F388+'№ 34'!F388+'№ 41'!F388</f>
        <v>0</v>
      </c>
      <c r="G311" s="199">
        <f>№2!G388+№5!G388+'№ 6'!G388+№14!G388+'№ 20'!G388+'№ 23'!G388+№27!G388+'№ 31'!G388+'№ 34'!G388+'№ 41'!G388</f>
        <v>0</v>
      </c>
      <c r="H311" s="199">
        <f>№2!H388+№5!H388+'№ 6'!H388+№14!H388+'№ 20'!H388+'№ 23'!H388+№27!H388+'№ 31'!H388+'№ 34'!H388+'№ 41'!H388</f>
        <v>0</v>
      </c>
      <c r="I311" s="199">
        <f>№2!I388+№5!I388+'№ 6'!I388+№14!I388+'№ 20'!I388+'№ 23'!I388+№27!I388+'№ 31'!I388+'№ 34'!I388+'№ 41'!I388</f>
        <v>0</v>
      </c>
      <c r="J311" s="199">
        <f>№2!J388+№5!J388+'№ 6'!J388+№14!J388+'№ 20'!J388+'№ 23'!J388+№27!J388+'№ 31'!J388+'№ 34'!J388+'№ 41'!J388</f>
        <v>0</v>
      </c>
      <c r="K311" s="199">
        <f>№2!K388+№5!K388+'№ 6'!K388+№14!K388+'№ 20'!K388+'№ 23'!K388+№27!K388+'№ 31'!K388+'№ 34'!K388+'№ 41'!K388</f>
        <v>0</v>
      </c>
      <c r="L311" s="199">
        <f>SUM(F311:K311)</f>
        <v>0</v>
      </c>
      <c r="M311" s="199">
        <f>L311/6</f>
        <v>0</v>
      </c>
      <c r="N311" s="199">
        <f>№2!N388+№5!N388+'№ 6'!N388+№14!N388+'№ 20'!N388+'№ 23'!N388+№27!N388+'№ 31'!N388+'№ 34'!N388+'№ 41'!N388</f>
        <v>0</v>
      </c>
      <c r="O311" s="199">
        <f>№2!O388+№5!O388+'№ 6'!O388+№14!O388+'№ 20'!O388+'№ 23'!O388+№27!O388+'№ 31'!O388+'№ 34'!O388+'№ 41'!O388</f>
        <v>0</v>
      </c>
      <c r="P311" s="199">
        <f>№2!P388+№5!P388+'№ 6'!P388+№14!P388+'№ 20'!P388+'№ 23'!P388+№27!P388+'№ 31'!P388+'№ 34'!P388+'№ 41'!P388</f>
        <v>0</v>
      </c>
      <c r="Q311" s="199">
        <f>№2!Q388+№5!Q388+'№ 6'!Q388+№14!Q388+'№ 20'!Q388+'№ 23'!Q388+№27!Q388+'№ 31'!Q388+'№ 34'!Q388+'№ 41'!Q388</f>
        <v>0</v>
      </c>
      <c r="R311" s="199">
        <f>№2!R388+№5!R388+'№ 6'!R388+№14!R388+'№ 20'!R388+'№ 23'!R388+№27!R388+'№ 31'!R388+'№ 34'!R388+'№ 41'!R388</f>
        <v>0</v>
      </c>
      <c r="S311" s="199">
        <f>№2!S388+№5!S388+'№ 6'!S388+№14!S388+'№ 20'!S388+'№ 23'!S388+№27!S388+'№ 31'!S388+'№ 34'!S388+'№ 41'!S388</f>
        <v>0</v>
      </c>
      <c r="T311" s="199">
        <f>SUM(N311:S311)</f>
        <v>0</v>
      </c>
      <c r="U311" s="199">
        <f>T311+L311</f>
        <v>0</v>
      </c>
      <c r="V311" s="199">
        <f>№2!V388+№5!V388+'№ 6'!V388+№14!V388+'№ 20'!V388+'№ 23'!V388+№27!V388+'№ 31'!V388+'№ 34'!V388+'№ 41'!V388</f>
        <v>0</v>
      </c>
      <c r="W311" s="221">
        <f>V311-U311</f>
        <v>0</v>
      </c>
      <c r="X311" s="176">
        <f>U306-U311</f>
        <v>0</v>
      </c>
    </row>
    <row r="312" spans="1:28" s="176" customFormat="1" ht="15.85" hidden="1" customHeight="1">
      <c r="A312" s="595"/>
      <c r="B312" s="576"/>
      <c r="C312" s="577"/>
      <c r="D312" s="201" t="s">
        <v>55</v>
      </c>
      <c r="E312" s="220"/>
      <c r="F312" s="199">
        <f>№2!F389+№5!F389+'№ 6'!F389+№14!F389+'№ 20'!F389+'№ 23'!F389+№27!F389+'№ 31'!F389+'№ 34'!F389+'№ 41'!F389</f>
        <v>0</v>
      </c>
      <c r="G312" s="199">
        <f>№2!G389+№5!G389+'№ 6'!G389+№14!G389+'№ 20'!G389+'№ 23'!G389+№27!G389+'№ 31'!G389+'№ 34'!G389+'№ 41'!G389</f>
        <v>0</v>
      </c>
      <c r="H312" s="199">
        <f>№2!H389+№5!H389+'№ 6'!H389+№14!H389+'№ 20'!H389+'№ 23'!H389+№27!H389+'№ 31'!H389+'№ 34'!H389+'№ 41'!H389</f>
        <v>0</v>
      </c>
      <c r="I312" s="199">
        <f>№2!I389+№5!I389+'№ 6'!I389+№14!I389+'№ 20'!I389+'№ 23'!I389+№27!I389+'№ 31'!I389+'№ 34'!I389+'№ 41'!I389</f>
        <v>0</v>
      </c>
      <c r="J312" s="199">
        <f>№2!J389+№5!J389+'№ 6'!J389+№14!J389+'№ 20'!J389+'№ 23'!J389+№27!J389+'№ 31'!J389+'№ 34'!J389+'№ 41'!J389</f>
        <v>0</v>
      </c>
      <c r="K312" s="199">
        <f>№2!K389+№5!K389+'№ 6'!K389+№14!K389+'№ 20'!K389+'№ 23'!K389+№27!K389+'№ 31'!K389+'№ 34'!K389+'№ 41'!K389</f>
        <v>0</v>
      </c>
      <c r="L312" s="199">
        <f>SUM(F312:K312)</f>
        <v>0</v>
      </c>
      <c r="M312" s="199">
        <f>L312/6</f>
        <v>0</v>
      </c>
      <c r="N312" s="199">
        <f>№2!N389+№5!N389+'№ 6'!N389+№14!N389+'№ 20'!N389+'№ 23'!N389+№27!N389+'№ 31'!N389+'№ 34'!N389+'№ 41'!N389</f>
        <v>0</v>
      </c>
      <c r="O312" s="199">
        <f>№2!O389+№5!O389+'№ 6'!O389+№14!O389+'№ 20'!O389+'№ 23'!O389+№27!O389+'№ 31'!O389+'№ 34'!O389+'№ 41'!O389</f>
        <v>0</v>
      </c>
      <c r="P312" s="199">
        <f>№2!P389+№5!P389+'№ 6'!P389+№14!P389+'№ 20'!P389+'№ 23'!P389+№27!P389+'№ 31'!P389+'№ 34'!P389+'№ 41'!P389</f>
        <v>0</v>
      </c>
      <c r="Q312" s="199">
        <f>№2!Q389+№5!Q389+'№ 6'!Q389+№14!Q389+'№ 20'!Q389+'№ 23'!Q389+№27!Q389+'№ 31'!Q389+'№ 34'!Q389+'№ 41'!Q389</f>
        <v>0</v>
      </c>
      <c r="R312" s="199">
        <f>№2!R389+№5!R389+'№ 6'!R389+№14!R389+'№ 20'!R389+'№ 23'!R389+№27!R389+'№ 31'!R389+'№ 34'!R389+'№ 41'!R389</f>
        <v>0</v>
      </c>
      <c r="S312" s="199">
        <f>№2!S389+№5!S389+'№ 6'!S389+№14!S389+'№ 20'!S389+'№ 23'!S389+№27!S389+'№ 31'!S389+'№ 34'!S389+'№ 41'!S389</f>
        <v>0</v>
      </c>
      <c r="T312" s="199">
        <f>SUM(N312:S312)</f>
        <v>0</v>
      </c>
      <c r="U312" s="199">
        <f>T312+L312</f>
        <v>0</v>
      </c>
      <c r="V312" s="199">
        <f>№2!V389+№5!V389+'№ 6'!V389+№14!V389+'№ 20'!V389+'№ 23'!V389+№27!V389+'№ 31'!V389+'№ 34'!V389+'№ 41'!V389</f>
        <v>0</v>
      </c>
      <c r="W312" s="221">
        <f>V312-U312</f>
        <v>0</v>
      </c>
      <c r="X312" s="176">
        <f>U307-U312</f>
        <v>0</v>
      </c>
    </row>
    <row r="313" spans="1:28" s="176" customFormat="1" ht="15.85" hidden="1" customHeight="1">
      <c r="A313" s="595"/>
      <c r="B313" s="576"/>
      <c r="C313" s="577"/>
      <c r="D313" s="201" t="s">
        <v>24</v>
      </c>
      <c r="E313" s="220"/>
      <c r="F313" s="199">
        <f>№2!F390+№5!F390+'№ 6'!F390+№14!F390+'№ 20'!F390+'№ 23'!F390+№27!F390+'№ 31'!F390+'№ 34'!F390+'№ 41'!F390</f>
        <v>0</v>
      </c>
      <c r="G313" s="199">
        <f>№2!G390+№5!G390+'№ 6'!G390+№14!G390+'№ 20'!G390+'№ 23'!G390+№27!G390+'№ 31'!G390+'№ 34'!G390+'№ 41'!G390</f>
        <v>0</v>
      </c>
      <c r="H313" s="199">
        <f>№2!H390+№5!H390+'№ 6'!H390+№14!H390+'№ 20'!H390+'№ 23'!H390+№27!H390+'№ 31'!H390+'№ 34'!H390+'№ 41'!H390</f>
        <v>0</v>
      </c>
      <c r="I313" s="199">
        <f>№2!I390+№5!I390+'№ 6'!I390+№14!I390+'№ 20'!I390+'№ 23'!I390+№27!I390+'№ 31'!I390+'№ 34'!I390+'№ 41'!I390</f>
        <v>0</v>
      </c>
      <c r="J313" s="199">
        <f>№2!J390+№5!J390+'№ 6'!J390+№14!J390+'№ 20'!J390+'№ 23'!J390+№27!J390+'№ 31'!J390+'№ 34'!J390+'№ 41'!J390</f>
        <v>0</v>
      </c>
      <c r="K313" s="199">
        <f>№2!K390+№5!K390+'№ 6'!K390+№14!K390+'№ 20'!K390+'№ 23'!K390+№27!K390+'№ 31'!K390+'№ 34'!K390+'№ 41'!K390</f>
        <v>0</v>
      </c>
      <c r="L313" s="199">
        <f>SUM(F313:K313)</f>
        <v>0</v>
      </c>
      <c r="M313" s="199">
        <f>L313/6</f>
        <v>0</v>
      </c>
      <c r="N313" s="199">
        <f>№2!N390+№5!N390+'№ 6'!N390+№14!N390+'№ 20'!N390+'№ 23'!N390+№27!N390+'№ 31'!N390+'№ 34'!N390+'№ 41'!N390</f>
        <v>0</v>
      </c>
      <c r="O313" s="199">
        <f>№2!O390+№5!O390+'№ 6'!O390+№14!O390+'№ 20'!O390+'№ 23'!O390+№27!O390+'№ 31'!O390+'№ 34'!O390+'№ 41'!O390</f>
        <v>0</v>
      </c>
      <c r="P313" s="199">
        <f>№2!P390+№5!P390+'№ 6'!P390+№14!P390+'№ 20'!P390+'№ 23'!P390+№27!P390+'№ 31'!P390+'№ 34'!P390+'№ 41'!P390</f>
        <v>0</v>
      </c>
      <c r="Q313" s="199">
        <f>№2!Q390+№5!Q390+'№ 6'!Q390+№14!Q390+'№ 20'!Q390+'№ 23'!Q390+№27!Q390+'№ 31'!Q390+'№ 34'!Q390+'№ 41'!Q390</f>
        <v>0</v>
      </c>
      <c r="R313" s="199">
        <f>№2!R390+№5!R390+'№ 6'!R390+№14!R390+'№ 20'!R390+'№ 23'!R390+№27!R390+'№ 31'!R390+'№ 34'!R390+'№ 41'!R390</f>
        <v>0</v>
      </c>
      <c r="S313" s="199">
        <f>№2!S390+№5!S390+'№ 6'!S390+№14!S390+'№ 20'!S390+'№ 23'!S390+№27!S390+'№ 31'!S390+'№ 34'!S390+'№ 41'!S390</f>
        <v>0</v>
      </c>
      <c r="T313" s="199">
        <f>SUM(N313:S313)</f>
        <v>0</v>
      </c>
      <c r="U313" s="199">
        <f>T313+L313</f>
        <v>0</v>
      </c>
      <c r="V313" s="199">
        <f>№2!V390+№5!V390+'№ 6'!V390+№14!V390+'№ 20'!V390+'№ 23'!V390+№27!V390+'№ 31'!V390+'№ 34'!V390+'№ 41'!V390</f>
        <v>0</v>
      </c>
      <c r="W313" s="221">
        <f>V313-U313</f>
        <v>0</v>
      </c>
      <c r="X313" s="176">
        <f>U308-U313</f>
        <v>0</v>
      </c>
    </row>
    <row r="314" spans="1:28" s="205" customFormat="1" ht="15.85" hidden="1" customHeight="1">
      <c r="A314" s="595"/>
      <c r="B314" s="576"/>
      <c r="C314" s="577"/>
      <c r="D314" s="202" t="s">
        <v>29</v>
      </c>
      <c r="E314" s="203"/>
      <c r="F314" s="203">
        <f t="shared" ref="F314:K314" si="302">F308</f>
        <v>0</v>
      </c>
      <c r="G314" s="203">
        <f t="shared" si="302"/>
        <v>0</v>
      </c>
      <c r="H314" s="203">
        <f t="shared" si="302"/>
        <v>0</v>
      </c>
      <c r="I314" s="203">
        <f t="shared" si="302"/>
        <v>0</v>
      </c>
      <c r="J314" s="203">
        <f t="shared" si="302"/>
        <v>0</v>
      </c>
      <c r="K314" s="203">
        <f t="shared" si="302"/>
        <v>0</v>
      </c>
      <c r="L314" s="203">
        <f>SUM(F314:K314)</f>
        <v>0</v>
      </c>
      <c r="M314" s="203">
        <f>L314/6</f>
        <v>0</v>
      </c>
      <c r="N314" s="203">
        <f t="shared" ref="N314:S314" si="303">N308+N307</f>
        <v>0</v>
      </c>
      <c r="O314" s="203">
        <f t="shared" si="303"/>
        <v>0</v>
      </c>
      <c r="P314" s="203">
        <f t="shared" si="303"/>
        <v>0</v>
      </c>
      <c r="Q314" s="203">
        <f t="shared" si="303"/>
        <v>0</v>
      </c>
      <c r="R314" s="203">
        <f t="shared" si="303"/>
        <v>0</v>
      </c>
      <c r="S314" s="203">
        <f t="shared" si="303"/>
        <v>0</v>
      </c>
      <c r="T314" s="203">
        <f>SUM(N314:S314)</f>
        <v>0</v>
      </c>
      <c r="U314" s="203">
        <f>T314+L314</f>
        <v>0</v>
      </c>
      <c r="V314" s="203">
        <f>V311</f>
        <v>0</v>
      </c>
      <c r="W314" s="203">
        <f>V314-U314</f>
        <v>0</v>
      </c>
    </row>
    <row r="315" spans="1:28" s="205" customFormat="1" ht="15.85" hidden="1" customHeight="1">
      <c r="A315" s="595"/>
      <c r="B315" s="576"/>
      <c r="C315" s="577"/>
      <c r="D315" s="202" t="s">
        <v>30</v>
      </c>
      <c r="E315" s="203"/>
      <c r="F315" s="203">
        <f t="shared" ref="F315:K315" si="304">F311-F314</f>
        <v>0</v>
      </c>
      <c r="G315" s="203">
        <f t="shared" si="304"/>
        <v>0</v>
      </c>
      <c r="H315" s="203">
        <f t="shared" si="304"/>
        <v>0</v>
      </c>
      <c r="I315" s="203">
        <f t="shared" si="304"/>
        <v>0</v>
      </c>
      <c r="J315" s="203">
        <f t="shared" si="304"/>
        <v>0</v>
      </c>
      <c r="K315" s="203">
        <f t="shared" si="304"/>
        <v>0</v>
      </c>
      <c r="L315" s="203"/>
      <c r="M315" s="203"/>
      <c r="N315" s="203">
        <f t="shared" ref="N315:S315" si="305">N311-N314</f>
        <v>0</v>
      </c>
      <c r="O315" s="203">
        <f t="shared" si="305"/>
        <v>0</v>
      </c>
      <c r="P315" s="203">
        <f t="shared" si="305"/>
        <v>0</v>
      </c>
      <c r="Q315" s="203">
        <f t="shared" si="305"/>
        <v>0</v>
      </c>
      <c r="R315" s="203">
        <f t="shared" si="305"/>
        <v>0</v>
      </c>
      <c r="S315" s="203">
        <f t="shared" si="305"/>
        <v>0</v>
      </c>
      <c r="T315" s="203"/>
      <c r="U315" s="203"/>
      <c r="V315" s="203"/>
      <c r="W315" s="203"/>
    </row>
    <row r="316" spans="1:28" s="205" customFormat="1" ht="15.85" hidden="1" customHeight="1">
      <c r="A316" s="595"/>
      <c r="B316" s="578"/>
      <c r="C316" s="579"/>
      <c r="D316" s="202" t="s">
        <v>31</v>
      </c>
      <c r="E316" s="203"/>
      <c r="F316" s="203">
        <f>F315</f>
        <v>0</v>
      </c>
      <c r="G316" s="203">
        <f>G315+F316</f>
        <v>0</v>
      </c>
      <c r="H316" s="203">
        <f>H315+G316</f>
        <v>0</v>
      </c>
      <c r="I316" s="203">
        <f>I315+H316</f>
        <v>0</v>
      </c>
      <c r="J316" s="203">
        <f>J315+I316</f>
        <v>0</v>
      </c>
      <c r="K316" s="203">
        <f>K315+J316</f>
        <v>0</v>
      </c>
      <c r="L316" s="203"/>
      <c r="M316" s="203"/>
      <c r="N316" s="203">
        <f>N315+K316</f>
        <v>0</v>
      </c>
      <c r="O316" s="203">
        <f>O315+N316</f>
        <v>0</v>
      </c>
      <c r="P316" s="203">
        <f>P315+O316</f>
        <v>0</v>
      </c>
      <c r="Q316" s="203">
        <f>Q315+P316</f>
        <v>0</v>
      </c>
      <c r="R316" s="203">
        <f>R315+Q316</f>
        <v>0</v>
      </c>
      <c r="S316" s="203">
        <f>S315+R316</f>
        <v>0</v>
      </c>
      <c r="T316" s="203"/>
      <c r="U316" s="203"/>
      <c r="V316" s="203"/>
      <c r="W316" s="203"/>
    </row>
    <row r="317" spans="1:28" s="237" customFormat="1" ht="19.600000000000001" hidden="1" customHeight="1">
      <c r="A317" s="595"/>
      <c r="B317" s="580" t="s">
        <v>38</v>
      </c>
      <c r="C317" s="575"/>
      <c r="D317" s="178" t="s">
        <v>105</v>
      </c>
      <c r="E317" s="179"/>
      <c r="F317" s="180">
        <f>№2!F394+№5!F394+'№ 6'!F394+№14!F394+'№ 20'!F394+'№ 23'!F394+№27!F394+'№ 31'!F394+'№ 34'!F394+'№ 41'!F394</f>
        <v>0</v>
      </c>
      <c r="G317" s="180">
        <f>№2!G394+№5!G394+'№ 6'!G394+№14!G394+'№ 20'!G394+'№ 23'!G394+№27!G394+'№ 31'!G394+'№ 34'!G394+'№ 41'!G394</f>
        <v>0</v>
      </c>
      <c r="H317" s="180">
        <f>№2!H394+№5!H394+'№ 6'!H394+№14!H394+'№ 20'!H394+'№ 23'!H394+№27!H394+'№ 31'!H394+'№ 34'!H394+'№ 41'!H394</f>
        <v>0</v>
      </c>
      <c r="I317" s="180">
        <f>№2!I394+№5!I394+'№ 6'!I394+№14!I394+'№ 20'!I394+'№ 23'!I394+№27!I394+'№ 31'!I394+'№ 34'!I394+'№ 41'!I394</f>
        <v>0</v>
      </c>
      <c r="J317" s="180">
        <f>№2!J394+№5!J394+'№ 6'!J394+№14!J394+'№ 20'!J394+'№ 23'!J394+№27!J394+'№ 31'!J394+'№ 34'!J394+'№ 41'!J394</f>
        <v>0</v>
      </c>
      <c r="K317" s="180">
        <f>№2!K394+№5!K394+'№ 6'!K394+№14!K394+'№ 20'!K394+'№ 23'!K394+№27!K394+'№ 31'!K394+'№ 34'!K394+'№ 41'!K394</f>
        <v>0</v>
      </c>
      <c r="L317" s="215">
        <f>SUM(F317:K317)</f>
        <v>0</v>
      </c>
      <c r="M317" s="215">
        <f>L317/6</f>
        <v>0</v>
      </c>
      <c r="N317" s="180">
        <f>№2!N394+№5!N394+'№ 6'!N394+№14!N394+'№ 20'!N394+'№ 23'!N394+№27!N394+'№ 31'!N394+'№ 34'!N394+'№ 41'!N394</f>
        <v>0</v>
      </c>
      <c r="O317" s="180">
        <f>№2!O394+№5!O394+'№ 6'!O394+№14!O394+'№ 20'!O394+'№ 23'!O394+№27!O394+'№ 31'!O394+'№ 34'!O394+'№ 41'!O394</f>
        <v>0</v>
      </c>
      <c r="P317" s="180">
        <f>№2!P394+№5!P394+'№ 6'!P394+№14!P394+'№ 20'!P394+'№ 23'!P394+№27!P394+'№ 31'!P394+'№ 34'!P394+'№ 41'!P394</f>
        <v>13</v>
      </c>
      <c r="Q317" s="180">
        <f>№2!Q394+№5!Q394+'№ 6'!Q394+№14!Q394+'№ 20'!Q394+'№ 23'!Q394+№27!Q394+'№ 31'!Q394+'№ 34'!Q394+'№ 41'!Q394</f>
        <v>23</v>
      </c>
      <c r="R317" s="180">
        <f>№2!R394+№5!R394+'№ 6'!R394+№14!R394+'№ 20'!R394+'№ 23'!R394+№27!R394+'№ 31'!R394+'№ 34'!R394+'№ 41'!R394</f>
        <v>50</v>
      </c>
      <c r="S317" s="180">
        <f>№2!S394+№5!S394+'№ 6'!S394+№14!S394+'№ 20'!S394+'№ 23'!S394+№27!S394+'№ 31'!S394+'№ 34'!S394+'№ 41'!S394</f>
        <v>50</v>
      </c>
      <c r="T317" s="215">
        <f>SUM(N317:S317)</f>
        <v>136</v>
      </c>
      <c r="U317" s="215">
        <f>T317+L317</f>
        <v>136</v>
      </c>
      <c r="V317" s="233">
        <f>№2!V394+№5!V394+'№ 6'!V394+№14!V394+'№ 20'!V394+'№ 23'!V394+№27!V394+'№ 31'!V394+'№ 34'!V394+'№ 41'!V394</f>
        <v>0</v>
      </c>
      <c r="W317" s="184"/>
      <c r="X317" s="209"/>
      <c r="Y317" s="157"/>
      <c r="Z317" s="157"/>
      <c r="AA317" s="157"/>
      <c r="AB317" s="157"/>
    </row>
    <row r="318" spans="1:28" s="186" customFormat="1" ht="19.600000000000001" hidden="1" customHeight="1">
      <c r="A318" s="595"/>
      <c r="B318" s="576"/>
      <c r="C318" s="577"/>
      <c r="D318" s="178" t="s">
        <v>109</v>
      </c>
      <c r="E318" s="179"/>
      <c r="F318" s="180">
        <f>№2!F395+№5!F395+'№ 6'!F395+№14!F395+'№ 20'!F395+'№ 23'!F395+№27!F395+'№ 31'!F395+'№ 34'!F395+'№ 41'!F395</f>
        <v>0</v>
      </c>
      <c r="G318" s="180">
        <f>№2!G395+№5!G395+'№ 6'!G395+№14!G395+'№ 20'!G395+'№ 23'!G395+№27!G395+'№ 31'!G395+'№ 34'!G395+'№ 41'!G395</f>
        <v>0</v>
      </c>
      <c r="H318" s="180">
        <f>№2!H395+№5!H395+'№ 6'!H395+№14!H395+'№ 20'!H395+'№ 23'!H395+№27!H395+'№ 31'!H395+'№ 34'!H395+'№ 41'!H395</f>
        <v>0</v>
      </c>
      <c r="I318" s="180">
        <f>№2!I395+№5!I395+'№ 6'!I395+№14!I395+'№ 20'!I395+'№ 23'!I395+№27!I395+'№ 31'!I395+'№ 34'!I395+'№ 41'!I395</f>
        <v>0</v>
      </c>
      <c r="J318" s="180">
        <f>№2!J395+№5!J395+'№ 6'!J395+№14!J395+'№ 20'!J395+'№ 23'!J395+№27!J395+'№ 31'!J395+'№ 34'!J395+'№ 41'!J395</f>
        <v>0</v>
      </c>
      <c r="K318" s="180">
        <f>№2!K395+№5!K395+'№ 6'!K395+№14!K395+'№ 20'!K395+'№ 23'!K395+№27!K395+'№ 31'!K395+'№ 34'!K395+'№ 41'!K395</f>
        <v>0</v>
      </c>
      <c r="L318" s="215">
        <f>SUM(F318:K318)</f>
        <v>0</v>
      </c>
      <c r="M318" s="215">
        <f>L318/6</f>
        <v>0</v>
      </c>
      <c r="N318" s="180">
        <f>№2!N395+№5!N395+'№ 6'!N395+№14!N395+'№ 20'!N395+'№ 23'!N395+№27!N395+'№ 31'!N395+'№ 34'!N395+'№ 41'!N395</f>
        <v>0</v>
      </c>
      <c r="O318" s="180">
        <f>№2!O395+№5!O395+'№ 6'!O395+№14!O395+'№ 20'!O395+'№ 23'!O395+№27!O395+'№ 31'!O395+'№ 34'!O395+'№ 41'!O395</f>
        <v>0</v>
      </c>
      <c r="P318" s="180">
        <f>№2!P395+№5!P395+'№ 6'!P395+№14!P395+'№ 20'!P395+'№ 23'!P395+№27!P395+'№ 31'!P395+'№ 34'!P395+'№ 41'!P395</f>
        <v>0</v>
      </c>
      <c r="Q318" s="180">
        <f>№2!Q395+№5!Q395+'№ 6'!Q395+№14!Q395+'№ 20'!Q395+'№ 23'!Q395+№27!Q395+'№ 31'!Q395+'№ 34'!Q395+'№ 41'!Q395</f>
        <v>0</v>
      </c>
      <c r="R318" s="180">
        <f>№2!R395+№5!R395+'№ 6'!R395+№14!R395+'№ 20'!R395+'№ 23'!R395+№27!R395+'№ 31'!R395+'№ 34'!R395+'№ 41'!R395</f>
        <v>0</v>
      </c>
      <c r="S318" s="180">
        <f>№2!S395+№5!S395+'№ 6'!S395+№14!S395+'№ 20'!S395+'№ 23'!S395+№27!S395+'№ 31'!S395+'№ 34'!S395+'№ 41'!S395</f>
        <v>0</v>
      </c>
      <c r="T318" s="215">
        <f>SUM(N318:S318)</f>
        <v>0</v>
      </c>
      <c r="U318" s="215">
        <f>T318+L318</f>
        <v>0</v>
      </c>
      <c r="V318" s="233">
        <f>№2!V395+№5!V395+'№ 6'!V395+№14!V395+'№ 20'!V395+'№ 23'!V395+№27!V395+'№ 31'!V395+'№ 34'!V395+'№ 41'!V395</f>
        <v>0</v>
      </c>
      <c r="W318" s="184"/>
      <c r="X318" s="185"/>
    </row>
    <row r="319" spans="1:28" s="237" customFormat="1" ht="19.600000000000001" hidden="1" customHeight="1">
      <c r="A319" s="595"/>
      <c r="B319" s="576"/>
      <c r="C319" s="577"/>
      <c r="D319" s="178" t="s">
        <v>116</v>
      </c>
      <c r="E319" s="179"/>
      <c r="F319" s="180">
        <f>№2!F396+№5!F396+'№ 6'!F396+№14!F396+'№ 20'!F396+'№ 23'!F396+№27!F396+'№ 31'!F396+'№ 34'!F396+'№ 41'!F396</f>
        <v>0</v>
      </c>
      <c r="G319" s="180">
        <f>№2!G396+№5!G396+'№ 6'!G396+№14!G396+'№ 20'!G396+'№ 23'!G396+№27!G396+'№ 31'!G396+'№ 34'!G396+'№ 41'!G396</f>
        <v>0</v>
      </c>
      <c r="H319" s="180">
        <f>№2!H396+№5!H396+'№ 6'!H396+№14!H396+'№ 20'!H396+'№ 23'!H396+№27!H396+'№ 31'!H396+'№ 34'!H396+'№ 41'!H396</f>
        <v>0</v>
      </c>
      <c r="I319" s="180">
        <f>№2!I396+№5!I396+'№ 6'!I396+№14!I396+'№ 20'!I396+'№ 23'!I396+№27!I396+'№ 31'!I396+'№ 34'!I396+'№ 41'!I396</f>
        <v>0</v>
      </c>
      <c r="J319" s="180">
        <f>№2!J396+№5!J396+'№ 6'!J396+№14!J396+'№ 20'!J396+'№ 23'!J396+№27!J396+'№ 31'!J396+'№ 34'!J396+'№ 41'!J396</f>
        <v>0</v>
      </c>
      <c r="K319" s="180">
        <f>№2!K396+№5!K396+'№ 6'!K396+№14!K396+'№ 20'!K396+'№ 23'!K396+№27!K396+'№ 31'!K396+'№ 34'!K396+'№ 41'!K396</f>
        <v>0</v>
      </c>
      <c r="L319" s="215">
        <f>SUM(F319:K319)</f>
        <v>0</v>
      </c>
      <c r="M319" s="215">
        <f>L319/6</f>
        <v>0</v>
      </c>
      <c r="N319" s="180">
        <f>№2!N396+№5!N396+'№ 6'!N396+№14!N396+'№ 20'!N396+'№ 23'!N396+№27!N396+'№ 31'!N396+'№ 34'!N396+'№ 41'!N396</f>
        <v>0</v>
      </c>
      <c r="O319" s="180">
        <f>№2!O396+№5!O396+'№ 6'!O396+№14!O396+'№ 20'!O396+'№ 23'!O396+№27!O396+'№ 31'!O396+'№ 34'!O396+'№ 41'!O396</f>
        <v>0</v>
      </c>
      <c r="P319" s="180">
        <f>№2!P396+№5!P396+'№ 6'!P396+№14!P396+'№ 20'!P396+'№ 23'!P396+№27!P396+'№ 31'!P396+'№ 34'!P396+'№ 41'!P396</f>
        <v>0</v>
      </c>
      <c r="Q319" s="180">
        <f>№2!Q396+№5!Q396+'№ 6'!Q396+№14!Q396+'№ 20'!Q396+'№ 23'!Q396+№27!Q396+'№ 31'!Q396+'№ 34'!Q396+'№ 41'!Q396</f>
        <v>0</v>
      </c>
      <c r="R319" s="180">
        <f>№2!R396+№5!R396+'№ 6'!R396+№14!R396+'№ 20'!R396+'№ 23'!R396+№27!R396+'№ 31'!R396+'№ 34'!R396+'№ 41'!R396</f>
        <v>0</v>
      </c>
      <c r="S319" s="180">
        <f>№2!S396+№5!S396+'№ 6'!S396+№14!S396+'№ 20'!S396+'№ 23'!S396+№27!S396+'№ 31'!S396+'№ 34'!S396+'№ 41'!S396</f>
        <v>0</v>
      </c>
      <c r="T319" s="215">
        <f>SUM(N319:S319)</f>
        <v>0</v>
      </c>
      <c r="U319" s="215">
        <f>T319+L319</f>
        <v>0</v>
      </c>
      <c r="V319" s="180">
        <f>№2!V396+№5!V396+'№ 6'!V396+№14!V396+'№ 20'!V396+'№ 23'!V396+№27!V396+'№ 31'!V396+'№ 34'!V396+'№ 41'!V396</f>
        <v>0</v>
      </c>
      <c r="W319" s="184">
        <f>V319-U319</f>
        <v>0</v>
      </c>
      <c r="X319" s="209"/>
      <c r="Y319" s="157"/>
      <c r="Z319" s="157"/>
      <c r="AA319" s="157"/>
      <c r="AB319" s="157"/>
    </row>
    <row r="320" spans="1:28" s="173" customFormat="1" ht="19.600000000000001" hidden="1" customHeight="1">
      <c r="A320" s="595"/>
      <c r="B320" s="576"/>
      <c r="C320" s="577"/>
      <c r="D320" s="187" t="s">
        <v>27</v>
      </c>
      <c r="E320" s="188"/>
      <c r="F320" s="188" t="e">
        <f t="shared" ref="F320:K320" si="306">F321*1000/F319</f>
        <v>#DIV/0!</v>
      </c>
      <c r="G320" s="188" t="e">
        <f t="shared" si="306"/>
        <v>#DIV/0!</v>
      </c>
      <c r="H320" s="188" t="e">
        <f t="shared" si="306"/>
        <v>#DIV/0!</v>
      </c>
      <c r="I320" s="188" t="e">
        <f t="shared" si="306"/>
        <v>#DIV/0!</v>
      </c>
      <c r="J320" s="188" t="e">
        <f t="shared" si="306"/>
        <v>#DIV/0!</v>
      </c>
      <c r="K320" s="188" t="e">
        <f t="shared" si="306"/>
        <v>#DIV/0!</v>
      </c>
      <c r="L320" s="217" t="e">
        <f>L321/L319*1000</f>
        <v>#DIV/0!</v>
      </c>
      <c r="M320" s="217" t="e">
        <f>M321/M319*1000</f>
        <v>#DIV/0!</v>
      </c>
      <c r="N320" s="188" t="e">
        <f t="shared" ref="N320:S320" si="307">N321*1000/N319</f>
        <v>#DIV/0!</v>
      </c>
      <c r="O320" s="188" t="e">
        <f t="shared" si="307"/>
        <v>#DIV/0!</v>
      </c>
      <c r="P320" s="188" t="e">
        <f t="shared" si="307"/>
        <v>#DIV/0!</v>
      </c>
      <c r="Q320" s="188" t="e">
        <f t="shared" si="307"/>
        <v>#DIV/0!</v>
      </c>
      <c r="R320" s="188" t="e">
        <f t="shared" si="307"/>
        <v>#DIV/0!</v>
      </c>
      <c r="S320" s="188" t="e">
        <f t="shared" si="307"/>
        <v>#DIV/0!</v>
      </c>
      <c r="T320" s="217" t="e">
        <f>T321/T319*1000</f>
        <v>#DIV/0!</v>
      </c>
      <c r="U320" s="217" t="e">
        <f>U321/U319*1000</f>
        <v>#DIV/0!</v>
      </c>
      <c r="V320" s="218" t="e">
        <f t="shared" ref="V320" si="308">V321*1000/V319</f>
        <v>#DIV/0!</v>
      </c>
      <c r="W320" s="189" t="e">
        <f>W321/W319*1000</f>
        <v>#DIV/0!</v>
      </c>
      <c r="X320" s="185"/>
      <c r="Y320" s="157"/>
      <c r="Z320" s="157"/>
      <c r="AA320" s="157"/>
      <c r="AB320" s="157"/>
    </row>
    <row r="321" spans="1:28" s="173" customFormat="1" ht="19.600000000000001" hidden="1" customHeight="1">
      <c r="A321" s="595"/>
      <c r="B321" s="576"/>
      <c r="C321" s="577"/>
      <c r="D321" s="191" t="s">
        <v>0</v>
      </c>
      <c r="E321" s="192"/>
      <c r="F321" s="192">
        <f>№2!F398+№5!F398+'№ 6'!F398+№14!F398+'№ 20'!F398+'№ 23'!F398+№27!F398+'№ 31'!F398+'№ 34'!F398+'№ 41'!F398</f>
        <v>0</v>
      </c>
      <c r="G321" s="192">
        <f>№2!G398+№5!G398+'№ 6'!G398+№14!G398+'№ 20'!G398+'№ 23'!G398+№27!G398+'№ 31'!G398+'№ 34'!G398+'№ 41'!G398</f>
        <v>0</v>
      </c>
      <c r="H321" s="192">
        <f>№2!H398+№5!H398+'№ 6'!H398+№14!H398+'№ 20'!H398+'№ 23'!H398+№27!H398+'№ 31'!H398+'№ 34'!H398+'№ 41'!H398</f>
        <v>0</v>
      </c>
      <c r="I321" s="192">
        <f>№2!I398+№5!I398+'№ 6'!I398+№14!I398+'№ 20'!I398+'№ 23'!I398+№27!I398+'№ 31'!I398+'№ 34'!I398+'№ 41'!I398</f>
        <v>0</v>
      </c>
      <c r="J321" s="192">
        <f>№2!J398+№5!J398+'№ 6'!J398+№14!J398+'№ 20'!J398+'№ 23'!J398+№27!J398+'№ 31'!J398+'№ 34'!J398+'№ 41'!J398</f>
        <v>0</v>
      </c>
      <c r="K321" s="192">
        <f>№2!K398+№5!K398+'№ 6'!K398+№14!K398+'№ 20'!K398+'№ 23'!K398+№27!K398+'№ 31'!K398+'№ 34'!K398+'№ 41'!K398</f>
        <v>0</v>
      </c>
      <c r="L321" s="194">
        <f>SUM(F321:K321)</f>
        <v>0</v>
      </c>
      <c r="M321" s="194">
        <f>L321/6</f>
        <v>0</v>
      </c>
      <c r="N321" s="192">
        <f>№2!N398+№5!N398+'№ 6'!N398+№14!N398+'№ 20'!N398+'№ 23'!N398+№27!N398+'№ 31'!N398+'№ 34'!N398+'№ 41'!N398</f>
        <v>0</v>
      </c>
      <c r="O321" s="192">
        <f>№2!O398+№5!O398+'№ 6'!O398+№14!O398+'№ 20'!O398+'№ 23'!O398+№27!O398+'№ 31'!O398+'№ 34'!O398+'№ 41'!O398</f>
        <v>0</v>
      </c>
      <c r="P321" s="192">
        <f>№2!P398+№5!P398+'№ 6'!P398+№14!P398+'№ 20'!P398+'№ 23'!P398+№27!P398+'№ 31'!P398+'№ 34'!P398+'№ 41'!P398</f>
        <v>0</v>
      </c>
      <c r="Q321" s="192">
        <f>№2!Q398+№5!Q398+'№ 6'!Q398+№14!Q398+'№ 20'!Q398+'№ 23'!Q398+№27!Q398+'№ 31'!Q398+'№ 34'!Q398+'№ 41'!Q398</f>
        <v>0</v>
      </c>
      <c r="R321" s="192">
        <f>№2!R398+№5!R398+'№ 6'!R398+№14!R398+'№ 20'!R398+'№ 23'!R398+№27!R398+'№ 31'!R398+'№ 34'!R398+'№ 41'!R398</f>
        <v>0</v>
      </c>
      <c r="S321" s="192">
        <f>№2!S398+№5!S398+'№ 6'!S398+№14!S398+'№ 20'!S398+'№ 23'!S398+№27!S398+'№ 31'!S398+'№ 34'!S398+'№ 41'!S398</f>
        <v>0</v>
      </c>
      <c r="T321" s="194">
        <f>SUM(N321:S321)</f>
        <v>0</v>
      </c>
      <c r="U321" s="194">
        <f>T321+L321</f>
        <v>0</v>
      </c>
      <c r="V321" s="194">
        <f>№2!V398+№5!V398+'№ 6'!V398+№14!V398+'№ 20'!V398+'№ 23'!V398+№27!V398+'№ 31'!V398+'№ 34'!V398+'№ 41'!V398</f>
        <v>0</v>
      </c>
      <c r="W321" s="193">
        <f>V321-U321</f>
        <v>0</v>
      </c>
      <c r="X321" s="172"/>
    </row>
    <row r="322" spans="1:28" s="173" customFormat="1" ht="19.600000000000001" hidden="1" customHeight="1">
      <c r="A322" s="595"/>
      <c r="B322" s="576"/>
      <c r="C322" s="577"/>
      <c r="D322" s="174" t="s">
        <v>55</v>
      </c>
      <c r="E322" s="210"/>
      <c r="F322" s="192">
        <f>№2!F399+№5!F399+'№ 6'!F399+№14!F399+'№ 20'!F399+'№ 23'!F399+№27!F399+'№ 31'!F399+'№ 34'!F399+'№ 41'!F399</f>
        <v>0</v>
      </c>
      <c r="G322" s="192">
        <f>№2!G399+№5!G399+'№ 6'!G399+№14!G399+'№ 20'!G399+'№ 23'!G399+№27!G399+'№ 31'!G399+'№ 34'!G399+'№ 41'!G399</f>
        <v>0</v>
      </c>
      <c r="H322" s="192">
        <f>№2!H399+№5!H399+'№ 6'!H399+№14!H399+'№ 20'!H399+'№ 23'!H399+№27!H399+'№ 31'!H399+'№ 34'!H399+'№ 41'!H399</f>
        <v>0</v>
      </c>
      <c r="I322" s="192">
        <f>№2!I399+№5!I399+'№ 6'!I399+№14!I399+'№ 20'!I399+'№ 23'!I399+№27!I399+'№ 31'!I399+'№ 34'!I399+'№ 41'!I399</f>
        <v>0</v>
      </c>
      <c r="J322" s="192">
        <f>№2!J399+№5!J399+'№ 6'!J399+№14!J399+'№ 20'!J399+'№ 23'!J399+№27!J399+'№ 31'!J399+'№ 34'!J399+'№ 41'!J399</f>
        <v>0</v>
      </c>
      <c r="K322" s="192">
        <f>№2!K399+№5!K399+'№ 6'!K399+№14!K399+'№ 20'!K399+'№ 23'!K399+№27!K399+'№ 31'!K399+'№ 34'!K399+'№ 41'!K399</f>
        <v>0</v>
      </c>
      <c r="L322" s="194">
        <f>SUM(F322:K322)</f>
        <v>0</v>
      </c>
      <c r="M322" s="194">
        <f>L322/6</f>
        <v>0</v>
      </c>
      <c r="N322" s="192">
        <f>№2!N399+№5!N399+'№ 6'!N399+№14!N399+'№ 20'!N399+'№ 23'!N399+№27!N399+'№ 31'!N399+'№ 34'!N399+'№ 41'!N399</f>
        <v>0</v>
      </c>
      <c r="O322" s="192">
        <f>№2!O399+№5!O399+'№ 6'!O399+№14!O399+'№ 20'!O399+'№ 23'!O399+№27!O399+'№ 31'!O399+'№ 34'!O399+'№ 41'!O399</f>
        <v>0</v>
      </c>
      <c r="P322" s="192">
        <f>№2!P399+№5!P399+'№ 6'!P399+№14!P399+'№ 20'!P399+'№ 23'!P399+№27!P399+'№ 31'!P399+'№ 34'!P399+'№ 41'!P399</f>
        <v>0</v>
      </c>
      <c r="Q322" s="192">
        <f>№2!Q399+№5!Q399+'№ 6'!Q399+№14!Q399+'№ 20'!Q399+'№ 23'!Q399+№27!Q399+'№ 31'!Q399+'№ 34'!Q399+'№ 41'!Q399</f>
        <v>0</v>
      </c>
      <c r="R322" s="192">
        <f>№2!R399+№5!R399+'№ 6'!R399+№14!R399+'№ 20'!R399+'№ 23'!R399+№27!R399+'№ 31'!R399+'№ 34'!R399+'№ 41'!R399</f>
        <v>0</v>
      </c>
      <c r="S322" s="192">
        <f>№2!S399+№5!S399+'№ 6'!S399+№14!S399+'№ 20'!S399+'№ 23'!S399+№27!S399+'№ 31'!S399+'№ 34'!S399+'№ 41'!S399</f>
        <v>0</v>
      </c>
      <c r="T322" s="194">
        <f>SUM(N322:S322)</f>
        <v>0</v>
      </c>
      <c r="U322" s="194">
        <f>T322+L322</f>
        <v>0</v>
      </c>
      <c r="V322" s="194">
        <f>№2!V399+№5!V399+'№ 6'!V399+№14!V399+'№ 20'!V399+'№ 23'!V399+№27!V399+'№ 31'!V399+'№ 34'!V399+'№ 41'!V399</f>
        <v>0</v>
      </c>
      <c r="W322" s="193">
        <f>V322-U322</f>
        <v>0</v>
      </c>
      <c r="X322" s="172"/>
    </row>
    <row r="323" spans="1:28" s="173" customFormat="1" ht="19.600000000000001" hidden="1" customHeight="1">
      <c r="A323" s="595"/>
      <c r="B323" s="576"/>
      <c r="C323" s="577"/>
      <c r="D323" s="174" t="s">
        <v>28</v>
      </c>
      <c r="E323" s="210"/>
      <c r="F323" s="192">
        <f>№2!F400+№5!F400+'№ 6'!F400+№14!F400+'№ 20'!F400+'№ 23'!F400+№27!F400+'№ 31'!F400+'№ 34'!F400+'№ 41'!F400</f>
        <v>0</v>
      </c>
      <c r="G323" s="192">
        <f>№2!G400+№5!G400+'№ 6'!G400+№14!G400+'№ 20'!G400+'№ 23'!G400+№27!G400+'№ 31'!G400+'№ 34'!G400+'№ 41'!G400</f>
        <v>0</v>
      </c>
      <c r="H323" s="192">
        <f>№2!H400+№5!H400+'№ 6'!H400+№14!H400+'№ 20'!H400+'№ 23'!H400+№27!H400+'№ 31'!H400+'№ 34'!H400+'№ 41'!H400</f>
        <v>0</v>
      </c>
      <c r="I323" s="192">
        <f>№2!I400+№5!I400+'№ 6'!I400+№14!I400+'№ 20'!I400+'№ 23'!I400+№27!I400+'№ 31'!I400+'№ 34'!I400+'№ 41'!I400</f>
        <v>0</v>
      </c>
      <c r="J323" s="192">
        <f>№2!J400+№5!J400+'№ 6'!J400+№14!J400+'№ 20'!J400+'№ 23'!J400+№27!J400+'№ 31'!J400+'№ 34'!J400+'№ 41'!J400</f>
        <v>0</v>
      </c>
      <c r="K323" s="192">
        <f>№2!K400+№5!K400+'№ 6'!K400+№14!K400+'№ 20'!K400+'№ 23'!K400+№27!K400+'№ 31'!K400+'№ 34'!K400+'№ 41'!K400</f>
        <v>0</v>
      </c>
      <c r="L323" s="194">
        <f>SUM(F323:K323)</f>
        <v>0</v>
      </c>
      <c r="M323" s="194">
        <f>L323/6</f>
        <v>0</v>
      </c>
      <c r="N323" s="192">
        <f>№2!N400+№5!N400+'№ 6'!N400+№14!N400+'№ 20'!N400+'№ 23'!N400+№27!N400+'№ 31'!N400+'№ 34'!N400+'№ 41'!N400</f>
        <v>0</v>
      </c>
      <c r="O323" s="192">
        <f>№2!O400+№5!O400+'№ 6'!O400+№14!O400+'№ 20'!O400+'№ 23'!O400+№27!O400+'№ 31'!O400+'№ 34'!O400+'№ 41'!O400</f>
        <v>0</v>
      </c>
      <c r="P323" s="192">
        <f>№2!P400+№5!P400+'№ 6'!P400+№14!P400+'№ 20'!P400+'№ 23'!P400+№27!P400+'№ 31'!P400+'№ 34'!P400+'№ 41'!P400</f>
        <v>0</v>
      </c>
      <c r="Q323" s="192">
        <f>№2!Q400+№5!Q400+'№ 6'!Q400+№14!Q400+'№ 20'!Q400+'№ 23'!Q400+№27!Q400+'№ 31'!Q400+'№ 34'!Q400+'№ 41'!Q400</f>
        <v>0</v>
      </c>
      <c r="R323" s="192">
        <f>№2!R400+№5!R400+'№ 6'!R400+№14!R400+'№ 20'!R400+'№ 23'!R400+№27!R400+'№ 31'!R400+'№ 34'!R400+'№ 41'!R400</f>
        <v>0</v>
      </c>
      <c r="S323" s="192">
        <f>№2!S400+№5!S400+'№ 6'!S400+№14!S400+'№ 20'!S400+'№ 23'!S400+№27!S400+'№ 31'!S400+'№ 34'!S400+'№ 41'!S400</f>
        <v>0</v>
      </c>
      <c r="T323" s="194">
        <f>SUM(N323:S323)</f>
        <v>0</v>
      </c>
      <c r="U323" s="194">
        <f>T323+L323</f>
        <v>0</v>
      </c>
      <c r="V323" s="194">
        <f>№2!V400+№5!V400+'№ 6'!V400+№14!V400+'№ 20'!V400+'№ 23'!V400+№27!V400+'№ 31'!V400+'№ 34'!V400+'№ 41'!V400</f>
        <v>0</v>
      </c>
      <c r="W323" s="193">
        <f>V323-U323</f>
        <v>0</v>
      </c>
      <c r="X323" s="172"/>
    </row>
    <row r="324" spans="1:28" s="157" customFormat="1" ht="19.600000000000001" hidden="1" customHeight="1">
      <c r="A324" s="595"/>
      <c r="B324" s="576"/>
      <c r="C324" s="577"/>
      <c r="D324" s="178" t="s">
        <v>117</v>
      </c>
      <c r="E324" s="179">
        <f>№2!E401+№5!E401+'№ 6'!E401+№14!E401+'№ 20'!E401+'№ 23'!E401+№27!E401+'№ 31'!E401+'№ 34'!E401+'№ 41'!E401</f>
        <v>0</v>
      </c>
      <c r="F324" s="179">
        <f>№2!F401+№5!F401+'№ 6'!F401+№14!F401+'№ 20'!F401+'№ 23'!F401+№27!F401+'№ 31'!F401+'№ 34'!F401+'№ 41'!F401</f>
        <v>0</v>
      </c>
      <c r="G324" s="179">
        <f>№2!G401+№5!G401+'№ 6'!G401+№14!G401+'№ 20'!G401+'№ 23'!G401+№27!G401+'№ 31'!G401+'№ 34'!G401+'№ 41'!G401</f>
        <v>0</v>
      </c>
      <c r="H324" s="179">
        <f>№2!H401+№5!H401+'№ 6'!H401+№14!H401+'№ 20'!H401+'№ 23'!H401+№27!H401+'№ 31'!H401+'№ 34'!H401+'№ 41'!H401</f>
        <v>0</v>
      </c>
      <c r="I324" s="179">
        <f>№2!I401+№5!I401+'№ 6'!I401+№14!I401+'№ 20'!I401+'№ 23'!I401+№27!I401+'№ 31'!I401+'№ 34'!I401+'№ 41'!I401</f>
        <v>0</v>
      </c>
      <c r="J324" s="179">
        <f>№2!J401+№5!J401+'№ 6'!J401+№14!J401+'№ 20'!J401+'№ 23'!J401+№27!J401+'№ 31'!J401+'№ 34'!J401+'№ 41'!J401</f>
        <v>0</v>
      </c>
      <c r="K324" s="179">
        <f>№2!K401+№5!K401+'№ 6'!K401+№14!K401+'№ 20'!K401+'№ 23'!K401+№27!K401+'№ 31'!K401+'№ 34'!K401+'№ 41'!K401</f>
        <v>0</v>
      </c>
      <c r="L324" s="215">
        <f>SUM(F324:K324)</f>
        <v>0</v>
      </c>
      <c r="M324" s="215">
        <f>L324/6</f>
        <v>0</v>
      </c>
      <c r="N324" s="179">
        <f>№2!N401+№5!N401+'№ 6'!N401+№14!N401+'№ 20'!N401+'№ 23'!N401+№27!N401+'№ 31'!N401+'№ 34'!N401+'№ 41'!N401</f>
        <v>0</v>
      </c>
      <c r="O324" s="179">
        <f>№2!O401+№5!O401+'№ 6'!O401+№14!O401+'№ 20'!O401+'№ 23'!O401+№27!O401+'№ 31'!O401+'№ 34'!O401+'№ 41'!O401</f>
        <v>0</v>
      </c>
      <c r="P324" s="179">
        <f>№2!P401+№5!P401+'№ 6'!P401+№14!P401+'№ 20'!P401+'№ 23'!P401+№27!P401+'№ 31'!P401+'№ 34'!P401+'№ 41'!P401</f>
        <v>0</v>
      </c>
      <c r="Q324" s="179">
        <f>№2!Q401+№5!Q401+'№ 6'!Q401+№14!Q401+'№ 20'!Q401+'№ 23'!Q401+№27!Q401+'№ 31'!Q401+'№ 34'!Q401+'№ 41'!Q401</f>
        <v>0</v>
      </c>
      <c r="R324" s="179">
        <f>№2!R401+№5!R401+'№ 6'!R401+№14!R401+'№ 20'!R401+'№ 23'!R401+№27!R401+'№ 31'!R401+'№ 34'!R401+'№ 41'!R401</f>
        <v>0</v>
      </c>
      <c r="S324" s="179">
        <f>№2!S401+№5!S401+'№ 6'!S401+№14!S401+'№ 20'!S401+'№ 23'!S401+№27!S401+'№ 31'!S401+'№ 34'!S401+'№ 41'!S401</f>
        <v>0</v>
      </c>
      <c r="T324" s="215">
        <f>SUM(N324:S324)</f>
        <v>0</v>
      </c>
      <c r="U324" s="215">
        <f>T324+L324</f>
        <v>0</v>
      </c>
      <c r="V324" s="179">
        <f>№2!V401+№5!V401+'№ 6'!V401+№14!V401+'№ 20'!V401+'№ 23'!V401+№27!V401+'№ 31'!V401+'№ 34'!V401+'№ 41'!V401</f>
        <v>0</v>
      </c>
      <c r="W324" s="184">
        <f>V324-U324</f>
        <v>0</v>
      </c>
      <c r="X324" s="185">
        <f>U319-U324</f>
        <v>0</v>
      </c>
    </row>
    <row r="325" spans="1:28" s="228" customFormat="1" ht="19.600000000000001" hidden="1" customHeight="1">
      <c r="A325" s="595"/>
      <c r="B325" s="576"/>
      <c r="C325" s="577"/>
      <c r="D325" s="187" t="s">
        <v>27</v>
      </c>
      <c r="E325" s="188" t="e">
        <f t="shared" ref="E325:K325" si="309">E326*1000/E324</f>
        <v>#DIV/0!</v>
      </c>
      <c r="F325" s="188" t="e">
        <f t="shared" si="309"/>
        <v>#DIV/0!</v>
      </c>
      <c r="G325" s="188" t="e">
        <f t="shared" si="309"/>
        <v>#DIV/0!</v>
      </c>
      <c r="H325" s="188" t="e">
        <f t="shared" si="309"/>
        <v>#DIV/0!</v>
      </c>
      <c r="I325" s="188" t="e">
        <f t="shared" si="309"/>
        <v>#DIV/0!</v>
      </c>
      <c r="J325" s="188" t="e">
        <f t="shared" si="309"/>
        <v>#DIV/0!</v>
      </c>
      <c r="K325" s="188" t="e">
        <f t="shared" si="309"/>
        <v>#DIV/0!</v>
      </c>
      <c r="L325" s="217" t="e">
        <f>L326/L324*1000</f>
        <v>#DIV/0!</v>
      </c>
      <c r="M325" s="217" t="e">
        <f>M326/M324*1000</f>
        <v>#DIV/0!</v>
      </c>
      <c r="N325" s="188" t="e">
        <f t="shared" ref="N325:S325" si="310">N326*1000/N324</f>
        <v>#DIV/0!</v>
      </c>
      <c r="O325" s="188" t="e">
        <f t="shared" si="310"/>
        <v>#DIV/0!</v>
      </c>
      <c r="P325" s="188" t="e">
        <f t="shared" si="310"/>
        <v>#DIV/0!</v>
      </c>
      <c r="Q325" s="188" t="e">
        <f t="shared" si="310"/>
        <v>#DIV/0!</v>
      </c>
      <c r="R325" s="188" t="e">
        <f t="shared" si="310"/>
        <v>#DIV/0!</v>
      </c>
      <c r="S325" s="188" t="e">
        <f t="shared" si="310"/>
        <v>#DIV/0!</v>
      </c>
      <c r="T325" s="217" t="e">
        <f>T326/T324*1000</f>
        <v>#DIV/0!</v>
      </c>
      <c r="U325" s="217" t="e">
        <f>U326/U324*1000</f>
        <v>#DIV/0!</v>
      </c>
      <c r="V325" s="218" t="e">
        <f t="shared" ref="V325" si="311">V326*1000/V324</f>
        <v>#DIV/0!</v>
      </c>
      <c r="W325" s="189" t="e">
        <f>W326/W324*1000</f>
        <v>#DIV/0!</v>
      </c>
      <c r="X325" s="225"/>
      <c r="Y325" s="209"/>
      <c r="Z325" s="209"/>
      <c r="AA325" s="209"/>
      <c r="AB325" s="209"/>
    </row>
    <row r="326" spans="1:28" s="239" customFormat="1" ht="19.600000000000001" hidden="1" customHeight="1">
      <c r="A326" s="595"/>
      <c r="B326" s="576"/>
      <c r="C326" s="577"/>
      <c r="D326" s="198" t="s">
        <v>25</v>
      </c>
      <c r="E326" s="199">
        <f>№2!E403+№5!E403+'№ 6'!E403+№14!E403+'№ 20'!E403+'№ 23'!E403+№27!E403+'№ 31'!E403+'№ 34'!E403+'№ 41'!E403</f>
        <v>0</v>
      </c>
      <c r="F326" s="199">
        <f>№2!F403+№5!F403+'№ 6'!F403+№14!F403+'№ 20'!F403+'№ 23'!F403+№27!F403+'№ 31'!F403+'№ 34'!F403+'№ 41'!F403</f>
        <v>0</v>
      </c>
      <c r="G326" s="199">
        <f>№2!G403+№5!G403+'№ 6'!G403+№14!G403+'№ 20'!G403+'№ 23'!G403+№27!G403+'№ 31'!G403+'№ 34'!G403+'№ 41'!G403</f>
        <v>0</v>
      </c>
      <c r="H326" s="199">
        <f>№2!H403+№5!H403+'№ 6'!H403+№14!H403+'№ 20'!H403+'№ 23'!H403+№27!H403+'№ 31'!H403+'№ 34'!H403+'№ 41'!H403</f>
        <v>0</v>
      </c>
      <c r="I326" s="199">
        <f>№2!I403+№5!I403+'№ 6'!I403+№14!I403+'№ 20'!I403+'№ 23'!I403+№27!I403+'№ 31'!I403+'№ 34'!I403+'№ 41'!I403</f>
        <v>0</v>
      </c>
      <c r="J326" s="199">
        <f>№2!J403+№5!J403+'№ 6'!J403+№14!J403+'№ 20'!J403+'№ 23'!J403+№27!J403+'№ 31'!J403+'№ 34'!J403+'№ 41'!J403</f>
        <v>0</v>
      </c>
      <c r="K326" s="199">
        <f>№2!K403+№5!K403+'№ 6'!K403+№14!K403+'№ 20'!K403+'№ 23'!K403+№27!K403+'№ 31'!K403+'№ 34'!K403+'№ 41'!K403</f>
        <v>0</v>
      </c>
      <c r="L326" s="199">
        <f>SUM(F326:K326)</f>
        <v>0</v>
      </c>
      <c r="M326" s="199">
        <f>L326/6</f>
        <v>0</v>
      </c>
      <c r="N326" s="199">
        <f>№2!N403+№5!N403+'№ 6'!N403+№14!N403+'№ 20'!N403+'№ 23'!N403+№27!N403+'№ 31'!N403+'№ 34'!N403+'№ 41'!N403</f>
        <v>0</v>
      </c>
      <c r="O326" s="199">
        <f>№2!O403+№5!O403+'№ 6'!O403+№14!O403+'№ 20'!O403+'№ 23'!O403+№27!O403+'№ 31'!O403+'№ 34'!O403+'№ 41'!O403</f>
        <v>0</v>
      </c>
      <c r="P326" s="199">
        <f>№2!P403+№5!P403+'№ 6'!P403+№14!P403+'№ 20'!P403+'№ 23'!P403+№27!P403+'№ 31'!P403+'№ 34'!P403+'№ 41'!P403</f>
        <v>0</v>
      </c>
      <c r="Q326" s="199">
        <f>№2!Q403+№5!Q403+'№ 6'!Q403+№14!Q403+'№ 20'!Q403+'№ 23'!Q403+№27!Q403+'№ 31'!Q403+'№ 34'!Q403+'№ 41'!Q403</f>
        <v>0</v>
      </c>
      <c r="R326" s="199">
        <f>№2!R403+№5!R403+'№ 6'!R403+№14!R403+'№ 20'!R403+'№ 23'!R403+№27!R403+'№ 31'!R403+'№ 34'!R403+'№ 41'!R403</f>
        <v>0</v>
      </c>
      <c r="S326" s="199">
        <f>№2!S403+№5!S403+'№ 6'!S403+№14!S403+'№ 20'!S403+'№ 23'!S403+№27!S403+'№ 31'!S403+'№ 34'!S403+'№ 41'!S403</f>
        <v>0</v>
      </c>
      <c r="T326" s="199">
        <f>SUM(N326:S326)</f>
        <v>0</v>
      </c>
      <c r="U326" s="199">
        <f>T326+L326</f>
        <v>0</v>
      </c>
      <c r="V326" s="199">
        <f>№2!V403+№5!V403+'№ 6'!V403+№14!V403+'№ 20'!V403+'№ 23'!V403+№27!V403+'№ 31'!V403+'№ 34'!V403+'№ 41'!V403</f>
        <v>0</v>
      </c>
      <c r="W326" s="221">
        <f>V326-U326</f>
        <v>0</v>
      </c>
      <c r="X326" s="176">
        <f>U321-U326</f>
        <v>0</v>
      </c>
    </row>
    <row r="327" spans="1:28" s="239" customFormat="1" ht="19.600000000000001" hidden="1" customHeight="1">
      <c r="A327" s="595"/>
      <c r="B327" s="576"/>
      <c r="C327" s="577"/>
      <c r="D327" s="201" t="s">
        <v>55</v>
      </c>
      <c r="E327" s="220"/>
      <c r="F327" s="199">
        <f>№2!F404+№5!F404+'№ 6'!F404+№14!F404+'№ 20'!F404+'№ 23'!F404+№27!F404+'№ 31'!F404+'№ 34'!F404+'№ 41'!F404</f>
        <v>0</v>
      </c>
      <c r="G327" s="199">
        <f>№2!G404+№5!G404+'№ 6'!G404+№14!G404+'№ 20'!G404+'№ 23'!G404+№27!G404+'№ 31'!G404+'№ 34'!G404+'№ 41'!G404</f>
        <v>0</v>
      </c>
      <c r="H327" s="199">
        <f>№2!H404+№5!H404+'№ 6'!H404+№14!H404+'№ 20'!H404+'№ 23'!H404+№27!H404+'№ 31'!H404+'№ 34'!H404+'№ 41'!H404</f>
        <v>0</v>
      </c>
      <c r="I327" s="199">
        <f>№2!I404+№5!I404+'№ 6'!I404+№14!I404+'№ 20'!I404+'№ 23'!I404+№27!I404+'№ 31'!I404+'№ 34'!I404+'№ 41'!I404</f>
        <v>0</v>
      </c>
      <c r="J327" s="199">
        <f>№2!J404+№5!J404+'№ 6'!J404+№14!J404+'№ 20'!J404+'№ 23'!J404+№27!J404+'№ 31'!J404+'№ 34'!J404+'№ 41'!J404</f>
        <v>0</v>
      </c>
      <c r="K327" s="199">
        <f>№2!K404+№5!K404+'№ 6'!K404+№14!K404+'№ 20'!K404+'№ 23'!K404+№27!K404+'№ 31'!K404+'№ 34'!K404+'№ 41'!K404</f>
        <v>0</v>
      </c>
      <c r="L327" s="199">
        <f>SUM(F327:K327)</f>
        <v>0</v>
      </c>
      <c r="M327" s="199">
        <f>L327/6</f>
        <v>0</v>
      </c>
      <c r="N327" s="199">
        <f>№2!N404+№5!N404+'№ 6'!N404+№14!N404+'№ 20'!N404+'№ 23'!N404+№27!N404+'№ 31'!N404+'№ 34'!N404+'№ 41'!N404</f>
        <v>0</v>
      </c>
      <c r="O327" s="199">
        <f>№2!O404+№5!O404+'№ 6'!O404+№14!O404+'№ 20'!O404+'№ 23'!O404+№27!O404+'№ 31'!O404+'№ 34'!O404+'№ 41'!O404</f>
        <v>0</v>
      </c>
      <c r="P327" s="199">
        <f>№2!P404+№5!P404+'№ 6'!P404+№14!P404+'№ 20'!P404+'№ 23'!P404+№27!P404+'№ 31'!P404+'№ 34'!P404+'№ 41'!P404</f>
        <v>0</v>
      </c>
      <c r="Q327" s="199">
        <f>№2!Q404+№5!Q404+'№ 6'!Q404+№14!Q404+'№ 20'!Q404+'№ 23'!Q404+№27!Q404+'№ 31'!Q404+'№ 34'!Q404+'№ 41'!Q404</f>
        <v>0</v>
      </c>
      <c r="R327" s="199">
        <f>№2!R404+№5!R404+'№ 6'!R404+№14!R404+'№ 20'!R404+'№ 23'!R404+№27!R404+'№ 31'!R404+'№ 34'!R404+'№ 41'!R404</f>
        <v>0</v>
      </c>
      <c r="S327" s="199">
        <f>№2!S404+№5!S404+'№ 6'!S404+№14!S404+'№ 20'!S404+'№ 23'!S404+№27!S404+'№ 31'!S404+'№ 34'!S404+'№ 41'!S404</f>
        <v>0</v>
      </c>
      <c r="T327" s="199">
        <f>SUM(N327:S327)</f>
        <v>0</v>
      </c>
      <c r="U327" s="199">
        <f>T327+L327</f>
        <v>0</v>
      </c>
      <c r="V327" s="199">
        <f>№2!V404+№5!V404+'№ 6'!V404+№14!V404+'№ 20'!V404+'№ 23'!V404+№27!V404+'№ 31'!V404+'№ 34'!V404+'№ 41'!V404</f>
        <v>0</v>
      </c>
      <c r="W327" s="221">
        <f>V327-U327</f>
        <v>0</v>
      </c>
      <c r="X327" s="176">
        <f>U322-U327</f>
        <v>0</v>
      </c>
    </row>
    <row r="328" spans="1:28" s="239" customFormat="1" ht="19.600000000000001" hidden="1" customHeight="1">
      <c r="A328" s="595"/>
      <c r="B328" s="576"/>
      <c r="C328" s="577"/>
      <c r="D328" s="201" t="s">
        <v>24</v>
      </c>
      <c r="E328" s="220"/>
      <c r="F328" s="199">
        <f>№2!F405+№5!F405+'№ 6'!F405+№14!F405+'№ 20'!F405+'№ 23'!F405+№27!F405+'№ 31'!F405+'№ 34'!F405+'№ 41'!F405</f>
        <v>0</v>
      </c>
      <c r="G328" s="199">
        <f>№2!G405+№5!G405+'№ 6'!G405+№14!G405+'№ 20'!G405+'№ 23'!G405+№27!G405+'№ 31'!G405+'№ 34'!G405+'№ 41'!G405</f>
        <v>0</v>
      </c>
      <c r="H328" s="199">
        <f>№2!H405+№5!H405+'№ 6'!H405+№14!H405+'№ 20'!H405+'№ 23'!H405+№27!H405+'№ 31'!H405+'№ 34'!H405+'№ 41'!H405</f>
        <v>0</v>
      </c>
      <c r="I328" s="199">
        <f>№2!I405+№5!I405+'№ 6'!I405+№14!I405+'№ 20'!I405+'№ 23'!I405+№27!I405+'№ 31'!I405+'№ 34'!I405+'№ 41'!I405</f>
        <v>0</v>
      </c>
      <c r="J328" s="199">
        <f>№2!J405+№5!J405+'№ 6'!J405+№14!J405+'№ 20'!J405+'№ 23'!J405+№27!J405+'№ 31'!J405+'№ 34'!J405+'№ 41'!J405</f>
        <v>0</v>
      </c>
      <c r="K328" s="199">
        <f>№2!K405+№5!K405+'№ 6'!K405+№14!K405+'№ 20'!K405+'№ 23'!K405+№27!K405+'№ 31'!K405+'№ 34'!K405+'№ 41'!K405</f>
        <v>0</v>
      </c>
      <c r="L328" s="199">
        <f>SUM(F328:K328)</f>
        <v>0</v>
      </c>
      <c r="M328" s="199">
        <f>L328/6</f>
        <v>0</v>
      </c>
      <c r="N328" s="199">
        <f>№2!N405+№5!N405+'№ 6'!N405+№14!N405+'№ 20'!N405+'№ 23'!N405+№27!N405+'№ 31'!N405+'№ 34'!N405+'№ 41'!N405</f>
        <v>0</v>
      </c>
      <c r="O328" s="199">
        <f>№2!O405+№5!O405+'№ 6'!O405+№14!O405+'№ 20'!O405+'№ 23'!O405+№27!O405+'№ 31'!O405+'№ 34'!O405+'№ 41'!O405</f>
        <v>0</v>
      </c>
      <c r="P328" s="199">
        <f>№2!P405+№5!P405+'№ 6'!P405+№14!P405+'№ 20'!P405+'№ 23'!P405+№27!P405+'№ 31'!P405+'№ 34'!P405+'№ 41'!P405</f>
        <v>0</v>
      </c>
      <c r="Q328" s="199">
        <f>№2!Q405+№5!Q405+'№ 6'!Q405+№14!Q405+'№ 20'!Q405+'№ 23'!Q405+№27!Q405+'№ 31'!Q405+'№ 34'!Q405+'№ 41'!Q405</f>
        <v>0</v>
      </c>
      <c r="R328" s="199">
        <f>№2!R405+№5!R405+'№ 6'!R405+№14!R405+'№ 20'!R405+'№ 23'!R405+№27!R405+'№ 31'!R405+'№ 34'!R405+'№ 41'!R405</f>
        <v>0</v>
      </c>
      <c r="S328" s="199">
        <f>№2!S405+№5!S405+'№ 6'!S405+№14!S405+'№ 20'!S405+'№ 23'!S405+№27!S405+'№ 31'!S405+'№ 34'!S405+'№ 41'!S405</f>
        <v>0</v>
      </c>
      <c r="T328" s="199">
        <f>SUM(N328:S328)</f>
        <v>0</v>
      </c>
      <c r="U328" s="199">
        <f>T328+L328</f>
        <v>0</v>
      </c>
      <c r="V328" s="199">
        <f>№2!V405+№5!V405+'№ 6'!V405+№14!V405+'№ 20'!V405+'№ 23'!V405+№27!V405+'№ 31'!V405+'№ 34'!V405+'№ 41'!V405</f>
        <v>0</v>
      </c>
      <c r="W328" s="221">
        <f>V328-U328</f>
        <v>0</v>
      </c>
      <c r="X328" s="176">
        <f>U323-U328</f>
        <v>0</v>
      </c>
    </row>
    <row r="329" spans="1:28" s="205" customFormat="1" ht="19.600000000000001" hidden="1" customHeight="1">
      <c r="A329" s="595"/>
      <c r="B329" s="576"/>
      <c r="C329" s="577"/>
      <c r="D329" s="202" t="s">
        <v>29</v>
      </c>
      <c r="E329" s="203"/>
      <c r="F329" s="203">
        <f t="shared" ref="F329:K329" si="312">F323</f>
        <v>0</v>
      </c>
      <c r="G329" s="203">
        <f t="shared" si="312"/>
        <v>0</v>
      </c>
      <c r="H329" s="203">
        <f t="shared" si="312"/>
        <v>0</v>
      </c>
      <c r="I329" s="203">
        <f t="shared" si="312"/>
        <v>0</v>
      </c>
      <c r="J329" s="203">
        <f t="shared" si="312"/>
        <v>0</v>
      </c>
      <c r="K329" s="203">
        <f t="shared" si="312"/>
        <v>0</v>
      </c>
      <c r="L329" s="203">
        <f>SUM(F329:K329)</f>
        <v>0</v>
      </c>
      <c r="M329" s="203">
        <f>L329/6</f>
        <v>0</v>
      </c>
      <c r="N329" s="203">
        <f t="shared" ref="N329:S329" si="313">N323+N322</f>
        <v>0</v>
      </c>
      <c r="O329" s="203">
        <f t="shared" si="313"/>
        <v>0</v>
      </c>
      <c r="P329" s="203">
        <f t="shared" si="313"/>
        <v>0</v>
      </c>
      <c r="Q329" s="203">
        <f t="shared" si="313"/>
        <v>0</v>
      </c>
      <c r="R329" s="203">
        <f t="shared" si="313"/>
        <v>0</v>
      </c>
      <c r="S329" s="203">
        <f t="shared" si="313"/>
        <v>0</v>
      </c>
      <c r="T329" s="203">
        <f>SUM(N329:S329)</f>
        <v>0</v>
      </c>
      <c r="U329" s="203">
        <f>T329+L329</f>
        <v>0</v>
      </c>
      <c r="V329" s="203">
        <f>V326</f>
        <v>0</v>
      </c>
      <c r="W329" s="203">
        <f>V329-U329</f>
        <v>0</v>
      </c>
    </row>
    <row r="330" spans="1:28" s="205" customFormat="1" ht="19.600000000000001" hidden="1" customHeight="1">
      <c r="A330" s="595"/>
      <c r="B330" s="576"/>
      <c r="C330" s="577"/>
      <c r="D330" s="202" t="s">
        <v>30</v>
      </c>
      <c r="E330" s="203"/>
      <c r="F330" s="203">
        <f t="shared" ref="F330:K330" si="314">F326-F329</f>
        <v>0</v>
      </c>
      <c r="G330" s="203">
        <f t="shared" si="314"/>
        <v>0</v>
      </c>
      <c r="H330" s="203">
        <f t="shared" si="314"/>
        <v>0</v>
      </c>
      <c r="I330" s="203">
        <f t="shared" si="314"/>
        <v>0</v>
      </c>
      <c r="J330" s="203">
        <f t="shared" si="314"/>
        <v>0</v>
      </c>
      <c r="K330" s="203">
        <f t="shared" si="314"/>
        <v>0</v>
      </c>
      <c r="L330" s="203"/>
      <c r="M330" s="203"/>
      <c r="N330" s="203">
        <f t="shared" ref="N330:S330" si="315">N326-N329</f>
        <v>0</v>
      </c>
      <c r="O330" s="203">
        <f t="shared" si="315"/>
        <v>0</v>
      </c>
      <c r="P330" s="203">
        <f t="shared" si="315"/>
        <v>0</v>
      </c>
      <c r="Q330" s="203">
        <f t="shared" si="315"/>
        <v>0</v>
      </c>
      <c r="R330" s="203">
        <f t="shared" si="315"/>
        <v>0</v>
      </c>
      <c r="S330" s="203">
        <f t="shared" si="315"/>
        <v>0</v>
      </c>
      <c r="T330" s="203"/>
      <c r="U330" s="203"/>
      <c r="V330" s="203"/>
      <c r="W330" s="203"/>
    </row>
    <row r="331" spans="1:28" s="205" customFormat="1" ht="19.600000000000001" hidden="1" customHeight="1">
      <c r="A331" s="596"/>
      <c r="B331" s="578"/>
      <c r="C331" s="579"/>
      <c r="D331" s="202" t="s">
        <v>31</v>
      </c>
      <c r="E331" s="203"/>
      <c r="F331" s="203">
        <f>F330</f>
        <v>0</v>
      </c>
      <c r="G331" s="203">
        <f>G330+F331</f>
        <v>0</v>
      </c>
      <c r="H331" s="203">
        <f>H330+G331</f>
        <v>0</v>
      </c>
      <c r="I331" s="203">
        <f>I330+H331</f>
        <v>0</v>
      </c>
      <c r="J331" s="203">
        <f>J330+I331</f>
        <v>0</v>
      </c>
      <c r="K331" s="203">
        <f>K330+J331</f>
        <v>0</v>
      </c>
      <c r="L331" s="203"/>
      <c r="M331" s="203"/>
      <c r="N331" s="203">
        <f>N330+K331</f>
        <v>0</v>
      </c>
      <c r="O331" s="203">
        <f>O330+N331</f>
        <v>0</v>
      </c>
      <c r="P331" s="203">
        <f>P330+O331</f>
        <v>0</v>
      </c>
      <c r="Q331" s="203">
        <f>Q330+P331</f>
        <v>0</v>
      </c>
      <c r="R331" s="203">
        <f>R330+Q331</f>
        <v>0</v>
      </c>
      <c r="S331" s="203">
        <f>S330+R331</f>
        <v>0</v>
      </c>
      <c r="T331" s="203"/>
      <c r="U331" s="203"/>
      <c r="V331" s="203"/>
      <c r="W331" s="203"/>
    </row>
    <row r="332" spans="1:28" s="157" customFormat="1" ht="18" customHeight="1">
      <c r="A332" s="582" t="s">
        <v>39</v>
      </c>
      <c r="B332" s="603" t="s">
        <v>40</v>
      </c>
      <c r="C332" s="604"/>
      <c r="D332" s="178" t="s">
        <v>105</v>
      </c>
      <c r="E332" s="179"/>
      <c r="F332" s="180">
        <f t="shared" ref="F332:K333" si="316">F349+F364+F379</f>
        <v>3792</v>
      </c>
      <c r="G332" s="180">
        <f t="shared" si="316"/>
        <v>2779</v>
      </c>
      <c r="H332" s="180">
        <f t="shared" si="316"/>
        <v>3285.1</v>
      </c>
      <c r="I332" s="180">
        <f t="shared" si="316"/>
        <v>3594.4</v>
      </c>
      <c r="J332" s="180">
        <f t="shared" si="316"/>
        <v>3316.1</v>
      </c>
      <c r="K332" s="180">
        <f t="shared" si="316"/>
        <v>3001</v>
      </c>
      <c r="L332" s="215">
        <f>SUM(F332:K332)</f>
        <v>19767.599999999999</v>
      </c>
      <c r="M332" s="215">
        <f>L332/6</f>
        <v>3294.6</v>
      </c>
      <c r="N332" s="180">
        <f t="shared" ref="N332:S334" si="317">N349+N364+N379</f>
        <v>3570.7</v>
      </c>
      <c r="O332" s="180">
        <f t="shared" si="317"/>
        <v>3399.6</v>
      </c>
      <c r="P332" s="180">
        <f t="shared" si="317"/>
        <v>3507</v>
      </c>
      <c r="Q332" s="180">
        <f t="shared" si="317"/>
        <v>3223.9</v>
      </c>
      <c r="R332" s="180">
        <f t="shared" si="317"/>
        <v>3226.5</v>
      </c>
      <c r="S332" s="180">
        <f t="shared" si="317"/>
        <v>4640.6000000000004</v>
      </c>
      <c r="T332" s="215">
        <f>SUM(N332:S332)</f>
        <v>21568.3</v>
      </c>
      <c r="U332" s="215">
        <f>T332+L332</f>
        <v>41335.9</v>
      </c>
      <c r="V332" s="233">
        <f>V349+V379</f>
        <v>27940.400000000001</v>
      </c>
      <c r="W332" s="184"/>
      <c r="X332" s="209"/>
    </row>
    <row r="333" spans="1:28" s="157" customFormat="1" ht="18" customHeight="1">
      <c r="A333" s="583"/>
      <c r="B333" s="605"/>
      <c r="C333" s="606"/>
      <c r="D333" s="178" t="s">
        <v>109</v>
      </c>
      <c r="E333" s="179"/>
      <c r="F333" s="180">
        <f t="shared" si="316"/>
        <v>2902.2</v>
      </c>
      <c r="G333" s="180">
        <f t="shared" si="316"/>
        <v>3153.7</v>
      </c>
      <c r="H333" s="180">
        <f t="shared" si="316"/>
        <v>2931.3</v>
      </c>
      <c r="I333" s="180">
        <f t="shared" si="316"/>
        <v>3263.7</v>
      </c>
      <c r="J333" s="180">
        <f t="shared" si="316"/>
        <v>2817.6</v>
      </c>
      <c r="K333" s="180">
        <f t="shared" si="316"/>
        <v>3542.8</v>
      </c>
      <c r="L333" s="215">
        <f>SUM(F333:K333)</f>
        <v>18611.3</v>
      </c>
      <c r="M333" s="215">
        <f>L333/6</f>
        <v>3101.9</v>
      </c>
      <c r="N333" s="180">
        <f t="shared" si="317"/>
        <v>3171.3</v>
      </c>
      <c r="O333" s="180">
        <f t="shared" si="317"/>
        <v>3262.2</v>
      </c>
      <c r="P333" s="180">
        <f t="shared" si="317"/>
        <v>3021.6</v>
      </c>
      <c r="Q333" s="180">
        <f t="shared" si="317"/>
        <v>3047.7</v>
      </c>
      <c r="R333" s="180">
        <f t="shared" si="317"/>
        <v>3524.1</v>
      </c>
      <c r="S333" s="180">
        <f t="shared" si="317"/>
        <v>3779.9</v>
      </c>
      <c r="T333" s="215">
        <f>SUM(N333:S333)</f>
        <v>19806.8</v>
      </c>
      <c r="U333" s="215">
        <f>T333+L333</f>
        <v>38418.1</v>
      </c>
      <c r="V333" s="233">
        <f>V350+V380</f>
        <v>36110.9</v>
      </c>
      <c r="W333" s="184"/>
      <c r="X333" s="209"/>
    </row>
    <row r="334" spans="1:28" s="157" customFormat="1" ht="18" customHeight="1">
      <c r="A334" s="583"/>
      <c r="B334" s="605"/>
      <c r="C334" s="606"/>
      <c r="D334" s="178" t="s">
        <v>116</v>
      </c>
      <c r="E334" s="179"/>
      <c r="F334" s="264">
        <f t="shared" ref="F334:K334" si="318">F351+F381</f>
        <v>2347.8490000000002</v>
      </c>
      <c r="G334" s="264">
        <f t="shared" si="318"/>
        <v>2600.7339999999999</v>
      </c>
      <c r="H334" s="264">
        <f t="shared" si="318"/>
        <v>2790.18</v>
      </c>
      <c r="I334" s="264">
        <f t="shared" si="318"/>
        <v>3128.25</v>
      </c>
      <c r="J334" s="264">
        <f t="shared" si="318"/>
        <v>3168.5</v>
      </c>
      <c r="K334" s="264">
        <f t="shared" si="318"/>
        <v>3317</v>
      </c>
      <c r="L334" s="234">
        <f>SUM(F334:K334)</f>
        <v>17352.512999999999</v>
      </c>
      <c r="M334" s="234">
        <f>L334/6</f>
        <v>2892.0859999999998</v>
      </c>
      <c r="N334" s="180">
        <f t="shared" si="317"/>
        <v>2199.8000000000002</v>
      </c>
      <c r="O334" s="180">
        <f t="shared" si="317"/>
        <v>2461.3000000000002</v>
      </c>
      <c r="P334" s="180">
        <f t="shared" si="317"/>
        <v>3120</v>
      </c>
      <c r="Q334" s="180">
        <f t="shared" si="317"/>
        <v>3210.8</v>
      </c>
      <c r="R334" s="180">
        <f t="shared" si="317"/>
        <v>3481.1</v>
      </c>
      <c r="S334" s="180">
        <f t="shared" si="317"/>
        <v>4754.3</v>
      </c>
      <c r="T334" s="262">
        <f>SUM(N334:S334)</f>
        <v>19227.3</v>
      </c>
      <c r="U334" s="262">
        <f>T334+L334</f>
        <v>36579.813000000002</v>
      </c>
      <c r="V334" s="233">
        <f>V351+V366+V381</f>
        <v>40820.300000000003</v>
      </c>
      <c r="W334" s="184">
        <f>V334-U334</f>
        <v>4240.5</v>
      </c>
      <c r="X334" s="209"/>
    </row>
    <row r="335" spans="1:28" s="241" customFormat="1" ht="18" customHeight="1">
      <c r="A335" s="583"/>
      <c r="B335" s="605"/>
      <c r="C335" s="606"/>
      <c r="D335" s="187" t="s">
        <v>27</v>
      </c>
      <c r="E335" s="188"/>
      <c r="F335" s="188">
        <f t="shared" ref="F335:W335" si="319">F336/F334*1000</f>
        <v>14.183999999999999</v>
      </c>
      <c r="G335" s="188">
        <f t="shared" si="319"/>
        <v>14.183999999999999</v>
      </c>
      <c r="H335" s="188">
        <f t="shared" si="319"/>
        <v>14.183999999999999</v>
      </c>
      <c r="I335" s="188">
        <f t="shared" si="319"/>
        <v>14.183999999999999</v>
      </c>
      <c r="J335" s="188">
        <f t="shared" si="319"/>
        <v>14.183999999999999</v>
      </c>
      <c r="K335" s="188">
        <f t="shared" si="319"/>
        <v>14.183999999999999</v>
      </c>
      <c r="L335" s="188">
        <f t="shared" si="319"/>
        <v>14.183999999999999</v>
      </c>
      <c r="M335" s="188">
        <f t="shared" si="319"/>
        <v>14.183999999999999</v>
      </c>
      <c r="N335" s="188">
        <f t="shared" si="319"/>
        <v>14.183999999999999</v>
      </c>
      <c r="O335" s="188">
        <f t="shared" si="319"/>
        <v>14.183999999999999</v>
      </c>
      <c r="P335" s="188">
        <f t="shared" si="319"/>
        <v>14.183999999999999</v>
      </c>
      <c r="Q335" s="188">
        <f t="shared" si="319"/>
        <v>14.183999999999999</v>
      </c>
      <c r="R335" s="188">
        <f t="shared" si="319"/>
        <v>14.183999999999999</v>
      </c>
      <c r="S335" s="188">
        <f t="shared" si="319"/>
        <v>14.183</v>
      </c>
      <c r="T335" s="188">
        <f t="shared" si="319"/>
        <v>14.183999999999999</v>
      </c>
      <c r="U335" s="188">
        <f t="shared" si="319"/>
        <v>14.183999999999999</v>
      </c>
      <c r="V335" s="188">
        <f t="shared" si="319"/>
        <v>14.250999999999999</v>
      </c>
      <c r="W335" s="189">
        <f t="shared" si="319"/>
        <v>14.827</v>
      </c>
      <c r="X335" s="240"/>
    </row>
    <row r="336" spans="1:28" s="172" customFormat="1" ht="18" customHeight="1">
      <c r="A336" s="583"/>
      <c r="B336" s="605"/>
      <c r="C336" s="606"/>
      <c r="D336" s="191" t="s">
        <v>0</v>
      </c>
      <c r="E336" s="192"/>
      <c r="F336" s="192">
        <f t="shared" ref="F336:K336" si="320">F353+F383</f>
        <v>33.301000000000002</v>
      </c>
      <c r="G336" s="192">
        <f t="shared" si="320"/>
        <v>36.887999999999998</v>
      </c>
      <c r="H336" s="192">
        <f t="shared" si="320"/>
        <v>39.576000000000001</v>
      </c>
      <c r="I336" s="192">
        <f t="shared" si="320"/>
        <v>44.371000000000002</v>
      </c>
      <c r="J336" s="192">
        <f t="shared" si="320"/>
        <v>44.942999999999998</v>
      </c>
      <c r="K336" s="192">
        <f t="shared" si="320"/>
        <v>47.046999999999997</v>
      </c>
      <c r="L336" s="194">
        <f t="shared" ref="L336:L341" si="321">SUM(F336:K336)</f>
        <v>246.126</v>
      </c>
      <c r="M336" s="194">
        <f t="shared" ref="M336:M341" si="322">L336/6</f>
        <v>41.021000000000001</v>
      </c>
      <c r="N336" s="192">
        <f t="shared" ref="N336:S336" si="323">N353+N383</f>
        <v>31.201000000000001</v>
      </c>
      <c r="O336" s="192">
        <f t="shared" si="323"/>
        <v>34.911000000000001</v>
      </c>
      <c r="P336" s="192">
        <f t="shared" si="323"/>
        <v>44.253</v>
      </c>
      <c r="Q336" s="192">
        <f t="shared" si="323"/>
        <v>45.542000000000002</v>
      </c>
      <c r="R336" s="192">
        <f t="shared" si="323"/>
        <v>49.375999999999998</v>
      </c>
      <c r="S336" s="192">
        <f t="shared" si="323"/>
        <v>67.430999999999997</v>
      </c>
      <c r="T336" s="194">
        <f t="shared" ref="T336:T341" si="324">SUM(N336:S336)</f>
        <v>272.714</v>
      </c>
      <c r="U336" s="194">
        <f t="shared" ref="U336:U341" si="325">T336+L336</f>
        <v>518.84</v>
      </c>
      <c r="V336" s="192">
        <f>V353+V383</f>
        <v>581.71600000000001</v>
      </c>
      <c r="W336" s="192">
        <f>V336-U336</f>
        <v>62.875999999999998</v>
      </c>
    </row>
    <row r="337" spans="1:28" s="172" customFormat="1" ht="18" customHeight="1">
      <c r="A337" s="583"/>
      <c r="B337" s="605"/>
      <c r="C337" s="606"/>
      <c r="D337" s="174" t="s">
        <v>102</v>
      </c>
      <c r="E337" s="192"/>
      <c r="F337" s="192">
        <f t="shared" ref="F337:K337" si="326">F368</f>
        <v>0</v>
      </c>
      <c r="G337" s="192">
        <f t="shared" si="326"/>
        <v>0</v>
      </c>
      <c r="H337" s="192">
        <f t="shared" si="326"/>
        <v>0</v>
      </c>
      <c r="I337" s="192">
        <f t="shared" si="326"/>
        <v>0</v>
      </c>
      <c r="J337" s="192">
        <f t="shared" si="326"/>
        <v>0</v>
      </c>
      <c r="K337" s="192">
        <f t="shared" si="326"/>
        <v>0</v>
      </c>
      <c r="L337" s="194">
        <f t="shared" si="321"/>
        <v>0</v>
      </c>
      <c r="M337" s="194">
        <f t="shared" si="322"/>
        <v>0</v>
      </c>
      <c r="N337" s="192">
        <f t="shared" ref="N337:S337" si="327">N368</f>
        <v>0</v>
      </c>
      <c r="O337" s="192">
        <f t="shared" si="327"/>
        <v>0</v>
      </c>
      <c r="P337" s="192">
        <f t="shared" si="327"/>
        <v>0</v>
      </c>
      <c r="Q337" s="192">
        <f t="shared" si="327"/>
        <v>0</v>
      </c>
      <c r="R337" s="192">
        <f t="shared" si="327"/>
        <v>0</v>
      </c>
      <c r="S337" s="192">
        <f t="shared" si="327"/>
        <v>0</v>
      </c>
      <c r="T337" s="194">
        <f t="shared" si="324"/>
        <v>0</v>
      </c>
      <c r="U337" s="194">
        <f t="shared" si="325"/>
        <v>0</v>
      </c>
      <c r="V337" s="192">
        <f t="shared" ref="V337" si="328">V368</f>
        <v>0</v>
      </c>
      <c r="W337" s="192">
        <f t="shared" ref="W337:W338" si="329">V337-U337</f>
        <v>0</v>
      </c>
    </row>
    <row r="338" spans="1:28" s="172" customFormat="1" ht="18" customHeight="1">
      <c r="A338" s="583"/>
      <c r="B338" s="605"/>
      <c r="C338" s="606"/>
      <c r="D338" s="174" t="s">
        <v>103</v>
      </c>
      <c r="E338" s="192"/>
      <c r="F338" s="192">
        <f t="shared" ref="F338:K338" si="330">F336+F337</f>
        <v>33.301000000000002</v>
      </c>
      <c r="G338" s="192">
        <f t="shared" si="330"/>
        <v>36.887999999999998</v>
      </c>
      <c r="H338" s="192">
        <f t="shared" si="330"/>
        <v>39.576000000000001</v>
      </c>
      <c r="I338" s="192">
        <f t="shared" si="330"/>
        <v>44.371000000000002</v>
      </c>
      <c r="J338" s="192">
        <f t="shared" si="330"/>
        <v>44.942999999999998</v>
      </c>
      <c r="K338" s="192">
        <f t="shared" si="330"/>
        <v>47.046999999999997</v>
      </c>
      <c r="L338" s="194">
        <f t="shared" si="321"/>
        <v>246.126</v>
      </c>
      <c r="M338" s="194">
        <f t="shared" si="322"/>
        <v>41.021000000000001</v>
      </c>
      <c r="N338" s="192">
        <f t="shared" ref="N338:S338" si="331">N336+N337</f>
        <v>31.201000000000001</v>
      </c>
      <c r="O338" s="192">
        <f t="shared" si="331"/>
        <v>34.911000000000001</v>
      </c>
      <c r="P338" s="192">
        <f t="shared" si="331"/>
        <v>44.253</v>
      </c>
      <c r="Q338" s="192">
        <f t="shared" si="331"/>
        <v>45.542000000000002</v>
      </c>
      <c r="R338" s="192">
        <f t="shared" si="331"/>
        <v>49.375999999999998</v>
      </c>
      <c r="S338" s="192">
        <f t="shared" si="331"/>
        <v>67.430999999999997</v>
      </c>
      <c r="T338" s="194">
        <f t="shared" si="324"/>
        <v>272.714</v>
      </c>
      <c r="U338" s="194">
        <f t="shared" si="325"/>
        <v>518.84</v>
      </c>
      <c r="V338" s="192">
        <f t="shared" ref="V338" si="332">V336+V337</f>
        <v>581.71600000000001</v>
      </c>
      <c r="W338" s="192">
        <f t="shared" si="329"/>
        <v>62.875999999999998</v>
      </c>
    </row>
    <row r="339" spans="1:28" s="172" customFormat="1" ht="18" customHeight="1">
      <c r="A339" s="583"/>
      <c r="B339" s="605"/>
      <c r="C339" s="606"/>
      <c r="D339" s="174" t="s">
        <v>55</v>
      </c>
      <c r="E339" s="192"/>
      <c r="F339" s="192">
        <f t="shared" ref="F339:K340" si="333">F354+F369+F384</f>
        <v>0</v>
      </c>
      <c r="G339" s="192">
        <f t="shared" si="333"/>
        <v>0</v>
      </c>
      <c r="H339" s="192">
        <f t="shared" si="333"/>
        <v>0</v>
      </c>
      <c r="I339" s="192">
        <f t="shared" si="333"/>
        <v>0</v>
      </c>
      <c r="J339" s="192">
        <f t="shared" si="333"/>
        <v>0</v>
      </c>
      <c r="K339" s="192">
        <f t="shared" si="333"/>
        <v>0</v>
      </c>
      <c r="L339" s="194">
        <f t="shared" si="321"/>
        <v>0</v>
      </c>
      <c r="M339" s="194">
        <f t="shared" si="322"/>
        <v>0</v>
      </c>
      <c r="N339" s="192">
        <f t="shared" ref="N339:S340" si="334">N354+N369+N384</f>
        <v>0</v>
      </c>
      <c r="O339" s="192">
        <f t="shared" si="334"/>
        <v>0</v>
      </c>
      <c r="P339" s="192">
        <f t="shared" si="334"/>
        <v>0</v>
      </c>
      <c r="Q339" s="192">
        <f t="shared" si="334"/>
        <v>0</v>
      </c>
      <c r="R339" s="192">
        <f t="shared" si="334"/>
        <v>0</v>
      </c>
      <c r="S339" s="192">
        <f t="shared" si="334"/>
        <v>0</v>
      </c>
      <c r="T339" s="194">
        <f t="shared" si="324"/>
        <v>0</v>
      </c>
      <c r="U339" s="194">
        <f t="shared" si="325"/>
        <v>0</v>
      </c>
      <c r="V339" s="192">
        <f>V354+V384</f>
        <v>0</v>
      </c>
      <c r="W339" s="192">
        <f>V339-U339</f>
        <v>0</v>
      </c>
    </row>
    <row r="340" spans="1:28" s="172" customFormat="1" ht="18" customHeight="1">
      <c r="A340" s="583"/>
      <c r="B340" s="605"/>
      <c r="C340" s="606"/>
      <c r="D340" s="174" t="s">
        <v>28</v>
      </c>
      <c r="E340" s="192"/>
      <c r="F340" s="192">
        <f t="shared" si="333"/>
        <v>31.806000000000001</v>
      </c>
      <c r="G340" s="192">
        <f t="shared" si="333"/>
        <v>43.15</v>
      </c>
      <c r="H340" s="192">
        <f t="shared" si="333"/>
        <v>29.271000000000001</v>
      </c>
      <c r="I340" s="192">
        <f t="shared" si="333"/>
        <v>45.747999999999998</v>
      </c>
      <c r="J340" s="192">
        <f t="shared" si="333"/>
        <v>48.444000000000003</v>
      </c>
      <c r="K340" s="192">
        <f t="shared" si="333"/>
        <v>52.531999999999996</v>
      </c>
      <c r="L340" s="194">
        <f t="shared" si="321"/>
        <v>250.95099999999999</v>
      </c>
      <c r="M340" s="194">
        <f t="shared" si="322"/>
        <v>41.825000000000003</v>
      </c>
      <c r="N340" s="192">
        <f t="shared" si="334"/>
        <v>29.715</v>
      </c>
      <c r="O340" s="192">
        <f t="shared" si="334"/>
        <v>34.237000000000002</v>
      </c>
      <c r="P340" s="192">
        <f t="shared" si="334"/>
        <v>62.139000000000003</v>
      </c>
      <c r="Q340" s="192">
        <f t="shared" si="334"/>
        <v>73.638000000000005</v>
      </c>
      <c r="R340" s="192">
        <f t="shared" si="334"/>
        <v>61.93</v>
      </c>
      <c r="S340" s="192">
        <f t="shared" si="334"/>
        <v>69.105999999999995</v>
      </c>
      <c r="T340" s="194">
        <f t="shared" si="324"/>
        <v>330.76499999999999</v>
      </c>
      <c r="U340" s="194">
        <f t="shared" si="325"/>
        <v>581.71600000000001</v>
      </c>
      <c r="V340" s="192">
        <f>V355+V385</f>
        <v>581.71600000000001</v>
      </c>
      <c r="W340" s="192">
        <f>V340-U340</f>
        <v>0</v>
      </c>
    </row>
    <row r="341" spans="1:28" s="157" customFormat="1" ht="18" customHeight="1">
      <c r="A341" s="583"/>
      <c r="B341" s="605"/>
      <c r="C341" s="606"/>
      <c r="D341" s="178" t="s">
        <v>117</v>
      </c>
      <c r="E341" s="179" t="e">
        <f>№2!E418+№5!E418+'№ 6'!E418+№14!E418+'№ 20'!E418+#REF!+'№ 23'!E418+№27!E418+'№ 31'!E418+'№ 34'!E418+'№ 41'!E418</f>
        <v>#REF!</v>
      </c>
      <c r="F341" s="264">
        <f t="shared" ref="F341:K341" si="335">F356+F386</f>
        <v>1156.319</v>
      </c>
      <c r="G341" s="264">
        <f t="shared" si="335"/>
        <v>2799.8490000000002</v>
      </c>
      <c r="H341" s="264">
        <f t="shared" si="335"/>
        <v>3317.7150000000001</v>
      </c>
      <c r="I341" s="264">
        <f t="shared" si="335"/>
        <v>3078.866</v>
      </c>
      <c r="J341" s="264">
        <f t="shared" si="335"/>
        <v>3155.24</v>
      </c>
      <c r="K341" s="264">
        <f t="shared" si="335"/>
        <v>3300.4479999999999</v>
      </c>
      <c r="L341" s="234">
        <f t="shared" si="321"/>
        <v>16808.437000000002</v>
      </c>
      <c r="M341" s="234">
        <f t="shared" si="322"/>
        <v>2801.4059999999999</v>
      </c>
      <c r="N341" s="180">
        <f t="shared" ref="N341:S341" si="336">N356+N386</f>
        <v>2491.5</v>
      </c>
      <c r="O341" s="180">
        <f t="shared" si="336"/>
        <v>1946.5</v>
      </c>
      <c r="P341" s="180">
        <f t="shared" si="336"/>
        <v>3887.2</v>
      </c>
      <c r="Q341" s="180">
        <f t="shared" si="336"/>
        <v>3210.8</v>
      </c>
      <c r="R341" s="180">
        <f t="shared" si="336"/>
        <v>3481.1</v>
      </c>
      <c r="S341" s="180">
        <f t="shared" si="336"/>
        <v>4754.3</v>
      </c>
      <c r="T341" s="262">
        <f t="shared" si="324"/>
        <v>19771.400000000001</v>
      </c>
      <c r="U341" s="262">
        <f t="shared" si="325"/>
        <v>36579.837</v>
      </c>
      <c r="V341" s="179">
        <f>V356+V386</f>
        <v>40820.300000000003</v>
      </c>
      <c r="W341" s="184">
        <f>V341-U341</f>
        <v>4240.5</v>
      </c>
      <c r="X341" s="547">
        <f>U334-U341</f>
        <v>0</v>
      </c>
    </row>
    <row r="342" spans="1:28" s="241" customFormat="1" ht="18" customHeight="1">
      <c r="A342" s="583"/>
      <c r="B342" s="605"/>
      <c r="C342" s="606"/>
      <c r="D342" s="187" t="s">
        <v>27</v>
      </c>
      <c r="E342" s="188" t="e">
        <f t="shared" ref="E342:W342" si="337">E343/E341*1000</f>
        <v>#REF!</v>
      </c>
      <c r="F342" s="188">
        <f t="shared" si="337"/>
        <v>14.183999999999999</v>
      </c>
      <c r="G342" s="188">
        <f t="shared" si="337"/>
        <v>14.183999999999999</v>
      </c>
      <c r="H342" s="188">
        <f t="shared" si="337"/>
        <v>14.183999999999999</v>
      </c>
      <c r="I342" s="188">
        <f t="shared" si="337"/>
        <v>14.183999999999999</v>
      </c>
      <c r="J342" s="188">
        <f t="shared" si="337"/>
        <v>14.183999999999999</v>
      </c>
      <c r="K342" s="188">
        <f t="shared" si="337"/>
        <v>14.183999999999999</v>
      </c>
      <c r="L342" s="188">
        <f t="shared" si="337"/>
        <v>14.183999999999999</v>
      </c>
      <c r="M342" s="188">
        <f t="shared" si="337"/>
        <v>14.183999999999999</v>
      </c>
      <c r="N342" s="188">
        <f t="shared" si="337"/>
        <v>14.183</v>
      </c>
      <c r="O342" s="188">
        <f t="shared" si="337"/>
        <v>14.183999999999999</v>
      </c>
      <c r="P342" s="188">
        <f t="shared" si="337"/>
        <v>14.183</v>
      </c>
      <c r="Q342" s="188">
        <f t="shared" si="337"/>
        <v>14.183999999999999</v>
      </c>
      <c r="R342" s="188">
        <f t="shared" si="337"/>
        <v>14.183999999999999</v>
      </c>
      <c r="S342" s="188">
        <f t="shared" si="337"/>
        <v>14.183</v>
      </c>
      <c r="T342" s="188">
        <f t="shared" si="337"/>
        <v>14.183999999999999</v>
      </c>
      <c r="U342" s="188">
        <f t="shared" si="337"/>
        <v>14.183999999999999</v>
      </c>
      <c r="V342" s="188">
        <f t="shared" si="337"/>
        <v>14.250999999999999</v>
      </c>
      <c r="W342" s="189">
        <f t="shared" si="337"/>
        <v>14.827</v>
      </c>
      <c r="X342" s="240"/>
    </row>
    <row r="343" spans="1:28" s="213" customFormat="1" ht="18" customHeight="1">
      <c r="A343" s="583"/>
      <c r="B343" s="605"/>
      <c r="C343" s="606"/>
      <c r="D343" s="198" t="s">
        <v>25</v>
      </c>
      <c r="E343" s="220" t="e">
        <f>№2!E420+№5!E420+'№ 6'!E420+№14!E420+'№ 20'!E420+#REF!+'№ 23'!E420+№27!E420+'№ 31'!E420+'№ 34'!E420+'№ 41'!E420</f>
        <v>#REF!</v>
      </c>
      <c r="F343" s="199">
        <f t="shared" ref="F343:K345" si="338">F358+F373+F388</f>
        <v>16.401</v>
      </c>
      <c r="G343" s="199">
        <f t="shared" si="338"/>
        <v>39.713999999999999</v>
      </c>
      <c r="H343" s="199">
        <f t="shared" si="338"/>
        <v>47.058</v>
      </c>
      <c r="I343" s="199">
        <f t="shared" si="338"/>
        <v>43.67</v>
      </c>
      <c r="J343" s="199">
        <f t="shared" si="338"/>
        <v>44.755000000000003</v>
      </c>
      <c r="K343" s="199">
        <f t="shared" si="338"/>
        <v>46.813000000000002</v>
      </c>
      <c r="L343" s="199">
        <f>SUM(F343:K343)</f>
        <v>238.411</v>
      </c>
      <c r="M343" s="199">
        <f>L343/6</f>
        <v>39.734999999999999</v>
      </c>
      <c r="N343" s="199">
        <f t="shared" ref="N343:S345" si="339">N358+N373+N388</f>
        <v>35.338000000000001</v>
      </c>
      <c r="O343" s="199">
        <f t="shared" si="339"/>
        <v>27.609000000000002</v>
      </c>
      <c r="P343" s="199">
        <f t="shared" si="339"/>
        <v>55.134</v>
      </c>
      <c r="Q343" s="199">
        <f t="shared" si="339"/>
        <v>45.542000000000002</v>
      </c>
      <c r="R343" s="199">
        <f t="shared" si="339"/>
        <v>49.375999999999998</v>
      </c>
      <c r="S343" s="199">
        <f t="shared" si="339"/>
        <v>67.430000000000007</v>
      </c>
      <c r="T343" s="199">
        <f>SUM(N343:S343)</f>
        <v>280.42899999999997</v>
      </c>
      <c r="U343" s="199">
        <f>T343+L343</f>
        <v>518.84</v>
      </c>
      <c r="V343" s="199">
        <f>V358+V388</f>
        <v>581.71600000000001</v>
      </c>
      <c r="W343" s="221">
        <f>V343-U343</f>
        <v>62.875999999999998</v>
      </c>
      <c r="X343" s="213">
        <f>U336-U343</f>
        <v>0</v>
      </c>
    </row>
    <row r="344" spans="1:28" s="213" customFormat="1" ht="18" customHeight="1">
      <c r="A344" s="583"/>
      <c r="B344" s="605"/>
      <c r="C344" s="606"/>
      <c r="D344" s="201" t="s">
        <v>55</v>
      </c>
      <c r="E344" s="220"/>
      <c r="F344" s="199">
        <f t="shared" si="338"/>
        <v>0</v>
      </c>
      <c r="G344" s="199">
        <f t="shared" si="338"/>
        <v>0</v>
      </c>
      <c r="H344" s="199">
        <f t="shared" si="338"/>
        <v>0</v>
      </c>
      <c r="I344" s="199">
        <f t="shared" si="338"/>
        <v>0</v>
      </c>
      <c r="J344" s="199">
        <f t="shared" si="338"/>
        <v>0</v>
      </c>
      <c r="K344" s="199">
        <f t="shared" si="338"/>
        <v>0</v>
      </c>
      <c r="L344" s="199">
        <f>SUM(F344:K344)</f>
        <v>0</v>
      </c>
      <c r="M344" s="199">
        <f>L344/6</f>
        <v>0</v>
      </c>
      <c r="N344" s="199">
        <f t="shared" si="339"/>
        <v>0</v>
      </c>
      <c r="O344" s="199">
        <f t="shared" si="339"/>
        <v>0</v>
      </c>
      <c r="P344" s="199">
        <f t="shared" si="339"/>
        <v>0</v>
      </c>
      <c r="Q344" s="199">
        <f t="shared" si="339"/>
        <v>0</v>
      </c>
      <c r="R344" s="199">
        <f t="shared" si="339"/>
        <v>0</v>
      </c>
      <c r="S344" s="199">
        <f t="shared" si="339"/>
        <v>0</v>
      </c>
      <c r="T344" s="199">
        <f>SUM(N344:S344)</f>
        <v>0</v>
      </c>
      <c r="U344" s="199">
        <f>T344+L344</f>
        <v>0</v>
      </c>
      <c r="V344" s="199">
        <f>V359+V389</f>
        <v>0</v>
      </c>
      <c r="W344" s="221">
        <f>V344-U344</f>
        <v>0</v>
      </c>
      <c r="X344" s="213">
        <f>U339-U344</f>
        <v>0</v>
      </c>
    </row>
    <row r="345" spans="1:28" s="213" customFormat="1" ht="18" customHeight="1">
      <c r="A345" s="583"/>
      <c r="B345" s="605"/>
      <c r="C345" s="606"/>
      <c r="D345" s="201" t="s">
        <v>24</v>
      </c>
      <c r="E345" s="220"/>
      <c r="F345" s="199">
        <f t="shared" si="338"/>
        <v>16.401</v>
      </c>
      <c r="G345" s="199">
        <f t="shared" si="338"/>
        <v>39.713999999999999</v>
      </c>
      <c r="H345" s="199">
        <f t="shared" si="338"/>
        <v>47.058</v>
      </c>
      <c r="I345" s="199">
        <f t="shared" si="338"/>
        <v>43.67</v>
      </c>
      <c r="J345" s="199">
        <f t="shared" si="338"/>
        <v>44.755000000000003</v>
      </c>
      <c r="K345" s="199">
        <f t="shared" si="338"/>
        <v>46.813000000000002</v>
      </c>
      <c r="L345" s="199">
        <f>SUM(F345:K345)</f>
        <v>238.411</v>
      </c>
      <c r="M345" s="199">
        <f>L345/6</f>
        <v>39.734999999999999</v>
      </c>
      <c r="N345" s="199">
        <f t="shared" si="339"/>
        <v>35.338000000000001</v>
      </c>
      <c r="O345" s="199">
        <f t="shared" si="339"/>
        <v>27.609000000000002</v>
      </c>
      <c r="P345" s="199">
        <f t="shared" si="339"/>
        <v>55.134</v>
      </c>
      <c r="Q345" s="199">
        <f t="shared" si="339"/>
        <v>45.542000000000002</v>
      </c>
      <c r="R345" s="199">
        <f t="shared" si="339"/>
        <v>49.375999999999998</v>
      </c>
      <c r="S345" s="199">
        <f t="shared" si="339"/>
        <v>67.430000000000007</v>
      </c>
      <c r="T345" s="199">
        <f>SUM(N345:S345)</f>
        <v>280.42899999999997</v>
      </c>
      <c r="U345" s="199">
        <f>T345+L345</f>
        <v>518.84</v>
      </c>
      <c r="V345" s="199">
        <f>V360+V390</f>
        <v>581.71600000000001</v>
      </c>
      <c r="W345" s="221">
        <f>V345-U345</f>
        <v>62.875999999999998</v>
      </c>
      <c r="X345" s="213">
        <f>U340-U345</f>
        <v>62.875999999999998</v>
      </c>
    </row>
    <row r="346" spans="1:28" s="214" customFormat="1" ht="18" customHeight="1">
      <c r="A346" s="583"/>
      <c r="B346" s="605"/>
      <c r="C346" s="606"/>
      <c r="D346" s="202" t="s">
        <v>29</v>
      </c>
      <c r="E346" s="203"/>
      <c r="F346" s="203">
        <f t="shared" ref="F346:K346" si="340">F340+F339</f>
        <v>31.806000000000001</v>
      </c>
      <c r="G346" s="203">
        <f t="shared" si="340"/>
        <v>43.15</v>
      </c>
      <c r="H346" s="203">
        <f t="shared" si="340"/>
        <v>29.271000000000001</v>
      </c>
      <c r="I346" s="203">
        <f t="shared" si="340"/>
        <v>45.747999999999998</v>
      </c>
      <c r="J346" s="203">
        <f t="shared" si="340"/>
        <v>48.444000000000003</v>
      </c>
      <c r="K346" s="203">
        <f t="shared" si="340"/>
        <v>52.531999999999996</v>
      </c>
      <c r="L346" s="203">
        <f>SUM(F346:K346)</f>
        <v>250.95099999999999</v>
      </c>
      <c r="M346" s="203">
        <f>L346/6</f>
        <v>41.825000000000003</v>
      </c>
      <c r="N346" s="203">
        <f t="shared" ref="N346:S346" si="341">N340+N339</f>
        <v>29.715</v>
      </c>
      <c r="O346" s="203">
        <f t="shared" si="341"/>
        <v>34.237000000000002</v>
      </c>
      <c r="P346" s="203">
        <f t="shared" si="341"/>
        <v>62.139000000000003</v>
      </c>
      <c r="Q346" s="203">
        <f t="shared" si="341"/>
        <v>73.638000000000005</v>
      </c>
      <c r="R346" s="203">
        <f t="shared" si="341"/>
        <v>61.93</v>
      </c>
      <c r="S346" s="203">
        <f t="shared" si="341"/>
        <v>69.105999999999995</v>
      </c>
      <c r="T346" s="203">
        <f>SUM(N346:S346)</f>
        <v>330.76499999999999</v>
      </c>
      <c r="U346" s="203">
        <f>T346+L346</f>
        <v>581.71600000000001</v>
      </c>
      <c r="V346" s="203">
        <f>V340+V339</f>
        <v>581.71600000000001</v>
      </c>
      <c r="W346" s="203">
        <f>V346-U346</f>
        <v>0</v>
      </c>
    </row>
    <row r="347" spans="1:28" s="214" customFormat="1" ht="18" customHeight="1">
      <c r="A347" s="583"/>
      <c r="B347" s="605"/>
      <c r="C347" s="606"/>
      <c r="D347" s="202" t="s">
        <v>30</v>
      </c>
      <c r="E347" s="203"/>
      <c r="F347" s="203">
        <f t="shared" ref="F347:K347" si="342">F343-F346</f>
        <v>-15.404999999999999</v>
      </c>
      <c r="G347" s="203">
        <f t="shared" si="342"/>
        <v>-3.4359999999999999</v>
      </c>
      <c r="H347" s="203">
        <f t="shared" si="342"/>
        <v>17.786999999999999</v>
      </c>
      <c r="I347" s="203">
        <f t="shared" si="342"/>
        <v>-2.0779999999999998</v>
      </c>
      <c r="J347" s="203">
        <f t="shared" si="342"/>
        <v>-3.6890000000000001</v>
      </c>
      <c r="K347" s="203">
        <f t="shared" si="342"/>
        <v>-5.7190000000000003</v>
      </c>
      <c r="L347" s="203"/>
      <c r="M347" s="203"/>
      <c r="N347" s="203">
        <f t="shared" ref="N347:S347" si="343">N343-N346</f>
        <v>5.6230000000000002</v>
      </c>
      <c r="O347" s="203">
        <f t="shared" si="343"/>
        <v>-6.6280000000000001</v>
      </c>
      <c r="P347" s="203">
        <f t="shared" si="343"/>
        <v>-7.0049999999999999</v>
      </c>
      <c r="Q347" s="203">
        <f t="shared" si="343"/>
        <v>-28.096</v>
      </c>
      <c r="R347" s="203">
        <f t="shared" si="343"/>
        <v>-12.554</v>
      </c>
      <c r="S347" s="203">
        <f t="shared" si="343"/>
        <v>-1.6759999999999999</v>
      </c>
      <c r="T347" s="203"/>
      <c r="U347" s="203"/>
      <c r="V347" s="203"/>
      <c r="W347" s="203"/>
    </row>
    <row r="348" spans="1:28" s="214" customFormat="1" ht="18" customHeight="1">
      <c r="A348" s="583"/>
      <c r="B348" s="607"/>
      <c r="C348" s="608"/>
      <c r="D348" s="202" t="s">
        <v>31</v>
      </c>
      <c r="E348" s="203"/>
      <c r="F348" s="203">
        <f>F347</f>
        <v>-15.404999999999999</v>
      </c>
      <c r="G348" s="203">
        <f>G347+F348</f>
        <v>-18.841000000000001</v>
      </c>
      <c r="H348" s="203">
        <f>H347+G348</f>
        <v>-1.054</v>
      </c>
      <c r="I348" s="203">
        <f>I347+H348</f>
        <v>-3.1320000000000001</v>
      </c>
      <c r="J348" s="203">
        <f>J347+I348</f>
        <v>-6.8209999999999997</v>
      </c>
      <c r="K348" s="203">
        <f>K347+J348</f>
        <v>-12.54</v>
      </c>
      <c r="L348" s="203"/>
      <c r="M348" s="203"/>
      <c r="N348" s="203">
        <f>N347+K348</f>
        <v>-6.9169999999999998</v>
      </c>
      <c r="O348" s="203">
        <f>O347+N348</f>
        <v>-13.545</v>
      </c>
      <c r="P348" s="203">
        <f>P347+O348</f>
        <v>-20.55</v>
      </c>
      <c r="Q348" s="203">
        <f>Q347+P348</f>
        <v>-48.646000000000001</v>
      </c>
      <c r="R348" s="203">
        <f>R347+Q348</f>
        <v>-61.2</v>
      </c>
      <c r="S348" s="203">
        <f>S347+R348</f>
        <v>-62.875999999999998</v>
      </c>
      <c r="T348" s="203"/>
      <c r="U348" s="203"/>
      <c r="V348" s="203"/>
      <c r="W348" s="203"/>
    </row>
    <row r="349" spans="1:28" s="237" customFormat="1" ht="18" customHeight="1">
      <c r="A349" s="583"/>
      <c r="B349" s="585" t="s">
        <v>37</v>
      </c>
      <c r="C349" s="586"/>
      <c r="D349" s="178" t="s">
        <v>105</v>
      </c>
      <c r="E349" s="179"/>
      <c r="F349" s="180">
        <f>№2!F426+№5!F426+'№ 6'!F426+№14!F426+'№ 20'!F426+'№ 23'!F426+№27!F426+'№ 31'!F426+'№ 34'!F426+'№ 41'!F426</f>
        <v>3792</v>
      </c>
      <c r="G349" s="180">
        <f>№2!G426+№5!G426+'№ 6'!G426+№14!G426+'№ 20'!G426+'№ 23'!G426+№27!G426+'№ 31'!G426+'№ 34'!G426+'№ 41'!G426</f>
        <v>2713</v>
      </c>
      <c r="H349" s="180">
        <f>№2!H426+№5!H426+'№ 6'!H426+№14!H426+'№ 20'!H426+'№ 23'!H426+№27!H426+'№ 31'!H426+'№ 34'!H426+'№ 41'!H426</f>
        <v>3159.1</v>
      </c>
      <c r="I349" s="180">
        <f>№2!I426+№5!I426+'№ 6'!I426+№14!I426+'№ 20'!I426+'№ 23'!I426+№27!I426+'№ 31'!I426+'№ 34'!I426+'№ 41'!I426</f>
        <v>3453.4</v>
      </c>
      <c r="J349" s="180">
        <f>№2!J426+№5!J426+'№ 6'!J426+№14!J426+'№ 20'!J426+'№ 23'!J426+№27!J426+'№ 31'!J426+'№ 34'!J426+'№ 41'!J426</f>
        <v>3209.1</v>
      </c>
      <c r="K349" s="180">
        <f>№2!K426+№5!K426+'№ 6'!K426+№14!K426+'№ 20'!K426+'№ 23'!K426+№27!K426+'№ 31'!K426+'№ 34'!K426+'№ 41'!K426</f>
        <v>2891</v>
      </c>
      <c r="L349" s="215">
        <f>SUM(F349:K349)</f>
        <v>19217.599999999999</v>
      </c>
      <c r="M349" s="215">
        <f>L349/6</f>
        <v>3202.9</v>
      </c>
      <c r="N349" s="180">
        <f>№2!N426+№5!N426+'№ 6'!N426+№14!N426+'№ 20'!N426+'№ 23'!N426+№27!N426+'№ 31'!N426+'№ 34'!N426+'№ 41'!N426</f>
        <v>3528.7</v>
      </c>
      <c r="O349" s="180">
        <f>№2!O426+№5!O426+'№ 6'!O426+№14!O426+'№ 20'!O426+'№ 23'!O426+№27!O426+'№ 31'!O426+'№ 34'!O426+'№ 41'!O426</f>
        <v>3399.6</v>
      </c>
      <c r="P349" s="180">
        <f>№2!P426+№5!P426+'№ 6'!P426+№14!P426+'№ 20'!P426+'№ 23'!P426+№27!P426+'№ 31'!P426+'№ 34'!P426+'№ 41'!P426</f>
        <v>3237.8</v>
      </c>
      <c r="Q349" s="180">
        <f>№2!Q426+№5!Q426+'№ 6'!Q426+№14!Q426+'№ 20'!Q426+'№ 23'!Q426+№27!Q426+'№ 31'!Q426+'№ 34'!Q426+'№ 41'!Q426</f>
        <v>2895.9</v>
      </c>
      <c r="R349" s="180">
        <f>№2!R426+№5!R426+'№ 6'!R426+№14!R426+'№ 20'!R426+'№ 23'!R426+№27!R426+'№ 31'!R426+'№ 34'!R426+'№ 41'!R426</f>
        <v>2901.1</v>
      </c>
      <c r="S349" s="180">
        <f>№2!S426+№5!S426+'№ 6'!S426+№14!S426+'№ 20'!S426+'№ 23'!S426+№27!S426+'№ 31'!S426+'№ 34'!S426+'№ 41'!S426</f>
        <v>4207.8</v>
      </c>
      <c r="T349" s="215">
        <f>SUM(N349:S349)</f>
        <v>20170.900000000001</v>
      </c>
      <c r="U349" s="215">
        <f>T349+L349</f>
        <v>39388.5</v>
      </c>
      <c r="V349" s="233">
        <f>№2!V426+№5!V426+'№ 6'!V426+№14!V426+'№ 20'!V426+'№ 23'!V426+№27!V426+'№ 31'!V426+'№ 34'!V426+'№ 41'!V426</f>
        <v>27940.400000000001</v>
      </c>
      <c r="W349" s="184"/>
      <c r="X349" s="209"/>
    </row>
    <row r="350" spans="1:28" s="186" customFormat="1" ht="18" customHeight="1">
      <c r="A350" s="583"/>
      <c r="B350" s="587"/>
      <c r="C350" s="588"/>
      <c r="D350" s="178" t="s">
        <v>109</v>
      </c>
      <c r="E350" s="179"/>
      <c r="F350" s="180">
        <f>№2!F427+№5!F427+'№ 6'!F427+№14!F427+'№ 20'!F427+'№ 23'!F427+№27!F427+'№ 31'!F427+'№ 34'!F427+'№ 41'!F427</f>
        <v>2902.2</v>
      </c>
      <c r="G350" s="180">
        <f>№2!G427+№5!G427+'№ 6'!G427+№14!G427+'№ 20'!G427+'№ 23'!G427+№27!G427+'№ 31'!G427+'№ 34'!G427+'№ 41'!G427</f>
        <v>2992.7</v>
      </c>
      <c r="H350" s="180">
        <f>№2!H427+№5!H427+'№ 6'!H427+№14!H427+'№ 20'!H427+'№ 23'!H427+№27!H427+'№ 31'!H427+'№ 34'!H427+'№ 41'!H427</f>
        <v>2857.3</v>
      </c>
      <c r="I350" s="180">
        <f>№2!I427+№5!I427+'№ 6'!I427+№14!I427+'№ 20'!I427+'№ 23'!I427+№27!I427+'№ 31'!I427+'№ 34'!I427+'№ 41'!I427</f>
        <v>2907.7</v>
      </c>
      <c r="J350" s="180">
        <f>№2!J427+№5!J427+'№ 6'!J427+№14!J427+'№ 20'!J427+'№ 23'!J427+№27!J427+'№ 31'!J427+'№ 34'!J427+'№ 41'!J427</f>
        <v>2817.6</v>
      </c>
      <c r="K350" s="180">
        <f>№2!K427+№5!K427+'№ 6'!K427+№14!K427+'№ 20'!K427+'№ 23'!K427+№27!K427+'№ 31'!K427+'№ 34'!K427+'№ 41'!K427</f>
        <v>3542.8</v>
      </c>
      <c r="L350" s="215">
        <f>SUM(F350:K350)</f>
        <v>18020.3</v>
      </c>
      <c r="M350" s="215">
        <f>L350/6</f>
        <v>3003.4</v>
      </c>
      <c r="N350" s="180">
        <f>№2!N427+№5!N427+'№ 6'!N427+№14!N427+'№ 20'!N427+'№ 23'!N427+№27!N427+'№ 31'!N427+'№ 34'!N427+'№ 41'!N427</f>
        <v>3171.3</v>
      </c>
      <c r="O350" s="180">
        <f>№2!O427+№5!O427+'№ 6'!O427+№14!O427+'№ 20'!O427+'№ 23'!O427+№27!O427+'№ 31'!O427+'№ 34'!O427+'№ 41'!O427</f>
        <v>3262.2</v>
      </c>
      <c r="P350" s="180">
        <f>№2!P427+№5!P427+'№ 6'!P427+№14!P427+'№ 20'!P427+'№ 23'!P427+№27!P427+'№ 31'!P427+'№ 34'!P427+'№ 41'!P427</f>
        <v>3021.6</v>
      </c>
      <c r="Q350" s="180">
        <f>№2!Q427+№5!Q427+'№ 6'!Q427+№14!Q427+'№ 20'!Q427+'№ 23'!Q427+№27!Q427+'№ 31'!Q427+'№ 34'!Q427+'№ 41'!Q427</f>
        <v>3047.7</v>
      </c>
      <c r="R350" s="180">
        <f>№2!R427+№5!R427+'№ 6'!R427+№14!R427+'№ 20'!R427+'№ 23'!R427+№27!R427+'№ 31'!R427+'№ 34'!R427+'№ 41'!R427</f>
        <v>3524.1</v>
      </c>
      <c r="S350" s="180">
        <f>№2!S427+№5!S427+'№ 6'!S427+№14!S427+'№ 20'!S427+'№ 23'!S427+№27!S427+'№ 31'!S427+'№ 34'!S427+'№ 41'!S427</f>
        <v>3779.9</v>
      </c>
      <c r="T350" s="215">
        <f>SUM(N350:S350)</f>
        <v>19806.8</v>
      </c>
      <c r="U350" s="215">
        <f>T350+L350</f>
        <v>37827.1</v>
      </c>
      <c r="V350" s="233">
        <f>№2!V427+№5!V427+'№ 6'!V427+№14!V427+'№ 20'!V427+'№ 23'!V427+№27!V427+'№ 31'!V427+'№ 34'!V427+'№ 41'!V427</f>
        <v>36110.9</v>
      </c>
      <c r="W350" s="184"/>
      <c r="X350" s="185"/>
    </row>
    <row r="351" spans="1:28" s="237" customFormat="1" ht="18" customHeight="1">
      <c r="A351" s="583"/>
      <c r="B351" s="587"/>
      <c r="C351" s="588"/>
      <c r="D351" s="178" t="s">
        <v>116</v>
      </c>
      <c r="E351" s="179"/>
      <c r="F351" s="264">
        <f>№2!F428+№5!F428+'№ 6'!F428+№14!F428+'№ 20'!F428+'№ 23'!F428+№27!F428+'№ 31'!F428+'№ 34'!F428+'№ 41'!F428</f>
        <v>2347.8490000000002</v>
      </c>
      <c r="G351" s="264">
        <f>№2!G428+№5!G428+'№ 6'!G428+№14!G428+'№ 20'!G428+'№ 23'!G428+№27!G428+'№ 31'!G428+'№ 34'!G428+'№ 41'!G428</f>
        <v>2600.7339999999999</v>
      </c>
      <c r="H351" s="264">
        <f>№2!H428+№5!H428+'№ 6'!H428+№14!H428+'№ 20'!H428+'№ 23'!H428+№27!H428+'№ 31'!H428+'№ 34'!H428+'№ 41'!H428</f>
        <v>2790.18</v>
      </c>
      <c r="I351" s="264">
        <f>№2!I428+№5!I428+'№ 6'!I428+№14!I428+'№ 20'!I428+'№ 23'!I428+№27!I428+'№ 31'!I428+'№ 34'!I428+'№ 41'!I428</f>
        <v>3128.25</v>
      </c>
      <c r="J351" s="264">
        <f>№2!J428+№5!J428+'№ 6'!J428+№14!J428+'№ 20'!J428+'№ 23'!J428+№27!J428+'№ 31'!J428+'№ 34'!J428+'№ 41'!J428</f>
        <v>3168.5</v>
      </c>
      <c r="K351" s="264">
        <f>№2!K428+№5!K428+'№ 6'!K428+№14!K428+'№ 20'!K428+'№ 23'!K428+№27!K428+'№ 31'!K428+'№ 34'!K428+'№ 41'!K428</f>
        <v>3317</v>
      </c>
      <c r="L351" s="262">
        <f>SUM(F351:K351)</f>
        <v>17352.512999999999</v>
      </c>
      <c r="M351" s="262">
        <f>L351/6</f>
        <v>2892.0859999999998</v>
      </c>
      <c r="N351" s="264">
        <f>№2!N428+№5!N428+'№ 6'!N428+№14!N428+'№ 20'!N428+'№ 23'!N428+№27!N428+'№ 31'!N428+'№ 34'!N428+'№ 41'!N428</f>
        <v>2199.8000000000002</v>
      </c>
      <c r="O351" s="264">
        <f>№2!O428+№5!O428+'№ 6'!O428+№14!O428+'№ 20'!O428+'№ 23'!O428+№27!O428+'№ 31'!O428+'№ 34'!O428+'№ 41'!O428</f>
        <v>2461.29</v>
      </c>
      <c r="P351" s="264">
        <f>№2!P428+№5!P428+'№ 6'!P428+№14!P428+'№ 20'!P428+'№ 23'!P428+№27!P428+'№ 31'!P428+'№ 34'!P428+'№ 41'!P428</f>
        <v>3120</v>
      </c>
      <c r="Q351" s="264">
        <f>№2!Q428+№5!Q428+'№ 6'!Q428+№14!Q428+'№ 20'!Q428+'№ 23'!Q428+№27!Q428+'№ 31'!Q428+'№ 34'!Q428+'№ 41'!Q428</f>
        <v>3210.8</v>
      </c>
      <c r="R351" s="264">
        <f>№2!R428+№5!R428+'№ 6'!R428+№14!R428+'№ 20'!R428+'№ 23'!R428+№27!R428+'№ 31'!R428+'№ 34'!R428+'№ 41'!R428</f>
        <v>3481.1</v>
      </c>
      <c r="S351" s="264">
        <f>№2!S428+№5!S428+'№ 6'!S428+№14!S428+'№ 20'!S428+'№ 23'!S428+№27!S428+'№ 31'!S428+'№ 34'!S428+'№ 41'!S428</f>
        <v>4754.26</v>
      </c>
      <c r="T351" s="280">
        <f>SUM(N351:S351)</f>
        <v>19227.25</v>
      </c>
      <c r="U351" s="280">
        <f>T351+L351</f>
        <v>36579.760000000002</v>
      </c>
      <c r="V351" s="233">
        <f>№2!V428+№5!V428+'№ 6'!V428+№14!V428+'№ 20'!V428+'№ 23'!V428+№27!V428+'№ 31'!V428+'№ 34'!V428+'№ 41'!V428</f>
        <v>40820.300000000003</v>
      </c>
      <c r="W351" s="184">
        <f>V351-U351</f>
        <v>4240.5</v>
      </c>
      <c r="X351" s="209"/>
      <c r="Y351" s="157"/>
      <c r="Z351" s="157"/>
      <c r="AA351" s="157"/>
      <c r="AB351" s="157"/>
    </row>
    <row r="352" spans="1:28" s="173" customFormat="1" ht="18" customHeight="1">
      <c r="A352" s="583"/>
      <c r="B352" s="587"/>
      <c r="C352" s="588"/>
      <c r="D352" s="187" t="s">
        <v>27</v>
      </c>
      <c r="E352" s="188" t="e">
        <f>E353/E351*1000</f>
        <v>#DIV/0!</v>
      </c>
      <c r="F352" s="188">
        <f>F353/F351*1000</f>
        <v>14.183999999999999</v>
      </c>
      <c r="G352" s="188">
        <f>G353*1000/G351</f>
        <v>14.183999999999999</v>
      </c>
      <c r="H352" s="188">
        <f>H353*1000/H351</f>
        <v>14.183999999999999</v>
      </c>
      <c r="I352" s="188">
        <f>I353*1000/I351</f>
        <v>14.183999999999999</v>
      </c>
      <c r="J352" s="188">
        <f>J353*1000/J351</f>
        <v>14.183999999999999</v>
      </c>
      <c r="K352" s="188">
        <f>K353*1000/K351</f>
        <v>14.183999999999999</v>
      </c>
      <c r="L352" s="217">
        <f>L353/L351*1000</f>
        <v>14.18</v>
      </c>
      <c r="M352" s="217">
        <f>M353/M351*1000</f>
        <v>14.18</v>
      </c>
      <c r="N352" s="188">
        <f t="shared" ref="N352:S352" si="344">N353*1000/N351</f>
        <v>14.183999999999999</v>
      </c>
      <c r="O352" s="188">
        <f t="shared" si="344"/>
        <v>14.183999999999999</v>
      </c>
      <c r="P352" s="188">
        <f t="shared" si="344"/>
        <v>14.183999999999999</v>
      </c>
      <c r="Q352" s="188">
        <f t="shared" si="344"/>
        <v>14.183999999999999</v>
      </c>
      <c r="R352" s="188">
        <f t="shared" si="344"/>
        <v>14.183999999999999</v>
      </c>
      <c r="S352" s="188">
        <f t="shared" si="344"/>
        <v>14.183</v>
      </c>
      <c r="T352" s="217">
        <f>T353/T351*1000</f>
        <v>14.18</v>
      </c>
      <c r="U352" s="217">
        <f>U353/U351*1000</f>
        <v>14.18</v>
      </c>
      <c r="V352" s="218">
        <f t="shared" ref="V352" si="345">V353*1000/V351</f>
        <v>14.250999999999999</v>
      </c>
      <c r="W352" s="189">
        <f>W353/W351*1000</f>
        <v>14.827</v>
      </c>
      <c r="X352" s="209"/>
      <c r="Y352" s="157"/>
      <c r="Z352" s="157"/>
      <c r="AA352" s="157"/>
      <c r="AB352" s="157"/>
    </row>
    <row r="353" spans="1:28" s="173" customFormat="1" ht="18" customHeight="1">
      <c r="A353" s="583"/>
      <c r="B353" s="587"/>
      <c r="C353" s="588"/>
      <c r="D353" s="191" t="s">
        <v>0</v>
      </c>
      <c r="E353" s="192"/>
      <c r="F353" s="192">
        <f>№2!F430+№5!F430+'№ 6'!F430+№14!F430+'№ 20'!F430+'№ 23'!F430+№27!F430+'№ 31'!F430+'№ 34'!F430+'№ 41'!F430</f>
        <v>33.301000000000002</v>
      </c>
      <c r="G353" s="192">
        <f>№2!G430+№5!G430+'№ 6'!G430+№14!G430+'№ 20'!G430+'№ 23'!G430+№27!G430+'№ 31'!G430+'№ 34'!G430+'№ 41'!G430</f>
        <v>36.887999999999998</v>
      </c>
      <c r="H353" s="192">
        <f>№2!H430+№5!H430+'№ 6'!H430+№14!H430+'№ 20'!H430+'№ 23'!H430+№27!H430+'№ 31'!H430+'№ 34'!H430+'№ 41'!H430</f>
        <v>39.576000000000001</v>
      </c>
      <c r="I353" s="192">
        <f>№2!I430+№5!I430+'№ 6'!I430+№14!I430+'№ 20'!I430+'№ 23'!I430+№27!I430+'№ 31'!I430+'№ 34'!I430+'№ 41'!I430</f>
        <v>44.371000000000002</v>
      </c>
      <c r="J353" s="192">
        <f>№2!J430+№5!J430+'№ 6'!J430+№14!J430+'№ 20'!J430+'№ 23'!J430+№27!J430+'№ 31'!J430+'№ 34'!J430+'№ 41'!J430</f>
        <v>44.942999999999998</v>
      </c>
      <c r="K353" s="192">
        <f>№2!K430+№5!K430+'№ 6'!K430+№14!K430+'№ 20'!K430+'№ 23'!K430+№27!K430+'№ 31'!K430+'№ 34'!K430+'№ 41'!K430</f>
        <v>47.046999999999997</v>
      </c>
      <c r="L353" s="194">
        <f>SUM(F353:K353)</f>
        <v>246.126</v>
      </c>
      <c r="M353" s="194">
        <f>L353/6</f>
        <v>41.021000000000001</v>
      </c>
      <c r="N353" s="192">
        <f>№2!N430+№5!N430+'№ 6'!N430+№14!N430+'№ 20'!N430+'№ 23'!N430+№27!N430+'№ 31'!N430+'№ 34'!N430+'№ 41'!N430</f>
        <v>31.201000000000001</v>
      </c>
      <c r="O353" s="192">
        <f>№2!O430+№5!O430+'№ 6'!O430+№14!O430+'№ 20'!O430+'№ 23'!O430+№27!O430+'№ 31'!O430+'№ 34'!O430+'№ 41'!O430</f>
        <v>34.911000000000001</v>
      </c>
      <c r="P353" s="192">
        <f>№2!P430+№5!P430+'№ 6'!P430+№14!P430+'№ 20'!P430+'№ 23'!P430+№27!P430+'№ 31'!P430+'№ 34'!P430+'№ 41'!P430</f>
        <v>44.253</v>
      </c>
      <c r="Q353" s="192">
        <f>№2!Q430+№5!Q430+'№ 6'!Q430+№14!Q430+'№ 20'!Q430+'№ 23'!Q430+№27!Q430+'№ 31'!Q430+'№ 34'!Q430+'№ 41'!Q430</f>
        <v>45.542000000000002</v>
      </c>
      <c r="R353" s="192">
        <f>№2!R430+№5!R430+'№ 6'!R430+№14!R430+'№ 20'!R430+'№ 23'!R430+№27!R430+'№ 31'!R430+'№ 34'!R430+'№ 41'!R430</f>
        <v>49.375999999999998</v>
      </c>
      <c r="S353" s="192">
        <f>№2!S430+№5!S430+'№ 6'!S430+№14!S430+'№ 20'!S430+'№ 23'!S430+№27!S430+'№ 31'!S430+'№ 34'!S430+'№ 41'!S430</f>
        <v>67.430999999999997</v>
      </c>
      <c r="T353" s="194">
        <f>SUM(N353:S353)</f>
        <v>272.714</v>
      </c>
      <c r="U353" s="194">
        <f>T353+L353</f>
        <v>518.84</v>
      </c>
      <c r="V353" s="194">
        <f>№2!V430+№5!V430+'№ 6'!V430+№14!V430+'№ 20'!V430+'№ 23'!V430+№27!V430+'№ 31'!V430+'№ 34'!V430+'№ 41'!V430</f>
        <v>581.71600000000001</v>
      </c>
      <c r="W353" s="193">
        <f>V353-U353</f>
        <v>62.875999999999998</v>
      </c>
      <c r="X353" s="172"/>
    </row>
    <row r="354" spans="1:28" s="173" customFormat="1" ht="18" customHeight="1">
      <c r="A354" s="583"/>
      <c r="B354" s="587"/>
      <c r="C354" s="588"/>
      <c r="D354" s="174" t="s">
        <v>55</v>
      </c>
      <c r="E354" s="210"/>
      <c r="F354" s="192">
        <f>№2!F431+№5!F431+'№ 6'!F431+№14!F431+'№ 20'!F431+'№ 23'!F431+№27!F431+'№ 31'!F431+'№ 34'!F431+'№ 41'!F431</f>
        <v>0</v>
      </c>
      <c r="G354" s="192">
        <f>№2!G431+№5!G431+'№ 6'!G431+№14!G431+'№ 20'!G431+'№ 23'!G431+№27!G431+'№ 31'!G431+'№ 34'!G431+'№ 41'!G431</f>
        <v>0</v>
      </c>
      <c r="H354" s="192">
        <f>№2!H431+№5!H431+'№ 6'!H431+№14!H431+'№ 20'!H431+'№ 23'!H431+№27!H431+'№ 31'!H431+'№ 34'!H431+'№ 41'!H431</f>
        <v>0</v>
      </c>
      <c r="I354" s="192">
        <f>№2!I431+№5!I431+'№ 6'!I431+№14!I431+'№ 20'!I431+'№ 23'!I431+№27!I431+'№ 31'!I431+'№ 34'!I431+'№ 41'!I431</f>
        <v>0</v>
      </c>
      <c r="J354" s="192">
        <f>№2!J431+№5!J431+'№ 6'!J431+№14!J431+'№ 20'!J431+'№ 23'!J431+№27!J431+'№ 31'!J431+'№ 34'!J431+'№ 41'!J431</f>
        <v>0</v>
      </c>
      <c r="K354" s="192">
        <f>№2!K431+№5!K431+'№ 6'!K431+№14!K431+'№ 20'!K431+'№ 23'!K431+№27!K431+'№ 31'!K431+'№ 34'!K431+'№ 41'!K431</f>
        <v>0</v>
      </c>
      <c r="L354" s="194">
        <f>SUM(F354:K354)</f>
        <v>0</v>
      </c>
      <c r="M354" s="194">
        <f>L354/6</f>
        <v>0</v>
      </c>
      <c r="N354" s="192">
        <v>0</v>
      </c>
      <c r="O354" s="192">
        <v>0</v>
      </c>
      <c r="P354" s="192">
        <v>0</v>
      </c>
      <c r="Q354" s="192">
        <v>0</v>
      </c>
      <c r="R354" s="192">
        <v>0</v>
      </c>
      <c r="S354" s="192">
        <v>0</v>
      </c>
      <c r="T354" s="194">
        <f>SUM(N354:S354)</f>
        <v>0</v>
      </c>
      <c r="U354" s="194">
        <f>T354+L354</f>
        <v>0</v>
      </c>
      <c r="V354" s="194">
        <f>№2!V431+№5!V431+'№ 6'!V431+№14!V431+'№ 20'!V431+'№ 23'!V431+№27!V431+'№ 31'!V431+'№ 34'!V431+'№ 41'!V431</f>
        <v>0</v>
      </c>
      <c r="W354" s="193">
        <f>V354-U354</f>
        <v>0</v>
      </c>
      <c r="X354" s="172"/>
    </row>
    <row r="355" spans="1:28" s="173" customFormat="1" ht="18" customHeight="1">
      <c r="A355" s="583"/>
      <c r="B355" s="587"/>
      <c r="C355" s="588"/>
      <c r="D355" s="174" t="s">
        <v>28</v>
      </c>
      <c r="E355" s="210"/>
      <c r="F355" s="192">
        <f>№2!F432+№5!F432+'№ 6'!F432+№14!F432+'№ 20'!F432+'№ 23'!F432+№27!F432+'№ 31'!F432+'№ 34'!F432+'№ 41'!F432</f>
        <v>31.806000000000001</v>
      </c>
      <c r="G355" s="192">
        <f>№2!G432+№5!G432+'№ 6'!G432+№14!G432+'№ 20'!G432+'№ 23'!G432+№27!G432+'№ 31'!G432+'№ 34'!G432+'№ 41'!G432</f>
        <v>43.15</v>
      </c>
      <c r="H355" s="192">
        <f>№2!H432+№5!H432+'№ 6'!H432+№14!H432+'№ 20'!H432+'№ 23'!H432+№27!H432+'№ 31'!H432+'№ 34'!H432+'№ 41'!H432</f>
        <v>29.271000000000001</v>
      </c>
      <c r="I355" s="192">
        <f>№2!I432+№5!I432+'№ 6'!I432+№14!I432+'№ 20'!I432+'№ 23'!I432+№27!I432+'№ 31'!I432+'№ 34'!I432+'№ 41'!I432</f>
        <v>45.747999999999998</v>
      </c>
      <c r="J355" s="192">
        <f>№2!J432+№5!J432+'№ 6'!J432+№14!J432+'№ 20'!J432+'№ 23'!J432+№27!J432+'№ 31'!J432+'№ 34'!J432+'№ 41'!J432</f>
        <v>48.444000000000003</v>
      </c>
      <c r="K355" s="192">
        <f>№2!K432+№5!K432+'№ 6'!K432+№14!K432+'№ 20'!K432+'№ 23'!K432+№27!K432+'№ 31'!K432+'№ 34'!K432+'№ 41'!K432</f>
        <v>52.531999999999996</v>
      </c>
      <c r="L355" s="194">
        <f>SUM(F355:K355)</f>
        <v>250.95099999999999</v>
      </c>
      <c r="M355" s="194">
        <f>L355/6</f>
        <v>41.825000000000003</v>
      </c>
      <c r="N355" s="192">
        <f>№2!N432+№5!N432+'№ 6'!N432+№14!N432+'№ 20'!N432+'№ 23'!N432+№27!N432+'№ 31'!N432+'№ 34'!N432+'№ 41'!N432</f>
        <v>29.715</v>
      </c>
      <c r="O355" s="192">
        <f>№2!O432+№5!O432+'№ 6'!O432+№14!O432+'№ 20'!O432+'№ 23'!O432+№27!O432+'№ 31'!O432+'№ 34'!O432+'№ 41'!O432</f>
        <v>34.237000000000002</v>
      </c>
      <c r="P355" s="192">
        <f>№2!P432+№5!P432+'№ 6'!P432+№14!P432+'№ 20'!P432+'№ 23'!P432+№27!P432+'№ 31'!P432+'№ 34'!P432+'№ 41'!P432</f>
        <v>62.139000000000003</v>
      </c>
      <c r="Q355" s="192">
        <f>№2!Q432+№5!Q432+'№ 6'!Q432+№14!Q432+'№ 20'!Q432+'№ 23'!Q432+№27!Q432+'№ 31'!Q432+'№ 34'!Q432+'№ 41'!Q432</f>
        <v>73.638000000000005</v>
      </c>
      <c r="R355" s="192">
        <f>№2!R432+№5!R432+'№ 6'!R432+№14!R432+'№ 20'!R432+'№ 23'!R432+№27!R432+'№ 31'!R432+'№ 34'!R432+'№ 41'!R432</f>
        <v>61.93</v>
      </c>
      <c r="S355" s="192">
        <f>№2!S432+№5!S432+'№ 6'!S432+№14!S432+'№ 20'!S432+'№ 23'!S432+№27!S432+'№ 31'!S432+'№ 34'!S432+'№ 41'!S432</f>
        <v>69.105999999999995</v>
      </c>
      <c r="T355" s="194">
        <f>SUM(N355:S355)</f>
        <v>330.76499999999999</v>
      </c>
      <c r="U355" s="194">
        <f>T355+L355</f>
        <v>581.71600000000001</v>
      </c>
      <c r="V355" s="194">
        <f>№2!V432+№5!V432+'№ 6'!V432+№14!V432+'№ 20'!V432+'№ 23'!V432+№27!V432+'№ 31'!V432+'№ 34'!V432+'№ 41'!V432</f>
        <v>581.71600000000001</v>
      </c>
      <c r="W355" s="193">
        <f>V355-U355</f>
        <v>0</v>
      </c>
      <c r="X355" s="172"/>
    </row>
    <row r="356" spans="1:28" s="157" customFormat="1" ht="18" customHeight="1">
      <c r="A356" s="583"/>
      <c r="B356" s="587"/>
      <c r="C356" s="588"/>
      <c r="D356" s="178" t="s">
        <v>117</v>
      </c>
      <c r="E356" s="179">
        <f>№2!E433+№5!E433+'№ 6'!E433+№14!E433+'№ 20'!E433+'№ 23'!E433+№27!E433+'№ 31'!E433+'№ 34'!E433+'№ 41'!E433</f>
        <v>0</v>
      </c>
      <c r="F356" s="260">
        <f>№2!F433+№5!F433+'№ 6'!F433+№14!F433+'№ 20'!F433+'№ 23'!F433+№27!F433+'№ 31'!F433+'№ 34'!F433+'№ 41'!F433</f>
        <v>1156.319</v>
      </c>
      <c r="G356" s="260">
        <f>№2!G433+№5!G433+'№ 6'!G433+№14!G433+'№ 20'!G433+'№ 23'!G433+№27!G433+'№ 31'!G433+'№ 34'!G433+'№ 41'!G433</f>
        <v>2799.8490000000002</v>
      </c>
      <c r="H356" s="260">
        <f>№2!H433+№5!H433+'№ 6'!H433+№14!H433+'№ 20'!H433+'№ 23'!H433+№27!H433+'№ 31'!H433+'№ 34'!H433+'№ 41'!H433</f>
        <v>3317.7150000000001</v>
      </c>
      <c r="I356" s="260">
        <f>№2!I433+№5!I433+'№ 6'!I433+№14!I433+'№ 20'!I433+'№ 23'!I433+№27!I433+'№ 31'!I433+'№ 34'!I433+'№ 41'!I433</f>
        <v>3078.866</v>
      </c>
      <c r="J356" s="260">
        <f>№2!J433+№5!J433+'№ 6'!J433+№14!J433+'№ 20'!J433+'№ 23'!J433+№27!J433+'№ 31'!J433+'№ 34'!J433+'№ 41'!J433</f>
        <v>3155.24</v>
      </c>
      <c r="K356" s="260">
        <f>№2!K433+№5!K433+'№ 6'!K433+№14!K433+'№ 20'!K433+'№ 23'!K433+№27!K433+'№ 31'!K433+'№ 34'!K433+'№ 41'!K433</f>
        <v>3300.4479999999999</v>
      </c>
      <c r="L356" s="330">
        <f>SUM(F356:K356)</f>
        <v>16808.437000000002</v>
      </c>
      <c r="M356" s="330">
        <f>L356/6</f>
        <v>2801.4061999999999</v>
      </c>
      <c r="N356" s="260">
        <f>№2!N433+№5!N433+'№ 6'!N433+№14!N433+'№ 20'!N433+'№ 23'!N433+№27!N433+'№ 31'!N433+'№ 34'!N433+'№ 41'!N433</f>
        <v>2491.5</v>
      </c>
      <c r="O356" s="260">
        <f>№2!O433+№5!O433+'№ 6'!O433+№14!O433+'№ 20'!O433+'№ 23'!O433+№27!O433+'№ 31'!O433+'№ 34'!O433+'№ 41'!O433</f>
        <v>1946.47</v>
      </c>
      <c r="P356" s="260">
        <f>№2!P433+№5!P433+'№ 6'!P433+№14!P433+'№ 20'!P433+'№ 23'!P433+№27!P433+'№ 31'!P433+'№ 34'!P433+'№ 41'!P433</f>
        <v>3887.2</v>
      </c>
      <c r="Q356" s="260">
        <f>№2!Q433+№5!Q433+'№ 6'!Q433+№14!Q433+'№ 20'!Q433+'№ 23'!Q433+№27!Q433+'№ 31'!Q433+'№ 34'!Q433+'№ 41'!Q433</f>
        <v>3210.8</v>
      </c>
      <c r="R356" s="260">
        <f>№2!R433+№5!R433+'№ 6'!R433+№14!R433+'№ 20'!R433+'№ 23'!R433+№27!R433+'№ 31'!R433+'№ 34'!R433+'№ 41'!R433</f>
        <v>3481.1</v>
      </c>
      <c r="S356" s="260">
        <f>№2!S433+№5!S433+'№ 6'!S433+№14!S433+'№ 20'!S433+'№ 23'!S433+№27!S433+'№ 31'!S433+'№ 34'!S433+'№ 41'!S433</f>
        <v>4754.26</v>
      </c>
      <c r="T356" s="234">
        <f>SUM(N356:S356)</f>
        <v>19771.330000000002</v>
      </c>
      <c r="U356" s="234">
        <f>T356+L356</f>
        <v>36579.767</v>
      </c>
      <c r="V356" s="179">
        <f>№2!V433+№5!V433+'№ 6'!V433+№14!V433+'№ 20'!V433+'№ 23'!V433+№27!V433+'№ 31'!V433+'№ 34'!V433+'№ 41'!V433</f>
        <v>40820.300000000003</v>
      </c>
      <c r="W356" s="184">
        <f>V356-U356</f>
        <v>4240.5</v>
      </c>
      <c r="X356" s="279">
        <f>U351-U356</f>
        <v>0</v>
      </c>
    </row>
    <row r="357" spans="1:28" s="228" customFormat="1" ht="18" customHeight="1">
      <c r="A357" s="583"/>
      <c r="B357" s="587"/>
      <c r="C357" s="588"/>
      <c r="D357" s="187" t="s">
        <v>27</v>
      </c>
      <c r="E357" s="188" t="e">
        <f t="shared" ref="E357:K357" si="346">E358*1000/E356</f>
        <v>#DIV/0!</v>
      </c>
      <c r="F357" s="188">
        <f t="shared" si="346"/>
        <v>14.183999999999999</v>
      </c>
      <c r="G357" s="188">
        <f t="shared" si="346"/>
        <v>14.183999999999999</v>
      </c>
      <c r="H357" s="188">
        <f t="shared" si="346"/>
        <v>14.183999999999999</v>
      </c>
      <c r="I357" s="188">
        <f t="shared" si="346"/>
        <v>14.183999999999999</v>
      </c>
      <c r="J357" s="188">
        <f t="shared" si="346"/>
        <v>14.183999999999999</v>
      </c>
      <c r="K357" s="188">
        <f t="shared" si="346"/>
        <v>14.183999999999999</v>
      </c>
      <c r="L357" s="217">
        <f>L358/L356*1000</f>
        <v>14.18</v>
      </c>
      <c r="M357" s="217">
        <f>M358/M356*1000</f>
        <v>14.18</v>
      </c>
      <c r="N357" s="188">
        <f t="shared" ref="N357:S357" si="347">N358*1000/N356</f>
        <v>14.183</v>
      </c>
      <c r="O357" s="188">
        <f t="shared" si="347"/>
        <v>14.183999999999999</v>
      </c>
      <c r="P357" s="188">
        <f t="shared" si="347"/>
        <v>14.183</v>
      </c>
      <c r="Q357" s="188">
        <f t="shared" si="347"/>
        <v>14.183999999999999</v>
      </c>
      <c r="R357" s="188">
        <f t="shared" si="347"/>
        <v>14.183999999999999</v>
      </c>
      <c r="S357" s="188">
        <f t="shared" si="347"/>
        <v>14.183</v>
      </c>
      <c r="T357" s="217">
        <f>T358/T356*1000</f>
        <v>14.18</v>
      </c>
      <c r="U357" s="217">
        <f>U358/U356*1000</f>
        <v>14.18</v>
      </c>
      <c r="V357" s="218">
        <f t="shared" ref="V357" si="348">V358*1000/V356</f>
        <v>14.250999999999999</v>
      </c>
      <c r="W357" s="189">
        <f>W358/W356*1000</f>
        <v>14.827</v>
      </c>
      <c r="X357" s="225"/>
      <c r="Y357" s="209"/>
      <c r="Z357" s="209"/>
      <c r="AA357" s="209"/>
      <c r="AB357" s="209"/>
    </row>
    <row r="358" spans="1:28" s="239" customFormat="1" ht="18" customHeight="1">
      <c r="A358" s="583"/>
      <c r="B358" s="587"/>
      <c r="C358" s="588"/>
      <c r="D358" s="198" t="s">
        <v>25</v>
      </c>
      <c r="E358" s="199">
        <f>№2!E435+№5!E435+'№ 6'!E435+№14!E435+'№ 20'!E435+'№ 23'!E435+№27!E435+'№ 31'!E435+'№ 34'!E435+'№ 41'!E435</f>
        <v>0</v>
      </c>
      <c r="F358" s="199">
        <f>№2!F435+№5!F435+'№ 6'!F435+№14!F435+'№ 20'!F435+'№ 23'!F435+№27!F435+'№ 31'!F435+'№ 34'!F435+'№ 41'!F435</f>
        <v>16.401</v>
      </c>
      <c r="G358" s="199">
        <f>№2!G435+№5!G435+'№ 6'!G435+№14!G435+'№ 20'!G435+'№ 23'!G435+№27!G435+'№ 31'!G435+'№ 34'!G435+'№ 41'!G435</f>
        <v>39.713999999999999</v>
      </c>
      <c r="H358" s="199">
        <f>№2!H435+№5!H435+'№ 6'!H435+№14!H435+'№ 20'!H435+'№ 23'!H435+№27!H435+'№ 31'!H435+'№ 34'!H435+'№ 41'!H435</f>
        <v>47.058</v>
      </c>
      <c r="I358" s="199">
        <f>№2!I435+№5!I435+'№ 6'!I435+№14!I435+'№ 20'!I435+'№ 23'!I435+№27!I435+'№ 31'!I435+'№ 34'!I435+'№ 41'!I435</f>
        <v>43.67</v>
      </c>
      <c r="J358" s="199">
        <f>№2!J435+№5!J435+'№ 6'!J435+№14!J435+'№ 20'!J435+'№ 23'!J435+№27!J435+'№ 31'!J435+'№ 34'!J435+'№ 41'!J435</f>
        <v>44.755000000000003</v>
      </c>
      <c r="K358" s="199">
        <f>№2!K435+№5!K435+'№ 6'!K435+№14!K435+'№ 20'!K435+'№ 23'!K435+№27!K435+'№ 31'!K435+'№ 34'!K435+'№ 41'!K435</f>
        <v>46.813000000000002</v>
      </c>
      <c r="L358" s="199">
        <f>SUM(F358:K358)</f>
        <v>238.411</v>
      </c>
      <c r="M358" s="199">
        <f>L358/6</f>
        <v>39.734999999999999</v>
      </c>
      <c r="N358" s="199">
        <f>№2!N435+№5!N435+'№ 6'!N435+№14!N435+'№ 20'!N435+'№ 23'!N435+№27!N435+'№ 31'!N435+'№ 34'!N435+'№ 41'!N435</f>
        <v>35.338000000000001</v>
      </c>
      <c r="O358" s="199">
        <f>№2!O435+№5!O435+'№ 6'!O435+№14!O435+'№ 20'!O435+'№ 23'!O435+№27!O435+'№ 31'!O435+'№ 34'!O435+'№ 41'!O435</f>
        <v>27.609000000000002</v>
      </c>
      <c r="P358" s="199">
        <f>№2!P435+№5!P435+'№ 6'!P435+№14!P435+'№ 20'!P435+'№ 23'!P435+№27!P435+'№ 31'!P435+'№ 34'!P435+'№ 41'!P435</f>
        <v>55.134</v>
      </c>
      <c r="Q358" s="199">
        <f>№2!Q435+№5!Q435+'№ 6'!Q435+№14!Q435+'№ 20'!Q435+'№ 23'!Q435+№27!Q435+'№ 31'!Q435+'№ 34'!Q435+'№ 41'!Q435</f>
        <v>45.542000000000002</v>
      </c>
      <c r="R358" s="199">
        <f>№2!R435+№5!R435+'№ 6'!R435+№14!R435+'№ 20'!R435+'№ 23'!R435+№27!R435+'№ 31'!R435+'№ 34'!R435+'№ 41'!R435</f>
        <v>49.375999999999998</v>
      </c>
      <c r="S358" s="199">
        <f>№2!S435+№5!S435+'№ 6'!S435+№14!S435+'№ 20'!S435+'№ 23'!S435+№27!S435+'№ 31'!S435+'№ 34'!S435+'№ 41'!S435</f>
        <v>67.430000000000007</v>
      </c>
      <c r="T358" s="199">
        <f>SUM(N358:S358)</f>
        <v>280.42899999999997</v>
      </c>
      <c r="U358" s="199">
        <f>T358+L358</f>
        <v>518.84</v>
      </c>
      <c r="V358" s="199">
        <f>№2!V435+№5!V435+'№ 6'!V435+№14!V435+'№ 20'!V435+'№ 23'!V435+№27!V435+'№ 31'!V435+'№ 34'!V435+'№ 41'!V435</f>
        <v>581.71600000000001</v>
      </c>
      <c r="W358" s="221">
        <f>V358-U358</f>
        <v>62.875999999999998</v>
      </c>
      <c r="X358" s="176">
        <f>U353-U358</f>
        <v>0</v>
      </c>
    </row>
    <row r="359" spans="1:28" s="239" customFormat="1" ht="18" customHeight="1">
      <c r="A359" s="583"/>
      <c r="B359" s="587"/>
      <c r="C359" s="588"/>
      <c r="D359" s="201" t="s">
        <v>55</v>
      </c>
      <c r="E359" s="220"/>
      <c r="F359" s="199">
        <f>№2!F436+№5!F436+'№ 6'!F436+№14!F436+'№ 20'!F436+'№ 23'!F436+№27!F436+'№ 31'!F436+'№ 34'!F436+'№ 41'!F436</f>
        <v>0</v>
      </c>
      <c r="G359" s="199">
        <f>№2!G436+№5!G436+'№ 6'!G436+№14!G436+'№ 20'!G436+'№ 23'!G436+№27!G436+'№ 31'!G436+'№ 34'!G436+'№ 41'!G436</f>
        <v>0</v>
      </c>
      <c r="H359" s="199">
        <f>№2!H436+№5!H436+'№ 6'!H436+№14!H436+'№ 20'!H436+'№ 23'!H436+№27!H436+'№ 31'!H436+'№ 34'!H436+'№ 41'!H436</f>
        <v>0</v>
      </c>
      <c r="I359" s="199">
        <f>№2!I436+№5!I436+'№ 6'!I436+№14!I436+'№ 20'!I436+'№ 23'!I436+№27!I436+'№ 31'!I436+'№ 34'!I436+'№ 41'!I436</f>
        <v>0</v>
      </c>
      <c r="J359" s="199">
        <f>№2!J436+№5!J436+'№ 6'!J436+№14!J436+'№ 20'!J436+'№ 23'!J436+№27!J436+'№ 31'!J436+'№ 34'!J436+'№ 41'!J436</f>
        <v>0</v>
      </c>
      <c r="K359" s="199">
        <f>№2!K436+№5!K436+'№ 6'!K436+№14!K436+'№ 20'!K436+'№ 23'!K436+№27!K436+'№ 31'!K436+'№ 34'!K436+'№ 41'!K436</f>
        <v>0</v>
      </c>
      <c r="L359" s="199">
        <f>SUM(F359:K359)</f>
        <v>0</v>
      </c>
      <c r="M359" s="199">
        <f>L359/6</f>
        <v>0</v>
      </c>
      <c r="N359" s="199">
        <f>№2!N436+№5!N436+'№ 6'!N436+№14!N436+'№ 20'!N436+'№ 23'!N436+№27!N436+'№ 31'!N436+'№ 34'!N436+'№ 41'!N436</f>
        <v>0</v>
      </c>
      <c r="O359" s="199">
        <f>№2!O436+№5!O436+'№ 6'!O436+№14!O436+'№ 20'!O436+'№ 23'!O436+№27!O436+'№ 31'!O436+'№ 34'!O436+'№ 41'!O436</f>
        <v>0</v>
      </c>
      <c r="P359" s="199">
        <f>№2!P436+№5!P436+'№ 6'!P436+№14!P436+'№ 20'!P436+'№ 23'!P436+№27!P436+'№ 31'!P436+'№ 34'!P436+'№ 41'!P436</f>
        <v>0</v>
      </c>
      <c r="Q359" s="199">
        <f>№2!Q436+№5!Q436+'№ 6'!Q436+№14!Q436+'№ 20'!Q436+'№ 23'!Q436+№27!Q436+'№ 31'!Q436+'№ 34'!Q436+'№ 41'!Q436</f>
        <v>0</v>
      </c>
      <c r="R359" s="199">
        <f>№2!R436+№5!R436+'№ 6'!R436+№14!R436+'№ 20'!R436+'№ 23'!R436+№27!R436+'№ 31'!R436+'№ 34'!R436+'№ 41'!R436</f>
        <v>0</v>
      </c>
      <c r="S359" s="199">
        <f>№2!S436+№5!S436+'№ 6'!S436+№14!S436+'№ 20'!S436+'№ 23'!S436+№27!S436+'№ 31'!S436+'№ 34'!S436+'№ 41'!S436</f>
        <v>0</v>
      </c>
      <c r="T359" s="199">
        <f>SUM(N359:S359)</f>
        <v>0</v>
      </c>
      <c r="U359" s="199">
        <f>T359+L359</f>
        <v>0</v>
      </c>
      <c r="V359" s="199">
        <f>№2!V436+№5!V436+'№ 6'!V436+№14!V436+'№ 20'!V436+'№ 23'!V436+№27!V436+'№ 31'!V436+'№ 34'!V436+'№ 41'!V436</f>
        <v>0</v>
      </c>
      <c r="W359" s="221">
        <f>V359-U359</f>
        <v>0</v>
      </c>
      <c r="X359" s="176">
        <f>U354-U359</f>
        <v>0</v>
      </c>
    </row>
    <row r="360" spans="1:28" s="239" customFormat="1" ht="18" customHeight="1">
      <c r="A360" s="583"/>
      <c r="B360" s="587"/>
      <c r="C360" s="588"/>
      <c r="D360" s="201" t="s">
        <v>24</v>
      </c>
      <c r="E360" s="220"/>
      <c r="F360" s="199">
        <f>№2!F437+№5!F437+'№ 6'!F437+№14!F437+'№ 20'!F437+'№ 23'!F437+№27!F437+'№ 31'!F437+'№ 34'!F437+'№ 41'!F437</f>
        <v>16.401</v>
      </c>
      <c r="G360" s="199">
        <f>№2!G437+№5!G437+'№ 6'!G437+№14!G437+'№ 20'!G437+'№ 23'!G437+№27!G437+'№ 31'!G437+'№ 34'!G437+'№ 41'!G437</f>
        <v>39.713999999999999</v>
      </c>
      <c r="H360" s="199">
        <f>№2!H437+№5!H437+'№ 6'!H437+№14!H437+'№ 20'!H437+'№ 23'!H437+№27!H437+'№ 31'!H437+'№ 34'!H437+'№ 41'!H437</f>
        <v>47.058</v>
      </c>
      <c r="I360" s="199">
        <f>№2!I437+№5!I437+'№ 6'!I437+№14!I437+'№ 20'!I437+'№ 23'!I437+№27!I437+'№ 31'!I437+'№ 34'!I437+'№ 41'!I437</f>
        <v>43.67</v>
      </c>
      <c r="J360" s="199">
        <f>№2!J437+№5!J437+'№ 6'!J437+№14!J437+'№ 20'!J437+'№ 23'!J437+№27!J437+'№ 31'!J437+'№ 34'!J437+'№ 41'!J437</f>
        <v>44.755000000000003</v>
      </c>
      <c r="K360" s="199">
        <f>№2!K437+№5!K437+'№ 6'!K437+№14!K437+'№ 20'!K437+'№ 23'!K437+№27!K437+'№ 31'!K437+'№ 34'!K437+'№ 41'!K437</f>
        <v>46.813000000000002</v>
      </c>
      <c r="L360" s="199">
        <f>SUM(F360:K360)</f>
        <v>238.411</v>
      </c>
      <c r="M360" s="199">
        <f>L360/6</f>
        <v>39.734999999999999</v>
      </c>
      <c r="N360" s="199">
        <f>№2!N437+№5!N437+'№ 6'!N437+№14!N437+'№ 20'!N437+'№ 23'!N437+№27!N437+'№ 31'!N437+'№ 34'!N437+'№ 41'!N437</f>
        <v>35.338000000000001</v>
      </c>
      <c r="O360" s="199">
        <f>№2!O437+№5!O437+'№ 6'!O437+№14!O437+'№ 20'!O437+'№ 23'!O437+№27!O437+'№ 31'!O437+'№ 34'!O437+'№ 41'!O437</f>
        <v>27.609000000000002</v>
      </c>
      <c r="P360" s="199">
        <f>№2!P437+№5!P437+'№ 6'!P437+№14!P437+'№ 20'!P437+'№ 23'!P437+№27!P437+'№ 31'!P437+'№ 34'!P437+'№ 41'!P437</f>
        <v>55.134</v>
      </c>
      <c r="Q360" s="199">
        <f>№2!Q437+№5!Q437+'№ 6'!Q437+№14!Q437+'№ 20'!Q437+'№ 23'!Q437+№27!Q437+'№ 31'!Q437+'№ 34'!Q437+'№ 41'!Q437</f>
        <v>45.542000000000002</v>
      </c>
      <c r="R360" s="199">
        <f>№2!R437+№5!R437+'№ 6'!R437+№14!R437+'№ 20'!R437+'№ 23'!R437+№27!R437+'№ 31'!R437+'№ 34'!R437+'№ 41'!R437</f>
        <v>49.375999999999998</v>
      </c>
      <c r="S360" s="199">
        <f>№2!S437+№5!S437+'№ 6'!S437+№14!S437+'№ 20'!S437+'№ 23'!S437+№27!S437+'№ 31'!S437+'№ 34'!S437+'№ 41'!S437</f>
        <v>67.430000000000007</v>
      </c>
      <c r="T360" s="199">
        <f>SUM(N360:S360)</f>
        <v>280.42899999999997</v>
      </c>
      <c r="U360" s="199">
        <f>T360+L360</f>
        <v>518.84</v>
      </c>
      <c r="V360" s="199">
        <f>№2!V437+№5!V437+'№ 6'!V437+№14!V437+'№ 20'!V437+'№ 23'!V437+№27!V437+'№ 31'!V437+'№ 34'!V437+'№ 41'!V437</f>
        <v>581.71600000000001</v>
      </c>
      <c r="W360" s="221">
        <f>V360-U360</f>
        <v>62.875999999999998</v>
      </c>
      <c r="X360" s="176">
        <f>U355-U360</f>
        <v>62.875999999999998</v>
      </c>
    </row>
    <row r="361" spans="1:28" s="205" customFormat="1" ht="18" customHeight="1">
      <c r="A361" s="583"/>
      <c r="B361" s="587"/>
      <c r="C361" s="588"/>
      <c r="D361" s="202" t="s">
        <v>29</v>
      </c>
      <c r="E361" s="203"/>
      <c r="F361" s="203">
        <f t="shared" ref="F361:K361" si="349">F355+F354</f>
        <v>31.806000000000001</v>
      </c>
      <c r="G361" s="203">
        <f t="shared" si="349"/>
        <v>43.15</v>
      </c>
      <c r="H361" s="203">
        <f t="shared" si="349"/>
        <v>29.271000000000001</v>
      </c>
      <c r="I361" s="203">
        <f t="shared" si="349"/>
        <v>45.747999999999998</v>
      </c>
      <c r="J361" s="203">
        <f t="shared" si="349"/>
        <v>48.444000000000003</v>
      </c>
      <c r="K361" s="203">
        <f t="shared" si="349"/>
        <v>52.531999999999996</v>
      </c>
      <c r="L361" s="203">
        <f>SUM(F361:K361)</f>
        <v>250.95099999999999</v>
      </c>
      <c r="M361" s="203">
        <f>L361/6</f>
        <v>41.825000000000003</v>
      </c>
      <c r="N361" s="203">
        <f t="shared" ref="N361:S361" si="350">N355+N354</f>
        <v>29.715</v>
      </c>
      <c r="O361" s="203">
        <f t="shared" si="350"/>
        <v>34.237000000000002</v>
      </c>
      <c r="P361" s="203">
        <f t="shared" si="350"/>
        <v>62.139000000000003</v>
      </c>
      <c r="Q361" s="203">
        <f t="shared" si="350"/>
        <v>73.638000000000005</v>
      </c>
      <c r="R361" s="203">
        <f t="shared" si="350"/>
        <v>61.93</v>
      </c>
      <c r="S361" s="203">
        <f t="shared" si="350"/>
        <v>69.105999999999995</v>
      </c>
      <c r="T361" s="203">
        <f>SUM(N361:S361)</f>
        <v>330.76499999999999</v>
      </c>
      <c r="U361" s="203">
        <f>T361+L361</f>
        <v>581.71600000000001</v>
      </c>
      <c r="V361" s="203">
        <f>V358</f>
        <v>581.71600000000001</v>
      </c>
      <c r="W361" s="203">
        <f>V361-U361</f>
        <v>0</v>
      </c>
    </row>
    <row r="362" spans="1:28" s="205" customFormat="1" ht="18" customHeight="1">
      <c r="A362" s="583"/>
      <c r="B362" s="587"/>
      <c r="C362" s="588"/>
      <c r="D362" s="202" t="s">
        <v>30</v>
      </c>
      <c r="E362" s="203"/>
      <c r="F362" s="203">
        <f t="shared" ref="F362:K362" si="351">F358-F361</f>
        <v>-15.404999999999999</v>
      </c>
      <c r="G362" s="203">
        <f t="shared" si="351"/>
        <v>-3.4359999999999999</v>
      </c>
      <c r="H362" s="203">
        <f t="shared" si="351"/>
        <v>17.786999999999999</v>
      </c>
      <c r="I362" s="203">
        <f t="shared" si="351"/>
        <v>-2.0779999999999998</v>
      </c>
      <c r="J362" s="203">
        <f t="shared" si="351"/>
        <v>-3.6890000000000001</v>
      </c>
      <c r="K362" s="203">
        <f t="shared" si="351"/>
        <v>-5.7190000000000003</v>
      </c>
      <c r="L362" s="203"/>
      <c r="M362" s="203"/>
      <c r="N362" s="203">
        <f t="shared" ref="N362:S362" si="352">N358-N361</f>
        <v>5.6230000000000002</v>
      </c>
      <c r="O362" s="203">
        <f t="shared" si="352"/>
        <v>-6.6280000000000001</v>
      </c>
      <c r="P362" s="203">
        <f t="shared" si="352"/>
        <v>-7.0049999999999999</v>
      </c>
      <c r="Q362" s="203">
        <f t="shared" si="352"/>
        <v>-28.096</v>
      </c>
      <c r="R362" s="203">
        <f t="shared" si="352"/>
        <v>-12.554</v>
      </c>
      <c r="S362" s="203">
        <f t="shared" si="352"/>
        <v>-1.6759999999999999</v>
      </c>
      <c r="T362" s="203"/>
      <c r="U362" s="203"/>
      <c r="V362" s="203"/>
      <c r="W362" s="203"/>
    </row>
    <row r="363" spans="1:28" s="205" customFormat="1" ht="18" customHeight="1">
      <c r="A363" s="583"/>
      <c r="B363" s="589"/>
      <c r="C363" s="590"/>
      <c r="D363" s="202" t="s">
        <v>31</v>
      </c>
      <c r="E363" s="203"/>
      <c r="F363" s="203">
        <f>F362</f>
        <v>-15.404999999999999</v>
      </c>
      <c r="G363" s="203">
        <f>G362+F363</f>
        <v>-18.841000000000001</v>
      </c>
      <c r="H363" s="203">
        <f>H362+G363</f>
        <v>-1.054</v>
      </c>
      <c r="I363" s="203">
        <f>I362+H363</f>
        <v>-3.1320000000000001</v>
      </c>
      <c r="J363" s="203">
        <f>J362+I363</f>
        <v>-6.8209999999999997</v>
      </c>
      <c r="K363" s="203">
        <f>K362+J363</f>
        <v>-12.54</v>
      </c>
      <c r="L363" s="203"/>
      <c r="M363" s="203"/>
      <c r="N363" s="203">
        <f>N362+K363</f>
        <v>-6.9169999999999998</v>
      </c>
      <c r="O363" s="203">
        <f>O362+N363</f>
        <v>-13.545</v>
      </c>
      <c r="P363" s="203">
        <f>P362+O363</f>
        <v>-20.55</v>
      </c>
      <c r="Q363" s="203">
        <f>Q362+P363</f>
        <v>-48.646000000000001</v>
      </c>
      <c r="R363" s="203">
        <f>R362+Q363</f>
        <v>-61.2</v>
      </c>
      <c r="S363" s="203">
        <f>S362+R363</f>
        <v>-62.875999999999998</v>
      </c>
      <c r="T363" s="203"/>
      <c r="U363" s="203"/>
      <c r="V363" s="203"/>
      <c r="W363" s="203"/>
    </row>
    <row r="364" spans="1:28" s="186" customFormat="1" ht="18" customHeight="1">
      <c r="A364" s="583"/>
      <c r="B364" s="585" t="s">
        <v>96</v>
      </c>
      <c r="C364" s="586"/>
      <c r="D364" s="178" t="s">
        <v>105</v>
      </c>
      <c r="E364" s="179"/>
      <c r="F364" s="180">
        <f>№2!F441+№5!F441+'№ 6'!F441+№14!F441+'№ 20'!F441+'№ 23'!F441+№27!F441+'№ 31'!F441+'№ 34'!F441+'№ 41'!F441</f>
        <v>0</v>
      </c>
      <c r="G364" s="180">
        <f>№2!G441+№5!G441+'№ 6'!G441+№14!G441+'№ 20'!G441+'№ 23'!G441+№27!G441+'№ 31'!G441+'№ 34'!G441+'№ 41'!G441</f>
        <v>0</v>
      </c>
      <c r="H364" s="180">
        <f>№2!H441+№5!H441+'№ 6'!H441+№14!H441+'№ 20'!H441+'№ 23'!H441+№27!H441+'№ 31'!H441+'№ 34'!H441+'№ 41'!H441</f>
        <v>0</v>
      </c>
      <c r="I364" s="180">
        <f>№2!I441+№5!I441+'№ 6'!I441+№14!I441+'№ 20'!I441+'№ 23'!I441+№27!I441+'№ 31'!I441+'№ 34'!I441+'№ 41'!I441</f>
        <v>0</v>
      </c>
      <c r="J364" s="180">
        <f>№2!J441+№5!J441+'№ 6'!J441+№14!J441+'№ 20'!J441+'№ 23'!J441+№27!J441+'№ 31'!J441+'№ 34'!J441+'№ 41'!J441</f>
        <v>0</v>
      </c>
      <c r="K364" s="180">
        <f>№2!K441+№5!K441+'№ 6'!K441+№14!K441+'№ 20'!K441+'№ 23'!K441+№27!K441+'№ 31'!K441+'№ 34'!K441+'№ 41'!K441</f>
        <v>0</v>
      </c>
      <c r="L364" s="215">
        <f>SUM(F364:K364)</f>
        <v>0</v>
      </c>
      <c r="M364" s="215">
        <f>L364/6</f>
        <v>0</v>
      </c>
      <c r="N364" s="180">
        <f>№2!N441+№5!N441+'№ 6'!N441+№14!N441+'№ 20'!N441+'№ 23'!N441+№27!N441+'№ 31'!N441+'№ 34'!N441+'№ 41'!N441</f>
        <v>0</v>
      </c>
      <c r="O364" s="180">
        <f>№2!O441+№5!O441+'№ 6'!O441+№14!O441+'№ 20'!O441+'№ 23'!O441+№27!O441+'№ 31'!O441+'№ 34'!O441+'№ 41'!O441</f>
        <v>0</v>
      </c>
      <c r="P364" s="180">
        <f>№2!P441+№5!P441+'№ 6'!P441+№14!P441+'№ 20'!P441+'№ 23'!P441+№27!P441+'№ 31'!P441+'№ 34'!P441+'№ 41'!P441</f>
        <v>0</v>
      </c>
      <c r="Q364" s="180">
        <f>№2!Q441+№5!Q441+'№ 6'!Q441+№14!Q441+'№ 20'!Q441+'№ 23'!Q441+№27!Q441+'№ 31'!Q441+'№ 34'!Q441+'№ 41'!Q441</f>
        <v>0</v>
      </c>
      <c r="R364" s="180">
        <f>№2!R441+№5!R441+'№ 6'!R441+№14!R441+'№ 20'!R441+'№ 23'!R441+№27!R441+'№ 31'!R441+'№ 34'!R441+'№ 41'!R441</f>
        <v>0</v>
      </c>
      <c r="S364" s="180">
        <f>№2!S441+№5!S441+'№ 6'!S441+№14!S441+'№ 20'!S441+'№ 23'!S441+№27!S441+'№ 31'!S441+'№ 34'!S441+'№ 41'!S441</f>
        <v>0</v>
      </c>
      <c r="T364" s="215">
        <f>SUM(N364:S364)</f>
        <v>0</v>
      </c>
      <c r="U364" s="226">
        <f>T364+L364</f>
        <v>0</v>
      </c>
      <c r="V364" s="227">
        <f>№2!V441+№5!V441+'№ 6'!V441+№14!V441+'№ 20'!V441+'№ 23'!V441+№27!V441+'№ 31'!V441+'№ 34'!V441+'№ 41'!V441</f>
        <v>0</v>
      </c>
      <c r="W364" s="184"/>
      <c r="X364" s="185"/>
    </row>
    <row r="365" spans="1:28" s="186" customFormat="1" ht="18" customHeight="1">
      <c r="A365" s="583"/>
      <c r="B365" s="587"/>
      <c r="C365" s="588"/>
      <c r="D365" s="178" t="s">
        <v>109</v>
      </c>
      <c r="E365" s="179"/>
      <c r="F365" s="180">
        <f>№2!F442+№5!F442+'№ 6'!F442+№14!F442+'№ 20'!F442+'№ 23'!F442+№27!F442+'№ 31'!F442+'№ 34'!F442+'№ 41'!F442</f>
        <v>0</v>
      </c>
      <c r="G365" s="180">
        <f>№2!G442+№5!G442+'№ 6'!G442+№14!G442+'№ 20'!G442+'№ 23'!G442+№27!G442+'№ 31'!G442+'№ 34'!G442+'№ 41'!G442</f>
        <v>0</v>
      </c>
      <c r="H365" s="180">
        <f>№2!H442+№5!H442+'№ 6'!H442+№14!H442+'№ 20'!H442+'№ 23'!H442+№27!H442+'№ 31'!H442+'№ 34'!H442+'№ 41'!H442</f>
        <v>0</v>
      </c>
      <c r="I365" s="180">
        <f>№2!I442+№5!I442+'№ 6'!I442+№14!I442+'№ 20'!I442+'№ 23'!I442+№27!I442+'№ 31'!I442+'№ 34'!I442+'№ 41'!I442</f>
        <v>0</v>
      </c>
      <c r="J365" s="180">
        <f>№2!J442+№5!J442+'№ 6'!J442+№14!J442+'№ 20'!J442+'№ 23'!J442+№27!J442+'№ 31'!J442+'№ 34'!J442+'№ 41'!J442</f>
        <v>0</v>
      </c>
      <c r="K365" s="180">
        <f>№2!K442+№5!K442+'№ 6'!K442+№14!K442+'№ 20'!K442+'№ 23'!K442+№27!K442+'№ 31'!K442+'№ 34'!K442+'№ 41'!K442</f>
        <v>0</v>
      </c>
      <c r="L365" s="215">
        <f>SUM(F365:K365)</f>
        <v>0</v>
      </c>
      <c r="M365" s="215">
        <f>L365/6</f>
        <v>0</v>
      </c>
      <c r="N365" s="179">
        <f>№2!N442+№5!N442+'№ 6'!N442+№14!N442+'№ 20'!N442+'№ 23'!N442+№27!N442+'№ 31'!N442+'№ 34'!N442+'№ 41'!N442</f>
        <v>0</v>
      </c>
      <c r="O365" s="179">
        <f>№2!O442+№5!O442+'№ 6'!O442+№14!O442+'№ 20'!O442+'№ 23'!O442+№27!O442+'№ 31'!O442+'№ 34'!O442+'№ 41'!O442</f>
        <v>0</v>
      </c>
      <c r="P365" s="179">
        <f>№2!P442+№5!P442+'№ 6'!P442+№14!P442+'№ 20'!P442+'№ 23'!P442+№27!P442+'№ 31'!P442+'№ 34'!P442+'№ 41'!P442</f>
        <v>0</v>
      </c>
      <c r="Q365" s="179">
        <f>№2!Q442+№5!Q442+'№ 6'!Q442+№14!Q442+'№ 20'!Q442+'№ 23'!Q442+№27!Q442+'№ 31'!Q442+'№ 34'!Q442+'№ 41'!Q442</f>
        <v>0</v>
      </c>
      <c r="R365" s="179">
        <f>№2!R442+№5!R442+'№ 6'!R442+№14!R442+'№ 20'!R442+'№ 23'!R442+№27!R442+'№ 31'!R442+'№ 34'!R442+'№ 41'!R442</f>
        <v>0</v>
      </c>
      <c r="S365" s="179">
        <f>№2!S442+№5!S442+'№ 6'!S442+№14!S442+'№ 20'!S442+'№ 23'!S442+№27!S442+'№ 31'!S442+'№ 34'!S442+'№ 41'!S442</f>
        <v>0</v>
      </c>
      <c r="T365" s="215">
        <f>SUM(N365:S365)</f>
        <v>0</v>
      </c>
      <c r="U365" s="226">
        <f>T365+L365</f>
        <v>0</v>
      </c>
      <c r="V365" s="227">
        <f>№2!V442+№5!V442+'№ 6'!V442+№14!V442+'№ 20'!V442+'№ 23'!V442+№27!V442+'№ 31'!V442+'№ 34'!V442+'№ 41'!V442</f>
        <v>0</v>
      </c>
      <c r="W365" s="184"/>
      <c r="X365" s="185"/>
    </row>
    <row r="366" spans="1:28" s="186" customFormat="1" ht="18" customHeight="1">
      <c r="A366" s="583"/>
      <c r="B366" s="587"/>
      <c r="C366" s="588"/>
      <c r="D366" s="178" t="s">
        <v>116</v>
      </c>
      <c r="E366" s="179"/>
      <c r="F366" s="180">
        <f>№2!F443+№5!F443+'№ 6'!F443+№14!F443+'№ 20'!F443+'№ 23'!F443+№27!F443+'№ 31'!F443+'№ 34'!F443+'№ 41'!F443</f>
        <v>0</v>
      </c>
      <c r="G366" s="180">
        <f>№2!G443+№5!G443+'№ 6'!G443+№14!G443+'№ 20'!G443+'№ 23'!G443+№27!G443+'№ 31'!G443+'№ 34'!G443+'№ 41'!G443</f>
        <v>0</v>
      </c>
      <c r="H366" s="180">
        <f>№2!H443+№5!H443+'№ 6'!H443+№14!H443+'№ 20'!H443+'№ 23'!H443+№27!H443+'№ 31'!H443+'№ 34'!H443+'№ 41'!H443</f>
        <v>0</v>
      </c>
      <c r="I366" s="180">
        <f>№2!I443+№5!I443+'№ 6'!I443+№14!I443+'№ 20'!I443+'№ 23'!I443+№27!I443+'№ 31'!I443+'№ 34'!I443+'№ 41'!I443</f>
        <v>0</v>
      </c>
      <c r="J366" s="180">
        <f>№2!J443+№5!J443+'№ 6'!J443+№14!J443+'№ 20'!J443+'№ 23'!J443+№27!J443+'№ 31'!J443+'№ 34'!J443+'№ 41'!J443</f>
        <v>0</v>
      </c>
      <c r="K366" s="180">
        <f>№2!K443+№5!K443+'№ 6'!K443+№14!K443+'№ 20'!K443+'№ 23'!K443+№27!K443+'№ 31'!K443+'№ 34'!K443+'№ 41'!K443</f>
        <v>0</v>
      </c>
      <c r="L366" s="215">
        <f>SUM(F366:K366)</f>
        <v>0</v>
      </c>
      <c r="M366" s="215">
        <f>L366/6</f>
        <v>0</v>
      </c>
      <c r="N366" s="180">
        <f>№2!N443+№5!N443+'№ 6'!N443+№14!N443+'№ 20'!N443+'№ 23'!N443+№27!N443+'№ 31'!N443+'№ 34'!N443+'№ 41'!N443</f>
        <v>0</v>
      </c>
      <c r="O366" s="180">
        <f>№2!O443+№5!O443+'№ 6'!O443+№14!O443+'№ 20'!O443+'№ 23'!O443+№27!O443+'№ 31'!O443+'№ 34'!O443+'№ 41'!O443</f>
        <v>0</v>
      </c>
      <c r="P366" s="180">
        <f>№2!P443+№5!P443+'№ 6'!P443+№14!P443+'№ 20'!P443+'№ 23'!P443+№27!P443+'№ 31'!P443+'№ 34'!P443+'№ 41'!P443</f>
        <v>0</v>
      </c>
      <c r="Q366" s="180">
        <f>№2!Q443+№5!Q443+'№ 6'!Q443+№14!Q443+'№ 20'!Q443+'№ 23'!Q443+№27!Q443+'№ 31'!Q443+'№ 34'!Q443+'№ 41'!Q443</f>
        <v>0</v>
      </c>
      <c r="R366" s="180">
        <f>№2!R443+№5!R443+'№ 6'!R443+№14!R443+'№ 20'!R443+'№ 23'!R443+№27!R443+'№ 31'!R443+'№ 34'!R443+'№ 41'!R443</f>
        <v>0</v>
      </c>
      <c r="S366" s="179">
        <f>№2!S443+№5!S443+'№ 6'!S443+№14!S443+'№ 20'!S443+'№ 23'!S443+№27!S443+'№ 31'!S443+'№ 34'!S443+'№ 41'!S443</f>
        <v>0</v>
      </c>
      <c r="T366" s="215">
        <f>SUM(N366:S366)</f>
        <v>0</v>
      </c>
      <c r="U366" s="226">
        <f>T366+L366</f>
        <v>0</v>
      </c>
      <c r="V366" s="179">
        <f>№2!V443+№5!V443+'№ 6'!V443+№14!V443+'№ 20'!V443+'№ 23'!V443+№27!V443+'№ 31'!V443+'№ 34'!V443+'№ 41'!V443</f>
        <v>0</v>
      </c>
      <c r="W366" s="184">
        <f>V366-U366</f>
        <v>0</v>
      </c>
      <c r="X366" s="185"/>
    </row>
    <row r="367" spans="1:28" s="190" customFormat="1" ht="18" customHeight="1">
      <c r="A367" s="583"/>
      <c r="B367" s="587"/>
      <c r="C367" s="588"/>
      <c r="D367" s="187" t="s">
        <v>27</v>
      </c>
      <c r="E367" s="188"/>
      <c r="F367" s="188" t="e">
        <f t="shared" ref="F367:K367" si="353">F368*1000/F366</f>
        <v>#DIV/0!</v>
      </c>
      <c r="G367" s="188" t="e">
        <f t="shared" si="353"/>
        <v>#DIV/0!</v>
      </c>
      <c r="H367" s="188" t="e">
        <f t="shared" si="353"/>
        <v>#DIV/0!</v>
      </c>
      <c r="I367" s="188" t="e">
        <f t="shared" si="353"/>
        <v>#DIV/0!</v>
      </c>
      <c r="J367" s="188" t="e">
        <f t="shared" si="353"/>
        <v>#DIV/0!</v>
      </c>
      <c r="K367" s="188" t="e">
        <f t="shared" si="353"/>
        <v>#DIV/0!</v>
      </c>
      <c r="L367" s="188" t="e">
        <f>L368/L366*1000</f>
        <v>#DIV/0!</v>
      </c>
      <c r="M367" s="188" t="e">
        <f>M368/M366*1000</f>
        <v>#DIV/0!</v>
      </c>
      <c r="N367" s="188" t="e">
        <f t="shared" ref="N367:S367" si="354">N368*1000/N366</f>
        <v>#DIV/0!</v>
      </c>
      <c r="O367" s="188" t="e">
        <f t="shared" si="354"/>
        <v>#DIV/0!</v>
      </c>
      <c r="P367" s="188" t="e">
        <f t="shared" si="354"/>
        <v>#DIV/0!</v>
      </c>
      <c r="Q367" s="188" t="e">
        <f t="shared" si="354"/>
        <v>#DIV/0!</v>
      </c>
      <c r="R367" s="188" t="e">
        <f t="shared" si="354"/>
        <v>#DIV/0!</v>
      </c>
      <c r="S367" s="188" t="e">
        <f t="shared" si="354"/>
        <v>#DIV/0!</v>
      </c>
      <c r="T367" s="188" t="e">
        <f>T368/T366*1000</f>
        <v>#DIV/0!</v>
      </c>
      <c r="U367" s="188" t="e">
        <f>U368/U366*1000</f>
        <v>#DIV/0!</v>
      </c>
      <c r="V367" s="218" t="e">
        <f t="shared" ref="V367" si="355">V368*1000/V366</f>
        <v>#DIV/0!</v>
      </c>
      <c r="W367" s="189" t="e">
        <f>W368/W366*1000</f>
        <v>#DIV/0!</v>
      </c>
      <c r="X367" s="223"/>
    </row>
    <row r="368" spans="1:28" s="196" customFormat="1" ht="18" customHeight="1">
      <c r="A368" s="583"/>
      <c r="B368" s="587"/>
      <c r="C368" s="588"/>
      <c r="D368" s="191" t="s">
        <v>0</v>
      </c>
      <c r="E368" s="192"/>
      <c r="F368" s="192">
        <f>№2!F445+№5!F445+'№ 6'!F445+№14!F445+'№ 20'!F445+'№ 23'!F445+№27!F445+'№ 31'!F445+'№ 34'!F445+'№ 41'!F445</f>
        <v>0</v>
      </c>
      <c r="G368" s="192">
        <f>№2!G445+№5!G445+'№ 6'!G445+№14!G445+'№ 20'!G445+'№ 23'!G445+№27!G445+'№ 31'!G445+'№ 34'!G445+'№ 41'!G445</f>
        <v>0</v>
      </c>
      <c r="H368" s="192">
        <f>№2!H445+№5!H445+'№ 6'!H445+№14!H445+'№ 20'!H445+'№ 23'!H445+№27!H445+'№ 31'!H445+'№ 34'!H445+'№ 41'!H445</f>
        <v>0</v>
      </c>
      <c r="I368" s="192">
        <f>№2!I445+№5!I445+'№ 6'!I445+№14!I445+'№ 20'!I445+'№ 23'!I445+№27!I445+'№ 31'!I445+'№ 34'!I445+'№ 41'!I445</f>
        <v>0</v>
      </c>
      <c r="J368" s="192">
        <f>№2!J445+№5!J445+'№ 6'!J445+№14!J445+'№ 20'!J445+'№ 23'!J445+№27!J445+'№ 31'!J445+'№ 34'!J445+'№ 41'!J445</f>
        <v>0</v>
      </c>
      <c r="K368" s="192">
        <f>№2!K445+№5!K445+'№ 6'!K445+№14!K445+'№ 20'!K445+'№ 23'!K445+№27!K445+'№ 31'!K445+'№ 34'!K445+'№ 41'!K445</f>
        <v>0</v>
      </c>
      <c r="L368" s="194">
        <f>SUM(F368:K368)</f>
        <v>0</v>
      </c>
      <c r="M368" s="194">
        <f>L368/6</f>
        <v>0</v>
      </c>
      <c r="N368" s="192">
        <f>№2!N445+№5!N445+'№ 6'!N445+№14!N445+'№ 20'!N445+'№ 23'!N445+№27!N445+'№ 31'!N445+'№ 34'!N445+'№ 41'!N445</f>
        <v>0</v>
      </c>
      <c r="O368" s="192">
        <f>№2!O445+№5!O445+'№ 6'!O445+№14!O445+'№ 20'!O445+'№ 23'!O445+№27!O445+'№ 31'!O445+'№ 34'!O445+'№ 41'!O445</f>
        <v>0</v>
      </c>
      <c r="P368" s="192">
        <f>№2!P445+№5!P445+'№ 6'!P445+№14!P445+'№ 20'!P445+'№ 23'!P445+№27!P445+'№ 31'!P445+'№ 34'!P445+'№ 41'!P445</f>
        <v>0</v>
      </c>
      <c r="Q368" s="192">
        <f>№2!Q445+№5!Q445+'№ 6'!Q445+№14!Q445+'№ 20'!Q445+'№ 23'!Q445+№27!Q445+'№ 31'!Q445+'№ 34'!Q445+'№ 41'!Q445</f>
        <v>0</v>
      </c>
      <c r="R368" s="192">
        <f>№2!R445+№5!R445+'№ 6'!R445+№14!R445+'№ 20'!R445+'№ 23'!R445+№27!R445+'№ 31'!R445+'№ 34'!R445+'№ 41'!R445</f>
        <v>0</v>
      </c>
      <c r="S368" s="192">
        <f>№2!S445+№5!S445+'№ 6'!S445+№14!S445+'№ 20'!S445+'№ 23'!S445+№27!S445+'№ 31'!S445+'№ 34'!S445+'№ 41'!S445</f>
        <v>0</v>
      </c>
      <c r="T368" s="194">
        <f>SUM(N368:S368)</f>
        <v>0</v>
      </c>
      <c r="U368" s="194">
        <f>T368+L368</f>
        <v>0</v>
      </c>
      <c r="V368" s="171">
        <f>№2!V445+№5!V445+'№ 6'!V445+№14!V445+'№ 20'!V445+'№ 23'!V445+№27!V445+'№ 31'!V445+'№ 34'!V445+'№ 41'!V445</f>
        <v>0</v>
      </c>
      <c r="W368" s="193">
        <f>V368-U368</f>
        <v>0</v>
      </c>
      <c r="X368" s="224">
        <f>9891253.845/1000</f>
        <v>9891.2540000000008</v>
      </c>
    </row>
    <row r="369" spans="1:28" s="196" customFormat="1" ht="18" customHeight="1">
      <c r="A369" s="583"/>
      <c r="B369" s="587"/>
      <c r="C369" s="588"/>
      <c r="D369" s="174" t="s">
        <v>55</v>
      </c>
      <c r="E369" s="210"/>
      <c r="F369" s="192">
        <f>№2!F446+№5!F446+'№ 6'!F446+№14!F446+'№ 20'!F446+'№ 23'!F446+№27!F446+'№ 31'!F446+'№ 34'!F446+'№ 41'!F446</f>
        <v>0</v>
      </c>
      <c r="G369" s="192">
        <f>№2!G446+№5!G446+'№ 6'!G446+№14!G446+'№ 20'!G446+'№ 23'!G446+№27!G446+'№ 31'!G446+'№ 34'!G446+'№ 41'!G446</f>
        <v>0</v>
      </c>
      <c r="H369" s="192">
        <f>№2!H446+№5!H446+'№ 6'!H446+№14!H446+'№ 20'!H446+'№ 23'!H446+№27!H446+'№ 31'!H446+'№ 34'!H446+'№ 41'!H446</f>
        <v>0</v>
      </c>
      <c r="I369" s="192">
        <f>№2!I446+№5!I446+'№ 6'!I446+№14!I446+'№ 20'!I446+'№ 23'!I446+№27!I446+'№ 31'!I446+'№ 34'!I446+'№ 41'!I446</f>
        <v>0</v>
      </c>
      <c r="J369" s="192">
        <f>№2!J446+№5!J446+'№ 6'!J446+№14!J446+'№ 20'!J446+'№ 23'!J446+№27!J446+'№ 31'!J446+'№ 34'!J446+'№ 41'!J446</f>
        <v>0</v>
      </c>
      <c r="K369" s="192">
        <f>№2!K446+№5!K446+'№ 6'!K446+№14!K446+'№ 20'!K446+'№ 23'!K446+№27!K446+'№ 31'!K446+'№ 34'!K446+'№ 41'!K446</f>
        <v>0</v>
      </c>
      <c r="L369" s="194">
        <f>SUM(F369:K369)</f>
        <v>0</v>
      </c>
      <c r="M369" s="194">
        <f>L369/6</f>
        <v>0</v>
      </c>
      <c r="N369" s="192">
        <f>№2!N446+№5!N446+'№ 6'!N446+№14!N446+'№ 20'!N446+'№ 23'!N446+№27!N446+'№ 31'!N446+'№ 34'!N446+'№ 41'!N446</f>
        <v>0</v>
      </c>
      <c r="O369" s="192">
        <f>№2!O446+№5!O446+'№ 6'!O446+№14!O446+'№ 20'!O446+'№ 23'!O446+№27!O446+'№ 31'!O446+'№ 34'!O446+'№ 41'!O446</f>
        <v>0</v>
      </c>
      <c r="P369" s="192">
        <f>№2!P446+№5!P446+'№ 6'!P446+№14!P446+'№ 20'!P446+'№ 23'!P446+№27!P446+'№ 31'!P446+'№ 34'!P446+'№ 41'!P446</f>
        <v>0</v>
      </c>
      <c r="Q369" s="192">
        <f>№2!Q446+№5!Q446+'№ 6'!Q446+№14!Q446+'№ 20'!Q446+'№ 23'!Q446+№27!Q446+'№ 31'!Q446+'№ 34'!Q446+'№ 41'!Q446</f>
        <v>0</v>
      </c>
      <c r="R369" s="192">
        <f>№2!R446+№5!R446+'№ 6'!R446+№14!R446+'№ 20'!R446+'№ 23'!R446+№27!R446+'№ 31'!R446+'№ 34'!R446+'№ 41'!R446</f>
        <v>0</v>
      </c>
      <c r="S369" s="192">
        <f>№2!S446+№5!S446+'№ 6'!S446+№14!S446+'№ 20'!S446+'№ 23'!S446+№27!S446+'№ 31'!S446+'№ 34'!S446+'№ 41'!S446</f>
        <v>0</v>
      </c>
      <c r="T369" s="194">
        <f>SUM(N369:S369)</f>
        <v>0</v>
      </c>
      <c r="U369" s="194">
        <f>T369+L369</f>
        <v>0</v>
      </c>
      <c r="V369" s="171">
        <f>№2!V446+№5!V446+'№ 6'!V446+№14!V446+'№ 20'!V446+'№ 23'!V446+№27!V446+'№ 31'!V446+'№ 34'!V446+'№ 41'!V446</f>
        <v>0</v>
      </c>
      <c r="W369" s="193">
        <f>V369-U369</f>
        <v>0</v>
      </c>
      <c r="X369" s="195"/>
    </row>
    <row r="370" spans="1:28" s="196" customFormat="1" ht="18" customHeight="1">
      <c r="A370" s="583"/>
      <c r="B370" s="587"/>
      <c r="C370" s="588"/>
      <c r="D370" s="174" t="s">
        <v>28</v>
      </c>
      <c r="E370" s="210"/>
      <c r="F370" s="192">
        <f>№2!F447+№5!F447+'№ 6'!F447+№14!F447+'№ 20'!F447+'№ 23'!F447+№27!F447+'№ 31'!F447+'№ 34'!F447+'№ 41'!F447</f>
        <v>0</v>
      </c>
      <c r="G370" s="192">
        <f>№2!G447+№5!G447+'№ 6'!G447+№14!G447+'№ 20'!G447+'№ 23'!G447+№27!G447+'№ 31'!G447+'№ 34'!G447+'№ 41'!G447</f>
        <v>0</v>
      </c>
      <c r="H370" s="192">
        <f>№2!H447+№5!H447+'№ 6'!H447+№14!H447+'№ 20'!H447+'№ 23'!H447+№27!H447+'№ 31'!H447+'№ 34'!H447+'№ 41'!H447</f>
        <v>0</v>
      </c>
      <c r="I370" s="192">
        <f>№2!I447+№5!I447+'№ 6'!I447+№14!I447+'№ 20'!I447+'№ 23'!I447+№27!I447+'№ 31'!I447+'№ 34'!I447+'№ 41'!I447</f>
        <v>0</v>
      </c>
      <c r="J370" s="192">
        <f>№2!J447+№5!J447+'№ 6'!J447+№14!J447+'№ 20'!J447+'№ 23'!J447+№27!J447+'№ 31'!J447+'№ 34'!J447+'№ 41'!J447</f>
        <v>0</v>
      </c>
      <c r="K370" s="192">
        <f>№2!K447+№5!K447+'№ 6'!K447+№14!K447+'№ 20'!K447+'№ 23'!K447+№27!K447+'№ 31'!K447+'№ 34'!K447+'№ 41'!K447</f>
        <v>0</v>
      </c>
      <c r="L370" s="194">
        <f>SUM(F370:K370)</f>
        <v>0</v>
      </c>
      <c r="M370" s="194">
        <f>L370/6</f>
        <v>0</v>
      </c>
      <c r="N370" s="192">
        <f>№2!N447+№5!N447+'№ 6'!N447+№14!N447+'№ 20'!N447+'№ 23'!N447+№27!N447+'№ 31'!N447+'№ 34'!N447+'№ 41'!N447</f>
        <v>0</v>
      </c>
      <c r="O370" s="192">
        <f>№2!O447+№5!O447+'№ 6'!O447+№14!O447+'№ 20'!O447+'№ 23'!O447+№27!O447+'№ 31'!O447+'№ 34'!O447+'№ 41'!O447</f>
        <v>0</v>
      </c>
      <c r="P370" s="192">
        <f>№2!P447+№5!P447+'№ 6'!P447+№14!P447+'№ 20'!P447+'№ 23'!P447+№27!P447+'№ 31'!P447+'№ 34'!P447+'№ 41'!P447</f>
        <v>0</v>
      </c>
      <c r="Q370" s="192">
        <f>№2!Q447+№5!Q447+'№ 6'!Q447+№14!Q447+'№ 20'!Q447+'№ 23'!Q447+№27!Q447+'№ 31'!Q447+'№ 34'!Q447+'№ 41'!Q447</f>
        <v>0</v>
      </c>
      <c r="R370" s="192">
        <f>№2!R447+№5!R447+'№ 6'!R447+№14!R447+'№ 20'!R447+'№ 23'!R447+№27!R447+'№ 31'!R447+'№ 34'!R447+'№ 41'!R447</f>
        <v>0</v>
      </c>
      <c r="S370" s="192">
        <f>№2!S447+№5!S447+'№ 6'!S447+№14!S447+'№ 20'!S447+'№ 23'!S447+№27!S447+'№ 31'!S447+'№ 34'!S447+'№ 41'!S447</f>
        <v>0</v>
      </c>
      <c r="T370" s="194">
        <f>SUM(N370:S370)</f>
        <v>0</v>
      </c>
      <c r="U370" s="194">
        <f>T370+L370</f>
        <v>0</v>
      </c>
      <c r="V370" s="171">
        <f>№2!V447+№5!V447+'№ 6'!V447+№14!V447+'№ 20'!V447+'№ 23'!V447+№27!V447+'№ 31'!V447+'№ 34'!V447+'№ 41'!V447</f>
        <v>0</v>
      </c>
      <c r="W370" s="193">
        <f>V370-U370</f>
        <v>0</v>
      </c>
      <c r="X370" s="195"/>
    </row>
    <row r="371" spans="1:28" s="186" customFormat="1" ht="18" customHeight="1">
      <c r="A371" s="583"/>
      <c r="B371" s="587"/>
      <c r="C371" s="588"/>
      <c r="D371" s="178" t="s">
        <v>117</v>
      </c>
      <c r="E371" s="179">
        <f>№2!E448+№5!E448+'№ 6'!E448+№14!E448+'№ 20'!E448+'№ 23'!E448+№27!E448+'№ 31'!E448+'№ 34'!E448+'№ 41'!E448</f>
        <v>0</v>
      </c>
      <c r="F371" s="179">
        <f>№2!F448+№5!F448+'№ 6'!F448+№14!F448+'№ 20'!F448+'№ 23'!F448+№27!F448+'№ 31'!F448+'№ 34'!F448+'№ 41'!F448</f>
        <v>0</v>
      </c>
      <c r="G371" s="179">
        <f>№2!G448+№5!G448+'№ 6'!G448+№14!G448+'№ 20'!G448+'№ 23'!G448+№27!G448+'№ 31'!G448+'№ 34'!G448+'№ 41'!G448</f>
        <v>0</v>
      </c>
      <c r="H371" s="179">
        <f>№2!H448+№5!H448+'№ 6'!H448+№14!H448+'№ 20'!H448+'№ 23'!H448+№27!H448+'№ 31'!H448+'№ 34'!H448+'№ 41'!H448</f>
        <v>0</v>
      </c>
      <c r="I371" s="179">
        <f>№2!I448+№5!I448+'№ 6'!I448+№14!I448+'№ 20'!I448+'№ 23'!I448+№27!I448+'№ 31'!I448+'№ 34'!I448+'№ 41'!I448</f>
        <v>0</v>
      </c>
      <c r="J371" s="179">
        <f>№2!J448+№5!J448+'№ 6'!J448+№14!J448+'№ 20'!J448+'№ 23'!J448+№27!J448+'№ 31'!J448+'№ 34'!J448+'№ 41'!J448</f>
        <v>0</v>
      </c>
      <c r="K371" s="179">
        <f>№2!K448+№5!K448+'№ 6'!K448+№14!K448+'№ 20'!K448+'№ 23'!K448+№27!K448+'№ 31'!K448+'№ 34'!K448+'№ 41'!K448</f>
        <v>0</v>
      </c>
      <c r="L371" s="215">
        <f>SUM(F371:K371)</f>
        <v>0</v>
      </c>
      <c r="M371" s="215">
        <f>L371/6</f>
        <v>0</v>
      </c>
      <c r="N371" s="179">
        <f>№2!N448+№5!N448+'№ 6'!N448+№14!N448+'№ 20'!N448+'№ 23'!N448+№27!N448+'№ 31'!N448+'№ 34'!N448+'№ 41'!N448</f>
        <v>0</v>
      </c>
      <c r="O371" s="179">
        <f>№2!O448+№5!O448+'№ 6'!O448+№14!O448+'№ 20'!O448+'№ 23'!O448+№27!O448+'№ 31'!O448+'№ 34'!O448+'№ 41'!O448</f>
        <v>0</v>
      </c>
      <c r="P371" s="179">
        <f>№2!P448+№5!P448+'№ 6'!P448+№14!P448+'№ 20'!P448+'№ 23'!P448+№27!P448+'№ 31'!P448+'№ 34'!P448+'№ 41'!P448</f>
        <v>0</v>
      </c>
      <c r="Q371" s="179">
        <f>№2!Q448+№5!Q448+'№ 6'!Q448+№14!Q448+'№ 20'!Q448+'№ 23'!Q448+№27!Q448+'№ 31'!Q448+'№ 34'!Q448+'№ 41'!Q448</f>
        <v>0</v>
      </c>
      <c r="R371" s="179">
        <f>№2!R448+№5!R448+'№ 6'!R448+№14!R448+'№ 20'!R448+'№ 23'!R448+№27!R448+'№ 31'!R448+'№ 34'!R448+'№ 41'!R448</f>
        <v>0</v>
      </c>
      <c r="S371" s="179">
        <f>№2!S448+№5!S448+'№ 6'!S448+№14!S448+'№ 20'!S448+'№ 23'!S448+№27!S448+'№ 31'!S448+'№ 34'!S448+'№ 41'!S448</f>
        <v>0</v>
      </c>
      <c r="T371" s="215">
        <f>SUM(N371:S371)</f>
        <v>0</v>
      </c>
      <c r="U371" s="215">
        <f>T371+L371</f>
        <v>0</v>
      </c>
      <c r="V371" s="179">
        <f>№2!V448+№5!V448+'№ 6'!V448+№14!V448+'№ 20'!V448+'№ 23'!V448+№27!V448+'№ 31'!V448+'№ 34'!V448+'№ 41'!V448</f>
        <v>0</v>
      </c>
      <c r="W371" s="184">
        <f>V371-U371</f>
        <v>0</v>
      </c>
      <c r="X371" s="185">
        <f>U366-U371</f>
        <v>0</v>
      </c>
    </row>
    <row r="372" spans="1:28" s="190" customFormat="1" ht="18" customHeight="1">
      <c r="A372" s="583"/>
      <c r="B372" s="587"/>
      <c r="C372" s="588"/>
      <c r="D372" s="187" t="s">
        <v>27</v>
      </c>
      <c r="E372" s="188" t="e">
        <f t="shared" ref="E372:K372" si="356">E373*1000/E371</f>
        <v>#DIV/0!</v>
      </c>
      <c r="F372" s="188" t="e">
        <f t="shared" si="356"/>
        <v>#DIV/0!</v>
      </c>
      <c r="G372" s="188" t="e">
        <f t="shared" si="356"/>
        <v>#DIV/0!</v>
      </c>
      <c r="H372" s="188" t="e">
        <f t="shared" si="356"/>
        <v>#DIV/0!</v>
      </c>
      <c r="I372" s="188" t="e">
        <f t="shared" si="356"/>
        <v>#DIV/0!</v>
      </c>
      <c r="J372" s="188" t="e">
        <f t="shared" si="356"/>
        <v>#DIV/0!</v>
      </c>
      <c r="K372" s="188" t="e">
        <f t="shared" si="356"/>
        <v>#DIV/0!</v>
      </c>
      <c r="L372" s="188" t="e">
        <f>L373/L371*1000</f>
        <v>#DIV/0!</v>
      </c>
      <c r="M372" s="188" t="e">
        <f>M373/M371*1000</f>
        <v>#DIV/0!</v>
      </c>
      <c r="N372" s="188" t="e">
        <f t="shared" ref="N372:S372" si="357">N373*1000/N371</f>
        <v>#DIV/0!</v>
      </c>
      <c r="O372" s="188" t="e">
        <f t="shared" si="357"/>
        <v>#DIV/0!</v>
      </c>
      <c r="P372" s="188" t="e">
        <f t="shared" si="357"/>
        <v>#DIV/0!</v>
      </c>
      <c r="Q372" s="188" t="e">
        <f t="shared" si="357"/>
        <v>#DIV/0!</v>
      </c>
      <c r="R372" s="188" t="e">
        <f t="shared" si="357"/>
        <v>#DIV/0!</v>
      </c>
      <c r="S372" s="188" t="e">
        <f t="shared" si="357"/>
        <v>#DIV/0!</v>
      </c>
      <c r="T372" s="188" t="e">
        <f>T373/T371*1000</f>
        <v>#DIV/0!</v>
      </c>
      <c r="U372" s="188" t="e">
        <f>U373/U371*1000</f>
        <v>#DIV/0!</v>
      </c>
      <c r="V372" s="218" t="e">
        <f t="shared" ref="V372" si="358">V373*1000/V371</f>
        <v>#DIV/0!</v>
      </c>
      <c r="W372" s="189" t="e">
        <f>W373/W371*1000</f>
        <v>#DIV/0!</v>
      </c>
      <c r="X372" s="225"/>
    </row>
    <row r="373" spans="1:28" s="176" customFormat="1" ht="17.7" customHeight="1">
      <c r="A373" s="583"/>
      <c r="B373" s="587"/>
      <c r="C373" s="588"/>
      <c r="D373" s="198" t="s">
        <v>25</v>
      </c>
      <c r="E373" s="220">
        <f>№2!E450+№5!E450+'№ 6'!E450+№14!E450+'№ 20'!E450+'№ 23'!E450+№27!E450+'№ 31'!E450+'№ 34'!E450+'№ 41'!E450</f>
        <v>0</v>
      </c>
      <c r="F373" s="199">
        <f>№2!F450+№5!F450+'№ 6'!F450+№14!F450+'№ 20'!F450+'№ 23'!F450+№27!F450+'№ 31'!F450+'№ 34'!F450+'№ 41'!F450</f>
        <v>0</v>
      </c>
      <c r="G373" s="199">
        <f>№2!G450+№5!G450+'№ 6'!G450+№14!G450+'№ 20'!G450+'№ 23'!G450+№27!G450+'№ 31'!G450+'№ 34'!G450+'№ 41'!G450</f>
        <v>0</v>
      </c>
      <c r="H373" s="199">
        <f>№2!H450+№5!H450+'№ 6'!H450+№14!H450+'№ 20'!H450+'№ 23'!H450+№27!H450+'№ 31'!H450+'№ 34'!H450+'№ 41'!H450</f>
        <v>0</v>
      </c>
      <c r="I373" s="199">
        <f>№2!I450+№5!I450+'№ 6'!I450+№14!I450+'№ 20'!I450+'№ 23'!I450+№27!I450+'№ 31'!I450+'№ 34'!I450+'№ 41'!I450</f>
        <v>0</v>
      </c>
      <c r="J373" s="199">
        <f>№2!J450+№5!J450+'№ 6'!J450+№14!J450+'№ 20'!J450+'№ 23'!J450+№27!J450+'№ 31'!J450+'№ 34'!J450+'№ 41'!J450</f>
        <v>0</v>
      </c>
      <c r="K373" s="199">
        <f>№2!K450+№5!K450+'№ 6'!K450+№14!K450+'№ 20'!K450+'№ 23'!K450+№27!K450+'№ 31'!K450+'№ 34'!K450+'№ 41'!K450</f>
        <v>0</v>
      </c>
      <c r="L373" s="199">
        <f>SUM(F373:K373)</f>
        <v>0</v>
      </c>
      <c r="M373" s="199">
        <f>L373/6</f>
        <v>0</v>
      </c>
      <c r="N373" s="199">
        <f>№2!N450+№5!N450+'№ 6'!N450+№14!N450+'№ 20'!N450+'№ 23'!N450+№27!N450+'№ 31'!N450+'№ 34'!N450+'№ 41'!N450</f>
        <v>0</v>
      </c>
      <c r="O373" s="199">
        <f>№2!O450+№5!O450+'№ 6'!O450+№14!O450+'№ 20'!O450+'№ 23'!O450+№27!O450+'№ 31'!O450+'№ 34'!O450+'№ 41'!O450</f>
        <v>0</v>
      </c>
      <c r="P373" s="199">
        <f>№2!P450+№5!P450+'№ 6'!P450+№14!P450+'№ 20'!P450+'№ 23'!P450+№27!P450+'№ 31'!P450+'№ 34'!P450+'№ 41'!P450</f>
        <v>0</v>
      </c>
      <c r="Q373" s="199">
        <f>№2!Q450+№5!Q450+'№ 6'!Q450+№14!Q450+'№ 20'!Q450+'№ 23'!Q450+№27!Q450+'№ 31'!Q450+'№ 34'!Q450+'№ 41'!Q450</f>
        <v>0</v>
      </c>
      <c r="R373" s="199">
        <f>№2!R450+№5!R450+'№ 6'!R450+№14!R450+'№ 20'!R450+'№ 23'!R450+№27!R450+'№ 31'!R450+'№ 34'!R450+'№ 41'!R450</f>
        <v>0</v>
      </c>
      <c r="S373" s="199">
        <f>№2!S450+№5!S450+'№ 6'!S450+№14!S450+'№ 20'!S450+'№ 23'!S450+№27!S450+'№ 31'!S450+'№ 34'!S450+'№ 41'!S450</f>
        <v>0</v>
      </c>
      <c r="T373" s="199">
        <f>SUM(N373:S373)</f>
        <v>0</v>
      </c>
      <c r="U373" s="199">
        <f>T373+L373</f>
        <v>0</v>
      </c>
      <c r="V373" s="199">
        <f>№2!V450+№5!V450+'№ 6'!V450+№14!V450+'№ 20'!V450+'№ 23'!V450+№27!V450+'№ 31'!V450+'№ 34'!V450+'№ 41'!V450</f>
        <v>0</v>
      </c>
      <c r="W373" s="221">
        <f>V373-U373</f>
        <v>0</v>
      </c>
      <c r="X373" s="176">
        <f>U368-U373</f>
        <v>0</v>
      </c>
    </row>
    <row r="374" spans="1:28" s="176" customFormat="1" ht="18" customHeight="1">
      <c r="A374" s="583"/>
      <c r="B374" s="587"/>
      <c r="C374" s="588"/>
      <c r="D374" s="201" t="s">
        <v>55</v>
      </c>
      <c r="E374" s="220"/>
      <c r="F374" s="199">
        <f>№2!F451+№5!F451+'№ 6'!F451+№14!F451+'№ 20'!F451+'№ 23'!F451+№27!F451+'№ 31'!F451+'№ 34'!F451+'№ 41'!F451</f>
        <v>0</v>
      </c>
      <c r="G374" s="199">
        <f>№2!G451+№5!G451+'№ 6'!G451+№14!G451+'№ 20'!G451+'№ 23'!G451+№27!G451+'№ 31'!G451+'№ 34'!G451+'№ 41'!G451</f>
        <v>0</v>
      </c>
      <c r="H374" s="199">
        <f>№2!H451+№5!H451+'№ 6'!H451+№14!H451+'№ 20'!H451+'№ 23'!H451+№27!H451+'№ 31'!H451+'№ 34'!H451+'№ 41'!H451</f>
        <v>0</v>
      </c>
      <c r="I374" s="199">
        <f>№2!I451+№5!I451+'№ 6'!I451+№14!I451+'№ 20'!I451+'№ 23'!I451+№27!I451+'№ 31'!I451+'№ 34'!I451+'№ 41'!I451</f>
        <v>0</v>
      </c>
      <c r="J374" s="199">
        <f>№2!J451+№5!J451+'№ 6'!J451+№14!J451+'№ 20'!J451+'№ 23'!J451+№27!J451+'№ 31'!J451+'№ 34'!J451+'№ 41'!J451</f>
        <v>0</v>
      </c>
      <c r="K374" s="199">
        <f>№2!K451+№5!K451+'№ 6'!K451+№14!K451+'№ 20'!K451+'№ 23'!K451+№27!K451+'№ 31'!K451+'№ 34'!K451+'№ 41'!K451</f>
        <v>0</v>
      </c>
      <c r="L374" s="199">
        <f>SUM(F374:K374)</f>
        <v>0</v>
      </c>
      <c r="M374" s="199">
        <f>L374/6</f>
        <v>0</v>
      </c>
      <c r="N374" s="199">
        <f>№2!N451+№5!N451+'№ 6'!N451+№14!N451+'№ 20'!N451+'№ 23'!N451+№27!N451+'№ 31'!N451+'№ 34'!N451+'№ 41'!N451</f>
        <v>0</v>
      </c>
      <c r="O374" s="199">
        <f>№2!O451+№5!O451+'№ 6'!O451+№14!O451+'№ 20'!O451+'№ 23'!O451+№27!O451+'№ 31'!O451+'№ 34'!O451+'№ 41'!O451</f>
        <v>0</v>
      </c>
      <c r="P374" s="199">
        <f>№2!P451+№5!P451+'№ 6'!P451+№14!P451+'№ 20'!P451+'№ 23'!P451+№27!P451+'№ 31'!P451+'№ 34'!P451+'№ 41'!P451</f>
        <v>0</v>
      </c>
      <c r="Q374" s="199">
        <f>№2!Q451+№5!Q451+'№ 6'!Q451+№14!Q451+'№ 20'!Q451+'№ 23'!Q451+№27!Q451+'№ 31'!Q451+'№ 34'!Q451+'№ 41'!Q451</f>
        <v>0</v>
      </c>
      <c r="R374" s="199">
        <f>№2!R451+№5!R451+'№ 6'!R451+№14!R451+'№ 20'!R451+'№ 23'!R451+№27!R451+'№ 31'!R451+'№ 34'!R451+'№ 41'!R451</f>
        <v>0</v>
      </c>
      <c r="S374" s="199">
        <f>№2!S451+№5!S451+'№ 6'!S451+№14!S451+'№ 20'!S451+'№ 23'!S451+№27!S451+'№ 31'!S451+'№ 34'!S451+'№ 41'!S451</f>
        <v>0</v>
      </c>
      <c r="T374" s="199">
        <f>SUM(N374:S374)</f>
        <v>0</v>
      </c>
      <c r="U374" s="199">
        <f>T374+L374</f>
        <v>0</v>
      </c>
      <c r="V374" s="199">
        <f>№2!V451+№5!V451+'№ 6'!V451+№14!V451+'№ 20'!V451+'№ 23'!V451+№27!V451+'№ 31'!V451+'№ 34'!V451+'№ 41'!V451</f>
        <v>0</v>
      </c>
      <c r="W374" s="221">
        <f>V374-U374</f>
        <v>0</v>
      </c>
      <c r="X374" s="176">
        <f>U369-U374</f>
        <v>0</v>
      </c>
    </row>
    <row r="375" spans="1:28" s="176" customFormat="1" ht="18" customHeight="1">
      <c r="A375" s="583"/>
      <c r="B375" s="587"/>
      <c r="C375" s="588"/>
      <c r="D375" s="201" t="s">
        <v>24</v>
      </c>
      <c r="E375" s="220"/>
      <c r="F375" s="199">
        <f>№2!F452+№5!F452+'№ 6'!F452+№14!F452+'№ 20'!F452+'№ 23'!F452+№27!F452+'№ 31'!F452+'№ 34'!F452+'№ 41'!F452</f>
        <v>0</v>
      </c>
      <c r="G375" s="199">
        <f>№2!G452+№5!G452+'№ 6'!G452+№14!G452+'№ 20'!G452+'№ 23'!G452+№27!G452+'№ 31'!G452+'№ 34'!G452+'№ 41'!G452</f>
        <v>0</v>
      </c>
      <c r="H375" s="199">
        <f>№2!H452+№5!H452+'№ 6'!H452+№14!H452+'№ 20'!H452+'№ 23'!H452+№27!H452+'№ 31'!H452+'№ 34'!H452+'№ 41'!H452</f>
        <v>0</v>
      </c>
      <c r="I375" s="199">
        <f>№2!I452+№5!I452+'№ 6'!I452+№14!I452+'№ 20'!I452+'№ 23'!I452+№27!I452+'№ 31'!I452+'№ 34'!I452+'№ 41'!I452</f>
        <v>0</v>
      </c>
      <c r="J375" s="199">
        <f>№2!J452+№5!J452+'№ 6'!J452+№14!J452+'№ 20'!J452+'№ 23'!J452+№27!J452+'№ 31'!J452+'№ 34'!J452+'№ 41'!J452</f>
        <v>0</v>
      </c>
      <c r="K375" s="199">
        <f>№2!K452+№5!K452+'№ 6'!K452+№14!K452+'№ 20'!K452+'№ 23'!K452+№27!K452+'№ 31'!K452+'№ 34'!K452+'№ 41'!K452</f>
        <v>0</v>
      </c>
      <c r="L375" s="199">
        <f>SUM(F375:K375)</f>
        <v>0</v>
      </c>
      <c r="M375" s="199">
        <f>L375/6</f>
        <v>0</v>
      </c>
      <c r="N375" s="199">
        <f>№2!N452+№5!N452+'№ 6'!N452+№14!N452+'№ 20'!N452+'№ 23'!N452+№27!N452+'№ 31'!N452+'№ 34'!N452+'№ 41'!N452</f>
        <v>0</v>
      </c>
      <c r="O375" s="199">
        <f>№2!O452+№5!O452+'№ 6'!O452+№14!O452+'№ 20'!O452+'№ 23'!O452+№27!O452+'№ 31'!O452+'№ 34'!O452+'№ 41'!O452</f>
        <v>0</v>
      </c>
      <c r="P375" s="199">
        <f>№2!P452+№5!P452+'№ 6'!P452+№14!P452+'№ 20'!P452+'№ 23'!P452+№27!P452+'№ 31'!P452+'№ 34'!P452+'№ 41'!P452</f>
        <v>0</v>
      </c>
      <c r="Q375" s="199">
        <f>№2!Q452+№5!Q452+'№ 6'!Q452+№14!Q452+'№ 20'!Q452+'№ 23'!Q452+№27!Q452+'№ 31'!Q452+'№ 34'!Q452+'№ 41'!Q452</f>
        <v>0</v>
      </c>
      <c r="R375" s="199">
        <f>№2!R452+№5!R452+'№ 6'!R452+№14!R452+'№ 20'!R452+'№ 23'!R452+№27!R452+'№ 31'!R452+'№ 34'!R452+'№ 41'!R452</f>
        <v>0</v>
      </c>
      <c r="S375" s="199">
        <f>№2!S452+№5!S452+'№ 6'!S452+№14!S452+'№ 20'!S452+'№ 23'!S452+№27!S452+'№ 31'!S452+'№ 34'!S452+'№ 41'!S452</f>
        <v>0</v>
      </c>
      <c r="T375" s="199">
        <f>SUM(N375:S375)</f>
        <v>0</v>
      </c>
      <c r="U375" s="199">
        <f>T375+L375</f>
        <v>0</v>
      </c>
      <c r="V375" s="199">
        <f>№2!V452+№5!V452+'№ 6'!V452+№14!V452+'№ 20'!V452+'№ 23'!V452+№27!V452+'№ 31'!V452+'№ 34'!V452+'№ 41'!V452</f>
        <v>0</v>
      </c>
      <c r="W375" s="221">
        <f>V375-U375</f>
        <v>0</v>
      </c>
      <c r="X375" s="176">
        <f>U370-U375</f>
        <v>0</v>
      </c>
    </row>
    <row r="376" spans="1:28" s="205" customFormat="1" ht="18" customHeight="1">
      <c r="A376" s="583"/>
      <c r="B376" s="587"/>
      <c r="C376" s="588"/>
      <c r="D376" s="202" t="s">
        <v>29</v>
      </c>
      <c r="E376" s="203"/>
      <c r="F376" s="203">
        <f t="shared" ref="F376:K376" si="359">F370</f>
        <v>0</v>
      </c>
      <c r="G376" s="203">
        <f t="shared" si="359"/>
        <v>0</v>
      </c>
      <c r="H376" s="203">
        <f t="shared" si="359"/>
        <v>0</v>
      </c>
      <c r="I376" s="203">
        <f t="shared" si="359"/>
        <v>0</v>
      </c>
      <c r="J376" s="203">
        <f t="shared" si="359"/>
        <v>0</v>
      </c>
      <c r="K376" s="203">
        <f t="shared" si="359"/>
        <v>0</v>
      </c>
      <c r="L376" s="203">
        <f>SUM(F376:K376)</f>
        <v>0</v>
      </c>
      <c r="M376" s="203">
        <f>L376/6</f>
        <v>0</v>
      </c>
      <c r="N376" s="203">
        <f t="shared" ref="N376:S376" si="360">N370+N369</f>
        <v>0</v>
      </c>
      <c r="O376" s="203">
        <f t="shared" si="360"/>
        <v>0</v>
      </c>
      <c r="P376" s="203">
        <f t="shared" si="360"/>
        <v>0</v>
      </c>
      <c r="Q376" s="203">
        <f t="shared" si="360"/>
        <v>0</v>
      </c>
      <c r="R376" s="203">
        <f t="shared" si="360"/>
        <v>0</v>
      </c>
      <c r="S376" s="203">
        <f t="shared" si="360"/>
        <v>0</v>
      </c>
      <c r="T376" s="203">
        <f>SUM(N376:S376)</f>
        <v>0</v>
      </c>
      <c r="U376" s="203">
        <f>T376+L376</f>
        <v>0</v>
      </c>
      <c r="V376" s="203">
        <f>V373</f>
        <v>0</v>
      </c>
      <c r="W376" s="203">
        <f>V376-U376</f>
        <v>0</v>
      </c>
    </row>
    <row r="377" spans="1:28" s="205" customFormat="1" ht="18" customHeight="1">
      <c r="A377" s="583"/>
      <c r="B377" s="587"/>
      <c r="C377" s="588"/>
      <c r="D377" s="202" t="s">
        <v>30</v>
      </c>
      <c r="E377" s="203"/>
      <c r="F377" s="203">
        <f t="shared" ref="F377:K377" si="361">F373-F376</f>
        <v>0</v>
      </c>
      <c r="G377" s="203">
        <f t="shared" si="361"/>
        <v>0</v>
      </c>
      <c r="H377" s="203">
        <f t="shared" si="361"/>
        <v>0</v>
      </c>
      <c r="I377" s="203">
        <f t="shared" si="361"/>
        <v>0</v>
      </c>
      <c r="J377" s="203">
        <f t="shared" si="361"/>
        <v>0</v>
      </c>
      <c r="K377" s="203">
        <f t="shared" si="361"/>
        <v>0</v>
      </c>
      <c r="L377" s="203"/>
      <c r="M377" s="203"/>
      <c r="N377" s="203">
        <f t="shared" ref="N377:S377" si="362">N373-N376</f>
        <v>0</v>
      </c>
      <c r="O377" s="203">
        <f t="shared" si="362"/>
        <v>0</v>
      </c>
      <c r="P377" s="203">
        <f t="shared" si="362"/>
        <v>0</v>
      </c>
      <c r="Q377" s="203">
        <f t="shared" si="362"/>
        <v>0</v>
      </c>
      <c r="R377" s="203">
        <f t="shared" si="362"/>
        <v>0</v>
      </c>
      <c r="S377" s="203">
        <f t="shared" si="362"/>
        <v>0</v>
      </c>
      <c r="T377" s="203"/>
      <c r="U377" s="203"/>
      <c r="V377" s="203"/>
      <c r="W377" s="203"/>
    </row>
    <row r="378" spans="1:28" s="205" customFormat="1" ht="18" customHeight="1">
      <c r="A378" s="583"/>
      <c r="B378" s="589"/>
      <c r="C378" s="590"/>
      <c r="D378" s="202" t="s">
        <v>31</v>
      </c>
      <c r="E378" s="203"/>
      <c r="F378" s="203">
        <f>F377</f>
        <v>0</v>
      </c>
      <c r="G378" s="203">
        <f>G377+F378</f>
        <v>0</v>
      </c>
      <c r="H378" s="203">
        <f>H377+G378</f>
        <v>0</v>
      </c>
      <c r="I378" s="203">
        <f>I377+H378</f>
        <v>0</v>
      </c>
      <c r="J378" s="203">
        <f>J377+I378</f>
        <v>0</v>
      </c>
      <c r="K378" s="203">
        <f>K377+J378</f>
        <v>0</v>
      </c>
      <c r="L378" s="203"/>
      <c r="M378" s="203"/>
      <c r="N378" s="203">
        <f>N377+K378</f>
        <v>0</v>
      </c>
      <c r="O378" s="203">
        <f>O377+N378</f>
        <v>0</v>
      </c>
      <c r="P378" s="203">
        <f>P377+O378</f>
        <v>0</v>
      </c>
      <c r="Q378" s="203">
        <f>Q377+P378</f>
        <v>0</v>
      </c>
      <c r="R378" s="203">
        <f>R377+Q378</f>
        <v>0</v>
      </c>
      <c r="S378" s="203">
        <f>S377+R378</f>
        <v>0</v>
      </c>
      <c r="T378" s="203"/>
      <c r="U378" s="203"/>
      <c r="V378" s="203"/>
      <c r="W378" s="203"/>
    </row>
    <row r="379" spans="1:28" s="237" customFormat="1" ht="20.85" hidden="1" customHeight="1">
      <c r="A379" s="583"/>
      <c r="B379" s="580" t="s">
        <v>38</v>
      </c>
      <c r="C379" s="575"/>
      <c r="D379" s="178" t="s">
        <v>105</v>
      </c>
      <c r="E379" s="179"/>
      <c r="F379" s="180">
        <f>№2!F456+№5!F456+'№ 6'!F456+№14!F456+'№ 20'!F456+'№ 23'!F456+№27!F456+'№ 31'!F456+'№ 34'!F456+'№ 41'!F456</f>
        <v>0</v>
      </c>
      <c r="G379" s="180">
        <f>№2!G456+№5!G456+'№ 6'!G456+№14!G456+'№ 20'!G456+'№ 23'!G456+№27!G456+'№ 31'!G456+'№ 34'!G456+'№ 41'!G456</f>
        <v>66</v>
      </c>
      <c r="H379" s="180">
        <f>№2!H456+№5!H456+'№ 6'!H456+№14!H456+'№ 20'!H456+'№ 23'!H456+№27!H456+'№ 31'!H456+'№ 34'!H456+'№ 41'!H456</f>
        <v>126</v>
      </c>
      <c r="I379" s="180">
        <f>№2!I456+№5!I456+'№ 6'!I456+№14!I456+'№ 20'!I456+'№ 23'!I456+№27!I456+'№ 31'!I456+'№ 34'!I456+'№ 41'!I456</f>
        <v>141</v>
      </c>
      <c r="J379" s="180">
        <f>№2!J456+№5!J456+'№ 6'!J456+№14!J456+'№ 20'!J456+'№ 23'!J456+№27!J456+'№ 31'!J456+'№ 34'!J456+'№ 41'!J456</f>
        <v>107</v>
      </c>
      <c r="K379" s="180">
        <f>№2!K456+№5!K456+'№ 6'!K456+№14!K456+'№ 20'!K456+'№ 23'!K456+№27!K456+'№ 31'!K456+'№ 34'!K456+'№ 41'!K456</f>
        <v>110</v>
      </c>
      <c r="L379" s="215">
        <f>SUM(F379:K379)</f>
        <v>550</v>
      </c>
      <c r="M379" s="215">
        <f>L379/6</f>
        <v>91.7</v>
      </c>
      <c r="N379" s="180">
        <f>№2!N456+№5!N456+'№ 6'!N456+№14!N456+'№ 20'!N456+'№ 23'!N456+№27!N456+'№ 31'!N456+'№ 34'!N456+'№ 41'!N456</f>
        <v>42</v>
      </c>
      <c r="O379" s="180">
        <f>№2!O456+№5!O456+'№ 6'!O456+№14!O456+'№ 20'!O456+'№ 23'!O456+№27!O456+'№ 31'!O456+'№ 34'!O456+'№ 41'!O456</f>
        <v>0</v>
      </c>
      <c r="P379" s="180">
        <f>№2!P456+№5!P456+'№ 6'!P456+№14!P456+'№ 20'!P456+'№ 23'!P456+№27!P456+'№ 31'!P456+'№ 34'!P456+'№ 41'!P456</f>
        <v>269.2</v>
      </c>
      <c r="Q379" s="180">
        <f>№2!Q456+№5!Q456+'№ 6'!Q456+№14!Q456+'№ 20'!Q456+'№ 23'!Q456+№27!Q456+'№ 31'!Q456+'№ 34'!Q456+'№ 41'!Q456</f>
        <v>328</v>
      </c>
      <c r="R379" s="180">
        <f>№2!R456+№5!R456+'№ 6'!R456+№14!R456+'№ 20'!R456+'№ 23'!R456+№27!R456+'№ 31'!R456+'№ 34'!R456+'№ 41'!R456</f>
        <v>325.39999999999998</v>
      </c>
      <c r="S379" s="180">
        <f>№2!S456+№5!S456+'№ 6'!S456+№14!S456+'№ 20'!S456+'№ 23'!S456+№27!S456+'№ 31'!S456+'№ 34'!S456+'№ 41'!S456</f>
        <v>432.8</v>
      </c>
      <c r="T379" s="215">
        <f>SUM(N379:S379)</f>
        <v>1397.4</v>
      </c>
      <c r="U379" s="215">
        <f>T379+L379</f>
        <v>1947.4</v>
      </c>
      <c r="V379" s="233">
        <f>№2!V456+№5!V456+'№ 6'!V456+№14!V456+'№ 20'!V456+'№ 23'!V456+№27!V456+'№ 31'!V456+'№ 34'!V456+'№ 41'!V456</f>
        <v>0</v>
      </c>
      <c r="W379" s="184"/>
      <c r="X379" s="209"/>
      <c r="Y379" s="157"/>
      <c r="Z379" s="157"/>
      <c r="AA379" s="157"/>
      <c r="AB379" s="157"/>
    </row>
    <row r="380" spans="1:28" s="186" customFormat="1" ht="20.85" hidden="1" customHeight="1">
      <c r="A380" s="583"/>
      <c r="B380" s="576"/>
      <c r="C380" s="577"/>
      <c r="D380" s="178" t="s">
        <v>109</v>
      </c>
      <c r="E380" s="179"/>
      <c r="F380" s="180">
        <f>№2!F457+№5!F457+'№ 6'!F457+№14!F457+'№ 20'!F457+'№ 23'!F457+№27!F457+'№ 31'!F457+'№ 34'!F457+'№ 41'!F457</f>
        <v>0</v>
      </c>
      <c r="G380" s="180">
        <f>№2!G457+№5!G457+'№ 6'!G457+№14!G457+'№ 20'!G457+'№ 23'!G457+№27!G457+'№ 31'!G457+'№ 34'!G457+'№ 41'!G457</f>
        <v>161</v>
      </c>
      <c r="H380" s="180">
        <f>№2!H457+№5!H457+'№ 6'!H457+№14!H457+'№ 20'!H457+'№ 23'!H457+№27!H457+'№ 31'!H457+'№ 34'!H457+'№ 41'!H457</f>
        <v>74</v>
      </c>
      <c r="I380" s="180">
        <f>№2!I457+№5!I457+'№ 6'!I457+№14!I457+'№ 20'!I457+'№ 23'!I457+№27!I457+'№ 31'!I457+'№ 34'!I457+'№ 41'!I457</f>
        <v>356</v>
      </c>
      <c r="J380" s="180">
        <f>№2!J457+№5!J457+'№ 6'!J457+№14!J457+'№ 20'!J457+'№ 23'!J457+№27!J457+'№ 31'!J457+'№ 34'!J457+'№ 41'!J457</f>
        <v>0</v>
      </c>
      <c r="K380" s="180">
        <f>№2!K457+№5!K457+'№ 6'!K457+№14!K457+'№ 20'!K457+'№ 23'!K457+№27!K457+'№ 31'!K457+'№ 34'!K457+'№ 41'!K457</f>
        <v>0</v>
      </c>
      <c r="L380" s="215">
        <f>SUM(F380:K380)</f>
        <v>591</v>
      </c>
      <c r="M380" s="215">
        <f>L380/6</f>
        <v>98.5</v>
      </c>
      <c r="N380" s="180">
        <f>№2!N457+№5!N457+'№ 6'!N457+№14!N457+'№ 20'!N457+'№ 23'!N457+№27!N457+'№ 31'!N457+'№ 34'!N457+'№ 41'!N457</f>
        <v>0</v>
      </c>
      <c r="O380" s="180">
        <f>№2!O457+№5!O457+'№ 6'!O457+№14!O457+'№ 20'!O457+'№ 23'!O457+№27!O457+'№ 31'!O457+'№ 34'!O457+'№ 41'!O457</f>
        <v>0</v>
      </c>
      <c r="P380" s="180">
        <f>№2!P457+№5!P457+'№ 6'!P457+№14!P457+'№ 20'!P457+'№ 23'!P457+№27!P457+'№ 31'!P457+'№ 34'!P457+'№ 41'!P457</f>
        <v>0</v>
      </c>
      <c r="Q380" s="180">
        <f>№2!Q457+№5!Q457+'№ 6'!Q457+№14!Q457+'№ 20'!Q457+'№ 23'!Q457+№27!Q457+'№ 31'!Q457+'№ 34'!Q457+'№ 41'!Q457</f>
        <v>0</v>
      </c>
      <c r="R380" s="180">
        <f>№2!R457+№5!R457+'№ 6'!R457+№14!R457+'№ 20'!R457+'№ 23'!R457+№27!R457+'№ 31'!R457+'№ 34'!R457+'№ 41'!R457</f>
        <v>0</v>
      </c>
      <c r="S380" s="180">
        <f>№2!S457+№5!S457+'№ 6'!S457+№14!S457+'№ 20'!S457+'№ 23'!S457+№27!S457+'№ 31'!S457+'№ 34'!S457+'№ 41'!S457</f>
        <v>0</v>
      </c>
      <c r="T380" s="215">
        <f>SUM(N380:S380)</f>
        <v>0</v>
      </c>
      <c r="U380" s="215">
        <f>T380+L380</f>
        <v>591</v>
      </c>
      <c r="V380" s="233">
        <f>№2!V457+№5!V457+'№ 6'!V457+№14!V457+'№ 20'!V457+'№ 23'!V457+№27!V457+'№ 31'!V457+'№ 34'!V457+'№ 41'!V457</f>
        <v>0</v>
      </c>
      <c r="W380" s="184"/>
      <c r="X380" s="185"/>
    </row>
    <row r="381" spans="1:28" s="237" customFormat="1" ht="20.85" hidden="1" customHeight="1">
      <c r="A381" s="583"/>
      <c r="B381" s="576"/>
      <c r="C381" s="577"/>
      <c r="D381" s="178" t="s">
        <v>116</v>
      </c>
      <c r="E381" s="179"/>
      <c r="F381" s="180">
        <f>№2!F458+№5!F458+'№ 6'!F458+№14!F458+'№ 20'!F458+'№ 23'!F458+№27!F458+'№ 31'!F458+'№ 34'!F458+'№ 41'!F458</f>
        <v>0</v>
      </c>
      <c r="G381" s="180">
        <f>№2!G458+№5!G458+'№ 6'!G458+№14!G458+'№ 20'!G458+'№ 23'!G458+№27!G458+'№ 31'!G458+'№ 34'!G458+'№ 41'!G458</f>
        <v>0</v>
      </c>
      <c r="H381" s="180">
        <f>№2!H458+№5!H458+'№ 6'!H458+№14!H458+'№ 20'!H458+'№ 23'!H458+№27!H458+'№ 31'!H458+'№ 34'!H458+'№ 41'!H458</f>
        <v>0</v>
      </c>
      <c r="I381" s="180">
        <f>№2!I458+№5!I458+'№ 6'!I458+№14!I458+'№ 20'!I458+'№ 23'!I458+№27!I458+'№ 31'!I458+'№ 34'!I458+'№ 41'!I458</f>
        <v>0</v>
      </c>
      <c r="J381" s="180">
        <f>№2!J458+№5!J458+'№ 6'!J458+№14!J458+'№ 20'!J458+'№ 23'!J458+№27!J458+'№ 31'!J458+'№ 34'!J458+'№ 41'!J458</f>
        <v>0</v>
      </c>
      <c r="K381" s="180">
        <f>№2!K458+№5!K458+'№ 6'!K458+№14!K458+'№ 20'!K458+'№ 23'!K458+№27!K458+'№ 31'!K458+'№ 34'!K458+'№ 41'!K458</f>
        <v>0</v>
      </c>
      <c r="L381" s="215">
        <f>SUM(F381:K381)</f>
        <v>0</v>
      </c>
      <c r="M381" s="215">
        <f>L381/6</f>
        <v>0</v>
      </c>
      <c r="N381" s="180">
        <f>№2!N458+№5!N458+'№ 6'!N458+№14!N458+'№ 20'!N458+'№ 23'!N458+№27!N458+'№ 31'!N458+'№ 34'!N458+'№ 41'!N458</f>
        <v>0</v>
      </c>
      <c r="O381" s="180">
        <f>№2!O458+№5!O458+'№ 6'!O458+№14!O458+'№ 20'!O458+'№ 23'!O458+№27!O458+'№ 31'!O458+'№ 34'!O458+'№ 41'!O458</f>
        <v>0</v>
      </c>
      <c r="P381" s="180">
        <f>№2!P458+№5!P458+'№ 6'!P458+№14!P458+'№ 20'!P458+'№ 23'!P458+№27!P458+'№ 31'!P458+'№ 34'!P458+'№ 41'!P458</f>
        <v>0</v>
      </c>
      <c r="Q381" s="180">
        <f>№2!Q458+№5!Q458+'№ 6'!Q458+№14!Q458+'№ 20'!Q458+'№ 23'!Q458+№27!Q458+'№ 31'!Q458+'№ 34'!Q458+'№ 41'!Q458</f>
        <v>0</v>
      </c>
      <c r="R381" s="180">
        <f>№2!R458+№5!R458+'№ 6'!R458+№14!R458+'№ 20'!R458+'№ 23'!R458+№27!R458+'№ 31'!R458+'№ 34'!R458+'№ 41'!R458</f>
        <v>0</v>
      </c>
      <c r="S381" s="180">
        <f>№2!S458+№5!S458+'№ 6'!S458+№14!S458+'№ 20'!S458+'№ 23'!S458+№27!S458+'№ 31'!S458+'№ 34'!S458+'№ 41'!S458</f>
        <v>0</v>
      </c>
      <c r="T381" s="215">
        <f>SUM(N381:S381)</f>
        <v>0</v>
      </c>
      <c r="U381" s="215">
        <f>T381+L381</f>
        <v>0</v>
      </c>
      <c r="V381" s="233">
        <f>№2!V458+№5!V458+'№ 6'!V458+№14!V458+'№ 20'!V458+'№ 23'!V458+№27!V458+'№ 31'!V458+'№ 34'!V458+'№ 41'!V458</f>
        <v>0</v>
      </c>
      <c r="W381" s="184">
        <f>V381-U381</f>
        <v>0</v>
      </c>
      <c r="X381" s="209"/>
      <c r="Y381" s="157"/>
      <c r="Z381" s="157"/>
      <c r="AA381" s="157"/>
      <c r="AB381" s="157"/>
    </row>
    <row r="382" spans="1:28" s="173" customFormat="1" ht="20.85" hidden="1" customHeight="1">
      <c r="A382" s="583"/>
      <c r="B382" s="576"/>
      <c r="C382" s="577"/>
      <c r="D382" s="187" t="s">
        <v>27</v>
      </c>
      <c r="E382" s="188"/>
      <c r="F382" s="188" t="e">
        <f t="shared" ref="F382:K382" si="363">F383*1000/F381</f>
        <v>#DIV/0!</v>
      </c>
      <c r="G382" s="188" t="e">
        <f t="shared" si="363"/>
        <v>#DIV/0!</v>
      </c>
      <c r="H382" s="188" t="e">
        <f t="shared" si="363"/>
        <v>#DIV/0!</v>
      </c>
      <c r="I382" s="188" t="e">
        <f t="shared" si="363"/>
        <v>#DIV/0!</v>
      </c>
      <c r="J382" s="188" t="e">
        <f t="shared" si="363"/>
        <v>#DIV/0!</v>
      </c>
      <c r="K382" s="188" t="e">
        <f t="shared" si="363"/>
        <v>#DIV/0!</v>
      </c>
      <c r="L382" s="217" t="e">
        <f>L383/L381*1000</f>
        <v>#DIV/0!</v>
      </c>
      <c r="M382" s="217" t="e">
        <f>M383/M381*1000</f>
        <v>#DIV/0!</v>
      </c>
      <c r="N382" s="188" t="e">
        <f t="shared" ref="N382:S382" si="364">N383*1000/N381</f>
        <v>#DIV/0!</v>
      </c>
      <c r="O382" s="188" t="e">
        <f t="shared" si="364"/>
        <v>#DIV/0!</v>
      </c>
      <c r="P382" s="188" t="e">
        <f t="shared" si="364"/>
        <v>#DIV/0!</v>
      </c>
      <c r="Q382" s="188" t="e">
        <f t="shared" si="364"/>
        <v>#DIV/0!</v>
      </c>
      <c r="R382" s="188" t="e">
        <f t="shared" si="364"/>
        <v>#DIV/0!</v>
      </c>
      <c r="S382" s="188" t="e">
        <f t="shared" si="364"/>
        <v>#DIV/0!</v>
      </c>
      <c r="T382" s="218" t="e">
        <f>T383/T381*1000</f>
        <v>#DIV/0!</v>
      </c>
      <c r="U382" s="218" t="e">
        <f>U383/U381*1000</f>
        <v>#DIV/0!</v>
      </c>
      <c r="V382" s="218" t="e">
        <f t="shared" ref="V382" si="365">V383*1000/V381</f>
        <v>#DIV/0!</v>
      </c>
      <c r="W382" s="189" t="e">
        <f>W383/W381*1000</f>
        <v>#DIV/0!</v>
      </c>
      <c r="X382" s="209"/>
      <c r="Y382" s="157"/>
      <c r="Z382" s="157"/>
      <c r="AA382" s="157"/>
      <c r="AB382" s="157"/>
    </row>
    <row r="383" spans="1:28" s="173" customFormat="1" ht="20.85" hidden="1" customHeight="1">
      <c r="A383" s="583"/>
      <c r="B383" s="576"/>
      <c r="C383" s="577"/>
      <c r="D383" s="191" t="s">
        <v>0</v>
      </c>
      <c r="E383" s="192"/>
      <c r="F383" s="192">
        <f>№2!F460+№5!F460+'№ 6'!F460+№14!F460+'№ 20'!F460+'№ 23'!F460+№27!F460+'№ 31'!F460+'№ 34'!F460+'№ 41'!F460</f>
        <v>0</v>
      </c>
      <c r="G383" s="192">
        <f>№2!G460+№5!G460+'№ 6'!G460+№14!G460+'№ 20'!G460+'№ 23'!G460+№27!G460+'№ 31'!G460+'№ 34'!G460+'№ 41'!G460</f>
        <v>0</v>
      </c>
      <c r="H383" s="192">
        <f>№2!H460+№5!H460+'№ 6'!H460+№14!H460+'№ 20'!H460+'№ 23'!H460+№27!H460+'№ 31'!H460+'№ 34'!H460+'№ 41'!H460</f>
        <v>0</v>
      </c>
      <c r="I383" s="192">
        <f>№2!I460+№5!I460+'№ 6'!I460+№14!I460+'№ 20'!I460+'№ 23'!I460+№27!I460+'№ 31'!I460+'№ 34'!I460+'№ 41'!I460</f>
        <v>0</v>
      </c>
      <c r="J383" s="192">
        <f>№2!J460+№5!J460+'№ 6'!J460+№14!J460+'№ 20'!J460+'№ 23'!J460+№27!J460+'№ 31'!J460+'№ 34'!J460+'№ 41'!J460</f>
        <v>0</v>
      </c>
      <c r="K383" s="192">
        <f>№2!K460+№5!K460+'№ 6'!K460+№14!K460+'№ 20'!K460+'№ 23'!K460+№27!K460+'№ 31'!K460+'№ 34'!K460+'№ 41'!K460</f>
        <v>0</v>
      </c>
      <c r="L383" s="194">
        <f>SUM(F383:K383)</f>
        <v>0</v>
      </c>
      <c r="M383" s="194">
        <f>L383/6</f>
        <v>0</v>
      </c>
      <c r="N383" s="192">
        <f>№2!N460+№5!N460+'№ 6'!N460+№14!N460+'№ 20'!N460+'№ 23'!N460+№27!N460+'№ 31'!N460+'№ 34'!N460+'№ 41'!N460</f>
        <v>0</v>
      </c>
      <c r="O383" s="192">
        <f>№2!O460+№5!O460+'№ 6'!O460+№14!O460+'№ 20'!O460+'№ 23'!O460+№27!O460+'№ 31'!O460+'№ 34'!O460+'№ 41'!O460</f>
        <v>0</v>
      </c>
      <c r="P383" s="192">
        <f>№2!P460+№5!P460+'№ 6'!P460+№14!P460+'№ 20'!P460+'№ 23'!P460+№27!P460+'№ 31'!P460+'№ 34'!P460+'№ 41'!P460</f>
        <v>0</v>
      </c>
      <c r="Q383" s="192">
        <f>№2!Q460+№5!Q460+'№ 6'!Q460+№14!Q460+'№ 20'!Q460+'№ 23'!Q460+№27!Q460+'№ 31'!Q460+'№ 34'!Q460+'№ 41'!Q460</f>
        <v>0</v>
      </c>
      <c r="R383" s="192">
        <f>№2!R460+№5!R460+'№ 6'!R460+№14!R460+'№ 20'!R460+'№ 23'!R460+№27!R460+'№ 31'!R460+'№ 34'!R460+'№ 41'!R460</f>
        <v>0</v>
      </c>
      <c r="S383" s="192">
        <f>№2!S460+№5!S460+'№ 6'!S460+№14!S460+'№ 20'!S460+'№ 23'!S460+№27!S460+'№ 31'!S460+'№ 34'!S460+'№ 41'!S460</f>
        <v>0</v>
      </c>
      <c r="T383" s="194">
        <f>SUM(N383:S383)</f>
        <v>0</v>
      </c>
      <c r="U383" s="194">
        <f>T383+L383</f>
        <v>0</v>
      </c>
      <c r="V383" s="194">
        <f>№2!V460+№5!V460+'№ 6'!V460+№14!V460+'№ 20'!V460+'№ 23'!V460+№27!V460+'№ 31'!V460+'№ 34'!V460+'№ 41'!V460</f>
        <v>0</v>
      </c>
      <c r="W383" s="193">
        <f>V383-U383</f>
        <v>0</v>
      </c>
      <c r="X383" s="172"/>
    </row>
    <row r="384" spans="1:28" s="173" customFormat="1" ht="20.85" hidden="1" customHeight="1">
      <c r="A384" s="583"/>
      <c r="B384" s="576"/>
      <c r="C384" s="577"/>
      <c r="D384" s="174" t="s">
        <v>55</v>
      </c>
      <c r="E384" s="210"/>
      <c r="F384" s="192">
        <f>№2!F461+№5!F461+'№ 6'!F461+№14!F461+'№ 20'!F461+'№ 23'!F461+№27!F461+'№ 31'!F461+'№ 34'!F461+'№ 41'!F461</f>
        <v>0</v>
      </c>
      <c r="G384" s="192">
        <f>№2!G461+№5!G461+'№ 6'!G461+№14!G461+'№ 20'!G461+'№ 23'!G461+№27!G461+'№ 31'!G461+'№ 34'!G461+'№ 41'!G461</f>
        <v>0</v>
      </c>
      <c r="H384" s="192">
        <f>№2!H461+№5!H461+'№ 6'!H461+№14!H461+'№ 20'!H461+'№ 23'!H461+№27!H461+'№ 31'!H461+'№ 34'!H461+'№ 41'!H461</f>
        <v>0</v>
      </c>
      <c r="I384" s="192">
        <f>№2!I461+№5!I461+'№ 6'!I461+№14!I461+'№ 20'!I461+'№ 23'!I461+№27!I461+'№ 31'!I461+'№ 34'!I461+'№ 41'!I461</f>
        <v>0</v>
      </c>
      <c r="J384" s="192">
        <f>№2!J461+№5!J461+'№ 6'!J461+№14!J461+'№ 20'!J461+'№ 23'!J461+№27!J461+'№ 31'!J461+'№ 34'!J461+'№ 41'!J461</f>
        <v>0</v>
      </c>
      <c r="K384" s="192">
        <f>№2!K461+№5!K461+'№ 6'!K461+№14!K461+'№ 20'!K461+'№ 23'!K461+№27!K461+'№ 31'!K461+'№ 34'!K461+'№ 41'!K461</f>
        <v>0</v>
      </c>
      <c r="L384" s="194">
        <f>SUM(F384:K384)</f>
        <v>0</v>
      </c>
      <c r="M384" s="194">
        <f>L384/6</f>
        <v>0</v>
      </c>
      <c r="N384" s="192">
        <f>№2!N461+№5!N461+'№ 6'!N461+№14!N461+'№ 20'!N461+'№ 23'!N461+№27!N461+'№ 31'!N461+'№ 34'!N461+'№ 41'!N461</f>
        <v>0</v>
      </c>
      <c r="O384" s="192">
        <f>№2!O461+№5!O461+'№ 6'!O461+№14!O461+'№ 20'!O461+'№ 23'!O461+№27!O461+'№ 31'!O461+'№ 34'!O461+'№ 41'!O461</f>
        <v>0</v>
      </c>
      <c r="P384" s="192">
        <f>№2!P461+№5!P461+'№ 6'!P461+№14!P461+'№ 20'!P461+'№ 23'!P461+№27!P461+'№ 31'!P461+'№ 34'!P461+'№ 41'!P461</f>
        <v>0</v>
      </c>
      <c r="Q384" s="192">
        <f>№2!Q461+№5!Q461+'№ 6'!Q461+№14!Q461+'№ 20'!Q461+'№ 23'!Q461+№27!Q461+'№ 31'!Q461+'№ 34'!Q461+'№ 41'!Q461</f>
        <v>0</v>
      </c>
      <c r="R384" s="192">
        <f>№2!R461+№5!R461+'№ 6'!R461+№14!R461+'№ 20'!R461+'№ 23'!R461+№27!R461+'№ 31'!R461+'№ 34'!R461+'№ 41'!R461</f>
        <v>0</v>
      </c>
      <c r="S384" s="192">
        <f>№2!S461+№5!S461+'№ 6'!S461+№14!S461+'№ 20'!S461+'№ 23'!S461+№27!S461+'№ 31'!S461+'№ 34'!S461+'№ 41'!S461</f>
        <v>0</v>
      </c>
      <c r="T384" s="194">
        <f>SUM(N384:S384)</f>
        <v>0</v>
      </c>
      <c r="U384" s="194">
        <f>T384+L384</f>
        <v>0</v>
      </c>
      <c r="V384" s="194">
        <f>№2!V461+№5!V461+'№ 6'!V461+№14!V461+'№ 20'!V461+'№ 23'!V461+№27!V461+'№ 31'!V461+'№ 34'!V461+'№ 41'!V461</f>
        <v>0</v>
      </c>
      <c r="W384" s="193">
        <f>V384-U384</f>
        <v>0</v>
      </c>
      <c r="X384" s="172"/>
    </row>
    <row r="385" spans="1:28" s="173" customFormat="1" ht="20.85" hidden="1" customHeight="1">
      <c r="A385" s="583"/>
      <c r="B385" s="576"/>
      <c r="C385" s="577"/>
      <c r="D385" s="174" t="s">
        <v>28</v>
      </c>
      <c r="E385" s="210"/>
      <c r="F385" s="192">
        <f>№2!F462+№5!F462+'№ 6'!F462+№14!F462+'№ 20'!F462+'№ 23'!F462+№27!F462+'№ 31'!F462+'№ 34'!F462+'№ 41'!F462</f>
        <v>0</v>
      </c>
      <c r="G385" s="192">
        <f>№2!G462+№5!G462+'№ 6'!G462+№14!G462+'№ 20'!G462+'№ 23'!G462+№27!G462+'№ 31'!G462+'№ 34'!G462+'№ 41'!G462</f>
        <v>0</v>
      </c>
      <c r="H385" s="192">
        <f>№2!H462+№5!H462+'№ 6'!H462+№14!H462+'№ 20'!H462+'№ 23'!H462+№27!H462+'№ 31'!H462+'№ 34'!H462+'№ 41'!H462</f>
        <v>0</v>
      </c>
      <c r="I385" s="192">
        <f>№2!I462+№5!I462+'№ 6'!I462+№14!I462+'№ 20'!I462+'№ 23'!I462+№27!I462+'№ 31'!I462+'№ 34'!I462+'№ 41'!I462</f>
        <v>0</v>
      </c>
      <c r="J385" s="192">
        <f>№2!J462+№5!J462+'№ 6'!J462+№14!J462+'№ 20'!J462+'№ 23'!J462+№27!J462+'№ 31'!J462+'№ 34'!J462+'№ 41'!J462</f>
        <v>0</v>
      </c>
      <c r="K385" s="192">
        <f>№2!K462+№5!K462+'№ 6'!K462+№14!K462+'№ 20'!K462+'№ 23'!K462+№27!K462+'№ 31'!K462+'№ 34'!K462+'№ 41'!K462</f>
        <v>0</v>
      </c>
      <c r="L385" s="194">
        <f>SUM(F385:K385)</f>
        <v>0</v>
      </c>
      <c r="M385" s="194">
        <f>L385/6</f>
        <v>0</v>
      </c>
      <c r="N385" s="192">
        <f>№2!N462+№5!N462+'№ 6'!N462+№14!N462+'№ 20'!N462+'№ 23'!N462+№27!N462+'№ 31'!N462+'№ 34'!N462+'№ 41'!N462</f>
        <v>0</v>
      </c>
      <c r="O385" s="192">
        <f>№2!O462+№5!O462+'№ 6'!O462+№14!O462+'№ 20'!O462+'№ 23'!O462+№27!O462+'№ 31'!O462+'№ 34'!O462+'№ 41'!O462</f>
        <v>0</v>
      </c>
      <c r="P385" s="192">
        <f>№2!P462+№5!P462+'№ 6'!P462+№14!P462+'№ 20'!P462+'№ 23'!P462+№27!P462+'№ 31'!P462+'№ 34'!P462+'№ 41'!P462</f>
        <v>0</v>
      </c>
      <c r="Q385" s="192">
        <f>№2!Q462+№5!Q462+'№ 6'!Q462+№14!Q462+'№ 20'!Q462+'№ 23'!Q462+№27!Q462+'№ 31'!Q462+'№ 34'!Q462+'№ 41'!Q462</f>
        <v>0</v>
      </c>
      <c r="R385" s="192">
        <f>№2!R462+№5!R462+'№ 6'!R462+№14!R462+'№ 20'!R462+'№ 23'!R462+№27!R462+'№ 31'!R462+'№ 34'!R462+'№ 41'!R462</f>
        <v>0</v>
      </c>
      <c r="S385" s="192">
        <f>№2!S462+№5!S462+'№ 6'!S462+№14!S462+'№ 20'!S462+'№ 23'!S462+№27!S462+'№ 31'!S462+'№ 34'!S462+'№ 41'!S462</f>
        <v>0</v>
      </c>
      <c r="T385" s="194">
        <f>SUM(N385:S385)</f>
        <v>0</v>
      </c>
      <c r="U385" s="194">
        <f>T385+L385</f>
        <v>0</v>
      </c>
      <c r="V385" s="194">
        <f>№2!V462+№5!V462+'№ 6'!V462+№14!V462+'№ 20'!V462+'№ 23'!V462+№27!V462+'№ 31'!V462+'№ 34'!V462+'№ 41'!V462</f>
        <v>0</v>
      </c>
      <c r="W385" s="193">
        <f>V385-U385</f>
        <v>0</v>
      </c>
      <c r="X385" s="172"/>
    </row>
    <row r="386" spans="1:28" s="157" customFormat="1" ht="20.85" hidden="1" customHeight="1">
      <c r="A386" s="583"/>
      <c r="B386" s="576"/>
      <c r="C386" s="577"/>
      <c r="D386" s="178" t="s">
        <v>117</v>
      </c>
      <c r="E386" s="179">
        <f>№2!E463+№5!E463+'№ 6'!E463+№14!E463+'№ 20'!E463+'№ 23'!E463+№27!E463+'№ 31'!E463+'№ 34'!E463+'№ 41'!E463</f>
        <v>0</v>
      </c>
      <c r="F386" s="179">
        <f>№2!F463+№5!F463+'№ 6'!F463+№14!F463+'№ 20'!F463+'№ 23'!F463+№27!F463+'№ 31'!F463+'№ 34'!F463+'№ 41'!F463</f>
        <v>0</v>
      </c>
      <c r="G386" s="179">
        <f>№2!G463+№5!G463+'№ 6'!G463+№14!G463+'№ 20'!G463+'№ 23'!G463+№27!G463+'№ 31'!G463+'№ 34'!G463+'№ 41'!G463</f>
        <v>0</v>
      </c>
      <c r="H386" s="179">
        <f>№2!H463+№5!H463+'№ 6'!H463+№14!H463+'№ 20'!H463+'№ 23'!H463+№27!H463+'№ 31'!H463+'№ 34'!H463+'№ 41'!H463</f>
        <v>0</v>
      </c>
      <c r="I386" s="179">
        <f>№2!I463+№5!I463+'№ 6'!I463+№14!I463+'№ 20'!I463+'№ 23'!I463+№27!I463+'№ 31'!I463+'№ 34'!I463+'№ 41'!I463</f>
        <v>0</v>
      </c>
      <c r="J386" s="179">
        <f>№2!J463+№5!J463+'№ 6'!J463+№14!J463+'№ 20'!J463+'№ 23'!J463+№27!J463+'№ 31'!J463+'№ 34'!J463+'№ 41'!J463</f>
        <v>0</v>
      </c>
      <c r="K386" s="179">
        <f>№2!K463+№5!K463+'№ 6'!K463+№14!K463+'№ 20'!K463+'№ 23'!K463+№27!K463+'№ 31'!K463+'№ 34'!K463+'№ 41'!K463</f>
        <v>0</v>
      </c>
      <c r="L386" s="215">
        <f>SUM(F386:K386)</f>
        <v>0</v>
      </c>
      <c r="M386" s="215">
        <f>L386/6</f>
        <v>0</v>
      </c>
      <c r="N386" s="179">
        <f>№2!N463+№5!N463+'№ 6'!N463+№14!N463+'№ 20'!N463+'№ 23'!N463+№27!N463+'№ 31'!N463+'№ 34'!N463+'№ 41'!N463</f>
        <v>0</v>
      </c>
      <c r="O386" s="179">
        <f>№2!O463+№5!O463+'№ 6'!O463+№14!O463+'№ 20'!O463+'№ 23'!O463+№27!O463+'№ 31'!O463+'№ 34'!O463+'№ 41'!O463</f>
        <v>0</v>
      </c>
      <c r="P386" s="179">
        <f>№2!P463+№5!P463+'№ 6'!P463+№14!P463+'№ 20'!P463+'№ 23'!P463+№27!P463+'№ 31'!P463+'№ 34'!P463+'№ 41'!P463</f>
        <v>0</v>
      </c>
      <c r="Q386" s="179">
        <f>№2!Q463+№5!Q463+'№ 6'!Q463+№14!Q463+'№ 20'!Q463+'№ 23'!Q463+№27!Q463+'№ 31'!Q463+'№ 34'!Q463+'№ 41'!Q463</f>
        <v>0</v>
      </c>
      <c r="R386" s="179">
        <f>№2!R463+№5!R463+'№ 6'!R463+№14!R463+'№ 20'!R463+'№ 23'!R463+№27!R463+'№ 31'!R463+'№ 34'!R463+'№ 41'!R463</f>
        <v>0</v>
      </c>
      <c r="S386" s="179">
        <f>№2!S463+№5!S463+'№ 6'!S463+№14!S463+'№ 20'!S463+'№ 23'!S463+№27!S463+'№ 31'!S463+'№ 34'!S463+'№ 41'!S463</f>
        <v>0</v>
      </c>
      <c r="T386" s="215">
        <f>SUM(N386:S386)</f>
        <v>0</v>
      </c>
      <c r="U386" s="215">
        <f>T386+L386</f>
        <v>0</v>
      </c>
      <c r="V386" s="179">
        <f>№2!V463+№5!V463+'№ 6'!V463+№14!V463+'№ 20'!V463+'№ 23'!V463+№27!V463+'№ 31'!V463+'№ 34'!V463+'№ 41'!V463</f>
        <v>0</v>
      </c>
      <c r="W386" s="184">
        <f>V386-U386</f>
        <v>0</v>
      </c>
      <c r="X386" s="185">
        <f>U381-U386</f>
        <v>0</v>
      </c>
    </row>
    <row r="387" spans="1:28" s="228" customFormat="1" ht="20.85" hidden="1" customHeight="1">
      <c r="A387" s="583"/>
      <c r="B387" s="576"/>
      <c r="C387" s="577"/>
      <c r="D387" s="187" t="s">
        <v>27</v>
      </c>
      <c r="E387" s="188" t="e">
        <f t="shared" ref="E387:K387" si="366">E388*1000/E386</f>
        <v>#DIV/0!</v>
      </c>
      <c r="F387" s="188" t="e">
        <f t="shared" si="366"/>
        <v>#DIV/0!</v>
      </c>
      <c r="G387" s="188" t="e">
        <f t="shared" si="366"/>
        <v>#DIV/0!</v>
      </c>
      <c r="H387" s="188" t="e">
        <f t="shared" si="366"/>
        <v>#DIV/0!</v>
      </c>
      <c r="I387" s="188" t="e">
        <f t="shared" si="366"/>
        <v>#DIV/0!</v>
      </c>
      <c r="J387" s="188" t="e">
        <f t="shared" si="366"/>
        <v>#DIV/0!</v>
      </c>
      <c r="K387" s="188" t="e">
        <f t="shared" si="366"/>
        <v>#DIV/0!</v>
      </c>
      <c r="L387" s="217" t="e">
        <f>L388/L386*1000</f>
        <v>#DIV/0!</v>
      </c>
      <c r="M387" s="217" t="e">
        <f>M388/M386*1000</f>
        <v>#DIV/0!</v>
      </c>
      <c r="N387" s="188" t="e">
        <f t="shared" ref="N387:S387" si="367">N388*1000/N386</f>
        <v>#DIV/0!</v>
      </c>
      <c r="O387" s="188" t="e">
        <f t="shared" si="367"/>
        <v>#DIV/0!</v>
      </c>
      <c r="P387" s="188" t="e">
        <f t="shared" si="367"/>
        <v>#DIV/0!</v>
      </c>
      <c r="Q387" s="188" t="e">
        <f t="shared" si="367"/>
        <v>#DIV/0!</v>
      </c>
      <c r="R387" s="188" t="e">
        <f t="shared" si="367"/>
        <v>#DIV/0!</v>
      </c>
      <c r="S387" s="188" t="e">
        <f t="shared" si="367"/>
        <v>#DIV/0!</v>
      </c>
      <c r="T387" s="218" t="e">
        <f>T388/T386*1000</f>
        <v>#DIV/0!</v>
      </c>
      <c r="U387" s="218" t="e">
        <f>U388/U386*1000</f>
        <v>#DIV/0!</v>
      </c>
      <c r="V387" s="218" t="e">
        <f t="shared" ref="V387" si="368">V388*1000/V386</f>
        <v>#DIV/0!</v>
      </c>
      <c r="W387" s="189" t="e">
        <f>W388/W386*1000</f>
        <v>#DIV/0!</v>
      </c>
      <c r="X387" s="225"/>
      <c r="Y387" s="209"/>
      <c r="Z387" s="209"/>
      <c r="AA387" s="209"/>
      <c r="AB387" s="209"/>
    </row>
    <row r="388" spans="1:28" s="239" customFormat="1" ht="20.85" hidden="1" customHeight="1">
      <c r="A388" s="583"/>
      <c r="B388" s="576"/>
      <c r="C388" s="577"/>
      <c r="D388" s="198" t="s">
        <v>25</v>
      </c>
      <c r="E388" s="199">
        <f>№2!E465+№5!E465+'№ 6'!E465+№14!E465+'№ 20'!E465+'№ 23'!E465+№27!E465+'№ 31'!E465+'№ 34'!E465+'№ 41'!E465</f>
        <v>0</v>
      </c>
      <c r="F388" s="199">
        <f>№2!F465+№5!F465+'№ 6'!F465+№14!F465+'№ 20'!F465+'№ 23'!F465+№27!F465+'№ 31'!F465+'№ 34'!F465+'№ 41'!F465</f>
        <v>0</v>
      </c>
      <c r="G388" s="199">
        <f>№2!G465+№5!G465+'№ 6'!G465+№14!G465+'№ 20'!G465+'№ 23'!G465+№27!G465+'№ 31'!G465+'№ 34'!G465+'№ 41'!G465</f>
        <v>0</v>
      </c>
      <c r="H388" s="199">
        <f>№2!H465+№5!H465+'№ 6'!H465+№14!H465+'№ 20'!H465+'№ 23'!H465+№27!H465+'№ 31'!H465+'№ 34'!H465+'№ 41'!H465</f>
        <v>0</v>
      </c>
      <c r="I388" s="199">
        <f>№2!I465+№5!I465+'№ 6'!I465+№14!I465+'№ 20'!I465+'№ 23'!I465+№27!I465+'№ 31'!I465+'№ 34'!I465+'№ 41'!I465</f>
        <v>0</v>
      </c>
      <c r="J388" s="199">
        <f>№2!J465+№5!J465+'№ 6'!J465+№14!J465+'№ 20'!J465+'№ 23'!J465+№27!J465+'№ 31'!J465+'№ 34'!J465+'№ 41'!J465</f>
        <v>0</v>
      </c>
      <c r="K388" s="199">
        <f>№2!K465+№5!K465+'№ 6'!K465+№14!K465+'№ 20'!K465+'№ 23'!K465+№27!K465+'№ 31'!K465+'№ 34'!K465+'№ 41'!K465</f>
        <v>0</v>
      </c>
      <c r="L388" s="199">
        <f>SUM(F388:K388)</f>
        <v>0</v>
      </c>
      <c r="M388" s="199">
        <f>L388/6</f>
        <v>0</v>
      </c>
      <c r="N388" s="199">
        <f>№2!N465+№5!N465+'№ 6'!N465+№14!N465+'№ 20'!N465+'№ 23'!N465+№27!N465+'№ 31'!N465+'№ 34'!N465+'№ 41'!N465</f>
        <v>0</v>
      </c>
      <c r="O388" s="199">
        <f>№2!O465+№5!O465+'№ 6'!O465+№14!O465+'№ 20'!O465+'№ 23'!O465+№27!O465+'№ 31'!O465+'№ 34'!O465+'№ 41'!O465</f>
        <v>0</v>
      </c>
      <c r="P388" s="199">
        <f>№2!P465+№5!P465+'№ 6'!P465+№14!P465+'№ 20'!P465+'№ 23'!P465+№27!P465+'№ 31'!P465+'№ 34'!P465+'№ 41'!P465</f>
        <v>0</v>
      </c>
      <c r="Q388" s="199">
        <f>№2!Q465+№5!Q465+'№ 6'!Q465+№14!Q465+'№ 20'!Q465+'№ 23'!Q465+№27!Q465+'№ 31'!Q465+'№ 34'!Q465+'№ 41'!Q465</f>
        <v>0</v>
      </c>
      <c r="R388" s="199">
        <f>№2!R465+№5!R465+'№ 6'!R465+№14!R465+'№ 20'!R465+'№ 23'!R465+№27!R465+'№ 31'!R465+'№ 34'!R465+'№ 41'!R465</f>
        <v>0</v>
      </c>
      <c r="S388" s="199">
        <f>№2!S465+№5!S465+'№ 6'!S465+№14!S465+'№ 20'!S465+'№ 23'!S465+№27!S465+'№ 31'!S465+'№ 34'!S465+'№ 41'!S465</f>
        <v>0</v>
      </c>
      <c r="T388" s="199">
        <f>SUM(N388:S388)</f>
        <v>0</v>
      </c>
      <c r="U388" s="199">
        <f>T388+L388</f>
        <v>0</v>
      </c>
      <c r="V388" s="199">
        <f>№2!V465+№5!V465+'№ 6'!V465+№14!V465+'№ 20'!V465+'№ 23'!V465+№27!V465+'№ 31'!V465+'№ 34'!V465+'№ 41'!V465</f>
        <v>0</v>
      </c>
      <c r="W388" s="221">
        <f>V388-U388</f>
        <v>0</v>
      </c>
      <c r="X388" s="176">
        <f>U383-U388</f>
        <v>0</v>
      </c>
    </row>
    <row r="389" spans="1:28" s="239" customFormat="1" ht="20.85" hidden="1" customHeight="1">
      <c r="A389" s="583"/>
      <c r="B389" s="576"/>
      <c r="C389" s="577"/>
      <c r="D389" s="201" t="s">
        <v>55</v>
      </c>
      <c r="E389" s="220"/>
      <c r="F389" s="199">
        <f>№2!F466+№5!F466+'№ 6'!F466+№14!F466+'№ 20'!F466+'№ 23'!F466+№27!F466+'№ 31'!F466+'№ 34'!F466+'№ 41'!F466</f>
        <v>0</v>
      </c>
      <c r="G389" s="199">
        <f>№2!G466+№5!G466+'№ 6'!G466+№14!G466+'№ 20'!G466+'№ 23'!G466+№27!G466+'№ 31'!G466+'№ 34'!G466+'№ 41'!G466</f>
        <v>0</v>
      </c>
      <c r="H389" s="199">
        <f>№2!H466+№5!H466+'№ 6'!H466+№14!H466+'№ 20'!H466+'№ 23'!H466+№27!H466+'№ 31'!H466+'№ 34'!H466+'№ 41'!H466</f>
        <v>0</v>
      </c>
      <c r="I389" s="199">
        <f>№2!I466+№5!I466+'№ 6'!I466+№14!I466+'№ 20'!I466+'№ 23'!I466+№27!I466+'№ 31'!I466+'№ 34'!I466+'№ 41'!I466</f>
        <v>0</v>
      </c>
      <c r="J389" s="199">
        <f>№2!J466+№5!J466+'№ 6'!J466+№14!J466+'№ 20'!J466+'№ 23'!J466+№27!J466+'№ 31'!J466+'№ 34'!J466+'№ 41'!J466</f>
        <v>0</v>
      </c>
      <c r="K389" s="199">
        <f>№2!K466+№5!K466+'№ 6'!K466+№14!K466+'№ 20'!K466+'№ 23'!K466+№27!K466+'№ 31'!K466+'№ 34'!K466+'№ 41'!K466</f>
        <v>0</v>
      </c>
      <c r="L389" s="199">
        <f>SUM(F389:K389)</f>
        <v>0</v>
      </c>
      <c r="M389" s="199">
        <f>L389/6</f>
        <v>0</v>
      </c>
      <c r="N389" s="199">
        <f>№2!N466+№5!N466+'№ 6'!N466+№14!N466+'№ 20'!N466+'№ 23'!N466+№27!N466+'№ 31'!N466+'№ 34'!N466+'№ 41'!N466</f>
        <v>0</v>
      </c>
      <c r="O389" s="199">
        <f>№2!O466+№5!O466+'№ 6'!O466+№14!O466+'№ 20'!O466+'№ 23'!O466+№27!O466+'№ 31'!O466+'№ 34'!O466+'№ 41'!O466</f>
        <v>0</v>
      </c>
      <c r="P389" s="199">
        <f>№2!P466+№5!P466+'№ 6'!P466+№14!P466+'№ 20'!P466+'№ 23'!P466+№27!P466+'№ 31'!P466+'№ 34'!P466+'№ 41'!P466</f>
        <v>0</v>
      </c>
      <c r="Q389" s="199">
        <f>№2!Q466+№5!Q466+'№ 6'!Q466+№14!Q466+'№ 20'!Q466+'№ 23'!Q466+№27!Q466+'№ 31'!Q466+'№ 34'!Q466+'№ 41'!Q466</f>
        <v>0</v>
      </c>
      <c r="R389" s="199">
        <f>№2!R466+№5!R466+'№ 6'!R466+№14!R466+'№ 20'!R466+'№ 23'!R466+№27!R466+'№ 31'!R466+'№ 34'!R466+'№ 41'!R466</f>
        <v>0</v>
      </c>
      <c r="S389" s="199">
        <f>№2!S466+№5!S466+'№ 6'!S466+№14!S466+'№ 20'!S466+'№ 23'!S466+№27!S466+'№ 31'!S466+'№ 34'!S466+'№ 41'!S466</f>
        <v>0</v>
      </c>
      <c r="T389" s="199">
        <f>SUM(N389:S389)</f>
        <v>0</v>
      </c>
      <c r="U389" s="199">
        <f>T389+L389</f>
        <v>0</v>
      </c>
      <c r="V389" s="199">
        <f>№2!V466+№5!V466+'№ 6'!V466+№14!V466+'№ 20'!V466+'№ 23'!V466+№27!V466+'№ 31'!V466+'№ 34'!V466+'№ 41'!V466</f>
        <v>0</v>
      </c>
      <c r="W389" s="221">
        <f>V389-U389</f>
        <v>0</v>
      </c>
      <c r="X389" s="176">
        <f>U384-U389</f>
        <v>0</v>
      </c>
    </row>
    <row r="390" spans="1:28" s="239" customFormat="1" ht="20.85" hidden="1" customHeight="1">
      <c r="A390" s="583"/>
      <c r="B390" s="576"/>
      <c r="C390" s="577"/>
      <c r="D390" s="201" t="s">
        <v>24</v>
      </c>
      <c r="E390" s="220"/>
      <c r="F390" s="199">
        <f>№2!F467+№5!F467+'№ 6'!F467+№14!F467+'№ 20'!F467+'№ 23'!F467+№27!F467+'№ 31'!F467+'№ 34'!F467+'№ 41'!F467</f>
        <v>0</v>
      </c>
      <c r="G390" s="199">
        <f>№2!G467+№5!G467+'№ 6'!G467+№14!G467+'№ 20'!G467+'№ 23'!G467+№27!G467+'№ 31'!G467+'№ 34'!G467+'№ 41'!G467</f>
        <v>0</v>
      </c>
      <c r="H390" s="199">
        <f>№2!H467+№5!H467+'№ 6'!H467+№14!H467+'№ 20'!H467+'№ 23'!H467+№27!H467+'№ 31'!H467+'№ 34'!H467+'№ 41'!H467</f>
        <v>0</v>
      </c>
      <c r="I390" s="199">
        <f>№2!I467+№5!I467+'№ 6'!I467+№14!I467+'№ 20'!I467+'№ 23'!I467+№27!I467+'№ 31'!I467+'№ 34'!I467+'№ 41'!I467</f>
        <v>0</v>
      </c>
      <c r="J390" s="199">
        <f>№2!J467+№5!J467+'№ 6'!J467+№14!J467+'№ 20'!J467+'№ 23'!J467+№27!J467+'№ 31'!J467+'№ 34'!J467+'№ 41'!J467</f>
        <v>0</v>
      </c>
      <c r="K390" s="199">
        <f>№2!K467+№5!K467+'№ 6'!K467+№14!K467+'№ 20'!K467+'№ 23'!K467+№27!K467+'№ 31'!K467+'№ 34'!K467+'№ 41'!K467</f>
        <v>0</v>
      </c>
      <c r="L390" s="199">
        <f>SUM(F390:K390)</f>
        <v>0</v>
      </c>
      <c r="M390" s="199">
        <f>L390/6</f>
        <v>0</v>
      </c>
      <c r="N390" s="199">
        <f>№2!N467+№5!N467+'№ 6'!N467+№14!N467+'№ 20'!N467+'№ 23'!N467+№27!N467+'№ 31'!N467+'№ 34'!N467+'№ 41'!N467</f>
        <v>0</v>
      </c>
      <c r="O390" s="199">
        <f>№2!O467+№5!O467+'№ 6'!O467+№14!O467+'№ 20'!O467+'№ 23'!O467+№27!O467+'№ 31'!O467+'№ 34'!O467+'№ 41'!O467</f>
        <v>0</v>
      </c>
      <c r="P390" s="199">
        <f>№2!P467+№5!P467+'№ 6'!P467+№14!P467+'№ 20'!P467+'№ 23'!P467+№27!P467+'№ 31'!P467+'№ 34'!P467+'№ 41'!P467</f>
        <v>0</v>
      </c>
      <c r="Q390" s="199">
        <f>№2!Q467+№5!Q467+'№ 6'!Q467+№14!Q467+'№ 20'!Q467+'№ 23'!Q467+№27!Q467+'№ 31'!Q467+'№ 34'!Q467+'№ 41'!Q467</f>
        <v>0</v>
      </c>
      <c r="R390" s="199">
        <f>№2!R467+№5!R467+'№ 6'!R467+№14!R467+'№ 20'!R467+'№ 23'!R467+№27!R467+'№ 31'!R467+'№ 34'!R467+'№ 41'!R467</f>
        <v>0</v>
      </c>
      <c r="S390" s="199">
        <f>№2!S467+№5!S467+'№ 6'!S467+№14!S467+'№ 20'!S467+'№ 23'!S467+№27!S467+'№ 31'!S467+'№ 34'!S467+'№ 41'!S467</f>
        <v>0</v>
      </c>
      <c r="T390" s="199">
        <f>SUM(N390:S390)</f>
        <v>0</v>
      </c>
      <c r="U390" s="199">
        <f>T390+L390</f>
        <v>0</v>
      </c>
      <c r="V390" s="199">
        <f>№2!V467+№5!V467+'№ 6'!V467+№14!V467+'№ 20'!V467+'№ 23'!V467+№27!V467+'№ 31'!V467+'№ 34'!V467+'№ 41'!V467</f>
        <v>0</v>
      </c>
      <c r="W390" s="221">
        <f>V390-U390</f>
        <v>0</v>
      </c>
      <c r="X390" s="176">
        <f>U385-U390</f>
        <v>0</v>
      </c>
    </row>
    <row r="391" spans="1:28" s="205" customFormat="1" ht="20.85" hidden="1" customHeight="1">
      <c r="A391" s="583"/>
      <c r="B391" s="576"/>
      <c r="C391" s="577"/>
      <c r="D391" s="202" t="s">
        <v>29</v>
      </c>
      <c r="E391" s="203"/>
      <c r="F391" s="203">
        <f t="shared" ref="F391:K391" si="369">F385</f>
        <v>0</v>
      </c>
      <c r="G391" s="203">
        <f t="shared" si="369"/>
        <v>0</v>
      </c>
      <c r="H391" s="203">
        <f t="shared" si="369"/>
        <v>0</v>
      </c>
      <c r="I391" s="203">
        <f t="shared" si="369"/>
        <v>0</v>
      </c>
      <c r="J391" s="203">
        <f t="shared" si="369"/>
        <v>0</v>
      </c>
      <c r="K391" s="203">
        <f t="shared" si="369"/>
        <v>0</v>
      </c>
      <c r="L391" s="203">
        <f>SUM(F391:K391)</f>
        <v>0</v>
      </c>
      <c r="M391" s="203">
        <f>L391/6</f>
        <v>0</v>
      </c>
      <c r="N391" s="203">
        <f t="shared" ref="N391:S391" si="370">N385+N384</f>
        <v>0</v>
      </c>
      <c r="O391" s="203">
        <f t="shared" si="370"/>
        <v>0</v>
      </c>
      <c r="P391" s="203">
        <f t="shared" si="370"/>
        <v>0</v>
      </c>
      <c r="Q391" s="203">
        <f t="shared" si="370"/>
        <v>0</v>
      </c>
      <c r="R391" s="203">
        <f t="shared" si="370"/>
        <v>0</v>
      </c>
      <c r="S391" s="203">
        <f t="shared" si="370"/>
        <v>0</v>
      </c>
      <c r="T391" s="203">
        <f>SUM(N391:S391)</f>
        <v>0</v>
      </c>
      <c r="U391" s="203">
        <f>T391+L391</f>
        <v>0</v>
      </c>
      <c r="V391" s="203">
        <f>V388</f>
        <v>0</v>
      </c>
      <c r="W391" s="203">
        <f>V391-U391</f>
        <v>0</v>
      </c>
    </row>
    <row r="392" spans="1:28" s="205" customFormat="1" ht="20.85" hidden="1" customHeight="1">
      <c r="A392" s="583"/>
      <c r="B392" s="576"/>
      <c r="C392" s="577"/>
      <c r="D392" s="202" t="s">
        <v>30</v>
      </c>
      <c r="E392" s="203"/>
      <c r="F392" s="203">
        <f t="shared" ref="F392:K392" si="371">F388-F391</f>
        <v>0</v>
      </c>
      <c r="G392" s="203">
        <f t="shared" si="371"/>
        <v>0</v>
      </c>
      <c r="H392" s="203">
        <f t="shared" si="371"/>
        <v>0</v>
      </c>
      <c r="I392" s="203">
        <f t="shared" si="371"/>
        <v>0</v>
      </c>
      <c r="J392" s="203">
        <f t="shared" si="371"/>
        <v>0</v>
      </c>
      <c r="K392" s="203">
        <f t="shared" si="371"/>
        <v>0</v>
      </c>
      <c r="L392" s="203"/>
      <c r="M392" s="203"/>
      <c r="N392" s="203">
        <f t="shared" ref="N392:S392" si="372">N388-N391</f>
        <v>0</v>
      </c>
      <c r="O392" s="203">
        <f t="shared" si="372"/>
        <v>0</v>
      </c>
      <c r="P392" s="203">
        <f t="shared" si="372"/>
        <v>0</v>
      </c>
      <c r="Q392" s="203">
        <f t="shared" si="372"/>
        <v>0</v>
      </c>
      <c r="R392" s="203">
        <f t="shared" si="372"/>
        <v>0</v>
      </c>
      <c r="S392" s="203">
        <f t="shared" si="372"/>
        <v>0</v>
      </c>
      <c r="T392" s="203"/>
      <c r="U392" s="203"/>
      <c r="V392" s="203"/>
      <c r="W392" s="203"/>
    </row>
    <row r="393" spans="1:28" s="205" customFormat="1" ht="20.85" hidden="1" customHeight="1">
      <c r="A393" s="584"/>
      <c r="B393" s="578"/>
      <c r="C393" s="579"/>
      <c r="D393" s="202" t="s">
        <v>31</v>
      </c>
      <c r="E393" s="203"/>
      <c r="F393" s="203">
        <f>F392</f>
        <v>0</v>
      </c>
      <c r="G393" s="203">
        <f>G392+F393</f>
        <v>0</v>
      </c>
      <c r="H393" s="203">
        <f>H392+G393</f>
        <v>0</v>
      </c>
      <c r="I393" s="203">
        <f>I392+H393</f>
        <v>0</v>
      </c>
      <c r="J393" s="203">
        <f>J392+I393</f>
        <v>0</v>
      </c>
      <c r="K393" s="203">
        <f>K392+J393</f>
        <v>0</v>
      </c>
      <c r="L393" s="203"/>
      <c r="M393" s="203"/>
      <c r="N393" s="203">
        <f>N392+K393</f>
        <v>0</v>
      </c>
      <c r="O393" s="203">
        <f>O392+N393</f>
        <v>0</v>
      </c>
      <c r="P393" s="203">
        <f>P392+O393</f>
        <v>0</v>
      </c>
      <c r="Q393" s="203">
        <f>Q392+P393</f>
        <v>0</v>
      </c>
      <c r="R393" s="203">
        <f>R392+Q393</f>
        <v>0</v>
      </c>
      <c r="S393" s="203">
        <f>S392+R393</f>
        <v>0</v>
      </c>
      <c r="T393" s="203"/>
      <c r="U393" s="203"/>
      <c r="V393" s="203"/>
      <c r="W393" s="203"/>
    </row>
    <row r="394" spans="1:28" s="196" customFormat="1" ht="18" customHeight="1">
      <c r="A394" s="591">
        <v>2273</v>
      </c>
      <c r="B394" s="585" t="s">
        <v>26</v>
      </c>
      <c r="C394" s="586"/>
      <c r="D394" s="178" t="s">
        <v>105</v>
      </c>
      <c r="E394" s="179"/>
      <c r="F394" s="180">
        <f t="shared" ref="F394:K396" si="373">F409+F424</f>
        <v>112291.9</v>
      </c>
      <c r="G394" s="180">
        <f t="shared" si="373"/>
        <v>99342.8</v>
      </c>
      <c r="H394" s="180">
        <f t="shared" si="373"/>
        <v>97247.9</v>
      </c>
      <c r="I394" s="180">
        <f t="shared" si="373"/>
        <v>112177.2</v>
      </c>
      <c r="J394" s="180">
        <f t="shared" si="373"/>
        <v>86030.2</v>
      </c>
      <c r="K394" s="180">
        <f t="shared" si="373"/>
        <v>59941</v>
      </c>
      <c r="L394" s="215">
        <f>SUM(F394:K394)</f>
        <v>567031</v>
      </c>
      <c r="M394" s="215">
        <f>L394/6</f>
        <v>94505.2</v>
      </c>
      <c r="N394" s="180">
        <f t="shared" ref="N394:S396" si="374">N409+N424</f>
        <v>48124.5</v>
      </c>
      <c r="O394" s="180">
        <f t="shared" si="374"/>
        <v>51982.9</v>
      </c>
      <c r="P394" s="180">
        <f t="shared" si="374"/>
        <v>55960.6</v>
      </c>
      <c r="Q394" s="180">
        <f t="shared" si="374"/>
        <v>91829.2</v>
      </c>
      <c r="R394" s="180">
        <f t="shared" si="374"/>
        <v>122975.1</v>
      </c>
      <c r="S394" s="180">
        <f t="shared" si="374"/>
        <v>147710.20000000001</v>
      </c>
      <c r="T394" s="215">
        <f>SUM(N394:S394)</f>
        <v>518582.5</v>
      </c>
      <c r="U394" s="215">
        <f>T394+L394</f>
        <v>1085613.5</v>
      </c>
      <c r="V394" s="233"/>
      <c r="W394" s="184"/>
      <c r="X394" s="185"/>
    </row>
    <row r="395" spans="1:28" s="186" customFormat="1" ht="18" customHeight="1">
      <c r="A395" s="592"/>
      <c r="B395" s="587"/>
      <c r="C395" s="588"/>
      <c r="D395" s="178" t="s">
        <v>109</v>
      </c>
      <c r="E395" s="179"/>
      <c r="F395" s="180">
        <f t="shared" si="373"/>
        <v>108721.3</v>
      </c>
      <c r="G395" s="180">
        <f t="shared" si="373"/>
        <v>107030.39999999999</v>
      </c>
      <c r="H395" s="180">
        <f t="shared" si="373"/>
        <v>100210.4</v>
      </c>
      <c r="I395" s="180">
        <f t="shared" si="373"/>
        <v>63508.2</v>
      </c>
      <c r="J395" s="180">
        <f t="shared" si="373"/>
        <v>72948.399999999994</v>
      </c>
      <c r="K395" s="180">
        <f t="shared" si="373"/>
        <v>53091</v>
      </c>
      <c r="L395" s="215">
        <f>SUM(F395:K395)</f>
        <v>505509.7</v>
      </c>
      <c r="M395" s="215">
        <f>L395/6</f>
        <v>84251.6</v>
      </c>
      <c r="N395" s="180">
        <f t="shared" si="374"/>
        <v>40661.1</v>
      </c>
      <c r="O395" s="180">
        <f t="shared" si="374"/>
        <v>33092.1</v>
      </c>
      <c r="P395" s="180">
        <f t="shared" si="374"/>
        <v>58190.3</v>
      </c>
      <c r="Q395" s="180">
        <f t="shared" si="374"/>
        <v>114553.5</v>
      </c>
      <c r="R395" s="180">
        <f t="shared" si="374"/>
        <v>170175.6</v>
      </c>
      <c r="S395" s="180">
        <f t="shared" si="374"/>
        <v>201319.7</v>
      </c>
      <c r="T395" s="215">
        <f>SUM(N395:S395)</f>
        <v>617992.30000000005</v>
      </c>
      <c r="U395" s="215">
        <f>T395+L395</f>
        <v>1123502</v>
      </c>
      <c r="V395" s="233"/>
      <c r="W395" s="184"/>
      <c r="X395" s="185"/>
    </row>
    <row r="396" spans="1:28" s="186" customFormat="1" ht="18" customHeight="1">
      <c r="A396" s="592"/>
      <c r="B396" s="587"/>
      <c r="C396" s="588"/>
      <c r="D396" s="178" t="s">
        <v>116</v>
      </c>
      <c r="E396" s="179"/>
      <c r="F396" s="264">
        <f t="shared" si="373"/>
        <v>121766.2</v>
      </c>
      <c r="G396" s="264">
        <f t="shared" si="373"/>
        <v>110422.39999999999</v>
      </c>
      <c r="H396" s="264">
        <f t="shared" si="373"/>
        <v>107960.8</v>
      </c>
      <c r="I396" s="264">
        <f t="shared" si="373"/>
        <v>118874.4</v>
      </c>
      <c r="J396" s="264">
        <f t="shared" si="373"/>
        <v>86943.2</v>
      </c>
      <c r="K396" s="264">
        <f t="shared" si="373"/>
        <v>63870.1</v>
      </c>
      <c r="L396" s="234">
        <f>SUM(F396:K396)</f>
        <v>609837.1</v>
      </c>
      <c r="M396" s="234">
        <f>L396/6</f>
        <v>101639.51700000001</v>
      </c>
      <c r="N396" s="264">
        <f t="shared" si="374"/>
        <v>43619.199999999997</v>
      </c>
      <c r="O396" s="264">
        <f t="shared" si="374"/>
        <v>48241.5</v>
      </c>
      <c r="P396" s="264">
        <f t="shared" si="374"/>
        <v>70594.100000000006</v>
      </c>
      <c r="Q396" s="264">
        <f t="shared" si="374"/>
        <v>119435.4</v>
      </c>
      <c r="R396" s="264">
        <f t="shared" si="374"/>
        <v>174492.9</v>
      </c>
      <c r="S396" s="264">
        <f t="shared" si="374"/>
        <v>198992.2</v>
      </c>
      <c r="T396" s="234">
        <f>SUM(N396:S396)</f>
        <v>655375.30000000005</v>
      </c>
      <c r="U396" s="234">
        <f>T396+L396</f>
        <v>1265212.3999999999</v>
      </c>
      <c r="V396" s="233">
        <f>V411+V426</f>
        <v>1252655.1000000001</v>
      </c>
      <c r="W396" s="184">
        <f>V396-U396</f>
        <v>-12557.3</v>
      </c>
      <c r="X396" s="185"/>
    </row>
    <row r="397" spans="1:28" s="190" customFormat="1" ht="18" customHeight="1">
      <c r="A397" s="592"/>
      <c r="B397" s="587"/>
      <c r="C397" s="588"/>
      <c r="D397" s="187" t="s">
        <v>27</v>
      </c>
      <c r="E397" s="188"/>
      <c r="F397" s="245">
        <f t="shared" ref="F397:W397" si="375">F398/F396*1000</f>
        <v>6.8082770000000004</v>
      </c>
      <c r="G397" s="245">
        <f t="shared" si="375"/>
        <v>7.1052609999999996</v>
      </c>
      <c r="H397" s="245">
        <f t="shared" si="375"/>
        <v>7.2923039999999997</v>
      </c>
      <c r="I397" s="245">
        <f t="shared" si="375"/>
        <v>6.2508410000000003</v>
      </c>
      <c r="J397" s="245">
        <f t="shared" si="375"/>
        <v>6.5311029999999999</v>
      </c>
      <c r="K397" s="245">
        <f t="shared" si="375"/>
        <v>6.1160230000000002</v>
      </c>
      <c r="L397" s="242">
        <f t="shared" si="375"/>
        <v>6.7270599999999998</v>
      </c>
      <c r="M397" s="242">
        <f t="shared" si="375"/>
        <v>6.7270599999999998</v>
      </c>
      <c r="N397" s="245">
        <f t="shared" si="375"/>
        <v>7.0002430000000002</v>
      </c>
      <c r="O397" s="245">
        <f t="shared" si="375"/>
        <v>6.4165089999999996</v>
      </c>
      <c r="P397" s="245">
        <f t="shared" si="375"/>
        <v>6.9231280000000002</v>
      </c>
      <c r="Q397" s="245">
        <f t="shared" si="375"/>
        <v>6.8893389999999997</v>
      </c>
      <c r="R397" s="245">
        <f t="shared" si="375"/>
        <v>7.3373359999999996</v>
      </c>
      <c r="S397" s="245">
        <f t="shared" si="375"/>
        <v>7.4847000000000001</v>
      </c>
      <c r="T397" s="242">
        <f t="shared" si="375"/>
        <v>7.1656000000000004</v>
      </c>
      <c r="U397" s="242">
        <f t="shared" si="375"/>
        <v>6.9542299999999999</v>
      </c>
      <c r="V397" s="242">
        <f t="shared" si="375"/>
        <v>7.0614299999999997</v>
      </c>
      <c r="W397" s="243">
        <f t="shared" si="375"/>
        <v>-3.74037</v>
      </c>
      <c r="X397" s="225"/>
    </row>
    <row r="398" spans="1:28" s="244" customFormat="1" ht="18" customHeight="1">
      <c r="A398" s="592"/>
      <c r="B398" s="587"/>
      <c r="C398" s="588"/>
      <c r="D398" s="191" t="s">
        <v>0</v>
      </c>
      <c r="E398" s="192"/>
      <c r="F398" s="192">
        <f t="shared" ref="F398:K401" si="376">F413+F428</f>
        <v>829.01800000000003</v>
      </c>
      <c r="G398" s="192">
        <f t="shared" si="376"/>
        <v>784.58</v>
      </c>
      <c r="H398" s="192">
        <f t="shared" si="376"/>
        <v>787.28300000000002</v>
      </c>
      <c r="I398" s="192">
        <f t="shared" si="376"/>
        <v>743.06500000000005</v>
      </c>
      <c r="J398" s="192">
        <f t="shared" si="376"/>
        <v>567.83500000000004</v>
      </c>
      <c r="K398" s="192">
        <f t="shared" si="376"/>
        <v>390.63099999999997</v>
      </c>
      <c r="L398" s="194">
        <f>SUM(F398:K398)</f>
        <v>4102.4120000000003</v>
      </c>
      <c r="M398" s="194">
        <f>L398/6</f>
        <v>683.73500000000001</v>
      </c>
      <c r="N398" s="192">
        <f t="shared" ref="N398:S401" si="377">N413+N428</f>
        <v>305.34500000000003</v>
      </c>
      <c r="O398" s="192">
        <f t="shared" si="377"/>
        <v>309.54199999999997</v>
      </c>
      <c r="P398" s="192">
        <f t="shared" si="377"/>
        <v>488.73200000000003</v>
      </c>
      <c r="Q398" s="192">
        <f t="shared" si="377"/>
        <v>822.83100000000002</v>
      </c>
      <c r="R398" s="192">
        <f t="shared" si="377"/>
        <v>1280.3130000000001</v>
      </c>
      <c r="S398" s="192">
        <f t="shared" si="377"/>
        <v>1489.3969999999999</v>
      </c>
      <c r="T398" s="194">
        <f>SUM(N398:S398)</f>
        <v>4696.16</v>
      </c>
      <c r="U398" s="194">
        <f>T398+L398</f>
        <v>8798.5720000000001</v>
      </c>
      <c r="V398" s="194">
        <f>V413+V428</f>
        <v>8845.5409999999993</v>
      </c>
      <c r="W398" s="192">
        <f>V398-U398</f>
        <v>46.969000000000001</v>
      </c>
    </row>
    <row r="399" spans="1:28" s="244" customFormat="1" ht="18" customHeight="1">
      <c r="A399" s="592"/>
      <c r="B399" s="587"/>
      <c r="C399" s="588"/>
      <c r="D399" s="174" t="s">
        <v>55</v>
      </c>
      <c r="E399" s="192"/>
      <c r="F399" s="192">
        <f t="shared" si="376"/>
        <v>0</v>
      </c>
      <c r="G399" s="192">
        <f t="shared" si="376"/>
        <v>0</v>
      </c>
      <c r="H399" s="192">
        <f t="shared" si="376"/>
        <v>116.274</v>
      </c>
      <c r="I399" s="192">
        <f t="shared" si="376"/>
        <v>131.81</v>
      </c>
      <c r="J399" s="192">
        <f t="shared" si="376"/>
        <v>131.89400000000001</v>
      </c>
      <c r="K399" s="192">
        <f t="shared" si="376"/>
        <v>0</v>
      </c>
      <c r="L399" s="194">
        <f>SUM(F399:K399)</f>
        <v>379.97800000000001</v>
      </c>
      <c r="M399" s="194">
        <f>L399/6</f>
        <v>63.33</v>
      </c>
      <c r="N399" s="192">
        <f t="shared" si="377"/>
        <v>0</v>
      </c>
      <c r="O399" s="192">
        <f t="shared" si="377"/>
        <v>0</v>
      </c>
      <c r="P399" s="192">
        <f t="shared" si="377"/>
        <v>0</v>
      </c>
      <c r="Q399" s="192">
        <f t="shared" si="377"/>
        <v>0</v>
      </c>
      <c r="R399" s="192">
        <f t="shared" si="377"/>
        <v>0</v>
      </c>
      <c r="S399" s="192">
        <f t="shared" si="377"/>
        <v>0</v>
      </c>
      <c r="T399" s="194">
        <f>SUM(N399:S399)</f>
        <v>0</v>
      </c>
      <c r="U399" s="194">
        <f>T399+L399</f>
        <v>379.97800000000001</v>
      </c>
      <c r="V399" s="194">
        <f>V414+V429</f>
        <v>379.97800000000001</v>
      </c>
      <c r="W399" s="192">
        <f>V399-U399</f>
        <v>0</v>
      </c>
    </row>
    <row r="400" spans="1:28" s="244" customFormat="1" ht="18" customHeight="1">
      <c r="A400" s="592"/>
      <c r="B400" s="587"/>
      <c r="C400" s="588"/>
      <c r="D400" s="174" t="s">
        <v>28</v>
      </c>
      <c r="E400" s="192"/>
      <c r="F400" s="192">
        <f t="shared" si="376"/>
        <v>0</v>
      </c>
      <c r="G400" s="192">
        <f t="shared" si="376"/>
        <v>997.08399999999995</v>
      </c>
      <c r="H400" s="192">
        <f t="shared" si="376"/>
        <v>839.71400000000006</v>
      </c>
      <c r="I400" s="192">
        <f t="shared" si="376"/>
        <v>699.37</v>
      </c>
      <c r="J400" s="192">
        <f t="shared" si="376"/>
        <v>513.22299999999996</v>
      </c>
      <c r="K400" s="192">
        <f t="shared" si="376"/>
        <v>396.30599999999998</v>
      </c>
      <c r="L400" s="194">
        <f>SUM(F400:K400)</f>
        <v>3445.6970000000001</v>
      </c>
      <c r="M400" s="194">
        <f>L400/6</f>
        <v>574.28300000000002</v>
      </c>
      <c r="N400" s="192">
        <f t="shared" si="377"/>
        <v>363.26499999999999</v>
      </c>
      <c r="O400" s="192">
        <f t="shared" si="377"/>
        <v>239.59899999999999</v>
      </c>
      <c r="P400" s="192">
        <f t="shared" si="377"/>
        <v>356.63</v>
      </c>
      <c r="Q400" s="192">
        <f t="shared" si="377"/>
        <v>645.99300000000005</v>
      </c>
      <c r="R400" s="192">
        <f t="shared" si="377"/>
        <v>885.70899999999995</v>
      </c>
      <c r="S400" s="192">
        <f t="shared" si="377"/>
        <v>2528.67</v>
      </c>
      <c r="T400" s="194">
        <f>SUM(N400:S400)</f>
        <v>5019.866</v>
      </c>
      <c r="U400" s="194">
        <f>T400+L400</f>
        <v>8465.5630000000001</v>
      </c>
      <c r="V400" s="194">
        <f>V415+V430</f>
        <v>8465.5630000000001</v>
      </c>
      <c r="W400" s="192">
        <f>V400-U400</f>
        <v>0</v>
      </c>
    </row>
    <row r="401" spans="1:24" s="186" customFormat="1" ht="18" customHeight="1">
      <c r="A401" s="592"/>
      <c r="B401" s="587"/>
      <c r="C401" s="588"/>
      <c r="D401" s="178" t="s">
        <v>117</v>
      </c>
      <c r="E401" s="179">
        <f>E416</f>
        <v>0</v>
      </c>
      <c r="F401" s="260">
        <f t="shared" si="376"/>
        <v>0</v>
      </c>
      <c r="G401" s="260">
        <f t="shared" si="376"/>
        <v>128546.9</v>
      </c>
      <c r="H401" s="260">
        <f t="shared" si="376"/>
        <v>126528.5</v>
      </c>
      <c r="I401" s="260">
        <f t="shared" si="376"/>
        <v>82145.399999999994</v>
      </c>
      <c r="J401" s="260">
        <f t="shared" si="376"/>
        <v>131263.5</v>
      </c>
      <c r="K401" s="260">
        <f t="shared" si="376"/>
        <v>83927.5</v>
      </c>
      <c r="L401" s="234">
        <f>SUM(F401:K401)</f>
        <v>552411.80000000005</v>
      </c>
      <c r="M401" s="234">
        <f>L401/6</f>
        <v>92068.633000000002</v>
      </c>
      <c r="N401" s="260">
        <f t="shared" si="377"/>
        <v>50412.800000000003</v>
      </c>
      <c r="O401" s="260">
        <f t="shared" si="377"/>
        <v>43619.199999999997</v>
      </c>
      <c r="P401" s="260">
        <f t="shared" si="377"/>
        <v>55298.6</v>
      </c>
      <c r="Q401" s="260">
        <f t="shared" si="377"/>
        <v>70594.100000000006</v>
      </c>
      <c r="R401" s="260">
        <f t="shared" si="377"/>
        <v>119435.4</v>
      </c>
      <c r="S401" s="260">
        <f t="shared" si="377"/>
        <v>373440.5</v>
      </c>
      <c r="T401" s="262">
        <f>SUM(N401:S401)</f>
        <v>712800.6</v>
      </c>
      <c r="U401" s="262">
        <f>T401+L401</f>
        <v>1265212.3999999999</v>
      </c>
      <c r="V401" s="179">
        <f>V416+V431</f>
        <v>1252655.1000000001</v>
      </c>
      <c r="W401" s="184">
        <f>V401-U401</f>
        <v>-12557.3</v>
      </c>
      <c r="X401" s="546">
        <f>U396-U401</f>
        <v>0</v>
      </c>
    </row>
    <row r="402" spans="1:24" s="190" customFormat="1" ht="18" customHeight="1">
      <c r="A402" s="592"/>
      <c r="B402" s="587"/>
      <c r="C402" s="588"/>
      <c r="D402" s="187" t="s">
        <v>27</v>
      </c>
      <c r="E402" s="188" t="e">
        <f t="shared" ref="E402:W402" si="378">E403/E401*1000</f>
        <v>#DIV/0!</v>
      </c>
      <c r="F402" s="245" t="e">
        <f t="shared" si="378"/>
        <v>#DIV/0!</v>
      </c>
      <c r="G402" s="245">
        <f t="shared" si="378"/>
        <v>6.9752830000000001</v>
      </c>
      <c r="H402" s="245">
        <f t="shared" si="378"/>
        <v>7.6458110000000001</v>
      </c>
      <c r="I402" s="245">
        <f t="shared" si="378"/>
        <v>6.1571309999999997</v>
      </c>
      <c r="J402" s="245">
        <f t="shared" si="378"/>
        <v>6.6821849999999996</v>
      </c>
      <c r="K402" s="245">
        <f t="shared" si="378"/>
        <v>5.1592149999999997</v>
      </c>
      <c r="L402" s="242">
        <f t="shared" si="378"/>
        <v>6.6616400000000002</v>
      </c>
      <c r="M402" s="242">
        <f t="shared" si="378"/>
        <v>6.6616499999999998</v>
      </c>
      <c r="N402" s="242">
        <f t="shared" si="378"/>
        <v>6.2627499999999996</v>
      </c>
      <c r="O402" s="242">
        <f t="shared" si="378"/>
        <v>7.0002199999999997</v>
      </c>
      <c r="P402" s="242">
        <f t="shared" si="378"/>
        <v>7.5274999999999999</v>
      </c>
      <c r="Q402" s="242">
        <f t="shared" si="378"/>
        <v>6.9231299999999996</v>
      </c>
      <c r="R402" s="242">
        <f t="shared" si="378"/>
        <v>6.8893399999999998</v>
      </c>
      <c r="S402" s="242">
        <f t="shared" si="378"/>
        <v>7.4167399999999999</v>
      </c>
      <c r="T402" s="242">
        <f t="shared" si="378"/>
        <v>7.1809700000000003</v>
      </c>
      <c r="U402" s="242">
        <f t="shared" si="378"/>
        <v>6.9542299999999999</v>
      </c>
      <c r="V402" s="242">
        <f t="shared" si="378"/>
        <v>7.0614299999999997</v>
      </c>
      <c r="W402" s="243">
        <f t="shared" si="378"/>
        <v>-3.74037</v>
      </c>
      <c r="X402" s="225"/>
    </row>
    <row r="403" spans="1:24" s="239" customFormat="1" ht="18" customHeight="1">
      <c r="A403" s="592"/>
      <c r="B403" s="587"/>
      <c r="C403" s="588"/>
      <c r="D403" s="198" t="s">
        <v>25</v>
      </c>
      <c r="E403" s="220">
        <f t="shared" ref="E403:K403" si="379">E418+E433</f>
        <v>0</v>
      </c>
      <c r="F403" s="199">
        <f t="shared" si="379"/>
        <v>0</v>
      </c>
      <c r="G403" s="199">
        <f t="shared" si="379"/>
        <v>896.65099999999995</v>
      </c>
      <c r="H403" s="199">
        <f t="shared" si="379"/>
        <v>967.41300000000001</v>
      </c>
      <c r="I403" s="199">
        <f t="shared" si="379"/>
        <v>505.78</v>
      </c>
      <c r="J403" s="199">
        <f t="shared" si="379"/>
        <v>877.12699999999995</v>
      </c>
      <c r="K403" s="199">
        <f t="shared" si="379"/>
        <v>433</v>
      </c>
      <c r="L403" s="199">
        <f>SUM(F403:K403)</f>
        <v>3679.971</v>
      </c>
      <c r="M403" s="199">
        <f>L403/6</f>
        <v>613.32899999999995</v>
      </c>
      <c r="N403" s="199">
        <f t="shared" ref="N403:S405" si="380">N418+N433</f>
        <v>315.72300000000001</v>
      </c>
      <c r="O403" s="199">
        <f t="shared" si="380"/>
        <v>305.34399999999999</v>
      </c>
      <c r="P403" s="199">
        <f t="shared" si="380"/>
        <v>416.26</v>
      </c>
      <c r="Q403" s="199">
        <f t="shared" si="380"/>
        <v>488.73200000000003</v>
      </c>
      <c r="R403" s="199">
        <f t="shared" si="380"/>
        <v>822.83100000000002</v>
      </c>
      <c r="S403" s="199">
        <f t="shared" si="380"/>
        <v>2769.7109999999998</v>
      </c>
      <c r="T403" s="199">
        <f>SUM(N403:S403)</f>
        <v>5118.6009999999997</v>
      </c>
      <c r="U403" s="199">
        <f>T403+L403</f>
        <v>8798.5720000000001</v>
      </c>
      <c r="V403" s="199">
        <f>V418+V433</f>
        <v>8845.5409999999993</v>
      </c>
      <c r="W403" s="221">
        <f>V403-U403</f>
        <v>46.969000000000001</v>
      </c>
      <c r="X403" s="176">
        <f>U398-U403</f>
        <v>0</v>
      </c>
    </row>
    <row r="404" spans="1:24" s="239" customFormat="1" ht="18" customHeight="1">
      <c r="A404" s="592"/>
      <c r="B404" s="587"/>
      <c r="C404" s="588"/>
      <c r="D404" s="201" t="s">
        <v>55</v>
      </c>
      <c r="E404" s="220"/>
      <c r="F404" s="199">
        <f t="shared" ref="F404:K405" si="381">F419+F434</f>
        <v>0</v>
      </c>
      <c r="G404" s="199">
        <f t="shared" si="381"/>
        <v>0</v>
      </c>
      <c r="H404" s="199">
        <f t="shared" si="381"/>
        <v>82.262</v>
      </c>
      <c r="I404" s="199">
        <f t="shared" si="381"/>
        <v>34.012</v>
      </c>
      <c r="J404" s="199">
        <f t="shared" si="381"/>
        <v>131.81</v>
      </c>
      <c r="K404" s="199">
        <f t="shared" si="381"/>
        <v>131.89400000000001</v>
      </c>
      <c r="L404" s="199">
        <f>SUM(F404:K404)</f>
        <v>379.97800000000001</v>
      </c>
      <c r="M404" s="199">
        <f>L404/6</f>
        <v>63.33</v>
      </c>
      <c r="N404" s="199">
        <f t="shared" si="380"/>
        <v>0</v>
      </c>
      <c r="O404" s="199">
        <f t="shared" si="380"/>
        <v>0</v>
      </c>
      <c r="P404" s="199">
        <f t="shared" si="380"/>
        <v>0</v>
      </c>
      <c r="Q404" s="199">
        <f t="shared" si="380"/>
        <v>0</v>
      </c>
      <c r="R404" s="199">
        <f t="shared" si="380"/>
        <v>0</v>
      </c>
      <c r="S404" s="199">
        <f t="shared" si="380"/>
        <v>0</v>
      </c>
      <c r="T404" s="199">
        <f>SUM(N404:S404)</f>
        <v>0</v>
      </c>
      <c r="U404" s="199">
        <f>T404+L404</f>
        <v>379.97800000000001</v>
      </c>
      <c r="V404" s="199">
        <f>V419+V434</f>
        <v>379.97800000000001</v>
      </c>
      <c r="W404" s="221">
        <f>V404-U404</f>
        <v>0</v>
      </c>
      <c r="X404" s="176">
        <f>U399-U404</f>
        <v>0</v>
      </c>
    </row>
    <row r="405" spans="1:24" s="239" customFormat="1" ht="18" customHeight="1">
      <c r="A405" s="592"/>
      <c r="B405" s="587"/>
      <c r="C405" s="588"/>
      <c r="D405" s="201" t="s">
        <v>24</v>
      </c>
      <c r="E405" s="220"/>
      <c r="F405" s="199">
        <f t="shared" si="381"/>
        <v>0</v>
      </c>
      <c r="G405" s="199">
        <f t="shared" si="381"/>
        <v>896.65099999999995</v>
      </c>
      <c r="H405" s="199">
        <f t="shared" si="381"/>
        <v>885.15099999999995</v>
      </c>
      <c r="I405" s="199">
        <f t="shared" si="381"/>
        <v>471.76799999999997</v>
      </c>
      <c r="J405" s="199">
        <f t="shared" si="381"/>
        <v>745.31700000000001</v>
      </c>
      <c r="K405" s="199">
        <f t="shared" si="381"/>
        <v>301.10599999999999</v>
      </c>
      <c r="L405" s="199">
        <f>SUM(F405:K405)</f>
        <v>3299.9929999999999</v>
      </c>
      <c r="M405" s="199">
        <f>L405/6</f>
        <v>549.99900000000002</v>
      </c>
      <c r="N405" s="199">
        <f t="shared" si="380"/>
        <v>315.72300000000001</v>
      </c>
      <c r="O405" s="199">
        <f t="shared" si="380"/>
        <v>305.34399999999999</v>
      </c>
      <c r="P405" s="199">
        <f t="shared" si="380"/>
        <v>416.26</v>
      </c>
      <c r="Q405" s="199">
        <f t="shared" si="380"/>
        <v>488.73200000000003</v>
      </c>
      <c r="R405" s="199">
        <f t="shared" si="380"/>
        <v>822.83100000000002</v>
      </c>
      <c r="S405" s="199">
        <f t="shared" si="380"/>
        <v>2769.7109999999998</v>
      </c>
      <c r="T405" s="199">
        <f>SUM(N405:S405)</f>
        <v>5118.6009999999997</v>
      </c>
      <c r="U405" s="199">
        <f>T405+L405</f>
        <v>8418.5939999999991</v>
      </c>
      <c r="V405" s="199">
        <f>V420+V435</f>
        <v>8465.5630000000001</v>
      </c>
      <c r="W405" s="221">
        <f>V405-U405</f>
        <v>46.969000000000001</v>
      </c>
      <c r="X405" s="176">
        <f>U400-U405</f>
        <v>46.969000000000001</v>
      </c>
    </row>
    <row r="406" spans="1:24" s="205" customFormat="1" ht="18" customHeight="1">
      <c r="A406" s="592"/>
      <c r="B406" s="587"/>
      <c r="C406" s="588"/>
      <c r="D406" s="202" t="s">
        <v>29</v>
      </c>
      <c r="E406" s="203"/>
      <c r="F406" s="203">
        <f t="shared" ref="F406:K406" si="382">F400+F399</f>
        <v>0</v>
      </c>
      <c r="G406" s="203">
        <f t="shared" si="382"/>
        <v>997.08399999999995</v>
      </c>
      <c r="H406" s="203">
        <f t="shared" si="382"/>
        <v>955.98800000000006</v>
      </c>
      <c r="I406" s="203">
        <f t="shared" si="382"/>
        <v>831.18</v>
      </c>
      <c r="J406" s="203">
        <f t="shared" si="382"/>
        <v>645.11699999999996</v>
      </c>
      <c r="K406" s="203">
        <f t="shared" si="382"/>
        <v>396.30599999999998</v>
      </c>
      <c r="L406" s="203">
        <f>SUM(F406:K406)</f>
        <v>3825.6750000000002</v>
      </c>
      <c r="M406" s="203">
        <f>L406/6</f>
        <v>637.61300000000006</v>
      </c>
      <c r="N406" s="203">
        <f t="shared" ref="N406:S406" si="383">N400+N399</f>
        <v>363.26499999999999</v>
      </c>
      <c r="O406" s="203">
        <f t="shared" si="383"/>
        <v>239.59899999999999</v>
      </c>
      <c r="P406" s="203">
        <f t="shared" si="383"/>
        <v>356.63</v>
      </c>
      <c r="Q406" s="203">
        <f t="shared" si="383"/>
        <v>645.99300000000005</v>
      </c>
      <c r="R406" s="203">
        <f t="shared" si="383"/>
        <v>885.70899999999995</v>
      </c>
      <c r="S406" s="203">
        <f t="shared" si="383"/>
        <v>2528.67</v>
      </c>
      <c r="T406" s="203">
        <f>SUM(N406:S406)</f>
        <v>5019.866</v>
      </c>
      <c r="U406" s="203">
        <f>T406+L406</f>
        <v>8845.5409999999993</v>
      </c>
      <c r="V406" s="203">
        <f>V400+V399</f>
        <v>8845.5409999999993</v>
      </c>
      <c r="W406" s="203">
        <f>V406-U406</f>
        <v>0</v>
      </c>
    </row>
    <row r="407" spans="1:24" s="205" customFormat="1" ht="18" customHeight="1">
      <c r="A407" s="592"/>
      <c r="B407" s="587"/>
      <c r="C407" s="588"/>
      <c r="D407" s="202" t="s">
        <v>30</v>
      </c>
      <c r="E407" s="203"/>
      <c r="F407" s="203">
        <f t="shared" ref="F407:K407" si="384">F403-F406</f>
        <v>0</v>
      </c>
      <c r="G407" s="203">
        <f t="shared" si="384"/>
        <v>-100.43300000000001</v>
      </c>
      <c r="H407" s="203">
        <f t="shared" si="384"/>
        <v>11.425000000000001</v>
      </c>
      <c r="I407" s="203">
        <f t="shared" si="384"/>
        <v>-325.39999999999998</v>
      </c>
      <c r="J407" s="203">
        <f t="shared" si="384"/>
        <v>232.01</v>
      </c>
      <c r="K407" s="203">
        <f t="shared" si="384"/>
        <v>36.694000000000003</v>
      </c>
      <c r="L407" s="203"/>
      <c r="M407" s="203"/>
      <c r="N407" s="203">
        <f t="shared" ref="N407:S407" si="385">N403-N406</f>
        <v>-47.542000000000002</v>
      </c>
      <c r="O407" s="203">
        <f t="shared" si="385"/>
        <v>65.745000000000005</v>
      </c>
      <c r="P407" s="203">
        <f t="shared" si="385"/>
        <v>59.63</v>
      </c>
      <c r="Q407" s="203">
        <f t="shared" si="385"/>
        <v>-157.261</v>
      </c>
      <c r="R407" s="203">
        <f t="shared" si="385"/>
        <v>-62.878</v>
      </c>
      <c r="S407" s="203">
        <f t="shared" si="385"/>
        <v>241.041</v>
      </c>
      <c r="T407" s="203"/>
      <c r="U407" s="203"/>
      <c r="V407" s="203"/>
      <c r="W407" s="203"/>
    </row>
    <row r="408" spans="1:24" s="205" customFormat="1" ht="18" customHeight="1">
      <c r="A408" s="592"/>
      <c r="B408" s="589"/>
      <c r="C408" s="590"/>
      <c r="D408" s="202" t="s">
        <v>31</v>
      </c>
      <c r="E408" s="203"/>
      <c r="F408" s="203">
        <f>F407</f>
        <v>0</v>
      </c>
      <c r="G408" s="203">
        <f>G407+F408</f>
        <v>-100.43300000000001</v>
      </c>
      <c r="H408" s="203">
        <f>H407+G408</f>
        <v>-89.007999999999996</v>
      </c>
      <c r="I408" s="203">
        <f>I407+H408</f>
        <v>-414.40800000000002</v>
      </c>
      <c r="J408" s="203">
        <f>J407+I408</f>
        <v>-182.398</v>
      </c>
      <c r="K408" s="203">
        <f>K407+J408</f>
        <v>-145.70400000000001</v>
      </c>
      <c r="L408" s="203"/>
      <c r="M408" s="203"/>
      <c r="N408" s="203">
        <f>N407+K408</f>
        <v>-193.24600000000001</v>
      </c>
      <c r="O408" s="203">
        <f>O407+N408</f>
        <v>-127.501</v>
      </c>
      <c r="P408" s="203">
        <f>P407+O408</f>
        <v>-67.870999999999995</v>
      </c>
      <c r="Q408" s="203">
        <f>Q407+P408</f>
        <v>-225.13200000000001</v>
      </c>
      <c r="R408" s="203">
        <f>R407+Q408</f>
        <v>-288.01</v>
      </c>
      <c r="S408" s="203">
        <f>S407+R408</f>
        <v>-46.969000000000001</v>
      </c>
      <c r="T408" s="203"/>
      <c r="U408" s="203"/>
      <c r="V408" s="203"/>
      <c r="W408" s="203"/>
    </row>
    <row r="409" spans="1:24" s="196" customFormat="1" ht="18" customHeight="1">
      <c r="A409" s="592"/>
      <c r="B409" s="580" t="s">
        <v>32</v>
      </c>
      <c r="C409" s="575"/>
      <c r="D409" s="178" t="s">
        <v>105</v>
      </c>
      <c r="E409" s="179"/>
      <c r="F409" s="180">
        <f>№2!F486+№5!F486+'№ 6'!F486+№14!F486+'№ 20'!F486+'№ 23'!F486+№27!F486+'№ 31'!F486+'№ 34'!F486+'№ 41'!F486</f>
        <v>37846.400000000001</v>
      </c>
      <c r="G409" s="180">
        <f>№2!G486+№5!G486+'№ 6'!G486+№14!G486+'№ 20'!G486+'№ 23'!G486+№27!G486+'№ 31'!G486+'№ 34'!G486+'№ 41'!G486</f>
        <v>47618.400000000001</v>
      </c>
      <c r="H409" s="180">
        <f>№2!H486+№5!H486+'№ 6'!H486+№14!H486+'№ 20'!H486+'№ 23'!H486+№27!H486+'№ 31'!H486+'№ 34'!H486+'№ 41'!H486</f>
        <v>33732.800000000003</v>
      </c>
      <c r="I409" s="180">
        <f>№2!I486+№5!I486+'№ 6'!I486+№14!I486+'№ 20'!I486+'№ 23'!I486+№27!I486+'№ 31'!I486+'№ 34'!I486+'№ 41'!I486</f>
        <v>43339</v>
      </c>
      <c r="J409" s="180">
        <f>№2!J486+№5!J486+'№ 6'!J486+№14!J486+'№ 20'!J486+'№ 23'!J486+№27!J486+'№ 31'!J486+'№ 34'!J486+'№ 41'!J486</f>
        <v>32783.199999999997</v>
      </c>
      <c r="K409" s="180">
        <f>№2!K486+№5!K486+'№ 6'!K486+№14!K486+'№ 20'!K486+'№ 23'!K486+№27!K486+'№ 31'!K486+'№ 34'!K486+'№ 41'!K486</f>
        <v>17955.7</v>
      </c>
      <c r="L409" s="215">
        <f>SUM(F409:K409)</f>
        <v>213275.5</v>
      </c>
      <c r="M409" s="215">
        <f>L409/6</f>
        <v>35545.9</v>
      </c>
      <c r="N409" s="180">
        <f>№2!N486+№5!N486+'№ 6'!N486+№14!N486+'№ 20'!N486+'№ 23'!N486+№27!N486+'№ 31'!N486+'№ 34'!N486+'№ 41'!N486</f>
        <v>16246.9</v>
      </c>
      <c r="O409" s="180">
        <f>№2!O486+№5!O486+'№ 6'!O486+№14!O486+'№ 20'!O486+'№ 23'!O486+№27!O486+'№ 31'!O486+'№ 34'!O486+'№ 41'!O486</f>
        <v>16641.3</v>
      </c>
      <c r="P409" s="180">
        <f>№2!P486+№5!P486+'№ 6'!P486+№14!P486+'№ 20'!P486+'№ 23'!P486+№27!P486+'№ 31'!P486+'№ 34'!P486+'№ 41'!P486</f>
        <v>22449.7</v>
      </c>
      <c r="Q409" s="180">
        <f>№2!Q486+№5!Q486+'№ 6'!Q486+№14!Q486+'№ 20'!Q486+'№ 23'!Q486+№27!Q486+'№ 31'!Q486+'№ 34'!Q486+'№ 41'!Q486</f>
        <v>40044.800000000003</v>
      </c>
      <c r="R409" s="180">
        <f>№2!R486+№5!R486+'№ 6'!R486+№14!R486+'№ 20'!R486+'№ 23'!R486+№27!R486+'№ 31'!R486+'№ 34'!R486+'№ 41'!R486</f>
        <v>66211.8</v>
      </c>
      <c r="S409" s="180">
        <f>№2!S486+№5!S486+'№ 6'!S486+№14!S486+'№ 20'!S486+'№ 23'!S486+№27!S486+'№ 31'!S486+'№ 34'!S486+'№ 41'!S486</f>
        <v>72311.100000000006</v>
      </c>
      <c r="T409" s="215">
        <f>SUM(N409:S409)</f>
        <v>233905.6</v>
      </c>
      <c r="U409" s="215">
        <f>T409+L409</f>
        <v>447181.1</v>
      </c>
      <c r="V409" s="233">
        <f>№2!V486+№5!V486+'№ 6'!V486+№14!V486+'№ 20'!V486+'№ 23'!V486+№27!V486+'№ 31'!V486+'№ 34'!V486+'№ 41'!V486</f>
        <v>220771</v>
      </c>
      <c r="W409" s="184"/>
      <c r="X409" s="185"/>
    </row>
    <row r="410" spans="1:24" s="186" customFormat="1" ht="18" customHeight="1">
      <c r="A410" s="592"/>
      <c r="B410" s="576"/>
      <c r="C410" s="577"/>
      <c r="D410" s="178" t="s">
        <v>109</v>
      </c>
      <c r="E410" s="179"/>
      <c r="F410" s="180">
        <f>№2!F487+№5!F487+'№ 6'!F487+№14!F487+'№ 20'!F487+'№ 23'!F487+№27!F487+'№ 31'!F487+'№ 34'!F487+'№ 41'!F487</f>
        <v>48216.800000000003</v>
      </c>
      <c r="G410" s="180">
        <f>№2!G487+№5!G487+'№ 6'!G487+№14!G487+'№ 20'!G487+'№ 23'!G487+№27!G487+'№ 31'!G487+'№ 34'!G487+'№ 41'!G487</f>
        <v>40317.300000000003</v>
      </c>
      <c r="H410" s="180">
        <f>№2!H487+№5!H487+'№ 6'!H487+№14!H487+'№ 20'!H487+'№ 23'!H487+№27!H487+'№ 31'!H487+'№ 34'!H487+'№ 41'!H487</f>
        <v>40524.5</v>
      </c>
      <c r="I410" s="180">
        <f>№2!I487+№5!I487+'№ 6'!I487+№14!I487+'№ 20'!I487+'№ 23'!I487+№27!I487+'№ 31'!I487+'№ 34'!I487+'№ 41'!I487</f>
        <v>23881.5</v>
      </c>
      <c r="J410" s="180">
        <f>№2!J487+№5!J487+'№ 6'!J487+№14!J487+'№ 20'!J487+'№ 23'!J487+№27!J487+'№ 31'!J487+'№ 34'!J487+'№ 41'!J487</f>
        <v>25823.5</v>
      </c>
      <c r="K410" s="180">
        <f>№2!K487+№5!K487+'№ 6'!K487+№14!K487+'№ 20'!K487+'№ 23'!K487+№27!K487+'№ 31'!K487+'№ 34'!K487+'№ 41'!K487</f>
        <v>13198.3</v>
      </c>
      <c r="L410" s="215">
        <f>SUM(F410:K410)</f>
        <v>191961.9</v>
      </c>
      <c r="M410" s="215">
        <f>L410/6</f>
        <v>31993.7</v>
      </c>
      <c r="N410" s="180">
        <f>№2!N487+№5!N487+'№ 6'!N487+№14!N487+'№ 20'!N487+'№ 23'!N487+№27!N487+'№ 31'!N487+'№ 34'!N487+'№ 41'!N487</f>
        <v>16756.7</v>
      </c>
      <c r="O410" s="180">
        <f>№2!O487+№5!O487+'№ 6'!O487+№14!O487+'№ 20'!O487+'№ 23'!O487+№27!O487+'№ 31'!O487+'№ 34'!O487+'№ 41'!O487</f>
        <v>11584.9</v>
      </c>
      <c r="P410" s="180">
        <f>№2!P487+№5!P487+'№ 6'!P487+№14!P487+'№ 20'!P487+'№ 23'!P487+№27!P487+'№ 31'!P487+'№ 34'!P487+'№ 41'!P487</f>
        <v>28179.9</v>
      </c>
      <c r="Q410" s="180">
        <f>№2!Q487+№5!Q487+'№ 6'!Q487+№14!Q487+'№ 20'!Q487+'№ 23'!Q487+№27!Q487+'№ 31'!Q487+'№ 34'!Q487+'№ 41'!Q487</f>
        <v>51253.7</v>
      </c>
      <c r="R410" s="180">
        <f>№2!R487+№5!R487+'№ 6'!R487+№14!R487+'№ 20'!R487+'№ 23'!R487+№27!R487+'№ 31'!R487+'№ 34'!R487+'№ 41'!R487</f>
        <v>90801.600000000006</v>
      </c>
      <c r="S410" s="180">
        <f>№2!S487+№5!S487+'№ 6'!S487+№14!S487+'№ 20'!S487+'№ 23'!S487+№27!S487+'№ 31'!S487+'№ 34'!S487+'№ 41'!S487</f>
        <v>112868.3</v>
      </c>
      <c r="T410" s="215">
        <f>SUM(N410:S410)</f>
        <v>311445.09999999998</v>
      </c>
      <c r="U410" s="215">
        <f>T410+L410</f>
        <v>503407</v>
      </c>
      <c r="V410" s="539">
        <f>№2!V487+№5!V487+'№ 6'!V487+№14!V487+'№ 20'!V487+'№ 23'!V487+№27!V487+'№ 31'!V487+'№ 34'!V487+'№ 41'!V487</f>
        <v>536299.69999999995</v>
      </c>
      <c r="W410" s="184"/>
      <c r="X410" s="185"/>
    </row>
    <row r="411" spans="1:24" s="186" customFormat="1" ht="18" customHeight="1">
      <c r="A411" s="592"/>
      <c r="B411" s="576"/>
      <c r="C411" s="577"/>
      <c r="D411" s="178" t="s">
        <v>116</v>
      </c>
      <c r="E411" s="179"/>
      <c r="F411" s="180">
        <f>№2!F488+№5!F488+'№ 6'!F488+№14!F488+'№ 20'!F488+'№ 23'!F488+№27!F488+'№ 31'!F488+'№ 34'!F488+'№ 41'!F488</f>
        <v>48127</v>
      </c>
      <c r="G411" s="180">
        <f>№2!G488+№5!G488+'№ 6'!G488+№14!G488+'№ 20'!G488+'№ 23'!G488+№27!G488+'№ 31'!G488+'№ 34'!G488+'№ 41'!G488</f>
        <v>45729.8</v>
      </c>
      <c r="H411" s="180">
        <f>№2!H488+№5!H488+'№ 6'!H488+№14!H488+'№ 20'!H488+'№ 23'!H488+№27!H488+'№ 31'!H488+'№ 34'!H488+'№ 41'!H488</f>
        <v>51011.3</v>
      </c>
      <c r="I411" s="180">
        <f>№2!I488+№5!I488+'№ 6'!I488+№14!I488+'№ 20'!I488+'№ 23'!I488+№27!I488+'№ 31'!I488+'№ 34'!I488+'№ 41'!I488</f>
        <v>41768.9</v>
      </c>
      <c r="J411" s="180">
        <f>№2!J488+№5!J488+'№ 6'!J488+№14!J488+'№ 20'!J488+'№ 23'!J488+№27!J488+'№ 31'!J488+'№ 34'!J488+'№ 41'!J488</f>
        <v>33170.6</v>
      </c>
      <c r="K411" s="180">
        <f>№2!K488+№5!K488+'№ 6'!K488+№14!K488+'№ 20'!K488+'№ 23'!K488+№27!K488+'№ 31'!K488+'№ 34'!K488+'№ 41'!K488</f>
        <v>31011.9</v>
      </c>
      <c r="L411" s="215">
        <f>SUM(F411:K411)</f>
        <v>250819.5</v>
      </c>
      <c r="M411" s="215">
        <f>L411/6</f>
        <v>41803.300000000003</v>
      </c>
      <c r="N411" s="180">
        <f>№2!N488+№5!N488+'№ 6'!N488+№14!N488+'№ 20'!N488+'№ 23'!N488+№27!N488+'№ 31'!N488+'№ 34'!N488+'№ 41'!N488</f>
        <v>21374.3</v>
      </c>
      <c r="O411" s="180">
        <f>№2!O488+№5!O488+'№ 6'!O488+№14!O488+'№ 20'!O488+'№ 23'!O488+№27!O488+'№ 31'!O488+'№ 34'!O488+'№ 41'!O488</f>
        <v>18474.400000000001</v>
      </c>
      <c r="P411" s="180">
        <f>№2!P488+№5!P488+'№ 6'!P488+№14!P488+'№ 20'!P488+'№ 23'!P488+№27!P488+'№ 31'!P488+'№ 34'!P488+'№ 41'!P488</f>
        <v>32741.200000000001</v>
      </c>
      <c r="Q411" s="180">
        <f>№2!Q488+№5!Q488+'№ 6'!Q488+№14!Q488+'№ 20'!Q488+'№ 23'!Q488+№27!Q488+'№ 31'!Q488+'№ 34'!Q488+'№ 41'!Q488</f>
        <v>55255.3</v>
      </c>
      <c r="R411" s="180">
        <f>№2!R488+№5!R488+'№ 6'!R488+№14!R488+'№ 20'!R488+'№ 23'!R488+№27!R488+'№ 31'!R488+'№ 34'!R488+'№ 41'!R488</f>
        <v>91668.6</v>
      </c>
      <c r="S411" s="180">
        <f>№2!S488+№5!S488+'№ 6'!S488+№14!S488+'№ 20'!S488+'№ 23'!S488+№27!S488+'№ 31'!S488+'№ 34'!S488+'№ 41'!S488</f>
        <v>112696.3</v>
      </c>
      <c r="T411" s="215">
        <f>SUM(N411:S411)</f>
        <v>332210.09999999998</v>
      </c>
      <c r="U411" s="215">
        <f>T411+L411</f>
        <v>583029.6</v>
      </c>
      <c r="V411" s="539">
        <f>№2!V488+№5!V488+'№ 6'!V488+№14!V488+'№ 20'!V488+'№ 23'!V488+№27!V488+'№ 31'!V488+'№ 34'!V488+'№ 41'!V488</f>
        <v>589593.1</v>
      </c>
      <c r="W411" s="184">
        <f>V411-U411</f>
        <v>6563.5</v>
      </c>
      <c r="X411" s="185"/>
    </row>
    <row r="412" spans="1:24" s="190" customFormat="1" ht="18" customHeight="1">
      <c r="A412" s="592"/>
      <c r="B412" s="576"/>
      <c r="C412" s="577"/>
      <c r="D412" s="187" t="s">
        <v>27</v>
      </c>
      <c r="E412" s="188"/>
      <c r="F412" s="245">
        <f t="shared" ref="F412:K412" si="386">F413*1000/F411</f>
        <v>10.615600000000001</v>
      </c>
      <c r="G412" s="245">
        <f t="shared" si="386"/>
        <v>11.045489</v>
      </c>
      <c r="H412" s="245">
        <f t="shared" si="386"/>
        <v>10.610609999999999</v>
      </c>
      <c r="I412" s="245">
        <f t="shared" si="386"/>
        <v>9.8151969999999995</v>
      </c>
      <c r="J412" s="245">
        <f t="shared" si="386"/>
        <v>10.115434</v>
      </c>
      <c r="K412" s="245">
        <f t="shared" si="386"/>
        <v>8.0189540000000008</v>
      </c>
      <c r="L412" s="242">
        <f>L413/L411*1000</f>
        <v>10.172470000000001</v>
      </c>
      <c r="M412" s="242">
        <f>M413/M411*1000</f>
        <v>10.17245</v>
      </c>
      <c r="N412" s="245">
        <f t="shared" ref="N412:S412" si="387">N413*1000/N411</f>
        <v>9.7897010000000009</v>
      </c>
      <c r="O412" s="245">
        <f t="shared" si="387"/>
        <v>9.7945259999999994</v>
      </c>
      <c r="P412" s="245">
        <f t="shared" si="387"/>
        <v>9.9326539999999994</v>
      </c>
      <c r="Q412" s="245">
        <f t="shared" si="387"/>
        <v>9.8736770000000007</v>
      </c>
      <c r="R412" s="245">
        <f t="shared" si="387"/>
        <v>10.063544</v>
      </c>
      <c r="S412" s="245">
        <f t="shared" si="387"/>
        <v>9.9080359999999992</v>
      </c>
      <c r="T412" s="242">
        <f>T413/T411*1000</f>
        <v>9.9337300000000006</v>
      </c>
      <c r="U412" s="242">
        <f>U413/U411*1000</f>
        <v>10.036440000000001</v>
      </c>
      <c r="V412" s="242">
        <f t="shared" ref="V412" si="388">V413*1000/V411</f>
        <v>9.4997500000000006</v>
      </c>
      <c r="W412" s="243">
        <f>W413/W411*1000</f>
        <v>-38.173690000000001</v>
      </c>
      <c r="X412" s="225"/>
    </row>
    <row r="413" spans="1:24" s="244" customFormat="1" ht="18" customHeight="1">
      <c r="A413" s="592"/>
      <c r="B413" s="576"/>
      <c r="C413" s="577"/>
      <c r="D413" s="191" t="s">
        <v>0</v>
      </c>
      <c r="E413" s="192"/>
      <c r="F413" s="192">
        <f>№2!F490+№5!F490+'№ 6'!F490+№14!F490+'№ 20'!F490+'№ 23'!F490+№27!F490+'№ 31'!F490+'№ 34'!F490+'№ 41'!F490</f>
        <v>510.89699999999999</v>
      </c>
      <c r="G413" s="192">
        <f>№2!G490+№5!G490+'№ 6'!G490+№14!G490+'№ 20'!G490+'№ 23'!G490+№27!G490+'№ 31'!G490+'№ 34'!G490+'№ 41'!G490</f>
        <v>505.108</v>
      </c>
      <c r="H413" s="192">
        <f>№2!H490+№5!H490+'№ 6'!H490+№14!H490+'№ 20'!H490+'№ 23'!H490+№27!H490+'№ 31'!H490+'№ 34'!H490+'№ 41'!H490</f>
        <v>541.26099999999997</v>
      </c>
      <c r="I413" s="192">
        <f>№2!I490+№5!I490+'№ 6'!I490+№14!I490+'№ 20'!I490+'№ 23'!I490+№27!I490+'№ 31'!I490+'№ 34'!I490+'№ 41'!I490</f>
        <v>409.97</v>
      </c>
      <c r="J413" s="192">
        <f>№2!J490+№5!J490+'№ 6'!J490+№14!J490+'№ 20'!J490+'№ 23'!J490+№27!J490+'№ 31'!J490+'№ 34'!J490+'№ 41'!J490</f>
        <v>335.53500000000003</v>
      </c>
      <c r="K413" s="192">
        <f>№2!K490+№5!K490+'№ 6'!K490+№14!K490+'№ 20'!K490+'№ 23'!K490+№27!K490+'№ 31'!K490+'№ 34'!K490+'№ 41'!K490</f>
        <v>248.68299999999999</v>
      </c>
      <c r="L413" s="194">
        <f>SUM(F413:K413)</f>
        <v>2551.4540000000002</v>
      </c>
      <c r="M413" s="194">
        <f>L413/6</f>
        <v>425.24200000000002</v>
      </c>
      <c r="N413" s="192">
        <f>№2!N490+№5!N490+'№ 6'!N490+№14!N490+'№ 20'!N490+'№ 23'!N490+№27!N490+'№ 31'!N490+'№ 34'!N490+'№ 41'!N490</f>
        <v>209.24799999999999</v>
      </c>
      <c r="O413" s="192">
        <f>№2!O490+№5!O490+'№ 6'!O490+№14!O490+'№ 20'!O490+'№ 23'!O490+№27!O490+'№ 31'!O490+'№ 34'!O490+'№ 41'!O490</f>
        <v>180.94800000000001</v>
      </c>
      <c r="P413" s="192">
        <f>№2!P490+№5!P490+'№ 6'!P490+№14!P490+'№ 20'!P490+'№ 23'!P490+№27!P490+'№ 31'!P490+'№ 34'!P490+'№ 41'!P490</f>
        <v>325.20699999999999</v>
      </c>
      <c r="Q413" s="192">
        <f>№2!Q490+№5!Q490+'№ 6'!Q490+№14!Q490+'№ 20'!Q490+'№ 23'!Q490+№27!Q490+'№ 31'!Q490+'№ 34'!Q490+'№ 41'!Q490</f>
        <v>545.57299999999998</v>
      </c>
      <c r="R413" s="192">
        <f>№2!R490+№5!R490+'№ 6'!R490+№14!R490+'№ 20'!R490+'№ 23'!R490+№27!R490+'№ 31'!R490+'№ 34'!R490+'№ 41'!R490</f>
        <v>922.51099999999997</v>
      </c>
      <c r="S413" s="192">
        <f>№2!S490+№5!S490+'№ 6'!S490+№14!S490+'№ 20'!S490+'№ 23'!S490+№27!S490+'№ 31'!S490+'№ 34'!S490+'№ 41'!S490</f>
        <v>1116.5989999999999</v>
      </c>
      <c r="T413" s="194">
        <f>SUM(N413:S413)</f>
        <v>3300.0859999999998</v>
      </c>
      <c r="U413" s="194">
        <f>T413+L413</f>
        <v>5851.54</v>
      </c>
      <c r="V413" s="194">
        <f>№2!V490+№5!V490+'№ 6'!V490+№14!V490+'№ 20'!V490+'№ 23'!V490+№27!V490+'№ 31'!V490+'№ 34'!V490+'№ 41'!V490</f>
        <v>5600.9870000000001</v>
      </c>
      <c r="W413" s="193">
        <f>V413-U413</f>
        <v>-250.553</v>
      </c>
      <c r="X413" s="247"/>
    </row>
    <row r="414" spans="1:24" s="244" customFormat="1" ht="18" customHeight="1">
      <c r="A414" s="592"/>
      <c r="B414" s="576"/>
      <c r="C414" s="577"/>
      <c r="D414" s="174" t="s">
        <v>55</v>
      </c>
      <c r="E414" s="210"/>
      <c r="F414" s="192">
        <f>№2!F491+№5!F491+'№ 6'!F491+№14!F491+'№ 20'!F491+'№ 23'!F491+№27!F491+'№ 31'!F491+'№ 34'!F491+'№ 41'!F491</f>
        <v>0</v>
      </c>
      <c r="G414" s="192">
        <f>№2!G491+№5!G491+'№ 6'!G491+№14!G491+'№ 20'!G491+'№ 23'!G491+№27!G491+'№ 31'!G491+'№ 34'!G491+'№ 41'!G491</f>
        <v>0</v>
      </c>
      <c r="H414" s="192">
        <f>№2!H491+№5!H491+'№ 6'!H491+№14!H491+'№ 20'!H491+'№ 23'!H491+№27!H491+'№ 31'!H491+'№ 34'!H491+'№ 41'!H491</f>
        <v>0</v>
      </c>
      <c r="I414" s="192">
        <f>№2!I491+№5!I491+'№ 6'!I491+№14!I491+'№ 20'!I491+'№ 23'!I491+№27!I491+'№ 31'!I491+'№ 34'!I491+'№ 41'!I491</f>
        <v>10.414</v>
      </c>
      <c r="J414" s="192">
        <f>№2!J491+№5!J491+'№ 6'!J491+№14!J491+'№ 20'!J491+'№ 23'!J491+№27!J491+'№ 31'!J491+'№ 34'!J491+'№ 41'!J491</f>
        <v>10.006</v>
      </c>
      <c r="K414" s="192">
        <f>№2!K491+№5!K491+'№ 6'!K491+№14!K491+'№ 20'!K491+'№ 23'!K491+№27!K491+'№ 31'!K491+'№ 34'!K491+'№ 41'!K491</f>
        <v>0</v>
      </c>
      <c r="L414" s="194">
        <f>SUM(F414:K414)</f>
        <v>20.420000000000002</v>
      </c>
      <c r="M414" s="194">
        <f>L414/6</f>
        <v>3.403</v>
      </c>
      <c r="N414" s="192">
        <f>№2!N491+№5!N491+'№ 6'!N491+№14!N491+'№ 20'!N491+'№ 23'!N491+№27!N491+'№ 31'!N491+'№ 34'!N491+'№ 41'!N491</f>
        <v>0</v>
      </c>
      <c r="O414" s="192">
        <f>№2!O491+№5!O491+'№ 6'!O491+№14!O491+'№ 20'!O491+'№ 23'!O491+№27!O491+'№ 31'!O491+'№ 34'!O491+'№ 41'!O491</f>
        <v>0</v>
      </c>
      <c r="P414" s="192">
        <f>№2!P491+№5!P491+'№ 6'!P491+№14!P491+'№ 20'!P491+'№ 23'!P491+№27!P491+'№ 31'!P491+'№ 34'!P491+'№ 41'!P491</f>
        <v>0</v>
      </c>
      <c r="Q414" s="192">
        <f>№2!Q491+№5!Q491+'№ 6'!Q491+№14!Q491+'№ 20'!Q491+'№ 23'!Q491+№27!Q491+'№ 31'!Q491+'№ 34'!Q491+'№ 41'!Q491</f>
        <v>0</v>
      </c>
      <c r="R414" s="192">
        <f>№2!R491+№5!R491+'№ 6'!R491+№14!R491+'№ 20'!R491+'№ 23'!R491+№27!R491+'№ 31'!R491+'№ 34'!R491+'№ 41'!R491</f>
        <v>0</v>
      </c>
      <c r="S414" s="192">
        <f>№2!S491+№5!S491+'№ 6'!S491+№14!S491+'№ 20'!S491+'№ 23'!S491+№27!S491+'№ 31'!S491+'№ 34'!S491+'№ 41'!S491</f>
        <v>0</v>
      </c>
      <c r="T414" s="194">
        <f>SUM(N414:S414)</f>
        <v>0</v>
      </c>
      <c r="U414" s="194">
        <f>T414+L414</f>
        <v>20.420000000000002</v>
      </c>
      <c r="V414" s="194">
        <f>№2!V491+№5!V491+'№ 6'!V491+№14!V491+'№ 20'!V491+'№ 23'!V491+№27!V491+'№ 31'!V491+'№ 34'!V491+'№ 41'!V491</f>
        <v>20.420000000000002</v>
      </c>
      <c r="W414" s="193">
        <f>V414-U414</f>
        <v>0</v>
      </c>
    </row>
    <row r="415" spans="1:24" s="244" customFormat="1" ht="18" customHeight="1">
      <c r="A415" s="592"/>
      <c r="B415" s="576"/>
      <c r="C415" s="577"/>
      <c r="D415" s="174" t="s">
        <v>28</v>
      </c>
      <c r="E415" s="210"/>
      <c r="F415" s="192">
        <f>№2!F492+№5!F492+'№ 6'!F492+№14!F492+'№ 20'!F492+'№ 23'!F492+№27!F492+'№ 31'!F492+'№ 34'!F492+'№ 41'!F492</f>
        <v>0</v>
      </c>
      <c r="G415" s="192">
        <f>№2!G492+№5!G492+'№ 6'!G492+№14!G492+'№ 20'!G492+'№ 23'!G492+№27!G492+'№ 31'!G492+'№ 34'!G492+'№ 41'!G492</f>
        <v>692.04899999999998</v>
      </c>
      <c r="H415" s="192">
        <f>№2!H492+№5!H492+'№ 6'!H492+№14!H492+'№ 20'!H492+'№ 23'!H492+№27!H492+'№ 31'!H492+'№ 34'!H492+'№ 41'!H492</f>
        <v>605.10199999999998</v>
      </c>
      <c r="I415" s="192">
        <f>№2!I492+№5!I492+'№ 6'!I492+№14!I492+'№ 20'!I492+'№ 23'!I492+№27!I492+'№ 31'!I492+'№ 34'!I492+'№ 41'!I492</f>
        <v>498.673</v>
      </c>
      <c r="J415" s="192">
        <f>№2!J492+№5!J492+'№ 6'!J492+№14!J492+'№ 20'!J492+'№ 23'!J492+№27!J492+'№ 31'!J492+'№ 34'!J492+'№ 41'!J492</f>
        <v>289.74599999999998</v>
      </c>
      <c r="K415" s="192">
        <f>№2!K492+№5!K492+'№ 6'!K492+№14!K492+'№ 20'!K492+'№ 23'!K492+№27!K492+'№ 31'!K492+'№ 34'!K492+'№ 41'!K492</f>
        <v>301.20699999999999</v>
      </c>
      <c r="L415" s="194">
        <f>SUM(F415:K415)</f>
        <v>2386.777</v>
      </c>
      <c r="M415" s="194">
        <f>L415/6</f>
        <v>397.79599999999999</v>
      </c>
      <c r="N415" s="192">
        <f>№2!N492+№5!N492+'№ 6'!N492+№14!N492+'№ 20'!N492+'№ 23'!N492+№27!N492+'№ 31'!N492+'№ 34'!N492+'№ 41'!N492</f>
        <v>253.67500000000001</v>
      </c>
      <c r="O415" s="192">
        <f>№2!O492+№5!O492+'№ 6'!O492+№14!O492+'№ 20'!O492+'№ 23'!O492+№27!O492+'№ 31'!O492+'№ 34'!O492+'№ 41'!O492</f>
        <v>160.49600000000001</v>
      </c>
      <c r="P415" s="192">
        <f>№2!P492+№5!P492+'№ 6'!P492+№14!P492+'№ 20'!P492+'№ 23'!P492+№27!P492+'№ 31'!P492+'№ 34'!P492+'№ 41'!P492</f>
        <v>199.482</v>
      </c>
      <c r="Q415" s="192">
        <f>№2!Q492+№5!Q492+'№ 6'!Q492+№14!Q492+'№ 20'!Q492+'№ 23'!Q492+№27!Q492+'№ 31'!Q492+'№ 34'!Q492+'№ 41'!Q492</f>
        <v>442.9</v>
      </c>
      <c r="R415" s="192">
        <f>№2!R492+№5!R492+'№ 6'!R492+№14!R492+'№ 20'!R492+'№ 23'!R492+№27!R492+'№ 31'!R492+'№ 34'!R492+'№ 41'!R492</f>
        <v>589.11199999999997</v>
      </c>
      <c r="S415" s="192">
        <f>№2!S492+№5!S492+'№ 6'!S492+№14!S492+'№ 20'!S492+'№ 23'!S492+№27!S492+'№ 31'!S492+'№ 34'!S492+'№ 41'!S492</f>
        <v>1548.125</v>
      </c>
      <c r="T415" s="194">
        <f>SUM(N415:S415)</f>
        <v>3193.79</v>
      </c>
      <c r="U415" s="194">
        <f>T415+L415</f>
        <v>5580.567</v>
      </c>
      <c r="V415" s="194">
        <f>№2!V492+№5!V492+'№ 6'!V492+№14!V492+'№ 20'!V492+'№ 23'!V492+№27!V492+'№ 31'!V492+'№ 34'!V492+'№ 41'!V492</f>
        <v>5580.567</v>
      </c>
      <c r="W415" s="193">
        <f>V415-U415</f>
        <v>0</v>
      </c>
    </row>
    <row r="416" spans="1:24" s="186" customFormat="1" ht="18" customHeight="1">
      <c r="A416" s="592"/>
      <c r="B416" s="576"/>
      <c r="C416" s="577"/>
      <c r="D416" s="178" t="s">
        <v>117</v>
      </c>
      <c r="E416" s="179">
        <f>№2!E493+№5!E493+'№ 6'!E493+№14!E493+'№ 20'!E493+'№ 23'!E493+№27!E493+'№ 31'!E493+'№ 34'!E493+'№ 41'!E493</f>
        <v>0</v>
      </c>
      <c r="F416" s="179">
        <f>№2!F493+№5!F493+'№ 6'!F493+№14!F493+'№ 20'!F493+'№ 23'!F493+№27!F493+'№ 31'!F493+'№ 34'!F493+'№ 41'!F493</f>
        <v>0</v>
      </c>
      <c r="G416" s="179">
        <f>№2!G493+№5!G493+'№ 6'!G493+№14!G493+'№ 20'!G493+'№ 23'!G493+№27!G493+'№ 31'!G493+'№ 34'!G493+'№ 41'!G493</f>
        <v>54907.7</v>
      </c>
      <c r="H416" s="179">
        <f>№2!H493+№5!H493+'№ 6'!H493+№14!H493+'№ 20'!H493+'№ 23'!H493+№27!H493+'№ 31'!H493+'№ 34'!H493+'№ 41'!H493</f>
        <v>61835.9</v>
      </c>
      <c r="I416" s="179">
        <f>№2!I493+№5!I493+'№ 6'!I493+№14!I493+'№ 20'!I493+'№ 23'!I493+№27!I493+'№ 31'!I493+'№ 34'!I493+'№ 41'!I493</f>
        <v>25195.9</v>
      </c>
      <c r="J416" s="179">
        <f>№2!J493+№5!J493+'№ 6'!J493+№14!J493+'№ 20'!J493+'№ 23'!J493+№27!J493+'№ 31'!J493+'№ 34'!J493+'№ 41'!J493</f>
        <v>54158</v>
      </c>
      <c r="K416" s="179">
        <f>№2!K493+№5!K493+'№ 6'!K493+№14!K493+'№ 20'!K493+'№ 23'!K493+№27!K493+'№ 31'!K493+'№ 34'!K493+'№ 41'!K493</f>
        <v>30154.9</v>
      </c>
      <c r="L416" s="215">
        <f>SUM(F416:K416)</f>
        <v>226252.4</v>
      </c>
      <c r="M416" s="215">
        <f>L416/6</f>
        <v>37708.699999999997</v>
      </c>
      <c r="N416" s="179">
        <f>№2!N493+№5!N493+'№ 6'!N493+№14!N493+'№ 20'!N493+'№ 23'!N493+№27!N493+'№ 31'!N493+'№ 34'!N493+'№ 41'!N493</f>
        <v>17554.599999999999</v>
      </c>
      <c r="O416" s="179">
        <f>№2!O493+№5!O493+'№ 6'!O493+№14!O493+'№ 20'!O493+'№ 23'!O493+№27!O493+'№ 31'!O493+'№ 34'!O493+'№ 41'!O493</f>
        <v>21374.3</v>
      </c>
      <c r="P416" s="179">
        <f>№2!P493+№5!P493+'№ 6'!P493+№14!P493+'№ 20'!P493+'№ 23'!P493+№27!P493+'№ 31'!P493+'№ 34'!P493+'№ 41'!P493</f>
        <v>25531.5</v>
      </c>
      <c r="Q416" s="179">
        <f>№2!Q493+№5!Q493+'№ 6'!Q493+№14!Q493+'№ 20'!Q493+'№ 23'!Q493+№27!Q493+'№ 31'!Q493+'№ 34'!Q493+'№ 41'!Q493</f>
        <v>32741.200000000001</v>
      </c>
      <c r="R416" s="179">
        <f>№2!R493+№5!R493+'№ 6'!R493+№14!R493+'№ 20'!R493+'№ 23'!R493+№27!R493+'№ 31'!R493+'№ 34'!R493+'№ 41'!R493</f>
        <v>55255.3</v>
      </c>
      <c r="S416" s="179">
        <f>№2!S493+№5!S493+'№ 6'!S493+№14!S493+'№ 20'!S493+'№ 23'!S493+№27!S493+'№ 31'!S493+'№ 34'!S493+'№ 41'!S493</f>
        <v>204320.3</v>
      </c>
      <c r="T416" s="215">
        <f>SUM(N416:S416)</f>
        <v>356777.2</v>
      </c>
      <c r="U416" s="215">
        <f>T416+L416</f>
        <v>583029.6</v>
      </c>
      <c r="V416" s="179">
        <f>№2!V493+№5!V493+'№ 6'!V493+№14!V493+'№ 20'!V493+'№ 23'!V493+№27!V493+'№ 31'!V493+'№ 34'!V493+'№ 41'!V493</f>
        <v>589593.1</v>
      </c>
      <c r="W416" s="184">
        <f>V416-U416</f>
        <v>6563.5</v>
      </c>
      <c r="X416" s="546">
        <f>U411-U416</f>
        <v>0</v>
      </c>
    </row>
    <row r="417" spans="1:24" s="190" customFormat="1" ht="18" customHeight="1">
      <c r="A417" s="592"/>
      <c r="B417" s="576"/>
      <c r="C417" s="577"/>
      <c r="D417" s="187" t="s">
        <v>27</v>
      </c>
      <c r="E417" s="188" t="e">
        <f t="shared" ref="E417:M417" si="389">E418/E416*1000</f>
        <v>#DIV/0!</v>
      </c>
      <c r="F417" s="242" t="e">
        <f t="shared" si="389"/>
        <v>#DIV/0!</v>
      </c>
      <c r="G417" s="242">
        <f t="shared" si="389"/>
        <v>10.53641</v>
      </c>
      <c r="H417" s="242">
        <f t="shared" si="389"/>
        <v>11.12527</v>
      </c>
      <c r="I417" s="242">
        <f t="shared" si="389"/>
        <v>10.309530000000001</v>
      </c>
      <c r="J417" s="242">
        <f t="shared" si="389"/>
        <v>10.04527</v>
      </c>
      <c r="K417" s="242">
        <f t="shared" si="389"/>
        <v>6.6556300000000004</v>
      </c>
      <c r="L417" s="242">
        <f t="shared" si="389"/>
        <v>10.03729</v>
      </c>
      <c r="M417" s="242">
        <f t="shared" si="389"/>
        <v>10.03731</v>
      </c>
      <c r="N417" s="242">
        <f t="shared" ref="N417:S417" si="390">N418*1000/N416</f>
        <v>9.8991100000000003</v>
      </c>
      <c r="O417" s="242">
        <f t="shared" si="390"/>
        <v>9.78965</v>
      </c>
      <c r="P417" s="242">
        <f t="shared" si="390"/>
        <v>11.267099999999999</v>
      </c>
      <c r="Q417" s="242">
        <f t="shared" si="390"/>
        <v>9.9326500000000006</v>
      </c>
      <c r="R417" s="242">
        <f t="shared" si="390"/>
        <v>9.8736800000000002</v>
      </c>
      <c r="S417" s="242">
        <f t="shared" si="390"/>
        <v>9.9799699999999998</v>
      </c>
      <c r="T417" s="242">
        <f>T418/T416*1000</f>
        <v>10.0359</v>
      </c>
      <c r="U417" s="242">
        <f>U418/U416*1000</f>
        <v>10.036440000000001</v>
      </c>
      <c r="V417" s="242">
        <f t="shared" ref="V417" si="391">V418*1000/V416</f>
        <v>9.4997500000000006</v>
      </c>
      <c r="W417" s="243">
        <f>W418/W416*1000</f>
        <v>-38.173690000000001</v>
      </c>
      <c r="X417" s="225"/>
    </row>
    <row r="418" spans="1:24" s="239" customFormat="1" ht="18" customHeight="1">
      <c r="A418" s="592"/>
      <c r="B418" s="576"/>
      <c r="C418" s="577"/>
      <c r="D418" s="198" t="s">
        <v>25</v>
      </c>
      <c r="E418" s="220">
        <f>№2!E495+№5!E495+'№ 6'!E495+№14!E495+'№ 20'!E495+'№ 23'!E495+№27!E495+'№ 31'!E495+'№ 34'!E495+'№ 41'!E495</f>
        <v>0</v>
      </c>
      <c r="F418" s="199">
        <f>№2!F495+№5!F495+'№ 6'!F495+№14!F495+'№ 20'!F495+'№ 23'!F495+№27!F495+'№ 31'!F495+'№ 34'!F495+'№ 41'!F495</f>
        <v>0</v>
      </c>
      <c r="G418" s="199">
        <f>№2!G495+№5!G495+'№ 6'!G495+№14!G495+'№ 20'!G495+'№ 23'!G495+№27!G495+'№ 31'!G495+'№ 34'!G495+'№ 41'!G495</f>
        <v>578.53</v>
      </c>
      <c r="H418" s="199">
        <f>№2!H495+№5!H495+'№ 6'!H495+№14!H495+'№ 20'!H495+'№ 23'!H495+№27!H495+'№ 31'!H495+'№ 34'!H495+'№ 41'!H495</f>
        <v>687.94100000000003</v>
      </c>
      <c r="I418" s="199">
        <f>№2!I495+№5!I495+'№ 6'!I495+№14!I495+'№ 20'!I495+'№ 23'!I495+№27!I495+'№ 31'!I495+'№ 34'!I495+'№ 41'!I495</f>
        <v>259.75799999999998</v>
      </c>
      <c r="J418" s="199">
        <f>№2!J495+№5!J495+'№ 6'!J495+№14!J495+'№ 20'!J495+'№ 23'!J495+№27!J495+'№ 31'!J495+'№ 34'!J495+'№ 41'!J495</f>
        <v>544.03200000000004</v>
      </c>
      <c r="K418" s="199">
        <f>№2!K495+№5!K495+'№ 6'!K495+№14!K495+'№ 20'!K495+'№ 23'!K495+№27!K495+'№ 31'!K495+'№ 34'!K495+'№ 41'!K495</f>
        <v>200.7</v>
      </c>
      <c r="L418" s="199">
        <f>SUM(F418:K418)</f>
        <v>2270.9609999999998</v>
      </c>
      <c r="M418" s="199">
        <f>L418/6</f>
        <v>378.49400000000003</v>
      </c>
      <c r="N418" s="199">
        <f>№2!N495+№5!N495+'№ 6'!N495+№14!N495+'№ 20'!N495+'№ 23'!N495+№27!N495+'№ 31'!N495+'№ 34'!N495+'№ 41'!N495</f>
        <v>173.77500000000001</v>
      </c>
      <c r="O418" s="199">
        <f>№2!O495+№5!O495+'№ 6'!O495+№14!O495+'№ 20'!O495+'№ 23'!O495+№27!O495+'№ 31'!O495+'№ 34'!O495+'№ 41'!O495</f>
        <v>209.24700000000001</v>
      </c>
      <c r="P418" s="199">
        <f>№2!P495+№5!P495+'№ 6'!P495+№14!P495+'№ 20'!P495+'№ 23'!P495+№27!P495+'№ 31'!P495+'№ 34'!P495+'№ 41'!P495</f>
        <v>287.666</v>
      </c>
      <c r="Q418" s="199">
        <f>№2!Q495+№5!Q495+'№ 6'!Q495+№14!Q495+'№ 20'!Q495+'№ 23'!Q495+№27!Q495+'№ 31'!Q495+'№ 34'!Q495+'№ 41'!Q495</f>
        <v>325.20699999999999</v>
      </c>
      <c r="R418" s="199">
        <f>№2!R495+№5!R495+'№ 6'!R495+№14!R495+'№ 20'!R495+'№ 23'!R495+№27!R495+'№ 31'!R495+'№ 34'!R495+'№ 41'!R495</f>
        <v>545.57299999999998</v>
      </c>
      <c r="S418" s="199">
        <f>№2!S495+№5!S495+'№ 6'!S495+№14!S495+'№ 20'!S495+'№ 23'!S495+№27!S495+'№ 31'!S495+'№ 34'!S495+'№ 41'!S495</f>
        <v>2039.1110000000001</v>
      </c>
      <c r="T418" s="199">
        <f>SUM(N418:S418)</f>
        <v>3580.5790000000002</v>
      </c>
      <c r="U418" s="199">
        <f>T418+L418</f>
        <v>5851.54</v>
      </c>
      <c r="V418" s="199">
        <f>№2!V495+№5!V495+'№ 6'!V495+№14!V495+'№ 20'!V495+'№ 23'!V495+№27!V495+'№ 31'!V495+'№ 34'!V495+'№ 41'!V495</f>
        <v>5600.9870000000001</v>
      </c>
      <c r="W418" s="221">
        <f>V418-U418</f>
        <v>-250.553</v>
      </c>
      <c r="X418" s="176">
        <f>U413-U418</f>
        <v>0</v>
      </c>
    </row>
    <row r="419" spans="1:24" s="239" customFormat="1" ht="18" customHeight="1">
      <c r="A419" s="592"/>
      <c r="B419" s="576"/>
      <c r="C419" s="577"/>
      <c r="D419" s="201" t="s">
        <v>55</v>
      </c>
      <c r="E419" s="220"/>
      <c r="F419" s="199">
        <f>№2!F496+№5!F496+'№ 6'!F496+№14!F496+'№ 20'!F496+'№ 23'!F496+№27!F496+'№ 31'!F496+'№ 34'!F496+'№ 41'!F496</f>
        <v>0</v>
      </c>
      <c r="G419" s="199">
        <f>№2!G496+№5!G496+'№ 6'!G496+№14!G496+'№ 20'!G496+'№ 23'!G496+№27!G496+'№ 31'!G496+'№ 34'!G496+'№ 41'!G496</f>
        <v>0</v>
      </c>
      <c r="H419" s="199">
        <f>№2!H496+№5!H496+'№ 6'!H496+№14!H496+'№ 20'!H496+'№ 23'!H496+№27!H496+'№ 31'!H496+'№ 34'!H496+'№ 41'!H496</f>
        <v>0</v>
      </c>
      <c r="I419" s="199">
        <f>№2!I496+№5!I496+'№ 6'!I496+№14!I496+'№ 20'!I496+'№ 23'!I496+№27!I496+'№ 31'!I496+'№ 34'!I496+'№ 41'!I496</f>
        <v>0</v>
      </c>
      <c r="J419" s="199">
        <f>№2!J496+№5!J496+'№ 6'!J496+№14!J496+'№ 20'!J496+'№ 23'!J496+№27!J496+'№ 31'!J496+'№ 34'!J496+'№ 41'!J496</f>
        <v>10.414</v>
      </c>
      <c r="K419" s="199">
        <f>№2!K496+№5!K496+'№ 6'!K496+№14!K496+'№ 20'!K496+'№ 23'!K496+№27!K496+'№ 31'!K496+'№ 34'!K496+'№ 41'!K496</f>
        <v>10.006</v>
      </c>
      <c r="L419" s="199">
        <f>SUM(F419:K419)</f>
        <v>20.420000000000002</v>
      </c>
      <c r="M419" s="199">
        <f>L419/6</f>
        <v>3.403</v>
      </c>
      <c r="N419" s="199">
        <f>№2!N496+№5!N496+'№ 6'!N496+№14!N496+'№ 20'!N496+'№ 23'!N496+№27!N496+'№ 31'!N496+'№ 34'!N496+'№ 41'!N496</f>
        <v>0</v>
      </c>
      <c r="O419" s="199">
        <f>№2!O496+№5!O496+'№ 6'!O496+№14!O496+'№ 20'!O496+'№ 23'!O496+№27!O496+'№ 31'!O496+'№ 34'!O496+'№ 41'!O496</f>
        <v>0</v>
      </c>
      <c r="P419" s="199">
        <f>№2!P496+№5!P496+'№ 6'!P496+№14!P496+'№ 20'!P496+'№ 23'!P496+№27!P496+'№ 31'!P496+'№ 34'!P496+'№ 41'!P496</f>
        <v>0</v>
      </c>
      <c r="Q419" s="199">
        <f>№2!Q496+№5!Q496+'№ 6'!Q496+№14!Q496+'№ 20'!Q496+'№ 23'!Q496+№27!Q496+'№ 31'!Q496+'№ 34'!Q496+'№ 41'!Q496</f>
        <v>0</v>
      </c>
      <c r="R419" s="199">
        <f>№2!R496+№5!R496+'№ 6'!R496+№14!R496+'№ 20'!R496+'№ 23'!R496+№27!R496+'№ 31'!R496+'№ 34'!R496+'№ 41'!R496</f>
        <v>0</v>
      </c>
      <c r="S419" s="199">
        <f>№2!S496+№5!S496+'№ 6'!S496+№14!S496+'№ 20'!S496+'№ 23'!S496+№27!S496+'№ 31'!S496+'№ 34'!S496+'№ 41'!S496</f>
        <v>0</v>
      </c>
      <c r="T419" s="199">
        <f>SUM(N419:S419)</f>
        <v>0</v>
      </c>
      <c r="U419" s="199">
        <f>T419+L419</f>
        <v>20.420000000000002</v>
      </c>
      <c r="V419" s="199">
        <f>№2!V496+№5!V496+'№ 6'!V496+№14!V496+'№ 20'!V496+'№ 23'!V496+№27!V496+'№ 31'!V496+'№ 34'!V496+'№ 41'!V496</f>
        <v>20.420000000000002</v>
      </c>
      <c r="W419" s="221">
        <f>V419-U419</f>
        <v>0</v>
      </c>
      <c r="X419" s="176">
        <f>U414-U419</f>
        <v>0</v>
      </c>
    </row>
    <row r="420" spans="1:24" s="239" customFormat="1" ht="18" customHeight="1">
      <c r="A420" s="592"/>
      <c r="B420" s="576"/>
      <c r="C420" s="577"/>
      <c r="D420" s="201" t="s">
        <v>24</v>
      </c>
      <c r="E420" s="220"/>
      <c r="F420" s="199">
        <f>№2!F497+№5!F497+'№ 6'!F497+№14!F497+'№ 20'!F497+'№ 23'!F497+№27!F497+'№ 31'!F497+'№ 34'!F497+'№ 41'!F497</f>
        <v>0</v>
      </c>
      <c r="G420" s="199">
        <f>№2!G497+№5!G497+'№ 6'!G497+№14!G497+'№ 20'!G497+'№ 23'!G497+№27!G497+'№ 31'!G497+'№ 34'!G497+'№ 41'!G497</f>
        <v>578.53</v>
      </c>
      <c r="H420" s="199">
        <f>№2!H497+№5!H497+'№ 6'!H497+№14!H497+'№ 20'!H497+'№ 23'!H497+№27!H497+'№ 31'!H497+'№ 34'!H497+'№ 41'!H497</f>
        <v>687.94100000000003</v>
      </c>
      <c r="I420" s="199">
        <f>№2!I497+№5!I497+'№ 6'!I497+№14!I497+'№ 20'!I497+'№ 23'!I497+№27!I497+'№ 31'!I497+'№ 34'!I497+'№ 41'!I497</f>
        <v>259.75799999999998</v>
      </c>
      <c r="J420" s="199">
        <f>№2!J497+№5!J497+'№ 6'!J497+№14!J497+'№ 20'!J497+'№ 23'!J497+№27!J497+'№ 31'!J497+'№ 34'!J497+'№ 41'!J497</f>
        <v>533.61800000000005</v>
      </c>
      <c r="K420" s="199">
        <f>№2!K497+№5!K497+'№ 6'!K497+№14!K497+'№ 20'!K497+'№ 23'!K497+№27!K497+'№ 31'!K497+'№ 34'!K497+'№ 41'!K497</f>
        <v>190.69399999999999</v>
      </c>
      <c r="L420" s="199">
        <f>SUM(F420:K420)</f>
        <v>2250.5410000000002</v>
      </c>
      <c r="M420" s="199">
        <f>L420/6</f>
        <v>375.09</v>
      </c>
      <c r="N420" s="199">
        <f>№2!N497+№5!N497+'№ 6'!N497+№14!N497+'№ 20'!N497+'№ 23'!N497+№27!N497+'№ 31'!N497+'№ 34'!N497+'№ 41'!N497</f>
        <v>173.77500000000001</v>
      </c>
      <c r="O420" s="199">
        <f>№2!O497+№5!O497+'№ 6'!O497+№14!O497+'№ 20'!O497+'№ 23'!O497+№27!O497+'№ 31'!O497+'№ 34'!O497+'№ 41'!O497</f>
        <v>209.24700000000001</v>
      </c>
      <c r="P420" s="199">
        <f>№2!P497+№5!P497+'№ 6'!P497+№14!P497+'№ 20'!P497+'№ 23'!P497+№27!P497+'№ 31'!P497+'№ 34'!P497+'№ 41'!P497</f>
        <v>287.666</v>
      </c>
      <c r="Q420" s="199">
        <f>№2!Q497+№5!Q497+'№ 6'!Q497+№14!Q497+'№ 20'!Q497+'№ 23'!Q497+№27!Q497+'№ 31'!Q497+'№ 34'!Q497+'№ 41'!Q497</f>
        <v>325.20699999999999</v>
      </c>
      <c r="R420" s="199">
        <f>№2!R497+№5!R497+'№ 6'!R497+№14!R497+'№ 20'!R497+'№ 23'!R497+№27!R497+'№ 31'!R497+'№ 34'!R497+'№ 41'!R497</f>
        <v>545.57299999999998</v>
      </c>
      <c r="S420" s="199">
        <f>№2!S497+№5!S497+'№ 6'!S497+№14!S497+'№ 20'!S497+'№ 23'!S497+№27!S497+'№ 31'!S497+'№ 34'!S497+'№ 41'!S497</f>
        <v>2039.1110000000001</v>
      </c>
      <c r="T420" s="199">
        <f>SUM(N420:S420)</f>
        <v>3580.5790000000002</v>
      </c>
      <c r="U420" s="199">
        <f>T420+L420</f>
        <v>5831.12</v>
      </c>
      <c r="V420" s="199">
        <f>№2!V497+№5!V497+'№ 6'!V497+№14!V497+'№ 20'!V497+'№ 23'!V497+№27!V497+'№ 31'!V497+'№ 34'!V497+'№ 41'!V497</f>
        <v>5580.567</v>
      </c>
      <c r="W420" s="221">
        <f>V420-U420</f>
        <v>-250.553</v>
      </c>
      <c r="X420" s="176">
        <f>U415-U420</f>
        <v>-250.553</v>
      </c>
    </row>
    <row r="421" spans="1:24" s="205" customFormat="1" ht="18" customHeight="1">
      <c r="A421" s="592"/>
      <c r="B421" s="576"/>
      <c r="C421" s="577"/>
      <c r="D421" s="202" t="s">
        <v>29</v>
      </c>
      <c r="E421" s="203"/>
      <c r="F421" s="203">
        <f t="shared" ref="F421:K421" si="392">F415+F414</f>
        <v>0</v>
      </c>
      <c r="G421" s="203">
        <f t="shared" si="392"/>
        <v>692.04899999999998</v>
      </c>
      <c r="H421" s="203">
        <f t="shared" si="392"/>
        <v>605.10199999999998</v>
      </c>
      <c r="I421" s="203">
        <f t="shared" si="392"/>
        <v>509.08699999999999</v>
      </c>
      <c r="J421" s="203">
        <f t="shared" si="392"/>
        <v>299.75200000000001</v>
      </c>
      <c r="K421" s="203">
        <f t="shared" si="392"/>
        <v>301.20699999999999</v>
      </c>
      <c r="L421" s="203">
        <f>SUM(F421:K421)</f>
        <v>2407.1970000000001</v>
      </c>
      <c r="M421" s="203">
        <f>L421/6</f>
        <v>401.2</v>
      </c>
      <c r="N421" s="203">
        <f t="shared" ref="N421:S421" si="393">N415+N414</f>
        <v>253.67500000000001</v>
      </c>
      <c r="O421" s="203">
        <f t="shared" si="393"/>
        <v>160.49600000000001</v>
      </c>
      <c r="P421" s="203">
        <f t="shared" si="393"/>
        <v>199.482</v>
      </c>
      <c r="Q421" s="203">
        <f t="shared" si="393"/>
        <v>442.9</v>
      </c>
      <c r="R421" s="203">
        <f t="shared" si="393"/>
        <v>589.11199999999997</v>
      </c>
      <c r="S421" s="203">
        <f t="shared" si="393"/>
        <v>1548.125</v>
      </c>
      <c r="T421" s="203">
        <f>SUM(N421:S421)</f>
        <v>3193.79</v>
      </c>
      <c r="U421" s="203">
        <f>T421+L421</f>
        <v>5600.9870000000001</v>
      </c>
      <c r="V421" s="203">
        <f>V418</f>
        <v>5600.9870000000001</v>
      </c>
      <c r="W421" s="203">
        <f>V421-U421</f>
        <v>0</v>
      </c>
    </row>
    <row r="422" spans="1:24" s="205" customFormat="1" ht="18" customHeight="1">
      <c r="A422" s="592"/>
      <c r="B422" s="576"/>
      <c r="C422" s="577"/>
      <c r="D422" s="202" t="s">
        <v>30</v>
      </c>
      <c r="E422" s="203"/>
      <c r="F422" s="203">
        <f t="shared" ref="F422:K422" si="394">F418-F421</f>
        <v>0</v>
      </c>
      <c r="G422" s="203">
        <f t="shared" si="394"/>
        <v>-113.51900000000001</v>
      </c>
      <c r="H422" s="203">
        <f t="shared" si="394"/>
        <v>82.838999999999999</v>
      </c>
      <c r="I422" s="203">
        <f t="shared" si="394"/>
        <v>-249.32900000000001</v>
      </c>
      <c r="J422" s="203">
        <f t="shared" si="394"/>
        <v>244.28</v>
      </c>
      <c r="K422" s="203">
        <f t="shared" si="394"/>
        <v>-100.50700000000001</v>
      </c>
      <c r="L422" s="203"/>
      <c r="M422" s="203"/>
      <c r="N422" s="203">
        <f t="shared" ref="N422:S422" si="395">N418-N421</f>
        <v>-79.900000000000006</v>
      </c>
      <c r="O422" s="203">
        <f t="shared" si="395"/>
        <v>48.750999999999998</v>
      </c>
      <c r="P422" s="203">
        <f t="shared" si="395"/>
        <v>88.183999999999997</v>
      </c>
      <c r="Q422" s="203">
        <f t="shared" si="395"/>
        <v>-117.693</v>
      </c>
      <c r="R422" s="203">
        <f t="shared" si="395"/>
        <v>-43.539000000000001</v>
      </c>
      <c r="S422" s="203">
        <f t="shared" si="395"/>
        <v>490.98599999999999</v>
      </c>
      <c r="T422" s="203"/>
      <c r="U422" s="203"/>
      <c r="V422" s="203"/>
      <c r="W422" s="203"/>
    </row>
    <row r="423" spans="1:24" s="205" customFormat="1" ht="18" customHeight="1">
      <c r="A423" s="592"/>
      <c r="B423" s="578"/>
      <c r="C423" s="579"/>
      <c r="D423" s="202" t="s">
        <v>31</v>
      </c>
      <c r="E423" s="203"/>
      <c r="F423" s="203">
        <f>F422</f>
        <v>0</v>
      </c>
      <c r="G423" s="203">
        <f>G422+F423</f>
        <v>-113.51900000000001</v>
      </c>
      <c r="H423" s="203">
        <f>H422+G423</f>
        <v>-30.68</v>
      </c>
      <c r="I423" s="203">
        <f>I422+H423</f>
        <v>-280.00900000000001</v>
      </c>
      <c r="J423" s="203">
        <f>J422+I423</f>
        <v>-35.728999999999999</v>
      </c>
      <c r="K423" s="203">
        <f>K422+J423</f>
        <v>-136.23599999999999</v>
      </c>
      <c r="L423" s="203"/>
      <c r="M423" s="203"/>
      <c r="N423" s="203">
        <f>N422+K423</f>
        <v>-216.136</v>
      </c>
      <c r="O423" s="203">
        <f>O422+N423</f>
        <v>-167.38499999999999</v>
      </c>
      <c r="P423" s="203">
        <f>P422+O423</f>
        <v>-79.200999999999993</v>
      </c>
      <c r="Q423" s="203">
        <f>Q422+P423</f>
        <v>-196.89400000000001</v>
      </c>
      <c r="R423" s="203">
        <f>R422+Q423</f>
        <v>-240.43299999999999</v>
      </c>
      <c r="S423" s="203">
        <f>S422+R423</f>
        <v>250.553</v>
      </c>
      <c r="T423" s="203"/>
      <c r="U423" s="203"/>
      <c r="V423" s="203"/>
      <c r="W423" s="203"/>
    </row>
    <row r="424" spans="1:24" s="196" customFormat="1" ht="18" customHeight="1">
      <c r="A424" s="592"/>
      <c r="B424" s="580" t="s">
        <v>33</v>
      </c>
      <c r="C424" s="575"/>
      <c r="D424" s="178" t="s">
        <v>105</v>
      </c>
      <c r="E424" s="179"/>
      <c r="F424" s="180">
        <f>№2!F501+№5!F501+'№ 6'!F501+№14!F501+'№ 20'!F501+'№ 23'!F501+№27!F501+'№ 31'!F501+'№ 34'!F501+'№ 41'!F501</f>
        <v>74445.5</v>
      </c>
      <c r="G424" s="180">
        <f>№2!G501+№5!G501+'№ 6'!G501+№14!G501+'№ 20'!G501+'№ 23'!G501+№27!G501+'№ 31'!G501+'№ 34'!G501+'№ 41'!G501</f>
        <v>51724.4</v>
      </c>
      <c r="H424" s="180">
        <f>№2!H501+№5!H501+'№ 6'!H501+№14!H501+'№ 20'!H501+'№ 23'!H501+№27!H501+'№ 31'!H501+'№ 34'!H501+'№ 41'!H501</f>
        <v>63515.1</v>
      </c>
      <c r="I424" s="180">
        <f>№2!I501+№5!I501+'№ 6'!I501+№14!I501+'№ 20'!I501+'№ 23'!I501+№27!I501+'№ 31'!I501+'№ 34'!I501+'№ 41'!I501</f>
        <v>68838.2</v>
      </c>
      <c r="J424" s="180">
        <f>№2!J501+№5!J501+'№ 6'!J501+№14!J501+'№ 20'!J501+'№ 23'!J501+№27!J501+'№ 31'!J501+'№ 34'!J501+'№ 41'!J501</f>
        <v>53247</v>
      </c>
      <c r="K424" s="180">
        <f>№2!K501+№5!K501+'№ 6'!K501+№14!K501+'№ 20'!K501+'№ 23'!K501+№27!K501+'№ 31'!K501+'№ 34'!K501+'№ 41'!K501</f>
        <v>41985.3</v>
      </c>
      <c r="L424" s="215">
        <f>SUM(F424:K424)</f>
        <v>353755.5</v>
      </c>
      <c r="M424" s="215">
        <f>L424/6</f>
        <v>58959.3</v>
      </c>
      <c r="N424" s="180">
        <f>№2!N501+№5!N501+'№ 6'!N501+№14!N501+'№ 20'!N501+'№ 23'!N501+№27!N501+'№ 31'!N501+'№ 34'!N501+'№ 41'!N501</f>
        <v>31877.599999999999</v>
      </c>
      <c r="O424" s="180">
        <f>№2!O501+№5!O501+'№ 6'!O501+№14!O501+'№ 20'!O501+'№ 23'!O501+№27!O501+'№ 31'!O501+'№ 34'!O501+'№ 41'!O501</f>
        <v>35341.599999999999</v>
      </c>
      <c r="P424" s="180">
        <f>№2!P501+№5!P501+'№ 6'!P501+№14!P501+'№ 20'!P501+'№ 23'!P501+№27!P501+'№ 31'!P501+'№ 34'!P501+'№ 41'!P501</f>
        <v>33510.9</v>
      </c>
      <c r="Q424" s="180">
        <f>№2!Q501+№5!Q501+'№ 6'!Q501+№14!Q501+'№ 20'!Q501+'№ 23'!Q501+№27!Q501+'№ 31'!Q501+'№ 34'!Q501+'№ 41'!Q501</f>
        <v>51784.4</v>
      </c>
      <c r="R424" s="180">
        <f>№2!R501+№5!R501+'№ 6'!R501+№14!R501+'№ 20'!R501+'№ 23'!R501+№27!R501+'№ 31'!R501+'№ 34'!R501+'№ 41'!R501</f>
        <v>56763.3</v>
      </c>
      <c r="S424" s="180">
        <f>№2!S501+№5!S501+'№ 6'!S501+№14!S501+'№ 20'!S501+'№ 23'!S501+№27!S501+'№ 31'!S501+'№ 34'!S501+'№ 41'!S501</f>
        <v>75399.100000000006</v>
      </c>
      <c r="T424" s="215">
        <f>SUM(N424:S424)</f>
        <v>284676.90000000002</v>
      </c>
      <c r="U424" s="215">
        <f>T424+L424</f>
        <v>638432.4</v>
      </c>
      <c r="V424" s="233">
        <f>№2!V501+№5!V501+'№ 6'!V501+№14!V501+'№ 20'!V501+'№ 23'!V501+№27!V501+'№ 31'!V501+'№ 34'!V501+'№ 41'!V501</f>
        <v>341777.2</v>
      </c>
      <c r="W424" s="184"/>
      <c r="X424" s="185"/>
    </row>
    <row r="425" spans="1:24" s="186" customFormat="1" ht="18" customHeight="1">
      <c r="A425" s="592"/>
      <c r="B425" s="576"/>
      <c r="C425" s="577"/>
      <c r="D425" s="178" t="s">
        <v>109</v>
      </c>
      <c r="E425" s="179"/>
      <c r="F425" s="180">
        <f>№2!F502+№5!F502+'№ 6'!F502+№14!F502+'№ 20'!F502+'№ 23'!F502+№27!F502+'№ 31'!F502+'№ 34'!F502+'№ 41'!F502</f>
        <v>60504.5</v>
      </c>
      <c r="G425" s="180">
        <f>№2!G502+№5!G502+'№ 6'!G502+№14!G502+'№ 20'!G502+'№ 23'!G502+№27!G502+'№ 31'!G502+'№ 34'!G502+'№ 41'!G502</f>
        <v>66713.100000000006</v>
      </c>
      <c r="H425" s="180">
        <f>№2!H502+№5!H502+'№ 6'!H502+№14!H502+'№ 20'!H502+'№ 23'!H502+№27!H502+'№ 31'!H502+'№ 34'!H502+'№ 41'!H502</f>
        <v>59685.9</v>
      </c>
      <c r="I425" s="180">
        <f>№2!I502+№5!I502+'№ 6'!I502+№14!I502+'№ 20'!I502+'№ 23'!I502+№27!I502+'№ 31'!I502+'№ 34'!I502+'№ 41'!I502</f>
        <v>39626.699999999997</v>
      </c>
      <c r="J425" s="180">
        <f>№2!J502+№5!J502+'№ 6'!J502+№14!J502+'№ 20'!J502+'№ 23'!J502+№27!J502+'№ 31'!J502+'№ 34'!J502+'№ 41'!J502</f>
        <v>47124.9</v>
      </c>
      <c r="K425" s="180">
        <f>№2!K502+№5!K502+'№ 6'!K502+№14!K502+'№ 20'!K502+'№ 23'!K502+№27!K502+'№ 31'!K502+'№ 34'!K502+'№ 41'!K502</f>
        <v>39892.699999999997</v>
      </c>
      <c r="L425" s="215">
        <f>SUM(F425:K425)</f>
        <v>313547.8</v>
      </c>
      <c r="M425" s="215">
        <f>L425/6</f>
        <v>52258</v>
      </c>
      <c r="N425" s="180">
        <f>№2!N502+№5!N502+'№ 6'!N502+№14!N502+'№ 20'!N502+'№ 23'!N502+№27!N502+'№ 31'!N502+'№ 34'!N502+'№ 41'!N502</f>
        <v>23904.400000000001</v>
      </c>
      <c r="O425" s="180">
        <f>№2!O502+№5!O502+'№ 6'!O502+№14!O502+'№ 20'!O502+'№ 23'!O502+№27!O502+'№ 31'!O502+'№ 34'!O502+'№ 41'!O502</f>
        <v>21507.200000000001</v>
      </c>
      <c r="P425" s="180">
        <f>№2!P502+№5!P502+'№ 6'!P502+№14!P502+'№ 20'!P502+'№ 23'!P502+№27!P502+'№ 31'!P502+'№ 34'!P502+'№ 41'!P502</f>
        <v>30010.400000000001</v>
      </c>
      <c r="Q425" s="180">
        <f>№2!Q502+№5!Q502+'№ 6'!Q502+№14!Q502+'№ 20'!Q502+'№ 23'!Q502+№27!Q502+'№ 31'!Q502+'№ 34'!Q502+'№ 41'!Q502</f>
        <v>63299.8</v>
      </c>
      <c r="R425" s="180">
        <f>№2!R502+№5!R502+'№ 6'!R502+№14!R502+'№ 20'!R502+'№ 23'!R502+№27!R502+'№ 31'!R502+'№ 34'!R502+'№ 41'!R502</f>
        <v>79374</v>
      </c>
      <c r="S425" s="180">
        <f>№2!S502+№5!S502+'№ 6'!S502+№14!S502+'№ 20'!S502+'№ 23'!S502+№27!S502+'№ 31'!S502+'№ 34'!S502+'№ 41'!S502</f>
        <v>88451.4</v>
      </c>
      <c r="T425" s="215">
        <f>SUM(N425:S425)</f>
        <v>306547.20000000001</v>
      </c>
      <c r="U425" s="215">
        <f>T425+L425</f>
        <v>620095</v>
      </c>
      <c r="V425" s="233">
        <f>№2!V502+№5!V502+'№ 6'!V502+№14!V502+'№ 20'!V502+'№ 23'!V502+№27!V502+'№ 31'!V502+'№ 34'!V502+'№ 41'!V502</f>
        <v>621638.9</v>
      </c>
      <c r="W425" s="184"/>
      <c r="X425" s="185"/>
    </row>
    <row r="426" spans="1:24" s="186" customFormat="1" ht="18" customHeight="1">
      <c r="A426" s="592"/>
      <c r="B426" s="576"/>
      <c r="C426" s="577"/>
      <c r="D426" s="178" t="s">
        <v>116</v>
      </c>
      <c r="E426" s="179"/>
      <c r="F426" s="180">
        <f>№2!F503+№5!F503+'№ 6'!F503+№14!F503+'№ 20'!F503+'№ 23'!F503+№27!F503+'№ 31'!F503+'№ 34'!F503+'№ 41'!F503</f>
        <v>73639.199999999997</v>
      </c>
      <c r="G426" s="180">
        <f>№2!G503+№5!G503+'№ 6'!G503+№14!G503+'№ 20'!G503+'№ 23'!G503+№27!G503+'№ 31'!G503+'№ 34'!G503+'№ 41'!G503</f>
        <v>64692.6</v>
      </c>
      <c r="H426" s="180">
        <f>№2!H503+№5!H503+'№ 6'!H503+№14!H503+'№ 20'!H503+'№ 23'!H503+№27!H503+'№ 31'!H503+'№ 34'!H503+'№ 41'!H503</f>
        <v>56949.5</v>
      </c>
      <c r="I426" s="180">
        <f>№2!I503+№5!I503+'№ 6'!I503+№14!I503+'№ 20'!I503+'№ 23'!I503+№27!I503+'№ 31'!I503+'№ 34'!I503+'№ 41'!I503</f>
        <v>77105.5</v>
      </c>
      <c r="J426" s="180">
        <f>№2!J503+№5!J503+'№ 6'!J503+№14!J503+'№ 20'!J503+'№ 23'!J503+№27!J503+'№ 31'!J503+'№ 34'!J503+'№ 41'!J503</f>
        <v>53772.6</v>
      </c>
      <c r="K426" s="180">
        <f>№2!K503+№5!K503+'№ 6'!K503+№14!K503+'№ 20'!K503+'№ 23'!K503+№27!K503+'№ 31'!K503+'№ 34'!K503+'№ 41'!K503</f>
        <v>32858.199999999997</v>
      </c>
      <c r="L426" s="215">
        <f>SUM(F426:K426)</f>
        <v>359017.6</v>
      </c>
      <c r="M426" s="215">
        <f>L426/6</f>
        <v>59836.3</v>
      </c>
      <c r="N426" s="180">
        <f>№2!N503+№5!N503+'№ 6'!N503+№14!N503+'№ 20'!N503+'№ 23'!N503+№27!N503+'№ 31'!N503+'№ 34'!N503+'№ 41'!N503</f>
        <v>22244.9</v>
      </c>
      <c r="O426" s="180">
        <f>№2!O503+№5!O503+'№ 6'!O503+№14!O503+'№ 20'!O503+'№ 23'!O503+№27!O503+'№ 31'!O503+'№ 34'!O503+'№ 41'!O503</f>
        <v>29767.1</v>
      </c>
      <c r="P426" s="180">
        <f>№2!P503+№5!P503+'№ 6'!P503+№14!P503+'№ 20'!P503+'№ 23'!P503+№27!P503+'№ 31'!P503+'№ 34'!P503+'№ 41'!P503</f>
        <v>37852.9</v>
      </c>
      <c r="Q426" s="180">
        <f>№2!Q503+№5!Q503+'№ 6'!Q503+№14!Q503+'№ 20'!Q503+'№ 23'!Q503+№27!Q503+'№ 31'!Q503+'№ 34'!Q503+'№ 41'!Q503</f>
        <v>64180.1</v>
      </c>
      <c r="R426" s="180">
        <f>№2!R503+№5!R503+'№ 6'!R503+№14!R503+'№ 20'!R503+'№ 23'!R503+№27!R503+'№ 31'!R503+'№ 34'!R503+'№ 41'!R503</f>
        <v>82824.3</v>
      </c>
      <c r="S426" s="180">
        <f>№2!S503+№5!S503+'№ 6'!S503+№14!S503+'№ 20'!S503+'№ 23'!S503+№27!S503+'№ 31'!S503+'№ 34'!S503+'№ 41'!S503</f>
        <v>86295.9</v>
      </c>
      <c r="T426" s="215">
        <f>SUM(N426:S426)</f>
        <v>323165.2</v>
      </c>
      <c r="U426" s="215">
        <f>T426+L426</f>
        <v>682182.8</v>
      </c>
      <c r="V426" s="233">
        <f>№2!V503+№5!V503+'№ 6'!V503+№14!V503+'№ 20'!V503+'№ 23'!V503+№27!V503+'№ 31'!V503+'№ 34'!V503+'№ 41'!V503</f>
        <v>663062</v>
      </c>
      <c r="W426" s="184">
        <f>V426-U426</f>
        <v>-19120.8</v>
      </c>
      <c r="X426" s="185"/>
    </row>
    <row r="427" spans="1:24" s="190" customFormat="1" ht="18" customHeight="1">
      <c r="A427" s="592"/>
      <c r="B427" s="576"/>
      <c r="C427" s="577"/>
      <c r="D427" s="187" t="s">
        <v>27</v>
      </c>
      <c r="E427" s="188"/>
      <c r="F427" s="242">
        <f t="shared" ref="F427:K427" si="396">F428*1000/F426</f>
        <v>4.32</v>
      </c>
      <c r="G427" s="242">
        <f t="shared" si="396"/>
        <v>4.32</v>
      </c>
      <c r="H427" s="242">
        <f t="shared" si="396"/>
        <v>4.32</v>
      </c>
      <c r="I427" s="242">
        <f t="shared" si="396"/>
        <v>4.3199899999999998</v>
      </c>
      <c r="J427" s="242">
        <f t="shared" si="396"/>
        <v>4.3200399999999997</v>
      </c>
      <c r="K427" s="242">
        <f t="shared" si="396"/>
        <v>4.3200200000000004</v>
      </c>
      <c r="L427" s="242">
        <f>L428/L426*1000</f>
        <v>4.3200099999999999</v>
      </c>
      <c r="M427" s="242">
        <f>M428/M426*1000</f>
        <v>4.32</v>
      </c>
      <c r="N427" s="242">
        <f t="shared" ref="N427:S427" si="397">N428*1000/N426</f>
        <v>4.31996</v>
      </c>
      <c r="O427" s="242">
        <f t="shared" si="397"/>
        <v>4.32</v>
      </c>
      <c r="P427" s="242">
        <f t="shared" si="397"/>
        <v>4.3200099999999999</v>
      </c>
      <c r="Q427" s="242">
        <f t="shared" si="397"/>
        <v>4.32</v>
      </c>
      <c r="R427" s="242">
        <f t="shared" si="397"/>
        <v>4.3200099999999999</v>
      </c>
      <c r="S427" s="242">
        <f t="shared" si="397"/>
        <v>4.32</v>
      </c>
      <c r="T427" s="242">
        <f>T428/T426*1000</f>
        <v>4.32</v>
      </c>
      <c r="U427" s="242">
        <f>U428/U426*1000</f>
        <v>4.32</v>
      </c>
      <c r="V427" s="242">
        <f t="shared" ref="V427" si="398">V428*1000/V426</f>
        <v>4.8932900000000004</v>
      </c>
      <c r="W427" s="243">
        <f>W428/W426*1000</f>
        <v>-15.56012</v>
      </c>
      <c r="X427" s="225"/>
    </row>
    <row r="428" spans="1:24" s="244" customFormat="1" ht="18" customHeight="1">
      <c r="A428" s="592"/>
      <c r="B428" s="576"/>
      <c r="C428" s="577"/>
      <c r="D428" s="191" t="s">
        <v>0</v>
      </c>
      <c r="E428" s="192"/>
      <c r="F428" s="192">
        <f>№2!F505+№5!F505+'№ 6'!F505+№14!F505+'№ 20'!F505+'№ 23'!F505+№27!F505+'№ 31'!F505+'№ 34'!F505+'№ 41'!F505</f>
        <v>318.12099999999998</v>
      </c>
      <c r="G428" s="192">
        <f>№2!G505+№5!G505+'№ 6'!G505+№14!G505+'№ 20'!G505+'№ 23'!G505+№27!G505+'№ 31'!G505+'№ 34'!G505+'№ 41'!G505</f>
        <v>279.47199999999998</v>
      </c>
      <c r="H428" s="192">
        <f>№2!H505+№5!H505+'№ 6'!H505+№14!H505+'№ 20'!H505+'№ 23'!H505+№27!H505+'№ 31'!H505+'№ 34'!H505+'№ 41'!H505</f>
        <v>246.02199999999999</v>
      </c>
      <c r="I428" s="192">
        <f>№2!I505+№5!I505+'№ 6'!I505+№14!I505+'№ 20'!I505+'№ 23'!I505+№27!I505+'№ 31'!I505+'№ 34'!I505+'№ 41'!I505</f>
        <v>333.09500000000003</v>
      </c>
      <c r="J428" s="192">
        <f>№2!J505+№5!J505+'№ 6'!J505+№14!J505+'№ 20'!J505+'№ 23'!J505+№27!J505+'№ 31'!J505+'№ 34'!J505+'№ 41'!J505</f>
        <v>232.3</v>
      </c>
      <c r="K428" s="192">
        <f>№2!K505+№5!K505+'№ 6'!K505+№14!K505+'№ 20'!K505+'№ 23'!K505+№27!K505+'№ 31'!K505+'№ 34'!K505+'№ 41'!K505</f>
        <v>141.94800000000001</v>
      </c>
      <c r="L428" s="194">
        <f>SUM(F428:K428)</f>
        <v>1550.9580000000001</v>
      </c>
      <c r="M428" s="194">
        <f>L428/6</f>
        <v>258.49299999999999</v>
      </c>
      <c r="N428" s="192">
        <f>№2!N505+№5!N505+'№ 6'!N505+№14!N505+'№ 20'!N505+'№ 23'!N505+№27!N505+'№ 31'!N505+'№ 34'!N505+'№ 41'!N505</f>
        <v>96.096999999999994</v>
      </c>
      <c r="O428" s="192">
        <f>№2!O505+№5!O505+'№ 6'!O505+№14!O505+'№ 20'!O505+'№ 23'!O505+№27!O505+'№ 31'!O505+'№ 34'!O505+'№ 41'!O505</f>
        <v>128.59399999999999</v>
      </c>
      <c r="P428" s="192">
        <f>№2!P505+№5!P505+'№ 6'!P505+№14!P505+'№ 20'!P505+'№ 23'!P505+№27!P505+'№ 31'!P505+'№ 34'!P505+'№ 41'!P505</f>
        <v>163.52500000000001</v>
      </c>
      <c r="Q428" s="192">
        <f>№2!Q505+№5!Q505+'№ 6'!Q505+№14!Q505+'№ 20'!Q505+'№ 23'!Q505+№27!Q505+'№ 31'!Q505+'№ 34'!Q505+'№ 41'!Q505</f>
        <v>277.25799999999998</v>
      </c>
      <c r="R428" s="192">
        <f>№2!R505+№5!R505+'№ 6'!R505+№14!R505+'№ 20'!R505+'№ 23'!R505+№27!R505+'№ 31'!R505+'№ 34'!R505+'№ 41'!R505</f>
        <v>357.80200000000002</v>
      </c>
      <c r="S428" s="192">
        <f>№2!S505+№5!S505+'№ 6'!S505+№14!S505+'№ 20'!S505+'№ 23'!S505+№27!S505+'№ 31'!S505+'№ 34'!S505+'№ 41'!S505</f>
        <v>372.798</v>
      </c>
      <c r="T428" s="194">
        <f>SUM(N428:S428)</f>
        <v>1396.0740000000001</v>
      </c>
      <c r="U428" s="194">
        <f>T428+L428</f>
        <v>2947.0320000000002</v>
      </c>
      <c r="V428" s="194">
        <f>№2!V505+№5!V505+'№ 6'!V505+№14!V505+'№ 20'!V505+'№ 23'!V505+№27!V505+'№ 31'!V505+'№ 34'!V505+'№ 41'!V505</f>
        <v>3244.5540000000001</v>
      </c>
      <c r="W428" s="193">
        <f>V428-U428</f>
        <v>297.52199999999999</v>
      </c>
      <c r="X428" s="247"/>
    </row>
    <row r="429" spans="1:24" s="244" customFormat="1" ht="18" customHeight="1">
      <c r="A429" s="592"/>
      <c r="B429" s="576"/>
      <c r="C429" s="577"/>
      <c r="D429" s="174" t="s">
        <v>55</v>
      </c>
      <c r="E429" s="210"/>
      <c r="F429" s="192">
        <f>№2!F506+№5!F506+'№ 6'!F506+№14!F506+'№ 20'!F506+'№ 23'!F506+№27!F506+'№ 31'!F506+'№ 34'!F506+'№ 41'!F506</f>
        <v>0</v>
      </c>
      <c r="G429" s="192">
        <f>№2!G506+№5!G506+'№ 6'!G506+№14!G506+'№ 20'!G506+'№ 23'!G506+№27!G506+'№ 31'!G506+'№ 34'!G506+'№ 41'!G506</f>
        <v>0</v>
      </c>
      <c r="H429" s="192">
        <f>№2!H506+№5!H506+'№ 6'!H506+№14!H506+'№ 20'!H506+'№ 23'!H506+№27!H506+'№ 31'!H506+'№ 34'!H506+'№ 41'!H506</f>
        <v>116.274</v>
      </c>
      <c r="I429" s="192">
        <f>№2!I506+№5!I506+'№ 6'!I506+№14!I506+'№ 20'!I506+'№ 23'!I506+№27!I506+'№ 31'!I506+'№ 34'!I506+'№ 41'!I506</f>
        <v>121.396</v>
      </c>
      <c r="J429" s="192">
        <f>№2!J506+№5!J506+'№ 6'!J506+№14!J506+'№ 20'!J506+'№ 23'!J506+№27!J506+'№ 31'!J506+'№ 34'!J506+'№ 41'!J506</f>
        <v>121.88800000000001</v>
      </c>
      <c r="K429" s="192">
        <f>№2!K506+№5!K506+'№ 6'!K506+№14!K506+'№ 20'!K506+'№ 23'!K506+№27!K506+'№ 31'!K506+'№ 34'!K506+'№ 41'!K506</f>
        <v>0</v>
      </c>
      <c r="L429" s="194">
        <f>SUM(F429:K429)</f>
        <v>359.55799999999999</v>
      </c>
      <c r="M429" s="194">
        <f>L429/6</f>
        <v>59.926000000000002</v>
      </c>
      <c r="N429" s="192">
        <f>№2!N506+№5!N506+'№ 6'!N506+№14!N506+'№ 20'!N506+'№ 23'!N506+№27!N506+'№ 31'!N506+'№ 34'!N506+'№ 41'!N506</f>
        <v>0</v>
      </c>
      <c r="O429" s="192">
        <f>№2!O506+№5!O506+'№ 6'!O506+№14!O506+'№ 20'!O506+'№ 23'!O506+№27!O506+'№ 31'!O506+'№ 34'!O506+'№ 41'!O506</f>
        <v>0</v>
      </c>
      <c r="P429" s="192">
        <f>№2!P506+№5!P506+'№ 6'!P506+№14!P506+'№ 20'!P506+'№ 23'!P506+№27!P506+'№ 31'!P506+'№ 34'!P506+'№ 41'!P506</f>
        <v>0</v>
      </c>
      <c r="Q429" s="192">
        <f>№2!Q506+№5!Q506+'№ 6'!Q506+№14!Q506+'№ 20'!Q506+'№ 23'!Q506+№27!Q506+'№ 31'!Q506+'№ 34'!Q506+'№ 41'!Q506</f>
        <v>0</v>
      </c>
      <c r="R429" s="192">
        <f>№2!R506+№5!R506+'№ 6'!R506+№14!R506+'№ 20'!R506+'№ 23'!R506+№27!R506+'№ 31'!R506+'№ 34'!R506+'№ 41'!R506</f>
        <v>0</v>
      </c>
      <c r="S429" s="192">
        <f>№2!S506+№5!S506+'№ 6'!S506+№14!S506+'№ 20'!S506+'№ 23'!S506+№27!S506+'№ 31'!S506+'№ 34'!S506+'№ 41'!S506</f>
        <v>0</v>
      </c>
      <c r="T429" s="194">
        <f>SUM(N429:S429)</f>
        <v>0</v>
      </c>
      <c r="U429" s="194">
        <f>T429+L429</f>
        <v>359.55799999999999</v>
      </c>
      <c r="V429" s="194">
        <f>№2!V506+№5!V506+'№ 6'!V506+№14!V506+'№ 20'!V506+'№ 23'!V506+№27!V506+'№ 31'!V506+'№ 34'!V506+'№ 41'!V506</f>
        <v>359.55799999999999</v>
      </c>
      <c r="W429" s="193">
        <f>V429-U429</f>
        <v>0</v>
      </c>
    </row>
    <row r="430" spans="1:24" s="244" customFormat="1" ht="18" customHeight="1">
      <c r="A430" s="592"/>
      <c r="B430" s="576"/>
      <c r="C430" s="577"/>
      <c r="D430" s="174" t="s">
        <v>28</v>
      </c>
      <c r="E430" s="210"/>
      <c r="F430" s="192">
        <f>№2!F507+№5!F507+'№ 6'!F507+№14!F507+'№ 20'!F507+'№ 23'!F507+№27!F507+'№ 31'!F507+'№ 34'!F507+'№ 41'!F507</f>
        <v>0</v>
      </c>
      <c r="G430" s="192">
        <f>№2!G507+№5!G507+'№ 6'!G507+№14!G507+'№ 20'!G507+'№ 23'!G507+№27!G507+'№ 31'!G507+'№ 34'!G507+'№ 41'!G507</f>
        <v>305.03500000000003</v>
      </c>
      <c r="H430" s="192">
        <f>№2!H507+№5!H507+'№ 6'!H507+№14!H507+'№ 20'!H507+'№ 23'!H507+№27!H507+'№ 31'!H507+'№ 34'!H507+'№ 41'!H507</f>
        <v>234.61199999999999</v>
      </c>
      <c r="I430" s="192">
        <f>№2!I507+№5!I507+'№ 6'!I507+№14!I507+'№ 20'!I507+'№ 23'!I507+№27!I507+'№ 31'!I507+'№ 34'!I507+'№ 41'!I507</f>
        <v>200.697</v>
      </c>
      <c r="J430" s="192">
        <f>№2!J507+№5!J507+'№ 6'!J507+№14!J507+'№ 20'!J507+'№ 23'!J507+№27!J507+'№ 31'!J507+'№ 34'!J507+'№ 41'!J507</f>
        <v>223.477</v>
      </c>
      <c r="K430" s="192">
        <f>№2!K507+№5!K507+'№ 6'!K507+№14!K507+'№ 20'!K507+'№ 23'!K507+№27!K507+'№ 31'!K507+'№ 34'!K507+'№ 41'!K507</f>
        <v>95.099000000000004</v>
      </c>
      <c r="L430" s="194">
        <f>SUM(F430:K430)</f>
        <v>1058.92</v>
      </c>
      <c r="M430" s="194">
        <f>L430/6</f>
        <v>176.48699999999999</v>
      </c>
      <c r="N430" s="192">
        <f>№2!N507+№5!N507+'№ 6'!N507+№14!N507+'№ 20'!N507+'№ 23'!N507+№27!N507+'№ 31'!N507+'№ 34'!N507+'№ 41'!N507</f>
        <v>109.59</v>
      </c>
      <c r="O430" s="192">
        <f>№2!O507+№5!O507+'№ 6'!O507+№14!O507+'№ 20'!O507+'№ 23'!O507+№27!O507+'№ 31'!O507+'№ 34'!O507+'№ 41'!O507</f>
        <v>79.102999999999994</v>
      </c>
      <c r="P430" s="192">
        <f>№2!P507+№5!P507+'№ 6'!P507+№14!P507+'№ 20'!P507+'№ 23'!P507+№27!P507+'№ 31'!P507+'№ 34'!P507+'№ 41'!P507</f>
        <v>157.148</v>
      </c>
      <c r="Q430" s="192">
        <f>№2!Q507+№5!Q507+'№ 6'!Q507+№14!Q507+'№ 20'!Q507+'№ 23'!Q507+№27!Q507+'№ 31'!Q507+'№ 34'!Q507+'№ 41'!Q507</f>
        <v>203.09299999999999</v>
      </c>
      <c r="R430" s="192">
        <f>№2!R507+№5!R507+'№ 6'!R507+№14!R507+'№ 20'!R507+'№ 23'!R507+№27!R507+'№ 31'!R507+'№ 34'!R507+'№ 41'!R507</f>
        <v>296.59699999999998</v>
      </c>
      <c r="S430" s="192">
        <f>№2!S507+№5!S507+'№ 6'!S507+№14!S507+'№ 20'!S507+'№ 23'!S507+№27!S507+'№ 31'!S507+'№ 34'!S507+'№ 41'!S507</f>
        <v>980.54499999999996</v>
      </c>
      <c r="T430" s="194">
        <f>SUM(N430:S430)</f>
        <v>1826.076</v>
      </c>
      <c r="U430" s="194">
        <f>T430+L430</f>
        <v>2884.9960000000001</v>
      </c>
      <c r="V430" s="194">
        <f>№2!V507+№5!V507+'№ 6'!V507+№14!V507+'№ 20'!V507+'№ 23'!V507+№27!V507+'№ 31'!V507+'№ 34'!V507+'№ 41'!V507</f>
        <v>2884.9960000000001</v>
      </c>
      <c r="W430" s="193">
        <f>V430-U430</f>
        <v>0</v>
      </c>
    </row>
    <row r="431" spans="1:24" s="186" customFormat="1" ht="18" customHeight="1">
      <c r="A431" s="592"/>
      <c r="B431" s="576"/>
      <c r="C431" s="577"/>
      <c r="D431" s="178" t="s">
        <v>117</v>
      </c>
      <c r="E431" s="179">
        <f>№2!E508+№5!E508+'№ 6'!E508+№14!E508+'№ 20'!E508+'№ 23'!E508+№27!E508+'№ 31'!E508+'№ 34'!E508+'№ 41'!E508</f>
        <v>0</v>
      </c>
      <c r="F431" s="179">
        <f>№2!F508+№5!F508+'№ 6'!F508+№14!F508+'№ 20'!F508+'№ 23'!F508+№27!F508+'№ 31'!F508+'№ 34'!F508+'№ 41'!F508</f>
        <v>0</v>
      </c>
      <c r="G431" s="179">
        <f>№2!G508+№5!G508+'№ 6'!G508+№14!G508+'№ 20'!G508+'№ 23'!G508+№27!G508+'№ 31'!G508+'№ 34'!G508+'№ 41'!G508</f>
        <v>73639.199999999997</v>
      </c>
      <c r="H431" s="179">
        <f>№2!H508+№5!H508+'№ 6'!H508+№14!H508+'№ 20'!H508+'№ 23'!H508+№27!H508+'№ 31'!H508+'№ 34'!H508+'№ 41'!H508</f>
        <v>64692.6</v>
      </c>
      <c r="I431" s="179">
        <f>№2!I508+№5!I508+'№ 6'!I508+№14!I508+'№ 20'!I508+'№ 23'!I508+№27!I508+'№ 31'!I508+'№ 34'!I508+'№ 41'!I508</f>
        <v>56949.5</v>
      </c>
      <c r="J431" s="179">
        <f>№2!J508+№5!J508+'№ 6'!J508+№14!J508+'№ 20'!J508+'№ 23'!J508+№27!J508+'№ 31'!J508+'№ 34'!J508+'№ 41'!J508</f>
        <v>77105.5</v>
      </c>
      <c r="K431" s="179">
        <f>№2!K508+№5!K508+'№ 6'!K508+№14!K508+'№ 20'!K508+'№ 23'!K508+№27!K508+'№ 31'!K508+'№ 34'!K508+'№ 41'!K508</f>
        <v>53772.6</v>
      </c>
      <c r="L431" s="215">
        <f>SUM(F431:K431)</f>
        <v>326159.40000000002</v>
      </c>
      <c r="M431" s="215">
        <f>L431/6</f>
        <v>54359.9</v>
      </c>
      <c r="N431" s="179">
        <f>№2!N508+№5!N508+'№ 6'!N508+№14!N508+'№ 20'!N508+'№ 23'!N508+№27!N508+'№ 31'!N508+'№ 34'!N508+'№ 41'!N508</f>
        <v>32858.199999999997</v>
      </c>
      <c r="O431" s="179">
        <f>№2!O508+№5!O508+'№ 6'!O508+№14!O508+'№ 20'!O508+'№ 23'!O508+№27!O508+'№ 31'!O508+'№ 34'!O508+'№ 41'!O508</f>
        <v>22244.9</v>
      </c>
      <c r="P431" s="179">
        <f>№2!P508+№5!P508+'№ 6'!P508+№14!P508+'№ 20'!P508+'№ 23'!P508+№27!P508+'№ 31'!P508+'№ 34'!P508+'№ 41'!P508</f>
        <v>29767.1</v>
      </c>
      <c r="Q431" s="179">
        <f>№2!Q508+№5!Q508+'№ 6'!Q508+№14!Q508+'№ 20'!Q508+'№ 23'!Q508+№27!Q508+'№ 31'!Q508+'№ 34'!Q508+'№ 41'!Q508</f>
        <v>37852.9</v>
      </c>
      <c r="R431" s="179">
        <f>№2!R508+№5!R508+'№ 6'!R508+№14!R508+'№ 20'!R508+'№ 23'!R508+№27!R508+'№ 31'!R508+'№ 34'!R508+'№ 41'!R508</f>
        <v>64180.1</v>
      </c>
      <c r="S431" s="179">
        <f>№2!S508+№5!S508+'№ 6'!S508+№14!S508+'№ 20'!S508+'№ 23'!S508+№27!S508+'№ 31'!S508+'№ 34'!S508+'№ 41'!S508</f>
        <v>169120.2</v>
      </c>
      <c r="T431" s="215">
        <f>SUM(N431:S431)</f>
        <v>356023.4</v>
      </c>
      <c r="U431" s="215">
        <f>T431+L431</f>
        <v>682182.8</v>
      </c>
      <c r="V431" s="179">
        <f>№2!V508+№5!V508+'№ 6'!V508+№14!V508+'№ 20'!V508+'№ 23'!V508+№27!V508+'№ 31'!V508+'№ 34'!V508+'№ 41'!V508</f>
        <v>663062</v>
      </c>
      <c r="W431" s="184">
        <f>V431-U431</f>
        <v>-19120.8</v>
      </c>
      <c r="X431" s="185">
        <f>U426-U431</f>
        <v>0</v>
      </c>
    </row>
    <row r="432" spans="1:24" s="190" customFormat="1" ht="18" customHeight="1">
      <c r="A432" s="592"/>
      <c r="B432" s="576"/>
      <c r="C432" s="577"/>
      <c r="D432" s="187" t="s">
        <v>27</v>
      </c>
      <c r="E432" s="188" t="e">
        <f t="shared" ref="E432:K432" si="399">E433*1000/E431</f>
        <v>#DIV/0!</v>
      </c>
      <c r="F432" s="242" t="e">
        <f t="shared" si="399"/>
        <v>#DIV/0!</v>
      </c>
      <c r="G432" s="242">
        <f t="shared" si="399"/>
        <v>4.32</v>
      </c>
      <c r="H432" s="242">
        <f t="shared" si="399"/>
        <v>4.32</v>
      </c>
      <c r="I432" s="242">
        <f t="shared" si="399"/>
        <v>4.32</v>
      </c>
      <c r="J432" s="242">
        <f t="shared" si="399"/>
        <v>4.3199899999999998</v>
      </c>
      <c r="K432" s="242">
        <f t="shared" si="399"/>
        <v>4.3200399999999997</v>
      </c>
      <c r="L432" s="242">
        <f>L433/L431*1000</f>
        <v>4.32</v>
      </c>
      <c r="M432" s="242">
        <f>M433/M431*1000</f>
        <v>4.32</v>
      </c>
      <c r="N432" s="242">
        <f t="shared" ref="N432:S432" si="400">N433*1000/N431</f>
        <v>4.3200200000000004</v>
      </c>
      <c r="O432" s="242">
        <f t="shared" si="400"/>
        <v>4.31996</v>
      </c>
      <c r="P432" s="242">
        <f t="shared" si="400"/>
        <v>4.32</v>
      </c>
      <c r="Q432" s="242">
        <f t="shared" si="400"/>
        <v>4.3200099999999999</v>
      </c>
      <c r="R432" s="242">
        <f t="shared" si="400"/>
        <v>4.32</v>
      </c>
      <c r="S432" s="242">
        <f t="shared" si="400"/>
        <v>4.32</v>
      </c>
      <c r="T432" s="242">
        <f>T433/T431*1000</f>
        <v>4.32</v>
      </c>
      <c r="U432" s="242">
        <f>U433/U431*1000</f>
        <v>4.32</v>
      </c>
      <c r="V432" s="242">
        <f t="shared" ref="V432" si="401">V433*1000/V431</f>
        <v>4.8932900000000004</v>
      </c>
      <c r="W432" s="243">
        <f>W433/W431*1000</f>
        <v>-15.56012</v>
      </c>
      <c r="X432" s="225"/>
    </row>
    <row r="433" spans="1:28" s="239" customFormat="1" ht="18" customHeight="1">
      <c r="A433" s="592"/>
      <c r="B433" s="576"/>
      <c r="C433" s="577"/>
      <c r="D433" s="198" t="s">
        <v>25</v>
      </c>
      <c r="E433" s="199">
        <f>№2!E510+№5!E510+'№ 6'!E510+№14!E510+'№ 20'!E510+'№ 23'!E510+№27!E510+'№ 31'!E510+'№ 34'!E510+'№ 41'!E510</f>
        <v>0</v>
      </c>
      <c r="F433" s="199">
        <f>№2!F510+№5!F510+'№ 6'!F510+№14!F510+'№ 20'!F510+'№ 23'!F510+№27!F510+'№ 31'!F510+'№ 34'!F510+'№ 41'!F510</f>
        <v>0</v>
      </c>
      <c r="G433" s="199">
        <f>№2!G510+№5!G510+'№ 6'!G510+№14!G510+'№ 20'!G510+'№ 23'!G510+№27!G510+'№ 31'!G510+'№ 34'!G510+'№ 41'!G510</f>
        <v>318.12099999999998</v>
      </c>
      <c r="H433" s="199">
        <f>№2!H510+№5!H510+'№ 6'!H510+№14!H510+'№ 20'!H510+'№ 23'!H510+№27!H510+'№ 31'!H510+'№ 34'!H510+'№ 41'!H510</f>
        <v>279.47199999999998</v>
      </c>
      <c r="I433" s="199">
        <f>№2!I510+№5!I510+'№ 6'!I510+№14!I510+'№ 20'!I510+'№ 23'!I510+№27!I510+'№ 31'!I510+'№ 34'!I510+'№ 41'!I510</f>
        <v>246.02199999999999</v>
      </c>
      <c r="J433" s="199">
        <f>№2!J510+№5!J510+'№ 6'!J510+№14!J510+'№ 20'!J510+'№ 23'!J510+№27!J510+'№ 31'!J510+'№ 34'!J510+'№ 41'!J510</f>
        <v>333.09500000000003</v>
      </c>
      <c r="K433" s="199">
        <f>№2!K510+№5!K510+'№ 6'!K510+№14!K510+'№ 20'!K510+'№ 23'!K510+№27!K510+'№ 31'!K510+'№ 34'!K510+'№ 41'!K510</f>
        <v>232.3</v>
      </c>
      <c r="L433" s="199">
        <f>SUM(F433:K433)</f>
        <v>1409.01</v>
      </c>
      <c r="M433" s="199">
        <f>L433/6</f>
        <v>234.83500000000001</v>
      </c>
      <c r="N433" s="199">
        <f>№2!N510+№5!N510+'№ 6'!N510+№14!N510+'№ 20'!N510+'№ 23'!N510+№27!N510+'№ 31'!N510+'№ 34'!N510+'№ 41'!N510</f>
        <v>141.94800000000001</v>
      </c>
      <c r="O433" s="199">
        <f>№2!O510+№5!O510+'№ 6'!O510+№14!O510+'№ 20'!O510+'№ 23'!O510+№27!O510+'№ 31'!O510+'№ 34'!O510+'№ 41'!O510</f>
        <v>96.096999999999994</v>
      </c>
      <c r="P433" s="199">
        <f>№2!P510+№5!P510+'№ 6'!P510+№14!P510+'№ 20'!P510+'№ 23'!P510+№27!P510+'№ 31'!P510+'№ 34'!P510+'№ 41'!P510</f>
        <v>128.59399999999999</v>
      </c>
      <c r="Q433" s="199">
        <f>№2!Q510+№5!Q510+'№ 6'!Q510+№14!Q510+'№ 20'!Q510+'№ 23'!Q510+№27!Q510+'№ 31'!Q510+'№ 34'!Q510+'№ 41'!Q510</f>
        <v>163.52500000000001</v>
      </c>
      <c r="R433" s="199">
        <f>№2!R510+№5!R510+'№ 6'!R510+№14!R510+'№ 20'!R510+'№ 23'!R510+№27!R510+'№ 31'!R510+'№ 34'!R510+'№ 41'!R510</f>
        <v>277.25799999999998</v>
      </c>
      <c r="S433" s="199">
        <f>№2!S510+№5!S510+'№ 6'!S510+№14!S510+'№ 20'!S510+'№ 23'!S510+№27!S510+'№ 31'!S510+'№ 34'!S510+'№ 41'!S510</f>
        <v>730.6</v>
      </c>
      <c r="T433" s="199">
        <f>SUM(N433:S433)</f>
        <v>1538.0219999999999</v>
      </c>
      <c r="U433" s="199">
        <f>T433+L433</f>
        <v>2947.0320000000002</v>
      </c>
      <c r="V433" s="199">
        <f>№2!V510+№5!V510+'№ 6'!V510+№14!V510+'№ 20'!V510+'№ 23'!V510+№27!V510+'№ 31'!V510+'№ 34'!V510+'№ 41'!V510</f>
        <v>3244.5540000000001</v>
      </c>
      <c r="W433" s="221">
        <f>V433-U433</f>
        <v>297.52199999999999</v>
      </c>
      <c r="X433" s="176">
        <f>U428-U433</f>
        <v>0</v>
      </c>
    </row>
    <row r="434" spans="1:28" s="239" customFormat="1" ht="18" customHeight="1">
      <c r="A434" s="592"/>
      <c r="B434" s="576"/>
      <c r="C434" s="577"/>
      <c r="D434" s="201" t="s">
        <v>55</v>
      </c>
      <c r="E434" s="220"/>
      <c r="F434" s="199">
        <f>№2!F511+№5!F511+'№ 6'!F511+№14!F511+'№ 20'!F511+'№ 23'!F511+№27!F511+'№ 31'!F511+'№ 34'!F511+'№ 41'!F511</f>
        <v>0</v>
      </c>
      <c r="G434" s="199">
        <f>№2!G511+№5!G511+'№ 6'!G511+№14!G511+'№ 20'!G511+'№ 23'!G511+№27!G511+'№ 31'!G511+'№ 34'!G511+'№ 41'!G511</f>
        <v>0</v>
      </c>
      <c r="H434" s="199">
        <f>№2!H511+№5!H511+'№ 6'!H511+№14!H511+'№ 20'!H511+'№ 23'!H511+№27!H511+'№ 31'!H511+'№ 34'!H511+'№ 41'!H511</f>
        <v>82.262</v>
      </c>
      <c r="I434" s="199">
        <f>№2!I511+№5!I511+'№ 6'!I511+№14!I511+'№ 20'!I511+'№ 23'!I511+№27!I511+'№ 31'!I511+'№ 34'!I511+'№ 41'!I511</f>
        <v>34.012</v>
      </c>
      <c r="J434" s="199">
        <f>№2!J511+№5!J511+'№ 6'!J511+№14!J511+'№ 20'!J511+'№ 23'!J511+№27!J511+'№ 31'!J511+'№ 34'!J511+'№ 41'!J511</f>
        <v>121.396</v>
      </c>
      <c r="K434" s="199">
        <f>№2!K511+№5!K511+'№ 6'!K511+№14!K511+'№ 20'!K511+'№ 23'!K511+№27!K511+'№ 31'!K511+'№ 34'!K511+'№ 41'!K511</f>
        <v>121.88800000000001</v>
      </c>
      <c r="L434" s="199">
        <f>SUM(F434:K434)</f>
        <v>359.55799999999999</v>
      </c>
      <c r="M434" s="199">
        <f>L434/6</f>
        <v>59.926000000000002</v>
      </c>
      <c r="N434" s="199">
        <f>№2!N511+№5!N511+'№ 6'!N511+№14!N511+'№ 20'!N511+'№ 23'!N511+№27!N511+'№ 31'!N511+'№ 34'!N511+'№ 41'!N511</f>
        <v>0</v>
      </c>
      <c r="O434" s="199">
        <f>№2!O511+№5!O511+'№ 6'!O511+№14!O511+'№ 20'!O511+'№ 23'!O511+№27!O511+'№ 31'!O511+'№ 34'!O511+'№ 41'!O511</f>
        <v>0</v>
      </c>
      <c r="P434" s="199">
        <f>№2!P511+№5!P511+'№ 6'!P511+№14!P511+'№ 20'!P511+'№ 23'!P511+№27!P511+'№ 31'!P511+'№ 34'!P511+'№ 41'!P511</f>
        <v>0</v>
      </c>
      <c r="Q434" s="199">
        <f>№2!Q511+№5!Q511+'№ 6'!Q511+№14!Q511+'№ 20'!Q511+'№ 23'!Q511+№27!Q511+'№ 31'!Q511+'№ 34'!Q511+'№ 41'!Q511</f>
        <v>0</v>
      </c>
      <c r="R434" s="199">
        <f>№2!R511+№5!R511+'№ 6'!R511+№14!R511+'№ 20'!R511+'№ 23'!R511+№27!R511+'№ 31'!R511+'№ 34'!R511+'№ 41'!R511</f>
        <v>0</v>
      </c>
      <c r="S434" s="199">
        <f>№2!S511+№5!S511+'№ 6'!S511+№14!S511+'№ 20'!S511+'№ 23'!S511+№27!S511+'№ 31'!S511+'№ 34'!S511+'№ 41'!S511</f>
        <v>0</v>
      </c>
      <c r="T434" s="199">
        <f>SUM(N434:S434)</f>
        <v>0</v>
      </c>
      <c r="U434" s="199">
        <f>T434+L434</f>
        <v>359.55799999999999</v>
      </c>
      <c r="V434" s="199">
        <f>№2!V511+№5!V511+'№ 6'!V511+№14!V511+'№ 20'!V511+'№ 23'!V511+№27!V511+'№ 31'!V511+'№ 34'!V511+'№ 41'!V511</f>
        <v>359.55799999999999</v>
      </c>
      <c r="W434" s="221">
        <f>V434-U434</f>
        <v>0</v>
      </c>
      <c r="X434" s="176">
        <f>U429-U434</f>
        <v>0</v>
      </c>
    </row>
    <row r="435" spans="1:28" s="239" customFormat="1" ht="18" customHeight="1">
      <c r="A435" s="592"/>
      <c r="B435" s="576"/>
      <c r="C435" s="577"/>
      <c r="D435" s="201" t="s">
        <v>24</v>
      </c>
      <c r="E435" s="220"/>
      <c r="F435" s="199">
        <f>№2!F512+№5!F512+'№ 6'!F512+№14!F512+'№ 20'!F512+'№ 23'!F512+№27!F512+'№ 31'!F512+'№ 34'!F512+'№ 41'!F512</f>
        <v>0</v>
      </c>
      <c r="G435" s="199">
        <f>№2!G512+№5!G512+'№ 6'!G512+№14!G512+'№ 20'!G512+'№ 23'!G512+№27!G512+'№ 31'!G512+'№ 34'!G512+'№ 41'!G512</f>
        <v>318.12099999999998</v>
      </c>
      <c r="H435" s="199">
        <f>№2!H512+№5!H512+'№ 6'!H512+№14!H512+'№ 20'!H512+'№ 23'!H512+№27!H512+'№ 31'!H512+'№ 34'!H512+'№ 41'!H512</f>
        <v>197.21</v>
      </c>
      <c r="I435" s="199">
        <f>№2!I512+№5!I512+'№ 6'!I512+№14!I512+'№ 20'!I512+'№ 23'!I512+№27!I512+'№ 31'!I512+'№ 34'!I512+'№ 41'!I512</f>
        <v>212.01</v>
      </c>
      <c r="J435" s="199">
        <f>№2!J512+№5!J512+'№ 6'!J512+№14!J512+'№ 20'!J512+'№ 23'!J512+№27!J512+'№ 31'!J512+'№ 34'!J512+'№ 41'!J512</f>
        <v>211.69900000000001</v>
      </c>
      <c r="K435" s="199">
        <f>№2!K512+№5!K512+'№ 6'!K512+№14!K512+'№ 20'!K512+'№ 23'!K512+№27!K512+'№ 31'!K512+'№ 34'!K512+'№ 41'!K512</f>
        <v>110.41200000000001</v>
      </c>
      <c r="L435" s="199">
        <f>SUM(F435:K435)</f>
        <v>1049.452</v>
      </c>
      <c r="M435" s="199">
        <f>L435/6</f>
        <v>174.90899999999999</v>
      </c>
      <c r="N435" s="199">
        <f>№2!N512+№5!N512+'№ 6'!N512+№14!N512+'№ 20'!N512+'№ 23'!N512+№27!N512+'№ 31'!N512+'№ 34'!N512+'№ 41'!N512</f>
        <v>141.94800000000001</v>
      </c>
      <c r="O435" s="199">
        <f>№2!O512+№5!O512+'№ 6'!O512+№14!O512+'№ 20'!O512+'№ 23'!O512+№27!O512+'№ 31'!O512+'№ 34'!O512+'№ 41'!O512</f>
        <v>96.096999999999994</v>
      </c>
      <c r="P435" s="199">
        <f>№2!P512+№5!P512+'№ 6'!P512+№14!P512+'№ 20'!P512+'№ 23'!P512+№27!P512+'№ 31'!P512+'№ 34'!P512+'№ 41'!P512</f>
        <v>128.59399999999999</v>
      </c>
      <c r="Q435" s="199">
        <f>№2!Q512+№5!Q512+'№ 6'!Q512+№14!Q512+'№ 20'!Q512+'№ 23'!Q512+№27!Q512+'№ 31'!Q512+'№ 34'!Q512+'№ 41'!Q512</f>
        <v>163.52500000000001</v>
      </c>
      <c r="R435" s="199">
        <f>№2!R512+№5!R512+'№ 6'!R512+№14!R512+'№ 20'!R512+'№ 23'!R512+№27!R512+'№ 31'!R512+'№ 34'!R512+'№ 41'!R512</f>
        <v>277.25799999999998</v>
      </c>
      <c r="S435" s="199">
        <f>№2!S512+№5!S512+'№ 6'!S512+№14!S512+'№ 20'!S512+'№ 23'!S512+№27!S512+'№ 31'!S512+'№ 34'!S512+'№ 41'!S512</f>
        <v>730.6</v>
      </c>
      <c r="T435" s="199">
        <f>SUM(N435:S435)</f>
        <v>1538.0219999999999</v>
      </c>
      <c r="U435" s="199">
        <f>T435+L435</f>
        <v>2587.4740000000002</v>
      </c>
      <c r="V435" s="199">
        <f>№2!V512+№5!V512+'№ 6'!V512+№14!V512+'№ 20'!V512+'№ 23'!V512+№27!V512+'№ 31'!V512+'№ 34'!V512+'№ 41'!V512</f>
        <v>2884.9960000000001</v>
      </c>
      <c r="W435" s="221">
        <f>V435-U435</f>
        <v>297.52199999999999</v>
      </c>
      <c r="X435" s="176">
        <f>U430-U435</f>
        <v>297.52199999999999</v>
      </c>
    </row>
    <row r="436" spans="1:28" s="205" customFormat="1" ht="18" customHeight="1">
      <c r="A436" s="592"/>
      <c r="B436" s="576"/>
      <c r="C436" s="577"/>
      <c r="D436" s="202" t="s">
        <v>29</v>
      </c>
      <c r="E436" s="203"/>
      <c r="F436" s="203">
        <f t="shared" ref="F436:K436" si="402">F430+F429</f>
        <v>0</v>
      </c>
      <c r="G436" s="203">
        <f t="shared" si="402"/>
        <v>305.03500000000003</v>
      </c>
      <c r="H436" s="203">
        <f t="shared" si="402"/>
        <v>350.88600000000002</v>
      </c>
      <c r="I436" s="203">
        <f t="shared" si="402"/>
        <v>322.09300000000002</v>
      </c>
      <c r="J436" s="203">
        <f t="shared" si="402"/>
        <v>345.36500000000001</v>
      </c>
      <c r="K436" s="203">
        <f t="shared" si="402"/>
        <v>95.099000000000004</v>
      </c>
      <c r="L436" s="203">
        <f>SUM(F436:K436)</f>
        <v>1418.4780000000001</v>
      </c>
      <c r="M436" s="203">
        <f>L436/6</f>
        <v>236.41300000000001</v>
      </c>
      <c r="N436" s="203">
        <f t="shared" ref="N436:S436" si="403">N430+N429</f>
        <v>109.59</v>
      </c>
      <c r="O436" s="203">
        <f t="shared" si="403"/>
        <v>79.102999999999994</v>
      </c>
      <c r="P436" s="203">
        <f t="shared" si="403"/>
        <v>157.148</v>
      </c>
      <c r="Q436" s="203">
        <f t="shared" si="403"/>
        <v>203.09299999999999</v>
      </c>
      <c r="R436" s="203">
        <f t="shared" si="403"/>
        <v>296.59699999999998</v>
      </c>
      <c r="S436" s="203">
        <f t="shared" si="403"/>
        <v>980.54499999999996</v>
      </c>
      <c r="T436" s="203">
        <f>SUM(N436:S436)</f>
        <v>1826.076</v>
      </c>
      <c r="U436" s="203">
        <f>T436+L436</f>
        <v>3244.5540000000001</v>
      </c>
      <c r="V436" s="203">
        <f>V433</f>
        <v>3244.5540000000001</v>
      </c>
      <c r="W436" s="203">
        <f>V436-U436</f>
        <v>0</v>
      </c>
    </row>
    <row r="437" spans="1:28" s="205" customFormat="1" ht="18" customHeight="1">
      <c r="A437" s="592"/>
      <c r="B437" s="576"/>
      <c r="C437" s="577"/>
      <c r="D437" s="202" t="s">
        <v>30</v>
      </c>
      <c r="E437" s="203"/>
      <c r="F437" s="203">
        <f t="shared" ref="F437:K437" si="404">F433-F436</f>
        <v>0</v>
      </c>
      <c r="G437" s="203">
        <f t="shared" si="404"/>
        <v>13.086</v>
      </c>
      <c r="H437" s="203">
        <f t="shared" si="404"/>
        <v>-71.414000000000001</v>
      </c>
      <c r="I437" s="203">
        <f t="shared" si="404"/>
        <v>-76.070999999999998</v>
      </c>
      <c r="J437" s="203">
        <f t="shared" si="404"/>
        <v>-12.27</v>
      </c>
      <c r="K437" s="203">
        <f t="shared" si="404"/>
        <v>137.20099999999999</v>
      </c>
      <c r="L437" s="203"/>
      <c r="M437" s="203"/>
      <c r="N437" s="203">
        <f t="shared" ref="N437:S437" si="405">N433-N436</f>
        <v>32.357999999999997</v>
      </c>
      <c r="O437" s="203">
        <f t="shared" si="405"/>
        <v>16.994</v>
      </c>
      <c r="P437" s="203">
        <f t="shared" si="405"/>
        <v>-28.553999999999998</v>
      </c>
      <c r="Q437" s="203">
        <f t="shared" si="405"/>
        <v>-39.567999999999998</v>
      </c>
      <c r="R437" s="203">
        <f t="shared" si="405"/>
        <v>-19.338999999999999</v>
      </c>
      <c r="S437" s="203">
        <f t="shared" si="405"/>
        <v>-249.94499999999999</v>
      </c>
      <c r="T437" s="203"/>
      <c r="U437" s="203"/>
      <c r="V437" s="203"/>
      <c r="W437" s="203"/>
    </row>
    <row r="438" spans="1:28" s="205" customFormat="1" ht="18" customHeight="1">
      <c r="A438" s="593"/>
      <c r="B438" s="578"/>
      <c r="C438" s="579"/>
      <c r="D438" s="202" t="s">
        <v>31</v>
      </c>
      <c r="E438" s="203"/>
      <c r="F438" s="203">
        <f>F437</f>
        <v>0</v>
      </c>
      <c r="G438" s="203">
        <f>G437+F438</f>
        <v>13.086</v>
      </c>
      <c r="H438" s="203">
        <f>H437+G438</f>
        <v>-58.328000000000003</v>
      </c>
      <c r="I438" s="203">
        <f>I437+H438</f>
        <v>-134.399</v>
      </c>
      <c r="J438" s="203">
        <f>J437+I438</f>
        <v>-146.66900000000001</v>
      </c>
      <c r="K438" s="203">
        <f>K437+J438</f>
        <v>-9.468</v>
      </c>
      <c r="L438" s="203"/>
      <c r="M438" s="203"/>
      <c r="N438" s="203">
        <f>N437+K438</f>
        <v>22.89</v>
      </c>
      <c r="O438" s="203">
        <f>O437+N438</f>
        <v>39.884</v>
      </c>
      <c r="P438" s="203">
        <f>P437+O438</f>
        <v>11.33</v>
      </c>
      <c r="Q438" s="203">
        <f>Q437+P438</f>
        <v>-28.238</v>
      </c>
      <c r="R438" s="203">
        <f>R437+Q438</f>
        <v>-47.576999999999998</v>
      </c>
      <c r="S438" s="203">
        <f>S437+R438</f>
        <v>-297.52199999999999</v>
      </c>
      <c r="T438" s="203"/>
      <c r="U438" s="203"/>
      <c r="V438" s="203"/>
      <c r="W438" s="203"/>
      <c r="AB438" s="195"/>
    </row>
    <row r="439" spans="1:28" s="186" customFormat="1" ht="18" customHeight="1">
      <c r="A439" s="591">
        <v>2275</v>
      </c>
      <c r="B439" s="597" t="s">
        <v>34</v>
      </c>
      <c r="C439" s="598"/>
      <c r="D439" s="178" t="s">
        <v>105</v>
      </c>
      <c r="E439" s="179"/>
      <c r="F439" s="264">
        <f t="shared" ref="F439:K440" si="406">F456+F627</f>
        <v>110.9</v>
      </c>
      <c r="G439" s="264">
        <f t="shared" si="406"/>
        <v>109.5</v>
      </c>
      <c r="H439" s="264">
        <f t="shared" si="406"/>
        <v>122.9</v>
      </c>
      <c r="I439" s="264">
        <f t="shared" si="406"/>
        <v>126.9</v>
      </c>
      <c r="J439" s="264">
        <f t="shared" si="406"/>
        <v>122.6</v>
      </c>
      <c r="K439" s="264">
        <f t="shared" si="406"/>
        <v>103.3</v>
      </c>
      <c r="L439" s="421">
        <f>SUM(F439:K439)</f>
        <v>696.1</v>
      </c>
      <c r="M439" s="421">
        <f>L439/6</f>
        <v>116.017</v>
      </c>
      <c r="N439" s="264">
        <f t="shared" ref="N439:S440" si="407">N456+N627</f>
        <v>110.1</v>
      </c>
      <c r="O439" s="264">
        <f t="shared" si="407"/>
        <v>144.9</v>
      </c>
      <c r="P439" s="260">
        <f t="shared" si="407"/>
        <v>141.4</v>
      </c>
      <c r="Q439" s="264">
        <f t="shared" si="407"/>
        <v>126.7</v>
      </c>
      <c r="R439" s="264">
        <f t="shared" si="407"/>
        <v>119.8</v>
      </c>
      <c r="S439" s="264">
        <f t="shared" si="407"/>
        <v>123.5</v>
      </c>
      <c r="T439" s="215">
        <f>SUM(N439:S439)</f>
        <v>766.4</v>
      </c>
      <c r="U439" s="215">
        <f>T439+L439</f>
        <v>1462.5</v>
      </c>
      <c r="V439" s="229">
        <f t="shared" ref="V439" si="408">V456+V627</f>
        <v>0</v>
      </c>
      <c r="W439" s="184"/>
      <c r="X439" s="185"/>
    </row>
    <row r="440" spans="1:28" s="186" customFormat="1" ht="18" customHeight="1">
      <c r="A440" s="592"/>
      <c r="B440" s="599"/>
      <c r="C440" s="600"/>
      <c r="D440" s="178" t="s">
        <v>109</v>
      </c>
      <c r="E440" s="179"/>
      <c r="F440" s="264">
        <f t="shared" si="406"/>
        <v>120.5</v>
      </c>
      <c r="G440" s="264">
        <f t="shared" si="406"/>
        <v>114.8</v>
      </c>
      <c r="H440" s="264">
        <f t="shared" si="406"/>
        <v>115.6</v>
      </c>
      <c r="I440" s="264">
        <f t="shared" si="406"/>
        <v>125.1</v>
      </c>
      <c r="J440" s="264">
        <f t="shared" si="406"/>
        <v>124.9</v>
      </c>
      <c r="K440" s="264">
        <f t="shared" si="406"/>
        <v>111.3</v>
      </c>
      <c r="L440" s="421">
        <f>SUM(F440:K440)</f>
        <v>712.2</v>
      </c>
      <c r="M440" s="421">
        <f>L440/6</f>
        <v>118.7</v>
      </c>
      <c r="N440" s="264">
        <f t="shared" si="407"/>
        <v>146.19999999999999</v>
      </c>
      <c r="O440" s="264">
        <f t="shared" si="407"/>
        <v>133.30000000000001</v>
      </c>
      <c r="P440" s="260">
        <f t="shared" si="407"/>
        <v>1674.3</v>
      </c>
      <c r="Q440" s="264">
        <f t="shared" si="407"/>
        <v>120.6</v>
      </c>
      <c r="R440" s="264">
        <f t="shared" si="407"/>
        <v>133.4</v>
      </c>
      <c r="S440" s="264">
        <f t="shared" si="407"/>
        <v>118.6</v>
      </c>
      <c r="T440" s="215">
        <f>SUM(N440:S440)</f>
        <v>2326.4</v>
      </c>
      <c r="U440" s="215">
        <f>T440+L440</f>
        <v>3038.6</v>
      </c>
      <c r="V440" s="229">
        <f t="shared" ref="V440" si="409">V457+V628</f>
        <v>0</v>
      </c>
      <c r="W440" s="184"/>
      <c r="X440" s="185"/>
    </row>
    <row r="441" spans="1:28" s="186" customFormat="1" ht="18" customHeight="1">
      <c r="A441" s="592"/>
      <c r="B441" s="599"/>
      <c r="C441" s="600"/>
      <c r="D441" s="178" t="s">
        <v>116</v>
      </c>
      <c r="E441" s="179"/>
      <c r="F441" s="264">
        <f t="shared" ref="F441:K441" si="410">F458</f>
        <v>145.505</v>
      </c>
      <c r="G441" s="264">
        <f t="shared" si="410"/>
        <v>129.28399999999999</v>
      </c>
      <c r="H441" s="264">
        <f t="shared" si="410"/>
        <v>148.13399999999999</v>
      </c>
      <c r="I441" s="264">
        <f t="shared" si="410"/>
        <v>139.71100000000001</v>
      </c>
      <c r="J441" s="264">
        <f t="shared" si="410"/>
        <v>130.89099999999999</v>
      </c>
      <c r="K441" s="264">
        <f t="shared" si="410"/>
        <v>122.78100000000001</v>
      </c>
      <c r="L441" s="421">
        <f>SUM(F441:K441)</f>
        <v>816.30600000000004</v>
      </c>
      <c r="M441" s="421">
        <f>L441/6</f>
        <v>136.05099999999999</v>
      </c>
      <c r="N441" s="264">
        <f t="shared" ref="N441:S441" si="411">N458</f>
        <v>132.584</v>
      </c>
      <c r="O441" s="264">
        <f t="shared" si="411"/>
        <v>110.425</v>
      </c>
      <c r="P441" s="264">
        <f t="shared" si="411"/>
        <v>139.93299999999999</v>
      </c>
      <c r="Q441" s="264">
        <f t="shared" si="411"/>
        <v>137.233</v>
      </c>
      <c r="R441" s="264">
        <f t="shared" si="411"/>
        <v>159.04</v>
      </c>
      <c r="S441" s="264">
        <f t="shared" si="411"/>
        <v>155.84700000000001</v>
      </c>
      <c r="T441" s="421">
        <f>SUM(N441:S441)</f>
        <v>835.06200000000001</v>
      </c>
      <c r="U441" s="326">
        <f>T441+L441</f>
        <v>1651.3679999999999</v>
      </c>
      <c r="V441" s="229">
        <f>V458</f>
        <v>1677.7</v>
      </c>
      <c r="W441" s="184">
        <f>V441-U441</f>
        <v>26.3</v>
      </c>
      <c r="X441" s="185"/>
    </row>
    <row r="442" spans="1:28" s="190" customFormat="1" ht="18" customHeight="1">
      <c r="A442" s="592"/>
      <c r="B442" s="599"/>
      <c r="C442" s="600"/>
      <c r="D442" s="187" t="s">
        <v>27</v>
      </c>
      <c r="E442" s="188"/>
      <c r="F442" s="188">
        <f t="shared" ref="F442:U442" si="412">F443/F441*1000</f>
        <v>176.18</v>
      </c>
      <c r="G442" s="188">
        <f t="shared" si="412"/>
        <v>176.65799999999999</v>
      </c>
      <c r="H442" s="188">
        <f t="shared" si="412"/>
        <v>175.834</v>
      </c>
      <c r="I442" s="188">
        <f t="shared" si="412"/>
        <v>180.64400000000001</v>
      </c>
      <c r="J442" s="188">
        <f t="shared" si="412"/>
        <v>229.72499999999999</v>
      </c>
      <c r="K442" s="188">
        <f t="shared" si="412"/>
        <v>272.72899999999998</v>
      </c>
      <c r="L442" s="188">
        <f t="shared" si="412"/>
        <v>200.065</v>
      </c>
      <c r="M442" s="188">
        <f t="shared" si="412"/>
        <v>200.065</v>
      </c>
      <c r="N442" s="188">
        <f t="shared" si="412"/>
        <v>688.04700000000003</v>
      </c>
      <c r="O442" s="188">
        <f t="shared" si="412"/>
        <v>191.17</v>
      </c>
      <c r="P442" s="188">
        <f t="shared" si="412"/>
        <v>188.64</v>
      </c>
      <c r="Q442" s="188">
        <f t="shared" si="412"/>
        <v>326.99099999999999</v>
      </c>
      <c r="R442" s="188">
        <f t="shared" si="412"/>
        <v>181.97300000000001</v>
      </c>
      <c r="S442" s="188">
        <f t="shared" si="412"/>
        <v>178.624</v>
      </c>
      <c r="T442" s="188">
        <f t="shared" si="412"/>
        <v>287.86399999999998</v>
      </c>
      <c r="U442" s="188">
        <f t="shared" si="412"/>
        <v>244.46299999999999</v>
      </c>
      <c r="V442" s="188">
        <f t="shared" ref="V442" si="413">V443/V441*1000</f>
        <v>246.2</v>
      </c>
      <c r="W442" s="189">
        <f>W443/W441*1000</f>
        <v>355.589</v>
      </c>
      <c r="X442" s="225"/>
    </row>
    <row r="443" spans="1:28" s="172" customFormat="1" ht="18" customHeight="1">
      <c r="A443" s="592"/>
      <c r="B443" s="599"/>
      <c r="C443" s="600"/>
      <c r="D443" s="191" t="s">
        <v>0</v>
      </c>
      <c r="E443" s="192"/>
      <c r="F443" s="192">
        <f t="shared" ref="F443:K443" si="414">F460+F631</f>
        <v>25.635000000000002</v>
      </c>
      <c r="G443" s="192">
        <f t="shared" si="414"/>
        <v>22.838999999999999</v>
      </c>
      <c r="H443" s="192">
        <f t="shared" si="414"/>
        <v>26.047000000000001</v>
      </c>
      <c r="I443" s="192">
        <f t="shared" si="414"/>
        <v>25.238</v>
      </c>
      <c r="J443" s="192">
        <f t="shared" si="414"/>
        <v>30.068999999999999</v>
      </c>
      <c r="K443" s="192">
        <f t="shared" si="414"/>
        <v>33.485999999999997</v>
      </c>
      <c r="L443" s="194">
        <f t="shared" ref="L443:L448" si="415">SUM(F443:K443)</f>
        <v>163.31399999999999</v>
      </c>
      <c r="M443" s="194">
        <f t="shared" ref="M443:M448" si="416">L443/6</f>
        <v>27.219000000000001</v>
      </c>
      <c r="N443" s="192">
        <f t="shared" ref="N443:S443" si="417">N460+N631</f>
        <v>91.224000000000004</v>
      </c>
      <c r="O443" s="192">
        <f t="shared" si="417"/>
        <v>21.11</v>
      </c>
      <c r="P443" s="192">
        <f t="shared" si="417"/>
        <v>26.396999999999998</v>
      </c>
      <c r="Q443" s="192">
        <f t="shared" si="417"/>
        <v>44.874000000000002</v>
      </c>
      <c r="R443" s="192">
        <f t="shared" si="417"/>
        <v>28.940999999999999</v>
      </c>
      <c r="S443" s="192">
        <f t="shared" si="417"/>
        <v>27.838000000000001</v>
      </c>
      <c r="T443" s="194">
        <f t="shared" ref="T443:T448" si="418">SUM(N443:S443)</f>
        <v>240.38399999999999</v>
      </c>
      <c r="U443" s="194">
        <f t="shared" ref="U443:U448" si="419">T443+L443</f>
        <v>403.69799999999998</v>
      </c>
      <c r="V443" s="194">
        <f t="shared" ref="V443" si="420">V460+V631</f>
        <v>413.05</v>
      </c>
      <c r="W443" s="192">
        <f>V443-U443</f>
        <v>9.3520000000000003</v>
      </c>
    </row>
    <row r="444" spans="1:28" s="172" customFormat="1" ht="18" customHeight="1">
      <c r="A444" s="592"/>
      <c r="B444" s="599"/>
      <c r="C444" s="600"/>
      <c r="D444" s="174" t="s">
        <v>102</v>
      </c>
      <c r="E444" s="192"/>
      <c r="F444" s="192">
        <f t="shared" ref="F444:K444" si="421">F461</f>
        <v>2.8000000000000001E-2</v>
      </c>
      <c r="G444" s="192">
        <f t="shared" si="421"/>
        <v>2.3E-2</v>
      </c>
      <c r="H444" s="192">
        <f t="shared" si="421"/>
        <v>2.5999999999999999E-2</v>
      </c>
      <c r="I444" s="192">
        <f t="shared" si="421"/>
        <v>2.5999999999999999E-2</v>
      </c>
      <c r="J444" s="192">
        <f t="shared" si="421"/>
        <v>2.5999999999999999E-2</v>
      </c>
      <c r="K444" s="192">
        <f t="shared" si="421"/>
        <v>2.4E-2</v>
      </c>
      <c r="L444" s="194">
        <f t="shared" si="415"/>
        <v>0.153</v>
      </c>
      <c r="M444" s="194">
        <f t="shared" si="416"/>
        <v>2.5999999999999999E-2</v>
      </c>
      <c r="N444" s="192">
        <f t="shared" ref="N444:S444" si="422">N461</f>
        <v>2.5999999999999999E-2</v>
      </c>
      <c r="O444" s="192">
        <f t="shared" si="422"/>
        <v>2.5999999999999999E-2</v>
      </c>
      <c r="P444" s="192">
        <f t="shared" si="422"/>
        <v>2.8000000000000001E-2</v>
      </c>
      <c r="Q444" s="192">
        <f t="shared" si="422"/>
        <v>2.8000000000000001E-2</v>
      </c>
      <c r="R444" s="192">
        <f t="shared" si="422"/>
        <v>2.8000000000000001E-2</v>
      </c>
      <c r="S444" s="192">
        <f t="shared" si="422"/>
        <v>3.2000000000000001E-2</v>
      </c>
      <c r="T444" s="194">
        <f t="shared" si="418"/>
        <v>0.16800000000000001</v>
      </c>
      <c r="U444" s="194">
        <f t="shared" si="419"/>
        <v>0.32100000000000001</v>
      </c>
      <c r="V444" s="194">
        <f t="shared" ref="V444" si="423">V461</f>
        <v>0.35199999999999998</v>
      </c>
      <c r="W444" s="192">
        <f t="shared" ref="W444:W446" si="424">V444-U444</f>
        <v>3.1E-2</v>
      </c>
    </row>
    <row r="445" spans="1:28" s="172" customFormat="1" ht="18" customHeight="1">
      <c r="A445" s="592"/>
      <c r="B445" s="599"/>
      <c r="C445" s="600"/>
      <c r="D445" s="174" t="s">
        <v>103</v>
      </c>
      <c r="E445" s="192"/>
      <c r="F445" s="192">
        <f t="shared" ref="F445:K445" si="425">F443+F444</f>
        <v>25.663</v>
      </c>
      <c r="G445" s="192">
        <f t="shared" si="425"/>
        <v>22.861999999999998</v>
      </c>
      <c r="H445" s="192">
        <f t="shared" si="425"/>
        <v>26.073</v>
      </c>
      <c r="I445" s="192">
        <f t="shared" si="425"/>
        <v>25.263999999999999</v>
      </c>
      <c r="J445" s="192">
        <f t="shared" si="425"/>
        <v>30.094999999999999</v>
      </c>
      <c r="K445" s="192">
        <f t="shared" si="425"/>
        <v>33.51</v>
      </c>
      <c r="L445" s="194">
        <f t="shared" si="415"/>
        <v>163.46700000000001</v>
      </c>
      <c r="M445" s="194">
        <f t="shared" si="416"/>
        <v>27.245000000000001</v>
      </c>
      <c r="N445" s="192">
        <f t="shared" ref="N445:S445" si="426">N443+N444</f>
        <v>91.25</v>
      </c>
      <c r="O445" s="192">
        <f t="shared" si="426"/>
        <v>21.135999999999999</v>
      </c>
      <c r="P445" s="192">
        <f t="shared" si="426"/>
        <v>26.425000000000001</v>
      </c>
      <c r="Q445" s="192">
        <f t="shared" si="426"/>
        <v>44.902000000000001</v>
      </c>
      <c r="R445" s="192">
        <f t="shared" si="426"/>
        <v>28.969000000000001</v>
      </c>
      <c r="S445" s="192">
        <f t="shared" si="426"/>
        <v>27.87</v>
      </c>
      <c r="T445" s="194">
        <f t="shared" si="418"/>
        <v>240.55199999999999</v>
      </c>
      <c r="U445" s="194">
        <f t="shared" si="419"/>
        <v>404.01900000000001</v>
      </c>
      <c r="V445" s="194">
        <f t="shared" ref="V445" si="427">V443+V444</f>
        <v>413.40199999999999</v>
      </c>
      <c r="W445" s="192">
        <f t="shared" si="424"/>
        <v>9.3829999999999991</v>
      </c>
    </row>
    <row r="446" spans="1:28" s="172" customFormat="1" ht="18" customHeight="1">
      <c r="A446" s="592"/>
      <c r="B446" s="599"/>
      <c r="C446" s="600"/>
      <c r="D446" s="174" t="s">
        <v>55</v>
      </c>
      <c r="E446" s="192"/>
      <c r="F446" s="192">
        <f t="shared" ref="F446:K447" si="428">F463+F632</f>
        <v>0</v>
      </c>
      <c r="G446" s="192">
        <f t="shared" si="428"/>
        <v>0</v>
      </c>
      <c r="H446" s="192">
        <f t="shared" si="428"/>
        <v>0</v>
      </c>
      <c r="I446" s="192">
        <f t="shared" si="428"/>
        <v>0</v>
      </c>
      <c r="J446" s="192">
        <f t="shared" si="428"/>
        <v>0</v>
      </c>
      <c r="K446" s="192">
        <f t="shared" si="428"/>
        <v>0</v>
      </c>
      <c r="L446" s="194">
        <f t="shared" si="415"/>
        <v>0</v>
      </c>
      <c r="M446" s="194">
        <f t="shared" si="416"/>
        <v>0</v>
      </c>
      <c r="N446" s="192">
        <f t="shared" ref="N446:S447" si="429">N463+N632</f>
        <v>0</v>
      </c>
      <c r="O446" s="192">
        <f t="shared" si="429"/>
        <v>0</v>
      </c>
      <c r="P446" s="192">
        <f t="shared" si="429"/>
        <v>0</v>
      </c>
      <c r="Q446" s="192">
        <f t="shared" si="429"/>
        <v>0</v>
      </c>
      <c r="R446" s="192">
        <f t="shared" si="429"/>
        <v>0</v>
      </c>
      <c r="S446" s="192">
        <f t="shared" si="429"/>
        <v>0</v>
      </c>
      <c r="T446" s="194">
        <f t="shared" si="418"/>
        <v>0</v>
      </c>
      <c r="U446" s="194">
        <f t="shared" si="419"/>
        <v>0</v>
      </c>
      <c r="V446" s="194">
        <f t="shared" ref="V446" si="430">V463+V632</f>
        <v>0</v>
      </c>
      <c r="W446" s="192">
        <f t="shared" si="424"/>
        <v>0</v>
      </c>
    </row>
    <row r="447" spans="1:28" s="172" customFormat="1" ht="18" customHeight="1">
      <c r="A447" s="592"/>
      <c r="B447" s="599"/>
      <c r="C447" s="600"/>
      <c r="D447" s="174" t="s">
        <v>28</v>
      </c>
      <c r="E447" s="192"/>
      <c r="F447" s="192">
        <f t="shared" si="428"/>
        <v>7.4329999999999998</v>
      </c>
      <c r="G447" s="192">
        <f t="shared" si="428"/>
        <v>20.584</v>
      </c>
      <c r="H447" s="192">
        <f t="shared" si="428"/>
        <v>26.399000000000001</v>
      </c>
      <c r="I447" s="192">
        <f t="shared" si="428"/>
        <v>21.292999999999999</v>
      </c>
      <c r="J447" s="192">
        <f t="shared" si="428"/>
        <v>38.444000000000003</v>
      </c>
      <c r="K447" s="192">
        <f t="shared" si="428"/>
        <v>28.533999999999999</v>
      </c>
      <c r="L447" s="194">
        <f t="shared" si="415"/>
        <v>142.68700000000001</v>
      </c>
      <c r="M447" s="194">
        <f t="shared" si="416"/>
        <v>23.780999999999999</v>
      </c>
      <c r="N447" s="192">
        <f t="shared" si="429"/>
        <v>88.647999999999996</v>
      </c>
      <c r="O447" s="192">
        <f t="shared" si="429"/>
        <v>30.352</v>
      </c>
      <c r="P447" s="192">
        <f t="shared" si="429"/>
        <v>38.795999999999999</v>
      </c>
      <c r="Q447" s="192">
        <f t="shared" si="429"/>
        <v>33.838999999999999</v>
      </c>
      <c r="R447" s="192">
        <f t="shared" si="429"/>
        <v>28.744</v>
      </c>
      <c r="S447" s="192">
        <f t="shared" si="429"/>
        <v>50.335999999999999</v>
      </c>
      <c r="T447" s="194">
        <f t="shared" si="418"/>
        <v>270.71499999999997</v>
      </c>
      <c r="U447" s="194">
        <f t="shared" si="419"/>
        <v>413.40199999999999</v>
      </c>
      <c r="V447" s="194">
        <f t="shared" ref="V447" si="431">V464+V633</f>
        <v>413.40199999999999</v>
      </c>
      <c r="W447" s="192">
        <f>V447-U447</f>
        <v>0</v>
      </c>
    </row>
    <row r="448" spans="1:28" s="186" customFormat="1" ht="18" customHeight="1">
      <c r="A448" s="592"/>
      <c r="B448" s="599"/>
      <c r="C448" s="600"/>
      <c r="D448" s="178" t="s">
        <v>117</v>
      </c>
      <c r="E448" s="317">
        <f>E467+E563</f>
        <v>0</v>
      </c>
      <c r="F448" s="420">
        <f t="shared" ref="F448:K448" si="432">F465</f>
        <v>0</v>
      </c>
      <c r="G448" s="420">
        <f t="shared" si="432"/>
        <v>114.869</v>
      </c>
      <c r="H448" s="420">
        <f t="shared" si="432"/>
        <v>151.01499999999999</v>
      </c>
      <c r="I448" s="420">
        <f t="shared" si="432"/>
        <v>155.92099999999999</v>
      </c>
      <c r="J448" s="420">
        <f t="shared" si="432"/>
        <v>139.661</v>
      </c>
      <c r="K448" s="420">
        <f t="shared" si="432"/>
        <v>134.125</v>
      </c>
      <c r="L448" s="262">
        <f t="shared" si="415"/>
        <v>695.59100000000001</v>
      </c>
      <c r="M448" s="262">
        <f t="shared" si="416"/>
        <v>115.932</v>
      </c>
      <c r="N448" s="490">
        <f t="shared" ref="N448:S448" si="433">N465</f>
        <v>118.334</v>
      </c>
      <c r="O448" s="490">
        <f t="shared" si="433"/>
        <v>110.024</v>
      </c>
      <c r="P448" s="490">
        <f t="shared" si="433"/>
        <v>165.97900000000001</v>
      </c>
      <c r="Q448" s="490">
        <f t="shared" si="433"/>
        <v>138.833</v>
      </c>
      <c r="R448" s="490">
        <f t="shared" si="433"/>
        <v>154.233</v>
      </c>
      <c r="S448" s="490">
        <f t="shared" si="433"/>
        <v>268.36200000000002</v>
      </c>
      <c r="T448" s="421">
        <f t="shared" si="418"/>
        <v>955.76499999999999</v>
      </c>
      <c r="U448" s="421">
        <f t="shared" si="419"/>
        <v>1651.356</v>
      </c>
      <c r="V448" s="523">
        <f>V465</f>
        <v>1677.7</v>
      </c>
      <c r="W448" s="523">
        <f>V448-U448</f>
        <v>26.344000000000001</v>
      </c>
      <c r="X448" s="279">
        <f>U441-U448</f>
        <v>0</v>
      </c>
    </row>
    <row r="449" spans="1:28" s="190" customFormat="1" ht="18" customHeight="1">
      <c r="A449" s="592"/>
      <c r="B449" s="599"/>
      <c r="C449" s="600"/>
      <c r="D449" s="187" t="s">
        <v>27</v>
      </c>
      <c r="E449" s="188" t="e">
        <f t="shared" ref="E449:U449" si="434">E450/E448*1000</f>
        <v>#DIV/0!</v>
      </c>
      <c r="F449" s="188" t="e">
        <f t="shared" si="434"/>
        <v>#DIV/0!</v>
      </c>
      <c r="G449" s="188">
        <f t="shared" si="434"/>
        <v>177.202</v>
      </c>
      <c r="H449" s="188">
        <f t="shared" si="434"/>
        <v>174.512</v>
      </c>
      <c r="I449" s="188">
        <f t="shared" si="434"/>
        <v>177.50700000000001</v>
      </c>
      <c r="J449" s="188">
        <f t="shared" si="434"/>
        <v>225.96100000000001</v>
      </c>
      <c r="K449" s="188">
        <f t="shared" si="434"/>
        <v>181.614</v>
      </c>
      <c r="L449" s="188">
        <f t="shared" si="434"/>
        <v>187.327</v>
      </c>
      <c r="M449" s="188">
        <f t="shared" si="434"/>
        <v>187.32499999999999</v>
      </c>
      <c r="N449" s="188">
        <f t="shared" si="434"/>
        <v>842.91099999999994</v>
      </c>
      <c r="O449" s="188">
        <f t="shared" si="434"/>
        <v>183.51499999999999</v>
      </c>
      <c r="P449" s="188">
        <f t="shared" si="434"/>
        <v>186.499</v>
      </c>
      <c r="Q449" s="188">
        <f t="shared" si="434"/>
        <v>327.27800000000002</v>
      </c>
      <c r="R449" s="188">
        <f t="shared" si="434"/>
        <v>182.477</v>
      </c>
      <c r="S449" s="188">
        <f t="shared" si="434"/>
        <v>183.49799999999999</v>
      </c>
      <c r="T449" s="188">
        <f t="shared" si="434"/>
        <v>286.38400000000001</v>
      </c>
      <c r="U449" s="188">
        <f t="shared" si="434"/>
        <v>244.65899999999999</v>
      </c>
      <c r="V449" s="188">
        <f t="shared" ref="V449" si="435">V450/V448*1000</f>
        <v>246.41</v>
      </c>
      <c r="W449" s="189">
        <f>W450/W448*1000</f>
        <v>356.17200000000003</v>
      </c>
      <c r="X449" s="185"/>
    </row>
    <row r="450" spans="1:28" s="213" customFormat="1" ht="18" customHeight="1">
      <c r="A450" s="592"/>
      <c r="B450" s="599"/>
      <c r="C450" s="600"/>
      <c r="D450" s="198" t="s">
        <v>25</v>
      </c>
      <c r="E450" s="316">
        <f>E469+E565</f>
        <v>0</v>
      </c>
      <c r="F450" s="199">
        <f t="shared" ref="F450:K453" si="436">F467+F636</f>
        <v>0</v>
      </c>
      <c r="G450" s="199">
        <f t="shared" si="436"/>
        <v>20.355</v>
      </c>
      <c r="H450" s="199">
        <f t="shared" si="436"/>
        <v>26.353999999999999</v>
      </c>
      <c r="I450" s="199">
        <f t="shared" si="436"/>
        <v>27.677</v>
      </c>
      <c r="J450" s="199">
        <f t="shared" si="436"/>
        <v>31.558</v>
      </c>
      <c r="K450" s="199">
        <f t="shared" si="436"/>
        <v>24.359000000000002</v>
      </c>
      <c r="L450" s="199">
        <f>SUM(F450:K450)</f>
        <v>130.303</v>
      </c>
      <c r="M450" s="199">
        <f>L450/6</f>
        <v>21.716999999999999</v>
      </c>
      <c r="N450" s="199">
        <f t="shared" ref="N450:S453" si="437">N467+N636</f>
        <v>99.745000000000005</v>
      </c>
      <c r="O450" s="199">
        <f t="shared" si="437"/>
        <v>20.190999999999999</v>
      </c>
      <c r="P450" s="199">
        <f t="shared" si="437"/>
        <v>30.954999999999998</v>
      </c>
      <c r="Q450" s="199">
        <f t="shared" si="437"/>
        <v>45.436999999999998</v>
      </c>
      <c r="R450" s="199">
        <f t="shared" si="437"/>
        <v>28.143999999999998</v>
      </c>
      <c r="S450" s="199">
        <f t="shared" si="437"/>
        <v>49.244</v>
      </c>
      <c r="T450" s="199">
        <f>SUM(N450:S450)</f>
        <v>273.71600000000001</v>
      </c>
      <c r="U450" s="199">
        <f>T450+L450</f>
        <v>404.01900000000001</v>
      </c>
      <c r="V450" s="199">
        <f t="shared" ref="V450" si="438">V467+V636</f>
        <v>413.40199999999999</v>
      </c>
      <c r="W450" s="221">
        <f>V450-U450</f>
        <v>9.3829999999999991</v>
      </c>
      <c r="X450" s="176">
        <f>U445-U450</f>
        <v>0</v>
      </c>
    </row>
    <row r="451" spans="1:28" s="213" customFormat="1" ht="18" customHeight="1">
      <c r="A451" s="592"/>
      <c r="B451" s="599"/>
      <c r="C451" s="600"/>
      <c r="D451" s="201" t="s">
        <v>55</v>
      </c>
      <c r="E451" s="220"/>
      <c r="F451" s="199">
        <f t="shared" si="436"/>
        <v>0</v>
      </c>
      <c r="G451" s="199">
        <f t="shared" si="436"/>
        <v>0</v>
      </c>
      <c r="H451" s="199">
        <f t="shared" si="436"/>
        <v>0</v>
      </c>
      <c r="I451" s="199">
        <f t="shared" si="436"/>
        <v>0</v>
      </c>
      <c r="J451" s="199">
        <f t="shared" si="436"/>
        <v>0</v>
      </c>
      <c r="K451" s="199">
        <f t="shared" si="436"/>
        <v>0</v>
      </c>
      <c r="L451" s="199">
        <f>SUM(F451:K451)</f>
        <v>0</v>
      </c>
      <c r="M451" s="199">
        <f>L451/6</f>
        <v>0</v>
      </c>
      <c r="N451" s="199">
        <f t="shared" si="437"/>
        <v>0</v>
      </c>
      <c r="O451" s="199">
        <f t="shared" si="437"/>
        <v>0</v>
      </c>
      <c r="P451" s="199">
        <f t="shared" si="437"/>
        <v>0</v>
      </c>
      <c r="Q451" s="199">
        <f t="shared" si="437"/>
        <v>0</v>
      </c>
      <c r="R451" s="199">
        <f t="shared" si="437"/>
        <v>0</v>
      </c>
      <c r="S451" s="199">
        <f t="shared" si="437"/>
        <v>0</v>
      </c>
      <c r="T451" s="199">
        <f>SUM(N451:S451)</f>
        <v>0</v>
      </c>
      <c r="U451" s="199">
        <f>T451+L451</f>
        <v>0</v>
      </c>
      <c r="V451" s="199">
        <f t="shared" ref="V451" si="439">V468+V637</f>
        <v>0</v>
      </c>
      <c r="W451" s="221">
        <f>V451-U451</f>
        <v>0</v>
      </c>
      <c r="X451" s="176">
        <f>U446-U451</f>
        <v>0</v>
      </c>
    </row>
    <row r="452" spans="1:28" s="213" customFormat="1" ht="18" customHeight="1">
      <c r="A452" s="592"/>
      <c r="B452" s="599"/>
      <c r="C452" s="600"/>
      <c r="D452" s="201" t="s">
        <v>24</v>
      </c>
      <c r="E452" s="199"/>
      <c r="F452" s="199">
        <f t="shared" si="436"/>
        <v>0</v>
      </c>
      <c r="G452" s="199">
        <f t="shared" si="436"/>
        <v>20.355</v>
      </c>
      <c r="H452" s="199">
        <f t="shared" si="436"/>
        <v>26.353999999999999</v>
      </c>
      <c r="I452" s="199">
        <f t="shared" si="436"/>
        <v>27.677</v>
      </c>
      <c r="J452" s="199">
        <f t="shared" si="436"/>
        <v>31.558</v>
      </c>
      <c r="K452" s="199">
        <f t="shared" si="436"/>
        <v>24.359000000000002</v>
      </c>
      <c r="L452" s="199">
        <f>SUM(F452:K452)</f>
        <v>130.303</v>
      </c>
      <c r="M452" s="199">
        <f>L452/6</f>
        <v>21.716999999999999</v>
      </c>
      <c r="N452" s="199">
        <f t="shared" si="437"/>
        <v>99.745000000000005</v>
      </c>
      <c r="O452" s="199">
        <f t="shared" si="437"/>
        <v>20.190999999999999</v>
      </c>
      <c r="P452" s="199">
        <f t="shared" si="437"/>
        <v>30.954999999999998</v>
      </c>
      <c r="Q452" s="199">
        <f t="shared" si="437"/>
        <v>45.436999999999998</v>
      </c>
      <c r="R452" s="199">
        <f t="shared" si="437"/>
        <v>28.143999999999998</v>
      </c>
      <c r="S452" s="199">
        <f t="shared" si="437"/>
        <v>49.244</v>
      </c>
      <c r="T452" s="199">
        <f>SUM(N452:S452)</f>
        <v>273.71600000000001</v>
      </c>
      <c r="U452" s="199">
        <f>T452+L452</f>
        <v>404.01900000000001</v>
      </c>
      <c r="V452" s="199">
        <f t="shared" ref="V452" si="440">V469+V638</f>
        <v>413.40199999999999</v>
      </c>
      <c r="W452" s="221">
        <f>V452-U452</f>
        <v>9.3829999999999991</v>
      </c>
      <c r="X452" s="176">
        <f>U447-U452</f>
        <v>9.3829999999999991</v>
      </c>
    </row>
    <row r="453" spans="1:28" s="205" customFormat="1" ht="18" customHeight="1">
      <c r="A453" s="592"/>
      <c r="B453" s="599"/>
      <c r="C453" s="600"/>
      <c r="D453" s="202" t="s">
        <v>29</v>
      </c>
      <c r="E453" s="203"/>
      <c r="F453" s="203">
        <f t="shared" si="436"/>
        <v>7.4329999999999998</v>
      </c>
      <c r="G453" s="203">
        <f t="shared" si="436"/>
        <v>20.584</v>
      </c>
      <c r="H453" s="203">
        <f t="shared" si="436"/>
        <v>26.399000000000001</v>
      </c>
      <c r="I453" s="203">
        <f t="shared" si="436"/>
        <v>21.292999999999999</v>
      </c>
      <c r="J453" s="203">
        <f t="shared" si="436"/>
        <v>38.444000000000003</v>
      </c>
      <c r="K453" s="203">
        <f t="shared" si="436"/>
        <v>28.533999999999999</v>
      </c>
      <c r="L453" s="203">
        <f>SUM(F453:K453)</f>
        <v>142.68700000000001</v>
      </c>
      <c r="M453" s="203">
        <f>L453/6</f>
        <v>23.780999999999999</v>
      </c>
      <c r="N453" s="203">
        <f t="shared" si="437"/>
        <v>88.647999999999996</v>
      </c>
      <c r="O453" s="203">
        <f t="shared" si="437"/>
        <v>30.352</v>
      </c>
      <c r="P453" s="203">
        <f t="shared" si="437"/>
        <v>38.795999999999999</v>
      </c>
      <c r="Q453" s="203">
        <f t="shared" si="437"/>
        <v>33.838999999999999</v>
      </c>
      <c r="R453" s="203">
        <f t="shared" si="437"/>
        <v>28.744</v>
      </c>
      <c r="S453" s="203">
        <f t="shared" si="437"/>
        <v>50.335999999999999</v>
      </c>
      <c r="T453" s="203">
        <f>SUM(N453:S453)</f>
        <v>270.71499999999997</v>
      </c>
      <c r="U453" s="203">
        <f>T453+L453</f>
        <v>413.40199999999999</v>
      </c>
      <c r="V453" s="203">
        <f>V470+V639</f>
        <v>413.40199999999999</v>
      </c>
      <c r="W453" s="203">
        <f>V453-U453</f>
        <v>0</v>
      </c>
    </row>
    <row r="454" spans="1:28" s="205" customFormat="1" ht="18" customHeight="1">
      <c r="A454" s="592"/>
      <c r="B454" s="599"/>
      <c r="C454" s="600"/>
      <c r="D454" s="202" t="s">
        <v>30</v>
      </c>
      <c r="E454" s="203"/>
      <c r="F454" s="203">
        <f t="shared" ref="F454:K454" si="441">F450-F453</f>
        <v>-7.4329999999999998</v>
      </c>
      <c r="G454" s="203">
        <f t="shared" si="441"/>
        <v>-0.22900000000000001</v>
      </c>
      <c r="H454" s="203">
        <f t="shared" si="441"/>
        <v>-4.4999999999999998E-2</v>
      </c>
      <c r="I454" s="203">
        <f t="shared" si="441"/>
        <v>6.3840000000000003</v>
      </c>
      <c r="J454" s="203">
        <f t="shared" si="441"/>
        <v>-6.8860000000000001</v>
      </c>
      <c r="K454" s="203">
        <f t="shared" si="441"/>
        <v>-4.1749999999999998</v>
      </c>
      <c r="L454" s="203"/>
      <c r="M454" s="203"/>
      <c r="N454" s="203">
        <f t="shared" ref="N454:S454" si="442">N450-N453</f>
        <v>11.097</v>
      </c>
      <c r="O454" s="203">
        <f t="shared" si="442"/>
        <v>-10.161</v>
      </c>
      <c r="P454" s="203">
        <f t="shared" si="442"/>
        <v>-7.8410000000000002</v>
      </c>
      <c r="Q454" s="203">
        <f t="shared" si="442"/>
        <v>11.598000000000001</v>
      </c>
      <c r="R454" s="203">
        <f t="shared" si="442"/>
        <v>-0.6</v>
      </c>
      <c r="S454" s="203">
        <f t="shared" si="442"/>
        <v>-1.0920000000000001</v>
      </c>
      <c r="T454" s="203"/>
      <c r="U454" s="203"/>
      <c r="V454" s="203"/>
      <c r="W454" s="203"/>
    </row>
    <row r="455" spans="1:28" s="205" customFormat="1" ht="18" customHeight="1">
      <c r="A455" s="593"/>
      <c r="B455" s="601"/>
      <c r="C455" s="602"/>
      <c r="D455" s="202" t="s">
        <v>31</v>
      </c>
      <c r="E455" s="203"/>
      <c r="F455" s="203">
        <f>F454</f>
        <v>-7.4329999999999998</v>
      </c>
      <c r="G455" s="203">
        <f>G454+F455</f>
        <v>-7.6619999999999999</v>
      </c>
      <c r="H455" s="203">
        <f>H454+G455</f>
        <v>-7.7069999999999999</v>
      </c>
      <c r="I455" s="203">
        <f>I454+H455</f>
        <v>-1.323</v>
      </c>
      <c r="J455" s="203">
        <f>J454+I455</f>
        <v>-8.2089999999999996</v>
      </c>
      <c r="K455" s="203">
        <f>K454+J455</f>
        <v>-12.384</v>
      </c>
      <c r="L455" s="203"/>
      <c r="M455" s="203"/>
      <c r="N455" s="203">
        <f>N454+K455</f>
        <v>-1.2869999999999999</v>
      </c>
      <c r="O455" s="203">
        <f>O454+N455</f>
        <v>-11.448</v>
      </c>
      <c r="P455" s="203">
        <f>P454+O455</f>
        <v>-19.289000000000001</v>
      </c>
      <c r="Q455" s="203">
        <f>Q454+P455</f>
        <v>-7.6909999999999998</v>
      </c>
      <c r="R455" s="203">
        <f>R454+Q455</f>
        <v>-8.2910000000000004</v>
      </c>
      <c r="S455" s="203">
        <f>S454+R455</f>
        <v>-9.3829999999999991</v>
      </c>
      <c r="T455" s="203"/>
      <c r="U455" s="203"/>
      <c r="V455" s="203"/>
      <c r="W455" s="203"/>
    </row>
    <row r="456" spans="1:28" s="196" customFormat="1" ht="18" customHeight="1">
      <c r="A456" s="614"/>
      <c r="B456" s="580" t="s">
        <v>90</v>
      </c>
      <c r="C456" s="575"/>
      <c r="D456" s="178" t="s">
        <v>105</v>
      </c>
      <c r="E456" s="179"/>
      <c r="F456" s="180">
        <f t="shared" ref="F456:K458" si="443">F473+F550</f>
        <v>110.9</v>
      </c>
      <c r="G456" s="180">
        <f t="shared" si="443"/>
        <v>109.5</v>
      </c>
      <c r="H456" s="180">
        <f t="shared" si="443"/>
        <v>122.9</v>
      </c>
      <c r="I456" s="180">
        <f t="shared" si="443"/>
        <v>126.9</v>
      </c>
      <c r="J456" s="180">
        <f t="shared" si="443"/>
        <v>122.6</v>
      </c>
      <c r="K456" s="180">
        <f t="shared" si="443"/>
        <v>103.3</v>
      </c>
      <c r="L456" s="181">
        <f>SUM(F456:K456)</f>
        <v>696.1</v>
      </c>
      <c r="M456" s="181">
        <f>L456/6</f>
        <v>116</v>
      </c>
      <c r="N456" s="180">
        <f t="shared" ref="N456:S458" si="444">N473+N550</f>
        <v>110.1</v>
      </c>
      <c r="O456" s="180">
        <f t="shared" si="444"/>
        <v>124.5</v>
      </c>
      <c r="P456" s="180">
        <f t="shared" si="444"/>
        <v>125.8</v>
      </c>
      <c r="Q456" s="180">
        <f t="shared" si="444"/>
        <v>126.7</v>
      </c>
      <c r="R456" s="180">
        <f t="shared" si="444"/>
        <v>119.8</v>
      </c>
      <c r="S456" s="180">
        <f t="shared" si="444"/>
        <v>123.5</v>
      </c>
      <c r="T456" s="181">
        <f>SUM(N456:S456)</f>
        <v>730.4</v>
      </c>
      <c r="U456" s="181">
        <f>T456+L456</f>
        <v>1426.5</v>
      </c>
      <c r="V456" s="233"/>
      <c r="W456" s="184"/>
      <c r="X456" s="185"/>
      <c r="Y456" s="186"/>
      <c r="Z456" s="186"/>
      <c r="AA456" s="186"/>
      <c r="AB456" s="186"/>
    </row>
    <row r="457" spans="1:28" s="186" customFormat="1" ht="18" customHeight="1">
      <c r="A457" s="614"/>
      <c r="B457" s="576"/>
      <c r="C457" s="577"/>
      <c r="D457" s="178" t="s">
        <v>109</v>
      </c>
      <c r="E457" s="179"/>
      <c r="F457" s="180">
        <f t="shared" si="443"/>
        <v>120.5</v>
      </c>
      <c r="G457" s="180">
        <f t="shared" si="443"/>
        <v>114.8</v>
      </c>
      <c r="H457" s="180">
        <f t="shared" si="443"/>
        <v>115.6</v>
      </c>
      <c r="I457" s="180">
        <f t="shared" si="443"/>
        <v>125.1</v>
      </c>
      <c r="J457" s="180">
        <f t="shared" si="443"/>
        <v>124.9</v>
      </c>
      <c r="K457" s="180">
        <f t="shared" si="443"/>
        <v>111.3</v>
      </c>
      <c r="L457" s="181">
        <f>SUM(F457:K457)</f>
        <v>712.2</v>
      </c>
      <c r="M457" s="181">
        <f>L457/6</f>
        <v>118.7</v>
      </c>
      <c r="N457" s="180">
        <f t="shared" si="444"/>
        <v>121.2</v>
      </c>
      <c r="O457" s="180">
        <f t="shared" si="444"/>
        <v>123.1</v>
      </c>
      <c r="P457" s="180">
        <f t="shared" si="444"/>
        <v>124.8</v>
      </c>
      <c r="Q457" s="180">
        <f t="shared" si="444"/>
        <v>120.6</v>
      </c>
      <c r="R457" s="180">
        <f t="shared" si="444"/>
        <v>133.4</v>
      </c>
      <c r="S457" s="180">
        <f t="shared" si="444"/>
        <v>118.6</v>
      </c>
      <c r="T457" s="181">
        <f>SUM(N457:S457)</f>
        <v>741.7</v>
      </c>
      <c r="U457" s="181">
        <f>T457+L457</f>
        <v>1453.9</v>
      </c>
      <c r="V457" s="233"/>
      <c r="W457" s="184"/>
      <c r="X457" s="185"/>
    </row>
    <row r="458" spans="1:28" s="186" customFormat="1" ht="18" customHeight="1">
      <c r="A458" s="614"/>
      <c r="B458" s="576"/>
      <c r="C458" s="577"/>
      <c r="D458" s="178" t="s">
        <v>116</v>
      </c>
      <c r="E458" s="179"/>
      <c r="F458" s="264">
        <f t="shared" si="443"/>
        <v>145.505</v>
      </c>
      <c r="G458" s="264">
        <f t="shared" si="443"/>
        <v>129.28399999999999</v>
      </c>
      <c r="H458" s="264">
        <f t="shared" si="443"/>
        <v>148.13399999999999</v>
      </c>
      <c r="I458" s="264">
        <f t="shared" si="443"/>
        <v>139.71100000000001</v>
      </c>
      <c r="J458" s="264">
        <f t="shared" si="443"/>
        <v>130.89099999999999</v>
      </c>
      <c r="K458" s="264">
        <f t="shared" si="443"/>
        <v>122.78100000000001</v>
      </c>
      <c r="L458" s="325">
        <f>SUM(F458:K458)</f>
        <v>816.30600000000004</v>
      </c>
      <c r="M458" s="325">
        <f>L458/6</f>
        <v>136.05099999999999</v>
      </c>
      <c r="N458" s="264">
        <f t="shared" si="444"/>
        <v>132.584</v>
      </c>
      <c r="O458" s="264">
        <f t="shared" si="444"/>
        <v>110.425</v>
      </c>
      <c r="P458" s="264">
        <f t="shared" si="444"/>
        <v>139.93299999999999</v>
      </c>
      <c r="Q458" s="264">
        <f t="shared" si="444"/>
        <v>137.233</v>
      </c>
      <c r="R458" s="264">
        <f t="shared" si="444"/>
        <v>159.04</v>
      </c>
      <c r="S458" s="264">
        <f t="shared" si="444"/>
        <v>155.84700000000001</v>
      </c>
      <c r="T458" s="325">
        <f>SUM(N458:S458)</f>
        <v>835.06200000000001</v>
      </c>
      <c r="U458" s="334">
        <f>T458+L458</f>
        <v>1651.3679999999999</v>
      </c>
      <c r="V458" s="233">
        <f>V475+V552</f>
        <v>1677.7</v>
      </c>
      <c r="W458" s="184">
        <f>V458-U458</f>
        <v>26.3</v>
      </c>
      <c r="X458" s="185"/>
    </row>
    <row r="459" spans="1:28" s="190" customFormat="1" ht="18" customHeight="1">
      <c r="A459" s="614"/>
      <c r="B459" s="576"/>
      <c r="C459" s="577"/>
      <c r="D459" s="187" t="s">
        <v>27</v>
      </c>
      <c r="E459" s="188"/>
      <c r="F459" s="188">
        <f t="shared" ref="F459:W459" si="445">F460/F458*1000</f>
        <v>176.18</v>
      </c>
      <c r="G459" s="188">
        <f t="shared" si="445"/>
        <v>176.65799999999999</v>
      </c>
      <c r="H459" s="188">
        <f t="shared" si="445"/>
        <v>175.834</v>
      </c>
      <c r="I459" s="188">
        <f t="shared" si="445"/>
        <v>180.64400000000001</v>
      </c>
      <c r="J459" s="188">
        <f t="shared" si="445"/>
        <v>181.601</v>
      </c>
      <c r="K459" s="188">
        <f t="shared" si="445"/>
        <v>181.52600000000001</v>
      </c>
      <c r="L459" s="188">
        <f t="shared" si="445"/>
        <v>178.63</v>
      </c>
      <c r="M459" s="188">
        <f t="shared" si="445"/>
        <v>178.63200000000001</v>
      </c>
      <c r="N459" s="188">
        <f t="shared" si="445"/>
        <v>182.69200000000001</v>
      </c>
      <c r="O459" s="188">
        <f t="shared" si="445"/>
        <v>191.17</v>
      </c>
      <c r="P459" s="188">
        <f t="shared" si="445"/>
        <v>188.64</v>
      </c>
      <c r="Q459" s="188">
        <f t="shared" si="445"/>
        <v>187.09800000000001</v>
      </c>
      <c r="R459" s="188">
        <f t="shared" si="445"/>
        <v>181.97300000000001</v>
      </c>
      <c r="S459" s="188">
        <f t="shared" si="445"/>
        <v>178.624</v>
      </c>
      <c r="T459" s="188">
        <f t="shared" si="445"/>
        <v>184.63800000000001</v>
      </c>
      <c r="U459" s="188">
        <f t="shared" si="445"/>
        <v>181.66800000000001</v>
      </c>
      <c r="V459" s="188">
        <f t="shared" si="445"/>
        <v>184.38900000000001</v>
      </c>
      <c r="W459" s="188">
        <f t="shared" si="445"/>
        <v>355.47500000000002</v>
      </c>
      <c r="X459" s="225"/>
    </row>
    <row r="460" spans="1:28" s="244" customFormat="1" ht="18" customHeight="1">
      <c r="A460" s="614"/>
      <c r="B460" s="576"/>
      <c r="C460" s="577"/>
      <c r="D460" s="191" t="s">
        <v>0</v>
      </c>
      <c r="E460" s="192"/>
      <c r="F460" s="192">
        <f t="shared" ref="F460:K461" si="446">F477+F554</f>
        <v>25.635000000000002</v>
      </c>
      <c r="G460" s="192">
        <f t="shared" si="446"/>
        <v>22.838999999999999</v>
      </c>
      <c r="H460" s="192">
        <f t="shared" si="446"/>
        <v>26.047000000000001</v>
      </c>
      <c r="I460" s="192">
        <f t="shared" si="446"/>
        <v>25.238</v>
      </c>
      <c r="J460" s="192">
        <f t="shared" si="446"/>
        <v>23.77</v>
      </c>
      <c r="K460" s="192">
        <f t="shared" si="446"/>
        <v>22.288</v>
      </c>
      <c r="L460" s="194">
        <f t="shared" ref="L460:L465" si="447">SUM(F460:K460)</f>
        <v>145.81700000000001</v>
      </c>
      <c r="M460" s="194">
        <f t="shared" ref="M460:M465" si="448">L460/6</f>
        <v>24.303000000000001</v>
      </c>
      <c r="N460" s="192">
        <f t="shared" ref="N460:S461" si="449">N477+N554</f>
        <v>24.222000000000001</v>
      </c>
      <c r="O460" s="192">
        <f t="shared" si="449"/>
        <v>21.11</v>
      </c>
      <c r="P460" s="192">
        <f t="shared" si="449"/>
        <v>26.396999999999998</v>
      </c>
      <c r="Q460" s="192">
        <f t="shared" si="449"/>
        <v>25.675999999999998</v>
      </c>
      <c r="R460" s="192">
        <f t="shared" si="449"/>
        <v>28.940999999999999</v>
      </c>
      <c r="S460" s="192">
        <f t="shared" si="449"/>
        <v>27.838000000000001</v>
      </c>
      <c r="T460" s="194">
        <f t="shared" ref="T460:T465" si="450">SUM(N460:S460)</f>
        <v>154.184</v>
      </c>
      <c r="U460" s="194">
        <f t="shared" ref="U460:U465" si="451">T460+L460</f>
        <v>300.00099999999998</v>
      </c>
      <c r="V460" s="194">
        <f t="shared" ref="V460" si="452">V477+V554</f>
        <v>309.35000000000002</v>
      </c>
      <c r="W460" s="192">
        <f>V460-U460</f>
        <v>9.3490000000000002</v>
      </c>
    </row>
    <row r="461" spans="1:28" s="244" customFormat="1" ht="18" customHeight="1">
      <c r="A461" s="614"/>
      <c r="B461" s="576"/>
      <c r="C461" s="577"/>
      <c r="D461" s="174" t="s">
        <v>102</v>
      </c>
      <c r="E461" s="192"/>
      <c r="F461" s="192">
        <f t="shared" si="446"/>
        <v>2.8000000000000001E-2</v>
      </c>
      <c r="G461" s="192">
        <f t="shared" si="446"/>
        <v>2.3E-2</v>
      </c>
      <c r="H461" s="192">
        <f t="shared" si="446"/>
        <v>2.5999999999999999E-2</v>
      </c>
      <c r="I461" s="192">
        <f t="shared" si="446"/>
        <v>2.5999999999999999E-2</v>
      </c>
      <c r="J461" s="192">
        <f t="shared" si="446"/>
        <v>2.5999999999999999E-2</v>
      </c>
      <c r="K461" s="192">
        <f t="shared" si="446"/>
        <v>2.4E-2</v>
      </c>
      <c r="L461" s="194">
        <f t="shared" si="447"/>
        <v>0.153</v>
      </c>
      <c r="M461" s="194">
        <f t="shared" si="448"/>
        <v>2.5999999999999999E-2</v>
      </c>
      <c r="N461" s="192">
        <f t="shared" si="449"/>
        <v>2.5999999999999999E-2</v>
      </c>
      <c r="O461" s="192">
        <f t="shared" si="449"/>
        <v>2.5999999999999999E-2</v>
      </c>
      <c r="P461" s="192">
        <f t="shared" si="449"/>
        <v>2.8000000000000001E-2</v>
      </c>
      <c r="Q461" s="192">
        <f t="shared" si="449"/>
        <v>2.8000000000000001E-2</v>
      </c>
      <c r="R461" s="192">
        <f t="shared" si="449"/>
        <v>2.8000000000000001E-2</v>
      </c>
      <c r="S461" s="192">
        <f t="shared" si="449"/>
        <v>3.2000000000000001E-2</v>
      </c>
      <c r="T461" s="194">
        <f t="shared" si="450"/>
        <v>0.16800000000000001</v>
      </c>
      <c r="U461" s="194">
        <f t="shared" si="451"/>
        <v>0.32100000000000001</v>
      </c>
      <c r="V461" s="194">
        <f>V478+V555</f>
        <v>0.35199999999999998</v>
      </c>
      <c r="W461" s="192">
        <f t="shared" ref="W461:W462" si="453">V461-U461</f>
        <v>3.1E-2</v>
      </c>
    </row>
    <row r="462" spans="1:28" s="244" customFormat="1" ht="18" customHeight="1">
      <c r="A462" s="614"/>
      <c r="B462" s="576"/>
      <c r="C462" s="577"/>
      <c r="D462" s="174" t="s">
        <v>103</v>
      </c>
      <c r="E462" s="192"/>
      <c r="F462" s="192">
        <f t="shared" ref="F462:K462" si="454">F460+F461</f>
        <v>25.663</v>
      </c>
      <c r="G462" s="192">
        <f t="shared" si="454"/>
        <v>22.861999999999998</v>
      </c>
      <c r="H462" s="192">
        <f t="shared" si="454"/>
        <v>26.073</v>
      </c>
      <c r="I462" s="192">
        <f t="shared" si="454"/>
        <v>25.263999999999999</v>
      </c>
      <c r="J462" s="192">
        <f t="shared" si="454"/>
        <v>23.795999999999999</v>
      </c>
      <c r="K462" s="192">
        <f t="shared" si="454"/>
        <v>22.312000000000001</v>
      </c>
      <c r="L462" s="194">
        <f t="shared" si="447"/>
        <v>145.97</v>
      </c>
      <c r="M462" s="194">
        <f t="shared" si="448"/>
        <v>24.327999999999999</v>
      </c>
      <c r="N462" s="192">
        <f t="shared" ref="N462:S462" si="455">N460+N461</f>
        <v>24.248000000000001</v>
      </c>
      <c r="O462" s="192">
        <f t="shared" si="455"/>
        <v>21.135999999999999</v>
      </c>
      <c r="P462" s="192">
        <f t="shared" si="455"/>
        <v>26.425000000000001</v>
      </c>
      <c r="Q462" s="192">
        <f t="shared" si="455"/>
        <v>25.704000000000001</v>
      </c>
      <c r="R462" s="192">
        <f t="shared" si="455"/>
        <v>28.969000000000001</v>
      </c>
      <c r="S462" s="192">
        <f t="shared" si="455"/>
        <v>27.87</v>
      </c>
      <c r="T462" s="194">
        <f t="shared" si="450"/>
        <v>154.352</v>
      </c>
      <c r="U462" s="194">
        <f t="shared" si="451"/>
        <v>300.322</v>
      </c>
      <c r="V462" s="194">
        <f t="shared" ref="V462" si="456">V460+V461</f>
        <v>309.702</v>
      </c>
      <c r="W462" s="192">
        <f t="shared" si="453"/>
        <v>9.3800000000000008</v>
      </c>
    </row>
    <row r="463" spans="1:28" s="244" customFormat="1" ht="18" customHeight="1">
      <c r="A463" s="614"/>
      <c r="B463" s="576"/>
      <c r="C463" s="577"/>
      <c r="D463" s="174" t="s">
        <v>55</v>
      </c>
      <c r="E463" s="210"/>
      <c r="F463" s="192">
        <f t="shared" ref="F463:K465" si="457">F480+F557</f>
        <v>0</v>
      </c>
      <c r="G463" s="192">
        <f t="shared" si="457"/>
        <v>0</v>
      </c>
      <c r="H463" s="192">
        <f t="shared" si="457"/>
        <v>0</v>
      </c>
      <c r="I463" s="192">
        <f t="shared" si="457"/>
        <v>0</v>
      </c>
      <c r="J463" s="192">
        <f t="shared" si="457"/>
        <v>0</v>
      </c>
      <c r="K463" s="192">
        <f t="shared" si="457"/>
        <v>0</v>
      </c>
      <c r="L463" s="194">
        <f t="shared" si="447"/>
        <v>0</v>
      </c>
      <c r="M463" s="194">
        <f t="shared" si="448"/>
        <v>0</v>
      </c>
      <c r="N463" s="192">
        <f t="shared" ref="N463:S465" si="458">N480+N557</f>
        <v>0</v>
      </c>
      <c r="O463" s="192">
        <f t="shared" si="458"/>
        <v>0</v>
      </c>
      <c r="P463" s="192">
        <f t="shared" si="458"/>
        <v>0</v>
      </c>
      <c r="Q463" s="192">
        <f t="shared" si="458"/>
        <v>0</v>
      </c>
      <c r="R463" s="192">
        <f t="shared" si="458"/>
        <v>0</v>
      </c>
      <c r="S463" s="192">
        <f t="shared" si="458"/>
        <v>0</v>
      </c>
      <c r="T463" s="194">
        <f t="shared" si="450"/>
        <v>0</v>
      </c>
      <c r="U463" s="194">
        <f t="shared" si="451"/>
        <v>0</v>
      </c>
      <c r="V463" s="194">
        <f>V480+V557</f>
        <v>0</v>
      </c>
      <c r="W463" s="192">
        <f>V463-U463</f>
        <v>0</v>
      </c>
    </row>
    <row r="464" spans="1:28" s="244" customFormat="1" ht="18" customHeight="1">
      <c r="A464" s="614"/>
      <c r="B464" s="576"/>
      <c r="C464" s="577"/>
      <c r="D464" s="174" t="s">
        <v>28</v>
      </c>
      <c r="E464" s="210"/>
      <c r="F464" s="192">
        <f t="shared" si="457"/>
        <v>7.4329999999999998</v>
      </c>
      <c r="G464" s="192">
        <f t="shared" si="457"/>
        <v>20.584</v>
      </c>
      <c r="H464" s="192">
        <f t="shared" si="457"/>
        <v>26.399000000000001</v>
      </c>
      <c r="I464" s="192">
        <f t="shared" si="457"/>
        <v>21.292999999999999</v>
      </c>
      <c r="J464" s="192">
        <f t="shared" si="457"/>
        <v>25.995999999999999</v>
      </c>
      <c r="K464" s="192">
        <f t="shared" si="457"/>
        <v>24.234000000000002</v>
      </c>
      <c r="L464" s="194">
        <f t="shared" si="447"/>
        <v>125.93899999999999</v>
      </c>
      <c r="M464" s="194">
        <f t="shared" si="448"/>
        <v>20.99</v>
      </c>
      <c r="N464" s="192">
        <f t="shared" si="458"/>
        <v>22.099</v>
      </c>
      <c r="O464" s="192">
        <f t="shared" si="458"/>
        <v>19.952000000000002</v>
      </c>
      <c r="P464" s="192">
        <f t="shared" si="458"/>
        <v>30.545000000000002</v>
      </c>
      <c r="Q464" s="192">
        <f t="shared" si="458"/>
        <v>33.838999999999999</v>
      </c>
      <c r="R464" s="192">
        <f t="shared" si="458"/>
        <v>28.744</v>
      </c>
      <c r="S464" s="192">
        <f t="shared" si="458"/>
        <v>48.584000000000003</v>
      </c>
      <c r="T464" s="194">
        <f t="shared" si="450"/>
        <v>183.76300000000001</v>
      </c>
      <c r="U464" s="194">
        <f t="shared" si="451"/>
        <v>309.702</v>
      </c>
      <c r="V464" s="194">
        <f>V481+V558</f>
        <v>309.702</v>
      </c>
      <c r="W464" s="192">
        <f>V464-U464</f>
        <v>0</v>
      </c>
    </row>
    <row r="465" spans="1:28" s="186" customFormat="1" ht="18" customHeight="1">
      <c r="A465" s="614"/>
      <c r="B465" s="576"/>
      <c r="C465" s="577"/>
      <c r="D465" s="178" t="s">
        <v>117</v>
      </c>
      <c r="E465" s="180">
        <f>E482+E559</f>
        <v>0</v>
      </c>
      <c r="F465" s="264">
        <f t="shared" si="457"/>
        <v>0</v>
      </c>
      <c r="G465" s="264">
        <f t="shared" si="457"/>
        <v>114.869</v>
      </c>
      <c r="H465" s="264">
        <f t="shared" si="457"/>
        <v>151.01499999999999</v>
      </c>
      <c r="I465" s="264">
        <f t="shared" si="457"/>
        <v>155.92099999999999</v>
      </c>
      <c r="J465" s="264">
        <f t="shared" si="457"/>
        <v>139.661</v>
      </c>
      <c r="K465" s="264">
        <f t="shared" si="457"/>
        <v>134.125</v>
      </c>
      <c r="L465" s="325">
        <f t="shared" si="447"/>
        <v>695.59100000000001</v>
      </c>
      <c r="M465" s="325">
        <f t="shared" si="448"/>
        <v>115.932</v>
      </c>
      <c r="N465" s="264">
        <f t="shared" si="458"/>
        <v>118.334</v>
      </c>
      <c r="O465" s="264">
        <f t="shared" si="458"/>
        <v>110.024</v>
      </c>
      <c r="P465" s="264">
        <f t="shared" si="458"/>
        <v>165.97900000000001</v>
      </c>
      <c r="Q465" s="264">
        <f t="shared" si="458"/>
        <v>138.833</v>
      </c>
      <c r="R465" s="264">
        <f t="shared" si="458"/>
        <v>154.233</v>
      </c>
      <c r="S465" s="264">
        <f t="shared" si="458"/>
        <v>268.36200000000002</v>
      </c>
      <c r="T465" s="325">
        <f t="shared" si="450"/>
        <v>955.76499999999999</v>
      </c>
      <c r="U465" s="334">
        <f t="shared" si="451"/>
        <v>1651.356</v>
      </c>
      <c r="V465" s="463">
        <f>V482+V559</f>
        <v>1677.7</v>
      </c>
      <c r="W465" s="184">
        <f>V465-U465</f>
        <v>26.3</v>
      </c>
      <c r="X465" s="185">
        <f>U458-U465</f>
        <v>1.2E-2</v>
      </c>
    </row>
    <row r="466" spans="1:28" s="190" customFormat="1" ht="18" customHeight="1">
      <c r="A466" s="614"/>
      <c r="B466" s="576"/>
      <c r="C466" s="577"/>
      <c r="D466" s="187" t="s">
        <v>27</v>
      </c>
      <c r="E466" s="188" t="e">
        <f t="shared" ref="E466:W466" si="459">E467/E465*1000</f>
        <v>#DIV/0!</v>
      </c>
      <c r="F466" s="188" t="e">
        <f t="shared" si="459"/>
        <v>#DIV/0!</v>
      </c>
      <c r="G466" s="188">
        <f t="shared" si="459"/>
        <v>177.202</v>
      </c>
      <c r="H466" s="188">
        <f t="shared" si="459"/>
        <v>174.512</v>
      </c>
      <c r="I466" s="188">
        <f t="shared" si="459"/>
        <v>177.50700000000001</v>
      </c>
      <c r="J466" s="188">
        <f t="shared" si="459"/>
        <v>180.85900000000001</v>
      </c>
      <c r="K466" s="188">
        <f t="shared" si="459"/>
        <v>181.614</v>
      </c>
      <c r="L466" s="188">
        <f t="shared" si="459"/>
        <v>178.27099999999999</v>
      </c>
      <c r="M466" s="188">
        <f t="shared" si="459"/>
        <v>178.268</v>
      </c>
      <c r="N466" s="188">
        <f t="shared" si="459"/>
        <v>182.06899999999999</v>
      </c>
      <c r="O466" s="188">
        <f t="shared" si="459"/>
        <v>183.51499999999999</v>
      </c>
      <c r="P466" s="188">
        <f t="shared" si="459"/>
        <v>186.499</v>
      </c>
      <c r="Q466" s="188">
        <f t="shared" si="459"/>
        <v>188.99700000000001</v>
      </c>
      <c r="R466" s="188">
        <f t="shared" si="459"/>
        <v>182.477</v>
      </c>
      <c r="S466" s="188">
        <f t="shared" si="459"/>
        <v>183.49799999999999</v>
      </c>
      <c r="T466" s="188">
        <f t="shared" si="459"/>
        <v>184.47800000000001</v>
      </c>
      <c r="U466" s="188">
        <f t="shared" si="459"/>
        <v>181.864</v>
      </c>
      <c r="V466" s="188">
        <f t="shared" si="459"/>
        <v>184.59899999999999</v>
      </c>
      <c r="W466" s="188">
        <f t="shared" si="459"/>
        <v>356.654</v>
      </c>
      <c r="X466" s="225"/>
    </row>
    <row r="467" spans="1:28" s="239" customFormat="1" ht="18" customHeight="1">
      <c r="A467" s="614"/>
      <c r="B467" s="576"/>
      <c r="C467" s="577"/>
      <c r="D467" s="198" t="s">
        <v>25</v>
      </c>
      <c r="E467" s="221">
        <f t="shared" ref="E467:K467" si="460">E484+E561</f>
        <v>0</v>
      </c>
      <c r="F467" s="199">
        <f t="shared" si="460"/>
        <v>0</v>
      </c>
      <c r="G467" s="199">
        <f t="shared" si="460"/>
        <v>20.355</v>
      </c>
      <c r="H467" s="199">
        <f t="shared" si="460"/>
        <v>26.353999999999999</v>
      </c>
      <c r="I467" s="199">
        <f t="shared" si="460"/>
        <v>27.677</v>
      </c>
      <c r="J467" s="199">
        <f t="shared" si="460"/>
        <v>25.259</v>
      </c>
      <c r="K467" s="199">
        <f t="shared" si="460"/>
        <v>24.359000000000002</v>
      </c>
      <c r="L467" s="199">
        <f>SUM(F467:K467)</f>
        <v>124.004</v>
      </c>
      <c r="M467" s="199">
        <f>L467/6</f>
        <v>20.667000000000002</v>
      </c>
      <c r="N467" s="199">
        <f t="shared" ref="N467:S469" si="461">N484+N561</f>
        <v>21.545000000000002</v>
      </c>
      <c r="O467" s="199">
        <f t="shared" si="461"/>
        <v>20.190999999999999</v>
      </c>
      <c r="P467" s="199">
        <f t="shared" si="461"/>
        <v>30.954999999999998</v>
      </c>
      <c r="Q467" s="199">
        <f t="shared" si="461"/>
        <v>26.239000000000001</v>
      </c>
      <c r="R467" s="199">
        <f t="shared" si="461"/>
        <v>28.143999999999998</v>
      </c>
      <c r="S467" s="199">
        <f t="shared" si="461"/>
        <v>49.244</v>
      </c>
      <c r="T467" s="199">
        <f>SUM(N467:S467)</f>
        <v>176.31800000000001</v>
      </c>
      <c r="U467" s="199">
        <f>T467+L467</f>
        <v>300.322</v>
      </c>
      <c r="V467" s="199">
        <f>V484+V561</f>
        <v>309.702</v>
      </c>
      <c r="W467" s="221">
        <f>V467-U467</f>
        <v>9.3800000000000008</v>
      </c>
      <c r="X467" s="176">
        <f>U462-U467</f>
        <v>0</v>
      </c>
    </row>
    <row r="468" spans="1:28" s="239" customFormat="1" ht="18" customHeight="1">
      <c r="A468" s="614"/>
      <c r="B468" s="576"/>
      <c r="C468" s="577"/>
      <c r="D468" s="201" t="s">
        <v>55</v>
      </c>
      <c r="E468" s="220"/>
      <c r="F468" s="199">
        <f t="shared" ref="F468:K469" si="462">F485+F562</f>
        <v>0</v>
      </c>
      <c r="G468" s="199">
        <f t="shared" si="462"/>
        <v>0</v>
      </c>
      <c r="H468" s="199">
        <f t="shared" si="462"/>
        <v>0</v>
      </c>
      <c r="I468" s="199">
        <f t="shared" si="462"/>
        <v>0</v>
      </c>
      <c r="J468" s="199">
        <f t="shared" si="462"/>
        <v>0</v>
      </c>
      <c r="K468" s="199">
        <f t="shared" si="462"/>
        <v>0</v>
      </c>
      <c r="L468" s="199">
        <f>SUM(F468:K468)</f>
        <v>0</v>
      </c>
      <c r="M468" s="199">
        <f>L468/6</f>
        <v>0</v>
      </c>
      <c r="N468" s="199">
        <f t="shared" si="461"/>
        <v>0</v>
      </c>
      <c r="O468" s="199">
        <f t="shared" si="461"/>
        <v>0</v>
      </c>
      <c r="P468" s="199">
        <f t="shared" si="461"/>
        <v>0</v>
      </c>
      <c r="Q468" s="199">
        <f t="shared" si="461"/>
        <v>0</v>
      </c>
      <c r="R468" s="199">
        <f t="shared" si="461"/>
        <v>0</v>
      </c>
      <c r="S468" s="199">
        <f t="shared" si="461"/>
        <v>0</v>
      </c>
      <c r="T468" s="199">
        <f>SUM(N468:S468)</f>
        <v>0</v>
      </c>
      <c r="U468" s="199">
        <f>T468+L468</f>
        <v>0</v>
      </c>
      <c r="V468" s="199">
        <f>V485+V562</f>
        <v>0</v>
      </c>
      <c r="W468" s="221">
        <f>V468-U468</f>
        <v>0</v>
      </c>
      <c r="X468" s="176">
        <f>U463-U468</f>
        <v>0</v>
      </c>
    </row>
    <row r="469" spans="1:28" s="239" customFormat="1" ht="18" customHeight="1">
      <c r="A469" s="614"/>
      <c r="B469" s="576"/>
      <c r="C469" s="577"/>
      <c r="D469" s="201" t="s">
        <v>24</v>
      </c>
      <c r="E469" s="220"/>
      <c r="F469" s="199">
        <f t="shared" si="462"/>
        <v>0</v>
      </c>
      <c r="G469" s="199">
        <f t="shared" si="462"/>
        <v>20.355</v>
      </c>
      <c r="H469" s="199">
        <f t="shared" si="462"/>
        <v>26.353999999999999</v>
      </c>
      <c r="I469" s="199">
        <f t="shared" si="462"/>
        <v>27.677</v>
      </c>
      <c r="J469" s="199">
        <f t="shared" si="462"/>
        <v>25.259</v>
      </c>
      <c r="K469" s="199">
        <f t="shared" si="462"/>
        <v>24.359000000000002</v>
      </c>
      <c r="L469" s="199">
        <f>SUM(F469:K469)</f>
        <v>124.004</v>
      </c>
      <c r="M469" s="199">
        <f>L469/6</f>
        <v>20.667000000000002</v>
      </c>
      <c r="N469" s="199">
        <f t="shared" si="461"/>
        <v>21.545000000000002</v>
      </c>
      <c r="O469" s="199">
        <f t="shared" si="461"/>
        <v>20.190999999999999</v>
      </c>
      <c r="P469" s="199">
        <f t="shared" si="461"/>
        <v>30.954999999999998</v>
      </c>
      <c r="Q469" s="199">
        <f t="shared" si="461"/>
        <v>26.239000000000001</v>
      </c>
      <c r="R469" s="199">
        <f t="shared" si="461"/>
        <v>28.143999999999998</v>
      </c>
      <c r="S469" s="199">
        <f t="shared" si="461"/>
        <v>49.244</v>
      </c>
      <c r="T469" s="199">
        <f>SUM(N469:S469)</f>
        <v>176.31800000000001</v>
      </c>
      <c r="U469" s="199">
        <f>T469+L469</f>
        <v>300.322</v>
      </c>
      <c r="V469" s="199">
        <f>V486+V563</f>
        <v>309.702</v>
      </c>
      <c r="W469" s="221">
        <f>V469-U469</f>
        <v>9.3800000000000008</v>
      </c>
      <c r="X469" s="176">
        <f>U464-U469</f>
        <v>9.3800000000000008</v>
      </c>
    </row>
    <row r="470" spans="1:28" s="205" customFormat="1" ht="18" customHeight="1">
      <c r="A470" s="614"/>
      <c r="B470" s="576"/>
      <c r="C470" s="577"/>
      <c r="D470" s="202" t="s">
        <v>29</v>
      </c>
      <c r="E470" s="203"/>
      <c r="F470" s="203">
        <f t="shared" ref="F470:K470" si="463">F464+F463</f>
        <v>7.4329999999999998</v>
      </c>
      <c r="G470" s="203">
        <f t="shared" si="463"/>
        <v>20.584</v>
      </c>
      <c r="H470" s="203">
        <f t="shared" si="463"/>
        <v>26.399000000000001</v>
      </c>
      <c r="I470" s="203">
        <f t="shared" si="463"/>
        <v>21.292999999999999</v>
      </c>
      <c r="J470" s="203">
        <f t="shared" si="463"/>
        <v>25.995999999999999</v>
      </c>
      <c r="K470" s="203">
        <f t="shared" si="463"/>
        <v>24.234000000000002</v>
      </c>
      <c r="L470" s="203">
        <f>SUM(F470:K470)</f>
        <v>125.93899999999999</v>
      </c>
      <c r="M470" s="203">
        <f>L470/6</f>
        <v>20.99</v>
      </c>
      <c r="N470" s="203">
        <f t="shared" ref="N470:S470" si="464">N464+N463</f>
        <v>22.099</v>
      </c>
      <c r="O470" s="203">
        <f t="shared" si="464"/>
        <v>19.952000000000002</v>
      </c>
      <c r="P470" s="203">
        <f t="shared" si="464"/>
        <v>30.545000000000002</v>
      </c>
      <c r="Q470" s="203">
        <f t="shared" si="464"/>
        <v>33.838999999999999</v>
      </c>
      <c r="R470" s="203">
        <f t="shared" si="464"/>
        <v>28.744</v>
      </c>
      <c r="S470" s="203">
        <f t="shared" si="464"/>
        <v>48.584000000000003</v>
      </c>
      <c r="T470" s="203">
        <f>SUM(N470:S470)</f>
        <v>183.76300000000001</v>
      </c>
      <c r="U470" s="203">
        <f>T470+L470</f>
        <v>309.702</v>
      </c>
      <c r="V470" s="203">
        <f>V464+V463</f>
        <v>309.702</v>
      </c>
      <c r="W470" s="203">
        <f>V470-U470</f>
        <v>0</v>
      </c>
    </row>
    <row r="471" spans="1:28" s="205" customFormat="1" ht="18" customHeight="1">
      <c r="A471" s="614"/>
      <c r="B471" s="576"/>
      <c r="C471" s="577"/>
      <c r="D471" s="202" t="s">
        <v>30</v>
      </c>
      <c r="E471" s="203"/>
      <c r="F471" s="203">
        <f t="shared" ref="F471:K471" si="465">F467-F470</f>
        <v>-7.4329999999999998</v>
      </c>
      <c r="G471" s="203">
        <f t="shared" si="465"/>
        <v>-0.22900000000000001</v>
      </c>
      <c r="H471" s="203">
        <f t="shared" si="465"/>
        <v>-4.4999999999999998E-2</v>
      </c>
      <c r="I471" s="203">
        <f t="shared" si="465"/>
        <v>6.3840000000000003</v>
      </c>
      <c r="J471" s="203">
        <f t="shared" si="465"/>
        <v>-0.73699999999999999</v>
      </c>
      <c r="K471" s="203">
        <f t="shared" si="465"/>
        <v>0.125</v>
      </c>
      <c r="L471" s="203"/>
      <c r="M471" s="203"/>
      <c r="N471" s="203">
        <f t="shared" ref="N471:S471" si="466">N467-N470</f>
        <v>-0.55400000000000005</v>
      </c>
      <c r="O471" s="203">
        <f t="shared" si="466"/>
        <v>0.23899999999999999</v>
      </c>
      <c r="P471" s="203">
        <f t="shared" si="466"/>
        <v>0.41</v>
      </c>
      <c r="Q471" s="203">
        <f t="shared" si="466"/>
        <v>-7.6</v>
      </c>
      <c r="R471" s="203">
        <f t="shared" si="466"/>
        <v>-0.6</v>
      </c>
      <c r="S471" s="203">
        <f t="shared" si="466"/>
        <v>0.66</v>
      </c>
      <c r="T471" s="203"/>
      <c r="U471" s="203"/>
      <c r="V471" s="203"/>
      <c r="W471" s="203"/>
    </row>
    <row r="472" spans="1:28" s="205" customFormat="1" ht="18" customHeight="1">
      <c r="A472" s="614"/>
      <c r="B472" s="578"/>
      <c r="C472" s="579"/>
      <c r="D472" s="202" t="s">
        <v>31</v>
      </c>
      <c r="E472" s="203"/>
      <c r="F472" s="203">
        <f>F471</f>
        <v>-7.4329999999999998</v>
      </c>
      <c r="G472" s="203">
        <f>G471+F472</f>
        <v>-7.6619999999999999</v>
      </c>
      <c r="H472" s="203">
        <f>H471+G472</f>
        <v>-7.7069999999999999</v>
      </c>
      <c r="I472" s="203">
        <f>I471+H472</f>
        <v>-1.323</v>
      </c>
      <c r="J472" s="203">
        <f>J471+I472</f>
        <v>-2.06</v>
      </c>
      <c r="K472" s="203">
        <f>K471+J472</f>
        <v>-1.9350000000000001</v>
      </c>
      <c r="L472" s="203"/>
      <c r="M472" s="203"/>
      <c r="N472" s="203">
        <f>N471+K472</f>
        <v>-2.4889999999999999</v>
      </c>
      <c r="O472" s="203">
        <f>O471+N472</f>
        <v>-2.25</v>
      </c>
      <c r="P472" s="203">
        <f>P471+O472</f>
        <v>-1.84</v>
      </c>
      <c r="Q472" s="203">
        <f>Q471+P472</f>
        <v>-9.44</v>
      </c>
      <c r="R472" s="203">
        <f>R471+Q472</f>
        <v>-10.039999999999999</v>
      </c>
      <c r="S472" s="203">
        <f>S471+R472</f>
        <v>-9.3800000000000008</v>
      </c>
      <c r="T472" s="203"/>
      <c r="U472" s="203"/>
      <c r="V472" s="203"/>
      <c r="W472" s="203"/>
    </row>
    <row r="473" spans="1:28" s="196" customFormat="1" ht="18" customHeight="1">
      <c r="A473" s="614"/>
      <c r="B473" s="580" t="s">
        <v>65</v>
      </c>
      <c r="C473" s="575"/>
      <c r="D473" s="178" t="s">
        <v>105</v>
      </c>
      <c r="E473" s="179"/>
      <c r="F473" s="264">
        <f t="shared" ref="F473:K475" si="467">F490+F520</f>
        <v>87.84</v>
      </c>
      <c r="G473" s="264">
        <f t="shared" si="467"/>
        <v>87.51</v>
      </c>
      <c r="H473" s="264">
        <f t="shared" si="467"/>
        <v>99.76</v>
      </c>
      <c r="I473" s="264">
        <f t="shared" si="467"/>
        <v>103.28</v>
      </c>
      <c r="J473" s="264">
        <f t="shared" si="467"/>
        <v>98.35</v>
      </c>
      <c r="K473" s="264">
        <f t="shared" si="467"/>
        <v>80.2</v>
      </c>
      <c r="L473" s="234">
        <f>SUM(F473:K473)</f>
        <v>556.94000000000005</v>
      </c>
      <c r="M473" s="234">
        <f>L473/6</f>
        <v>92.822999999999993</v>
      </c>
      <c r="N473" s="264">
        <f t="shared" ref="N473:S475" si="468">N490+N520</f>
        <v>89.96</v>
      </c>
      <c r="O473" s="264">
        <f t="shared" si="468"/>
        <v>99.98</v>
      </c>
      <c r="P473" s="264">
        <f t="shared" si="468"/>
        <v>102.36</v>
      </c>
      <c r="Q473" s="264">
        <f t="shared" si="468"/>
        <v>102.05</v>
      </c>
      <c r="R473" s="264">
        <f t="shared" si="468"/>
        <v>102.19</v>
      </c>
      <c r="S473" s="264">
        <f t="shared" si="468"/>
        <v>103.9</v>
      </c>
      <c r="T473" s="421">
        <f>SUM(N473:S473)</f>
        <v>600.44000000000005</v>
      </c>
      <c r="U473" s="421">
        <f>T473+L473</f>
        <v>1157.3800000000001</v>
      </c>
      <c r="V473" s="490">
        <f t="shared" ref="V473" si="469">V490+V520</f>
        <v>145.69999999999999</v>
      </c>
      <c r="W473" s="184"/>
      <c r="X473" s="185"/>
      <c r="Y473" s="186"/>
      <c r="Z473" s="186"/>
      <c r="AA473" s="186"/>
      <c r="AB473" s="186"/>
    </row>
    <row r="474" spans="1:28" s="186" customFormat="1" ht="18" customHeight="1">
      <c r="A474" s="614"/>
      <c r="B474" s="576"/>
      <c r="C474" s="577"/>
      <c r="D474" s="178" t="s">
        <v>109</v>
      </c>
      <c r="E474" s="179"/>
      <c r="F474" s="264">
        <f t="shared" si="467"/>
        <v>94.06</v>
      </c>
      <c r="G474" s="264">
        <f t="shared" si="467"/>
        <v>92.8</v>
      </c>
      <c r="H474" s="264">
        <f t="shared" si="467"/>
        <v>91.44</v>
      </c>
      <c r="I474" s="264">
        <f t="shared" si="467"/>
        <v>100.85</v>
      </c>
      <c r="J474" s="264">
        <f t="shared" si="467"/>
        <v>100.65</v>
      </c>
      <c r="K474" s="264">
        <f t="shared" si="467"/>
        <v>88.15</v>
      </c>
      <c r="L474" s="262">
        <f>SUM(F474:K474)</f>
        <v>567.95000000000005</v>
      </c>
      <c r="M474" s="262">
        <f>L474/6</f>
        <v>94.658000000000001</v>
      </c>
      <c r="N474" s="264">
        <f t="shared" si="468"/>
        <v>97.793000000000006</v>
      </c>
      <c r="O474" s="264">
        <f t="shared" si="468"/>
        <v>98.55</v>
      </c>
      <c r="P474" s="264">
        <f t="shared" si="468"/>
        <v>100.25</v>
      </c>
      <c r="Q474" s="264">
        <f t="shared" si="468"/>
        <v>95.95</v>
      </c>
      <c r="R474" s="264">
        <f t="shared" si="468"/>
        <v>93.95</v>
      </c>
      <c r="S474" s="264">
        <f t="shared" si="468"/>
        <v>90.4</v>
      </c>
      <c r="T474" s="421">
        <f>SUM(N474:S474)</f>
        <v>576.89300000000003</v>
      </c>
      <c r="U474" s="421">
        <f>T474+L474</f>
        <v>1144.8430000000001</v>
      </c>
      <c r="V474" s="490">
        <f t="shared" ref="V474" si="470">V491+V521</f>
        <v>918.92</v>
      </c>
      <c r="W474" s="184"/>
      <c r="X474" s="185"/>
    </row>
    <row r="475" spans="1:28" s="186" customFormat="1" ht="18" customHeight="1">
      <c r="A475" s="614"/>
      <c r="B475" s="576"/>
      <c r="C475" s="577"/>
      <c r="D475" s="178" t="s">
        <v>116</v>
      </c>
      <c r="E475" s="179"/>
      <c r="F475" s="264">
        <f t="shared" si="467"/>
        <v>112.13500000000001</v>
      </c>
      <c r="G475" s="264">
        <f t="shared" si="467"/>
        <v>99.402000000000001</v>
      </c>
      <c r="H475" s="264">
        <f t="shared" si="467"/>
        <v>113.11199999999999</v>
      </c>
      <c r="I475" s="264">
        <f t="shared" si="467"/>
        <v>110.553</v>
      </c>
      <c r="J475" s="264">
        <f t="shared" si="467"/>
        <v>100.633</v>
      </c>
      <c r="K475" s="264">
        <f t="shared" si="467"/>
        <v>95.822999999999993</v>
      </c>
      <c r="L475" s="262">
        <f>SUM(F475:K475)</f>
        <v>631.65800000000002</v>
      </c>
      <c r="M475" s="262">
        <f>L475/6</f>
        <v>105.276</v>
      </c>
      <c r="N475" s="264">
        <f t="shared" si="468"/>
        <v>106.726</v>
      </c>
      <c r="O475" s="264">
        <f t="shared" si="468"/>
        <v>106.02500000000001</v>
      </c>
      <c r="P475" s="264">
        <f t="shared" si="468"/>
        <v>111.875</v>
      </c>
      <c r="Q475" s="264">
        <f t="shared" si="468"/>
        <v>109.175</v>
      </c>
      <c r="R475" s="264">
        <f t="shared" si="468"/>
        <v>111.38200000000001</v>
      </c>
      <c r="S475" s="264">
        <f t="shared" si="468"/>
        <v>115.185</v>
      </c>
      <c r="T475" s="421">
        <f>SUM(N475:S475)</f>
        <v>660.36800000000005</v>
      </c>
      <c r="U475" s="326">
        <f>T475+L475</f>
        <v>1292.0260000000001</v>
      </c>
      <c r="V475" s="490">
        <f>V492+V522</f>
        <v>1311</v>
      </c>
      <c r="W475" s="523">
        <f>V475-U475</f>
        <v>18.974</v>
      </c>
      <c r="X475" s="185"/>
    </row>
    <row r="476" spans="1:28" s="190" customFormat="1" ht="18" customHeight="1">
      <c r="A476" s="614"/>
      <c r="B476" s="576"/>
      <c r="C476" s="577"/>
      <c r="D476" s="187" t="s">
        <v>27</v>
      </c>
      <c r="E476" s="188"/>
      <c r="F476" s="188">
        <f t="shared" ref="F476:W476" si="471">F477/F475*1000</f>
        <v>184.67</v>
      </c>
      <c r="G476" s="188">
        <f t="shared" si="471"/>
        <v>185.78100000000001</v>
      </c>
      <c r="H476" s="188">
        <f t="shared" si="471"/>
        <v>184.29499999999999</v>
      </c>
      <c r="I476" s="188">
        <f t="shared" si="471"/>
        <v>185.05199999999999</v>
      </c>
      <c r="J476" s="188">
        <f t="shared" si="471"/>
        <v>185.863</v>
      </c>
      <c r="K476" s="188">
        <f t="shared" si="471"/>
        <v>184.22499999999999</v>
      </c>
      <c r="L476" s="188">
        <f t="shared" si="471"/>
        <v>184.96700000000001</v>
      </c>
      <c r="M476" s="188">
        <f t="shared" si="471"/>
        <v>184.971</v>
      </c>
      <c r="N476" s="188">
        <f t="shared" si="471"/>
        <v>184.875</v>
      </c>
      <c r="O476" s="188">
        <f t="shared" si="471"/>
        <v>193.66200000000001</v>
      </c>
      <c r="P476" s="188">
        <f t="shared" si="471"/>
        <v>197.667</v>
      </c>
      <c r="Q476" s="188">
        <f t="shared" si="471"/>
        <v>195.95099999999999</v>
      </c>
      <c r="R476" s="188">
        <f t="shared" si="471"/>
        <v>194.529</v>
      </c>
      <c r="S476" s="188">
        <f t="shared" si="471"/>
        <v>187.80199999999999</v>
      </c>
      <c r="T476" s="188">
        <f t="shared" si="471"/>
        <v>192.423</v>
      </c>
      <c r="U476" s="188">
        <f t="shared" si="471"/>
        <v>188.77799999999999</v>
      </c>
      <c r="V476" s="188">
        <f t="shared" si="471"/>
        <v>193.27</v>
      </c>
      <c r="W476" s="188">
        <f t="shared" si="471"/>
        <v>499.15699999999998</v>
      </c>
      <c r="X476" s="225"/>
    </row>
    <row r="477" spans="1:28" s="244" customFormat="1" ht="18" customHeight="1">
      <c r="A477" s="614"/>
      <c r="B477" s="576"/>
      <c r="C477" s="577"/>
      <c r="D477" s="191" t="s">
        <v>0</v>
      </c>
      <c r="E477" s="192"/>
      <c r="F477" s="192">
        <f t="shared" ref="F477:K477" si="472">F494+F524</f>
        <v>20.707999999999998</v>
      </c>
      <c r="G477" s="192">
        <f t="shared" si="472"/>
        <v>18.466999999999999</v>
      </c>
      <c r="H477" s="192">
        <f t="shared" si="472"/>
        <v>20.846</v>
      </c>
      <c r="I477" s="192">
        <f t="shared" si="472"/>
        <v>20.457999999999998</v>
      </c>
      <c r="J477" s="192">
        <f t="shared" si="472"/>
        <v>18.704000000000001</v>
      </c>
      <c r="K477" s="192">
        <f t="shared" si="472"/>
        <v>17.652999999999999</v>
      </c>
      <c r="L477" s="194">
        <f t="shared" ref="L477:L482" si="473">SUM(F477:K477)</f>
        <v>116.836</v>
      </c>
      <c r="M477" s="194">
        <f t="shared" ref="M477:M482" si="474">L477/6</f>
        <v>19.472999999999999</v>
      </c>
      <c r="N477" s="192">
        <f t="shared" ref="N477:S477" si="475">N494+N524</f>
        <v>19.731000000000002</v>
      </c>
      <c r="O477" s="192">
        <f t="shared" si="475"/>
        <v>20.533000000000001</v>
      </c>
      <c r="P477" s="192">
        <f t="shared" si="475"/>
        <v>22.114000000000001</v>
      </c>
      <c r="Q477" s="192">
        <f t="shared" si="475"/>
        <v>21.393000000000001</v>
      </c>
      <c r="R477" s="192">
        <f t="shared" si="475"/>
        <v>21.667000000000002</v>
      </c>
      <c r="S477" s="192">
        <f t="shared" si="475"/>
        <v>21.632000000000001</v>
      </c>
      <c r="T477" s="194">
        <f t="shared" ref="T477:T482" si="476">SUM(N477:S477)</f>
        <v>127.07</v>
      </c>
      <c r="U477" s="194">
        <f t="shared" ref="U477:U482" si="477">T477+L477</f>
        <v>243.90600000000001</v>
      </c>
      <c r="V477" s="194">
        <f t="shared" ref="V477" si="478">V494+V524</f>
        <v>253.37700000000001</v>
      </c>
      <c r="W477" s="192">
        <f>V477-U477</f>
        <v>9.4710000000000001</v>
      </c>
    </row>
    <row r="478" spans="1:28" s="244" customFormat="1" ht="18" customHeight="1">
      <c r="A478" s="614"/>
      <c r="B478" s="576"/>
      <c r="C478" s="577"/>
      <c r="D478" s="174" t="s">
        <v>102</v>
      </c>
      <c r="E478" s="192"/>
      <c r="F478" s="192">
        <f t="shared" ref="F478:K478" si="479">F509+F539</f>
        <v>2.8000000000000001E-2</v>
      </c>
      <c r="G478" s="192">
        <f t="shared" si="479"/>
        <v>2.3E-2</v>
      </c>
      <c r="H478" s="192">
        <f t="shared" si="479"/>
        <v>2.5999999999999999E-2</v>
      </c>
      <c r="I478" s="192">
        <f t="shared" si="479"/>
        <v>2.5999999999999999E-2</v>
      </c>
      <c r="J478" s="192">
        <f t="shared" si="479"/>
        <v>2.5999999999999999E-2</v>
      </c>
      <c r="K478" s="192">
        <f t="shared" si="479"/>
        <v>2.4E-2</v>
      </c>
      <c r="L478" s="194">
        <f t="shared" si="473"/>
        <v>0.153</v>
      </c>
      <c r="M478" s="194">
        <f t="shared" si="474"/>
        <v>2.5999999999999999E-2</v>
      </c>
      <c r="N478" s="192">
        <f t="shared" ref="N478:S478" si="480">N509+N539</f>
        <v>2.5999999999999999E-2</v>
      </c>
      <c r="O478" s="192">
        <f t="shared" si="480"/>
        <v>2.5999999999999999E-2</v>
      </c>
      <c r="P478" s="192">
        <f t="shared" si="480"/>
        <v>2.8000000000000001E-2</v>
      </c>
      <c r="Q478" s="192">
        <f t="shared" si="480"/>
        <v>2.8000000000000001E-2</v>
      </c>
      <c r="R478" s="192">
        <f t="shared" si="480"/>
        <v>2.8000000000000001E-2</v>
      </c>
      <c r="S478" s="192">
        <f t="shared" si="480"/>
        <v>3.2000000000000001E-2</v>
      </c>
      <c r="T478" s="194">
        <f t="shared" si="476"/>
        <v>0.16800000000000001</v>
      </c>
      <c r="U478" s="194">
        <f t="shared" si="477"/>
        <v>0.32100000000000001</v>
      </c>
      <c r="V478" s="194">
        <f t="shared" ref="V478" si="481">V509+V539</f>
        <v>0.35199999999999998</v>
      </c>
      <c r="W478" s="192">
        <f t="shared" ref="W478:W479" si="482">V478-U478</f>
        <v>3.1E-2</v>
      </c>
    </row>
    <row r="479" spans="1:28" s="244" customFormat="1" ht="18" customHeight="1">
      <c r="A479" s="614"/>
      <c r="B479" s="576"/>
      <c r="C479" s="577"/>
      <c r="D479" s="174" t="s">
        <v>103</v>
      </c>
      <c r="E479" s="192"/>
      <c r="F479" s="192">
        <f t="shared" ref="F479:K479" si="483">F477+F478</f>
        <v>20.736000000000001</v>
      </c>
      <c r="G479" s="192">
        <f t="shared" si="483"/>
        <v>18.489999999999998</v>
      </c>
      <c r="H479" s="192">
        <f t="shared" si="483"/>
        <v>20.872</v>
      </c>
      <c r="I479" s="192">
        <f t="shared" si="483"/>
        <v>20.484000000000002</v>
      </c>
      <c r="J479" s="192">
        <f t="shared" si="483"/>
        <v>18.73</v>
      </c>
      <c r="K479" s="192">
        <f t="shared" si="483"/>
        <v>17.677</v>
      </c>
      <c r="L479" s="194">
        <f t="shared" si="473"/>
        <v>116.989</v>
      </c>
      <c r="M479" s="194">
        <f t="shared" si="474"/>
        <v>19.498000000000001</v>
      </c>
      <c r="N479" s="192">
        <f t="shared" ref="N479:S479" si="484">N477+N478</f>
        <v>19.757000000000001</v>
      </c>
      <c r="O479" s="192">
        <f t="shared" si="484"/>
        <v>20.559000000000001</v>
      </c>
      <c r="P479" s="192">
        <f t="shared" si="484"/>
        <v>22.141999999999999</v>
      </c>
      <c r="Q479" s="192">
        <f t="shared" si="484"/>
        <v>21.420999999999999</v>
      </c>
      <c r="R479" s="192">
        <f t="shared" si="484"/>
        <v>21.695</v>
      </c>
      <c r="S479" s="192">
        <f t="shared" si="484"/>
        <v>21.664000000000001</v>
      </c>
      <c r="T479" s="194">
        <f t="shared" si="476"/>
        <v>127.238</v>
      </c>
      <c r="U479" s="194">
        <f t="shared" si="477"/>
        <v>244.227</v>
      </c>
      <c r="V479" s="194">
        <f t="shared" ref="V479" si="485">V477+V478</f>
        <v>253.72900000000001</v>
      </c>
      <c r="W479" s="192">
        <f t="shared" si="482"/>
        <v>9.5020000000000007</v>
      </c>
    </row>
    <row r="480" spans="1:28" s="244" customFormat="1" ht="18" customHeight="1">
      <c r="A480" s="614"/>
      <c r="B480" s="576"/>
      <c r="C480" s="577"/>
      <c r="D480" s="174" t="s">
        <v>55</v>
      </c>
      <c r="E480" s="210"/>
      <c r="F480" s="192">
        <f t="shared" ref="F480:K480" si="486">F495+F525</f>
        <v>0</v>
      </c>
      <c r="G480" s="192">
        <f t="shared" si="486"/>
        <v>0</v>
      </c>
      <c r="H480" s="192">
        <f t="shared" si="486"/>
        <v>0</v>
      </c>
      <c r="I480" s="192">
        <f t="shared" si="486"/>
        <v>0</v>
      </c>
      <c r="J480" s="192">
        <f t="shared" si="486"/>
        <v>0</v>
      </c>
      <c r="K480" s="192">
        <f t="shared" si="486"/>
        <v>0</v>
      </c>
      <c r="L480" s="194">
        <f t="shared" si="473"/>
        <v>0</v>
      </c>
      <c r="M480" s="194">
        <f t="shared" si="474"/>
        <v>0</v>
      </c>
      <c r="N480" s="192">
        <f t="shared" ref="N480:S480" si="487">N495+N525</f>
        <v>0</v>
      </c>
      <c r="O480" s="192">
        <f t="shared" si="487"/>
        <v>0</v>
      </c>
      <c r="P480" s="192">
        <f t="shared" si="487"/>
        <v>0</v>
      </c>
      <c r="Q480" s="192">
        <f t="shared" si="487"/>
        <v>0</v>
      </c>
      <c r="R480" s="192">
        <f t="shared" si="487"/>
        <v>0</v>
      </c>
      <c r="S480" s="192">
        <f t="shared" si="487"/>
        <v>0</v>
      </c>
      <c r="T480" s="194">
        <f t="shared" si="476"/>
        <v>0</v>
      </c>
      <c r="U480" s="194">
        <f t="shared" si="477"/>
        <v>0</v>
      </c>
      <c r="V480" s="194">
        <f t="shared" ref="V480" si="488">V495+V525</f>
        <v>0</v>
      </c>
      <c r="W480" s="192">
        <f>V480-U480</f>
        <v>0</v>
      </c>
    </row>
    <row r="481" spans="1:28" s="244" customFormat="1" ht="18" customHeight="1">
      <c r="A481" s="614"/>
      <c r="B481" s="576"/>
      <c r="C481" s="577"/>
      <c r="D481" s="174" t="s">
        <v>28</v>
      </c>
      <c r="E481" s="210"/>
      <c r="F481" s="192">
        <f t="shared" ref="F481:K481" si="489">F496+F511+F526+F541</f>
        <v>6.258</v>
      </c>
      <c r="G481" s="192">
        <f t="shared" si="489"/>
        <v>17.140999999999998</v>
      </c>
      <c r="H481" s="192">
        <f t="shared" si="489"/>
        <v>21.966999999999999</v>
      </c>
      <c r="I481" s="192">
        <f t="shared" si="489"/>
        <v>18.285</v>
      </c>
      <c r="J481" s="192">
        <f t="shared" si="489"/>
        <v>21.687999999999999</v>
      </c>
      <c r="K481" s="192">
        <f t="shared" si="489"/>
        <v>20.481000000000002</v>
      </c>
      <c r="L481" s="194">
        <f t="shared" si="473"/>
        <v>105.82</v>
      </c>
      <c r="M481" s="194">
        <f t="shared" si="474"/>
        <v>17.637</v>
      </c>
      <c r="N481" s="192">
        <f t="shared" ref="N481:S481" si="490">N496+N511+N526+N541</f>
        <v>18.283999999999999</v>
      </c>
      <c r="O481" s="192">
        <f t="shared" si="490"/>
        <v>19.585999999999999</v>
      </c>
      <c r="P481" s="192">
        <f t="shared" si="490"/>
        <v>24.661999999999999</v>
      </c>
      <c r="Q481" s="192">
        <f t="shared" si="490"/>
        <v>25.113</v>
      </c>
      <c r="R481" s="192">
        <f t="shared" si="490"/>
        <v>21.832999999999998</v>
      </c>
      <c r="S481" s="192">
        <f t="shared" si="490"/>
        <v>38.430999999999997</v>
      </c>
      <c r="T481" s="194">
        <f t="shared" si="476"/>
        <v>147.90899999999999</v>
      </c>
      <c r="U481" s="194">
        <f t="shared" si="477"/>
        <v>253.72900000000001</v>
      </c>
      <c r="V481" s="194">
        <f t="shared" ref="V481" si="491">V496+V511+V526+V541</f>
        <v>253.72900000000001</v>
      </c>
      <c r="W481" s="192">
        <f>V481-U481</f>
        <v>0</v>
      </c>
    </row>
    <row r="482" spans="1:28" s="186" customFormat="1" ht="18" customHeight="1">
      <c r="A482" s="614"/>
      <c r="B482" s="576"/>
      <c r="C482" s="577"/>
      <c r="D482" s="178" t="s">
        <v>117</v>
      </c>
      <c r="E482" s="179"/>
      <c r="F482" s="490">
        <f t="shared" ref="F482:K482" si="492">F497+F527</f>
        <v>0</v>
      </c>
      <c r="G482" s="490">
        <f t="shared" si="492"/>
        <v>89.198999999999998</v>
      </c>
      <c r="H482" s="490">
        <f t="shared" si="492"/>
        <v>113.428</v>
      </c>
      <c r="I482" s="490">
        <f t="shared" si="492"/>
        <v>120.899</v>
      </c>
      <c r="J482" s="490">
        <f t="shared" si="492"/>
        <v>110.503</v>
      </c>
      <c r="K482" s="490">
        <f t="shared" si="492"/>
        <v>103.867</v>
      </c>
      <c r="L482" s="421">
        <f t="shared" si="473"/>
        <v>537.89599999999996</v>
      </c>
      <c r="M482" s="421">
        <f t="shared" si="474"/>
        <v>89.649000000000001</v>
      </c>
      <c r="N482" s="490">
        <f t="shared" ref="N482:S482" si="493">N497+N527</f>
        <v>91.376000000000005</v>
      </c>
      <c r="O482" s="490">
        <f t="shared" si="493"/>
        <v>106.724</v>
      </c>
      <c r="P482" s="490">
        <f t="shared" si="493"/>
        <v>133.52600000000001</v>
      </c>
      <c r="Q482" s="490">
        <f t="shared" si="493"/>
        <v>110.77500000000001</v>
      </c>
      <c r="R482" s="490">
        <f t="shared" si="493"/>
        <v>106.575</v>
      </c>
      <c r="S482" s="490">
        <f t="shared" si="493"/>
        <v>205.142</v>
      </c>
      <c r="T482" s="421">
        <f t="shared" si="476"/>
        <v>754.11800000000005</v>
      </c>
      <c r="U482" s="421">
        <f t="shared" si="477"/>
        <v>1292.0139999999999</v>
      </c>
      <c r="V482" s="523">
        <f>V497+V527</f>
        <v>1311</v>
      </c>
      <c r="W482" s="523">
        <f>V482-U482</f>
        <v>18.986000000000001</v>
      </c>
      <c r="X482" s="185">
        <f>U475-U482</f>
        <v>1.2E-2</v>
      </c>
    </row>
    <row r="483" spans="1:28" s="190" customFormat="1" ht="18" customHeight="1">
      <c r="A483" s="614"/>
      <c r="B483" s="576"/>
      <c r="C483" s="577"/>
      <c r="D483" s="187" t="s">
        <v>27</v>
      </c>
      <c r="E483" s="188" t="e">
        <f t="shared" ref="E483:W483" si="494">E484/E482*1000</f>
        <v>#DIV/0!</v>
      </c>
      <c r="F483" s="188" t="e">
        <f t="shared" si="494"/>
        <v>#DIV/0!</v>
      </c>
      <c r="G483" s="188">
        <f t="shared" si="494"/>
        <v>184.273</v>
      </c>
      <c r="H483" s="188">
        <f t="shared" si="494"/>
        <v>184.90100000000001</v>
      </c>
      <c r="I483" s="188">
        <f t="shared" si="494"/>
        <v>185.90700000000001</v>
      </c>
      <c r="J483" s="188">
        <f t="shared" si="494"/>
        <v>185.32499999999999</v>
      </c>
      <c r="K483" s="188">
        <f t="shared" si="494"/>
        <v>185.74700000000001</v>
      </c>
      <c r="L483" s="188">
        <f t="shared" si="494"/>
        <v>185.274</v>
      </c>
      <c r="M483" s="188">
        <f t="shared" si="494"/>
        <v>185.27799999999999</v>
      </c>
      <c r="N483" s="188">
        <f t="shared" si="494"/>
        <v>185.06</v>
      </c>
      <c r="O483" s="188">
        <f t="shared" si="494"/>
        <v>185.13200000000001</v>
      </c>
      <c r="P483" s="188">
        <f t="shared" si="494"/>
        <v>190.82400000000001</v>
      </c>
      <c r="Q483" s="188">
        <f t="shared" si="494"/>
        <v>198.20400000000001</v>
      </c>
      <c r="R483" s="188">
        <f t="shared" si="494"/>
        <v>195.82499999999999</v>
      </c>
      <c r="S483" s="188">
        <f t="shared" si="494"/>
        <v>193.01300000000001</v>
      </c>
      <c r="T483" s="188">
        <f t="shared" si="494"/>
        <v>191.70599999999999</v>
      </c>
      <c r="U483" s="188">
        <f t="shared" si="494"/>
        <v>189.02799999999999</v>
      </c>
      <c r="V483" s="188">
        <f t="shared" si="494"/>
        <v>193.53899999999999</v>
      </c>
      <c r="W483" s="188">
        <f t="shared" si="494"/>
        <v>500.47399999999999</v>
      </c>
      <c r="X483" s="225"/>
    </row>
    <row r="484" spans="1:28" s="239" customFormat="1" ht="18" customHeight="1">
      <c r="A484" s="614"/>
      <c r="B484" s="576"/>
      <c r="C484" s="577"/>
      <c r="D484" s="198" t="s">
        <v>25</v>
      </c>
      <c r="E484" s="220"/>
      <c r="F484" s="199">
        <f t="shared" ref="F484:K487" si="495">F499+F514+F529+F544</f>
        <v>0</v>
      </c>
      <c r="G484" s="199">
        <f t="shared" si="495"/>
        <v>16.437000000000001</v>
      </c>
      <c r="H484" s="199">
        <f t="shared" si="495"/>
        <v>20.972999999999999</v>
      </c>
      <c r="I484" s="199">
        <f t="shared" si="495"/>
        <v>22.475999999999999</v>
      </c>
      <c r="J484" s="199">
        <f t="shared" si="495"/>
        <v>20.478999999999999</v>
      </c>
      <c r="K484" s="199">
        <f t="shared" si="495"/>
        <v>19.292999999999999</v>
      </c>
      <c r="L484" s="199">
        <f>SUM(F484:K484)</f>
        <v>99.658000000000001</v>
      </c>
      <c r="M484" s="199">
        <f>L484/6</f>
        <v>16.61</v>
      </c>
      <c r="N484" s="199">
        <f t="shared" ref="N484:S487" si="496">N499+N514+N529+N544</f>
        <v>16.91</v>
      </c>
      <c r="O484" s="199">
        <f t="shared" si="496"/>
        <v>19.757999999999999</v>
      </c>
      <c r="P484" s="199">
        <f t="shared" si="496"/>
        <v>25.48</v>
      </c>
      <c r="Q484" s="199">
        <f t="shared" si="496"/>
        <v>21.956</v>
      </c>
      <c r="R484" s="199">
        <f t="shared" si="496"/>
        <v>20.87</v>
      </c>
      <c r="S484" s="199">
        <f t="shared" si="496"/>
        <v>39.594999999999999</v>
      </c>
      <c r="T484" s="199">
        <f>SUM(N484:S484)</f>
        <v>144.56899999999999</v>
      </c>
      <c r="U484" s="199">
        <f>T484+L484</f>
        <v>244.227</v>
      </c>
      <c r="V484" s="199">
        <f t="shared" ref="V484" si="497">V499+V514+V529+V544</f>
        <v>253.72900000000001</v>
      </c>
      <c r="W484" s="221">
        <f>V484-U484</f>
        <v>9.5020000000000007</v>
      </c>
      <c r="X484" s="176">
        <f>U479-U484</f>
        <v>0</v>
      </c>
    </row>
    <row r="485" spans="1:28" s="239" customFormat="1" ht="18" customHeight="1">
      <c r="A485" s="614"/>
      <c r="B485" s="576"/>
      <c r="C485" s="577"/>
      <c r="D485" s="201" t="s">
        <v>55</v>
      </c>
      <c r="E485" s="220"/>
      <c r="F485" s="199">
        <f t="shared" si="495"/>
        <v>0</v>
      </c>
      <c r="G485" s="199">
        <f t="shared" si="495"/>
        <v>0</v>
      </c>
      <c r="H485" s="199">
        <f t="shared" si="495"/>
        <v>0</v>
      </c>
      <c r="I485" s="199">
        <f t="shared" si="495"/>
        <v>0</v>
      </c>
      <c r="J485" s="199">
        <f t="shared" si="495"/>
        <v>0</v>
      </c>
      <c r="K485" s="199">
        <f t="shared" si="495"/>
        <v>0</v>
      </c>
      <c r="L485" s="199">
        <f>SUM(F485:K485)</f>
        <v>0</v>
      </c>
      <c r="M485" s="199">
        <f>L485/6</f>
        <v>0</v>
      </c>
      <c r="N485" s="199">
        <f t="shared" si="496"/>
        <v>0</v>
      </c>
      <c r="O485" s="199">
        <f t="shared" si="496"/>
        <v>0</v>
      </c>
      <c r="P485" s="199">
        <f t="shared" si="496"/>
        <v>0</v>
      </c>
      <c r="Q485" s="199">
        <f t="shared" si="496"/>
        <v>0</v>
      </c>
      <c r="R485" s="199">
        <f t="shared" si="496"/>
        <v>0</v>
      </c>
      <c r="S485" s="199">
        <f t="shared" si="496"/>
        <v>0</v>
      </c>
      <c r="T485" s="199">
        <f>SUM(N485:S485)</f>
        <v>0</v>
      </c>
      <c r="U485" s="199">
        <f>T485+L485</f>
        <v>0</v>
      </c>
      <c r="V485" s="199">
        <f t="shared" ref="V485" si="498">V500+V515+V530+V545</f>
        <v>0</v>
      </c>
      <c r="W485" s="221">
        <f>V485-U485</f>
        <v>0</v>
      </c>
      <c r="X485" s="176">
        <f>U480-U485</f>
        <v>0</v>
      </c>
    </row>
    <row r="486" spans="1:28" s="239" customFormat="1" ht="18" customHeight="1">
      <c r="A486" s="614"/>
      <c r="B486" s="576"/>
      <c r="C486" s="577"/>
      <c r="D486" s="201" t="s">
        <v>24</v>
      </c>
      <c r="E486" s="220"/>
      <c r="F486" s="199">
        <f t="shared" si="495"/>
        <v>0</v>
      </c>
      <c r="G486" s="199">
        <f t="shared" si="495"/>
        <v>16.437000000000001</v>
      </c>
      <c r="H486" s="199">
        <f t="shared" si="495"/>
        <v>20.972999999999999</v>
      </c>
      <c r="I486" s="199">
        <f t="shared" si="495"/>
        <v>22.475999999999999</v>
      </c>
      <c r="J486" s="199">
        <f t="shared" si="495"/>
        <v>20.478999999999999</v>
      </c>
      <c r="K486" s="199">
        <f t="shared" si="495"/>
        <v>19.292999999999999</v>
      </c>
      <c r="L486" s="199">
        <f>SUM(F486:K486)</f>
        <v>99.658000000000001</v>
      </c>
      <c r="M486" s="199">
        <f>L486/6</f>
        <v>16.61</v>
      </c>
      <c r="N486" s="199">
        <f t="shared" si="496"/>
        <v>16.91</v>
      </c>
      <c r="O486" s="199">
        <f t="shared" si="496"/>
        <v>19.757999999999999</v>
      </c>
      <c r="P486" s="199">
        <f t="shared" si="496"/>
        <v>25.48</v>
      </c>
      <c r="Q486" s="199">
        <f t="shared" si="496"/>
        <v>21.956</v>
      </c>
      <c r="R486" s="199">
        <f t="shared" si="496"/>
        <v>20.87</v>
      </c>
      <c r="S486" s="199">
        <f t="shared" si="496"/>
        <v>39.594999999999999</v>
      </c>
      <c r="T486" s="199">
        <f>SUM(N486:S486)</f>
        <v>144.56899999999999</v>
      </c>
      <c r="U486" s="199">
        <f>T486+L486</f>
        <v>244.227</v>
      </c>
      <c r="V486" s="199">
        <f t="shared" ref="V486:V487" si="499">V501+V516+V531+V546</f>
        <v>253.72900000000001</v>
      </c>
      <c r="W486" s="221">
        <f>V486-U486</f>
        <v>9.5020000000000007</v>
      </c>
      <c r="X486" s="176">
        <f>U481-U486</f>
        <v>9.5020000000000007</v>
      </c>
    </row>
    <row r="487" spans="1:28" s="205" customFormat="1" ht="18" customHeight="1">
      <c r="A487" s="614"/>
      <c r="B487" s="576"/>
      <c r="C487" s="577"/>
      <c r="D487" s="202" t="s">
        <v>29</v>
      </c>
      <c r="E487" s="203"/>
      <c r="F487" s="203">
        <f t="shared" si="495"/>
        <v>6.258</v>
      </c>
      <c r="G487" s="203">
        <f t="shared" si="495"/>
        <v>17.140999999999998</v>
      </c>
      <c r="H487" s="203">
        <f t="shared" si="495"/>
        <v>21.966999999999999</v>
      </c>
      <c r="I487" s="203">
        <f t="shared" si="495"/>
        <v>18.285</v>
      </c>
      <c r="J487" s="203">
        <f t="shared" si="495"/>
        <v>21.687999999999999</v>
      </c>
      <c r="K487" s="203">
        <f t="shared" si="495"/>
        <v>20.481000000000002</v>
      </c>
      <c r="L487" s="203">
        <f>SUM(F487:K487)</f>
        <v>105.82</v>
      </c>
      <c r="M487" s="203">
        <f>L487/6</f>
        <v>17.637</v>
      </c>
      <c r="N487" s="203">
        <f t="shared" si="496"/>
        <v>18.283999999999999</v>
      </c>
      <c r="O487" s="203">
        <f t="shared" si="496"/>
        <v>19.585999999999999</v>
      </c>
      <c r="P487" s="203">
        <f t="shared" si="496"/>
        <v>24.661999999999999</v>
      </c>
      <c r="Q487" s="203">
        <f t="shared" si="496"/>
        <v>25.113</v>
      </c>
      <c r="R487" s="203">
        <f t="shared" si="496"/>
        <v>21.832999999999998</v>
      </c>
      <c r="S487" s="203">
        <f t="shared" si="496"/>
        <v>38.430999999999997</v>
      </c>
      <c r="T487" s="203">
        <f>SUM(N487:S487)</f>
        <v>147.90899999999999</v>
      </c>
      <c r="U487" s="203">
        <f>T487+L487</f>
        <v>253.72900000000001</v>
      </c>
      <c r="V487" s="203">
        <f t="shared" si="499"/>
        <v>253.72900000000001</v>
      </c>
      <c r="W487" s="203">
        <f>V487-U487</f>
        <v>0</v>
      </c>
    </row>
    <row r="488" spans="1:28" s="205" customFormat="1" ht="18" customHeight="1">
      <c r="A488" s="614"/>
      <c r="B488" s="576"/>
      <c r="C488" s="577"/>
      <c r="D488" s="202" t="s">
        <v>30</v>
      </c>
      <c r="E488" s="203"/>
      <c r="F488" s="203">
        <f t="shared" ref="F488:K489" si="500">F503+F533</f>
        <v>-6.2380000000000004</v>
      </c>
      <c r="G488" s="203">
        <f t="shared" si="500"/>
        <v>-0.69</v>
      </c>
      <c r="H488" s="203">
        <f t="shared" si="500"/>
        <v>-0.999</v>
      </c>
      <c r="I488" s="203">
        <f t="shared" si="500"/>
        <v>4.1929999999999996</v>
      </c>
      <c r="J488" s="203">
        <f t="shared" si="500"/>
        <v>-1.2070000000000001</v>
      </c>
      <c r="K488" s="203">
        <f t="shared" si="500"/>
        <v>-1.1859999999999999</v>
      </c>
      <c r="L488" s="203"/>
      <c r="M488" s="203"/>
      <c r="N488" s="203">
        <f t="shared" ref="N488:S489" si="501">N503+N533</f>
        <v>-1.3680000000000001</v>
      </c>
      <c r="O488" s="203">
        <f t="shared" si="501"/>
        <v>0.17599999999999999</v>
      </c>
      <c r="P488" s="203">
        <f t="shared" si="501"/>
        <v>0.82</v>
      </c>
      <c r="Q488" s="203">
        <f t="shared" si="501"/>
        <v>-3.157</v>
      </c>
      <c r="R488" s="203">
        <f t="shared" si="501"/>
        <v>-0.96299999999999997</v>
      </c>
      <c r="S488" s="203">
        <f t="shared" si="501"/>
        <v>1.1479999999999999</v>
      </c>
      <c r="T488" s="203"/>
      <c r="U488" s="203"/>
      <c r="V488" s="203"/>
      <c r="W488" s="203"/>
    </row>
    <row r="489" spans="1:28" s="205" customFormat="1" ht="18" customHeight="1">
      <c r="A489" s="614"/>
      <c r="B489" s="578"/>
      <c r="C489" s="579"/>
      <c r="D489" s="202" t="s">
        <v>31</v>
      </c>
      <c r="E489" s="203"/>
      <c r="F489" s="203">
        <f t="shared" si="500"/>
        <v>-6.2380000000000004</v>
      </c>
      <c r="G489" s="203">
        <f t="shared" si="500"/>
        <v>-6.9279999999999999</v>
      </c>
      <c r="H489" s="203">
        <f t="shared" si="500"/>
        <v>-7.9269999999999996</v>
      </c>
      <c r="I489" s="203">
        <f t="shared" si="500"/>
        <v>-3.734</v>
      </c>
      <c r="J489" s="203">
        <f t="shared" si="500"/>
        <v>-4.9409999999999998</v>
      </c>
      <c r="K489" s="203">
        <f t="shared" si="500"/>
        <v>-6.1269999999999998</v>
      </c>
      <c r="L489" s="203"/>
      <c r="M489" s="203"/>
      <c r="N489" s="203">
        <f t="shared" si="501"/>
        <v>-7.4950000000000001</v>
      </c>
      <c r="O489" s="203">
        <f t="shared" si="501"/>
        <v>-7.319</v>
      </c>
      <c r="P489" s="203">
        <f t="shared" si="501"/>
        <v>-6.4989999999999997</v>
      </c>
      <c r="Q489" s="203">
        <f t="shared" si="501"/>
        <v>-9.6560000000000006</v>
      </c>
      <c r="R489" s="203">
        <f t="shared" si="501"/>
        <v>-10.619</v>
      </c>
      <c r="S489" s="203">
        <f t="shared" si="501"/>
        <v>-9.4710000000000001</v>
      </c>
      <c r="T489" s="203"/>
      <c r="U489" s="203"/>
      <c r="V489" s="203"/>
      <c r="W489" s="203"/>
    </row>
    <row r="490" spans="1:28" s="196" customFormat="1" ht="18" customHeight="1">
      <c r="A490" s="614"/>
      <c r="B490" s="580" t="s">
        <v>63</v>
      </c>
      <c r="C490" s="575"/>
      <c r="D490" s="178" t="s">
        <v>105</v>
      </c>
      <c r="E490" s="179"/>
      <c r="F490" s="264">
        <f>№2!F567+№5!F567+'№ 6'!F567+№14!F567+'№ 20'!F567+'№ 23'!F567+№27!F567+'№ 31'!F567+'№ 34'!F567+'№ 41'!F567</f>
        <v>42.28</v>
      </c>
      <c r="G490" s="264">
        <f>№2!G567+№5!G567+'№ 6'!G567+№14!G567+'№ 20'!G567+'№ 23'!G567+№27!G567+'№ 31'!G567+'№ 34'!G567+'№ 41'!G567</f>
        <v>42.28</v>
      </c>
      <c r="H490" s="264">
        <f>№2!H567+№5!H567+'№ 6'!H567+№14!H567+'№ 20'!H567+'№ 23'!H567+№27!H567+'№ 31'!H567+'№ 34'!H567+'№ 41'!H567</f>
        <v>56.2</v>
      </c>
      <c r="I490" s="264">
        <f>№2!I567+№5!I567+'№ 6'!I567+№14!I567+'№ 20'!I567+'№ 23'!I567+№27!I567+'№ 31'!I567+'№ 34'!I567+'№ 41'!I567</f>
        <v>59.15</v>
      </c>
      <c r="J490" s="264">
        <f>№2!J567+№5!J567+'№ 6'!J567+№14!J567+'№ 20'!J567+'№ 23'!J567+№27!J567+'№ 31'!J567+'№ 34'!J567+'№ 41'!J567</f>
        <v>54.75</v>
      </c>
      <c r="K490" s="264">
        <f>№2!K567+№5!K567+'№ 6'!K567+№14!K567+'№ 20'!K567+'№ 23'!K567+№27!K567+'№ 31'!K567+'№ 34'!K567+'№ 41'!K567</f>
        <v>49.95</v>
      </c>
      <c r="L490" s="234">
        <f>SUM(F490:K490)</f>
        <v>304.61</v>
      </c>
      <c r="M490" s="234">
        <f>L490/6</f>
        <v>50.768000000000001</v>
      </c>
      <c r="N490" s="264">
        <f>№2!N567+№5!N567+'№ 6'!N567+№14!N567+'№ 20'!N567+'№ 23'!N567+№27!N567+'№ 31'!N567+'№ 34'!N567+'№ 41'!N567</f>
        <v>49.08</v>
      </c>
      <c r="O490" s="264">
        <f>№2!O567+№5!O567+'№ 6'!O567+№14!O567+'№ 20'!O567+'№ 23'!O567+№27!O567+'№ 31'!O567+'№ 34'!O567+'№ 41'!O567</f>
        <v>49.9</v>
      </c>
      <c r="P490" s="264">
        <f>№2!P567+№5!P567+'№ 6'!P567+№14!P567+'№ 20'!P567+'№ 23'!P567+№27!P567+'№ 31'!P567+'№ 34'!P567+'№ 41'!P567</f>
        <v>50.5</v>
      </c>
      <c r="Q490" s="264">
        <f>№2!Q567+№5!Q567+'№ 6'!Q567+№14!Q567+'№ 20'!Q567+'№ 23'!Q567+№27!Q567+'№ 31'!Q567+'№ 34'!Q567+'№ 41'!Q567</f>
        <v>52.35</v>
      </c>
      <c r="R490" s="264">
        <f>№2!R567+№5!R567+'№ 6'!R567+№14!R567+'№ 20'!R567+'№ 23'!R567+№27!R567+'№ 31'!R567+'№ 34'!R567+'№ 41'!R567</f>
        <v>50.78</v>
      </c>
      <c r="S490" s="264">
        <f>№2!S567+№5!S567+'№ 6'!S567+№14!S567+'№ 20'!S567+'№ 23'!S567+№27!S567+'№ 31'!S567+'№ 34'!S567+'№ 41'!S567</f>
        <v>53.1</v>
      </c>
      <c r="T490" s="234">
        <f>SUM(N490:S490)</f>
        <v>305.70999999999998</v>
      </c>
      <c r="U490" s="234">
        <f>T490+L490</f>
        <v>610.32000000000005</v>
      </c>
      <c r="V490" s="463">
        <f>№2!V567+№5!V567+'№ 6'!V567+№14!V567+'№ 20'!V567+'№ 23'!V567+№27!V567+'№ 31'!V567+'№ 34'!V567+'№ 41'!V567</f>
        <v>102.2</v>
      </c>
      <c r="W490" s="412"/>
      <c r="X490" s="185"/>
      <c r="Y490" s="186"/>
      <c r="Z490" s="186"/>
      <c r="AA490" s="186"/>
      <c r="AB490" s="186"/>
    </row>
    <row r="491" spans="1:28" s="186" customFormat="1" ht="18" customHeight="1">
      <c r="A491" s="614"/>
      <c r="B491" s="576"/>
      <c r="C491" s="577"/>
      <c r="D491" s="178" t="s">
        <v>109</v>
      </c>
      <c r="E491" s="179"/>
      <c r="F491" s="264">
        <f>№2!F568+№5!F568+'№ 6'!F568+№14!F568+'№ 20'!F568+'№ 23'!F568+№27!F568+'№ 31'!F568+'№ 34'!F568+'№ 41'!F568</f>
        <v>47.2</v>
      </c>
      <c r="G491" s="264">
        <f>№2!G568+№5!G568+'№ 6'!G568+№14!G568+'№ 20'!G568+'№ 23'!G568+№27!G568+'№ 31'!G568+'№ 34'!G568+'№ 41'!G568</f>
        <v>44.34</v>
      </c>
      <c r="H491" s="264">
        <f>№2!H568+№5!H568+'№ 6'!H568+№14!H568+'№ 20'!H568+'№ 23'!H568+№27!H568+'№ 31'!H568+'№ 34'!H568+'№ 41'!H568</f>
        <v>46.04</v>
      </c>
      <c r="I491" s="264">
        <f>№2!I568+№5!I568+'№ 6'!I568+№14!I568+'№ 20'!I568+'№ 23'!I568+№27!I568+'№ 31'!I568+'№ 34'!I568+'№ 41'!I568</f>
        <v>53.75</v>
      </c>
      <c r="J491" s="264">
        <f>№2!J568+№5!J568+'№ 6'!J568+№14!J568+'№ 20'!J568+'№ 23'!J568+№27!J568+'№ 31'!J568+'№ 34'!J568+'№ 41'!J568</f>
        <v>51.55</v>
      </c>
      <c r="K491" s="264">
        <f>№2!K568+№5!K568+'№ 6'!K568+№14!K568+'№ 20'!K568+'№ 23'!K568+№27!K568+'№ 31'!K568+'№ 34'!K568+'№ 41'!K568</f>
        <v>44.15</v>
      </c>
      <c r="L491" s="234">
        <f>SUM(F491:K491)</f>
        <v>287.02999999999997</v>
      </c>
      <c r="M491" s="234">
        <f>L491/6</f>
        <v>47.838000000000001</v>
      </c>
      <c r="N491" s="264">
        <f>№2!N568+№5!N568+'№ 6'!N568+№14!N568+'№ 20'!N568+'№ 23'!N568+№27!N568+'№ 31'!N568+'№ 34'!N568+'№ 41'!N568</f>
        <v>49.993000000000002</v>
      </c>
      <c r="O491" s="264">
        <f>№2!O568+№5!O568+'№ 6'!O568+№14!O568+'№ 20'!O568+'№ 23'!O568+№27!O568+'№ 31'!O568+'№ 34'!O568+'№ 41'!O568</f>
        <v>50.15</v>
      </c>
      <c r="P491" s="264">
        <f>№2!P568+№5!P568+'№ 6'!P568+№14!P568+'№ 20'!P568+'№ 23'!P568+№27!P568+'№ 31'!P568+'№ 34'!P568+'№ 41'!P568</f>
        <v>50.25</v>
      </c>
      <c r="Q491" s="264">
        <f>№2!Q568+№5!Q568+'№ 6'!Q568+№14!Q568+'№ 20'!Q568+'№ 23'!Q568+№27!Q568+'№ 31'!Q568+'№ 34'!Q568+'№ 41'!Q568</f>
        <v>49.15</v>
      </c>
      <c r="R491" s="264">
        <f>№2!R568+№5!R568+'№ 6'!R568+№14!R568+'№ 20'!R568+'№ 23'!R568+№27!R568+'№ 31'!R568+'№ 34'!R568+'№ 41'!R568</f>
        <v>49.35</v>
      </c>
      <c r="S491" s="264">
        <f>№2!S568+№5!S568+'№ 6'!S568+№14!S568+'№ 20'!S568+'№ 23'!S568+№27!S568+'№ 31'!S568+'№ 34'!S568+'№ 41'!S568</f>
        <v>47.5</v>
      </c>
      <c r="T491" s="234">
        <f>SUM(N491:S491)</f>
        <v>296.39299999999997</v>
      </c>
      <c r="U491" s="234">
        <f>T491+L491</f>
        <v>583.423</v>
      </c>
      <c r="V491" s="463">
        <f>№2!V568+№5!V568+'№ 6'!V568+№14!V568+'№ 20'!V568+'№ 23'!V568+№27!V568+'№ 31'!V568+'№ 34'!V568+'№ 41'!V568</f>
        <v>389.1</v>
      </c>
      <c r="W491" s="412"/>
      <c r="X491" s="185"/>
    </row>
    <row r="492" spans="1:28" s="186" customFormat="1" ht="18" customHeight="1">
      <c r="A492" s="614"/>
      <c r="B492" s="576"/>
      <c r="C492" s="577"/>
      <c r="D492" s="178" t="s">
        <v>116</v>
      </c>
      <c r="E492" s="179"/>
      <c r="F492" s="264">
        <f>№2!F569+№5!F569+'№ 6'!F569+№14!F569+'№ 20'!F569+'№ 23'!F569+№27!F569+'№ 31'!F569+'№ 34'!F569+'№ 41'!F569</f>
        <v>57.249000000000002</v>
      </c>
      <c r="G492" s="264">
        <f>№2!G569+№5!G569+'№ 6'!G569+№14!G569+'№ 20'!G569+'№ 23'!G569+№27!G569+'№ 31'!G569+'№ 34'!G569+'№ 41'!G569</f>
        <v>47.552</v>
      </c>
      <c r="H492" s="264">
        <f>№2!H569+№5!H569+'№ 6'!H569+№14!H569+'№ 20'!H569+'№ 23'!H569+№27!H569+'№ 31'!H569+'№ 34'!H569+'№ 41'!H569</f>
        <v>58.945999999999998</v>
      </c>
      <c r="I492" s="264">
        <f>№2!I569+№5!I569+'№ 6'!I569+№14!I569+'№ 20'!I569+'№ 23'!I569+№27!I569+'№ 31'!I569+'№ 34'!I569+'№ 41'!I569</f>
        <v>54.725000000000001</v>
      </c>
      <c r="J492" s="264">
        <f>№2!J569+№5!J569+'№ 6'!J569+№14!J569+'№ 20'!J569+'№ 23'!J569+№27!J569+'№ 31'!J569+'№ 34'!J569+'№ 41'!J569</f>
        <v>46.872999999999998</v>
      </c>
      <c r="K492" s="264">
        <f>№2!K569+№5!K569+'№ 6'!K569+№14!K569+'№ 20'!K569+'№ 23'!K569+№27!K569+'№ 31'!K569+'№ 34'!K569+'№ 41'!K569</f>
        <v>50.286000000000001</v>
      </c>
      <c r="L492" s="234">
        <f>SUM(F492:K492)</f>
        <v>315.63099999999997</v>
      </c>
      <c r="M492" s="234">
        <f>L492/6</f>
        <v>52.604999999999997</v>
      </c>
      <c r="N492" s="264">
        <f>№2!N569+№5!N569+'№ 6'!N569+№14!N569+'№ 20'!N569+'№ 23'!N569+№27!N569+'№ 31'!N569+'№ 34'!N569+'№ 41'!N569</f>
        <v>54.212000000000003</v>
      </c>
      <c r="O492" s="264">
        <f>№2!O569+№5!O569+'№ 6'!O569+№14!O569+'№ 20'!O569+'№ 23'!O569+№27!O569+'№ 31'!O569+'№ 34'!O569+'№ 41'!O569</f>
        <v>56.002000000000002</v>
      </c>
      <c r="P492" s="264">
        <f>№2!P569+№5!P569+'№ 6'!P569+№14!P569+'№ 20'!P569+'№ 23'!P569+№27!P569+'№ 31'!P569+'№ 34'!P569+'№ 41'!P569</f>
        <v>57.475000000000001</v>
      </c>
      <c r="Q492" s="264">
        <f>№2!Q569+№5!Q569+'№ 6'!Q569+№14!Q569+'№ 20'!Q569+'№ 23'!Q569+№27!Q569+'№ 31'!Q569+'№ 34'!Q569+'№ 41'!Q569</f>
        <v>59.375</v>
      </c>
      <c r="R492" s="264">
        <f>№2!R569+№5!R569+'№ 6'!R569+№14!R569+'№ 20'!R569+'№ 23'!R569+№27!R569+'№ 31'!R569+'№ 34'!R569+'№ 41'!R569</f>
        <v>63.381999999999998</v>
      </c>
      <c r="S492" s="264">
        <f>№2!S569+№5!S569+'№ 6'!S569+№14!S569+'№ 20'!S569+'№ 23'!S569+№27!S569+'№ 31'!S569+'№ 34'!S569+'№ 41'!S569</f>
        <v>76.644999999999996</v>
      </c>
      <c r="T492" s="234">
        <f>SUM(N492:S492)</f>
        <v>367.09100000000001</v>
      </c>
      <c r="U492" s="234">
        <f>T492+L492</f>
        <v>682.72199999999998</v>
      </c>
      <c r="V492" s="463">
        <f>№2!V569+№5!V569+'№ 6'!V569+№14!V569+'№ 20'!V569+'№ 23'!V569+№27!V569+'№ 31'!V569+'№ 34'!V569+'№ 41'!V569</f>
        <v>716.1</v>
      </c>
      <c r="W492" s="412">
        <f>V492-U492</f>
        <v>33.378</v>
      </c>
      <c r="X492" s="185"/>
    </row>
    <row r="493" spans="1:28" s="190" customFormat="1" ht="18" customHeight="1">
      <c r="A493" s="614"/>
      <c r="B493" s="576"/>
      <c r="C493" s="577"/>
      <c r="D493" s="187" t="s">
        <v>27</v>
      </c>
      <c r="E493" s="188"/>
      <c r="F493" s="188">
        <f t="shared" ref="F493:K493" si="502">F494*1000/F492</f>
        <v>167.96799999999999</v>
      </c>
      <c r="G493" s="188">
        <f t="shared" si="502"/>
        <v>168.06899999999999</v>
      </c>
      <c r="H493" s="188">
        <f t="shared" si="502"/>
        <v>167.96700000000001</v>
      </c>
      <c r="I493" s="188">
        <f t="shared" si="502"/>
        <v>167.67500000000001</v>
      </c>
      <c r="J493" s="188">
        <f t="shared" si="502"/>
        <v>167.346</v>
      </c>
      <c r="K493" s="188">
        <f t="shared" si="502"/>
        <v>168.07900000000001</v>
      </c>
      <c r="L493" s="217">
        <f>L494/L492*1000</f>
        <v>167.86</v>
      </c>
      <c r="M493" s="217">
        <f>M494/M492*1000</f>
        <v>167.85</v>
      </c>
      <c r="N493" s="188">
        <f t="shared" ref="N493:S493" si="503">N494*1000/N492</f>
        <v>168.28399999999999</v>
      </c>
      <c r="O493" s="188">
        <f t="shared" si="503"/>
        <v>169.137</v>
      </c>
      <c r="P493" s="188">
        <f t="shared" si="503"/>
        <v>169.691</v>
      </c>
      <c r="Q493" s="188">
        <f t="shared" si="503"/>
        <v>169.71799999999999</v>
      </c>
      <c r="R493" s="188">
        <f t="shared" si="503"/>
        <v>169.76400000000001</v>
      </c>
      <c r="S493" s="188">
        <f t="shared" si="503"/>
        <v>168.56899999999999</v>
      </c>
      <c r="T493" s="217">
        <f>T494/T492*1000</f>
        <v>169.18</v>
      </c>
      <c r="U493" s="217">
        <f>U494/U492*1000</f>
        <v>168.57</v>
      </c>
      <c r="V493" s="218">
        <f t="shared" ref="V493" si="504">V494*1000/V492</f>
        <v>165.119</v>
      </c>
      <c r="W493" s="189">
        <f>W494/W492*1000</f>
        <v>94.552999999999997</v>
      </c>
      <c r="X493" s="225"/>
    </row>
    <row r="494" spans="1:28" s="244" customFormat="1" ht="18" customHeight="1">
      <c r="A494" s="614"/>
      <c r="B494" s="576"/>
      <c r="C494" s="577"/>
      <c r="D494" s="191" t="s">
        <v>0</v>
      </c>
      <c r="E494" s="192"/>
      <c r="F494" s="192">
        <f>№2!F571+№5!F571+'№ 6'!F571+№14!F571+'№ 20'!F571+'№ 23'!F571+№27!F571+'№ 31'!F571+'№ 34'!F571+'№ 41'!F571</f>
        <v>9.6159999999999997</v>
      </c>
      <c r="G494" s="192">
        <f>№2!G571+№5!G571+'№ 6'!G571+№14!G571+'№ 20'!G571+'№ 23'!G571+№27!G571+'№ 31'!G571+'№ 34'!G571+'№ 41'!G571</f>
        <v>7.992</v>
      </c>
      <c r="H494" s="192">
        <f>№2!H571+№5!H571+'№ 6'!H571+№14!H571+'№ 20'!H571+'№ 23'!H571+№27!H571+'№ 31'!H571+'№ 34'!H571+'№ 41'!H571</f>
        <v>9.9009999999999998</v>
      </c>
      <c r="I494" s="192">
        <f>№2!I571+№5!I571+'№ 6'!I571+№14!I571+'№ 20'!I571+'№ 23'!I571+№27!I571+'№ 31'!I571+'№ 34'!I571+'№ 41'!I571</f>
        <v>9.1760000000000002</v>
      </c>
      <c r="J494" s="192">
        <f>№2!J571+№5!J571+'№ 6'!J571+№14!J571+'№ 20'!J571+'№ 23'!J571+№27!J571+'№ 31'!J571+'№ 34'!J571+'№ 41'!J571</f>
        <v>7.8440000000000003</v>
      </c>
      <c r="K494" s="192">
        <f>№2!K571+№5!K571+'№ 6'!K571+№14!K571+'№ 20'!K571+'№ 23'!K571+№27!K571+'№ 31'!K571+'№ 34'!K571+'№ 41'!K571</f>
        <v>8.452</v>
      </c>
      <c r="L494" s="194">
        <f>SUM(F494:K494)</f>
        <v>52.981000000000002</v>
      </c>
      <c r="M494" s="194">
        <f>L494/6</f>
        <v>8.83</v>
      </c>
      <c r="N494" s="192">
        <f>№2!N571+№5!N571+'№ 6'!N571+№14!N571+'№ 20'!N571+'№ 23'!N571+№27!N571+'№ 31'!N571+'№ 34'!N571+'№ 41'!N571</f>
        <v>9.1229999999999993</v>
      </c>
      <c r="O494" s="192">
        <f>№2!O571+№5!O571+'№ 6'!O571+№14!O571+'№ 20'!O571+'№ 23'!O571+№27!O571+'№ 31'!O571+'№ 34'!O571+'№ 41'!O571</f>
        <v>9.4719999999999995</v>
      </c>
      <c r="P494" s="192">
        <f>№2!P571+№5!P571+'№ 6'!P571+№14!P571+'№ 20'!P571+'№ 23'!P571+№27!P571+'№ 31'!P571+'№ 34'!P571+'№ 41'!P571</f>
        <v>9.7530000000000001</v>
      </c>
      <c r="Q494" s="192">
        <f>№2!Q571+№5!Q571+'№ 6'!Q571+№14!Q571+'№ 20'!Q571+'№ 23'!Q571+№27!Q571+'№ 31'!Q571+'№ 34'!Q571+'№ 41'!Q571</f>
        <v>10.077</v>
      </c>
      <c r="R494" s="192">
        <f>№2!R571+№5!R571+'№ 6'!R571+№14!R571+'№ 20'!R571+'№ 23'!R571+№27!R571+'№ 31'!R571+'№ 34'!R571+'№ 41'!R571</f>
        <v>10.76</v>
      </c>
      <c r="S494" s="192">
        <f>№2!S571+№5!S571+'№ 6'!S571+№14!S571+'№ 20'!S571+'№ 23'!S571+№27!S571+'№ 31'!S571+'№ 34'!S571+'№ 41'!S571</f>
        <v>12.92</v>
      </c>
      <c r="T494" s="194">
        <f>SUM(N494:S494)</f>
        <v>62.104999999999997</v>
      </c>
      <c r="U494" s="194">
        <f>T494+L494</f>
        <v>115.086</v>
      </c>
      <c r="V494" s="194">
        <f>№2!V571+№5!V571+'№ 6'!V571+№14!V571+'№ 20'!V571+'№ 23'!V571+№27!V571+'№ 31'!V571+'№ 34'!V571+'№ 41'!V571</f>
        <v>118.242</v>
      </c>
      <c r="W494" s="193">
        <f>V494-U494</f>
        <v>3.1560000000000001</v>
      </c>
    </row>
    <row r="495" spans="1:28" s="244" customFormat="1" ht="18" customHeight="1">
      <c r="A495" s="614"/>
      <c r="B495" s="576"/>
      <c r="C495" s="577"/>
      <c r="D495" s="174" t="s">
        <v>55</v>
      </c>
      <c r="E495" s="210"/>
      <c r="F495" s="192">
        <f>№2!F572+№5!F572+'№ 6'!F572+№14!F572+'№ 20'!F572+'№ 23'!F572+№27!F572+'№ 31'!F572+'№ 34'!F572+'№ 41'!F572</f>
        <v>0</v>
      </c>
      <c r="G495" s="192">
        <f>№2!G572+№5!G572+'№ 6'!G572+№14!G572+'№ 20'!G572+'№ 23'!G572+№27!G572+'№ 31'!G572+'№ 34'!G572+'№ 41'!G572</f>
        <v>0</v>
      </c>
      <c r="H495" s="192">
        <f>№2!H572+№5!H572+'№ 6'!H572+№14!H572+'№ 20'!H572+'№ 23'!H572+№27!H572+'№ 31'!H572+'№ 34'!H572+'№ 41'!H572</f>
        <v>0</v>
      </c>
      <c r="I495" s="192">
        <f>№2!I572+№5!I572+'№ 6'!I572+№14!I572+'№ 20'!I572+'№ 23'!I572+№27!I572+'№ 31'!I572+'№ 34'!I572+'№ 41'!I572</f>
        <v>0</v>
      </c>
      <c r="J495" s="192">
        <f>№2!J572+№5!J572+'№ 6'!J572+№14!J572+'№ 20'!J572+'№ 23'!J572+№27!J572+'№ 31'!J572+'№ 34'!J572+'№ 41'!J572</f>
        <v>0</v>
      </c>
      <c r="K495" s="192">
        <f>№2!K572+№5!K572+'№ 6'!K572+№14!K572+'№ 20'!K572+'№ 23'!K572+№27!K572+'№ 31'!K572+'№ 34'!K572+'№ 41'!K572</f>
        <v>0</v>
      </c>
      <c r="L495" s="194">
        <f>SUM(F495:K495)</f>
        <v>0</v>
      </c>
      <c r="M495" s="194">
        <f>L495/6</f>
        <v>0</v>
      </c>
      <c r="N495" s="192">
        <f>№2!N572+№5!N572+'№ 6'!N572+№14!N572+'№ 20'!N572+'№ 23'!N572+№27!N572+'№ 31'!N572+'№ 34'!N572+'№ 41'!N572</f>
        <v>0</v>
      </c>
      <c r="O495" s="192">
        <f>№2!O572+№5!O572+'№ 6'!O572+№14!O572+'№ 20'!O572+'№ 23'!O572+№27!O572+'№ 31'!O572+'№ 34'!O572+'№ 41'!O572</f>
        <v>0</v>
      </c>
      <c r="P495" s="192">
        <f>№2!P572+№5!P572+'№ 6'!P572+№14!P572+'№ 20'!P572+'№ 23'!P572+№27!P572+'№ 31'!P572+'№ 34'!P572+'№ 41'!P572</f>
        <v>0</v>
      </c>
      <c r="Q495" s="192">
        <f>№2!Q572+№5!Q572+'№ 6'!Q572+№14!Q572+'№ 20'!Q572+'№ 23'!Q572+№27!Q572+'№ 31'!Q572+'№ 34'!Q572+'№ 41'!Q572</f>
        <v>0</v>
      </c>
      <c r="R495" s="192">
        <f>№2!R572+№5!R572+'№ 6'!R572+№14!R572+'№ 20'!R572+'№ 23'!R572+№27!R572+'№ 31'!R572+'№ 34'!R572+'№ 41'!R572</f>
        <v>0</v>
      </c>
      <c r="S495" s="192">
        <f>№2!S572+№5!S572+'№ 6'!S572+№14!S572+'№ 20'!S572+'№ 23'!S572+№27!S572+'№ 31'!S572+'№ 34'!S572+'№ 41'!S572</f>
        <v>0</v>
      </c>
      <c r="T495" s="194">
        <f>SUM(N495:S495)</f>
        <v>0</v>
      </c>
      <c r="U495" s="194">
        <f>T495+L495</f>
        <v>0</v>
      </c>
      <c r="V495" s="194">
        <f>№2!V572+№5!V572+'№ 6'!V572+№14!V572+'№ 20'!V572+'№ 23'!V572+№27!V572+'№ 31'!V572+'№ 34'!V572+'№ 41'!V572</f>
        <v>0</v>
      </c>
      <c r="W495" s="193">
        <f>V495-U495</f>
        <v>0</v>
      </c>
    </row>
    <row r="496" spans="1:28" s="244" customFormat="1" ht="18" customHeight="1">
      <c r="A496" s="614"/>
      <c r="B496" s="576"/>
      <c r="C496" s="577"/>
      <c r="D496" s="174" t="s">
        <v>28</v>
      </c>
      <c r="E496" s="210"/>
      <c r="F496" s="192">
        <f>№2!F573+№5!F573+'№ 6'!F573+№14!F573+'№ 20'!F573+'№ 23'!F573+№27!F573+'№ 31'!F573+'№ 34'!F573+'№ 41'!F573</f>
        <v>4.4509999999999996</v>
      </c>
      <c r="G496" s="192">
        <f>№2!G573+№5!G573+'№ 6'!G573+№14!G573+'№ 20'!G573+'№ 23'!G573+№27!G573+'№ 31'!G573+'№ 34'!G573+'№ 41'!G573</f>
        <v>6.7619999999999996</v>
      </c>
      <c r="H496" s="192">
        <f>№2!H573+№5!H573+'№ 6'!H573+№14!H573+'№ 20'!H573+'№ 23'!H573+№27!H573+'№ 31'!H573+'№ 34'!H573+'№ 41'!H573</f>
        <v>9.3940000000000001</v>
      </c>
      <c r="I496" s="192">
        <f>№2!I573+№5!I573+'№ 6'!I573+№14!I573+'№ 20'!I573+'№ 23'!I573+№27!I573+'№ 31'!I573+'№ 34'!I573+'№ 41'!I573</f>
        <v>7.0369999999999999</v>
      </c>
      <c r="J496" s="192">
        <f>№2!J573+№5!J573+'№ 6'!J573+№14!J573+'№ 20'!J573+'№ 23'!J573+№27!J573+'№ 31'!J573+'№ 34'!J573+'№ 41'!J573</f>
        <v>9.5150000000000006</v>
      </c>
      <c r="K496" s="192">
        <f>№2!K573+№5!K573+'№ 6'!K573+№14!K573+'№ 20'!K573+'№ 23'!K573+№27!K573+'№ 31'!K573+'№ 34'!K573+'№ 41'!K573</f>
        <v>11.186</v>
      </c>
      <c r="L496" s="194">
        <f>SUM(F496:K496)</f>
        <v>48.344999999999999</v>
      </c>
      <c r="M496" s="194">
        <f>L496/6</f>
        <v>8.0579999999999998</v>
      </c>
      <c r="N496" s="192">
        <f>№2!N573+№5!N573+'№ 6'!N573+№14!N573+'№ 20'!N573+'№ 23'!N573+№27!N573+'№ 31'!N573+'№ 34'!N573+'№ 41'!N573</f>
        <v>8.4550000000000001</v>
      </c>
      <c r="O496" s="192">
        <f>№2!O573+№5!O573+'№ 6'!O573+№14!O573+'№ 20'!O573+'№ 23'!O573+№27!O573+'№ 31'!O573+'№ 34'!O573+'№ 41'!O573</f>
        <v>10.597</v>
      </c>
      <c r="P496" s="192">
        <f>№2!P573+№5!P573+'№ 6'!P573+№14!P573+'№ 20'!P573+'№ 23'!P573+№27!P573+'№ 31'!P573+'№ 34'!P573+'№ 41'!P573</f>
        <v>10.933999999999999</v>
      </c>
      <c r="Q496" s="192">
        <f>№2!Q573+№5!Q573+'№ 6'!Q573+№14!Q573+'№ 20'!Q573+'№ 23'!Q573+№27!Q573+'№ 31'!Q573+'№ 34'!Q573+'№ 41'!Q573</f>
        <v>10.423999999999999</v>
      </c>
      <c r="R496" s="192">
        <f>№2!R573+№5!R573+'№ 6'!R573+№14!R573+'№ 20'!R573+'№ 23'!R573+№27!R573+'№ 31'!R573+'№ 34'!R573+'№ 41'!R573</f>
        <v>9.9830000000000005</v>
      </c>
      <c r="S496" s="192">
        <f>№2!S573+№5!S573+'№ 6'!S573+№14!S573+'№ 20'!S573+'№ 23'!S573+№27!S573+'№ 31'!S573+'№ 34'!S573+'№ 41'!S573</f>
        <v>19.504000000000001</v>
      </c>
      <c r="T496" s="194">
        <f>SUM(N496:S496)</f>
        <v>69.897000000000006</v>
      </c>
      <c r="U496" s="194">
        <f>T496+L496</f>
        <v>118.242</v>
      </c>
      <c r="V496" s="194">
        <f>№2!V573+№5!V573+'№ 6'!V573+№14!V573+'№ 20'!V573+'№ 23'!V573+№27!V573+'№ 31'!V573+'№ 34'!V573+'№ 41'!V573</f>
        <v>118.242</v>
      </c>
      <c r="W496" s="193">
        <f>V496-U496</f>
        <v>0</v>
      </c>
    </row>
    <row r="497" spans="1:28" s="186" customFormat="1" ht="18" customHeight="1">
      <c r="A497" s="614"/>
      <c r="B497" s="576"/>
      <c r="C497" s="577"/>
      <c r="D497" s="178" t="s">
        <v>117</v>
      </c>
      <c r="E497" s="179">
        <f>№2!E574+№5!E574+'№ 6'!E574+№14!E574+'№ 20'!E574+'№ 23'!E574+№27!E574+'№ 31'!E574+'№ 34'!E574+'№ 41'!E574</f>
        <v>0</v>
      </c>
      <c r="F497" s="260">
        <f>№2!F574+№5!F574+'№ 6'!F574+№14!F574+'№ 20'!F574+'№ 23'!F574+№27!F574+'№ 31'!F574+'№ 34'!F574+'№ 41'!F574</f>
        <v>0</v>
      </c>
      <c r="G497" s="260">
        <f>№2!G574+№5!G574+'№ 6'!G574+№14!G574+'№ 20'!G574+'№ 23'!G574+№27!G574+'№ 31'!G574+'№ 34'!G574+'№ 41'!G574</f>
        <v>46.999000000000002</v>
      </c>
      <c r="H497" s="260">
        <f>№2!H574+№5!H574+'№ 6'!H574+№14!H574+'№ 20'!H574+'№ 23'!H574+№27!H574+'№ 31'!H574+'№ 34'!H574+'№ 41'!H574</f>
        <v>57.652000000000001</v>
      </c>
      <c r="I497" s="260">
        <f>№2!I574+№5!I574+'№ 6'!I574+№14!I574+'№ 20'!I574+'№ 23'!I574+№27!I574+'№ 31'!I574+'№ 34'!I574+'№ 41'!I574</f>
        <v>57.972999999999999</v>
      </c>
      <c r="J497" s="260">
        <f>№2!J574+№5!J574+'№ 6'!J574+№14!J574+'№ 20'!J574+'№ 23'!J574+№27!J574+'№ 31'!J574+'№ 34'!J574+'№ 41'!J574</f>
        <v>54.674999999999997</v>
      </c>
      <c r="K497" s="260">
        <f>№2!K574+№5!K574+'№ 6'!K574+№14!K574+'№ 20'!K574+'№ 23'!K574+№27!K574+'№ 31'!K574+'№ 34'!K574+'№ 41'!K574</f>
        <v>50.106999999999999</v>
      </c>
      <c r="L497" s="262">
        <f>SUM(F497:K497)</f>
        <v>267.40600000000001</v>
      </c>
      <c r="M497" s="262">
        <f>L497/6</f>
        <v>44.567999999999998</v>
      </c>
      <c r="N497" s="216">
        <f>№2!N574+№5!N574+'№ 6'!N574+№14!N574+'№ 20'!N574+'№ 23'!N574+№27!N574+'№ 31'!N574+'№ 34'!N574+'№ 41'!N574</f>
        <v>45.838999999999999</v>
      </c>
      <c r="O497" s="216">
        <f>№2!O574+№5!O574+'№ 6'!O574+№14!O574+'№ 20'!O574+'№ 23'!O574+№27!O574+'№ 31'!O574+'№ 34'!O574+'№ 41'!O574</f>
        <v>54.212000000000003</v>
      </c>
      <c r="P497" s="216">
        <f>№2!P574+№5!P574+'№ 6'!P574+№14!P574+'№ 20'!P574+'№ 23'!P574+№27!P574+'№ 31'!P574+'№ 34'!P574+'№ 41'!P574</f>
        <v>79.100999999999999</v>
      </c>
      <c r="Q497" s="216">
        <f>№2!Q574+№5!Q574+'№ 6'!Q574+№14!Q574+'№ 20'!Q574+'№ 23'!Q574+№27!Q574+'№ 31'!Q574+'№ 34'!Q574+'№ 41'!Q574</f>
        <v>56.375</v>
      </c>
      <c r="R497" s="216">
        <f>№2!R574+№5!R574+'№ 6'!R574+№14!R574+'№ 20'!R574+'№ 23'!R574+№27!R574+'№ 31'!R574+'№ 34'!R574+'№ 41'!R574</f>
        <v>58.674999999999997</v>
      </c>
      <c r="S497" s="216">
        <f>№2!S574+№5!S574+'№ 6'!S574+№14!S574+'№ 20'!S574+'№ 23'!S574+№27!S574+'№ 31'!S574+'№ 34'!S574+'№ 41'!S574</f>
        <v>121.102</v>
      </c>
      <c r="T497" s="262">
        <f>SUM(N497:S497)</f>
        <v>415.30399999999997</v>
      </c>
      <c r="U497" s="262">
        <f>T497+L497</f>
        <v>682.71</v>
      </c>
      <c r="V497" s="260">
        <f>№2!V574+№5!V574+'№ 6'!V574+№14!V574+'№ 20'!V574+'№ 23'!V574+№27!V574+'№ 31'!V574+'№ 34'!V574+'№ 41'!V574</f>
        <v>716.1</v>
      </c>
      <c r="W497" s="412">
        <f>V497-U497</f>
        <v>33.39</v>
      </c>
      <c r="X497" s="279">
        <f>U492-U497</f>
        <v>0</v>
      </c>
    </row>
    <row r="498" spans="1:28" s="190" customFormat="1" ht="18" customHeight="1">
      <c r="A498" s="614"/>
      <c r="B498" s="576"/>
      <c r="C498" s="577"/>
      <c r="D498" s="187" t="s">
        <v>27</v>
      </c>
      <c r="E498" s="188" t="e">
        <f t="shared" ref="E498:K498" si="505">E499*1000/E497</f>
        <v>#DIV/0!</v>
      </c>
      <c r="F498" s="188" t="e">
        <f t="shared" si="505"/>
        <v>#DIV/0!</v>
      </c>
      <c r="G498" s="188">
        <f t="shared" si="505"/>
        <v>167.982</v>
      </c>
      <c r="H498" s="188">
        <f t="shared" si="505"/>
        <v>167.661</v>
      </c>
      <c r="I498" s="188">
        <f t="shared" si="505"/>
        <v>167.94</v>
      </c>
      <c r="J498" s="188">
        <f t="shared" si="505"/>
        <v>167.73699999999999</v>
      </c>
      <c r="K498" s="188">
        <f t="shared" si="505"/>
        <v>167.78100000000001</v>
      </c>
      <c r="L498" s="217">
        <f>L499/L497*1000</f>
        <v>167.82</v>
      </c>
      <c r="M498" s="217">
        <f>M499/M497*1000</f>
        <v>167.81</v>
      </c>
      <c r="N498" s="218">
        <f>N499/N497*1000</f>
        <v>167.739</v>
      </c>
      <c r="O498" s="218">
        <f>O499/O497*1000</f>
        <v>168.339</v>
      </c>
      <c r="P498" s="188">
        <f>P499*1000/P497</f>
        <v>169.29</v>
      </c>
      <c r="Q498" s="188">
        <f>Q499*1000/Q497</f>
        <v>169.703</v>
      </c>
      <c r="R498" s="188">
        <f>R499*1000/R497</f>
        <v>169.715</v>
      </c>
      <c r="S498" s="188">
        <f>S499*1000/S497</f>
        <v>169.114</v>
      </c>
      <c r="T498" s="217">
        <f>T499/T497*1000</f>
        <v>169.06</v>
      </c>
      <c r="U498" s="217">
        <f>U499/U497*1000</f>
        <v>168.57</v>
      </c>
      <c r="V498" s="218">
        <f>V499*1000/V497</f>
        <v>165.119</v>
      </c>
      <c r="W498" s="189">
        <f>W499/W497*1000</f>
        <v>94.519000000000005</v>
      </c>
      <c r="X498" s="225"/>
    </row>
    <row r="499" spans="1:28" s="239" customFormat="1" ht="18" customHeight="1">
      <c r="A499" s="614"/>
      <c r="B499" s="576"/>
      <c r="C499" s="577"/>
      <c r="D499" s="198" t="s">
        <v>25</v>
      </c>
      <c r="E499" s="199">
        <f>№2!E576+№5!E576+'№ 6'!E576+№14!E576+'№ 20'!E576+'№ 23'!E576+№27!E576+'№ 31'!E576+'№ 34'!E576+'№ 41'!E576</f>
        <v>0</v>
      </c>
      <c r="F499" s="199">
        <f>№2!F576+№5!F576+'№ 6'!F576+№14!F576+'№ 20'!F576+'№ 23'!F576+№27!F576+'№ 31'!F576+'№ 34'!F576+'№ 41'!F576</f>
        <v>0</v>
      </c>
      <c r="G499" s="199">
        <f>№2!G576+№5!G576+'№ 6'!G576+№14!G576+'№ 20'!G576+'№ 23'!G576+№27!G576+'№ 31'!G576+'№ 34'!G576+'№ 41'!G576</f>
        <v>7.8949999999999996</v>
      </c>
      <c r="H499" s="199">
        <f>№2!H576+№5!H576+'№ 6'!H576+№14!H576+'№ 20'!H576+'№ 23'!H576+№27!H576+'№ 31'!H576+'№ 34'!H576+'№ 41'!H576</f>
        <v>9.6660000000000004</v>
      </c>
      <c r="I499" s="199">
        <f>№2!I576+№5!I576+'№ 6'!I576+№14!I576+'№ 20'!I576+'№ 23'!I576+№27!I576+'№ 31'!I576+'№ 34'!I576+'№ 41'!I576</f>
        <v>9.7360000000000007</v>
      </c>
      <c r="J499" s="199">
        <f>№2!J576+№5!J576+'№ 6'!J576+№14!J576+'№ 20'!J576+'№ 23'!J576+№27!J576+'№ 31'!J576+'№ 34'!J576+'№ 41'!J576</f>
        <v>9.1709999999999994</v>
      </c>
      <c r="K499" s="199">
        <f>№2!K576+№5!K576+'№ 6'!K576+№14!K576+'№ 20'!K576+'№ 23'!K576+№27!K576+'№ 31'!K576+'№ 34'!K576+'№ 41'!K576</f>
        <v>8.407</v>
      </c>
      <c r="L499" s="199">
        <f>SUM(F499:K499)</f>
        <v>44.875</v>
      </c>
      <c r="M499" s="199">
        <f>L499/6</f>
        <v>7.4790000000000001</v>
      </c>
      <c r="N499" s="199">
        <f>№2!N576+№5!N576+'№ 6'!N576+№14!N576+'№ 20'!N576+'№ 23'!N576+№27!N576+'№ 31'!N576+'№ 34'!N576+'№ 41'!N576</f>
        <v>7.6890000000000001</v>
      </c>
      <c r="O499" s="199">
        <f>№2!O576+№5!O576+'№ 6'!O576+№14!O576+'№ 20'!O576+'№ 23'!O576+№27!O576+'№ 31'!O576+'№ 34'!O576+'№ 41'!O576</f>
        <v>9.1259999999999994</v>
      </c>
      <c r="P499" s="199">
        <f>№2!P576+№5!P576+'№ 6'!P576+№14!P576+'№ 20'!P576+'№ 23'!P576+№27!P576+'№ 31'!P576+'№ 34'!P576+'№ 41'!P576</f>
        <v>13.391</v>
      </c>
      <c r="Q499" s="199">
        <f>№2!Q576+№5!Q576+'№ 6'!Q576+№14!Q576+'№ 20'!Q576+'№ 23'!Q576+№27!Q576+'№ 31'!Q576+'№ 34'!Q576+'№ 41'!Q576</f>
        <v>9.5670000000000002</v>
      </c>
      <c r="R499" s="199">
        <f>№2!R576+№5!R576+'№ 6'!R576+№14!R576+'№ 20'!R576+'№ 23'!R576+№27!R576+'№ 31'!R576+'№ 34'!R576+'№ 41'!R576</f>
        <v>9.9580000000000002</v>
      </c>
      <c r="S499" s="199">
        <f>№2!S576+№5!S576+'№ 6'!S576+№14!S576+'№ 20'!S576+'№ 23'!S576+№27!S576+'№ 31'!S576+'№ 34'!S576+'№ 41'!S576</f>
        <v>20.48</v>
      </c>
      <c r="T499" s="199">
        <f>SUM(N499:S499)</f>
        <v>70.210999999999999</v>
      </c>
      <c r="U499" s="199">
        <f>T499+L499</f>
        <v>115.086</v>
      </c>
      <c r="V499" s="199">
        <f>№2!V576+№5!V576+'№ 6'!V576+№14!V576+'№ 20'!V576+'№ 23'!V576+№27!V576+'№ 31'!V576+'№ 34'!V576+'№ 41'!V576</f>
        <v>118.242</v>
      </c>
      <c r="W499" s="221">
        <f>V499-U499</f>
        <v>3.1560000000000001</v>
      </c>
      <c r="X499" s="176">
        <f>U494-U499</f>
        <v>0</v>
      </c>
    </row>
    <row r="500" spans="1:28" s="239" customFormat="1" ht="18" customHeight="1">
      <c r="A500" s="614"/>
      <c r="B500" s="576"/>
      <c r="C500" s="577"/>
      <c r="D500" s="201" t="s">
        <v>55</v>
      </c>
      <c r="E500" s="220"/>
      <c r="F500" s="199">
        <f>№2!F577+№5!F577+'№ 6'!F577+№14!F577+'№ 20'!F577+'№ 23'!F577+№27!F577+'№ 31'!F577+'№ 34'!F577+'№ 41'!F577</f>
        <v>0</v>
      </c>
      <c r="G500" s="199">
        <f>№2!G577+№5!G577+'№ 6'!G577+№14!G577+'№ 20'!G577+'№ 23'!G577+№27!G577+'№ 31'!G577+'№ 34'!G577+'№ 41'!G577</f>
        <v>0</v>
      </c>
      <c r="H500" s="199">
        <f>№2!H577+№5!H577+'№ 6'!H577+№14!H577+'№ 20'!H577+'№ 23'!H577+№27!H577+'№ 31'!H577+'№ 34'!H577+'№ 41'!H577</f>
        <v>0</v>
      </c>
      <c r="I500" s="199">
        <f>№2!I577+№5!I577+'№ 6'!I577+№14!I577+'№ 20'!I577+'№ 23'!I577+№27!I577+'№ 31'!I577+'№ 34'!I577+'№ 41'!I577</f>
        <v>0</v>
      </c>
      <c r="J500" s="199">
        <f>№2!J577+№5!J577+'№ 6'!J577+№14!J577+'№ 20'!J577+'№ 23'!J577+№27!J577+'№ 31'!J577+'№ 34'!J577+'№ 41'!J577</f>
        <v>0</v>
      </c>
      <c r="K500" s="199">
        <f>№2!K577+№5!K577+'№ 6'!K577+№14!K577+'№ 20'!K577+'№ 23'!K577+№27!K577+'№ 31'!K577+'№ 34'!K577+'№ 41'!K577</f>
        <v>0</v>
      </c>
      <c r="L500" s="199">
        <f>SUM(F500:K500)</f>
        <v>0</v>
      </c>
      <c r="M500" s="199">
        <f>L500/6</f>
        <v>0</v>
      </c>
      <c r="N500" s="199">
        <f>№2!N577+№5!N577+'№ 6'!N577+№14!N577+'№ 20'!N577+'№ 23'!N577+№27!N577+'№ 31'!N577+'№ 34'!N577+'№ 41'!N577</f>
        <v>0</v>
      </c>
      <c r="O500" s="199">
        <f>№2!O577+№5!O577+'№ 6'!O577+№14!O577+'№ 20'!O577+'№ 23'!O577+№27!O577+'№ 31'!O577+'№ 34'!O577+'№ 41'!O577</f>
        <v>0</v>
      </c>
      <c r="P500" s="199">
        <f>№2!P577+№5!P577+'№ 6'!P577+№14!P577+'№ 20'!P577+'№ 23'!P577+№27!P577+'№ 31'!P577+'№ 34'!P577+'№ 41'!P577</f>
        <v>0</v>
      </c>
      <c r="Q500" s="199">
        <f>№2!Q577+№5!Q577+'№ 6'!Q577+№14!Q577+'№ 20'!Q577+'№ 23'!Q577+№27!Q577+'№ 31'!Q577+'№ 34'!Q577+'№ 41'!Q577</f>
        <v>0</v>
      </c>
      <c r="R500" s="199">
        <f>№2!R577+№5!R577+'№ 6'!R577+№14!R577+'№ 20'!R577+'№ 23'!R577+№27!R577+'№ 31'!R577+'№ 34'!R577+'№ 41'!R577</f>
        <v>0</v>
      </c>
      <c r="S500" s="199">
        <f>№2!S577+№5!S577+'№ 6'!S577+№14!S577+'№ 20'!S577+'№ 23'!S577+№27!S577+'№ 31'!S577+'№ 34'!S577+'№ 41'!S577</f>
        <v>0</v>
      </c>
      <c r="T500" s="199">
        <f>SUM(N500:S500)</f>
        <v>0</v>
      </c>
      <c r="U500" s="199">
        <f>T500+L500</f>
        <v>0</v>
      </c>
      <c r="V500" s="199">
        <f>№2!V577+№5!V577+'№ 6'!V577+№14!V577+'№ 20'!V577+'№ 23'!V577+№27!V577+'№ 31'!V577+'№ 34'!V577+'№ 41'!V577</f>
        <v>0</v>
      </c>
      <c r="W500" s="221">
        <f>V500-U500</f>
        <v>0</v>
      </c>
      <c r="X500" s="176">
        <f>U495-U500</f>
        <v>0</v>
      </c>
    </row>
    <row r="501" spans="1:28" s="239" customFormat="1" ht="18" customHeight="1">
      <c r="A501" s="614"/>
      <c r="B501" s="576"/>
      <c r="C501" s="577"/>
      <c r="D501" s="201" t="s">
        <v>24</v>
      </c>
      <c r="E501" s="220"/>
      <c r="F501" s="199">
        <f>№2!F578+№5!F578+'№ 6'!F578+№14!F578+'№ 20'!F578+'№ 23'!F578+№27!F578+'№ 31'!F578+'№ 34'!F578+'№ 41'!F578</f>
        <v>0</v>
      </c>
      <c r="G501" s="199">
        <f>№2!G578+№5!G578+'№ 6'!G578+№14!G578+'№ 20'!G578+'№ 23'!G578+№27!G578+'№ 31'!G578+'№ 34'!G578+'№ 41'!G578</f>
        <v>7.8949999999999996</v>
      </c>
      <c r="H501" s="199">
        <f>№2!H578+№5!H578+'№ 6'!H578+№14!H578+'№ 20'!H578+'№ 23'!H578+№27!H578+'№ 31'!H578+'№ 34'!H578+'№ 41'!H578</f>
        <v>9.6660000000000004</v>
      </c>
      <c r="I501" s="199">
        <f>№2!I578+№5!I578+'№ 6'!I578+№14!I578+'№ 20'!I578+'№ 23'!I578+№27!I578+'№ 31'!I578+'№ 34'!I578+'№ 41'!I578</f>
        <v>9.7360000000000007</v>
      </c>
      <c r="J501" s="199">
        <f>№2!J578+№5!J578+'№ 6'!J578+№14!J578+'№ 20'!J578+'№ 23'!J578+№27!J578+'№ 31'!J578+'№ 34'!J578+'№ 41'!J578</f>
        <v>9.1709999999999994</v>
      </c>
      <c r="K501" s="199">
        <f>№2!K578+№5!K578+'№ 6'!K578+№14!K578+'№ 20'!K578+'№ 23'!K578+№27!K578+'№ 31'!K578+'№ 34'!K578+'№ 41'!K578</f>
        <v>8.407</v>
      </c>
      <c r="L501" s="199">
        <f>SUM(F501:K501)</f>
        <v>44.875</v>
      </c>
      <c r="M501" s="199">
        <f>L501/6</f>
        <v>7.4790000000000001</v>
      </c>
      <c r="N501" s="199">
        <f>№2!N578+№5!N578+'№ 6'!N578+№14!N578+'№ 20'!N578+'№ 23'!N578+№27!N578+'№ 31'!N578+'№ 34'!N578+'№ 41'!N578</f>
        <v>7.6890000000000001</v>
      </c>
      <c r="O501" s="199">
        <f>№2!O578+№5!O578+'№ 6'!O578+№14!O578+'№ 20'!O578+'№ 23'!O578+№27!O578+'№ 31'!O578+'№ 34'!O578+'№ 41'!O578</f>
        <v>9.1259999999999994</v>
      </c>
      <c r="P501" s="199">
        <f>№2!P578+№5!P578+'№ 6'!P578+№14!P578+'№ 20'!P578+'№ 23'!P578+№27!P578+'№ 31'!P578+'№ 34'!P578+'№ 41'!P578</f>
        <v>13.391</v>
      </c>
      <c r="Q501" s="199">
        <f>№2!Q578+№5!Q578+'№ 6'!Q578+№14!Q578+'№ 20'!Q578+'№ 23'!Q578+№27!Q578+'№ 31'!Q578+'№ 34'!Q578+'№ 41'!Q578</f>
        <v>9.5670000000000002</v>
      </c>
      <c r="R501" s="199">
        <f>№2!R578+№5!R578+'№ 6'!R578+№14!R578+'№ 20'!R578+'№ 23'!R578+№27!R578+'№ 31'!R578+'№ 34'!R578+'№ 41'!R578</f>
        <v>9.9580000000000002</v>
      </c>
      <c r="S501" s="199">
        <f>№2!S578+№5!S578+'№ 6'!S578+№14!S578+'№ 20'!S578+'№ 23'!S578+№27!S578+'№ 31'!S578+'№ 34'!S578+'№ 41'!S578</f>
        <v>20.48</v>
      </c>
      <c r="T501" s="199">
        <f>SUM(N501:S501)</f>
        <v>70.210999999999999</v>
      </c>
      <c r="U501" s="199">
        <f>T501+L501</f>
        <v>115.086</v>
      </c>
      <c r="V501" s="199">
        <f>№2!V578+№5!V578+'№ 6'!V578+№14!V578+'№ 20'!V578+'№ 23'!V578+№27!V578+'№ 31'!V578+'№ 34'!V578+'№ 41'!V578</f>
        <v>118.242</v>
      </c>
      <c r="W501" s="221">
        <f>V501-U501</f>
        <v>3.1560000000000001</v>
      </c>
      <c r="X501" s="176">
        <f>U496-U501</f>
        <v>3.1560000000000001</v>
      </c>
    </row>
    <row r="502" spans="1:28" s="205" customFormat="1" ht="18" customHeight="1">
      <c r="A502" s="614"/>
      <c r="B502" s="576"/>
      <c r="C502" s="577"/>
      <c r="D502" s="202" t="s">
        <v>29</v>
      </c>
      <c r="E502" s="203"/>
      <c r="F502" s="203">
        <f t="shared" ref="F502:K502" si="506">F496+F495</f>
        <v>4.4509999999999996</v>
      </c>
      <c r="G502" s="203">
        <f t="shared" si="506"/>
        <v>6.7619999999999996</v>
      </c>
      <c r="H502" s="203">
        <f t="shared" si="506"/>
        <v>9.3940000000000001</v>
      </c>
      <c r="I502" s="203">
        <f t="shared" si="506"/>
        <v>7.0369999999999999</v>
      </c>
      <c r="J502" s="203">
        <f t="shared" si="506"/>
        <v>9.5150000000000006</v>
      </c>
      <c r="K502" s="203">
        <f t="shared" si="506"/>
        <v>11.186</v>
      </c>
      <c r="L502" s="203">
        <f>SUM(F502:K502)</f>
        <v>48.344999999999999</v>
      </c>
      <c r="M502" s="203">
        <f>L502/6</f>
        <v>8.0579999999999998</v>
      </c>
      <c r="N502" s="203">
        <f t="shared" ref="N502:S502" si="507">N496+N495</f>
        <v>8.4550000000000001</v>
      </c>
      <c r="O502" s="203">
        <f t="shared" si="507"/>
        <v>10.597</v>
      </c>
      <c r="P502" s="203">
        <f t="shared" si="507"/>
        <v>10.933999999999999</v>
      </c>
      <c r="Q502" s="203">
        <f t="shared" si="507"/>
        <v>10.423999999999999</v>
      </c>
      <c r="R502" s="203">
        <f t="shared" si="507"/>
        <v>9.9830000000000005</v>
      </c>
      <c r="S502" s="203">
        <f t="shared" si="507"/>
        <v>19.504000000000001</v>
      </c>
      <c r="T502" s="203">
        <f>SUM(N502:S502)</f>
        <v>69.897000000000006</v>
      </c>
      <c r="U502" s="203">
        <f>T502+L502</f>
        <v>118.242</v>
      </c>
      <c r="V502" s="203">
        <f>V499</f>
        <v>118.242</v>
      </c>
      <c r="W502" s="203">
        <f>V502-U502</f>
        <v>0</v>
      </c>
    </row>
    <row r="503" spans="1:28" s="205" customFormat="1" ht="18" customHeight="1">
      <c r="A503" s="614"/>
      <c r="B503" s="576"/>
      <c r="C503" s="577"/>
      <c r="D503" s="202" t="s">
        <v>30</v>
      </c>
      <c r="E503" s="203"/>
      <c r="F503" s="203">
        <f t="shared" ref="F503:K503" si="508">F499-F502</f>
        <v>-4.4509999999999996</v>
      </c>
      <c r="G503" s="203">
        <f t="shared" si="508"/>
        <v>1.133</v>
      </c>
      <c r="H503" s="203">
        <f t="shared" si="508"/>
        <v>0.27200000000000002</v>
      </c>
      <c r="I503" s="203">
        <f t="shared" si="508"/>
        <v>2.6989999999999998</v>
      </c>
      <c r="J503" s="203">
        <f t="shared" si="508"/>
        <v>-0.34399999999999997</v>
      </c>
      <c r="K503" s="203">
        <f t="shared" si="508"/>
        <v>-2.7789999999999999</v>
      </c>
      <c r="L503" s="203"/>
      <c r="M503" s="203"/>
      <c r="N503" s="203">
        <f t="shared" ref="N503:S503" si="509">N499-N502</f>
        <v>-0.76600000000000001</v>
      </c>
      <c r="O503" s="203">
        <f t="shared" si="509"/>
        <v>-1.4710000000000001</v>
      </c>
      <c r="P503" s="203">
        <f t="shared" si="509"/>
        <v>2.4569999999999999</v>
      </c>
      <c r="Q503" s="203">
        <f t="shared" si="509"/>
        <v>-0.85699999999999998</v>
      </c>
      <c r="R503" s="203">
        <f t="shared" si="509"/>
        <v>-2.5000000000000001E-2</v>
      </c>
      <c r="S503" s="203">
        <f t="shared" si="509"/>
        <v>0.97599999999999998</v>
      </c>
      <c r="T503" s="203"/>
      <c r="U503" s="203"/>
      <c r="V503" s="203"/>
      <c r="W503" s="203"/>
    </row>
    <row r="504" spans="1:28" s="205" customFormat="1" ht="17.55" customHeight="1">
      <c r="A504" s="614"/>
      <c r="B504" s="578"/>
      <c r="C504" s="579"/>
      <c r="D504" s="202" t="s">
        <v>31</v>
      </c>
      <c r="E504" s="203"/>
      <c r="F504" s="203">
        <f>F503</f>
        <v>-4.4509999999999996</v>
      </c>
      <c r="G504" s="203">
        <f>G503+F504</f>
        <v>-3.3180000000000001</v>
      </c>
      <c r="H504" s="203">
        <f>H503+G504</f>
        <v>-3.0459999999999998</v>
      </c>
      <c r="I504" s="203">
        <f>I503+H504</f>
        <v>-0.34699999999999998</v>
      </c>
      <c r="J504" s="203">
        <f>J503+I504</f>
        <v>-0.69099999999999995</v>
      </c>
      <c r="K504" s="203">
        <f>K503+J504</f>
        <v>-3.47</v>
      </c>
      <c r="L504" s="203"/>
      <c r="M504" s="203"/>
      <c r="N504" s="203">
        <f>N503+K504</f>
        <v>-4.2359999999999998</v>
      </c>
      <c r="O504" s="203">
        <f>O503+N504</f>
        <v>-5.7069999999999999</v>
      </c>
      <c r="P504" s="203">
        <f>P503+O504</f>
        <v>-3.25</v>
      </c>
      <c r="Q504" s="203">
        <f>Q503+P504</f>
        <v>-4.1070000000000002</v>
      </c>
      <c r="R504" s="203">
        <f>R503+Q504</f>
        <v>-4.1319999999999997</v>
      </c>
      <c r="S504" s="203">
        <f>S503+R504</f>
        <v>-3.1560000000000001</v>
      </c>
      <c r="T504" s="203"/>
      <c r="U504" s="203"/>
      <c r="V504" s="203"/>
      <c r="W504" s="203"/>
    </row>
    <row r="505" spans="1:28" s="196" customFormat="1" ht="18" customHeight="1">
      <c r="A505" s="614"/>
      <c r="B505" s="574" t="s">
        <v>118</v>
      </c>
      <c r="C505" s="575"/>
      <c r="D505" s="178" t="s">
        <v>105</v>
      </c>
      <c r="E505" s="179"/>
      <c r="F505" s="180">
        <f>№2!F582+№5!F582+'№ 6'!F582+№14!F582+'№ 20'!F582+'№ 23'!F582+№27!F582+'№ 31'!F582+'№ 34'!F582+'№ 41'!F582</f>
        <v>0</v>
      </c>
      <c r="G505" s="180">
        <f>№2!G582+№5!G582+'№ 6'!G582+№14!G582+'№ 20'!G582+'№ 23'!G582+№27!G582+'№ 31'!G582+'№ 34'!G582+'№ 41'!G582</f>
        <v>0</v>
      </c>
      <c r="H505" s="180">
        <f>№2!H582+№5!H582+'№ 6'!H582+№14!H582+'№ 20'!H582+'№ 23'!H582+№27!H582+'№ 31'!H582+'№ 34'!H582+'№ 41'!H582</f>
        <v>0</v>
      </c>
      <c r="I505" s="180">
        <f>№2!I582+№5!I582+'№ 6'!I582+№14!I582+'№ 20'!I582+'№ 23'!I582+№27!I582+'№ 31'!I582+'№ 34'!I582+'№ 41'!I582</f>
        <v>0</v>
      </c>
      <c r="J505" s="180">
        <f>№2!J582+№5!J582+'№ 6'!J582+№14!J582+'№ 20'!J582+'№ 23'!J582+№27!J582+'№ 31'!J582+'№ 34'!J582+'№ 41'!J582</f>
        <v>0</v>
      </c>
      <c r="K505" s="180">
        <f>№2!K582+№5!K582+'№ 6'!K582+№14!K582+'№ 20'!K582+'№ 23'!K582+№27!K582+'№ 31'!K582+'№ 34'!K582+'№ 41'!K582</f>
        <v>0</v>
      </c>
      <c r="L505" s="215">
        <f>SUM(F505:K505)</f>
        <v>0</v>
      </c>
      <c r="M505" s="215">
        <f>L505/6</f>
        <v>0</v>
      </c>
      <c r="N505" s="180">
        <f>№2!N582+№5!N582+'№ 6'!N582+№14!N582+'№ 20'!N582+'№ 23'!N582+№27!N582+'№ 31'!N582+'№ 34'!N582+'№ 41'!N582</f>
        <v>0</v>
      </c>
      <c r="O505" s="180">
        <f>№2!O582+№5!O582+'№ 6'!O582+№14!O582+'№ 20'!O582+'№ 23'!O582+№27!O582+'№ 31'!O582+'№ 34'!O582+'№ 41'!O582</f>
        <v>0</v>
      </c>
      <c r="P505" s="180">
        <f>№2!P582+№5!P582+'№ 6'!P582+№14!P582+'№ 20'!P582+'№ 23'!P582+№27!P582+'№ 31'!P582+'№ 34'!P582+'№ 41'!P582</f>
        <v>0</v>
      </c>
      <c r="Q505" s="180">
        <f>№2!Q582+№5!Q582+'№ 6'!Q582+№14!Q582+'№ 20'!Q582+'№ 23'!Q582+№27!Q582+'№ 31'!Q582+'№ 34'!Q582+'№ 41'!Q582</f>
        <v>0</v>
      </c>
      <c r="R505" s="180">
        <f>№2!R582+№5!R582+'№ 6'!R582+№14!R582+'№ 20'!R582+'№ 23'!R582+№27!R582+'№ 31'!R582+'№ 34'!R582+'№ 41'!R582</f>
        <v>0</v>
      </c>
      <c r="S505" s="180">
        <f>№2!S582+№5!S582+'№ 6'!S582+№14!S582+'№ 20'!S582+'№ 23'!S582+№27!S582+'№ 31'!S582+'№ 34'!S582+'№ 41'!S582</f>
        <v>0</v>
      </c>
      <c r="T505" s="215">
        <f>SUM(N505:S505)</f>
        <v>0</v>
      </c>
      <c r="U505" s="215">
        <f>T505+L505</f>
        <v>0</v>
      </c>
      <c r="V505" s="233">
        <f>№2!V582+№5!V582+'№ 6'!V582+№14!V582+'№ 20'!V582+'№ 23'!V582+№27!V582+'№ 31'!V582+'№ 34'!V582+'№ 41'!V582</f>
        <v>0</v>
      </c>
      <c r="W505" s="184"/>
      <c r="X505" s="185"/>
      <c r="Y505" s="186"/>
      <c r="Z505" s="186"/>
      <c r="AA505" s="186"/>
      <c r="AB505" s="186"/>
    </row>
    <row r="506" spans="1:28" s="186" customFormat="1" ht="18" customHeight="1">
      <c r="A506" s="614"/>
      <c r="B506" s="576"/>
      <c r="C506" s="577"/>
      <c r="D506" s="178" t="s">
        <v>109</v>
      </c>
      <c r="E506" s="179"/>
      <c r="F506" s="180">
        <f>№2!F583+№5!F583+'№ 6'!F583+№14!F583+'№ 20'!F583+'№ 23'!F583+№27!F583+'№ 31'!F583+'№ 34'!F583+'№ 41'!F583</f>
        <v>0</v>
      </c>
      <c r="G506" s="180">
        <f>№2!G583+№5!G583+'№ 6'!G583+№14!G583+'№ 20'!G583+'№ 23'!G583+№27!G583+'№ 31'!G583+'№ 34'!G583+'№ 41'!G583</f>
        <v>0</v>
      </c>
      <c r="H506" s="180">
        <f>№2!H583+№5!H583+'№ 6'!H583+№14!H583+'№ 20'!H583+'№ 23'!H583+№27!H583+'№ 31'!H583+'№ 34'!H583+'№ 41'!H583</f>
        <v>0</v>
      </c>
      <c r="I506" s="180">
        <f>№2!I583+№5!I583+'№ 6'!I583+№14!I583+'№ 20'!I583+'№ 23'!I583+№27!I583+'№ 31'!I583+'№ 34'!I583+'№ 41'!I583</f>
        <v>0</v>
      </c>
      <c r="J506" s="180">
        <f>№2!J583+№5!J583+'№ 6'!J583+№14!J583+'№ 20'!J583+'№ 23'!J583+№27!J583+'№ 31'!J583+'№ 34'!J583+'№ 41'!J583</f>
        <v>0</v>
      </c>
      <c r="K506" s="180">
        <f>№2!K583+№5!K583+'№ 6'!K583+№14!K583+'№ 20'!K583+'№ 23'!K583+№27!K583+'№ 31'!K583+'№ 34'!K583+'№ 41'!K583</f>
        <v>0</v>
      </c>
      <c r="L506" s="215">
        <f>SUM(F506:K506)</f>
        <v>0</v>
      </c>
      <c r="M506" s="215">
        <f>L506/6</f>
        <v>0</v>
      </c>
      <c r="N506" s="180">
        <f>№2!N583+№5!N583+'№ 6'!N583+№14!N583+'№ 20'!N583+'№ 23'!N583+№27!N583+'№ 31'!N583+'№ 34'!N583+'№ 41'!N583</f>
        <v>0</v>
      </c>
      <c r="O506" s="180">
        <f>№2!O583+№5!O583+'№ 6'!O583+№14!O583+'№ 20'!O583+'№ 23'!O583+№27!O583+'№ 31'!O583+'№ 34'!O583+'№ 41'!O583</f>
        <v>0</v>
      </c>
      <c r="P506" s="180">
        <f>№2!P583+№5!P583+'№ 6'!P583+№14!P583+'№ 20'!P583+'№ 23'!P583+№27!P583+'№ 31'!P583+'№ 34'!P583+'№ 41'!P583</f>
        <v>0</v>
      </c>
      <c r="Q506" s="180">
        <f>№2!Q583+№5!Q583+'№ 6'!Q583+№14!Q583+'№ 20'!Q583+'№ 23'!Q583+№27!Q583+'№ 31'!Q583+'№ 34'!Q583+'№ 41'!Q583</f>
        <v>0</v>
      </c>
      <c r="R506" s="180">
        <f>№2!R583+№5!R583+'№ 6'!R583+№14!R583+'№ 20'!R583+'№ 23'!R583+№27!R583+'№ 31'!R583+'№ 34'!R583+'№ 41'!R583</f>
        <v>0</v>
      </c>
      <c r="S506" s="180">
        <f>№2!S583+№5!S583+'№ 6'!S583+№14!S583+'№ 20'!S583+'№ 23'!S583+№27!S583+'№ 31'!S583+'№ 34'!S583+'№ 41'!S583</f>
        <v>0</v>
      </c>
      <c r="T506" s="215">
        <f>SUM(N506:S506)</f>
        <v>0</v>
      </c>
      <c r="U506" s="215">
        <f>T506+L506</f>
        <v>0</v>
      </c>
      <c r="V506" s="233">
        <f>№2!V583+№5!V583+'№ 6'!V583+№14!V583+'№ 20'!V583+'№ 23'!V583+№27!V583+'№ 31'!V583+'№ 34'!V583+'№ 41'!V583</f>
        <v>0</v>
      </c>
      <c r="W506" s="184"/>
      <c r="X506" s="185"/>
    </row>
    <row r="507" spans="1:28" s="186" customFormat="1" ht="18" customHeight="1">
      <c r="A507" s="614"/>
      <c r="B507" s="576"/>
      <c r="C507" s="577"/>
      <c r="D507" s="178" t="s">
        <v>116</v>
      </c>
      <c r="E507" s="179"/>
      <c r="F507" s="180">
        <f>№2!F584+№5!F584+'№ 6'!F584+№14!F584+'№ 20'!F584+'№ 23'!F584+№27!F584+'№ 31'!F584+'№ 34'!F584+'№ 41'!F584</f>
        <v>7.5</v>
      </c>
      <c r="G507" s="180">
        <f>№2!G584+№5!G584+'№ 6'!G584+№14!G584+'№ 20'!G584+'№ 23'!G584+№27!G584+'№ 31'!G584+'№ 34'!G584+'№ 41'!G584</f>
        <v>7.5</v>
      </c>
      <c r="H507" s="180">
        <f>№2!H584+№5!H584+'№ 6'!H584+№14!H584+'№ 20'!H584+'№ 23'!H584+№27!H584+'№ 31'!H584+'№ 34'!H584+'№ 41'!H584</f>
        <v>8</v>
      </c>
      <c r="I507" s="180">
        <f>№2!I584+№5!I584+'№ 6'!I584+№14!I584+'№ 20'!I584+'№ 23'!I584+№27!I584+'№ 31'!I584+'№ 34'!I584+'№ 41'!I584</f>
        <v>8</v>
      </c>
      <c r="J507" s="180">
        <f>№2!J584+№5!J584+'№ 6'!J584+№14!J584+'№ 20'!J584+'№ 23'!J584+№27!J584+'№ 31'!J584+'№ 34'!J584+'№ 41'!J584</f>
        <v>8</v>
      </c>
      <c r="K507" s="180">
        <f>№2!K584+№5!K584+'№ 6'!K584+№14!K584+'№ 20'!K584+'№ 23'!K584+№27!K584+'№ 31'!K584+'№ 34'!K584+'№ 41'!K584</f>
        <v>8</v>
      </c>
      <c r="L507" s="262">
        <f>SUM(F507:K507)</f>
        <v>47</v>
      </c>
      <c r="M507" s="262">
        <f>L507/6</f>
        <v>7.8330000000000002</v>
      </c>
      <c r="N507" s="264">
        <f>№2!N584+№5!N584+'№ 6'!N584+№14!N584+'№ 20'!N584+'№ 23'!N584+№27!N584+'№ 31'!N584+'№ 34'!N584+'№ 41'!N584</f>
        <v>8</v>
      </c>
      <c r="O507" s="264">
        <f>№2!O584+№5!O584+'№ 6'!O584+№14!O584+'№ 20'!O584+'№ 23'!O584+№27!O584+'№ 31'!O584+'№ 34'!O584+'№ 41'!O584</f>
        <v>8</v>
      </c>
      <c r="P507" s="264">
        <f>№2!P584+№5!P584+'№ 6'!P584+№14!P584+'№ 20'!P584+'№ 23'!P584+№27!P584+'№ 31'!P584+'№ 34'!P584+'№ 41'!P584</f>
        <v>9</v>
      </c>
      <c r="Q507" s="264">
        <f>№2!Q584+№5!Q584+'№ 6'!Q584+№14!Q584+'№ 20'!Q584+'№ 23'!Q584+№27!Q584+'№ 31'!Q584+'№ 34'!Q584+'№ 41'!Q584</f>
        <v>9</v>
      </c>
      <c r="R507" s="264">
        <f>№2!R584+№5!R584+'№ 6'!R584+№14!R584+'№ 20'!R584+'№ 23'!R584+№27!R584+'№ 31'!R584+'№ 34'!R584+'№ 41'!R584</f>
        <v>9</v>
      </c>
      <c r="S507" s="264">
        <f>№2!S584+№5!S584+'№ 6'!S584+№14!S584+'№ 20'!S584+'№ 23'!S584+№27!S584+'№ 31'!S584+'№ 34'!S584+'№ 41'!S584</f>
        <v>9</v>
      </c>
      <c r="T507" s="262">
        <f>SUM(N507:S507)</f>
        <v>52</v>
      </c>
      <c r="U507" s="262">
        <f>T507+L507</f>
        <v>99</v>
      </c>
      <c r="V507" s="233">
        <f>№2!V584+№5!V584+'№ 6'!V584+№14!V584+'№ 20'!V584+'№ 23'!V584+№27!V584+'№ 31'!V584+'№ 34'!V584+'№ 41'!V584</f>
        <v>108</v>
      </c>
      <c r="W507" s="184">
        <f>V507-U507</f>
        <v>9</v>
      </c>
      <c r="X507" s="185"/>
    </row>
    <row r="508" spans="1:28" s="190" customFormat="1" ht="18" customHeight="1">
      <c r="A508" s="614"/>
      <c r="B508" s="576"/>
      <c r="C508" s="577"/>
      <c r="D508" s="187" t="s">
        <v>27</v>
      </c>
      <c r="E508" s="188"/>
      <c r="F508" s="188">
        <f t="shared" ref="F508:K508" si="510">F509*1000/F507</f>
        <v>2.4</v>
      </c>
      <c r="G508" s="188">
        <f t="shared" si="510"/>
        <v>2</v>
      </c>
      <c r="H508" s="188">
        <f t="shared" si="510"/>
        <v>2</v>
      </c>
      <c r="I508" s="188">
        <f t="shared" si="510"/>
        <v>2</v>
      </c>
      <c r="J508" s="188">
        <f t="shared" si="510"/>
        <v>2</v>
      </c>
      <c r="K508" s="188">
        <f t="shared" si="510"/>
        <v>2</v>
      </c>
      <c r="L508" s="217">
        <f>L509/L507*1000</f>
        <v>2.06</v>
      </c>
      <c r="M508" s="217">
        <f>M509/M507*1000</f>
        <v>2.04</v>
      </c>
      <c r="N508" s="188">
        <f t="shared" ref="N508:S508" si="511">N509*1000/N507</f>
        <v>2</v>
      </c>
      <c r="O508" s="188">
        <f t="shared" si="511"/>
        <v>2</v>
      </c>
      <c r="P508" s="188">
        <f t="shared" si="511"/>
        <v>2</v>
      </c>
      <c r="Q508" s="188">
        <f t="shared" si="511"/>
        <v>2</v>
      </c>
      <c r="R508" s="188">
        <f t="shared" si="511"/>
        <v>2</v>
      </c>
      <c r="S508" s="188">
        <f t="shared" si="511"/>
        <v>2</v>
      </c>
      <c r="T508" s="217">
        <f>T509/T507*1000</f>
        <v>2</v>
      </c>
      <c r="U508" s="217">
        <f>U509/U507*1000</f>
        <v>2.0299999999999998</v>
      </c>
      <c r="V508" s="218">
        <f t="shared" ref="V508" si="512">V509*1000/V507</f>
        <v>2.0830000000000002</v>
      </c>
      <c r="W508" s="189">
        <f>W509/W507*1000</f>
        <v>2.6669999999999998</v>
      </c>
      <c r="X508" s="225"/>
    </row>
    <row r="509" spans="1:28" s="244" customFormat="1" ht="18" customHeight="1">
      <c r="A509" s="614"/>
      <c r="B509" s="576"/>
      <c r="C509" s="577"/>
      <c r="D509" s="191" t="s">
        <v>0</v>
      </c>
      <c r="E509" s="192"/>
      <c r="F509" s="192">
        <f>№2!F586+№5!F586+'№ 6'!F586+№14!F586+'№ 20'!F586+'№ 23'!F586+№27!F586+'№ 31'!F586+'№ 34'!F586+'№ 41'!F586</f>
        <v>1.7999999999999999E-2</v>
      </c>
      <c r="G509" s="192">
        <f>№2!G586+№5!G586+'№ 6'!G586+№14!G586+'№ 20'!G586+'№ 23'!G586+№27!G586+'№ 31'!G586+'№ 34'!G586+'№ 41'!G586</f>
        <v>1.4999999999999999E-2</v>
      </c>
      <c r="H509" s="192">
        <f>№2!H586+№5!H586+'№ 6'!H586+№14!H586+'№ 20'!H586+'№ 23'!H586+№27!H586+'№ 31'!H586+'№ 34'!H586+'№ 41'!H586</f>
        <v>1.6E-2</v>
      </c>
      <c r="I509" s="192">
        <f>№2!I586+№5!I586+'№ 6'!I586+№14!I586+'№ 20'!I586+'№ 23'!I586+№27!I586+'№ 31'!I586+'№ 34'!I586+'№ 41'!I586</f>
        <v>1.6E-2</v>
      </c>
      <c r="J509" s="192">
        <f>№2!J586+№5!J586+'№ 6'!J586+№14!J586+'№ 20'!J586+'№ 23'!J586+№27!J586+'№ 31'!J586+'№ 34'!J586+'№ 41'!J586</f>
        <v>1.6E-2</v>
      </c>
      <c r="K509" s="192">
        <f>№2!K586+№5!K586+'№ 6'!K586+№14!K586+'№ 20'!K586+'№ 23'!K586+№27!K586+'№ 31'!K586+'№ 34'!K586+'№ 41'!K586</f>
        <v>1.6E-2</v>
      </c>
      <c r="L509" s="194">
        <f>SUM(F509:K509)</f>
        <v>9.7000000000000003E-2</v>
      </c>
      <c r="M509" s="194">
        <f>L509/6</f>
        <v>1.6E-2</v>
      </c>
      <c r="N509" s="192">
        <f>№2!N586+№5!N586+'№ 6'!N586+№14!N586+'№ 20'!N586+'№ 23'!N586+№27!N586+'№ 31'!N586+'№ 34'!N586+'№ 41'!N586</f>
        <v>1.6E-2</v>
      </c>
      <c r="O509" s="192">
        <f>№2!O586+№5!O586+'№ 6'!O586+№14!O586+'№ 20'!O586+'№ 23'!O586+№27!O586+'№ 31'!O586+'№ 34'!O586+'№ 41'!O586</f>
        <v>1.6E-2</v>
      </c>
      <c r="P509" s="192">
        <f>№2!P586+№5!P586+'№ 6'!P586+№14!P586+'№ 20'!P586+'№ 23'!P586+№27!P586+'№ 31'!P586+'№ 34'!P586+'№ 41'!P586</f>
        <v>1.7999999999999999E-2</v>
      </c>
      <c r="Q509" s="192">
        <f>№2!Q586+№5!Q586+'№ 6'!Q586+№14!Q586+'№ 20'!Q586+'№ 23'!Q586+№27!Q586+'№ 31'!Q586+'№ 34'!Q586+'№ 41'!Q586</f>
        <v>1.7999999999999999E-2</v>
      </c>
      <c r="R509" s="192">
        <f>№2!R586+№5!R586+'№ 6'!R586+№14!R586+'№ 20'!R586+'№ 23'!R586+№27!R586+'№ 31'!R586+'№ 34'!R586+'№ 41'!R586</f>
        <v>1.7999999999999999E-2</v>
      </c>
      <c r="S509" s="192">
        <f>№2!S586+№5!S586+'№ 6'!S586+№14!S586+'№ 20'!S586+'№ 23'!S586+№27!S586+'№ 31'!S586+'№ 34'!S586+'№ 41'!S586</f>
        <v>1.7999999999999999E-2</v>
      </c>
      <c r="T509" s="194">
        <f>SUM(N509:S509)</f>
        <v>0.104</v>
      </c>
      <c r="U509" s="194">
        <f>T509+L509</f>
        <v>0.20100000000000001</v>
      </c>
      <c r="V509" s="194">
        <f>№2!V586+№5!V586+'№ 6'!V586+№14!V586+'№ 20'!V586+'№ 23'!V586+№27!V586+'№ 31'!V586+'№ 34'!V586+'№ 41'!V586</f>
        <v>0.22500000000000001</v>
      </c>
      <c r="W509" s="193">
        <f>V509-U509</f>
        <v>2.4E-2</v>
      </c>
    </row>
    <row r="510" spans="1:28" s="244" customFormat="1" ht="18" customHeight="1">
      <c r="A510" s="614"/>
      <c r="B510" s="576"/>
      <c r="C510" s="577"/>
      <c r="D510" s="174" t="s">
        <v>55</v>
      </c>
      <c r="E510" s="210"/>
      <c r="F510" s="192">
        <f>№2!F587+№5!F587+'№ 6'!F587+№14!F587+'№ 20'!F587+'№ 23'!F587+№27!F587+'№ 31'!F587+'№ 34'!F587+'№ 41'!F587</f>
        <v>0</v>
      </c>
      <c r="G510" s="192">
        <f>№2!G587+№5!G587+'№ 6'!G587+№14!G587+'№ 20'!G587+'№ 23'!G587+№27!G587+'№ 31'!G587+'№ 34'!G587+'№ 41'!G587</f>
        <v>0</v>
      </c>
      <c r="H510" s="192">
        <f>№2!H587+№5!H587+'№ 6'!H587+№14!H587+'№ 20'!H587+'№ 23'!H587+№27!H587+'№ 31'!H587+'№ 34'!H587+'№ 41'!H587</f>
        <v>0</v>
      </c>
      <c r="I510" s="192">
        <f>№2!I587+№5!I587+'№ 6'!I587+№14!I587+'№ 20'!I587+'№ 23'!I587+№27!I587+'№ 31'!I587+'№ 34'!I587+'№ 41'!I587</f>
        <v>0</v>
      </c>
      <c r="J510" s="192">
        <f>№2!J587+№5!J587+'№ 6'!J587+№14!J587+'№ 20'!J587+'№ 23'!J587+№27!J587+'№ 31'!J587+'№ 34'!J587+'№ 41'!J587</f>
        <v>0</v>
      </c>
      <c r="K510" s="192">
        <f>№2!K587+№5!K587+'№ 6'!K587+№14!K587+'№ 20'!K587+'№ 23'!K587+№27!K587+'№ 31'!K587+'№ 34'!K587+'№ 41'!K587</f>
        <v>0</v>
      </c>
      <c r="L510" s="194">
        <f>SUM(F510:K510)</f>
        <v>0</v>
      </c>
      <c r="M510" s="194">
        <f>L510/6</f>
        <v>0</v>
      </c>
      <c r="N510" s="192">
        <f>№2!N587+№5!N587+'№ 6'!N587+№14!N587+'№ 20'!N587+'№ 23'!N587+№27!N587+'№ 31'!N587+'№ 34'!N587+'№ 41'!N587</f>
        <v>0</v>
      </c>
      <c r="O510" s="192">
        <f>№2!O587+№5!O587+'№ 6'!O587+№14!O587+'№ 20'!O587+'№ 23'!O587+№27!O587+'№ 31'!O587+'№ 34'!O587+'№ 41'!O587</f>
        <v>0</v>
      </c>
      <c r="P510" s="192">
        <f>№2!P587+№5!P587+'№ 6'!P587+№14!P587+'№ 20'!P587+'№ 23'!P587+№27!P587+'№ 31'!P587+'№ 34'!P587+'№ 41'!P587</f>
        <v>0</v>
      </c>
      <c r="Q510" s="192">
        <f>№2!Q587+№5!Q587+'№ 6'!Q587+№14!Q587+'№ 20'!Q587+'№ 23'!Q587+№27!Q587+'№ 31'!Q587+'№ 34'!Q587+'№ 41'!Q587</f>
        <v>0</v>
      </c>
      <c r="R510" s="192">
        <f>№2!R587+№5!R587+'№ 6'!R587+№14!R587+'№ 20'!R587+'№ 23'!R587+№27!R587+'№ 31'!R587+'№ 34'!R587+'№ 41'!R587</f>
        <v>0</v>
      </c>
      <c r="S510" s="192">
        <f>№2!S587+№5!S587+'№ 6'!S587+№14!S587+'№ 20'!S587+'№ 23'!S587+№27!S587+'№ 31'!S587+'№ 34'!S587+'№ 41'!S587</f>
        <v>0</v>
      </c>
      <c r="T510" s="194">
        <f>SUM(N510:S510)</f>
        <v>0</v>
      </c>
      <c r="U510" s="194">
        <f>T510+L510</f>
        <v>0</v>
      </c>
      <c r="V510" s="194">
        <f>№2!V587+№5!V587+'№ 6'!V587+№14!V587+'№ 20'!V587+'№ 23'!V587+№27!V587+'№ 31'!V587+'№ 34'!V587+'№ 41'!V587</f>
        <v>0</v>
      </c>
      <c r="W510" s="193">
        <f>V510-U510</f>
        <v>0</v>
      </c>
    </row>
    <row r="511" spans="1:28" s="244" customFormat="1" ht="18" customHeight="1">
      <c r="A511" s="614"/>
      <c r="B511" s="576"/>
      <c r="C511" s="577"/>
      <c r="D511" s="174" t="s">
        <v>28</v>
      </c>
      <c r="E511" s="210"/>
      <c r="F511" s="192">
        <f>№2!F588+№5!F588+'№ 6'!F588+№14!F588+'№ 20'!F588+'№ 23'!F588+№27!F588+'№ 31'!F588+'№ 34'!F588+'№ 41'!F588</f>
        <v>1.4999999999999999E-2</v>
      </c>
      <c r="G511" s="192">
        <f>№2!G588+№5!G588+'№ 6'!G588+№14!G588+'№ 20'!G588+'№ 23'!G588+№27!G588+'№ 31'!G588+'№ 34'!G588+'№ 41'!G588</f>
        <v>1.9E-2</v>
      </c>
      <c r="H511" s="192">
        <f>№2!H588+№5!H588+'№ 6'!H588+№14!H588+'№ 20'!H588+'№ 23'!H588+№27!H588+'№ 31'!H588+'№ 34'!H588+'№ 41'!H588</f>
        <v>0.02</v>
      </c>
      <c r="I511" s="192">
        <f>№2!I588+№5!I588+'№ 6'!I588+№14!I588+'№ 20'!I588+'№ 23'!I588+№27!I588+'№ 31'!I588+'№ 34'!I588+'№ 41'!I588</f>
        <v>1.7999999999999999E-2</v>
      </c>
      <c r="J511" s="192">
        <f>№2!J588+№5!J588+'№ 6'!J588+№14!J588+'№ 20'!J588+'№ 23'!J588+№27!J588+'№ 31'!J588+'№ 34'!J588+'№ 41'!J588</f>
        <v>1.7999999999999999E-2</v>
      </c>
      <c r="K511" s="192">
        <f>№2!K588+№5!K588+'№ 6'!K588+№14!K588+'№ 20'!K588+'№ 23'!K588+№27!K588+'№ 31'!K588+'№ 34'!K588+'№ 41'!K588</f>
        <v>1.7999999999999999E-2</v>
      </c>
      <c r="L511" s="194">
        <f>SUM(F511:K511)</f>
        <v>0.108</v>
      </c>
      <c r="M511" s="194">
        <f>L511/6</f>
        <v>1.7999999999999999E-2</v>
      </c>
      <c r="N511" s="192">
        <f>№2!N588+№5!N588+'№ 6'!N588+№14!N588+'№ 20'!N588+'№ 23'!N588+№27!N588+'№ 31'!N588+'№ 34'!N588+'№ 41'!N588</f>
        <v>1.6E-2</v>
      </c>
      <c r="O511" s="192">
        <f>№2!O588+№5!O588+'№ 6'!O588+№14!O588+'№ 20'!O588+'№ 23'!O588+№27!O588+'№ 31'!O588+'№ 34'!O588+'№ 41'!O588</f>
        <v>1.7999999999999999E-2</v>
      </c>
      <c r="P511" s="192">
        <f>№2!P588+№5!P588+'№ 6'!P588+№14!P588+'№ 20'!P588+'№ 23'!P588+№27!P588+'№ 31'!P588+'№ 34'!P588+'№ 41'!P588</f>
        <v>0.02</v>
      </c>
      <c r="Q511" s="192">
        <f>№2!Q588+№5!Q588+'№ 6'!Q588+№14!Q588+'№ 20'!Q588+'№ 23'!Q588+№27!Q588+'№ 31'!Q588+'№ 34'!Q588+'№ 41'!Q588</f>
        <v>1.7999999999999999E-2</v>
      </c>
      <c r="R511" s="192">
        <f>№2!R588+№5!R588+'№ 6'!R588+№14!R588+'№ 20'!R588+'№ 23'!R588+№27!R588+'№ 31'!R588+'№ 34'!R588+'№ 41'!R588</f>
        <v>1.7999999999999999E-2</v>
      </c>
      <c r="S511" s="192">
        <f>№2!S588+№5!S588+'№ 6'!S588+№14!S588+'№ 20'!S588+'№ 23'!S588+№27!S588+'№ 31'!S588+'№ 34'!S588+'№ 41'!S588</f>
        <v>2.7E-2</v>
      </c>
      <c r="T511" s="194">
        <f>SUM(N511:S511)</f>
        <v>0.11700000000000001</v>
      </c>
      <c r="U511" s="194">
        <f>T511+L511</f>
        <v>0.22500000000000001</v>
      </c>
      <c r="V511" s="194">
        <f>№2!V588+№5!V588+'№ 6'!V588+№14!V588+'№ 20'!V588+'№ 23'!V588+№27!V588+'№ 31'!V588+'№ 34'!V588+'№ 41'!V588</f>
        <v>0.22500000000000001</v>
      </c>
      <c r="W511" s="193">
        <f>V511-U511</f>
        <v>0</v>
      </c>
    </row>
    <row r="512" spans="1:28" s="186" customFormat="1" ht="18" customHeight="1">
      <c r="A512" s="614"/>
      <c r="B512" s="576"/>
      <c r="C512" s="577"/>
      <c r="D512" s="178" t="s">
        <v>117</v>
      </c>
      <c r="E512" s="179">
        <f>№2!E589+№5!E589+'№ 6'!E589+№14!E589+'№ 20'!E589+'№ 23'!E589+№27!E589+'№ 31'!E589+'№ 34'!E589+'№ 41'!E589</f>
        <v>0</v>
      </c>
      <c r="F512" s="260">
        <f>№2!F589+№5!F589+'№ 6'!F589+№14!F589+'№ 20'!F589+'№ 23'!F589+№27!F589+'№ 31'!F589+'№ 34'!F589+'№ 41'!F589</f>
        <v>0</v>
      </c>
      <c r="G512" s="260">
        <f>№2!G589+№5!G589+'№ 6'!G589+№14!G589+'№ 20'!G589+'№ 23'!G589+№27!G589+'№ 31'!G589+'№ 34'!G589+'№ 41'!G589</f>
        <v>6</v>
      </c>
      <c r="H512" s="260">
        <f>№2!H589+№5!H589+'№ 6'!H589+№14!H589+'№ 20'!H589+'№ 23'!H589+№27!H589+'№ 31'!H589+'№ 34'!H589+'№ 41'!H589</f>
        <v>10</v>
      </c>
      <c r="I512" s="260">
        <f>№2!I589+№5!I589+'№ 6'!I589+№14!I589+'№ 20'!I589+'№ 23'!I589+№27!I589+'№ 31'!I589+'№ 34'!I589+'№ 41'!I589</f>
        <v>8</v>
      </c>
      <c r="J512" s="260">
        <f>№2!J589+№5!J589+'№ 6'!J589+№14!J589+'№ 20'!J589+'№ 23'!J589+№27!J589+'№ 31'!J589+'№ 34'!J589+'№ 41'!J589</f>
        <v>8</v>
      </c>
      <c r="K512" s="260">
        <f>№2!K589+№5!K589+'№ 6'!K589+№14!K589+'№ 20'!K589+'№ 23'!K589+№27!K589+'№ 31'!K589+'№ 34'!K589+'№ 41'!K589</f>
        <v>8</v>
      </c>
      <c r="L512" s="262">
        <f>SUM(F512:K512)</f>
        <v>40</v>
      </c>
      <c r="M512" s="262">
        <f>L512/6</f>
        <v>6.6669999999999998</v>
      </c>
      <c r="N512" s="216">
        <f>№2!N589+№5!N589+'№ 6'!N589+№14!N589+'№ 20'!N589+'№ 23'!N589+№27!N589+'№ 31'!N589+'№ 34'!N589+'№ 41'!N589</f>
        <v>7</v>
      </c>
      <c r="O512" s="216">
        <f>№2!O589+№5!O589+'№ 6'!O589+№14!O589+'№ 20'!O589+'№ 23'!O589+№27!O589+'№ 31'!O589+'№ 34'!O589+'№ 41'!O589</f>
        <v>8</v>
      </c>
      <c r="P512" s="216">
        <f>№2!P589+№5!P589+'№ 6'!P589+№14!P589+'№ 20'!P589+'№ 23'!P589+№27!P589+'№ 31'!P589+'№ 34'!P589+'№ 41'!P589</f>
        <v>9</v>
      </c>
      <c r="Q512" s="216">
        <f>№2!Q589+№5!Q589+'№ 6'!Q589+№14!Q589+'№ 20'!Q589+'№ 23'!Q589+№27!Q589+'№ 31'!Q589+'№ 34'!Q589+'№ 41'!Q589</f>
        <v>9</v>
      </c>
      <c r="R512" s="216">
        <f>№2!R589+№5!R589+'№ 6'!R589+№14!R589+'№ 20'!R589+'№ 23'!R589+№27!R589+'№ 31'!R589+'№ 34'!R589+'№ 41'!R589</f>
        <v>9</v>
      </c>
      <c r="S512" s="216">
        <f>№2!S589+№5!S589+'№ 6'!S589+№14!S589+'№ 20'!S589+'№ 23'!S589+№27!S589+'№ 31'!S589+'№ 34'!S589+'№ 41'!S589</f>
        <v>17</v>
      </c>
      <c r="T512" s="262">
        <f>SUM(N512:S512)</f>
        <v>59</v>
      </c>
      <c r="U512" s="262">
        <f>T512+L512</f>
        <v>99</v>
      </c>
      <c r="V512" s="179">
        <f>№2!V589+№5!V589+'№ 6'!V589+№14!V589+'№ 20'!V589+'№ 23'!V589+№27!V589+'№ 31'!V589+'№ 34'!V589+'№ 41'!V589</f>
        <v>108</v>
      </c>
      <c r="W512" s="184">
        <f>V512-U512</f>
        <v>9</v>
      </c>
      <c r="X512" s="185">
        <f>U507-U512</f>
        <v>0</v>
      </c>
    </row>
    <row r="513" spans="1:28" s="190" customFormat="1" ht="18" customHeight="1">
      <c r="A513" s="614"/>
      <c r="B513" s="576"/>
      <c r="C513" s="577"/>
      <c r="D513" s="187" t="s">
        <v>27</v>
      </c>
      <c r="E513" s="188" t="e">
        <f t="shared" ref="E513:K513" si="513">E514*1000/E512</f>
        <v>#DIV/0!</v>
      </c>
      <c r="F513" s="188" t="e">
        <f t="shared" si="513"/>
        <v>#DIV/0!</v>
      </c>
      <c r="G513" s="188">
        <f t="shared" si="513"/>
        <v>2.1669999999999998</v>
      </c>
      <c r="H513" s="188">
        <f t="shared" si="513"/>
        <v>2.1</v>
      </c>
      <c r="I513" s="188">
        <f t="shared" si="513"/>
        <v>2</v>
      </c>
      <c r="J513" s="188">
        <f t="shared" si="513"/>
        <v>2</v>
      </c>
      <c r="K513" s="188">
        <f t="shared" si="513"/>
        <v>2</v>
      </c>
      <c r="L513" s="217">
        <f>L514/L512*1000</f>
        <v>2.0499999999999998</v>
      </c>
      <c r="M513" s="217">
        <f>M514/M512*1000</f>
        <v>2.1</v>
      </c>
      <c r="N513" s="218">
        <f>N514/N512*1000</f>
        <v>2</v>
      </c>
      <c r="O513" s="218">
        <f>O514/O512*1000</f>
        <v>1.75</v>
      </c>
      <c r="P513" s="188">
        <f>P514*1000/P512</f>
        <v>2</v>
      </c>
      <c r="Q513" s="188">
        <f>Q514*1000/Q512</f>
        <v>2</v>
      </c>
      <c r="R513" s="188">
        <f>R514*1000/R512</f>
        <v>2</v>
      </c>
      <c r="S513" s="188">
        <f>S514*1000/S512</f>
        <v>2.1760000000000002</v>
      </c>
      <c r="T513" s="217">
        <f>T514/T512*1000</f>
        <v>2.02</v>
      </c>
      <c r="U513" s="217">
        <f>U514/U512*1000</f>
        <v>2.0299999999999998</v>
      </c>
      <c r="V513" s="218">
        <f>V514*1000/V512</f>
        <v>2.0830000000000002</v>
      </c>
      <c r="W513" s="189">
        <f>W514/W512*1000</f>
        <v>2.6669999999999998</v>
      </c>
      <c r="X513" s="225"/>
    </row>
    <row r="514" spans="1:28" s="239" customFormat="1" ht="18" customHeight="1">
      <c r="A514" s="614"/>
      <c r="B514" s="576"/>
      <c r="C514" s="577"/>
      <c r="D514" s="198" t="s">
        <v>25</v>
      </c>
      <c r="E514" s="199">
        <f>№2!E591+№5!E591+'№ 6'!E591+№14!E591+'№ 20'!E591+'№ 23'!E591+№27!E591+'№ 31'!E591+'№ 34'!E591+'№ 41'!E591</f>
        <v>0</v>
      </c>
      <c r="F514" s="199">
        <f>№2!F591+№5!F591+'№ 6'!F591+№14!F591+'№ 20'!F591+'№ 23'!F591+№27!F591+'№ 31'!F591+'№ 34'!F591+'№ 41'!F591</f>
        <v>0</v>
      </c>
      <c r="G514" s="199">
        <f>№2!G591+№5!G591+'№ 6'!G591+№14!G591+'№ 20'!G591+'№ 23'!G591+№27!G591+'№ 31'!G591+'№ 34'!G591+'№ 41'!G591</f>
        <v>1.2999999999999999E-2</v>
      </c>
      <c r="H514" s="199">
        <f>№2!H591+№5!H591+'№ 6'!H591+№14!H591+'№ 20'!H591+'№ 23'!H591+№27!H591+'№ 31'!H591+'№ 34'!H591+'№ 41'!H591</f>
        <v>2.1000000000000001E-2</v>
      </c>
      <c r="I514" s="199">
        <f>№2!I591+№5!I591+'№ 6'!I591+№14!I591+'№ 20'!I591+'№ 23'!I591+№27!I591+'№ 31'!I591+'№ 34'!I591+'№ 41'!I591</f>
        <v>1.6E-2</v>
      </c>
      <c r="J514" s="199">
        <f>№2!J591+№5!J591+'№ 6'!J591+№14!J591+'№ 20'!J591+'№ 23'!J591+№27!J591+'№ 31'!J591+'№ 34'!J591+'№ 41'!J591</f>
        <v>1.6E-2</v>
      </c>
      <c r="K514" s="199">
        <f>№2!K591+№5!K591+'№ 6'!K591+№14!K591+'№ 20'!K591+'№ 23'!K591+№27!K591+'№ 31'!K591+'№ 34'!K591+'№ 41'!K591</f>
        <v>1.6E-2</v>
      </c>
      <c r="L514" s="199">
        <f>SUM(F514:K514)</f>
        <v>8.2000000000000003E-2</v>
      </c>
      <c r="M514" s="199">
        <f>L514/6</f>
        <v>1.4E-2</v>
      </c>
      <c r="N514" s="199">
        <f>№2!N591+№5!N591+'№ 6'!N591+№14!N591+'№ 20'!N591+'№ 23'!N591+№27!N591+'№ 31'!N591+'№ 34'!N591+'№ 41'!N591</f>
        <v>1.4E-2</v>
      </c>
      <c r="O514" s="199">
        <f>№2!O591+№5!O591+'№ 6'!O591+№14!O591+'№ 20'!O591+'№ 23'!O591+№27!O591+'№ 31'!O591+'№ 34'!O591+'№ 41'!O591</f>
        <v>1.4E-2</v>
      </c>
      <c r="P514" s="199">
        <f>№2!P591+№5!P591+'№ 6'!P591+№14!P591+'№ 20'!P591+'№ 23'!P591+№27!P591+'№ 31'!P591+'№ 34'!P591+'№ 41'!P591</f>
        <v>1.7999999999999999E-2</v>
      </c>
      <c r="Q514" s="199">
        <f>№2!Q591+№5!Q591+'№ 6'!Q591+№14!Q591+'№ 20'!Q591+'№ 23'!Q591+№27!Q591+'№ 31'!Q591+'№ 34'!Q591+'№ 41'!Q591</f>
        <v>1.7999999999999999E-2</v>
      </c>
      <c r="R514" s="199">
        <f>№2!R591+№5!R591+'№ 6'!R591+№14!R591+'№ 20'!R591+'№ 23'!R591+№27!R591+'№ 31'!R591+'№ 34'!R591+'№ 41'!R591</f>
        <v>1.7999999999999999E-2</v>
      </c>
      <c r="S514" s="199">
        <f>№2!S591+№5!S591+'№ 6'!S591+№14!S591+'№ 20'!S591+'№ 23'!S591+№27!S591+'№ 31'!S591+'№ 34'!S591+'№ 41'!S591</f>
        <v>3.6999999999999998E-2</v>
      </c>
      <c r="T514" s="199">
        <f>SUM(N514:S514)</f>
        <v>0.11899999999999999</v>
      </c>
      <c r="U514" s="199">
        <f>T514+L514</f>
        <v>0.20100000000000001</v>
      </c>
      <c r="V514" s="199">
        <f>№2!V591+№5!V591+'№ 6'!V591+№14!V591+'№ 20'!V591+'№ 23'!V591+№27!V591+'№ 31'!V591+'№ 34'!V591+'№ 41'!V591</f>
        <v>0.22500000000000001</v>
      </c>
      <c r="W514" s="221">
        <f>V514-U514</f>
        <v>2.4E-2</v>
      </c>
      <c r="X514" s="176">
        <f>U509-U514</f>
        <v>0</v>
      </c>
    </row>
    <row r="515" spans="1:28" s="239" customFormat="1" ht="18" customHeight="1">
      <c r="A515" s="614"/>
      <c r="B515" s="576"/>
      <c r="C515" s="577"/>
      <c r="D515" s="201" t="s">
        <v>55</v>
      </c>
      <c r="E515" s="220"/>
      <c r="F515" s="199">
        <f>№2!F592+№5!F592+'№ 6'!F592+№14!F592+'№ 20'!F592+'№ 23'!F592+№27!F592+'№ 31'!F592+'№ 34'!F592+'№ 41'!F592</f>
        <v>0</v>
      </c>
      <c r="G515" s="199">
        <f>№2!G592+№5!G592+'№ 6'!G592+№14!G592+'№ 20'!G592+'№ 23'!G592+№27!G592+'№ 31'!G592+'№ 34'!G592+'№ 41'!G592</f>
        <v>0</v>
      </c>
      <c r="H515" s="199">
        <f>№2!H592+№5!H592+'№ 6'!H592+№14!H592+'№ 20'!H592+'№ 23'!H592+№27!H592+'№ 31'!H592+'№ 34'!H592+'№ 41'!H592</f>
        <v>0</v>
      </c>
      <c r="I515" s="199">
        <f>№2!I592+№5!I592+'№ 6'!I592+№14!I592+'№ 20'!I592+'№ 23'!I592+№27!I592+'№ 31'!I592+'№ 34'!I592+'№ 41'!I592</f>
        <v>0</v>
      </c>
      <c r="J515" s="199">
        <f>№2!J592+№5!J592+'№ 6'!J592+№14!J592+'№ 20'!J592+'№ 23'!J592+№27!J592+'№ 31'!J592+'№ 34'!J592+'№ 41'!J592</f>
        <v>0</v>
      </c>
      <c r="K515" s="199">
        <f>№2!K592+№5!K592+'№ 6'!K592+№14!K592+'№ 20'!K592+'№ 23'!K592+№27!K592+'№ 31'!K592+'№ 34'!K592+'№ 41'!K592</f>
        <v>0</v>
      </c>
      <c r="L515" s="199">
        <f>SUM(F515:K515)</f>
        <v>0</v>
      </c>
      <c r="M515" s="199">
        <f>L515/6</f>
        <v>0</v>
      </c>
      <c r="N515" s="199">
        <f>№2!N592+№5!N592+'№ 6'!N592+№14!N592+'№ 20'!N592+'№ 23'!N592+№27!N592+'№ 31'!N592+'№ 34'!N592+'№ 41'!N592</f>
        <v>0</v>
      </c>
      <c r="O515" s="199">
        <f>№2!O592+№5!O592+'№ 6'!O592+№14!O592+'№ 20'!O592+'№ 23'!O592+№27!O592+'№ 31'!O592+'№ 34'!O592+'№ 41'!O592</f>
        <v>0</v>
      </c>
      <c r="P515" s="199">
        <f>№2!P592+№5!P592+'№ 6'!P592+№14!P592+'№ 20'!P592+'№ 23'!P592+№27!P592+'№ 31'!P592+'№ 34'!P592+'№ 41'!P592</f>
        <v>0</v>
      </c>
      <c r="Q515" s="199">
        <f>№2!Q592+№5!Q592+'№ 6'!Q592+№14!Q592+'№ 20'!Q592+'№ 23'!Q592+№27!Q592+'№ 31'!Q592+'№ 34'!Q592+'№ 41'!Q592</f>
        <v>0</v>
      </c>
      <c r="R515" s="199">
        <f>№2!R592+№5!R592+'№ 6'!R592+№14!R592+'№ 20'!R592+'№ 23'!R592+№27!R592+'№ 31'!R592+'№ 34'!R592+'№ 41'!R592</f>
        <v>0</v>
      </c>
      <c r="S515" s="199">
        <f>№2!S592+№5!S592+'№ 6'!S592+№14!S592+'№ 20'!S592+'№ 23'!S592+№27!S592+'№ 31'!S592+'№ 34'!S592+'№ 41'!S592</f>
        <v>0</v>
      </c>
      <c r="T515" s="199">
        <f>SUM(N515:S515)</f>
        <v>0</v>
      </c>
      <c r="U515" s="199">
        <f>T515+L515</f>
        <v>0</v>
      </c>
      <c r="V515" s="199">
        <f>№2!V592+№5!V592+'№ 6'!V592+№14!V592+'№ 20'!V592+'№ 23'!V592+№27!V592+'№ 31'!V592+'№ 34'!V592+'№ 41'!V592</f>
        <v>0</v>
      </c>
      <c r="W515" s="221">
        <f>V515-U515</f>
        <v>0</v>
      </c>
      <c r="X515" s="176">
        <f>U510-U515</f>
        <v>0</v>
      </c>
    </row>
    <row r="516" spans="1:28" s="239" customFormat="1" ht="18" customHeight="1">
      <c r="A516" s="614"/>
      <c r="B516" s="576"/>
      <c r="C516" s="577"/>
      <c r="D516" s="201" t="s">
        <v>24</v>
      </c>
      <c r="E516" s="220"/>
      <c r="F516" s="199">
        <f>№2!F593+№5!F593+'№ 6'!F593+№14!F593+'№ 20'!F593+'№ 23'!F593+№27!F593+'№ 31'!F593+'№ 34'!F593+'№ 41'!F593</f>
        <v>0</v>
      </c>
      <c r="G516" s="199">
        <f>№2!G593+№5!G593+'№ 6'!G593+№14!G593+'№ 20'!G593+'№ 23'!G593+№27!G593+'№ 31'!G593+'№ 34'!G593+'№ 41'!G593</f>
        <v>1.2999999999999999E-2</v>
      </c>
      <c r="H516" s="199">
        <f>№2!H593+№5!H593+'№ 6'!H593+№14!H593+'№ 20'!H593+'№ 23'!H593+№27!H593+'№ 31'!H593+'№ 34'!H593+'№ 41'!H593</f>
        <v>2.1000000000000001E-2</v>
      </c>
      <c r="I516" s="199">
        <f>№2!I593+№5!I593+'№ 6'!I593+№14!I593+'№ 20'!I593+'№ 23'!I593+№27!I593+'№ 31'!I593+'№ 34'!I593+'№ 41'!I593</f>
        <v>1.6E-2</v>
      </c>
      <c r="J516" s="199">
        <f>№2!J593+№5!J593+'№ 6'!J593+№14!J593+'№ 20'!J593+'№ 23'!J593+№27!J593+'№ 31'!J593+'№ 34'!J593+'№ 41'!J593</f>
        <v>1.6E-2</v>
      </c>
      <c r="K516" s="199">
        <f>№2!K593+№5!K593+'№ 6'!K593+№14!K593+'№ 20'!K593+'№ 23'!K593+№27!K593+'№ 31'!K593+'№ 34'!K593+'№ 41'!K593</f>
        <v>1.6E-2</v>
      </c>
      <c r="L516" s="199">
        <f>SUM(F516:K516)</f>
        <v>8.2000000000000003E-2</v>
      </c>
      <c r="M516" s="199">
        <f>L516/6</f>
        <v>1.4E-2</v>
      </c>
      <c r="N516" s="199">
        <f>№2!N593+№5!N593+'№ 6'!N593+№14!N593+'№ 20'!N593+'№ 23'!N593+№27!N593+'№ 31'!N593+'№ 34'!N593+'№ 41'!N593</f>
        <v>1.4E-2</v>
      </c>
      <c r="O516" s="199">
        <f>№2!O593+№5!O593+'№ 6'!O593+№14!O593+'№ 20'!O593+'№ 23'!O593+№27!O593+'№ 31'!O593+'№ 34'!O593+'№ 41'!O593</f>
        <v>1.4E-2</v>
      </c>
      <c r="P516" s="199">
        <f>№2!P593+№5!P593+'№ 6'!P593+№14!P593+'№ 20'!P593+'№ 23'!P593+№27!P593+'№ 31'!P593+'№ 34'!P593+'№ 41'!P593</f>
        <v>1.7999999999999999E-2</v>
      </c>
      <c r="Q516" s="199">
        <f>№2!Q593+№5!Q593+'№ 6'!Q593+№14!Q593+'№ 20'!Q593+'№ 23'!Q593+№27!Q593+'№ 31'!Q593+'№ 34'!Q593+'№ 41'!Q593</f>
        <v>1.7999999999999999E-2</v>
      </c>
      <c r="R516" s="199">
        <f>№2!R593+№5!R593+'№ 6'!R593+№14!R593+'№ 20'!R593+'№ 23'!R593+№27!R593+'№ 31'!R593+'№ 34'!R593+'№ 41'!R593</f>
        <v>1.7999999999999999E-2</v>
      </c>
      <c r="S516" s="199">
        <f>№2!S593+№5!S593+'№ 6'!S593+№14!S593+'№ 20'!S593+'№ 23'!S593+№27!S593+'№ 31'!S593+'№ 34'!S593+'№ 41'!S593</f>
        <v>3.6999999999999998E-2</v>
      </c>
      <c r="T516" s="199">
        <f>SUM(N516:S516)</f>
        <v>0.11899999999999999</v>
      </c>
      <c r="U516" s="199">
        <f>T516+L516</f>
        <v>0.20100000000000001</v>
      </c>
      <c r="V516" s="199">
        <f>№2!V593+№5!V593+'№ 6'!V593+№14!V593+'№ 20'!V593+'№ 23'!V593+№27!V593+'№ 31'!V593+'№ 34'!V593+'№ 41'!V593</f>
        <v>0.22500000000000001</v>
      </c>
      <c r="W516" s="221">
        <f>V516-U516</f>
        <v>2.4E-2</v>
      </c>
      <c r="X516" s="176">
        <f>U511-U516</f>
        <v>2.4E-2</v>
      </c>
    </row>
    <row r="517" spans="1:28" s="205" customFormat="1" ht="18" customHeight="1">
      <c r="A517" s="614"/>
      <c r="B517" s="576"/>
      <c r="C517" s="577"/>
      <c r="D517" s="202" t="s">
        <v>29</v>
      </c>
      <c r="E517" s="203"/>
      <c r="F517" s="203">
        <f t="shared" ref="F517:K517" si="514">F511+F510</f>
        <v>1.4999999999999999E-2</v>
      </c>
      <c r="G517" s="203">
        <f t="shared" si="514"/>
        <v>1.9E-2</v>
      </c>
      <c r="H517" s="203">
        <f t="shared" si="514"/>
        <v>0.02</v>
      </c>
      <c r="I517" s="203">
        <f t="shared" si="514"/>
        <v>1.7999999999999999E-2</v>
      </c>
      <c r="J517" s="203">
        <f t="shared" si="514"/>
        <v>1.7999999999999999E-2</v>
      </c>
      <c r="K517" s="203">
        <f t="shared" si="514"/>
        <v>1.7999999999999999E-2</v>
      </c>
      <c r="L517" s="203">
        <f>SUM(F517:K517)</f>
        <v>0.108</v>
      </c>
      <c r="M517" s="203">
        <f>L517/6</f>
        <v>1.7999999999999999E-2</v>
      </c>
      <c r="N517" s="203">
        <f t="shared" ref="N517:S517" si="515">N511+N510</f>
        <v>1.6E-2</v>
      </c>
      <c r="O517" s="203">
        <f t="shared" si="515"/>
        <v>1.7999999999999999E-2</v>
      </c>
      <c r="P517" s="203">
        <f t="shared" si="515"/>
        <v>0.02</v>
      </c>
      <c r="Q517" s="203">
        <f t="shared" si="515"/>
        <v>1.7999999999999999E-2</v>
      </c>
      <c r="R517" s="203">
        <f t="shared" si="515"/>
        <v>1.7999999999999999E-2</v>
      </c>
      <c r="S517" s="203">
        <f t="shared" si="515"/>
        <v>2.7E-2</v>
      </c>
      <c r="T517" s="203">
        <f>SUM(N517:S517)</f>
        <v>0.11700000000000001</v>
      </c>
      <c r="U517" s="203">
        <f>T517+L517</f>
        <v>0.22500000000000001</v>
      </c>
      <c r="V517" s="203">
        <f>V514</f>
        <v>0.22500000000000001</v>
      </c>
      <c r="W517" s="203">
        <f>V517-U517</f>
        <v>0</v>
      </c>
    </row>
    <row r="518" spans="1:28" s="205" customFormat="1" ht="18" customHeight="1">
      <c r="A518" s="614"/>
      <c r="B518" s="576"/>
      <c r="C518" s="577"/>
      <c r="D518" s="202" t="s">
        <v>30</v>
      </c>
      <c r="E518" s="203"/>
      <c r="F518" s="203">
        <f t="shared" ref="F518:K518" si="516">F514-F517</f>
        <v>-1.4999999999999999E-2</v>
      </c>
      <c r="G518" s="203">
        <f t="shared" si="516"/>
        <v>-6.0000000000000001E-3</v>
      </c>
      <c r="H518" s="203">
        <f t="shared" si="516"/>
        <v>1E-3</v>
      </c>
      <c r="I518" s="203">
        <f t="shared" si="516"/>
        <v>-2E-3</v>
      </c>
      <c r="J518" s="203">
        <f t="shared" si="516"/>
        <v>-2E-3</v>
      </c>
      <c r="K518" s="203">
        <f t="shared" si="516"/>
        <v>-2E-3</v>
      </c>
      <c r="L518" s="203"/>
      <c r="M518" s="203"/>
      <c r="N518" s="203">
        <f t="shared" ref="N518:S518" si="517">N514-N517</f>
        <v>-2E-3</v>
      </c>
      <c r="O518" s="203">
        <f t="shared" si="517"/>
        <v>-4.0000000000000001E-3</v>
      </c>
      <c r="P518" s="203">
        <f t="shared" si="517"/>
        <v>-2E-3</v>
      </c>
      <c r="Q518" s="203">
        <f t="shared" si="517"/>
        <v>0</v>
      </c>
      <c r="R518" s="203">
        <f t="shared" si="517"/>
        <v>0</v>
      </c>
      <c r="S518" s="203">
        <f t="shared" si="517"/>
        <v>0.01</v>
      </c>
      <c r="T518" s="203"/>
      <c r="U518" s="203"/>
      <c r="V518" s="203"/>
      <c r="W518" s="203"/>
    </row>
    <row r="519" spans="1:28" s="205" customFormat="1" ht="17.55" customHeight="1">
      <c r="A519" s="614"/>
      <c r="B519" s="578"/>
      <c r="C519" s="579"/>
      <c r="D519" s="202" t="s">
        <v>31</v>
      </c>
      <c r="E519" s="203"/>
      <c r="F519" s="203">
        <f>F518</f>
        <v>-1.4999999999999999E-2</v>
      </c>
      <c r="G519" s="203">
        <f>G518+F519</f>
        <v>-2.1000000000000001E-2</v>
      </c>
      <c r="H519" s="203">
        <f>H518+G519</f>
        <v>-0.02</v>
      </c>
      <c r="I519" s="203">
        <f>I518+H519</f>
        <v>-2.1999999999999999E-2</v>
      </c>
      <c r="J519" s="203">
        <f>J518+I519</f>
        <v>-2.4E-2</v>
      </c>
      <c r="K519" s="203">
        <f>K518+J519</f>
        <v>-2.5999999999999999E-2</v>
      </c>
      <c r="L519" s="203"/>
      <c r="M519" s="203"/>
      <c r="N519" s="203">
        <f>N518+K519</f>
        <v>-2.8000000000000001E-2</v>
      </c>
      <c r="O519" s="203">
        <f>O518+N519</f>
        <v>-3.2000000000000001E-2</v>
      </c>
      <c r="P519" s="203">
        <f>P518+O519</f>
        <v>-3.4000000000000002E-2</v>
      </c>
      <c r="Q519" s="203">
        <f>Q518+P519</f>
        <v>-3.4000000000000002E-2</v>
      </c>
      <c r="R519" s="203">
        <f>R518+Q519</f>
        <v>-3.4000000000000002E-2</v>
      </c>
      <c r="S519" s="203">
        <f>S518+R519</f>
        <v>-2.4E-2</v>
      </c>
      <c r="T519" s="203"/>
      <c r="U519" s="203"/>
      <c r="V519" s="203"/>
      <c r="W519" s="203"/>
    </row>
    <row r="520" spans="1:28" s="196" customFormat="1" ht="18" customHeight="1">
      <c r="A520" s="614"/>
      <c r="B520" s="580" t="s">
        <v>64</v>
      </c>
      <c r="C520" s="575"/>
      <c r="D520" s="178" t="s">
        <v>105</v>
      </c>
      <c r="E520" s="179"/>
      <c r="F520" s="264">
        <f>№2!F597+№5!F597+'№ 6'!F597+№14!F597+'№ 20'!F597+'№ 23'!F597+№27!F597+'№ 31'!F597+'№ 34'!F597+'№ 41'!F597</f>
        <v>45.56</v>
      </c>
      <c r="G520" s="264">
        <f>№2!G597+№5!G597+'№ 6'!G597+№14!G597+'№ 20'!G597+'№ 23'!G597+№27!G597+'№ 31'!G597+'№ 34'!G597+'№ 41'!G597</f>
        <v>45.23</v>
      </c>
      <c r="H520" s="264">
        <f>№2!H597+№5!H597+'№ 6'!H597+№14!H597+'№ 20'!H597+'№ 23'!H597+№27!H597+'№ 31'!H597+'№ 34'!H597+'№ 41'!H597</f>
        <v>43.56</v>
      </c>
      <c r="I520" s="264">
        <f>№2!I597+№5!I597+'№ 6'!I597+№14!I597+'№ 20'!I597+'№ 23'!I597+№27!I597+'№ 31'!I597+'№ 34'!I597+'№ 41'!I597</f>
        <v>44.13</v>
      </c>
      <c r="J520" s="264">
        <f>№2!J597+№5!J597+'№ 6'!J597+№14!J597+'№ 20'!J597+'№ 23'!J597+№27!J597+'№ 31'!J597+'№ 34'!J597+'№ 41'!J597</f>
        <v>43.6</v>
      </c>
      <c r="K520" s="264">
        <f>№2!K597+№5!K597+'№ 6'!K597+№14!K597+'№ 20'!K597+'№ 23'!K597+№27!K597+'№ 31'!K597+'№ 34'!K597+'№ 41'!K597</f>
        <v>30.25</v>
      </c>
      <c r="L520" s="234">
        <f>SUM(F520:K520)</f>
        <v>252.33</v>
      </c>
      <c r="M520" s="234">
        <f>L520/6</f>
        <v>42.055</v>
      </c>
      <c r="N520" s="264">
        <f>№2!N597+№5!N597+'№ 6'!N597+№14!N597+'№ 20'!N597+'№ 23'!N597+№27!N597+'№ 31'!N597+'№ 34'!N597+'№ 41'!N597</f>
        <v>40.880000000000003</v>
      </c>
      <c r="O520" s="264">
        <f>№2!O597+№5!O597+'№ 6'!O597+№14!O597+'№ 20'!O597+'№ 23'!O597+№27!O597+'№ 31'!O597+'№ 34'!O597+'№ 41'!O597</f>
        <v>50.08</v>
      </c>
      <c r="P520" s="264">
        <f>№2!P597+№5!P597+'№ 6'!P597+№14!P597+'№ 20'!P597+'№ 23'!P597+№27!P597+'№ 31'!P597+'№ 34'!P597+'№ 41'!P597</f>
        <v>51.86</v>
      </c>
      <c r="Q520" s="264">
        <f>№2!Q597+№5!Q597+'№ 6'!Q597+№14!Q597+'№ 20'!Q597+'№ 23'!Q597+№27!Q597+'№ 31'!Q597+'№ 34'!Q597+'№ 41'!Q597</f>
        <v>49.7</v>
      </c>
      <c r="R520" s="264">
        <f>№2!R597+№5!R597+'№ 6'!R597+№14!R597+'№ 20'!R597+'№ 23'!R597+№27!R597+'№ 31'!R597+'№ 34'!R597+'№ 41'!R597</f>
        <v>51.41</v>
      </c>
      <c r="S520" s="264">
        <f>№2!S597+№5!S597+'№ 6'!S597+№14!S597+'№ 20'!S597+'№ 23'!S597+№27!S597+'№ 31'!S597+'№ 34'!S597+'№ 41'!S597</f>
        <v>50.8</v>
      </c>
      <c r="T520" s="234">
        <f>SUM(N520:S520)</f>
        <v>294.73</v>
      </c>
      <c r="U520" s="234">
        <f>T520+L520</f>
        <v>547.05999999999995</v>
      </c>
      <c r="V520" s="463">
        <f>№2!V597+№5!V597+'№ 6'!V597+№14!V597+'№ 20'!V597+'№ 23'!V597+№27!V597+'№ 31'!V597+'№ 34'!V597+'№ 41'!V597</f>
        <v>43.5</v>
      </c>
      <c r="W520" s="412"/>
      <c r="X520" s="185"/>
      <c r="Y520" s="186"/>
      <c r="Z520" s="186"/>
      <c r="AA520" s="186"/>
      <c r="AB520" s="186"/>
    </row>
    <row r="521" spans="1:28" s="186" customFormat="1" ht="18" customHeight="1">
      <c r="A521" s="614"/>
      <c r="B521" s="576"/>
      <c r="C521" s="577"/>
      <c r="D521" s="178" t="s">
        <v>109</v>
      </c>
      <c r="E521" s="179"/>
      <c r="F521" s="264">
        <f>№2!F598+№5!F598+'№ 6'!F598+№14!F598+'№ 20'!F598+'№ 23'!F598+№27!F598+'№ 31'!F598+'№ 34'!F598+'№ 41'!F598</f>
        <v>46.86</v>
      </c>
      <c r="G521" s="264">
        <f>№2!G598+№5!G598+'№ 6'!G598+№14!G598+'№ 20'!G598+'№ 23'!G598+№27!G598+'№ 31'!G598+'№ 34'!G598+'№ 41'!G598</f>
        <v>48.46</v>
      </c>
      <c r="H521" s="264">
        <f>№2!H598+№5!H598+'№ 6'!H598+№14!H598+'№ 20'!H598+'№ 23'!H598+№27!H598+'№ 31'!H598+'№ 34'!H598+'№ 41'!H598</f>
        <v>45.4</v>
      </c>
      <c r="I521" s="264">
        <f>№2!I598+№5!I598+'№ 6'!I598+№14!I598+'№ 20'!I598+'№ 23'!I598+№27!I598+'№ 31'!I598+'№ 34'!I598+'№ 41'!I598</f>
        <v>47.1</v>
      </c>
      <c r="J521" s="264">
        <f>№2!J598+№5!J598+'№ 6'!J598+№14!J598+'№ 20'!J598+'№ 23'!J598+№27!J598+'№ 31'!J598+'№ 34'!J598+'№ 41'!J598</f>
        <v>49.1</v>
      </c>
      <c r="K521" s="264">
        <f>№2!K598+№5!K598+'№ 6'!K598+№14!K598+'№ 20'!K598+'№ 23'!K598+№27!K598+'№ 31'!K598+'№ 34'!K598+'№ 41'!K598</f>
        <v>44</v>
      </c>
      <c r="L521" s="234">
        <f>SUM(F521:K521)</f>
        <v>280.92</v>
      </c>
      <c r="M521" s="234">
        <f>L521/6</f>
        <v>46.82</v>
      </c>
      <c r="N521" s="264">
        <f>№2!N598+№5!N598+'№ 6'!N598+№14!N598+'№ 20'!N598+'№ 23'!N598+№27!N598+'№ 31'!N598+'№ 34'!N598+'№ 41'!N598</f>
        <v>47.8</v>
      </c>
      <c r="O521" s="264">
        <f>№2!O598+№5!O598+'№ 6'!O598+№14!O598+'№ 20'!O598+'№ 23'!O598+№27!O598+'№ 31'!O598+'№ 34'!O598+'№ 41'!O598</f>
        <v>48.4</v>
      </c>
      <c r="P521" s="264">
        <f>№2!P598+№5!P598+'№ 6'!P598+№14!P598+'№ 20'!P598+'№ 23'!P598+№27!P598+'№ 31'!P598+'№ 34'!P598+'№ 41'!P598</f>
        <v>50</v>
      </c>
      <c r="Q521" s="264">
        <f>№2!Q598+№5!Q598+'№ 6'!Q598+№14!Q598+'№ 20'!Q598+'№ 23'!Q598+№27!Q598+'№ 31'!Q598+'№ 34'!Q598+'№ 41'!Q598</f>
        <v>46.8</v>
      </c>
      <c r="R521" s="264">
        <f>№2!R598+№5!R598+'№ 6'!R598+№14!R598+'№ 20'!R598+'№ 23'!R598+№27!R598+'№ 31'!R598+'№ 34'!R598+'№ 41'!R598</f>
        <v>44.6</v>
      </c>
      <c r="S521" s="264">
        <f>№2!S598+№5!S598+'№ 6'!S598+№14!S598+'№ 20'!S598+'№ 23'!S598+№27!S598+'№ 31'!S598+'№ 34'!S598+'№ 41'!S598</f>
        <v>42.9</v>
      </c>
      <c r="T521" s="234">
        <f>SUM(N521:S521)</f>
        <v>280.5</v>
      </c>
      <c r="U521" s="491">
        <f>T521+L521</f>
        <v>561.41999999999996</v>
      </c>
      <c r="V521" s="463">
        <f>№2!V598+№5!V598+'№ 6'!V598+№14!V598+'№ 20'!V598+'№ 23'!V598+№27!V598+'№ 31'!V598+'№ 34'!V598+'№ 41'!V598</f>
        <v>529.82000000000005</v>
      </c>
      <c r="W521" s="412"/>
      <c r="X521" s="185"/>
    </row>
    <row r="522" spans="1:28" s="186" customFormat="1" ht="18" customHeight="1">
      <c r="A522" s="614"/>
      <c r="B522" s="576"/>
      <c r="C522" s="577"/>
      <c r="D522" s="178" t="s">
        <v>116</v>
      </c>
      <c r="E522" s="179"/>
      <c r="F522" s="264">
        <f>№2!F599+№5!F599+'№ 6'!F599+№14!F599+'№ 20'!F599+'№ 23'!F599+№27!F599+'№ 31'!F599+'№ 34'!F599+'№ 41'!F599</f>
        <v>54.886000000000003</v>
      </c>
      <c r="G522" s="264">
        <f>№2!G599+№5!G599+'№ 6'!G599+№14!G599+'№ 20'!G599+'№ 23'!G599+№27!G599+'№ 31'!G599+'№ 34'!G599+'№ 41'!G599</f>
        <v>51.85</v>
      </c>
      <c r="H522" s="264">
        <f>№2!H599+№5!H599+'№ 6'!H599+№14!H599+'№ 20'!H599+'№ 23'!H599+№27!H599+'№ 31'!H599+'№ 34'!H599+'№ 41'!H599</f>
        <v>54.165999999999997</v>
      </c>
      <c r="I522" s="264">
        <f>№2!I599+№5!I599+'№ 6'!I599+№14!I599+'№ 20'!I599+'№ 23'!I599+№27!I599+'№ 31'!I599+'№ 34'!I599+'№ 41'!I599</f>
        <v>55.828000000000003</v>
      </c>
      <c r="J522" s="264">
        <f>№2!J599+№5!J599+'№ 6'!J599+№14!J599+'№ 20'!J599+'№ 23'!J599+№27!J599+'№ 31'!J599+'№ 34'!J599+'№ 41'!J599</f>
        <v>53.76</v>
      </c>
      <c r="K522" s="264">
        <f>№2!K599+№5!K599+'№ 6'!K599+№14!K599+'№ 20'!K599+'№ 23'!K599+№27!K599+'№ 31'!K599+'№ 34'!K599+'№ 41'!K599</f>
        <v>45.536999999999999</v>
      </c>
      <c r="L522" s="234">
        <f>SUM(F522:K522)</f>
        <v>316.02699999999999</v>
      </c>
      <c r="M522" s="234">
        <f>L522/6</f>
        <v>52.670999999999999</v>
      </c>
      <c r="N522" s="264">
        <f>№2!N599+№5!N599+'№ 6'!N599+№14!N599+'№ 20'!N599+'№ 23'!N599+№27!N599+'№ 31'!N599+'№ 34'!N599+'№ 41'!N599</f>
        <v>52.514000000000003</v>
      </c>
      <c r="O522" s="264">
        <f>№2!O599+№5!O599+'№ 6'!O599+№14!O599+'№ 20'!O599+'№ 23'!O599+№27!O599+'№ 31'!O599+'№ 34'!O599+'№ 41'!O599</f>
        <v>50.023000000000003</v>
      </c>
      <c r="P522" s="264">
        <f>№2!P599+№5!P599+'№ 6'!P599+№14!P599+'№ 20'!P599+'№ 23'!P599+№27!P599+'№ 31'!P599+'№ 34'!P599+'№ 41'!P599</f>
        <v>54.4</v>
      </c>
      <c r="Q522" s="264">
        <f>№2!Q599+№5!Q599+'№ 6'!Q599+№14!Q599+'№ 20'!Q599+'№ 23'!Q599+№27!Q599+'№ 31'!Q599+'№ 34'!Q599+'№ 41'!Q599</f>
        <v>49.8</v>
      </c>
      <c r="R522" s="264">
        <f>№2!R599+№5!R599+'№ 6'!R599+№14!R599+'№ 20'!R599+'№ 23'!R599+№27!R599+'№ 31'!R599+'№ 34'!R599+'№ 41'!R599</f>
        <v>48</v>
      </c>
      <c r="S522" s="264">
        <f>№2!S599+№5!S599+'№ 6'!S599+№14!S599+'№ 20'!S599+'№ 23'!S599+№27!S599+'№ 31'!S599+'№ 34'!S599+'№ 41'!S599</f>
        <v>38.54</v>
      </c>
      <c r="T522" s="234">
        <f>SUM(N522:S522)</f>
        <v>293.27699999999999</v>
      </c>
      <c r="U522" s="491">
        <f>T522+L522</f>
        <v>609.30399999999997</v>
      </c>
      <c r="V522" s="463">
        <f>№2!V599+№5!V599+'№ 6'!V599+№14!V599+'№ 20'!V599+'№ 23'!V599+№27!V599+'№ 31'!V599+'№ 34'!V599+'№ 41'!V599</f>
        <v>594.9</v>
      </c>
      <c r="W522" s="412">
        <f>V522-U522</f>
        <v>-14.404</v>
      </c>
      <c r="X522" s="185"/>
    </row>
    <row r="523" spans="1:28" s="190" customFormat="1" ht="18" customHeight="1">
      <c r="A523" s="614"/>
      <c r="B523" s="576"/>
      <c r="C523" s="577"/>
      <c r="D523" s="187" t="s">
        <v>27</v>
      </c>
      <c r="E523" s="188"/>
      <c r="F523" s="188">
        <f t="shared" ref="F523:K523" si="518">F524*1000/F522</f>
        <v>202.09200000000001</v>
      </c>
      <c r="G523" s="188">
        <f t="shared" si="518"/>
        <v>202.02500000000001</v>
      </c>
      <c r="H523" s="188">
        <f t="shared" si="518"/>
        <v>202.06399999999999</v>
      </c>
      <c r="I523" s="188">
        <f t="shared" si="518"/>
        <v>202.08500000000001</v>
      </c>
      <c r="J523" s="188">
        <f t="shared" si="518"/>
        <v>202.00899999999999</v>
      </c>
      <c r="K523" s="188">
        <f t="shared" si="518"/>
        <v>202.05500000000001</v>
      </c>
      <c r="L523" s="217">
        <f>L524/L522*1000</f>
        <v>202.06</v>
      </c>
      <c r="M523" s="217">
        <f>M524/M522*1000</f>
        <v>202.07</v>
      </c>
      <c r="N523" s="188">
        <f t="shared" ref="N523:S523" si="519">N524*1000/N522</f>
        <v>202.00299999999999</v>
      </c>
      <c r="O523" s="188">
        <f t="shared" si="519"/>
        <v>221.11799999999999</v>
      </c>
      <c r="P523" s="188">
        <f t="shared" si="519"/>
        <v>227.22399999999999</v>
      </c>
      <c r="Q523" s="188">
        <f t="shared" si="519"/>
        <v>227.22900000000001</v>
      </c>
      <c r="R523" s="188">
        <f t="shared" si="519"/>
        <v>227.22900000000001</v>
      </c>
      <c r="S523" s="188">
        <f t="shared" si="519"/>
        <v>226.05099999999999</v>
      </c>
      <c r="T523" s="217">
        <f>T524/T522*1000</f>
        <v>221.51</v>
      </c>
      <c r="U523" s="217">
        <f>U524/U522*1000</f>
        <v>211.42</v>
      </c>
      <c r="V523" s="218">
        <f t="shared" ref="V523" si="520">V524*1000/V522</f>
        <v>227.15600000000001</v>
      </c>
      <c r="W523" s="189">
        <f>W524/W522*1000</f>
        <v>-438.42</v>
      </c>
      <c r="X523" s="225"/>
    </row>
    <row r="524" spans="1:28" s="244" customFormat="1" ht="18" customHeight="1">
      <c r="A524" s="614"/>
      <c r="B524" s="576"/>
      <c r="C524" s="577"/>
      <c r="D524" s="191" t="s">
        <v>0</v>
      </c>
      <c r="E524" s="192"/>
      <c r="F524" s="192">
        <f>№2!F601+№5!F601+'№ 6'!F601+№14!F601+'№ 20'!F601+'№ 23'!F601+№27!F601+'№ 31'!F601+'№ 34'!F601+'№ 41'!F601</f>
        <v>11.092000000000001</v>
      </c>
      <c r="G524" s="192">
        <f>№2!G601+№5!G601+'№ 6'!G601+№14!G601+'№ 20'!G601+'№ 23'!G601+№27!G601+'№ 31'!G601+'№ 34'!G601+'№ 41'!G601</f>
        <v>10.475</v>
      </c>
      <c r="H524" s="192">
        <f>№2!H601+№5!H601+'№ 6'!H601+№14!H601+'№ 20'!H601+'№ 23'!H601+№27!H601+'№ 31'!H601+'№ 34'!H601+'№ 41'!H601</f>
        <v>10.945</v>
      </c>
      <c r="I524" s="192">
        <f>№2!I601+№5!I601+'№ 6'!I601+№14!I601+'№ 20'!I601+'№ 23'!I601+№27!I601+'№ 31'!I601+'№ 34'!I601+'№ 41'!I601</f>
        <v>11.282</v>
      </c>
      <c r="J524" s="192">
        <f>№2!J601+№5!J601+'№ 6'!J601+№14!J601+'№ 20'!J601+'№ 23'!J601+№27!J601+'№ 31'!J601+'№ 34'!J601+'№ 41'!J601</f>
        <v>10.86</v>
      </c>
      <c r="K524" s="192">
        <f>№2!K601+№5!K601+'№ 6'!K601+№14!K601+'№ 20'!K601+'№ 23'!K601+№27!K601+'№ 31'!K601+'№ 34'!K601+'№ 41'!K601</f>
        <v>9.2010000000000005</v>
      </c>
      <c r="L524" s="194">
        <f>SUM(F524:K524)</f>
        <v>63.854999999999997</v>
      </c>
      <c r="M524" s="194">
        <f>L524/6</f>
        <v>10.643000000000001</v>
      </c>
      <c r="N524" s="192">
        <f>№2!N601+№5!N601+'№ 6'!N601+№14!N601+'№ 20'!N601+'№ 23'!N601+№27!N601+'№ 31'!N601+'№ 34'!N601+'№ 41'!N601</f>
        <v>10.608000000000001</v>
      </c>
      <c r="O524" s="192">
        <f>№2!O601+№5!O601+'№ 6'!O601+№14!O601+'№ 20'!O601+'№ 23'!O601+№27!O601+'№ 31'!O601+'№ 34'!O601+'№ 41'!O601</f>
        <v>11.061</v>
      </c>
      <c r="P524" s="192">
        <f>№2!P601+№5!P601+'№ 6'!P601+№14!P601+'№ 20'!P601+'№ 23'!P601+№27!P601+'№ 31'!P601+'№ 34'!P601+'№ 41'!P601</f>
        <v>12.361000000000001</v>
      </c>
      <c r="Q524" s="192">
        <f>№2!Q601+№5!Q601+'№ 6'!Q601+№14!Q601+'№ 20'!Q601+'№ 23'!Q601+№27!Q601+'№ 31'!Q601+'№ 34'!Q601+'№ 41'!Q601</f>
        <v>11.316000000000001</v>
      </c>
      <c r="R524" s="192">
        <f>№2!R601+№5!R601+'№ 6'!R601+№14!R601+'№ 20'!R601+'№ 23'!R601+№27!R601+'№ 31'!R601+'№ 34'!R601+'№ 41'!R601</f>
        <v>10.907</v>
      </c>
      <c r="S524" s="192">
        <f>№2!S601+№5!S601+'№ 6'!S601+№14!S601+'№ 20'!S601+'№ 23'!S601+№27!S601+'№ 31'!S601+'№ 34'!S601+'№ 41'!S601</f>
        <v>8.7119999999999997</v>
      </c>
      <c r="T524" s="194">
        <f>SUM(N524:S524)</f>
        <v>64.965000000000003</v>
      </c>
      <c r="U524" s="194">
        <f>T524+L524</f>
        <v>128.82</v>
      </c>
      <c r="V524" s="194">
        <f>№2!V601+№5!V601+'№ 6'!V601+№14!V601+'№ 20'!V601+'№ 23'!V601+№27!V601+'№ 31'!V601+'№ 34'!V601+'№ 41'!V601</f>
        <v>135.13499999999999</v>
      </c>
      <c r="W524" s="193">
        <f>V524-U524</f>
        <v>6.3150000000000004</v>
      </c>
    </row>
    <row r="525" spans="1:28" s="244" customFormat="1" ht="18" customHeight="1">
      <c r="A525" s="614"/>
      <c r="B525" s="576"/>
      <c r="C525" s="577"/>
      <c r="D525" s="174" t="s">
        <v>55</v>
      </c>
      <c r="E525" s="210"/>
      <c r="F525" s="192">
        <f>№2!F602+№5!F602+'№ 6'!F602+№14!F602+'№ 20'!F602+'№ 23'!F602+№27!F602+'№ 31'!F602+'№ 34'!F602+'№ 41'!F602</f>
        <v>0</v>
      </c>
      <c r="G525" s="192">
        <f>№2!G602+№5!G602+'№ 6'!G602+№14!G602+'№ 20'!G602+'№ 23'!G602+№27!G602+'№ 31'!G602+'№ 34'!G602+'№ 41'!G602</f>
        <v>0</v>
      </c>
      <c r="H525" s="192">
        <f>№2!H602+№5!H602+'№ 6'!H602+№14!H602+'№ 20'!H602+'№ 23'!H602+№27!H602+'№ 31'!H602+'№ 34'!H602+'№ 41'!H602</f>
        <v>0</v>
      </c>
      <c r="I525" s="192">
        <f>№2!I602+№5!I602+'№ 6'!I602+№14!I602+'№ 20'!I602+'№ 23'!I602+№27!I602+'№ 31'!I602+'№ 34'!I602+'№ 41'!I602</f>
        <v>0</v>
      </c>
      <c r="J525" s="192">
        <f>№2!J602+№5!J602+'№ 6'!J602+№14!J602+'№ 20'!J602+'№ 23'!J602+№27!J602+'№ 31'!J602+'№ 34'!J602+'№ 41'!J602</f>
        <v>0</v>
      </c>
      <c r="K525" s="192">
        <f>№2!K602+№5!K602+'№ 6'!K602+№14!K602+'№ 20'!K602+'№ 23'!K602+№27!K602+'№ 31'!K602+'№ 34'!K602+'№ 41'!K602</f>
        <v>0</v>
      </c>
      <c r="L525" s="194">
        <f>SUM(F525:K525)</f>
        <v>0</v>
      </c>
      <c r="M525" s="194">
        <f>L525/6</f>
        <v>0</v>
      </c>
      <c r="N525" s="192">
        <f>№2!N602+№5!N602+'№ 6'!N602+№14!N602+'№ 20'!N602+'№ 23'!N602+№27!N602+'№ 31'!N602+'№ 34'!N602+'№ 41'!N602</f>
        <v>0</v>
      </c>
      <c r="O525" s="192">
        <f>№2!O602+№5!O602+'№ 6'!O602+№14!O602+'№ 20'!O602+'№ 23'!O602+№27!O602+'№ 31'!O602+'№ 34'!O602+'№ 41'!O602</f>
        <v>0</v>
      </c>
      <c r="P525" s="192">
        <f>№2!P602+№5!P602+'№ 6'!P602+№14!P602+'№ 20'!P602+'№ 23'!P602+№27!P602+'№ 31'!P602+'№ 34'!P602+'№ 41'!P602</f>
        <v>0</v>
      </c>
      <c r="Q525" s="192">
        <f>№2!Q602+№5!Q602+'№ 6'!Q602+№14!Q602+'№ 20'!Q602+'№ 23'!Q602+№27!Q602+'№ 31'!Q602+'№ 34'!Q602+'№ 41'!Q602</f>
        <v>0</v>
      </c>
      <c r="R525" s="192">
        <f>№2!R602+№5!R602+'№ 6'!R602+№14!R602+'№ 20'!R602+'№ 23'!R602+№27!R602+'№ 31'!R602+'№ 34'!R602+'№ 41'!R602</f>
        <v>0</v>
      </c>
      <c r="S525" s="192">
        <f>№2!S602+№5!S602+'№ 6'!S602+№14!S602+'№ 20'!S602+'№ 23'!S602+№27!S602+'№ 31'!S602+'№ 34'!S602+'№ 41'!S602</f>
        <v>0</v>
      </c>
      <c r="T525" s="194">
        <f>SUM(N525:S525)</f>
        <v>0</v>
      </c>
      <c r="U525" s="194">
        <f>T525+L525</f>
        <v>0</v>
      </c>
      <c r="V525" s="194">
        <f>№2!V602+№5!V602+'№ 6'!V602+№14!V602+'№ 20'!V602+'№ 23'!V602+№27!V602+'№ 31'!V602+'№ 34'!V602+'№ 41'!V602</f>
        <v>0</v>
      </c>
      <c r="W525" s="193">
        <f>V525-U525</f>
        <v>0</v>
      </c>
    </row>
    <row r="526" spans="1:28" s="244" customFormat="1" ht="18" customHeight="1">
      <c r="A526" s="614"/>
      <c r="B526" s="576"/>
      <c r="C526" s="577"/>
      <c r="D526" s="174" t="s">
        <v>28</v>
      </c>
      <c r="E526" s="210"/>
      <c r="F526" s="192">
        <f>№2!F603+№5!F603+'№ 6'!F603+№14!F603+'№ 20'!F603+'№ 23'!F603+№27!F603+'№ 31'!F603+'№ 34'!F603+'№ 41'!F603</f>
        <v>1.7869999999999999</v>
      </c>
      <c r="G526" s="192">
        <f>№2!G603+№5!G603+'№ 6'!G603+№14!G603+'№ 20'!G603+'№ 23'!G603+№27!G603+'№ 31'!G603+'№ 34'!G603+'№ 41'!G603</f>
        <v>10.35</v>
      </c>
      <c r="H526" s="192">
        <f>№2!H603+№5!H603+'№ 6'!H603+№14!H603+'№ 20'!H603+'№ 23'!H603+№27!H603+'№ 31'!H603+'№ 34'!H603+'№ 41'!H603</f>
        <v>12.541</v>
      </c>
      <c r="I526" s="192">
        <f>№2!I603+№5!I603+'№ 6'!I603+№14!I603+'№ 20'!I603+'№ 23'!I603+№27!I603+'№ 31'!I603+'№ 34'!I603+'№ 41'!I603</f>
        <v>11.22</v>
      </c>
      <c r="J526" s="192">
        <f>№2!J603+№5!J603+'№ 6'!J603+№14!J603+'№ 20'!J603+'№ 23'!J603+№27!J603+'№ 31'!J603+'№ 34'!J603+'№ 41'!J603</f>
        <v>12.145</v>
      </c>
      <c r="K526" s="192">
        <f>№2!K603+№5!K603+'№ 6'!K603+№14!K603+'№ 20'!K603+'№ 23'!K603+№27!K603+'№ 31'!K603+'№ 34'!K603+'№ 41'!K603</f>
        <v>9.2669999999999995</v>
      </c>
      <c r="L526" s="194">
        <f>SUM(F526:K526)</f>
        <v>57.31</v>
      </c>
      <c r="M526" s="194">
        <f>L526/6</f>
        <v>9.5519999999999996</v>
      </c>
      <c r="N526" s="192">
        <f>№2!N603+№5!N603+'№ 6'!N603+№14!N603+'№ 20'!N603+'№ 23'!N603+№27!N603+'№ 31'!N603+'№ 34'!N603+'№ 41'!N603</f>
        <v>9.8030000000000008</v>
      </c>
      <c r="O526" s="192">
        <f>№2!O603+№5!O603+'№ 6'!O603+№14!O603+'№ 20'!O603+'№ 23'!O603+№27!O603+'№ 31'!O603+'№ 34'!O603+'№ 41'!O603</f>
        <v>8.9610000000000003</v>
      </c>
      <c r="P526" s="192">
        <f>№2!P603+№5!P603+'№ 6'!P603+№14!P603+'№ 20'!P603+'№ 23'!P603+№27!P603+'№ 31'!P603+'№ 34'!P603+'№ 41'!P603</f>
        <v>13.698</v>
      </c>
      <c r="Q526" s="192">
        <f>№2!Q603+№5!Q603+'№ 6'!Q603+№14!Q603+'№ 20'!Q603+'№ 23'!Q603+№27!Q603+'№ 31'!Q603+'№ 34'!Q603+'№ 41'!Q603</f>
        <v>14.661</v>
      </c>
      <c r="R526" s="192">
        <f>№2!R603+№5!R603+'№ 6'!R603+№14!R603+'№ 20'!R603+'№ 23'!R603+№27!R603+'№ 31'!R603+'№ 34'!R603+'№ 41'!R603</f>
        <v>11.821999999999999</v>
      </c>
      <c r="S526" s="192">
        <f>№2!S603+№5!S603+'№ 6'!S603+№14!S603+'№ 20'!S603+'№ 23'!S603+№27!S603+'№ 31'!S603+'№ 34'!S603+'№ 41'!S603</f>
        <v>18.88</v>
      </c>
      <c r="T526" s="194">
        <f>SUM(N526:S526)</f>
        <v>77.825000000000003</v>
      </c>
      <c r="U526" s="194">
        <f>T526+L526</f>
        <v>135.13499999999999</v>
      </c>
      <c r="V526" s="194">
        <f>№2!V603+№5!V603+'№ 6'!V603+№14!V603+'№ 20'!V603+'№ 23'!V603+№27!V603+'№ 31'!V603+'№ 34'!V603+'№ 41'!V603</f>
        <v>135.13499999999999</v>
      </c>
      <c r="W526" s="193">
        <f>V526-U526</f>
        <v>0</v>
      </c>
    </row>
    <row r="527" spans="1:28" s="186" customFormat="1" ht="18" customHeight="1">
      <c r="A527" s="614"/>
      <c r="B527" s="576"/>
      <c r="C527" s="577"/>
      <c r="D527" s="178" t="s">
        <v>117</v>
      </c>
      <c r="E527" s="179">
        <f>№2!E604+№5!E604+'№ 6'!E589+№14!E604+'№ 20'!E604+'№ 23'!E604+№27!E604+'№ 31'!E604+'№ 34'!E604+'№ 41'!E604</f>
        <v>0</v>
      </c>
      <c r="F527" s="260">
        <f>№2!F604+№5!F604+'№ 6'!F604+№14!F604+'№ 20'!F604+'№ 23'!F604+№27!F604+'№ 31'!F604+'№ 34'!F604+'№ 41'!F604</f>
        <v>0</v>
      </c>
      <c r="G527" s="260">
        <f>№2!G604+№5!G604+'№ 6'!G604+№14!G604+'№ 20'!G604+'№ 23'!G604+№27!G604+'№ 31'!G604+'№ 34'!G604+'№ 41'!G604</f>
        <v>42.2</v>
      </c>
      <c r="H527" s="260">
        <f>№2!H604+№5!H604+'№ 6'!H604+№14!H604+'№ 20'!H604+'№ 23'!H604+№27!H604+'№ 31'!H604+'№ 34'!H604+'№ 41'!H604</f>
        <v>55.776000000000003</v>
      </c>
      <c r="I527" s="260">
        <f>№2!I604+№5!I604+'№ 6'!I604+№14!I604+'№ 20'!I604+'№ 23'!I604+№27!I604+'№ 31'!I604+'№ 34'!I604+'№ 41'!I604</f>
        <v>62.926000000000002</v>
      </c>
      <c r="J527" s="260">
        <f>№2!J604+№5!J604+'№ 6'!J604+№14!J604+'№ 20'!J604+'№ 23'!J604+№27!J604+'№ 31'!J604+'№ 34'!J604+'№ 41'!J604</f>
        <v>55.828000000000003</v>
      </c>
      <c r="K527" s="260">
        <f>№2!K604+№5!K604+'№ 6'!K604+№14!K604+'№ 20'!K604+'№ 23'!K604+№27!K604+'№ 31'!K604+'№ 34'!K604+'№ 41'!K604</f>
        <v>53.76</v>
      </c>
      <c r="L527" s="262">
        <f>SUM(F527:K527)</f>
        <v>270.49</v>
      </c>
      <c r="M527" s="262">
        <f>L527/6</f>
        <v>45.082000000000001</v>
      </c>
      <c r="N527" s="260">
        <f>№2!N604+№5!N604+'№ 6'!N604+№14!N604+'№ 20'!N604+'№ 23'!N604+№27!N604+'№ 31'!N604+'№ 34'!N604+'№ 41'!N604</f>
        <v>45.536999999999999</v>
      </c>
      <c r="O527" s="260">
        <f>№2!O604+№5!O604+'№ 6'!O604+№14!O604+'№ 20'!O604+'№ 23'!O604+№27!O604+'№ 31'!O604+'№ 34'!O604+'№ 41'!O604</f>
        <v>52.512</v>
      </c>
      <c r="P527" s="260">
        <f>№2!P604+№5!P604+'№ 6'!P604+№14!P604+'№ 20'!P604+'№ 23'!P604+№27!P604+'№ 31'!P604+'№ 34'!P604+'№ 41'!P604</f>
        <v>54.424999999999997</v>
      </c>
      <c r="Q527" s="260">
        <f>№2!Q604+№5!Q604+'№ 6'!Q604+№14!Q604+'№ 20'!Q604+'№ 23'!Q604+№27!Q604+'№ 31'!Q604+'№ 34'!Q604+'№ 41'!Q604</f>
        <v>54.4</v>
      </c>
      <c r="R527" s="260">
        <f>№2!R604+№5!R604+'№ 6'!R604+№14!R604+'№ 20'!R604+'№ 23'!R604+№27!R604+'№ 31'!R604+'№ 34'!R604+'№ 41'!R604</f>
        <v>47.9</v>
      </c>
      <c r="S527" s="260">
        <f>№2!S604+№5!S604+'№ 6'!S604+№14!S604+'№ 20'!S604+'№ 23'!S604+№27!S604+'№ 31'!S604+'№ 34'!S604+'№ 41'!S604</f>
        <v>84.04</v>
      </c>
      <c r="T527" s="262">
        <f>SUM(N527:S527)</f>
        <v>338.81400000000002</v>
      </c>
      <c r="U527" s="262">
        <f>T527+L527</f>
        <v>609.30399999999997</v>
      </c>
      <c r="V527" s="420">
        <f>№2!V604+№5!V604+'№ 6'!V604+№14!V604+'№ 20'!V604+'№ 23'!V604+№27!V604+'№ 31'!V604+'№ 34'!V604+'№ 41'!V604</f>
        <v>594.9</v>
      </c>
      <c r="W527" s="410">
        <f>V527-U527</f>
        <v>-14.404</v>
      </c>
      <c r="X527" s="185">
        <f>U522-U527</f>
        <v>0</v>
      </c>
    </row>
    <row r="528" spans="1:28" s="190" customFormat="1" ht="18" customHeight="1">
      <c r="A528" s="614"/>
      <c r="B528" s="576"/>
      <c r="C528" s="577"/>
      <c r="D528" s="187" t="s">
        <v>27</v>
      </c>
      <c r="E528" s="188" t="e">
        <f t="shared" ref="E528:K528" si="521">E529*1000/E527</f>
        <v>#DIV/0!</v>
      </c>
      <c r="F528" s="188" t="e">
        <f t="shared" si="521"/>
        <v>#DIV/0!</v>
      </c>
      <c r="G528" s="188">
        <f t="shared" si="521"/>
        <v>202.06200000000001</v>
      </c>
      <c r="H528" s="188">
        <f t="shared" si="521"/>
        <v>202.05799999999999</v>
      </c>
      <c r="I528" s="188">
        <f t="shared" si="521"/>
        <v>202.047</v>
      </c>
      <c r="J528" s="188">
        <f t="shared" si="521"/>
        <v>202.08500000000001</v>
      </c>
      <c r="K528" s="188">
        <f t="shared" si="521"/>
        <v>202.00899999999999</v>
      </c>
      <c r="L528" s="217">
        <f>L529/L527*1000</f>
        <v>202.05</v>
      </c>
      <c r="M528" s="217">
        <f>M529/M527*1000</f>
        <v>202.05</v>
      </c>
      <c r="N528" s="188">
        <f t="shared" ref="N528:S528" si="522">N529*1000/N527</f>
        <v>202.05500000000001</v>
      </c>
      <c r="O528" s="188">
        <f t="shared" si="522"/>
        <v>202.011</v>
      </c>
      <c r="P528" s="188">
        <f t="shared" si="522"/>
        <v>221.608</v>
      </c>
      <c r="Q528" s="188">
        <f t="shared" si="522"/>
        <v>227.22399999999999</v>
      </c>
      <c r="R528" s="188">
        <f t="shared" si="522"/>
        <v>227.22300000000001</v>
      </c>
      <c r="S528" s="188">
        <f t="shared" si="522"/>
        <v>226.702</v>
      </c>
      <c r="T528" s="217">
        <f>T529/T527*1000</f>
        <v>218.9</v>
      </c>
      <c r="U528" s="217">
        <f>U529/U527*1000</f>
        <v>211.42</v>
      </c>
      <c r="V528" s="218">
        <f t="shared" ref="V528" si="523">V529*1000/V527</f>
        <v>227.15600000000001</v>
      </c>
      <c r="W528" s="189">
        <f>W529/W527*1000</f>
        <v>-438.42</v>
      </c>
      <c r="X528" s="225"/>
    </row>
    <row r="529" spans="1:28" s="239" customFormat="1" ht="18" customHeight="1">
      <c r="A529" s="614"/>
      <c r="B529" s="576"/>
      <c r="C529" s="577"/>
      <c r="D529" s="198" t="s">
        <v>25</v>
      </c>
      <c r="E529" s="199">
        <f>№2!E606+№5!E606+'№ 6'!E591+№14!E606+'№ 20'!E606+'№ 23'!E606+№27!E606+'№ 31'!E606+'№ 34'!E606+'№ 41'!E606</f>
        <v>0</v>
      </c>
      <c r="F529" s="199">
        <f>№2!F606+№5!F606+'№ 6'!F606+№14!F606+'№ 20'!F606+'№ 23'!F606+№27!F606+'№ 31'!F606+'№ 34'!F606+'№ 41'!F606</f>
        <v>0</v>
      </c>
      <c r="G529" s="199">
        <f>№2!G606+№5!G606+'№ 6'!G606+№14!G606+'№ 20'!G606+'№ 23'!G606+№27!G606+'№ 31'!G606+'№ 34'!G606+'№ 41'!G606</f>
        <v>8.5269999999999992</v>
      </c>
      <c r="H529" s="199">
        <f>№2!H606+№5!H606+'№ 6'!H606+№14!H606+'№ 20'!H606+'№ 23'!H606+№27!H606+'№ 31'!H606+'№ 34'!H606+'№ 41'!H606</f>
        <v>11.27</v>
      </c>
      <c r="I529" s="199">
        <f>№2!I606+№5!I606+'№ 6'!I606+№14!I606+'№ 20'!I606+'№ 23'!I606+№27!I606+'№ 31'!I606+'№ 34'!I606+'№ 41'!I606</f>
        <v>12.714</v>
      </c>
      <c r="J529" s="199">
        <f>№2!J606+№5!J606+'№ 6'!J606+№14!J606+'№ 20'!J606+'№ 23'!J606+№27!J606+'№ 31'!J606+'№ 34'!J606+'№ 41'!J606</f>
        <v>11.282</v>
      </c>
      <c r="K529" s="199">
        <f>№2!K606+№5!K606+'№ 6'!K606+№14!K606+'№ 20'!K606+'№ 23'!K606+№27!K606+'№ 31'!K606+'№ 34'!K606+'№ 41'!K606</f>
        <v>10.86</v>
      </c>
      <c r="L529" s="199">
        <f>SUM(F529:K529)</f>
        <v>54.652999999999999</v>
      </c>
      <c r="M529" s="199">
        <f>L529/6</f>
        <v>9.109</v>
      </c>
      <c r="N529" s="199">
        <f>№2!N606+№5!N606+'№ 6'!N606+№14!N606+'№ 20'!N606+'№ 23'!N606+№27!N606+'№ 31'!N606+'№ 34'!N606+'№ 41'!N606</f>
        <v>9.2010000000000005</v>
      </c>
      <c r="O529" s="199">
        <f>№2!O606+№5!O606+'№ 6'!O606+№14!O606+'№ 20'!O606+'№ 23'!O606+№27!O606+'№ 31'!O606+'№ 34'!O606+'№ 41'!O606</f>
        <v>10.608000000000001</v>
      </c>
      <c r="P529" s="199">
        <f>№2!P606+№5!P606+'№ 6'!P606+№14!P606+'№ 20'!P606+'№ 23'!P606+№27!P606+'№ 31'!P606+'№ 34'!P606+'№ 41'!P606</f>
        <v>12.061</v>
      </c>
      <c r="Q529" s="199">
        <f>№2!Q606+№5!Q606+'№ 6'!Q606+№14!Q606+'№ 20'!Q606+'№ 23'!Q606+№27!Q606+'№ 31'!Q606+'№ 34'!Q606+'№ 41'!Q606</f>
        <v>12.361000000000001</v>
      </c>
      <c r="R529" s="199">
        <f>№2!R606+№5!R606+'№ 6'!R606+№14!R606+'№ 20'!R606+'№ 23'!R606+№27!R606+'№ 31'!R606+'№ 34'!R606+'№ 41'!R606</f>
        <v>10.884</v>
      </c>
      <c r="S529" s="199">
        <f>№2!S606+№5!S606+'№ 6'!S606+№14!S606+'№ 20'!S606+'№ 23'!S606+№27!S606+'№ 31'!S606+'№ 34'!S606+'№ 41'!S606</f>
        <v>19.052</v>
      </c>
      <c r="T529" s="199">
        <f>SUM(N529:S529)</f>
        <v>74.167000000000002</v>
      </c>
      <c r="U529" s="199">
        <f>T529+L529</f>
        <v>128.82</v>
      </c>
      <c r="V529" s="199">
        <f>№2!V606+№5!V606+'№ 6'!V606+№14!V606+'№ 20'!V606+'№ 23'!V606+№27!V606+'№ 31'!V606+'№ 34'!V606+'№ 41'!V606</f>
        <v>135.13499999999999</v>
      </c>
      <c r="W529" s="221">
        <f>V529-U529</f>
        <v>6.3150000000000004</v>
      </c>
      <c r="X529" s="176">
        <f>U524-U529</f>
        <v>0</v>
      </c>
    </row>
    <row r="530" spans="1:28" s="239" customFormat="1" ht="18" customHeight="1">
      <c r="A530" s="614"/>
      <c r="B530" s="576"/>
      <c r="C530" s="577"/>
      <c r="D530" s="201" t="s">
        <v>55</v>
      </c>
      <c r="E530" s="220"/>
      <c r="F530" s="199">
        <f>№2!F607+№5!F607+'№ 6'!F607+№14!F607+'№ 20'!F607+'№ 23'!F607+№27!F607+'№ 31'!F607+'№ 34'!F607+'№ 41'!F607</f>
        <v>0</v>
      </c>
      <c r="G530" s="199">
        <f>№2!G607+№5!G607+'№ 6'!G607+№14!G607+'№ 20'!G607+'№ 23'!G607+№27!G607+'№ 31'!G607+'№ 34'!G607+'№ 41'!G607</f>
        <v>0</v>
      </c>
      <c r="H530" s="199">
        <f>№2!H607+№5!H607+'№ 6'!H607+№14!H607+'№ 20'!H607+'№ 23'!H607+№27!H607+'№ 31'!H607+'№ 34'!H607+'№ 41'!H607</f>
        <v>0</v>
      </c>
      <c r="I530" s="199">
        <f>№2!I607+№5!I607+'№ 6'!I607+№14!I607+'№ 20'!I607+'№ 23'!I607+№27!I607+'№ 31'!I607+'№ 34'!I607+'№ 41'!I607</f>
        <v>0</v>
      </c>
      <c r="J530" s="199">
        <f>№2!J607+№5!J607+'№ 6'!J607+№14!J607+'№ 20'!J607+'№ 23'!J607+№27!J607+'№ 31'!J607+'№ 34'!J607+'№ 41'!J607</f>
        <v>0</v>
      </c>
      <c r="K530" s="199">
        <f>№2!K607+№5!K607+'№ 6'!K607+№14!K607+'№ 20'!K607+'№ 23'!K607+№27!K607+'№ 31'!K607+'№ 34'!K607+'№ 41'!K607</f>
        <v>0</v>
      </c>
      <c r="L530" s="199">
        <f>SUM(F530:K530)</f>
        <v>0</v>
      </c>
      <c r="M530" s="199">
        <f>L530/6</f>
        <v>0</v>
      </c>
      <c r="N530" s="199">
        <f>№2!N607+№5!N607+'№ 6'!N607+№14!N607+'№ 20'!N607+'№ 23'!N607+№27!N607+'№ 31'!N607+'№ 34'!N607+'№ 41'!N607</f>
        <v>0</v>
      </c>
      <c r="O530" s="199">
        <f>№2!O607+№5!O607+'№ 6'!O607+№14!O607+'№ 20'!O607+'№ 23'!O607+№27!O607+'№ 31'!O607+'№ 34'!O607+'№ 41'!O607</f>
        <v>0</v>
      </c>
      <c r="P530" s="199">
        <f>№2!P607+№5!P607+'№ 6'!P607+№14!P607+'№ 20'!P607+'№ 23'!P607+№27!P607+'№ 31'!P607+'№ 34'!P607+'№ 41'!P607</f>
        <v>0</v>
      </c>
      <c r="Q530" s="199">
        <f>№2!Q607+№5!Q607+'№ 6'!Q607+№14!Q607+'№ 20'!Q607+'№ 23'!Q607+№27!Q607+'№ 31'!Q607+'№ 34'!Q607+'№ 41'!Q607</f>
        <v>0</v>
      </c>
      <c r="R530" s="199">
        <f>№2!R607+№5!R607+'№ 6'!R607+№14!R607+'№ 20'!R607+'№ 23'!R607+№27!R607+'№ 31'!R607+'№ 34'!R607+'№ 41'!R607</f>
        <v>0</v>
      </c>
      <c r="S530" s="199">
        <f>№2!S607+№5!S607+'№ 6'!S607+№14!S607+'№ 20'!S607+'№ 23'!S607+№27!S607+'№ 31'!S607+'№ 34'!S607+'№ 41'!S607</f>
        <v>0</v>
      </c>
      <c r="T530" s="199">
        <f>SUM(N530:S530)</f>
        <v>0</v>
      </c>
      <c r="U530" s="199">
        <f>T530+L530</f>
        <v>0</v>
      </c>
      <c r="V530" s="199">
        <f>№2!V607+№5!V607+'№ 6'!V607+№14!V607+'№ 20'!V607+'№ 23'!V607+№27!V607+'№ 31'!V607+'№ 34'!V607+'№ 41'!V607</f>
        <v>0</v>
      </c>
      <c r="W530" s="221">
        <f>V530-U530</f>
        <v>0</v>
      </c>
      <c r="X530" s="176">
        <f>U525-U530</f>
        <v>0</v>
      </c>
    </row>
    <row r="531" spans="1:28" s="239" customFormat="1" ht="18" customHeight="1">
      <c r="A531" s="614"/>
      <c r="B531" s="576"/>
      <c r="C531" s="577"/>
      <c r="D531" s="201" t="s">
        <v>24</v>
      </c>
      <c r="E531" s="220"/>
      <c r="F531" s="199">
        <f>№2!F608+№5!F608+'№ 6'!F608+№14!F608+'№ 20'!F608+'№ 23'!F608+№27!F608+'№ 31'!F608+'№ 34'!F608+'№ 41'!F608</f>
        <v>0</v>
      </c>
      <c r="G531" s="199">
        <f>№2!G608+№5!G608+'№ 6'!G608+№14!G608+'№ 20'!G608+'№ 23'!G608+№27!G608+'№ 31'!G608+'№ 34'!G608+'№ 41'!G608</f>
        <v>8.5269999999999992</v>
      </c>
      <c r="H531" s="199">
        <f>№2!H608+№5!H608+'№ 6'!H608+№14!H608+'№ 20'!H608+'№ 23'!H608+№27!H608+'№ 31'!H608+'№ 34'!H608+'№ 41'!H608</f>
        <v>11.27</v>
      </c>
      <c r="I531" s="199">
        <f>№2!I608+№5!I608+'№ 6'!I608+№14!I608+'№ 20'!I608+'№ 23'!I608+№27!I608+'№ 31'!I608+'№ 34'!I608+'№ 41'!I608</f>
        <v>12.714</v>
      </c>
      <c r="J531" s="199">
        <f>№2!J608+№5!J608+'№ 6'!J608+№14!J608+'№ 20'!J608+'№ 23'!J608+№27!J608+'№ 31'!J608+'№ 34'!J608+'№ 41'!J608</f>
        <v>11.282</v>
      </c>
      <c r="K531" s="199">
        <f>№2!K608+№5!K608+'№ 6'!K608+№14!K608+'№ 20'!K608+'№ 23'!K608+№27!K608+'№ 31'!K608+'№ 34'!K608+'№ 41'!K608</f>
        <v>10.86</v>
      </c>
      <c r="L531" s="199">
        <f>SUM(F531:K531)</f>
        <v>54.652999999999999</v>
      </c>
      <c r="M531" s="199">
        <f>L531/6</f>
        <v>9.109</v>
      </c>
      <c r="N531" s="199">
        <f>№2!N608+№5!N608+'№ 6'!N608+№14!N608+'№ 20'!N608+'№ 23'!N608+№27!N608+'№ 31'!N608+'№ 34'!N608+'№ 41'!N608</f>
        <v>9.2010000000000005</v>
      </c>
      <c r="O531" s="199">
        <f>№2!O608+№5!O608+'№ 6'!O608+№14!O608+'№ 20'!O608+'№ 23'!O608+№27!O608+'№ 31'!O608+'№ 34'!O608+'№ 41'!O608</f>
        <v>10.608000000000001</v>
      </c>
      <c r="P531" s="199">
        <f>№2!P608+№5!P608+'№ 6'!P608+№14!P608+'№ 20'!P608+'№ 23'!P608+№27!P608+'№ 31'!P608+'№ 34'!P608+'№ 41'!P608</f>
        <v>12.061</v>
      </c>
      <c r="Q531" s="199">
        <f>№2!Q608+№5!Q608+'№ 6'!Q608+№14!Q608+'№ 20'!Q608+'№ 23'!Q608+№27!Q608+'№ 31'!Q608+'№ 34'!Q608+'№ 41'!Q608</f>
        <v>12.361000000000001</v>
      </c>
      <c r="R531" s="199">
        <f>№2!R608+№5!R608+'№ 6'!R608+№14!R608+'№ 20'!R608+'№ 23'!R608+№27!R608+'№ 31'!R608+'№ 34'!R608+'№ 41'!R608</f>
        <v>10.884</v>
      </c>
      <c r="S531" s="199">
        <f>№2!S608+№5!S608+'№ 6'!S608+№14!S608+'№ 20'!S608+'№ 23'!S608+№27!S608+'№ 31'!S608+'№ 34'!S608+'№ 41'!S608</f>
        <v>19.052</v>
      </c>
      <c r="T531" s="199">
        <f>SUM(N531:S531)</f>
        <v>74.167000000000002</v>
      </c>
      <c r="U531" s="199">
        <f>T531+L531</f>
        <v>128.82</v>
      </c>
      <c r="V531" s="199">
        <f>№2!V608+№5!V608+'№ 6'!V608+№14!V608+'№ 20'!V608+'№ 23'!V608+№27!V608+'№ 31'!V608+'№ 34'!V608+'№ 41'!V608</f>
        <v>135.13499999999999</v>
      </c>
      <c r="W531" s="221">
        <f>V531-U531</f>
        <v>6.3150000000000004</v>
      </c>
      <c r="X531" s="176">
        <f>U526-U531</f>
        <v>6.3150000000000004</v>
      </c>
    </row>
    <row r="532" spans="1:28" s="205" customFormat="1" ht="18" customHeight="1">
      <c r="A532" s="614"/>
      <c r="B532" s="576"/>
      <c r="C532" s="577"/>
      <c r="D532" s="202" t="s">
        <v>29</v>
      </c>
      <c r="E532" s="203"/>
      <c r="F532" s="203">
        <f t="shared" ref="F532:K532" si="524">F526+F525</f>
        <v>1.7869999999999999</v>
      </c>
      <c r="G532" s="203">
        <f t="shared" si="524"/>
        <v>10.35</v>
      </c>
      <c r="H532" s="203">
        <f t="shared" si="524"/>
        <v>12.541</v>
      </c>
      <c r="I532" s="203">
        <f t="shared" si="524"/>
        <v>11.22</v>
      </c>
      <c r="J532" s="203">
        <f t="shared" si="524"/>
        <v>12.145</v>
      </c>
      <c r="K532" s="203">
        <f t="shared" si="524"/>
        <v>9.2669999999999995</v>
      </c>
      <c r="L532" s="203">
        <f>SUM(F532:K532)</f>
        <v>57.31</v>
      </c>
      <c r="M532" s="203">
        <f>L532/6</f>
        <v>9.5519999999999996</v>
      </c>
      <c r="N532" s="203">
        <f t="shared" ref="N532:S532" si="525">N526+N525</f>
        <v>9.8030000000000008</v>
      </c>
      <c r="O532" s="203">
        <f t="shared" si="525"/>
        <v>8.9610000000000003</v>
      </c>
      <c r="P532" s="203">
        <f t="shared" si="525"/>
        <v>13.698</v>
      </c>
      <c r="Q532" s="203">
        <f t="shared" si="525"/>
        <v>14.661</v>
      </c>
      <c r="R532" s="203">
        <f t="shared" si="525"/>
        <v>11.821999999999999</v>
      </c>
      <c r="S532" s="203">
        <f t="shared" si="525"/>
        <v>18.88</v>
      </c>
      <c r="T532" s="203">
        <f>SUM(N532:S532)</f>
        <v>77.825000000000003</v>
      </c>
      <c r="U532" s="203">
        <f>T532+L532</f>
        <v>135.13499999999999</v>
      </c>
      <c r="V532" s="203">
        <f>V529</f>
        <v>135.13499999999999</v>
      </c>
      <c r="W532" s="203">
        <f>V532-U532</f>
        <v>0</v>
      </c>
    </row>
    <row r="533" spans="1:28" s="205" customFormat="1" ht="18" customHeight="1">
      <c r="A533" s="614"/>
      <c r="B533" s="576"/>
      <c r="C533" s="577"/>
      <c r="D533" s="202" t="s">
        <v>30</v>
      </c>
      <c r="E533" s="203"/>
      <c r="F533" s="203">
        <f t="shared" ref="F533:K533" si="526">F529-F532</f>
        <v>-1.7869999999999999</v>
      </c>
      <c r="G533" s="203">
        <f t="shared" si="526"/>
        <v>-1.823</v>
      </c>
      <c r="H533" s="203">
        <f t="shared" si="526"/>
        <v>-1.2709999999999999</v>
      </c>
      <c r="I533" s="203">
        <f t="shared" si="526"/>
        <v>1.494</v>
      </c>
      <c r="J533" s="203">
        <f t="shared" si="526"/>
        <v>-0.86299999999999999</v>
      </c>
      <c r="K533" s="203">
        <f t="shared" si="526"/>
        <v>1.593</v>
      </c>
      <c r="L533" s="203"/>
      <c r="M533" s="203"/>
      <c r="N533" s="203">
        <f t="shared" ref="N533:S533" si="527">N529-N532</f>
        <v>-0.60199999999999998</v>
      </c>
      <c r="O533" s="203">
        <f t="shared" si="527"/>
        <v>1.647</v>
      </c>
      <c r="P533" s="203">
        <f t="shared" si="527"/>
        <v>-1.637</v>
      </c>
      <c r="Q533" s="203">
        <f t="shared" si="527"/>
        <v>-2.2999999999999998</v>
      </c>
      <c r="R533" s="203">
        <f t="shared" si="527"/>
        <v>-0.93799999999999994</v>
      </c>
      <c r="S533" s="203">
        <f t="shared" si="527"/>
        <v>0.17199999999999999</v>
      </c>
      <c r="T533" s="203"/>
      <c r="U533" s="203"/>
      <c r="V533" s="203"/>
      <c r="W533" s="203"/>
    </row>
    <row r="534" spans="1:28" s="205" customFormat="1" ht="18" customHeight="1">
      <c r="A534" s="614"/>
      <c r="B534" s="578"/>
      <c r="C534" s="579"/>
      <c r="D534" s="202" t="s">
        <v>31</v>
      </c>
      <c r="E534" s="203"/>
      <c r="F534" s="203">
        <f>F533</f>
        <v>-1.7869999999999999</v>
      </c>
      <c r="G534" s="203">
        <f>G533+F534</f>
        <v>-3.61</v>
      </c>
      <c r="H534" s="203">
        <f>H533+G534</f>
        <v>-4.8810000000000002</v>
      </c>
      <c r="I534" s="203">
        <f>I533+H534</f>
        <v>-3.387</v>
      </c>
      <c r="J534" s="203">
        <f>J533+I534</f>
        <v>-4.25</v>
      </c>
      <c r="K534" s="203">
        <f>K533+J534</f>
        <v>-2.657</v>
      </c>
      <c r="L534" s="203"/>
      <c r="M534" s="203"/>
      <c r="N534" s="203">
        <f>N533+K534</f>
        <v>-3.2589999999999999</v>
      </c>
      <c r="O534" s="203">
        <f>O533+N534</f>
        <v>-1.6120000000000001</v>
      </c>
      <c r="P534" s="203">
        <f>P533+O534</f>
        <v>-3.2490000000000001</v>
      </c>
      <c r="Q534" s="203">
        <f>Q533+P534</f>
        <v>-5.5490000000000004</v>
      </c>
      <c r="R534" s="203">
        <f>R533+Q534</f>
        <v>-6.4870000000000001</v>
      </c>
      <c r="S534" s="203">
        <f>S533+R534</f>
        <v>-6.3150000000000004</v>
      </c>
      <c r="T534" s="203"/>
      <c r="U534" s="203"/>
      <c r="V534" s="203"/>
      <c r="W534" s="203"/>
    </row>
    <row r="535" spans="1:28" s="196" customFormat="1" ht="18" customHeight="1">
      <c r="A535" s="614"/>
      <c r="B535" s="574" t="s">
        <v>119</v>
      </c>
      <c r="C535" s="575"/>
      <c r="D535" s="178" t="s">
        <v>105</v>
      </c>
      <c r="E535" s="179"/>
      <c r="F535" s="180">
        <f>№2!F612+№5!F612+'№ 6'!F612+№14!F612+'№ 20'!F612+'№ 23'!F612+№27!F612+'№ 31'!F612+'№ 34'!F612+'№ 41'!F612</f>
        <v>0</v>
      </c>
      <c r="G535" s="180">
        <f>№2!G612+№5!G612+'№ 6'!G612+№14!G612+'№ 20'!G612+'№ 23'!G612+№27!G612+'№ 31'!G612+'№ 34'!G612+'№ 41'!G612</f>
        <v>0</v>
      </c>
      <c r="H535" s="180">
        <f>№2!H612+№5!H612+'№ 6'!H612+№14!H612+'№ 20'!H612+'№ 23'!H612+№27!H612+'№ 31'!H612+'№ 34'!H612+'№ 41'!H612</f>
        <v>0</v>
      </c>
      <c r="I535" s="180">
        <f>№2!I612+№5!I612+'№ 6'!I612+№14!I612+'№ 20'!I612+'№ 23'!I612+№27!I612+'№ 31'!I612+'№ 34'!I612+'№ 41'!I612</f>
        <v>0</v>
      </c>
      <c r="J535" s="180">
        <f>№2!J612+№5!J612+'№ 6'!J612+№14!J612+'№ 20'!J612+'№ 23'!J612+№27!J612+'№ 31'!J612+'№ 34'!J612+'№ 41'!J612</f>
        <v>0</v>
      </c>
      <c r="K535" s="180">
        <f>№2!K612+№5!K612+'№ 6'!K612+№14!K612+'№ 20'!K612+'№ 23'!K612+№27!K612+'№ 31'!K612+'№ 34'!K612+'№ 41'!K612</f>
        <v>0</v>
      </c>
      <c r="L535" s="215">
        <f>SUM(F535:K535)</f>
        <v>0</v>
      </c>
      <c r="M535" s="215">
        <f>L535/6</f>
        <v>0</v>
      </c>
      <c r="N535" s="180">
        <f>№2!N612+№5!N612+'№ 6'!N612+№14!N612+'№ 20'!N612+'№ 23'!N612+№27!N612+'№ 31'!N612+'№ 34'!N612+'№ 41'!N612</f>
        <v>0</v>
      </c>
      <c r="O535" s="180">
        <f>№2!O612+№5!O612+'№ 6'!O612+№14!O612+'№ 20'!O612+'№ 23'!O612+№27!O612+'№ 31'!O612+'№ 34'!O612+'№ 41'!O612</f>
        <v>0</v>
      </c>
      <c r="P535" s="180">
        <f>№2!P612+№5!P612+'№ 6'!P612+№14!P612+'№ 20'!P612+'№ 23'!P612+№27!P612+'№ 31'!P612+'№ 34'!P612+'№ 41'!P612</f>
        <v>0</v>
      </c>
      <c r="Q535" s="180">
        <f>№2!Q612+№5!Q612+'№ 6'!Q612+№14!Q612+'№ 20'!Q612+'№ 23'!Q612+№27!Q612+'№ 31'!Q612+'№ 34'!Q612+'№ 41'!Q612</f>
        <v>0</v>
      </c>
      <c r="R535" s="180">
        <f>№2!R612+№5!R612+'№ 6'!R612+№14!R612+'№ 20'!R612+'№ 23'!R612+№27!R612+'№ 31'!R612+'№ 34'!R612+'№ 41'!R612</f>
        <v>0</v>
      </c>
      <c r="S535" s="180">
        <f>№2!S612+№5!S612+'№ 6'!S612+№14!S612+'№ 20'!S612+'№ 23'!S612+№27!S612+'№ 31'!S612+'№ 34'!S612+'№ 41'!S612</f>
        <v>0</v>
      </c>
      <c r="T535" s="215">
        <f>SUM(N535:S535)</f>
        <v>0</v>
      </c>
      <c r="U535" s="215">
        <f>T535+L535</f>
        <v>0</v>
      </c>
      <c r="V535" s="233">
        <f>№2!V612+№5!V612+'№ 6'!V612+№14!V612+'№ 20'!V612+'№ 23'!V612+№27!V612+'№ 31'!V612+'№ 34'!V612+'№ 41'!V612</f>
        <v>0</v>
      </c>
      <c r="W535" s="184"/>
      <c r="X535" s="185"/>
      <c r="Y535" s="186"/>
      <c r="Z535" s="186"/>
      <c r="AA535" s="186"/>
      <c r="AB535" s="186"/>
    </row>
    <row r="536" spans="1:28" s="186" customFormat="1" ht="18" customHeight="1">
      <c r="A536" s="614"/>
      <c r="B536" s="576"/>
      <c r="C536" s="577"/>
      <c r="D536" s="178" t="s">
        <v>109</v>
      </c>
      <c r="E536" s="179"/>
      <c r="F536" s="180">
        <f>№2!F613+№5!F613+'№ 6'!F613+№14!F613+'№ 20'!F613+'№ 23'!F613+№27!F613+'№ 31'!F613+'№ 34'!F613+'№ 41'!F613</f>
        <v>0</v>
      </c>
      <c r="G536" s="180">
        <f>№2!G613+№5!G613+'№ 6'!G613+№14!G613+'№ 20'!G613+'№ 23'!G613+№27!G613+'№ 31'!G613+'№ 34'!G613+'№ 41'!G613</f>
        <v>0</v>
      </c>
      <c r="H536" s="180">
        <f>№2!H613+№5!H613+'№ 6'!H613+№14!H613+'№ 20'!H613+'№ 23'!H613+№27!H613+'№ 31'!H613+'№ 34'!H613+'№ 41'!H613</f>
        <v>0</v>
      </c>
      <c r="I536" s="180">
        <f>№2!I613+№5!I613+'№ 6'!I613+№14!I613+'№ 20'!I613+'№ 23'!I613+№27!I613+'№ 31'!I613+'№ 34'!I613+'№ 41'!I613</f>
        <v>0</v>
      </c>
      <c r="J536" s="180">
        <f>№2!J613+№5!J613+'№ 6'!J613+№14!J613+'№ 20'!J613+'№ 23'!J613+№27!J613+'№ 31'!J613+'№ 34'!J613+'№ 41'!J613</f>
        <v>0</v>
      </c>
      <c r="K536" s="180">
        <f>№2!K613+№5!K613+'№ 6'!K613+№14!K613+'№ 20'!K613+'№ 23'!K613+№27!K613+'№ 31'!K613+'№ 34'!K613+'№ 41'!K613</f>
        <v>0</v>
      </c>
      <c r="L536" s="215">
        <f>SUM(F536:K536)</f>
        <v>0</v>
      </c>
      <c r="M536" s="215">
        <f>L536/6</f>
        <v>0</v>
      </c>
      <c r="N536" s="180">
        <f>№2!N613+№5!N613+'№ 6'!N613+№14!N613+'№ 20'!N613+'№ 23'!N613+№27!N613+'№ 31'!N613+'№ 34'!N613+'№ 41'!N613</f>
        <v>0</v>
      </c>
      <c r="O536" s="180">
        <f>№2!O613+№5!O613+'№ 6'!O613+№14!O613+'№ 20'!O613+'№ 23'!O613+№27!O613+'№ 31'!O613+'№ 34'!O613+'№ 41'!O613</f>
        <v>0</v>
      </c>
      <c r="P536" s="180">
        <f>№2!P613+№5!P613+'№ 6'!P613+№14!P613+'№ 20'!P613+'№ 23'!P613+№27!P613+'№ 31'!P613+'№ 34'!P613+'№ 41'!P613</f>
        <v>0</v>
      </c>
      <c r="Q536" s="180">
        <f>№2!Q613+№5!Q613+'№ 6'!Q613+№14!Q613+'№ 20'!Q613+'№ 23'!Q613+№27!Q613+'№ 31'!Q613+'№ 34'!Q613+'№ 41'!Q613</f>
        <v>0</v>
      </c>
      <c r="R536" s="180">
        <f>№2!R613+№5!R613+'№ 6'!R613+№14!R613+'№ 20'!R613+'№ 23'!R613+№27!R613+'№ 31'!R613+'№ 34'!R613+'№ 41'!R613</f>
        <v>0</v>
      </c>
      <c r="S536" s="180">
        <f>№2!S613+№5!S613+'№ 6'!S613+№14!S613+'№ 20'!S613+'№ 23'!S613+№27!S613+'№ 31'!S613+'№ 34'!S613+'№ 41'!S613</f>
        <v>0</v>
      </c>
      <c r="T536" s="215">
        <f>SUM(N536:S536)</f>
        <v>0</v>
      </c>
      <c r="U536" s="215">
        <f>T536+L536</f>
        <v>0</v>
      </c>
      <c r="V536" s="233">
        <f>№2!V613+№5!V613+'№ 6'!V613+№14!V613+'№ 20'!V613+'№ 23'!V613+№27!V613+'№ 31'!V613+'№ 34'!V613+'№ 41'!V613</f>
        <v>0</v>
      </c>
      <c r="W536" s="184"/>
      <c r="X536" s="185"/>
    </row>
    <row r="537" spans="1:28" s="186" customFormat="1" ht="18" customHeight="1">
      <c r="A537" s="614"/>
      <c r="B537" s="576"/>
      <c r="C537" s="577"/>
      <c r="D537" s="178" t="s">
        <v>116</v>
      </c>
      <c r="E537" s="179"/>
      <c r="F537" s="180">
        <f>№2!F614+№5!F614+'№ 6'!F614+№14!F614+'№ 20'!F614+'№ 23'!F614+№27!F614+'№ 31'!F614+'№ 34'!F614+'№ 41'!F614</f>
        <v>4</v>
      </c>
      <c r="G537" s="180">
        <f>№2!G614+№5!G614+'№ 6'!G614+№14!G614+'№ 20'!G614+'№ 23'!G614+№27!G614+'№ 31'!G614+'№ 34'!G614+'№ 41'!G614</f>
        <v>4</v>
      </c>
      <c r="H537" s="180">
        <f>№2!H614+№5!H614+'№ 6'!H614+№14!H614+'№ 20'!H614+'№ 23'!H614+№27!H614+'№ 31'!H614+'№ 34'!H614+'№ 41'!H614</f>
        <v>5</v>
      </c>
      <c r="I537" s="180">
        <f>№2!I614+№5!I614+'№ 6'!I614+№14!I614+'№ 20'!I614+'№ 23'!I614+№27!I614+'№ 31'!I614+'№ 34'!I614+'№ 41'!I614</f>
        <v>5</v>
      </c>
      <c r="J537" s="180">
        <f>№2!J614+№5!J614+'№ 6'!J614+№14!J614+'№ 20'!J614+'№ 23'!J614+№27!J614+'№ 31'!J614+'№ 34'!J614+'№ 41'!J614</f>
        <v>5</v>
      </c>
      <c r="K537" s="180">
        <f>№2!K614+№5!K614+'№ 6'!K614+№14!K614+'№ 20'!K614+'№ 23'!K614+№27!K614+'№ 31'!K614+'№ 34'!K614+'№ 41'!K614</f>
        <v>4</v>
      </c>
      <c r="L537" s="215">
        <f>SUM(F537:K537)</f>
        <v>27</v>
      </c>
      <c r="M537" s="215">
        <f>L537/6</f>
        <v>4.5</v>
      </c>
      <c r="N537" s="264">
        <f>№2!N614+№5!N614+'№ 6'!N614+№14!N614+'№ 20'!N614+'№ 23'!N614+№27!N614+'№ 31'!N614+'№ 34'!N614+'№ 41'!N614</f>
        <v>5</v>
      </c>
      <c r="O537" s="264">
        <f>№2!O614+№5!O614+'№ 6'!O614+№14!O614+'№ 20'!O614+'№ 23'!O614+№27!O614+'№ 31'!O614+'№ 34'!O614+'№ 41'!O614</f>
        <v>5</v>
      </c>
      <c r="P537" s="264">
        <f>№2!P614+№5!P614+'№ 6'!P614+№14!P614+'№ 20'!P614+'№ 23'!P614+№27!P614+'№ 31'!P614+'№ 34'!P614+'№ 41'!P614</f>
        <v>5</v>
      </c>
      <c r="Q537" s="264">
        <f>№2!Q614+№5!Q614+'№ 6'!Q614+№14!Q614+'№ 20'!Q614+'№ 23'!Q614+№27!Q614+'№ 31'!Q614+'№ 34'!Q614+'№ 41'!Q614</f>
        <v>5</v>
      </c>
      <c r="R537" s="264">
        <f>№2!R614+№5!R614+'№ 6'!R614+№14!R614+'№ 20'!R614+'№ 23'!R614+№27!R614+'№ 31'!R614+'№ 34'!R614+'№ 41'!R614</f>
        <v>5</v>
      </c>
      <c r="S537" s="264">
        <f>№2!S614+№5!S614+'№ 6'!S614+№14!S614+'№ 20'!S614+'№ 23'!S614+№27!S614+'№ 31'!S614+'№ 34'!S614+'№ 41'!S614</f>
        <v>5</v>
      </c>
      <c r="T537" s="262">
        <f>SUM(N537:S537)</f>
        <v>30</v>
      </c>
      <c r="U537" s="262">
        <f>T537+L537</f>
        <v>57</v>
      </c>
      <c r="V537" s="233">
        <f>№2!V614+№5!V614+'№ 6'!V614+№14!V614+'№ 20'!V614+'№ 23'!V614+№27!V614+'№ 31'!V614+'№ 34'!V614+'№ 41'!V614</f>
        <v>60</v>
      </c>
      <c r="W537" s="184">
        <f>V537-U537</f>
        <v>3</v>
      </c>
      <c r="X537" s="185"/>
    </row>
    <row r="538" spans="1:28" s="190" customFormat="1" ht="18" customHeight="1">
      <c r="A538" s="614"/>
      <c r="B538" s="576"/>
      <c r="C538" s="577"/>
      <c r="D538" s="187" t="s">
        <v>27</v>
      </c>
      <c r="E538" s="188"/>
      <c r="F538" s="188">
        <f t="shared" ref="F538:U538" si="528">F539/F537*1000</f>
        <v>2.5</v>
      </c>
      <c r="G538" s="188">
        <f t="shared" si="528"/>
        <v>2</v>
      </c>
      <c r="H538" s="188">
        <f t="shared" si="528"/>
        <v>2</v>
      </c>
      <c r="I538" s="188">
        <f t="shared" si="528"/>
        <v>2</v>
      </c>
      <c r="J538" s="188">
        <f t="shared" si="528"/>
        <v>2</v>
      </c>
      <c r="K538" s="188">
        <f t="shared" si="528"/>
        <v>2</v>
      </c>
      <c r="L538" s="217">
        <f t="shared" si="528"/>
        <v>2.0699999999999998</v>
      </c>
      <c r="M538" s="217">
        <f t="shared" si="528"/>
        <v>2</v>
      </c>
      <c r="N538" s="188">
        <f t="shared" si="528"/>
        <v>2</v>
      </c>
      <c r="O538" s="188">
        <f t="shared" si="528"/>
        <v>2</v>
      </c>
      <c r="P538" s="188">
        <f t="shared" si="528"/>
        <v>2</v>
      </c>
      <c r="Q538" s="188">
        <f t="shared" si="528"/>
        <v>2</v>
      </c>
      <c r="R538" s="188">
        <f t="shared" si="528"/>
        <v>2</v>
      </c>
      <c r="S538" s="188">
        <f t="shared" si="528"/>
        <v>2.8</v>
      </c>
      <c r="T538" s="217">
        <f t="shared" si="528"/>
        <v>2.13</v>
      </c>
      <c r="U538" s="217">
        <f t="shared" si="528"/>
        <v>2.11</v>
      </c>
      <c r="V538" s="218">
        <f t="shared" ref="V538" si="529">V539*1000/V537</f>
        <v>2.117</v>
      </c>
      <c r="W538" s="189">
        <f>W539/W537*1000</f>
        <v>2.3330000000000002</v>
      </c>
      <c r="X538" s="225"/>
    </row>
    <row r="539" spans="1:28" s="244" customFormat="1" ht="18" customHeight="1">
      <c r="A539" s="614"/>
      <c r="B539" s="576"/>
      <c r="C539" s="577"/>
      <c r="D539" s="191" t="s">
        <v>0</v>
      </c>
      <c r="E539" s="192"/>
      <c r="F539" s="192">
        <f>№2!F616+№5!F616+'№ 6'!F616+№14!F616+'№ 20'!F616+'№ 23'!F616+№27!F616+'№ 31'!F616+'№ 34'!F616+'№ 41'!F616</f>
        <v>0.01</v>
      </c>
      <c r="G539" s="192">
        <f>№2!G616+№5!G616+'№ 6'!G616+№14!G616+'№ 20'!G616+'№ 23'!G616+№27!G616+'№ 31'!G616+'№ 34'!G616+'№ 41'!G616</f>
        <v>8.0000000000000002E-3</v>
      </c>
      <c r="H539" s="192">
        <f>№2!H616+№5!H616+'№ 6'!H616+№14!H616+'№ 20'!H616+'№ 23'!H616+№27!H616+'№ 31'!H616+'№ 34'!H616+'№ 41'!H616</f>
        <v>0.01</v>
      </c>
      <c r="I539" s="192">
        <f>№2!I616+№5!I616+'№ 6'!I616+№14!I616+'№ 20'!I616+'№ 23'!I616+№27!I616+'№ 31'!I616+'№ 34'!I616+'№ 41'!I616</f>
        <v>0.01</v>
      </c>
      <c r="J539" s="192">
        <f>№2!J616+№5!J616+'№ 6'!J616+№14!J616+'№ 20'!J616+'№ 23'!J616+№27!J616+'№ 31'!J616+'№ 34'!J616+'№ 41'!J616</f>
        <v>0.01</v>
      </c>
      <c r="K539" s="192">
        <f>№2!K616+№5!K616+'№ 6'!K616+№14!K616+'№ 20'!K616+'№ 23'!K616+№27!K616+'№ 31'!K616+'№ 34'!K616+'№ 41'!K616</f>
        <v>8.0000000000000002E-3</v>
      </c>
      <c r="L539" s="194">
        <f>SUM(F539:K539)</f>
        <v>5.6000000000000001E-2</v>
      </c>
      <c r="M539" s="194">
        <f>L539/6</f>
        <v>8.9999999999999993E-3</v>
      </c>
      <c r="N539" s="192">
        <f>№2!N616+№5!N616+'№ 6'!N616+№14!N616+'№ 20'!N616+'№ 23'!N616+№27!N616+'№ 31'!N616+'№ 34'!N616+'№ 41'!N616</f>
        <v>0.01</v>
      </c>
      <c r="O539" s="192">
        <f>№2!O616+№5!O616+'№ 6'!O616+№14!O616+'№ 20'!O616+'№ 23'!O616+№27!O616+'№ 31'!O616+'№ 34'!O616+'№ 41'!O616</f>
        <v>0.01</v>
      </c>
      <c r="P539" s="192">
        <f>№2!P616+№5!P616+'№ 6'!P616+№14!P616+'№ 20'!P616+'№ 23'!P616+№27!P616+'№ 31'!P616+'№ 34'!P616+'№ 41'!P616</f>
        <v>0.01</v>
      </c>
      <c r="Q539" s="192">
        <f>№2!Q616+№5!Q616+'№ 6'!Q616+№14!Q616+'№ 20'!Q616+'№ 23'!Q616+№27!Q616+'№ 31'!Q616+'№ 34'!Q616+'№ 41'!Q616</f>
        <v>0.01</v>
      </c>
      <c r="R539" s="192">
        <f>№2!R616+№5!R616+'№ 6'!R616+№14!R616+'№ 20'!R616+'№ 23'!R616+№27!R616+'№ 31'!R616+'№ 34'!R616+'№ 41'!R616</f>
        <v>0.01</v>
      </c>
      <c r="S539" s="192">
        <f>№2!S616+№5!S616+'№ 6'!S616+№14!S616+'№ 20'!S616+'№ 23'!S616+№27!S616+'№ 31'!S616+'№ 34'!S616+'№ 41'!S616</f>
        <v>1.4E-2</v>
      </c>
      <c r="T539" s="194">
        <f>SUM(N539:S539)</f>
        <v>6.4000000000000001E-2</v>
      </c>
      <c r="U539" s="194">
        <f>T539+L539</f>
        <v>0.12</v>
      </c>
      <c r="V539" s="194">
        <f>№2!V616+№5!V616+'№ 6'!V616+№14!V616+'№ 20'!V616+'№ 23'!V616+№27!V616+'№ 31'!V616+'№ 34'!V616+'№ 41'!V616</f>
        <v>0.127</v>
      </c>
      <c r="W539" s="193">
        <f>V539-U539</f>
        <v>7.0000000000000001E-3</v>
      </c>
    </row>
    <row r="540" spans="1:28" s="244" customFormat="1" ht="18" customHeight="1">
      <c r="A540" s="614"/>
      <c r="B540" s="576"/>
      <c r="C540" s="577"/>
      <c r="D540" s="174" t="s">
        <v>55</v>
      </c>
      <c r="E540" s="210"/>
      <c r="F540" s="192">
        <f>№2!F617+№5!F617+'№ 6'!F617+№14!F617+'№ 20'!F617+'№ 23'!F617+№27!F617+'№ 31'!F617+'№ 34'!F617+'№ 41'!F617</f>
        <v>0</v>
      </c>
      <c r="G540" s="192">
        <f>№2!G617+№5!G617+'№ 6'!G617+№14!G617+'№ 20'!G617+'№ 23'!G617+№27!G617+'№ 31'!G617+'№ 34'!G617+'№ 41'!G617</f>
        <v>0</v>
      </c>
      <c r="H540" s="192">
        <f>№2!H617+№5!H617+'№ 6'!H617+№14!H617+'№ 20'!H617+'№ 23'!H617+№27!H617+'№ 31'!H617+'№ 34'!H617+'№ 41'!H617</f>
        <v>0</v>
      </c>
      <c r="I540" s="192">
        <f>№2!I617+№5!I617+'№ 6'!I617+№14!I617+'№ 20'!I617+'№ 23'!I617+№27!I617+'№ 31'!I617+'№ 34'!I617+'№ 41'!I617</f>
        <v>0</v>
      </c>
      <c r="J540" s="192">
        <f>№2!J617+№5!J617+'№ 6'!J617+№14!J617+'№ 20'!J617+'№ 23'!J617+№27!J617+'№ 31'!J617+'№ 34'!J617+'№ 41'!J617</f>
        <v>0</v>
      </c>
      <c r="K540" s="192">
        <f>№2!K617+№5!K617+'№ 6'!K617+№14!K617+'№ 20'!K617+'№ 23'!K617+№27!K617+'№ 31'!K617+'№ 34'!K617+'№ 41'!K617</f>
        <v>0</v>
      </c>
      <c r="L540" s="194">
        <f>SUM(F540:K540)</f>
        <v>0</v>
      </c>
      <c r="M540" s="194">
        <f>L540/6</f>
        <v>0</v>
      </c>
      <c r="N540" s="192">
        <f>№2!N617+№5!N617+'№ 6'!N617+№14!N617+'№ 20'!N617+'№ 23'!N617+№27!N617+'№ 31'!N617+'№ 34'!N617+'№ 41'!N617</f>
        <v>0</v>
      </c>
      <c r="O540" s="192">
        <f>№2!O617+№5!O617+'№ 6'!O617+№14!O617+'№ 20'!O617+'№ 23'!O617+№27!O617+'№ 31'!O617+'№ 34'!O617+'№ 41'!O617</f>
        <v>0</v>
      </c>
      <c r="P540" s="192">
        <f>№2!P617+№5!P617+'№ 6'!P617+№14!P617+'№ 20'!P617+'№ 23'!P617+№27!P617+'№ 31'!P617+'№ 34'!P617+'№ 41'!P617</f>
        <v>0</v>
      </c>
      <c r="Q540" s="192">
        <f>№2!Q617+№5!Q617+'№ 6'!Q617+№14!Q617+'№ 20'!Q617+'№ 23'!Q617+№27!Q617+'№ 31'!Q617+'№ 34'!Q617+'№ 41'!Q617</f>
        <v>0</v>
      </c>
      <c r="R540" s="192">
        <f>№2!R617+№5!R617+'№ 6'!R617+№14!R617+'№ 20'!R617+'№ 23'!R617+№27!R617+'№ 31'!R617+'№ 34'!R617+'№ 41'!R617</f>
        <v>0</v>
      </c>
      <c r="S540" s="192">
        <f>№2!S617+№5!S617+'№ 6'!S617+№14!S617+'№ 20'!S617+'№ 23'!S617+№27!S617+'№ 31'!S617+'№ 34'!S617+'№ 41'!S617</f>
        <v>0</v>
      </c>
      <c r="T540" s="194">
        <f>SUM(N540:S540)</f>
        <v>0</v>
      </c>
      <c r="U540" s="194">
        <f>T540+L540</f>
        <v>0</v>
      </c>
      <c r="V540" s="194">
        <f>№2!V617+№5!V617+'№ 6'!V617+№14!V617+'№ 20'!V617+'№ 23'!V617+№27!V617+'№ 31'!V617+'№ 34'!V617+'№ 41'!V617</f>
        <v>0</v>
      </c>
      <c r="W540" s="193">
        <f>V540-U540</f>
        <v>0</v>
      </c>
    </row>
    <row r="541" spans="1:28" s="244" customFormat="1" ht="18" customHeight="1">
      <c r="A541" s="614"/>
      <c r="B541" s="576"/>
      <c r="C541" s="577"/>
      <c r="D541" s="174" t="s">
        <v>28</v>
      </c>
      <c r="E541" s="210"/>
      <c r="F541" s="192">
        <f>№2!F618+№5!F618+'№ 6'!F618+№14!F618+'№ 20'!F618+'№ 23'!F618+№27!F618+'№ 31'!F618+'№ 34'!F618+'№ 41'!F618</f>
        <v>5.0000000000000001E-3</v>
      </c>
      <c r="G541" s="192">
        <f>№2!G618+№5!G618+'№ 6'!G618+№14!G618+'№ 20'!G618+'№ 23'!G618+№27!G618+'№ 31'!G618+'№ 34'!G618+'№ 41'!G618</f>
        <v>0.01</v>
      </c>
      <c r="H541" s="192">
        <f>№2!H618+№5!H618+'№ 6'!H618+№14!H618+'№ 20'!H618+'№ 23'!H618+№27!H618+'№ 31'!H618+'№ 34'!H618+'№ 41'!H618</f>
        <v>1.2E-2</v>
      </c>
      <c r="I541" s="192">
        <f>№2!I618+№5!I618+'№ 6'!I618+№14!I618+'№ 20'!I618+'№ 23'!I618+№27!I618+'№ 31'!I618+'№ 34'!I618+'№ 41'!I618</f>
        <v>0.01</v>
      </c>
      <c r="J541" s="192">
        <f>№2!J618+№5!J618+'№ 6'!J618+№14!J618+'№ 20'!J618+'№ 23'!J618+№27!J618+'№ 31'!J618+'№ 34'!J618+'№ 41'!J618</f>
        <v>0.01</v>
      </c>
      <c r="K541" s="192">
        <f>№2!K618+№5!K618+'№ 6'!K618+№14!K618+'№ 20'!K618+'№ 23'!K618+№27!K618+'№ 31'!K618+'№ 34'!K618+'№ 41'!K618</f>
        <v>0.01</v>
      </c>
      <c r="L541" s="194">
        <f>SUM(F541:K541)</f>
        <v>5.7000000000000002E-2</v>
      </c>
      <c r="M541" s="194">
        <f>L541/6</f>
        <v>0.01</v>
      </c>
      <c r="N541" s="192">
        <f>№2!N618+№5!N618+'№ 6'!N618+№14!N618+'№ 20'!N618+'№ 23'!N618+№27!N618+'№ 31'!N618+'№ 34'!N618+'№ 41'!N618</f>
        <v>0.01</v>
      </c>
      <c r="O541" s="192">
        <f>№2!O618+№5!O618+'№ 6'!O618+№14!O618+'№ 20'!O618+'№ 23'!O618+№27!O618+'№ 31'!O618+'№ 34'!O618+'№ 41'!O618</f>
        <v>0.01</v>
      </c>
      <c r="P541" s="192">
        <f>№2!P618+№5!P618+'№ 6'!P618+№14!P618+'№ 20'!P618+'№ 23'!P618+№27!P618+'№ 31'!P618+'№ 34'!P618+'№ 41'!P618</f>
        <v>0.01</v>
      </c>
      <c r="Q541" s="192">
        <f>№2!Q618+№5!Q618+'№ 6'!Q618+№14!Q618+'№ 20'!Q618+'№ 23'!Q618+№27!Q618+'№ 31'!Q618+'№ 34'!Q618+'№ 41'!Q618</f>
        <v>0.01</v>
      </c>
      <c r="R541" s="192">
        <f>№2!R618+№5!R618+'№ 6'!R618+№14!R618+'№ 20'!R618+'№ 23'!R618+№27!R618+'№ 31'!R618+'№ 34'!R618+'№ 41'!R618</f>
        <v>0.01</v>
      </c>
      <c r="S541" s="192">
        <f>№2!S618+№5!S618+'№ 6'!S618+№14!S618+'№ 20'!S618+'№ 23'!S618+№27!S618+'№ 31'!S618+'№ 34'!S618+'№ 41'!S618</f>
        <v>0.02</v>
      </c>
      <c r="T541" s="194">
        <f>SUM(N541:S541)</f>
        <v>7.0000000000000007E-2</v>
      </c>
      <c r="U541" s="194">
        <f>T541+L541</f>
        <v>0.127</v>
      </c>
      <c r="V541" s="194">
        <f>№2!V618+№5!V618+'№ 6'!V618+№14!V618+'№ 20'!V618+'№ 23'!V618+№27!V618+'№ 31'!V618+'№ 34'!V618+'№ 41'!V618</f>
        <v>0.127</v>
      </c>
      <c r="W541" s="193">
        <f>V541-U541</f>
        <v>0</v>
      </c>
    </row>
    <row r="542" spans="1:28" s="186" customFormat="1" ht="18" customHeight="1">
      <c r="A542" s="614"/>
      <c r="B542" s="576"/>
      <c r="C542" s="577"/>
      <c r="D542" s="178" t="s">
        <v>117</v>
      </c>
      <c r="E542" s="179">
        <f>№2!E619+№5!E619+'№ 6'!E619+№14!E619+'№ 20'!E619+'№ 23'!E619+№27!E619+'№ 31'!E619+'№ 34'!E619+'№ 41'!E619</f>
        <v>0</v>
      </c>
      <c r="F542" s="260">
        <f>№2!F619+№5!F619+'№ 6'!F619+№14!F619+'№ 20'!F619+'№ 23'!F619+№27!F619+'№ 31'!F619+'№ 34'!F619+'№ 41'!F619</f>
        <v>0</v>
      </c>
      <c r="G542" s="260">
        <f>№2!G619+№5!G619+'№ 6'!G619+№14!G619+'№ 20'!G619+'№ 23'!G619+№27!G619+'№ 31'!G619+'№ 34'!G619+'№ 41'!G619</f>
        <v>1</v>
      </c>
      <c r="H542" s="260">
        <f>№2!H619+№5!H619+'№ 6'!H619+№14!H619+'№ 20'!H619+'№ 23'!H619+№27!H619+'№ 31'!H619+'№ 34'!H619+'№ 41'!H619</f>
        <v>6</v>
      </c>
      <c r="I542" s="260">
        <f>№2!I619+№5!I619+'№ 6'!I619+№14!I619+'№ 20'!I619+'№ 23'!I619+№27!I619+'№ 31'!I619+'№ 34'!I619+'№ 41'!I619</f>
        <v>5</v>
      </c>
      <c r="J542" s="260">
        <f>№2!J619+№5!J619+'№ 6'!J619+№14!J619+'№ 20'!J619+'№ 23'!J619+№27!J619+'№ 31'!J619+'№ 34'!J619+'№ 41'!J619</f>
        <v>5</v>
      </c>
      <c r="K542" s="260">
        <f>№2!K619+№5!K619+'№ 6'!K619+№14!K619+'№ 20'!K619+'№ 23'!K619+№27!K619+'№ 31'!K619+'№ 34'!K619+'№ 41'!K619</f>
        <v>5</v>
      </c>
      <c r="L542" s="262">
        <f>SUM(F542:K542)</f>
        <v>22</v>
      </c>
      <c r="M542" s="262">
        <f>L542/6</f>
        <v>3.6669999999999998</v>
      </c>
      <c r="N542" s="216">
        <f>№2!N619+№5!N619+'№ 6'!N619+№14!N619+'№ 20'!N619+'№ 23'!N619+№27!N619+'№ 31'!N619+'№ 34'!N619+'№ 41'!N619</f>
        <v>3</v>
      </c>
      <c r="O542" s="216">
        <f>№2!O619+№5!O619+'№ 6'!O619+№14!O619+'№ 20'!O619+'№ 23'!O619+№27!O619+'№ 31'!O619+'№ 34'!O619+'№ 41'!O619</f>
        <v>6</v>
      </c>
      <c r="P542" s="216">
        <f>№2!P619+№5!P619+'№ 6'!P619+№14!P619+'№ 20'!P619+'№ 23'!P619+№27!P619+'№ 31'!P619+'№ 34'!P619+'№ 41'!P619</f>
        <v>5</v>
      </c>
      <c r="Q542" s="216">
        <f>№2!Q619+№5!Q619+'№ 6'!Q619+№14!Q619+'№ 20'!Q619+'№ 23'!Q619+№27!Q619+'№ 31'!Q619+'№ 34'!Q619+'№ 41'!Q619</f>
        <v>5</v>
      </c>
      <c r="R542" s="216">
        <f>№2!R619+№5!R619+'№ 6'!R619+№14!R619+'№ 20'!R619+'№ 23'!R619+№27!R619+'№ 31'!R619+'№ 34'!R619+'№ 41'!R619</f>
        <v>5</v>
      </c>
      <c r="S542" s="216">
        <f>№2!S619+№5!S619+'№ 6'!S619+№14!S619+'№ 20'!S619+'№ 23'!S619+№27!S619+'№ 31'!S619+'№ 34'!S619+'№ 41'!S619</f>
        <v>11</v>
      </c>
      <c r="T542" s="262">
        <f>SUM(N542:S542)</f>
        <v>35</v>
      </c>
      <c r="U542" s="262">
        <f>T542+L542</f>
        <v>57</v>
      </c>
      <c r="V542" s="179">
        <f>№2!V619+№5!V619+'№ 6'!V619+№14!V619+'№ 20'!V619+'№ 23'!V619+№27!V619+'№ 31'!V619+'№ 34'!V619+'№ 41'!V619</f>
        <v>60</v>
      </c>
      <c r="W542" s="184">
        <f>V542-U542</f>
        <v>3</v>
      </c>
      <c r="X542" s="185">
        <f>U537-U542</f>
        <v>0</v>
      </c>
    </row>
    <row r="543" spans="1:28" s="190" customFormat="1" ht="18" customHeight="1">
      <c r="A543" s="614"/>
      <c r="B543" s="576"/>
      <c r="C543" s="577"/>
      <c r="D543" s="187" t="s">
        <v>27</v>
      </c>
      <c r="E543" s="188" t="e">
        <f>E544*1000/E542</f>
        <v>#DIV/0!</v>
      </c>
      <c r="F543" s="188" t="e">
        <f t="shared" ref="F543:U543" si="530">F544/F542*1000</f>
        <v>#DIV/0!</v>
      </c>
      <c r="G543" s="188">
        <f t="shared" si="530"/>
        <v>2</v>
      </c>
      <c r="H543" s="188">
        <f t="shared" si="530"/>
        <v>2.6669999999999998</v>
      </c>
      <c r="I543" s="188">
        <f t="shared" si="530"/>
        <v>2</v>
      </c>
      <c r="J543" s="188">
        <f t="shared" si="530"/>
        <v>2</v>
      </c>
      <c r="K543" s="188">
        <f t="shared" si="530"/>
        <v>2</v>
      </c>
      <c r="L543" s="217">
        <f t="shared" si="530"/>
        <v>2.1800000000000002</v>
      </c>
      <c r="M543" s="217">
        <f t="shared" si="530"/>
        <v>2.1800000000000002</v>
      </c>
      <c r="N543" s="218">
        <f t="shared" si="530"/>
        <v>2</v>
      </c>
      <c r="O543" s="218">
        <f t="shared" si="530"/>
        <v>1.667</v>
      </c>
      <c r="P543" s="188">
        <f t="shared" si="530"/>
        <v>2</v>
      </c>
      <c r="Q543" s="188">
        <f t="shared" si="530"/>
        <v>2</v>
      </c>
      <c r="R543" s="188">
        <f t="shared" si="530"/>
        <v>2</v>
      </c>
      <c r="S543" s="188">
        <f t="shared" si="530"/>
        <v>2.3639999999999999</v>
      </c>
      <c r="T543" s="217">
        <f t="shared" si="530"/>
        <v>2.06</v>
      </c>
      <c r="U543" s="217">
        <f t="shared" si="530"/>
        <v>2.11</v>
      </c>
      <c r="V543" s="218">
        <f>V544*1000/V542</f>
        <v>2.117</v>
      </c>
      <c r="W543" s="189">
        <f>W544/W542*1000</f>
        <v>2.3330000000000002</v>
      </c>
      <c r="X543" s="225"/>
    </row>
    <row r="544" spans="1:28" s="239" customFormat="1" ht="18" customHeight="1">
      <c r="A544" s="614"/>
      <c r="B544" s="576"/>
      <c r="C544" s="577"/>
      <c r="D544" s="198" t="s">
        <v>25</v>
      </c>
      <c r="E544" s="199">
        <f>№2!E621+№5!E621+'№ 6'!E621+№14!E621+'№ 20'!E621+'№ 23'!E621+№27!E621+'№ 31'!E621+'№ 34'!E621+'№ 41'!E621</f>
        <v>0</v>
      </c>
      <c r="F544" s="199">
        <f>№2!F621+№5!F621+'№ 6'!F621+№14!F621+'№ 20'!F621+'№ 23'!F621+№27!F621+'№ 31'!F621+'№ 34'!F621+'№ 41'!F621</f>
        <v>0</v>
      </c>
      <c r="G544" s="199">
        <f>№2!G621+№5!G621+'№ 6'!G621+№14!G621+'№ 20'!G621+'№ 23'!G621+№27!G621+'№ 31'!G621+'№ 34'!G621+'№ 41'!G621</f>
        <v>2E-3</v>
      </c>
      <c r="H544" s="199">
        <f>№2!H621+№5!H621+'№ 6'!H621+№14!H621+'№ 20'!H621+'№ 23'!H621+№27!H621+'№ 31'!H621+'№ 34'!H621+'№ 41'!H621</f>
        <v>1.6E-2</v>
      </c>
      <c r="I544" s="199">
        <f>№2!I621+№5!I621+'№ 6'!I621+№14!I621+'№ 20'!I621+'№ 23'!I621+№27!I621+'№ 31'!I621+'№ 34'!I621+'№ 41'!I621</f>
        <v>0.01</v>
      </c>
      <c r="J544" s="199">
        <f>№2!J621+№5!J621+'№ 6'!J621+№14!J621+'№ 20'!J621+'№ 23'!J621+№27!J621+'№ 31'!J621+'№ 34'!J621+'№ 41'!J621</f>
        <v>0.01</v>
      </c>
      <c r="K544" s="199">
        <f>№2!K621+№5!K621+'№ 6'!K621+№14!K621+'№ 20'!K621+'№ 23'!K621+№27!K621+'№ 31'!K621+'№ 34'!K621+'№ 41'!K621</f>
        <v>0.01</v>
      </c>
      <c r="L544" s="199">
        <f>SUM(F544:K544)</f>
        <v>4.8000000000000001E-2</v>
      </c>
      <c r="M544" s="199">
        <f>L544/6</f>
        <v>8.0000000000000002E-3</v>
      </c>
      <c r="N544" s="199">
        <f>№2!N621+№5!N621+'№ 6'!N621+№14!N621+'№ 20'!N621+'№ 23'!N621+№27!N621+'№ 31'!N621+'№ 34'!N621+'№ 41'!N621</f>
        <v>6.0000000000000001E-3</v>
      </c>
      <c r="O544" s="199">
        <f>№2!O621+№5!O621+'№ 6'!O621+№14!O621+'№ 20'!O621+'№ 23'!O621+№27!O621+'№ 31'!O621+'№ 34'!O621+'№ 41'!O621</f>
        <v>0.01</v>
      </c>
      <c r="P544" s="199">
        <f>№2!P621+№5!P621+'№ 6'!P621+№14!P621+'№ 20'!P621+'№ 23'!P621+№27!P621+'№ 31'!P621+'№ 34'!P621+'№ 41'!P621</f>
        <v>0.01</v>
      </c>
      <c r="Q544" s="199">
        <f>№2!Q621+№5!Q621+'№ 6'!Q621+№14!Q621+'№ 20'!Q621+'№ 23'!Q621+№27!Q621+'№ 31'!Q621+'№ 34'!Q621+'№ 41'!Q621</f>
        <v>0.01</v>
      </c>
      <c r="R544" s="199">
        <f>№2!R621+№5!R621+'№ 6'!R621+№14!R621+'№ 20'!R621+'№ 23'!R621+№27!R621+'№ 31'!R621+'№ 34'!R621+'№ 41'!R621</f>
        <v>0.01</v>
      </c>
      <c r="S544" s="199">
        <f>№2!S621+№5!S621+'№ 6'!S621+№14!S621+'№ 20'!S621+'№ 23'!S621+№27!S621+'№ 31'!S621+'№ 34'!S621+'№ 41'!S621</f>
        <v>2.5999999999999999E-2</v>
      </c>
      <c r="T544" s="199">
        <f>SUM(N544:S544)</f>
        <v>7.1999999999999995E-2</v>
      </c>
      <c r="U544" s="199">
        <f>T544+L544</f>
        <v>0.12</v>
      </c>
      <c r="V544" s="199">
        <f>№2!V621+№5!V621+'№ 6'!V621+№14!V621+'№ 20'!V621+'№ 23'!V621+№27!V621+'№ 31'!V621+'№ 34'!V621+'№ 41'!V621</f>
        <v>0.127</v>
      </c>
      <c r="W544" s="221">
        <f>V544-U544</f>
        <v>7.0000000000000001E-3</v>
      </c>
      <c r="X544" s="176">
        <f>U539-U544</f>
        <v>0</v>
      </c>
    </row>
    <row r="545" spans="1:28" s="239" customFormat="1" ht="18" customHeight="1">
      <c r="A545" s="614"/>
      <c r="B545" s="576"/>
      <c r="C545" s="577"/>
      <c r="D545" s="201" t="s">
        <v>55</v>
      </c>
      <c r="E545" s="220"/>
      <c r="F545" s="199">
        <f>№2!F622+№5!F622+'№ 6'!F622+№14!F622+'№ 20'!F622+'№ 23'!F622+№27!F622+'№ 31'!F622+'№ 34'!F622+'№ 41'!F622</f>
        <v>0</v>
      </c>
      <c r="G545" s="199">
        <f>№2!G622+№5!G622+'№ 6'!G622+№14!G622+'№ 20'!G622+'№ 23'!G622+№27!G622+'№ 31'!G622+'№ 34'!G622+'№ 41'!G622</f>
        <v>0</v>
      </c>
      <c r="H545" s="199">
        <f>№2!H622+№5!H622+'№ 6'!H622+№14!H622+'№ 20'!H622+'№ 23'!H622+№27!H622+'№ 31'!H622+'№ 34'!H622+'№ 41'!H622</f>
        <v>0</v>
      </c>
      <c r="I545" s="199">
        <f>№2!I622+№5!I622+'№ 6'!I622+№14!I622+'№ 20'!I622+'№ 23'!I622+№27!I622+'№ 31'!I622+'№ 34'!I622+'№ 41'!I622</f>
        <v>0</v>
      </c>
      <c r="J545" s="199">
        <f>№2!J622+№5!J622+'№ 6'!J622+№14!J622+'№ 20'!J622+'№ 23'!J622+№27!J622+'№ 31'!J622+'№ 34'!J622+'№ 41'!J622</f>
        <v>0</v>
      </c>
      <c r="K545" s="199">
        <f>№2!K622+№5!K622+'№ 6'!K622+№14!K622+'№ 20'!K622+'№ 23'!K622+№27!K622+'№ 31'!K622+'№ 34'!K622+'№ 41'!K622</f>
        <v>0</v>
      </c>
      <c r="L545" s="199">
        <f>SUM(F545:K545)</f>
        <v>0</v>
      </c>
      <c r="M545" s="199">
        <f>L545/6</f>
        <v>0</v>
      </c>
      <c r="N545" s="199">
        <f>№2!N622+№5!N622+'№ 6'!N622+№14!N622+'№ 20'!N622+'№ 23'!N622+№27!N622+'№ 31'!N622+'№ 34'!N622+'№ 41'!N622</f>
        <v>0</v>
      </c>
      <c r="O545" s="199">
        <f>№2!O622+№5!O622+'№ 6'!O622+№14!O622+'№ 20'!O622+'№ 23'!O622+№27!O622+'№ 31'!O622+'№ 34'!O622+'№ 41'!O622</f>
        <v>0</v>
      </c>
      <c r="P545" s="199">
        <f>№2!P622+№5!P622+'№ 6'!P622+№14!P622+'№ 20'!P622+'№ 23'!P622+№27!P622+'№ 31'!P622+'№ 34'!P622+'№ 41'!P622</f>
        <v>0</v>
      </c>
      <c r="Q545" s="199">
        <f>№2!Q622+№5!Q622+'№ 6'!Q622+№14!Q622+'№ 20'!Q622+'№ 23'!Q622+№27!Q622+'№ 31'!Q622+'№ 34'!Q622+'№ 41'!Q622</f>
        <v>0</v>
      </c>
      <c r="R545" s="199">
        <f>№2!R622+№5!R622+'№ 6'!R622+№14!R622+'№ 20'!R622+'№ 23'!R622+№27!R622+'№ 31'!R622+'№ 34'!R622+'№ 41'!R622</f>
        <v>0</v>
      </c>
      <c r="S545" s="199">
        <f>№2!S622+№5!S622+'№ 6'!S622+№14!S622+'№ 20'!S622+'№ 23'!S622+№27!S622+'№ 31'!S622+'№ 34'!S622+'№ 41'!S622</f>
        <v>0</v>
      </c>
      <c r="T545" s="199">
        <f>SUM(N545:S545)</f>
        <v>0</v>
      </c>
      <c r="U545" s="199">
        <f>T545+L545</f>
        <v>0</v>
      </c>
      <c r="V545" s="199">
        <f>№2!V622+№5!V622+'№ 6'!V622+№14!V622+'№ 20'!V622+'№ 23'!V622+№27!V622+'№ 31'!V622+'№ 34'!V622+'№ 41'!V622</f>
        <v>0</v>
      </c>
      <c r="W545" s="221">
        <f>V545-U545</f>
        <v>0</v>
      </c>
      <c r="X545" s="176">
        <f>U540-U545</f>
        <v>0</v>
      </c>
    </row>
    <row r="546" spans="1:28" s="239" customFormat="1" ht="18" customHeight="1">
      <c r="A546" s="614"/>
      <c r="B546" s="576"/>
      <c r="C546" s="577"/>
      <c r="D546" s="201" t="s">
        <v>24</v>
      </c>
      <c r="E546" s="220"/>
      <c r="F546" s="199">
        <f>№2!F623+№5!F623+'№ 6'!F623+№14!F623+'№ 20'!F623+'№ 23'!F623+№27!F623+'№ 31'!F623+'№ 34'!F623+'№ 41'!F623</f>
        <v>0</v>
      </c>
      <c r="G546" s="199">
        <f>№2!G623+№5!G623+'№ 6'!G623+№14!G623+'№ 20'!G623+'№ 23'!G623+№27!G623+'№ 31'!G623+'№ 34'!G623+'№ 41'!G623</f>
        <v>2E-3</v>
      </c>
      <c r="H546" s="199">
        <f>№2!H623+№5!H623+'№ 6'!H623+№14!H623+'№ 20'!H623+'№ 23'!H623+№27!H623+'№ 31'!H623+'№ 34'!H623+'№ 41'!H623</f>
        <v>1.6E-2</v>
      </c>
      <c r="I546" s="199">
        <f>№2!I623+№5!I623+'№ 6'!I623+№14!I623+'№ 20'!I623+'№ 23'!I623+№27!I623+'№ 31'!I623+'№ 34'!I623+'№ 41'!I623</f>
        <v>0.01</v>
      </c>
      <c r="J546" s="199">
        <f>№2!J623+№5!J623+'№ 6'!J623+№14!J623+'№ 20'!J623+'№ 23'!J623+№27!J623+'№ 31'!J623+'№ 34'!J623+'№ 41'!J623</f>
        <v>0.01</v>
      </c>
      <c r="K546" s="199">
        <f>№2!K623+№5!K623+'№ 6'!K623+№14!K623+'№ 20'!K623+'№ 23'!K623+№27!K623+'№ 31'!K623+'№ 34'!K623+'№ 41'!K623</f>
        <v>0.01</v>
      </c>
      <c r="L546" s="199">
        <f>SUM(F546:K546)</f>
        <v>4.8000000000000001E-2</v>
      </c>
      <c r="M546" s="199">
        <f>L546/6</f>
        <v>8.0000000000000002E-3</v>
      </c>
      <c r="N546" s="199">
        <f>№2!N623+№5!N623+'№ 6'!N623+№14!N623+'№ 20'!N623+'№ 23'!N623+№27!N623+'№ 31'!N623+'№ 34'!N623+'№ 41'!N623</f>
        <v>6.0000000000000001E-3</v>
      </c>
      <c r="O546" s="199">
        <f>№2!O623+№5!O623+'№ 6'!O623+№14!O623+'№ 20'!O623+'№ 23'!O623+№27!O623+'№ 31'!O623+'№ 34'!O623+'№ 41'!O623</f>
        <v>0.01</v>
      </c>
      <c r="P546" s="199">
        <f>№2!P623+№5!P623+'№ 6'!P623+№14!P623+'№ 20'!P623+'№ 23'!P623+№27!P623+'№ 31'!P623+'№ 34'!P623+'№ 41'!P623</f>
        <v>0.01</v>
      </c>
      <c r="Q546" s="199">
        <f>№2!Q623+№5!Q623+'№ 6'!Q623+№14!Q623+'№ 20'!Q623+'№ 23'!Q623+№27!Q623+'№ 31'!Q623+'№ 34'!Q623+'№ 41'!Q623</f>
        <v>0.01</v>
      </c>
      <c r="R546" s="199">
        <f>№2!R623+№5!R623+'№ 6'!R623+№14!R623+'№ 20'!R623+'№ 23'!R623+№27!R623+'№ 31'!R623+'№ 34'!R623+'№ 41'!R623</f>
        <v>0.01</v>
      </c>
      <c r="S546" s="199">
        <f>№2!S623+№5!S623+'№ 6'!S623+№14!S623+'№ 20'!S623+'№ 23'!S623+№27!S623+'№ 31'!S623+'№ 34'!S623+'№ 41'!S623</f>
        <v>2.5999999999999999E-2</v>
      </c>
      <c r="T546" s="199">
        <f>SUM(N546:S546)</f>
        <v>7.1999999999999995E-2</v>
      </c>
      <c r="U546" s="199">
        <f>T546+L546</f>
        <v>0.12</v>
      </c>
      <c r="V546" s="199">
        <f>№2!V623+№5!V623+'№ 6'!V623+№14!V623+'№ 20'!V623+'№ 23'!V623+№27!V623+'№ 31'!V623+'№ 34'!V623+'№ 41'!V623</f>
        <v>0.127</v>
      </c>
      <c r="W546" s="221">
        <f>V546-U546</f>
        <v>7.0000000000000001E-3</v>
      </c>
      <c r="X546" s="176">
        <f>U541-U546</f>
        <v>7.0000000000000001E-3</v>
      </c>
    </row>
    <row r="547" spans="1:28" s="205" customFormat="1" ht="18" customHeight="1">
      <c r="A547" s="614"/>
      <c r="B547" s="576"/>
      <c r="C547" s="577"/>
      <c r="D547" s="202" t="s">
        <v>29</v>
      </c>
      <c r="E547" s="203"/>
      <c r="F547" s="203">
        <f t="shared" ref="F547:K547" si="531">F541+F540</f>
        <v>5.0000000000000001E-3</v>
      </c>
      <c r="G547" s="203">
        <f t="shared" si="531"/>
        <v>0.01</v>
      </c>
      <c r="H547" s="203">
        <f t="shared" si="531"/>
        <v>1.2E-2</v>
      </c>
      <c r="I547" s="203">
        <f t="shared" si="531"/>
        <v>0.01</v>
      </c>
      <c r="J547" s="203">
        <f t="shared" si="531"/>
        <v>0.01</v>
      </c>
      <c r="K547" s="203">
        <f t="shared" si="531"/>
        <v>0.01</v>
      </c>
      <c r="L547" s="203">
        <f>SUM(F547:K547)</f>
        <v>5.7000000000000002E-2</v>
      </c>
      <c r="M547" s="203">
        <f>L547/6</f>
        <v>0.01</v>
      </c>
      <c r="N547" s="203">
        <f t="shared" ref="N547:S547" si="532">N541+N540</f>
        <v>0.01</v>
      </c>
      <c r="O547" s="203">
        <f t="shared" si="532"/>
        <v>0.01</v>
      </c>
      <c r="P547" s="203">
        <f t="shared" si="532"/>
        <v>0.01</v>
      </c>
      <c r="Q547" s="203">
        <f t="shared" si="532"/>
        <v>0.01</v>
      </c>
      <c r="R547" s="203">
        <f t="shared" si="532"/>
        <v>0.01</v>
      </c>
      <c r="S547" s="203">
        <f t="shared" si="532"/>
        <v>0.02</v>
      </c>
      <c r="T547" s="203">
        <f>SUM(N547:S547)</f>
        <v>7.0000000000000007E-2</v>
      </c>
      <c r="U547" s="203">
        <f>T547+L547</f>
        <v>0.127</v>
      </c>
      <c r="V547" s="203">
        <f>V544</f>
        <v>0.127</v>
      </c>
      <c r="W547" s="203">
        <f>V547-U547</f>
        <v>0</v>
      </c>
    </row>
    <row r="548" spans="1:28" s="205" customFormat="1" ht="18" customHeight="1">
      <c r="A548" s="614"/>
      <c r="B548" s="576"/>
      <c r="C548" s="577"/>
      <c r="D548" s="202" t="s">
        <v>30</v>
      </c>
      <c r="E548" s="203"/>
      <c r="F548" s="203">
        <f t="shared" ref="F548:K548" si="533">F544-F547</f>
        <v>-5.0000000000000001E-3</v>
      </c>
      <c r="G548" s="203">
        <f t="shared" si="533"/>
        <v>-8.0000000000000002E-3</v>
      </c>
      <c r="H548" s="203">
        <f t="shared" si="533"/>
        <v>4.0000000000000001E-3</v>
      </c>
      <c r="I548" s="203">
        <f t="shared" si="533"/>
        <v>0</v>
      </c>
      <c r="J548" s="203">
        <f t="shared" si="533"/>
        <v>0</v>
      </c>
      <c r="K548" s="203">
        <f t="shared" si="533"/>
        <v>0</v>
      </c>
      <c r="L548" s="203"/>
      <c r="M548" s="203"/>
      <c r="N548" s="203">
        <f t="shared" ref="N548:S548" si="534">N544-N547</f>
        <v>-4.0000000000000001E-3</v>
      </c>
      <c r="O548" s="203">
        <f t="shared" si="534"/>
        <v>0</v>
      </c>
      <c r="P548" s="203">
        <f t="shared" si="534"/>
        <v>0</v>
      </c>
      <c r="Q548" s="203">
        <f t="shared" si="534"/>
        <v>0</v>
      </c>
      <c r="R548" s="203">
        <f t="shared" si="534"/>
        <v>0</v>
      </c>
      <c r="S548" s="203">
        <f t="shared" si="534"/>
        <v>6.0000000000000001E-3</v>
      </c>
      <c r="T548" s="203"/>
      <c r="U548" s="203"/>
      <c r="V548" s="203"/>
      <c r="W548" s="203"/>
    </row>
    <row r="549" spans="1:28" s="205" customFormat="1" ht="17.55" customHeight="1">
      <c r="A549" s="614"/>
      <c r="B549" s="578"/>
      <c r="C549" s="579"/>
      <c r="D549" s="202" t="s">
        <v>31</v>
      </c>
      <c r="E549" s="203"/>
      <c r="F549" s="203">
        <f>F548</f>
        <v>-5.0000000000000001E-3</v>
      </c>
      <c r="G549" s="203">
        <f>G548+F549</f>
        <v>-1.2999999999999999E-2</v>
      </c>
      <c r="H549" s="203">
        <f>H548+G549</f>
        <v>-8.9999999999999993E-3</v>
      </c>
      <c r="I549" s="203">
        <f>I548+H549</f>
        <v>-8.9999999999999993E-3</v>
      </c>
      <c r="J549" s="203">
        <f>J548+I549</f>
        <v>-8.9999999999999993E-3</v>
      </c>
      <c r="K549" s="203">
        <f>K548+J549</f>
        <v>-8.9999999999999993E-3</v>
      </c>
      <c r="L549" s="203"/>
      <c r="M549" s="203"/>
      <c r="N549" s="203">
        <f>N548+K549</f>
        <v>-1.2999999999999999E-2</v>
      </c>
      <c r="O549" s="203">
        <f>O548+N549</f>
        <v>-1.2999999999999999E-2</v>
      </c>
      <c r="P549" s="203">
        <f>P548+O549</f>
        <v>-1.2999999999999999E-2</v>
      </c>
      <c r="Q549" s="203">
        <f>Q548+P549</f>
        <v>-1.2999999999999999E-2</v>
      </c>
      <c r="R549" s="203">
        <f>R548+Q549</f>
        <v>-1.2999999999999999E-2</v>
      </c>
      <c r="S549" s="203">
        <f>S548+R549</f>
        <v>-7.0000000000000001E-3</v>
      </c>
      <c r="T549" s="203"/>
      <c r="U549" s="203"/>
      <c r="V549" s="203"/>
      <c r="W549" s="203"/>
    </row>
    <row r="550" spans="1:28" s="196" customFormat="1" ht="18" customHeight="1">
      <c r="A550" s="614"/>
      <c r="B550" s="580" t="s">
        <v>66</v>
      </c>
      <c r="C550" s="575"/>
      <c r="D550" s="178" t="s">
        <v>105</v>
      </c>
      <c r="E550" s="179"/>
      <c r="F550" s="264">
        <f t="shared" ref="F550:K552" si="535">F567+F597</f>
        <v>23.1</v>
      </c>
      <c r="G550" s="264">
        <f t="shared" si="535"/>
        <v>22</v>
      </c>
      <c r="H550" s="264">
        <f t="shared" si="535"/>
        <v>23.1</v>
      </c>
      <c r="I550" s="264">
        <f t="shared" si="535"/>
        <v>23.6</v>
      </c>
      <c r="J550" s="264">
        <f t="shared" si="535"/>
        <v>24.2</v>
      </c>
      <c r="K550" s="264">
        <f t="shared" si="535"/>
        <v>23.1</v>
      </c>
      <c r="L550" s="234">
        <f>SUM(F550:K550)</f>
        <v>139.1</v>
      </c>
      <c r="M550" s="234">
        <f>L550/6</f>
        <v>23.183</v>
      </c>
      <c r="N550" s="264">
        <f t="shared" ref="N550:S552" si="536">N567+N597</f>
        <v>20.100000000000001</v>
      </c>
      <c r="O550" s="264">
        <f t="shared" si="536"/>
        <v>24.5</v>
      </c>
      <c r="P550" s="264">
        <f t="shared" si="536"/>
        <v>23.4</v>
      </c>
      <c r="Q550" s="264">
        <f t="shared" si="536"/>
        <v>24.6</v>
      </c>
      <c r="R550" s="264">
        <f t="shared" si="536"/>
        <v>17.600000000000001</v>
      </c>
      <c r="S550" s="264">
        <f t="shared" si="536"/>
        <v>19.600000000000001</v>
      </c>
      <c r="T550" s="234">
        <f>SUM(N550:S550)</f>
        <v>129.80000000000001</v>
      </c>
      <c r="U550" s="234">
        <f>T550+L550</f>
        <v>268.89999999999998</v>
      </c>
      <c r="V550" s="260">
        <f t="shared" ref="V550" si="537">V567+V597</f>
        <v>61.6</v>
      </c>
      <c r="W550" s="412"/>
      <c r="X550" s="185"/>
      <c r="Y550" s="186"/>
      <c r="Z550" s="186"/>
      <c r="AA550" s="186"/>
      <c r="AB550" s="186"/>
    </row>
    <row r="551" spans="1:28" s="186" customFormat="1" ht="18" customHeight="1">
      <c r="A551" s="614"/>
      <c r="B551" s="576"/>
      <c r="C551" s="577"/>
      <c r="D551" s="178" t="s">
        <v>109</v>
      </c>
      <c r="E551" s="179"/>
      <c r="F551" s="264">
        <f t="shared" si="535"/>
        <v>26.4</v>
      </c>
      <c r="G551" s="264">
        <f t="shared" si="535"/>
        <v>22</v>
      </c>
      <c r="H551" s="264">
        <f t="shared" si="535"/>
        <v>24.2</v>
      </c>
      <c r="I551" s="264">
        <f t="shared" si="535"/>
        <v>24.2</v>
      </c>
      <c r="J551" s="264">
        <f t="shared" si="535"/>
        <v>24.2</v>
      </c>
      <c r="K551" s="264">
        <f t="shared" si="535"/>
        <v>23.1</v>
      </c>
      <c r="L551" s="234">
        <f>SUM(F551:K551)</f>
        <v>144.1</v>
      </c>
      <c r="M551" s="234">
        <f>L551/6</f>
        <v>24.016999999999999</v>
      </c>
      <c r="N551" s="264">
        <f t="shared" si="536"/>
        <v>23.4</v>
      </c>
      <c r="O551" s="264">
        <f t="shared" si="536"/>
        <v>24.5</v>
      </c>
      <c r="P551" s="264">
        <f t="shared" si="536"/>
        <v>24.5</v>
      </c>
      <c r="Q551" s="264">
        <f t="shared" si="536"/>
        <v>24.6</v>
      </c>
      <c r="R551" s="264">
        <f t="shared" si="536"/>
        <v>39.4</v>
      </c>
      <c r="S551" s="264">
        <f t="shared" si="536"/>
        <v>28.2</v>
      </c>
      <c r="T551" s="234">
        <f>SUM(N551:S551)</f>
        <v>164.6</v>
      </c>
      <c r="U551" s="234">
        <f>T551+L551</f>
        <v>308.7</v>
      </c>
      <c r="V551" s="260">
        <f t="shared" ref="V551" si="538">V568+V598</f>
        <v>103</v>
      </c>
      <c r="W551" s="412"/>
      <c r="X551" s="185"/>
    </row>
    <row r="552" spans="1:28" s="186" customFormat="1" ht="18" customHeight="1">
      <c r="A552" s="614"/>
      <c r="B552" s="576"/>
      <c r="C552" s="577"/>
      <c r="D552" s="178" t="s">
        <v>116</v>
      </c>
      <c r="E552" s="179"/>
      <c r="F552" s="264">
        <f t="shared" si="535"/>
        <v>33.369999999999997</v>
      </c>
      <c r="G552" s="264">
        <f t="shared" si="535"/>
        <v>29.882000000000001</v>
      </c>
      <c r="H552" s="264">
        <f t="shared" si="535"/>
        <v>35.021999999999998</v>
      </c>
      <c r="I552" s="264">
        <f t="shared" si="535"/>
        <v>29.158000000000001</v>
      </c>
      <c r="J552" s="264">
        <f t="shared" si="535"/>
        <v>30.257999999999999</v>
      </c>
      <c r="K552" s="264">
        <f t="shared" si="535"/>
        <v>26.957999999999998</v>
      </c>
      <c r="L552" s="234">
        <f>SUM(F552:K552)</f>
        <v>184.648</v>
      </c>
      <c r="M552" s="234">
        <f>L552/6</f>
        <v>30.774999999999999</v>
      </c>
      <c r="N552" s="264">
        <f t="shared" si="536"/>
        <v>25.858000000000001</v>
      </c>
      <c r="O552" s="264">
        <f t="shared" si="536"/>
        <v>4.4000000000000004</v>
      </c>
      <c r="P552" s="264">
        <f t="shared" si="536"/>
        <v>28.058</v>
      </c>
      <c r="Q552" s="264">
        <f t="shared" si="536"/>
        <v>28.058</v>
      </c>
      <c r="R552" s="264">
        <f t="shared" si="536"/>
        <v>47.658000000000001</v>
      </c>
      <c r="S552" s="264">
        <f t="shared" si="536"/>
        <v>40.661999999999999</v>
      </c>
      <c r="T552" s="234">
        <f>SUM(N552:S552)</f>
        <v>174.69399999999999</v>
      </c>
      <c r="U552" s="234">
        <f>T552+L552</f>
        <v>359.34199999999998</v>
      </c>
      <c r="V552" s="260">
        <f t="shared" ref="V552" si="539">V569+V599</f>
        <v>366.7</v>
      </c>
      <c r="W552" s="412">
        <f>V552-U552</f>
        <v>7.3579999999999997</v>
      </c>
      <c r="X552" s="185"/>
    </row>
    <row r="553" spans="1:28" s="190" customFormat="1" ht="18" customHeight="1">
      <c r="A553" s="614"/>
      <c r="B553" s="576"/>
      <c r="C553" s="577"/>
      <c r="D553" s="187" t="s">
        <v>27</v>
      </c>
      <c r="E553" s="188"/>
      <c r="F553" s="188">
        <f t="shared" ref="F553:U553" si="540">F554/F552*1000</f>
        <v>147.648</v>
      </c>
      <c r="G553" s="188">
        <f t="shared" si="540"/>
        <v>146.309</v>
      </c>
      <c r="H553" s="188">
        <f t="shared" si="540"/>
        <v>148.50700000000001</v>
      </c>
      <c r="I553" s="188">
        <f t="shared" si="540"/>
        <v>163.934</v>
      </c>
      <c r="J553" s="188">
        <f t="shared" si="540"/>
        <v>167.42699999999999</v>
      </c>
      <c r="K553" s="188">
        <f t="shared" si="540"/>
        <v>171.934</v>
      </c>
      <c r="L553" s="188">
        <f t="shared" si="540"/>
        <v>156.953</v>
      </c>
      <c r="M553" s="188">
        <f t="shared" si="540"/>
        <v>156.946</v>
      </c>
      <c r="N553" s="188">
        <f t="shared" si="540"/>
        <v>173.679</v>
      </c>
      <c r="O553" s="188">
        <f t="shared" si="540"/>
        <v>131.136</v>
      </c>
      <c r="P553" s="188">
        <f t="shared" si="540"/>
        <v>152.648</v>
      </c>
      <c r="Q553" s="188">
        <f t="shared" si="540"/>
        <v>152.648</v>
      </c>
      <c r="R553" s="188">
        <f t="shared" si="540"/>
        <v>152.62899999999999</v>
      </c>
      <c r="S553" s="188">
        <f t="shared" si="540"/>
        <v>152.624</v>
      </c>
      <c r="T553" s="188">
        <f t="shared" si="540"/>
        <v>155.209</v>
      </c>
      <c r="U553" s="188">
        <f t="shared" si="540"/>
        <v>156.10499999999999</v>
      </c>
      <c r="V553" s="188">
        <f t="shared" ref="V553" si="541">V554/V552*1000</f>
        <v>152.63999999999999</v>
      </c>
      <c r="W553" s="188">
        <f>W554/W552*1000</f>
        <v>-16.581</v>
      </c>
      <c r="X553" s="225"/>
    </row>
    <row r="554" spans="1:28" s="244" customFormat="1" ht="18" customHeight="1">
      <c r="A554" s="614"/>
      <c r="B554" s="576"/>
      <c r="C554" s="577"/>
      <c r="D554" s="191" t="s">
        <v>0</v>
      </c>
      <c r="E554" s="192"/>
      <c r="F554" s="192">
        <f t="shared" ref="F554:K554" si="542">F571+F601</f>
        <v>4.9269999999999996</v>
      </c>
      <c r="G554" s="192">
        <f t="shared" si="542"/>
        <v>4.3719999999999999</v>
      </c>
      <c r="H554" s="192">
        <f t="shared" si="542"/>
        <v>5.2009999999999996</v>
      </c>
      <c r="I554" s="192">
        <f t="shared" si="542"/>
        <v>4.78</v>
      </c>
      <c r="J554" s="192">
        <f t="shared" si="542"/>
        <v>5.0659999999999998</v>
      </c>
      <c r="K554" s="192">
        <f t="shared" si="542"/>
        <v>4.6349999999999998</v>
      </c>
      <c r="L554" s="194">
        <f t="shared" ref="L554:L559" si="543">SUM(F554:K554)</f>
        <v>28.981000000000002</v>
      </c>
      <c r="M554" s="194">
        <f t="shared" ref="M554:M559" si="544">L554/6</f>
        <v>4.83</v>
      </c>
      <c r="N554" s="192">
        <f t="shared" ref="N554:S554" si="545">N571+N601</f>
        <v>4.4909999999999997</v>
      </c>
      <c r="O554" s="192">
        <f t="shared" si="545"/>
        <v>0.57699999999999996</v>
      </c>
      <c r="P554" s="192">
        <f t="shared" si="545"/>
        <v>4.2830000000000004</v>
      </c>
      <c r="Q554" s="192">
        <f t="shared" si="545"/>
        <v>4.2830000000000004</v>
      </c>
      <c r="R554" s="192">
        <f t="shared" si="545"/>
        <v>7.274</v>
      </c>
      <c r="S554" s="192">
        <f t="shared" si="545"/>
        <v>6.2060000000000004</v>
      </c>
      <c r="T554" s="194">
        <f t="shared" ref="T554:T559" si="546">SUM(N554:S554)</f>
        <v>27.114000000000001</v>
      </c>
      <c r="U554" s="194">
        <f t="shared" ref="U554:U559" si="547">T554+L554</f>
        <v>56.094999999999999</v>
      </c>
      <c r="V554" s="194">
        <f t="shared" ref="V554" si="548">V571+V601</f>
        <v>55.972999999999999</v>
      </c>
      <c r="W554" s="192">
        <f>V554-U554</f>
        <v>-0.122</v>
      </c>
    </row>
    <row r="555" spans="1:28" s="244" customFormat="1" ht="18" customHeight="1">
      <c r="A555" s="614"/>
      <c r="B555" s="576"/>
      <c r="C555" s="577"/>
      <c r="D555" s="174" t="s">
        <v>102</v>
      </c>
      <c r="E555" s="192"/>
      <c r="F555" s="192">
        <f t="shared" ref="F555:K555" si="549">F586+F616</f>
        <v>0</v>
      </c>
      <c r="G555" s="192">
        <f t="shared" si="549"/>
        <v>0</v>
      </c>
      <c r="H555" s="192">
        <f t="shared" si="549"/>
        <v>0</v>
      </c>
      <c r="I555" s="192">
        <f t="shared" si="549"/>
        <v>0</v>
      </c>
      <c r="J555" s="192">
        <f t="shared" si="549"/>
        <v>0</v>
      </c>
      <c r="K555" s="192">
        <f t="shared" si="549"/>
        <v>0</v>
      </c>
      <c r="L555" s="194">
        <f t="shared" si="543"/>
        <v>0</v>
      </c>
      <c r="M555" s="194">
        <f t="shared" si="544"/>
        <v>0</v>
      </c>
      <c r="N555" s="192">
        <f t="shared" ref="N555:S555" si="550">N586+N616</f>
        <v>0</v>
      </c>
      <c r="O555" s="192">
        <f t="shared" si="550"/>
        <v>0</v>
      </c>
      <c r="P555" s="192">
        <f t="shared" si="550"/>
        <v>0</v>
      </c>
      <c r="Q555" s="192">
        <f t="shared" si="550"/>
        <v>0</v>
      </c>
      <c r="R555" s="192">
        <f t="shared" si="550"/>
        <v>0</v>
      </c>
      <c r="S555" s="192">
        <f t="shared" si="550"/>
        <v>0</v>
      </c>
      <c r="T555" s="194">
        <f t="shared" si="546"/>
        <v>0</v>
      </c>
      <c r="U555" s="194">
        <f t="shared" si="547"/>
        <v>0</v>
      </c>
      <c r="V555" s="194">
        <f t="shared" ref="V555" si="551">V586+V616</f>
        <v>0</v>
      </c>
      <c r="W555" s="192">
        <f t="shared" ref="W555:W556" si="552">V555-U555</f>
        <v>0</v>
      </c>
    </row>
    <row r="556" spans="1:28" s="244" customFormat="1" ht="18" customHeight="1">
      <c r="A556" s="614"/>
      <c r="B556" s="576"/>
      <c r="C556" s="577"/>
      <c r="D556" s="174" t="s">
        <v>103</v>
      </c>
      <c r="E556" s="192"/>
      <c r="F556" s="192">
        <f t="shared" ref="F556:K556" si="553">F554+F555</f>
        <v>4.9269999999999996</v>
      </c>
      <c r="G556" s="192">
        <f t="shared" si="553"/>
        <v>4.3719999999999999</v>
      </c>
      <c r="H556" s="192">
        <f t="shared" si="553"/>
        <v>5.2009999999999996</v>
      </c>
      <c r="I556" s="192">
        <f t="shared" si="553"/>
        <v>4.78</v>
      </c>
      <c r="J556" s="192">
        <f t="shared" si="553"/>
        <v>5.0659999999999998</v>
      </c>
      <c r="K556" s="192">
        <f t="shared" si="553"/>
        <v>4.6349999999999998</v>
      </c>
      <c r="L556" s="194">
        <f t="shared" si="543"/>
        <v>28.981000000000002</v>
      </c>
      <c r="M556" s="194">
        <f t="shared" si="544"/>
        <v>4.83</v>
      </c>
      <c r="N556" s="192">
        <f t="shared" ref="N556:S556" si="554">N554+N555</f>
        <v>4.4909999999999997</v>
      </c>
      <c r="O556" s="192">
        <f t="shared" si="554"/>
        <v>0.57699999999999996</v>
      </c>
      <c r="P556" s="192">
        <f t="shared" si="554"/>
        <v>4.2830000000000004</v>
      </c>
      <c r="Q556" s="192">
        <f t="shared" si="554"/>
        <v>4.2830000000000004</v>
      </c>
      <c r="R556" s="192">
        <f t="shared" si="554"/>
        <v>7.274</v>
      </c>
      <c r="S556" s="192">
        <f t="shared" si="554"/>
        <v>6.2060000000000004</v>
      </c>
      <c r="T556" s="194">
        <f t="shared" si="546"/>
        <v>27.114000000000001</v>
      </c>
      <c r="U556" s="194">
        <f t="shared" si="547"/>
        <v>56.094999999999999</v>
      </c>
      <c r="V556" s="194">
        <f t="shared" ref="V556" si="555">V554+V555</f>
        <v>55.972999999999999</v>
      </c>
      <c r="W556" s="192">
        <f t="shared" si="552"/>
        <v>-0.122</v>
      </c>
    </row>
    <row r="557" spans="1:28" s="244" customFormat="1" ht="18" customHeight="1">
      <c r="A557" s="614"/>
      <c r="B557" s="576"/>
      <c r="C557" s="577"/>
      <c r="D557" s="174" t="s">
        <v>55</v>
      </c>
      <c r="E557" s="210"/>
      <c r="F557" s="192">
        <f t="shared" ref="F557:K557" si="556">F572+F602</f>
        <v>0</v>
      </c>
      <c r="G557" s="192">
        <f t="shared" si="556"/>
        <v>0</v>
      </c>
      <c r="H557" s="192">
        <f t="shared" si="556"/>
        <v>0</v>
      </c>
      <c r="I557" s="192">
        <f t="shared" si="556"/>
        <v>0</v>
      </c>
      <c r="J557" s="192">
        <f t="shared" si="556"/>
        <v>0</v>
      </c>
      <c r="K557" s="192">
        <f t="shared" si="556"/>
        <v>0</v>
      </c>
      <c r="L557" s="194">
        <f t="shared" si="543"/>
        <v>0</v>
      </c>
      <c r="M557" s="194">
        <f t="shared" si="544"/>
        <v>0</v>
      </c>
      <c r="N557" s="192">
        <f t="shared" ref="N557:S557" si="557">N572+N602</f>
        <v>0</v>
      </c>
      <c r="O557" s="192">
        <f t="shared" si="557"/>
        <v>0</v>
      </c>
      <c r="P557" s="192">
        <f t="shared" si="557"/>
        <v>0</v>
      </c>
      <c r="Q557" s="192">
        <f t="shared" si="557"/>
        <v>0</v>
      </c>
      <c r="R557" s="192">
        <f t="shared" si="557"/>
        <v>0</v>
      </c>
      <c r="S557" s="192">
        <f t="shared" si="557"/>
        <v>0</v>
      </c>
      <c r="T557" s="194">
        <f t="shared" si="546"/>
        <v>0</v>
      </c>
      <c r="U557" s="194">
        <f t="shared" si="547"/>
        <v>0</v>
      </c>
      <c r="V557" s="194">
        <f t="shared" ref="V557" si="558">V572+V602</f>
        <v>0</v>
      </c>
      <c r="W557" s="192">
        <f>V557-U557</f>
        <v>0</v>
      </c>
    </row>
    <row r="558" spans="1:28" s="244" customFormat="1" ht="18" customHeight="1">
      <c r="A558" s="614"/>
      <c r="B558" s="576"/>
      <c r="C558" s="577"/>
      <c r="D558" s="174" t="s">
        <v>28</v>
      </c>
      <c r="E558" s="210"/>
      <c r="F558" s="192">
        <f t="shared" ref="F558:K558" si="559">F573+F588+F603+F618</f>
        <v>1.175</v>
      </c>
      <c r="G558" s="192">
        <f t="shared" si="559"/>
        <v>3.4430000000000001</v>
      </c>
      <c r="H558" s="192">
        <f t="shared" si="559"/>
        <v>4.4320000000000004</v>
      </c>
      <c r="I558" s="192">
        <f t="shared" si="559"/>
        <v>3.008</v>
      </c>
      <c r="J558" s="192">
        <f t="shared" si="559"/>
        <v>4.3079999999999998</v>
      </c>
      <c r="K558" s="192">
        <f t="shared" si="559"/>
        <v>3.7530000000000001</v>
      </c>
      <c r="L558" s="194">
        <f t="shared" si="543"/>
        <v>20.119</v>
      </c>
      <c r="M558" s="194">
        <f t="shared" si="544"/>
        <v>3.3530000000000002</v>
      </c>
      <c r="N558" s="192">
        <f t="shared" ref="N558:S558" si="560">N573+N588+N603+N618</f>
        <v>3.8149999999999999</v>
      </c>
      <c r="O558" s="192">
        <f t="shared" si="560"/>
        <v>0.36599999999999999</v>
      </c>
      <c r="P558" s="192">
        <f t="shared" si="560"/>
        <v>5.883</v>
      </c>
      <c r="Q558" s="192">
        <f t="shared" si="560"/>
        <v>8.7260000000000009</v>
      </c>
      <c r="R558" s="192">
        <f t="shared" si="560"/>
        <v>6.9109999999999996</v>
      </c>
      <c r="S558" s="192">
        <f t="shared" si="560"/>
        <v>10.153</v>
      </c>
      <c r="T558" s="194">
        <f t="shared" si="546"/>
        <v>35.853999999999999</v>
      </c>
      <c r="U558" s="194">
        <f t="shared" si="547"/>
        <v>55.972999999999999</v>
      </c>
      <c r="V558" s="194">
        <f t="shared" ref="V558" si="561">V573+V588+V603+V618</f>
        <v>55.972999999999999</v>
      </c>
      <c r="W558" s="192">
        <f>V558-U558</f>
        <v>0</v>
      </c>
    </row>
    <row r="559" spans="1:28" s="186" customFormat="1" ht="18" customHeight="1">
      <c r="A559" s="614"/>
      <c r="B559" s="576"/>
      <c r="C559" s="577"/>
      <c r="D559" s="178" t="s">
        <v>117</v>
      </c>
      <c r="E559" s="179"/>
      <c r="F559" s="260">
        <f t="shared" ref="F559:K559" si="562">F574+F604</f>
        <v>0</v>
      </c>
      <c r="G559" s="260">
        <f t="shared" si="562"/>
        <v>25.67</v>
      </c>
      <c r="H559" s="260">
        <f t="shared" si="562"/>
        <v>37.587000000000003</v>
      </c>
      <c r="I559" s="260">
        <f t="shared" si="562"/>
        <v>35.021999999999998</v>
      </c>
      <c r="J559" s="260">
        <f t="shared" si="562"/>
        <v>29.158000000000001</v>
      </c>
      <c r="K559" s="260">
        <f t="shared" si="562"/>
        <v>30.257999999999999</v>
      </c>
      <c r="L559" s="234">
        <f t="shared" si="543"/>
        <v>157.69499999999999</v>
      </c>
      <c r="M559" s="234">
        <f t="shared" si="544"/>
        <v>26.283000000000001</v>
      </c>
      <c r="N559" s="260">
        <f t="shared" ref="N559:S559" si="563">N574+N604</f>
        <v>26.957999999999998</v>
      </c>
      <c r="O559" s="260">
        <f t="shared" si="563"/>
        <v>3.3</v>
      </c>
      <c r="P559" s="260">
        <f t="shared" si="563"/>
        <v>32.453000000000003</v>
      </c>
      <c r="Q559" s="260">
        <f t="shared" si="563"/>
        <v>28.058</v>
      </c>
      <c r="R559" s="260">
        <f t="shared" si="563"/>
        <v>47.658000000000001</v>
      </c>
      <c r="S559" s="260">
        <f t="shared" si="563"/>
        <v>63.22</v>
      </c>
      <c r="T559" s="234">
        <f t="shared" si="546"/>
        <v>201.64699999999999</v>
      </c>
      <c r="U559" s="234">
        <f t="shared" si="547"/>
        <v>359.34199999999998</v>
      </c>
      <c r="V559" s="412">
        <f t="shared" ref="V559" si="564">V574+V604</f>
        <v>366.7</v>
      </c>
      <c r="W559" s="412">
        <f>V559-U559</f>
        <v>7.3579999999999997</v>
      </c>
      <c r="X559" s="185">
        <f>U552-U559</f>
        <v>0</v>
      </c>
    </row>
    <row r="560" spans="1:28" s="190" customFormat="1" ht="18" customHeight="1">
      <c r="A560" s="614"/>
      <c r="B560" s="576"/>
      <c r="C560" s="577"/>
      <c r="D560" s="187" t="s">
        <v>27</v>
      </c>
      <c r="E560" s="188" t="e">
        <f t="shared" ref="E560:W560" si="565">E561/E559*1000</f>
        <v>#DIV/0!</v>
      </c>
      <c r="F560" s="188" t="e">
        <f t="shared" si="565"/>
        <v>#DIV/0!</v>
      </c>
      <c r="G560" s="188">
        <f t="shared" si="565"/>
        <v>152.63</v>
      </c>
      <c r="H560" s="188">
        <f t="shared" si="565"/>
        <v>143.161</v>
      </c>
      <c r="I560" s="188">
        <f t="shared" si="565"/>
        <v>148.50700000000001</v>
      </c>
      <c r="J560" s="188">
        <f t="shared" si="565"/>
        <v>163.934</v>
      </c>
      <c r="K560" s="188">
        <f t="shared" si="565"/>
        <v>167.42699999999999</v>
      </c>
      <c r="L560" s="188">
        <f t="shared" si="565"/>
        <v>154.387</v>
      </c>
      <c r="M560" s="188">
        <f t="shared" si="565"/>
        <v>154.39599999999999</v>
      </c>
      <c r="N560" s="188">
        <f t="shared" si="565"/>
        <v>171.934</v>
      </c>
      <c r="O560" s="188">
        <f t="shared" si="565"/>
        <v>131.21199999999999</v>
      </c>
      <c r="P560" s="188">
        <f t="shared" si="565"/>
        <v>168.70599999999999</v>
      </c>
      <c r="Q560" s="188">
        <f t="shared" si="565"/>
        <v>152.648</v>
      </c>
      <c r="R560" s="188">
        <f t="shared" si="565"/>
        <v>152.62899999999999</v>
      </c>
      <c r="S560" s="188">
        <f t="shared" si="565"/>
        <v>152.626</v>
      </c>
      <c r="T560" s="188">
        <f t="shared" si="565"/>
        <v>157.44800000000001</v>
      </c>
      <c r="U560" s="188">
        <f t="shared" si="565"/>
        <v>156.10499999999999</v>
      </c>
      <c r="V560" s="188">
        <f t="shared" si="565"/>
        <v>152.63999999999999</v>
      </c>
      <c r="W560" s="188">
        <f t="shared" si="565"/>
        <v>-16.581</v>
      </c>
      <c r="X560" s="225"/>
    </row>
    <row r="561" spans="1:28" s="239" customFormat="1" ht="18" customHeight="1">
      <c r="A561" s="614"/>
      <c r="B561" s="576"/>
      <c r="C561" s="577"/>
      <c r="D561" s="198" t="s">
        <v>25</v>
      </c>
      <c r="E561" s="220"/>
      <c r="F561" s="199">
        <f t="shared" ref="F561:K563" si="566">F576+F591+F606+F621</f>
        <v>0</v>
      </c>
      <c r="G561" s="199">
        <f t="shared" si="566"/>
        <v>3.9180000000000001</v>
      </c>
      <c r="H561" s="199">
        <f t="shared" si="566"/>
        <v>5.3810000000000002</v>
      </c>
      <c r="I561" s="199">
        <f t="shared" si="566"/>
        <v>5.2009999999999996</v>
      </c>
      <c r="J561" s="199">
        <f t="shared" si="566"/>
        <v>4.78</v>
      </c>
      <c r="K561" s="199">
        <f t="shared" si="566"/>
        <v>5.0659999999999998</v>
      </c>
      <c r="L561" s="199">
        <f>SUM(F561:K561)</f>
        <v>24.346</v>
      </c>
      <c r="M561" s="199">
        <f>L561/6</f>
        <v>4.0579999999999998</v>
      </c>
      <c r="N561" s="199">
        <f t="shared" ref="N561:S563" si="567">N576+N591+N606+N621</f>
        <v>4.6349999999999998</v>
      </c>
      <c r="O561" s="199">
        <f t="shared" si="567"/>
        <v>0.433</v>
      </c>
      <c r="P561" s="199">
        <f t="shared" si="567"/>
        <v>5.4749999999999996</v>
      </c>
      <c r="Q561" s="199">
        <f t="shared" si="567"/>
        <v>4.2830000000000004</v>
      </c>
      <c r="R561" s="199">
        <f t="shared" si="567"/>
        <v>7.274</v>
      </c>
      <c r="S561" s="199">
        <f t="shared" si="567"/>
        <v>9.6489999999999991</v>
      </c>
      <c r="T561" s="199">
        <f>SUM(N561:S561)</f>
        <v>31.748999999999999</v>
      </c>
      <c r="U561" s="199">
        <f>T561+L561</f>
        <v>56.094999999999999</v>
      </c>
      <c r="V561" s="199">
        <f t="shared" ref="V561" si="568">V576+V591+V606+V621</f>
        <v>55.972999999999999</v>
      </c>
      <c r="W561" s="221">
        <f>V561-U561</f>
        <v>-0.122</v>
      </c>
      <c r="X561" s="176">
        <f>U556-U561</f>
        <v>0</v>
      </c>
    </row>
    <row r="562" spans="1:28" s="239" customFormat="1" ht="18" customHeight="1">
      <c r="A562" s="614"/>
      <c r="B562" s="576"/>
      <c r="C562" s="577"/>
      <c r="D562" s="201" t="s">
        <v>55</v>
      </c>
      <c r="E562" s="220"/>
      <c r="F562" s="199">
        <f t="shared" si="566"/>
        <v>0</v>
      </c>
      <c r="G562" s="199">
        <f t="shared" si="566"/>
        <v>0</v>
      </c>
      <c r="H562" s="199">
        <f t="shared" si="566"/>
        <v>0</v>
      </c>
      <c r="I562" s="199">
        <f t="shared" si="566"/>
        <v>0</v>
      </c>
      <c r="J562" s="199">
        <f t="shared" si="566"/>
        <v>0</v>
      </c>
      <c r="K562" s="199">
        <f t="shared" si="566"/>
        <v>0</v>
      </c>
      <c r="L562" s="199">
        <f>SUM(F562:K562)</f>
        <v>0</v>
      </c>
      <c r="M562" s="199">
        <f>L562/6</f>
        <v>0</v>
      </c>
      <c r="N562" s="199">
        <f t="shared" si="567"/>
        <v>0</v>
      </c>
      <c r="O562" s="199">
        <f t="shared" si="567"/>
        <v>0</v>
      </c>
      <c r="P562" s="199">
        <f t="shared" si="567"/>
        <v>0</v>
      </c>
      <c r="Q562" s="199">
        <f t="shared" si="567"/>
        <v>0</v>
      </c>
      <c r="R562" s="199">
        <f t="shared" si="567"/>
        <v>0</v>
      </c>
      <c r="S562" s="199">
        <f t="shared" si="567"/>
        <v>0</v>
      </c>
      <c r="T562" s="199">
        <f>SUM(N562:S562)</f>
        <v>0</v>
      </c>
      <c r="U562" s="199">
        <f>T562+L562</f>
        <v>0</v>
      </c>
      <c r="V562" s="199">
        <f t="shared" ref="V562" si="569">V577+V592+V607+V622</f>
        <v>0</v>
      </c>
      <c r="W562" s="221">
        <f>V562-U562</f>
        <v>0</v>
      </c>
      <c r="X562" s="176">
        <f>U557-U562</f>
        <v>0</v>
      </c>
    </row>
    <row r="563" spans="1:28" s="239" customFormat="1" ht="18" customHeight="1">
      <c r="A563" s="614"/>
      <c r="B563" s="576"/>
      <c r="C563" s="577"/>
      <c r="D563" s="201" t="s">
        <v>24</v>
      </c>
      <c r="E563" s="220"/>
      <c r="F563" s="199">
        <f t="shared" si="566"/>
        <v>0</v>
      </c>
      <c r="G563" s="199">
        <f t="shared" si="566"/>
        <v>3.9180000000000001</v>
      </c>
      <c r="H563" s="199">
        <f t="shared" si="566"/>
        <v>5.3810000000000002</v>
      </c>
      <c r="I563" s="199">
        <f t="shared" si="566"/>
        <v>5.2009999999999996</v>
      </c>
      <c r="J563" s="199">
        <f t="shared" si="566"/>
        <v>4.78</v>
      </c>
      <c r="K563" s="199">
        <f t="shared" si="566"/>
        <v>5.0659999999999998</v>
      </c>
      <c r="L563" s="199">
        <f>SUM(F563:K563)</f>
        <v>24.346</v>
      </c>
      <c r="M563" s="199">
        <f>L563/6</f>
        <v>4.0579999999999998</v>
      </c>
      <c r="N563" s="199">
        <f t="shared" si="567"/>
        <v>4.6349999999999998</v>
      </c>
      <c r="O563" s="199">
        <f t="shared" si="567"/>
        <v>0.433</v>
      </c>
      <c r="P563" s="199">
        <f t="shared" si="567"/>
        <v>5.4749999999999996</v>
      </c>
      <c r="Q563" s="199">
        <f t="shared" si="567"/>
        <v>4.2830000000000004</v>
      </c>
      <c r="R563" s="199">
        <f t="shared" si="567"/>
        <v>7.274</v>
      </c>
      <c r="S563" s="199">
        <f t="shared" si="567"/>
        <v>9.6489999999999991</v>
      </c>
      <c r="T563" s="199">
        <f>SUM(N563:S563)</f>
        <v>31.748999999999999</v>
      </c>
      <c r="U563" s="199">
        <f>T563+L563</f>
        <v>56.094999999999999</v>
      </c>
      <c r="V563" s="199">
        <f t="shared" ref="V563" si="570">V578+V593+V608+V623</f>
        <v>55.972999999999999</v>
      </c>
      <c r="W563" s="221">
        <f>V563-U563</f>
        <v>-0.122</v>
      </c>
      <c r="X563" s="176">
        <f>U558-U563</f>
        <v>-0.122</v>
      </c>
    </row>
    <row r="564" spans="1:28" s="205" customFormat="1" ht="18" customHeight="1">
      <c r="A564" s="614"/>
      <c r="B564" s="576"/>
      <c r="C564" s="577"/>
      <c r="D564" s="202" t="s">
        <v>29</v>
      </c>
      <c r="E564" s="203"/>
      <c r="F564" s="203">
        <f t="shared" ref="F564:K566" si="571">F579+F609</f>
        <v>1.175</v>
      </c>
      <c r="G564" s="203">
        <f t="shared" si="571"/>
        <v>3.4430000000000001</v>
      </c>
      <c r="H564" s="203">
        <f t="shared" si="571"/>
        <v>4.4320000000000004</v>
      </c>
      <c r="I564" s="203">
        <f t="shared" si="571"/>
        <v>3.008</v>
      </c>
      <c r="J564" s="203">
        <f t="shared" si="571"/>
        <v>4.3079999999999998</v>
      </c>
      <c r="K564" s="203">
        <f t="shared" si="571"/>
        <v>3.7530000000000001</v>
      </c>
      <c r="L564" s="203">
        <f>SUM(F564:K564)</f>
        <v>20.119</v>
      </c>
      <c r="M564" s="203">
        <f>L564/6</f>
        <v>3.3530000000000002</v>
      </c>
      <c r="N564" s="203">
        <f t="shared" ref="N564:S566" si="572">N579+N609</f>
        <v>3.8149999999999999</v>
      </c>
      <c r="O564" s="203">
        <f t="shared" si="572"/>
        <v>0.36599999999999999</v>
      </c>
      <c r="P564" s="203">
        <f t="shared" si="572"/>
        <v>5.883</v>
      </c>
      <c r="Q564" s="203">
        <f t="shared" si="572"/>
        <v>8.7260000000000009</v>
      </c>
      <c r="R564" s="203">
        <f t="shared" si="572"/>
        <v>6.9109999999999996</v>
      </c>
      <c r="S564" s="203">
        <f t="shared" si="572"/>
        <v>10.153</v>
      </c>
      <c r="T564" s="203">
        <f>SUM(N564:S564)</f>
        <v>35.853999999999999</v>
      </c>
      <c r="U564" s="203">
        <f>T564+L564</f>
        <v>55.972999999999999</v>
      </c>
      <c r="V564" s="203">
        <f>V579+V609</f>
        <v>55.972999999999999</v>
      </c>
      <c r="W564" s="203">
        <f>V564-U564</f>
        <v>0</v>
      </c>
    </row>
    <row r="565" spans="1:28" s="205" customFormat="1" ht="18" customHeight="1">
      <c r="A565" s="614"/>
      <c r="B565" s="576"/>
      <c r="C565" s="577"/>
      <c r="D565" s="202" t="s">
        <v>30</v>
      </c>
      <c r="E565" s="203"/>
      <c r="F565" s="203">
        <f t="shared" si="571"/>
        <v>-1.175</v>
      </c>
      <c r="G565" s="203">
        <f t="shared" si="571"/>
        <v>0.47499999999999998</v>
      </c>
      <c r="H565" s="203">
        <f t="shared" si="571"/>
        <v>0.94899999999999995</v>
      </c>
      <c r="I565" s="203">
        <f t="shared" si="571"/>
        <v>2.1930000000000001</v>
      </c>
      <c r="J565" s="203">
        <f t="shared" si="571"/>
        <v>0.47199999999999998</v>
      </c>
      <c r="K565" s="203">
        <f t="shared" si="571"/>
        <v>1.3129999999999999</v>
      </c>
      <c r="L565" s="203"/>
      <c r="M565" s="203"/>
      <c r="N565" s="203">
        <f t="shared" si="572"/>
        <v>0.82</v>
      </c>
      <c r="O565" s="203">
        <f t="shared" si="572"/>
        <v>6.7000000000000004E-2</v>
      </c>
      <c r="P565" s="203">
        <f t="shared" si="572"/>
        <v>-0.40799999999999997</v>
      </c>
      <c r="Q565" s="203">
        <f t="shared" si="572"/>
        <v>-4.4429999999999996</v>
      </c>
      <c r="R565" s="203">
        <f t="shared" si="572"/>
        <v>0.36299999999999999</v>
      </c>
      <c r="S565" s="203">
        <f t="shared" si="572"/>
        <v>-0.504</v>
      </c>
      <c r="T565" s="203"/>
      <c r="U565" s="203"/>
      <c r="V565" s="203"/>
      <c r="W565" s="203"/>
    </row>
    <row r="566" spans="1:28" s="205" customFormat="1" ht="18" customHeight="1">
      <c r="A566" s="614"/>
      <c r="B566" s="578"/>
      <c r="C566" s="579"/>
      <c r="D566" s="202" t="s">
        <v>31</v>
      </c>
      <c r="E566" s="203"/>
      <c r="F566" s="203">
        <f t="shared" si="571"/>
        <v>-1.175</v>
      </c>
      <c r="G566" s="203">
        <f t="shared" si="571"/>
        <v>-0.7</v>
      </c>
      <c r="H566" s="203">
        <f t="shared" si="571"/>
        <v>0.249</v>
      </c>
      <c r="I566" s="203">
        <f t="shared" si="571"/>
        <v>2.4420000000000002</v>
      </c>
      <c r="J566" s="203">
        <f t="shared" si="571"/>
        <v>2.9140000000000001</v>
      </c>
      <c r="K566" s="203">
        <f t="shared" si="571"/>
        <v>4.2270000000000003</v>
      </c>
      <c r="L566" s="203"/>
      <c r="M566" s="203"/>
      <c r="N566" s="203">
        <f t="shared" si="572"/>
        <v>5.0469999999999997</v>
      </c>
      <c r="O566" s="203">
        <f t="shared" si="572"/>
        <v>5.1139999999999999</v>
      </c>
      <c r="P566" s="203">
        <f t="shared" si="572"/>
        <v>4.7060000000000004</v>
      </c>
      <c r="Q566" s="203">
        <f t="shared" si="572"/>
        <v>0.26300000000000001</v>
      </c>
      <c r="R566" s="203">
        <f t="shared" si="572"/>
        <v>0.626</v>
      </c>
      <c r="S566" s="203">
        <f t="shared" si="572"/>
        <v>0.122</v>
      </c>
      <c r="T566" s="203"/>
      <c r="U566" s="203"/>
      <c r="V566" s="203"/>
      <c r="W566" s="203"/>
    </row>
    <row r="567" spans="1:28" s="196" customFormat="1" ht="18" customHeight="1">
      <c r="A567" s="614"/>
      <c r="B567" s="580" t="s">
        <v>67</v>
      </c>
      <c r="C567" s="575"/>
      <c r="D567" s="178" t="s">
        <v>105</v>
      </c>
      <c r="E567" s="179"/>
      <c r="F567" s="264">
        <f>№2!F644+№5!F644+'№ 6'!F644+№14!F644+'№ 20'!F644+'№ 23'!F644+№27!F644+'№ 31'!F644+'№ 34'!F644+'№ 41'!F644</f>
        <v>23.1</v>
      </c>
      <c r="G567" s="264">
        <f>№2!G644+№5!G644+'№ 6'!G644+№14!G644+'№ 20'!G644+'№ 23'!G644+№27!G644+'№ 31'!G644+'№ 34'!G644+'№ 41'!G644</f>
        <v>22</v>
      </c>
      <c r="H567" s="264">
        <f>№2!H644+№5!H644+'№ 6'!H644+№14!H644+'№ 20'!H644+'№ 23'!H644+№27!H644+'№ 31'!H644+'№ 34'!H644+'№ 41'!H644</f>
        <v>23.1</v>
      </c>
      <c r="I567" s="264">
        <f>№2!I644+№5!I644+'№ 6'!I644+№14!I644+'№ 20'!I644+'№ 23'!I644+№27!I644+'№ 31'!I644+'№ 34'!I644+'№ 41'!I644</f>
        <v>23.6</v>
      </c>
      <c r="J567" s="264">
        <f>№2!J644+№5!J644+'№ 6'!J644+№14!J644+'№ 20'!J644+'№ 23'!J644+№27!J644+'№ 31'!J644+'№ 34'!J644+'№ 41'!J644</f>
        <v>24.2</v>
      </c>
      <c r="K567" s="264">
        <f>№2!K644+№5!K644+'№ 6'!K644+№14!K644+'№ 20'!K644+'№ 23'!K644+№27!K644+'№ 31'!K644+'№ 34'!K644+'№ 41'!K644</f>
        <v>23.1</v>
      </c>
      <c r="L567" s="234">
        <f>SUM(F567:K567)</f>
        <v>139.1</v>
      </c>
      <c r="M567" s="234">
        <f>L567/6</f>
        <v>23.183</v>
      </c>
      <c r="N567" s="264">
        <f>№2!N644+№5!N644+'№ 6'!N644+№14!N644+'№ 20'!N644+'№ 23'!N644+№27!N644+'№ 31'!N644+'№ 34'!N644+'№ 41'!N644</f>
        <v>20.100000000000001</v>
      </c>
      <c r="O567" s="264">
        <f>№2!O644+№5!O644+'№ 6'!O644+№14!O644+'№ 20'!O644+'№ 23'!O644+№27!O644+'№ 31'!O644+'№ 34'!O644+'№ 41'!O644</f>
        <v>24.5</v>
      </c>
      <c r="P567" s="264">
        <f>№2!P644+№5!P644+'№ 6'!P644+№14!P644+'№ 20'!P644+'№ 23'!P644+№27!P644+'№ 31'!P644+'№ 34'!P644+'№ 41'!P644</f>
        <v>23.4</v>
      </c>
      <c r="Q567" s="264">
        <f>№2!Q644+№5!Q644+'№ 6'!Q644+№14!Q644+'№ 20'!Q644+'№ 23'!Q644+№27!Q644+'№ 31'!Q644+'№ 34'!Q644+'№ 41'!Q644</f>
        <v>24.6</v>
      </c>
      <c r="R567" s="264">
        <f>№2!R644+№5!R644+'№ 6'!R644+№14!R644+'№ 20'!R644+'№ 23'!R644+№27!R644+'№ 31'!R644+'№ 34'!R644+'№ 41'!R644</f>
        <v>17.600000000000001</v>
      </c>
      <c r="S567" s="264">
        <f>№2!S644+№5!S644+'№ 6'!S644+№14!S644+'№ 20'!S644+'№ 23'!S644+№27!S644+'№ 31'!S644+'№ 34'!S644+'№ 41'!S644</f>
        <v>19.600000000000001</v>
      </c>
      <c r="T567" s="234">
        <f>SUM(N567:S567)</f>
        <v>129.80000000000001</v>
      </c>
      <c r="U567" s="234">
        <f>T567+L567</f>
        <v>268.89999999999998</v>
      </c>
      <c r="V567" s="463">
        <f>№2!V644+№5!V644+'№ 6'!V644+№14!V644+'№ 20'!V644+'№ 23'!V644+№27!V644+'№ 31'!V644+'№ 34'!V644+'№ 41'!V644</f>
        <v>61.6</v>
      </c>
      <c r="W567" s="412"/>
      <c r="X567" s="185"/>
      <c r="Y567" s="186"/>
      <c r="Z567" s="186"/>
      <c r="AA567" s="186"/>
      <c r="AB567" s="186"/>
    </row>
    <row r="568" spans="1:28" s="186" customFormat="1" ht="18" customHeight="1">
      <c r="A568" s="614"/>
      <c r="B568" s="576"/>
      <c r="C568" s="577"/>
      <c r="D568" s="178" t="s">
        <v>109</v>
      </c>
      <c r="E568" s="179"/>
      <c r="F568" s="264">
        <f>№2!F645+№5!F645+'№ 6'!F645+№14!F645+'№ 20'!F645+'№ 23'!F645+№27!F645+'№ 31'!F645+'№ 34'!F645+'№ 41'!F645</f>
        <v>26.4</v>
      </c>
      <c r="G568" s="264">
        <f>№2!G645+№5!G645+'№ 6'!G645+№14!G645+'№ 20'!G645+'№ 23'!G645+№27!G645+'№ 31'!G645+'№ 34'!G645+'№ 41'!G645</f>
        <v>22</v>
      </c>
      <c r="H568" s="264">
        <f>№2!H645+№5!H645+'№ 6'!H645+№14!H645+'№ 20'!H645+'№ 23'!H645+№27!H645+'№ 31'!H645+'№ 34'!H645+'№ 41'!H645</f>
        <v>24.2</v>
      </c>
      <c r="I568" s="264">
        <f>№2!I645+№5!I645+'№ 6'!I645+№14!I645+'№ 20'!I645+'№ 23'!I645+№27!I645+'№ 31'!I645+'№ 34'!I645+'№ 41'!I645</f>
        <v>24.2</v>
      </c>
      <c r="J568" s="264">
        <f>№2!J645+№5!J645+'№ 6'!J645+№14!J645+'№ 20'!J645+'№ 23'!J645+№27!J645+'№ 31'!J645+'№ 34'!J645+'№ 41'!J645</f>
        <v>24.2</v>
      </c>
      <c r="K568" s="264">
        <f>№2!K645+№5!K645+'№ 6'!K645+№14!K645+'№ 20'!K645+'№ 23'!K645+№27!K645+'№ 31'!K645+'№ 34'!K645+'№ 41'!K645</f>
        <v>23.1</v>
      </c>
      <c r="L568" s="234">
        <f>SUM(F568:K568)</f>
        <v>144.1</v>
      </c>
      <c r="M568" s="234">
        <f>L568/6</f>
        <v>24.016999999999999</v>
      </c>
      <c r="N568" s="264">
        <f>№2!N645+№5!N645+'№ 6'!N645+№14!N645+'№ 20'!N645+'№ 23'!N645+№27!N645+'№ 31'!N645+'№ 34'!N645+'№ 41'!N645</f>
        <v>23.4</v>
      </c>
      <c r="O568" s="264">
        <f>№2!O645+№5!O645+'№ 6'!O645+№14!O645+'№ 20'!O645+'№ 23'!O645+№27!O645+'№ 31'!O645+'№ 34'!O645+'№ 41'!O645</f>
        <v>24.5</v>
      </c>
      <c r="P568" s="264">
        <f>№2!P645+№5!P645+'№ 6'!P645+№14!P645+'№ 20'!P645+'№ 23'!P645+№27!P645+'№ 31'!P645+'№ 34'!P645+'№ 41'!P645</f>
        <v>24.5</v>
      </c>
      <c r="Q568" s="264">
        <f>№2!Q645+№5!Q645+'№ 6'!Q645+№14!Q645+'№ 20'!Q645+'№ 23'!Q645+№27!Q645+'№ 31'!Q645+'№ 34'!Q645+'№ 41'!Q645</f>
        <v>24.6</v>
      </c>
      <c r="R568" s="264">
        <f>№2!R645+№5!R645+'№ 6'!R645+№14!R645+'№ 20'!R645+'№ 23'!R645+№27!R645+'№ 31'!R645+'№ 34'!R645+'№ 41'!R645</f>
        <v>39.4</v>
      </c>
      <c r="S568" s="264">
        <f>№2!S645+№5!S645+'№ 6'!S645+№14!S645+'№ 20'!S645+'№ 23'!S645+№27!S645+'№ 31'!S645+'№ 34'!S645+'№ 41'!S645</f>
        <v>28.2</v>
      </c>
      <c r="T568" s="234">
        <f>SUM(N568:S568)</f>
        <v>164.6</v>
      </c>
      <c r="U568" s="234">
        <f>T568+L568</f>
        <v>308.7</v>
      </c>
      <c r="V568" s="463">
        <f>№2!V645+№5!V645+'№ 6'!V645+№14!V645+'№ 20'!V645+'№ 23'!V645+№27!V645+'№ 31'!V645+'№ 34'!V645+'№ 41'!V645</f>
        <v>103</v>
      </c>
      <c r="W568" s="412"/>
      <c r="X568" s="185"/>
    </row>
    <row r="569" spans="1:28" s="186" customFormat="1" ht="18" customHeight="1">
      <c r="A569" s="614"/>
      <c r="B569" s="576"/>
      <c r="C569" s="577"/>
      <c r="D569" s="178" t="s">
        <v>116</v>
      </c>
      <c r="E569" s="179"/>
      <c r="F569" s="264">
        <f>№2!F646+№5!F646+'№ 6'!F646+№14!F646+'№ 20'!F646+'№ 23'!F646+№27!F646+'№ 31'!F646+'№ 34'!F646+'№ 41'!F646</f>
        <v>33.369999999999997</v>
      </c>
      <c r="G569" s="264">
        <f>№2!G646+№5!G646+'№ 6'!G646+№14!G646+'№ 20'!G646+'№ 23'!G646+№27!G646+'№ 31'!G646+'№ 34'!G646+'№ 41'!G646</f>
        <v>29.882000000000001</v>
      </c>
      <c r="H569" s="264">
        <f>№2!H646+№5!H646+'№ 6'!H646+№14!H646+'№ 20'!H646+'№ 23'!H646+№27!H646+'№ 31'!H646+'№ 34'!H646+'№ 41'!H646</f>
        <v>35.021999999999998</v>
      </c>
      <c r="I569" s="264">
        <f>№2!I646+№5!I646+'№ 6'!I646+№14!I646+'№ 20'!I646+'№ 23'!I646+№27!I646+'№ 31'!I646+'№ 34'!I646+'№ 41'!I646</f>
        <v>29.158000000000001</v>
      </c>
      <c r="J569" s="264">
        <f>№2!J646+№5!J646+'№ 6'!J646+№14!J646+'№ 20'!J646+'№ 23'!J646+№27!J646+'№ 31'!J646+'№ 34'!J646+'№ 41'!J646</f>
        <v>30.257999999999999</v>
      </c>
      <c r="K569" s="264">
        <f>№2!K646+№5!K646+'№ 6'!K646+№14!K646+'№ 20'!K646+'№ 23'!K646+№27!K646+'№ 31'!K646+'№ 34'!K646+'№ 41'!K646</f>
        <v>26.957999999999998</v>
      </c>
      <c r="L569" s="234">
        <f>SUM(F569:K569)</f>
        <v>184.648</v>
      </c>
      <c r="M569" s="234">
        <f>L569/6</f>
        <v>30.774999999999999</v>
      </c>
      <c r="N569" s="264">
        <f>№2!N646+№5!N646+'№ 6'!N646+№14!N646+'№ 20'!N646+'№ 23'!N646+№27!N646+'№ 31'!N646+'№ 34'!N646+'№ 41'!N646</f>
        <v>25.858000000000001</v>
      </c>
      <c r="O569" s="264">
        <f>№2!O646+№5!O646+'№ 6'!O646+№14!O646+'№ 20'!O646+'№ 23'!O646+№27!O646+'№ 31'!O646+'№ 34'!O646+'№ 41'!O646</f>
        <v>4.4000000000000004</v>
      </c>
      <c r="P569" s="264">
        <f>№2!P646+№5!P646+'№ 6'!P646+№14!P646+'№ 20'!P646+'№ 23'!P646+№27!P646+'№ 31'!P646+'№ 34'!P646+'№ 41'!P646</f>
        <v>28.058</v>
      </c>
      <c r="Q569" s="264">
        <f>№2!Q646+№5!Q646+'№ 6'!Q646+№14!Q646+'№ 20'!Q646+'№ 23'!Q646+№27!Q646+'№ 31'!Q646+'№ 34'!Q646+'№ 41'!Q646</f>
        <v>28.058</v>
      </c>
      <c r="R569" s="264">
        <f>№2!R646+№5!R646+'№ 6'!R646+№14!R646+'№ 20'!R646+'№ 23'!R646+№27!R646+'№ 31'!R646+'№ 34'!R646+'№ 41'!R646</f>
        <v>47.658000000000001</v>
      </c>
      <c r="S569" s="264">
        <f>№2!S646+№5!S646+'№ 6'!S646+№14!S646+'№ 20'!S646+'№ 23'!S646+№27!S646+'№ 31'!S646+'№ 34'!S646+'№ 41'!S646</f>
        <v>40.661999999999999</v>
      </c>
      <c r="T569" s="234">
        <f>SUM(N569:S569)</f>
        <v>174.69399999999999</v>
      </c>
      <c r="U569" s="234">
        <f>T569+L569</f>
        <v>359.34199999999998</v>
      </c>
      <c r="V569" s="463">
        <f>№2!V646+№5!V646+'№ 6'!V646+№14!V646+'№ 20'!V646+'№ 23'!V646+№27!V646+'№ 31'!V646+'№ 34'!V646+'№ 41'!V646</f>
        <v>366.7</v>
      </c>
      <c r="W569" s="412">
        <f>V569-U569</f>
        <v>7.3579999999999997</v>
      </c>
      <c r="X569" s="185"/>
    </row>
    <row r="570" spans="1:28" s="190" customFormat="1" ht="18" customHeight="1">
      <c r="A570" s="614"/>
      <c r="B570" s="576"/>
      <c r="C570" s="577"/>
      <c r="D570" s="187" t="s">
        <v>27</v>
      </c>
      <c r="E570" s="188"/>
      <c r="F570" s="188">
        <f t="shared" ref="F570:U570" si="573">F571/F569*1000</f>
        <v>147.648</v>
      </c>
      <c r="G570" s="188">
        <f t="shared" si="573"/>
        <v>146.309</v>
      </c>
      <c r="H570" s="188">
        <f t="shared" si="573"/>
        <v>148.50700000000001</v>
      </c>
      <c r="I570" s="188">
        <f t="shared" si="573"/>
        <v>163.934</v>
      </c>
      <c r="J570" s="188">
        <f t="shared" si="573"/>
        <v>167.42699999999999</v>
      </c>
      <c r="K570" s="188">
        <f t="shared" si="573"/>
        <v>171.934</v>
      </c>
      <c r="L570" s="217">
        <f t="shared" si="573"/>
        <v>156.94999999999999</v>
      </c>
      <c r="M570" s="217">
        <f t="shared" si="573"/>
        <v>156.94999999999999</v>
      </c>
      <c r="N570" s="188">
        <f t="shared" si="573"/>
        <v>173.679</v>
      </c>
      <c r="O570" s="188">
        <f t="shared" si="573"/>
        <v>131.136</v>
      </c>
      <c r="P570" s="188">
        <f t="shared" si="573"/>
        <v>152.648</v>
      </c>
      <c r="Q570" s="188">
        <f t="shared" si="573"/>
        <v>152.648</v>
      </c>
      <c r="R570" s="188">
        <f t="shared" si="573"/>
        <v>152.62899999999999</v>
      </c>
      <c r="S570" s="188">
        <f t="shared" si="573"/>
        <v>152.624</v>
      </c>
      <c r="T570" s="217">
        <f t="shared" si="573"/>
        <v>155.21</v>
      </c>
      <c r="U570" s="217">
        <f t="shared" si="573"/>
        <v>156.1</v>
      </c>
      <c r="V570" s="218">
        <f t="shared" ref="V570" si="574">V571*1000/V569</f>
        <v>152.63999999999999</v>
      </c>
      <c r="W570" s="189">
        <f>W571/W569*1000</f>
        <v>-16.581</v>
      </c>
      <c r="X570" s="225"/>
    </row>
    <row r="571" spans="1:28" s="244" customFormat="1" ht="18" customHeight="1">
      <c r="A571" s="614"/>
      <c r="B571" s="576"/>
      <c r="C571" s="577"/>
      <c r="D571" s="191" t="s">
        <v>0</v>
      </c>
      <c r="E571" s="192"/>
      <c r="F571" s="192">
        <f>№2!F648+№5!F648+'№ 6'!F648+№14!F648+'№ 20'!F648+'№ 23'!F648+№27!F648+'№ 31'!F648+'№ 34'!F648+'№ 41'!F648</f>
        <v>4.9269999999999996</v>
      </c>
      <c r="G571" s="192">
        <f>№2!G648+№5!G648+'№ 6'!G648+№14!G648+'№ 20'!G648+'№ 23'!G648+№27!G648+'№ 31'!G648+'№ 34'!G648+'№ 41'!G648</f>
        <v>4.3719999999999999</v>
      </c>
      <c r="H571" s="192">
        <f>№2!H648+№5!H648+'№ 6'!H648+№14!H648+'№ 20'!H648+'№ 23'!H648+№27!H648+'№ 31'!H648+'№ 34'!H648+'№ 41'!H648</f>
        <v>5.2009999999999996</v>
      </c>
      <c r="I571" s="192">
        <f>№2!I648+№5!I648+'№ 6'!I648+№14!I648+'№ 20'!I648+'№ 23'!I648+№27!I648+'№ 31'!I648+'№ 34'!I648+'№ 41'!I648</f>
        <v>4.78</v>
      </c>
      <c r="J571" s="192">
        <f>№2!J648+№5!J648+'№ 6'!J648+№14!J648+'№ 20'!J648+'№ 23'!J648+№27!J648+'№ 31'!J648+'№ 34'!J648+'№ 41'!J648</f>
        <v>5.0659999999999998</v>
      </c>
      <c r="K571" s="192">
        <f>№2!K648+№5!K648+'№ 6'!K648+№14!K648+'№ 20'!K648+'№ 23'!K648+№27!K648+'№ 31'!K648+'№ 34'!K648+'№ 41'!K648</f>
        <v>4.6349999999999998</v>
      </c>
      <c r="L571" s="194">
        <f>SUM(F571:K571)</f>
        <v>28.981000000000002</v>
      </c>
      <c r="M571" s="194">
        <f>L571/6</f>
        <v>4.83</v>
      </c>
      <c r="N571" s="192">
        <f>№2!N648+№5!N648+'№ 6'!N648+№14!N648+'№ 20'!N648+'№ 23'!N648+№27!N648+'№ 31'!N648+'№ 34'!N648+'№ 41'!N648</f>
        <v>4.4909999999999997</v>
      </c>
      <c r="O571" s="192">
        <f>№2!O648+№5!O648+'№ 6'!O648+№14!O648+'№ 20'!O648+'№ 23'!O648+№27!O648+'№ 31'!O648+'№ 34'!O648+'№ 41'!O648</f>
        <v>0.57699999999999996</v>
      </c>
      <c r="P571" s="192">
        <f>№2!P648+№5!P648+'№ 6'!P648+№14!P648+'№ 20'!P648+'№ 23'!P648+№27!P648+'№ 31'!P648+'№ 34'!P648+'№ 41'!P648</f>
        <v>4.2830000000000004</v>
      </c>
      <c r="Q571" s="192">
        <f>№2!Q648+№5!Q648+'№ 6'!Q648+№14!Q648+'№ 20'!Q648+'№ 23'!Q648+№27!Q648+'№ 31'!Q648+'№ 34'!Q648+'№ 41'!Q648</f>
        <v>4.2830000000000004</v>
      </c>
      <c r="R571" s="192">
        <f>№2!R648+№5!R648+'№ 6'!R648+№14!R648+'№ 20'!R648+'№ 23'!R648+№27!R648+'№ 31'!R648+'№ 34'!R648+'№ 41'!R648</f>
        <v>7.274</v>
      </c>
      <c r="S571" s="192">
        <f>№2!S648+№5!S648+'№ 6'!S648+№14!S648+'№ 20'!S648+'№ 23'!S648+№27!S648+'№ 31'!S648+'№ 34'!S648+'№ 41'!S648</f>
        <v>6.2060000000000004</v>
      </c>
      <c r="T571" s="194">
        <f>SUM(N571:S571)</f>
        <v>27.114000000000001</v>
      </c>
      <c r="U571" s="194">
        <f>T571+L571</f>
        <v>56.094999999999999</v>
      </c>
      <c r="V571" s="194">
        <f>№2!V648+№5!V648+'№ 6'!V648+№14!V648+'№ 20'!V648+'№ 23'!V648+№27!V648+'№ 31'!V648+'№ 34'!V648+'№ 41'!V648</f>
        <v>55.972999999999999</v>
      </c>
      <c r="W571" s="193">
        <f>V571-U571</f>
        <v>-0.122</v>
      </c>
    </row>
    <row r="572" spans="1:28" s="244" customFormat="1" ht="18" customHeight="1">
      <c r="A572" s="614"/>
      <c r="B572" s="576"/>
      <c r="C572" s="577"/>
      <c r="D572" s="174" t="s">
        <v>55</v>
      </c>
      <c r="E572" s="210"/>
      <c r="F572" s="192">
        <f>№2!F649+№5!F649+'№ 6'!F649+№14!F649+'№ 20'!F649+'№ 23'!F649+№27!F649+'№ 31'!F649+'№ 34'!F649+'№ 41'!F649</f>
        <v>0</v>
      </c>
      <c r="G572" s="192">
        <f>№2!G649+№5!G649+'№ 6'!G649+№14!G649+'№ 20'!G649+'№ 23'!G649+№27!G649+'№ 31'!G649+'№ 34'!G649+'№ 41'!G649</f>
        <v>0</v>
      </c>
      <c r="H572" s="192">
        <f>№2!H649+№5!H649+'№ 6'!H649+№14!H649+'№ 20'!H649+'№ 23'!H649+№27!H649+'№ 31'!H649+'№ 34'!H649+'№ 41'!H649</f>
        <v>0</v>
      </c>
      <c r="I572" s="192">
        <f>№2!I649+№5!I649+'№ 6'!I649+№14!I649+'№ 20'!I649+'№ 23'!I649+№27!I649+'№ 31'!I649+'№ 34'!I649+'№ 41'!I649</f>
        <v>0</v>
      </c>
      <c r="J572" s="192">
        <f>№2!J649+№5!J649+'№ 6'!J649+№14!J649+'№ 20'!J649+'№ 23'!J649+№27!J649+'№ 31'!J649+'№ 34'!J649+'№ 41'!J649</f>
        <v>0</v>
      </c>
      <c r="K572" s="192">
        <f>№2!K649+№5!K649+'№ 6'!K649+№14!K649+'№ 20'!K649+'№ 23'!K649+№27!K649+'№ 31'!K649+'№ 34'!K649+'№ 41'!K649</f>
        <v>0</v>
      </c>
      <c r="L572" s="194">
        <f>SUM(F572:K572)</f>
        <v>0</v>
      </c>
      <c r="M572" s="194">
        <f>L572/6</f>
        <v>0</v>
      </c>
      <c r="N572" s="192">
        <f>№2!N649+№5!N649+'№ 6'!N649+№14!N649+'№ 20'!N649+'№ 23'!N649+№27!N649+'№ 31'!N649+'№ 34'!N649+'№ 41'!N649</f>
        <v>0</v>
      </c>
      <c r="O572" s="192">
        <f>№2!O649+№5!O649+'№ 6'!O649+№14!O649+'№ 20'!O649+'№ 23'!O649+№27!O649+'№ 31'!O649+'№ 34'!O649+'№ 41'!O649</f>
        <v>0</v>
      </c>
      <c r="P572" s="192">
        <f>№2!P649+№5!P649+'№ 6'!P649+№14!P649+'№ 20'!P649+'№ 23'!P649+№27!P649+'№ 31'!P649+'№ 34'!P649+'№ 41'!P649</f>
        <v>0</v>
      </c>
      <c r="Q572" s="192">
        <f>№2!Q649+№5!Q649+'№ 6'!Q649+№14!Q649+'№ 20'!Q649+'№ 23'!Q649+№27!Q649+'№ 31'!Q649+'№ 34'!Q649+'№ 41'!Q649</f>
        <v>0</v>
      </c>
      <c r="R572" s="192">
        <f>№2!R649+№5!R649+'№ 6'!R649+№14!R649+'№ 20'!R649+'№ 23'!R649+№27!R649+'№ 31'!R649+'№ 34'!R649+'№ 41'!R649</f>
        <v>0</v>
      </c>
      <c r="S572" s="192">
        <f>№2!S649+№5!S649+'№ 6'!S649+№14!S649+'№ 20'!S649+'№ 23'!S649+№27!S649+'№ 31'!S649+'№ 34'!S649+'№ 41'!S649</f>
        <v>0</v>
      </c>
      <c r="T572" s="194">
        <f>SUM(N572:S572)</f>
        <v>0</v>
      </c>
      <c r="U572" s="194">
        <f>T572+L572</f>
        <v>0</v>
      </c>
      <c r="V572" s="194">
        <f>№2!V649+№5!V649+'№ 6'!V649+№14!V649+'№ 20'!V649+'№ 23'!V649+№27!V649+'№ 31'!V649+'№ 34'!V649+'№ 41'!V649</f>
        <v>0</v>
      </c>
      <c r="W572" s="193">
        <f>V572-U572</f>
        <v>0</v>
      </c>
    </row>
    <row r="573" spans="1:28" s="244" customFormat="1" ht="18" customHeight="1">
      <c r="A573" s="614"/>
      <c r="B573" s="576"/>
      <c r="C573" s="577"/>
      <c r="D573" s="174" t="s">
        <v>28</v>
      </c>
      <c r="E573" s="210"/>
      <c r="F573" s="192">
        <f>№2!F650+№5!F650+'№ 6'!F650+№14!F650+'№ 20'!F650+'№ 23'!F650+№27!F650+'№ 31'!F650+'№ 34'!F650+'№ 41'!F650</f>
        <v>1.175</v>
      </c>
      <c r="G573" s="192">
        <f>№2!G650+№5!G650+'№ 6'!G650+№14!G650+'№ 20'!G650+'№ 23'!G650+№27!G650+'№ 31'!G650+'№ 34'!G650+'№ 41'!G650</f>
        <v>3.4430000000000001</v>
      </c>
      <c r="H573" s="192">
        <f>№2!H650+№5!H650+'№ 6'!H650+№14!H650+'№ 20'!H650+'№ 23'!H650+№27!H650+'№ 31'!H650+'№ 34'!H650+'№ 41'!H650</f>
        <v>4.4320000000000004</v>
      </c>
      <c r="I573" s="192">
        <f>№2!I650+№5!I650+'№ 6'!I650+№14!I650+'№ 20'!I650+'№ 23'!I650+№27!I650+'№ 31'!I650+'№ 34'!I650+'№ 41'!I650</f>
        <v>3.008</v>
      </c>
      <c r="J573" s="192">
        <f>№2!J650+№5!J650+'№ 6'!J650+№14!J650+'№ 20'!J650+'№ 23'!J650+№27!J650+'№ 31'!J650+'№ 34'!J650+'№ 41'!J650</f>
        <v>4.3079999999999998</v>
      </c>
      <c r="K573" s="192">
        <f>№2!K650+№5!K650+'№ 6'!K650+№14!K650+'№ 20'!K650+'№ 23'!K650+№27!K650+'№ 31'!K650+'№ 34'!K650+'№ 41'!K650</f>
        <v>3.7530000000000001</v>
      </c>
      <c r="L573" s="194">
        <f>SUM(F573:K573)</f>
        <v>20.119</v>
      </c>
      <c r="M573" s="194">
        <f>L573/6</f>
        <v>3.3530000000000002</v>
      </c>
      <c r="N573" s="192">
        <f>№2!N650+№5!N650+'№ 6'!N650+№14!N650+'№ 20'!N650+'№ 23'!N650+№27!N650+'№ 31'!N650+'№ 34'!N650+'№ 41'!N650</f>
        <v>3.8149999999999999</v>
      </c>
      <c r="O573" s="192">
        <f>№2!O650+№5!O650+'№ 6'!O650+№14!O650+'№ 20'!O650+'№ 23'!O650+№27!O650+'№ 31'!O650+'№ 34'!O650+'№ 41'!O650</f>
        <v>0.36599999999999999</v>
      </c>
      <c r="P573" s="192">
        <f>№2!P650+№5!P650+'№ 6'!P650+№14!P650+'№ 20'!P650+'№ 23'!P650+№27!P650+'№ 31'!P650+'№ 34'!P650+'№ 41'!P650</f>
        <v>5.883</v>
      </c>
      <c r="Q573" s="192">
        <f>№2!Q650+№5!Q650+'№ 6'!Q650+№14!Q650+'№ 20'!Q650+'№ 23'!Q650+№27!Q650+'№ 31'!Q650+'№ 34'!Q650+'№ 41'!Q650</f>
        <v>8.7260000000000009</v>
      </c>
      <c r="R573" s="192">
        <f>№2!R650+№5!R650+'№ 6'!R650+№14!R650+'№ 20'!R650+'№ 23'!R650+№27!R650+'№ 31'!R650+'№ 34'!R650+'№ 41'!R650</f>
        <v>6.9109999999999996</v>
      </c>
      <c r="S573" s="192">
        <f>№2!S650+№5!S650+'№ 6'!S650+№14!S650+'№ 20'!S650+'№ 23'!S650+№27!S650+'№ 31'!S650+'№ 34'!S650+'№ 41'!S650</f>
        <v>10.153</v>
      </c>
      <c r="T573" s="194">
        <f>SUM(N573:S573)</f>
        <v>35.853999999999999</v>
      </c>
      <c r="U573" s="194">
        <f>T573+L573</f>
        <v>55.972999999999999</v>
      </c>
      <c r="V573" s="194">
        <f>№2!V650+№5!V650+'№ 6'!V650+№14!V650+'№ 20'!V650+'№ 23'!V650+№27!V650+'№ 31'!V650+'№ 34'!V650+'№ 41'!V650</f>
        <v>55.972999999999999</v>
      </c>
      <c r="W573" s="193">
        <f>V573-U573</f>
        <v>0</v>
      </c>
    </row>
    <row r="574" spans="1:28" s="186" customFormat="1" ht="18" customHeight="1">
      <c r="A574" s="614"/>
      <c r="B574" s="576"/>
      <c r="C574" s="577"/>
      <c r="D574" s="178" t="s">
        <v>117</v>
      </c>
      <c r="E574" s="179">
        <f>№2!E651+№5!E651+'№ 6'!E619+№14!E651+'№ 20'!E651+'№ 23'!E651+№27!E651+'№ 31'!E651+'№ 34'!E651+'№ 41'!E651</f>
        <v>0</v>
      </c>
      <c r="F574" s="260">
        <f>№2!F651+№5!F651+'№ 6'!F651+№14!F651+'№ 20'!F651+'№ 23'!F651+№27!F651+'№ 31'!F651+'№ 34'!F651+'№ 41'!F651</f>
        <v>0</v>
      </c>
      <c r="G574" s="260">
        <f>№2!G651+№5!G651+'№ 6'!G651+№14!G651+'№ 20'!G651+'№ 23'!G651+№27!G651+'№ 31'!G651+'№ 34'!G651+'№ 41'!G651</f>
        <v>25.67</v>
      </c>
      <c r="H574" s="260">
        <f>№2!H651+№5!H651+'№ 6'!H651+№14!H651+'№ 20'!H651+'№ 23'!H651+№27!H651+'№ 31'!H651+'№ 34'!H651+'№ 41'!H651</f>
        <v>37.587000000000003</v>
      </c>
      <c r="I574" s="260">
        <f>№2!I651+№5!I651+'№ 6'!I651+№14!I651+'№ 20'!I651+'№ 23'!I651+№27!I651+'№ 31'!I651+'№ 34'!I651+'№ 41'!I651</f>
        <v>35.021999999999998</v>
      </c>
      <c r="J574" s="260">
        <f>№2!J651+№5!J651+'№ 6'!J651+№14!J651+'№ 20'!J651+'№ 23'!J651+№27!J651+'№ 31'!J651+'№ 34'!J651+'№ 41'!J651</f>
        <v>29.158000000000001</v>
      </c>
      <c r="K574" s="260">
        <f>№2!K651+№5!K651+'№ 6'!K651+№14!K651+'№ 20'!K651+'№ 23'!K651+№27!K651+'№ 31'!K651+'№ 34'!K651+'№ 41'!K651</f>
        <v>30.257999999999999</v>
      </c>
      <c r="L574" s="262">
        <f>SUM(F574:K574)</f>
        <v>157.69499999999999</v>
      </c>
      <c r="M574" s="262">
        <f>L574/6</f>
        <v>26.283000000000001</v>
      </c>
      <c r="N574" s="420">
        <f>№2!N651+№5!N651+'№ 6'!N651+№14!N651+'№ 20'!N651+'№ 23'!N651+№27!N651+'№ 31'!N651+'№ 34'!N651+'№ 41'!N651</f>
        <v>26.957999999999998</v>
      </c>
      <c r="O574" s="420">
        <f>№2!O651+№5!O651+'№ 6'!O651+№14!O651+'№ 20'!O651+'№ 23'!O651+№27!O651+'№ 31'!O651+'№ 34'!O651+'№ 41'!O651</f>
        <v>3.3</v>
      </c>
      <c r="P574" s="420">
        <f>№2!P651+№5!P651+'№ 6'!P651+№14!P651+'№ 20'!P651+'№ 23'!P651+№27!P651+'№ 31'!P651+'№ 34'!P651+'№ 41'!P651</f>
        <v>32.453000000000003</v>
      </c>
      <c r="Q574" s="420">
        <f>№2!Q651+№5!Q651+'№ 6'!Q651+№14!Q651+'№ 20'!Q651+'№ 23'!Q651+№27!Q651+'№ 31'!Q651+'№ 34'!Q651+'№ 41'!Q651</f>
        <v>28.058</v>
      </c>
      <c r="R574" s="420">
        <f>№2!R651+№5!R651+'№ 6'!R651+№14!R651+'№ 20'!R651+'№ 23'!R651+№27!R651+'№ 31'!R651+'№ 34'!R651+'№ 41'!R651</f>
        <v>47.658000000000001</v>
      </c>
      <c r="S574" s="420">
        <f>№2!S651+№5!S651+'№ 6'!S651+№14!S651+'№ 20'!S651+'№ 23'!S651+№27!S651+'№ 31'!S651+'№ 34'!S651+'№ 41'!S651</f>
        <v>63.22</v>
      </c>
      <c r="T574" s="262">
        <f>SUM(N574:S574)</f>
        <v>201.64699999999999</v>
      </c>
      <c r="U574" s="262">
        <f>T574+L574</f>
        <v>359.34199999999998</v>
      </c>
      <c r="V574" s="420">
        <f>№2!V651+№5!V651+'№ 6'!V651+№14!V651+'№ 20'!V651+'№ 23'!V651+№27!V651+'№ 31'!V651+'№ 34'!V651+'№ 41'!V651</f>
        <v>366.7</v>
      </c>
      <c r="W574" s="410">
        <f>V574-U574</f>
        <v>7.3579999999999997</v>
      </c>
      <c r="X574" s="279">
        <f>U569-U574</f>
        <v>0</v>
      </c>
    </row>
    <row r="575" spans="1:28" s="190" customFormat="1" ht="18" customHeight="1">
      <c r="A575" s="614"/>
      <c r="B575" s="576"/>
      <c r="C575" s="577"/>
      <c r="D575" s="187" t="s">
        <v>27</v>
      </c>
      <c r="E575" s="188" t="e">
        <f t="shared" ref="E575:U575" si="575">E576/E574*1000</f>
        <v>#DIV/0!</v>
      </c>
      <c r="F575" s="188" t="e">
        <f t="shared" si="575"/>
        <v>#DIV/0!</v>
      </c>
      <c r="G575" s="188">
        <f t="shared" si="575"/>
        <v>152.63</v>
      </c>
      <c r="H575" s="188">
        <f t="shared" si="575"/>
        <v>143.161</v>
      </c>
      <c r="I575" s="188">
        <f t="shared" si="575"/>
        <v>148.50700000000001</v>
      </c>
      <c r="J575" s="188">
        <f t="shared" si="575"/>
        <v>163.934</v>
      </c>
      <c r="K575" s="188">
        <f t="shared" si="575"/>
        <v>167.42699999999999</v>
      </c>
      <c r="L575" s="217">
        <f t="shared" si="575"/>
        <v>154.38999999999999</v>
      </c>
      <c r="M575" s="217">
        <f t="shared" si="575"/>
        <v>154.4</v>
      </c>
      <c r="N575" s="188">
        <f t="shared" si="575"/>
        <v>171.934</v>
      </c>
      <c r="O575" s="188">
        <f t="shared" si="575"/>
        <v>131.21199999999999</v>
      </c>
      <c r="P575" s="188">
        <f t="shared" si="575"/>
        <v>168.70599999999999</v>
      </c>
      <c r="Q575" s="188">
        <f t="shared" si="575"/>
        <v>152.648</v>
      </c>
      <c r="R575" s="188">
        <f t="shared" si="575"/>
        <v>152.62899999999999</v>
      </c>
      <c r="S575" s="188">
        <f t="shared" si="575"/>
        <v>152.626</v>
      </c>
      <c r="T575" s="217">
        <f t="shared" si="575"/>
        <v>157.44999999999999</v>
      </c>
      <c r="U575" s="217">
        <f t="shared" si="575"/>
        <v>156.1</v>
      </c>
      <c r="V575" s="218">
        <f t="shared" ref="V575" si="576">V576*1000/V574</f>
        <v>152.63999999999999</v>
      </c>
      <c r="W575" s="189">
        <f>W576/W574*1000</f>
        <v>-16.581</v>
      </c>
      <c r="X575" s="225"/>
    </row>
    <row r="576" spans="1:28" s="239" customFormat="1" ht="18" customHeight="1">
      <c r="A576" s="614"/>
      <c r="B576" s="576"/>
      <c r="C576" s="577"/>
      <c r="D576" s="198" t="s">
        <v>25</v>
      </c>
      <c r="E576" s="199">
        <f>№2!E653+№5!E653+'№ 6'!E621+№14!E653+'№ 20'!E653+'№ 23'!E653+№27!E653+'№ 31'!E653+'№ 34'!E653+'№ 41'!E653</f>
        <v>0</v>
      </c>
      <c r="F576" s="199">
        <f>№2!F653+№5!F653+'№ 6'!F653+№14!F653+'№ 20'!F653+'№ 23'!F653+№27!F653+'№ 31'!F653+'№ 34'!F653+'№ 41'!F653</f>
        <v>0</v>
      </c>
      <c r="G576" s="199">
        <f>№2!G653+№5!G653+'№ 6'!G653+№14!G653+'№ 20'!G653+'№ 23'!G653+№27!G653+'№ 31'!G653+'№ 34'!G653+'№ 41'!G653</f>
        <v>3.9180000000000001</v>
      </c>
      <c r="H576" s="199">
        <f>№2!H653+№5!H653+'№ 6'!H653+№14!H653+'№ 20'!H653+'№ 23'!H653+№27!H653+'№ 31'!H653+'№ 34'!H653+'№ 41'!H653</f>
        <v>5.3810000000000002</v>
      </c>
      <c r="I576" s="199">
        <f>№2!I653+№5!I653+'№ 6'!I653+№14!I653+'№ 20'!I653+'№ 23'!I653+№27!I653+'№ 31'!I653+'№ 34'!I653+'№ 41'!I653</f>
        <v>5.2009999999999996</v>
      </c>
      <c r="J576" s="199">
        <f>№2!J653+№5!J653+'№ 6'!J653+№14!J653+'№ 20'!J653+'№ 23'!J653+№27!J653+'№ 31'!J653+'№ 34'!J653+'№ 41'!J653</f>
        <v>4.78</v>
      </c>
      <c r="K576" s="199">
        <f>№2!K653+№5!K653+'№ 6'!K653+№14!K653+'№ 20'!K653+'№ 23'!K653+№27!K653+'№ 31'!K653+'№ 34'!K653+'№ 41'!K653</f>
        <v>5.0659999999999998</v>
      </c>
      <c r="L576" s="199">
        <f>SUM(F576:K576)</f>
        <v>24.346</v>
      </c>
      <c r="M576" s="199">
        <f>L576/6</f>
        <v>4.0579999999999998</v>
      </c>
      <c r="N576" s="199">
        <f>№2!N653+№5!N653+'№ 6'!N653+№14!N653+'№ 20'!N653+'№ 23'!N653+№27!N653+'№ 31'!N653+'№ 34'!N653+'№ 41'!N653</f>
        <v>4.6349999999999998</v>
      </c>
      <c r="O576" s="199">
        <f>№2!O653+№5!O653+'№ 6'!O653+№14!O653+'№ 20'!O653+'№ 23'!O653+№27!O653+'№ 31'!O653+'№ 34'!O653+'№ 41'!O653</f>
        <v>0.433</v>
      </c>
      <c r="P576" s="199">
        <f>№2!P653+№5!P653+'№ 6'!P653+№14!P653+'№ 20'!P653+'№ 23'!P653+№27!P653+'№ 31'!P653+'№ 34'!P653+'№ 41'!P653</f>
        <v>5.4749999999999996</v>
      </c>
      <c r="Q576" s="199">
        <f>№2!Q653+№5!Q653+'№ 6'!Q653+№14!Q653+'№ 20'!Q653+'№ 23'!Q653+№27!Q653+'№ 31'!Q653+'№ 34'!Q653+'№ 41'!Q653</f>
        <v>4.2830000000000004</v>
      </c>
      <c r="R576" s="199">
        <f>№2!R653+№5!R653+'№ 6'!R653+№14!R653+'№ 20'!R653+'№ 23'!R653+№27!R653+'№ 31'!R653+'№ 34'!R653+'№ 41'!R653</f>
        <v>7.274</v>
      </c>
      <c r="S576" s="199">
        <f>№2!S653+№5!S653+'№ 6'!S653+№14!S653+'№ 20'!S653+'№ 23'!S653+№27!S653+'№ 31'!S653+'№ 34'!S653+'№ 41'!S653</f>
        <v>9.6489999999999991</v>
      </c>
      <c r="T576" s="199">
        <f>SUM(N576:S576)</f>
        <v>31.748999999999999</v>
      </c>
      <c r="U576" s="199">
        <f>T576+L576</f>
        <v>56.094999999999999</v>
      </c>
      <c r="V576" s="199">
        <f>№2!V653+№5!V653+'№ 6'!V653+№14!V653+'№ 20'!V653+'№ 23'!V653+№27!V653+'№ 31'!V653+'№ 34'!V653+'№ 41'!V653</f>
        <v>55.972999999999999</v>
      </c>
      <c r="W576" s="221">
        <f>V576-U576</f>
        <v>-0.122</v>
      </c>
      <c r="X576" s="176">
        <f>U571-U576</f>
        <v>0</v>
      </c>
    </row>
    <row r="577" spans="1:28" s="239" customFormat="1" ht="18" customHeight="1">
      <c r="A577" s="614"/>
      <c r="B577" s="576"/>
      <c r="C577" s="577"/>
      <c r="D577" s="201" t="s">
        <v>55</v>
      </c>
      <c r="E577" s="220"/>
      <c r="F577" s="199">
        <f>№2!F654+№5!F654+'№ 6'!F654+№14!F654+'№ 20'!F654+'№ 23'!F654+№27!F654+'№ 31'!F654+'№ 34'!F654+'№ 41'!F654</f>
        <v>0</v>
      </c>
      <c r="G577" s="199">
        <f>№2!G654+№5!G654+'№ 6'!G654+№14!G654+'№ 20'!G654+'№ 23'!G654+№27!G654+'№ 31'!G654+'№ 34'!G654+'№ 41'!G654</f>
        <v>0</v>
      </c>
      <c r="H577" s="199">
        <f>№2!H654+№5!H654+'№ 6'!H654+№14!H654+'№ 20'!H654+'№ 23'!H654+№27!H654+'№ 31'!H654+'№ 34'!H654+'№ 41'!H654</f>
        <v>0</v>
      </c>
      <c r="I577" s="199">
        <f>№2!I654+№5!I654+'№ 6'!I654+№14!I654+'№ 20'!I654+'№ 23'!I654+№27!I654+'№ 31'!I654+'№ 34'!I654+'№ 41'!I654</f>
        <v>0</v>
      </c>
      <c r="J577" s="199">
        <f>№2!J654+№5!J654+'№ 6'!J654+№14!J654+'№ 20'!J654+'№ 23'!J654+№27!J654+'№ 31'!J654+'№ 34'!J654+'№ 41'!J654</f>
        <v>0</v>
      </c>
      <c r="K577" s="199">
        <f>№2!K654+№5!K654+'№ 6'!K654+№14!K654+'№ 20'!K654+'№ 23'!K654+№27!K654+'№ 31'!K654+'№ 34'!K654+'№ 41'!K654</f>
        <v>0</v>
      </c>
      <c r="L577" s="199">
        <f>SUM(F577:K577)</f>
        <v>0</v>
      </c>
      <c r="M577" s="199">
        <f>L577/6</f>
        <v>0</v>
      </c>
      <c r="N577" s="199">
        <f>№2!N654+№5!N654+'№ 6'!N654+№14!N654+'№ 20'!N654+'№ 23'!N654+№27!N654+'№ 31'!N654+'№ 34'!N654+'№ 41'!N654</f>
        <v>0</v>
      </c>
      <c r="O577" s="199">
        <f>№2!O654+№5!O654+'№ 6'!O654+№14!O654+'№ 20'!O654+'№ 23'!O654+№27!O654+'№ 31'!O654+'№ 34'!O654+'№ 41'!O654</f>
        <v>0</v>
      </c>
      <c r="P577" s="199">
        <f>№2!P654+№5!P654+'№ 6'!P654+№14!P654+'№ 20'!P654+'№ 23'!P654+№27!P654+'№ 31'!P654+'№ 34'!P654+'№ 41'!P654</f>
        <v>0</v>
      </c>
      <c r="Q577" s="199">
        <f>№2!Q654+№5!Q654+'№ 6'!Q654+№14!Q654+'№ 20'!Q654+'№ 23'!Q654+№27!Q654+'№ 31'!Q654+'№ 34'!Q654+'№ 41'!Q654</f>
        <v>0</v>
      </c>
      <c r="R577" s="199">
        <f>№2!R654+№5!R654+'№ 6'!R654+№14!R654+'№ 20'!R654+'№ 23'!R654+№27!R654+'№ 31'!R654+'№ 34'!R654+'№ 41'!R654</f>
        <v>0</v>
      </c>
      <c r="S577" s="199">
        <f>№2!S654+№5!S654+'№ 6'!S654+№14!S654+'№ 20'!S654+'№ 23'!S654+№27!S654+'№ 31'!S654+'№ 34'!S654+'№ 41'!S654</f>
        <v>0</v>
      </c>
      <c r="T577" s="199">
        <f>SUM(N577:S577)</f>
        <v>0</v>
      </c>
      <c r="U577" s="199">
        <f>T577+L577</f>
        <v>0</v>
      </c>
      <c r="V577" s="199">
        <f>№2!V654+№5!V654+'№ 6'!V654+№14!V654+'№ 20'!V654+'№ 23'!V654+№27!V654+'№ 31'!V654+'№ 34'!V654+'№ 41'!V654</f>
        <v>0</v>
      </c>
      <c r="W577" s="221">
        <f>V577-U577</f>
        <v>0</v>
      </c>
      <c r="X577" s="176">
        <f>U572-U577</f>
        <v>0</v>
      </c>
    </row>
    <row r="578" spans="1:28" s="239" customFormat="1" ht="18" customHeight="1">
      <c r="A578" s="614"/>
      <c r="B578" s="576"/>
      <c r="C578" s="577"/>
      <c r="D578" s="201" t="s">
        <v>24</v>
      </c>
      <c r="E578" s="220"/>
      <c r="F578" s="199">
        <f>№2!F655+№5!F655+'№ 6'!F655+№14!F655+'№ 20'!F655+'№ 23'!F655+№27!F655+'№ 31'!F655+'№ 34'!F655+'№ 41'!F655</f>
        <v>0</v>
      </c>
      <c r="G578" s="199">
        <f>№2!G655+№5!G655+'№ 6'!G655+№14!G655+'№ 20'!G655+'№ 23'!G655+№27!G655+'№ 31'!G655+'№ 34'!G655+'№ 41'!G655</f>
        <v>3.9180000000000001</v>
      </c>
      <c r="H578" s="199">
        <f>№2!H655+№5!H655+'№ 6'!H655+№14!H655+'№ 20'!H655+'№ 23'!H655+№27!H655+'№ 31'!H655+'№ 34'!H655+'№ 41'!H655</f>
        <v>5.3810000000000002</v>
      </c>
      <c r="I578" s="199">
        <f>№2!I655+№5!I655+'№ 6'!I655+№14!I655+'№ 20'!I655+'№ 23'!I655+№27!I655+'№ 31'!I655+'№ 34'!I655+'№ 41'!I655</f>
        <v>5.2009999999999996</v>
      </c>
      <c r="J578" s="199">
        <f>№2!J655+№5!J655+'№ 6'!J655+№14!J655+'№ 20'!J655+'№ 23'!J655+№27!J655+'№ 31'!J655+'№ 34'!J655+'№ 41'!J655</f>
        <v>4.78</v>
      </c>
      <c r="K578" s="199">
        <f>№2!K655+№5!K655+'№ 6'!K655+№14!K655+'№ 20'!K655+'№ 23'!K655+№27!K655+'№ 31'!K655+'№ 34'!K655+'№ 41'!K655</f>
        <v>5.0659999999999998</v>
      </c>
      <c r="L578" s="199">
        <f>SUM(F578:K578)</f>
        <v>24.346</v>
      </c>
      <c r="M578" s="199">
        <f>L578/6</f>
        <v>4.0579999999999998</v>
      </c>
      <c r="N578" s="199">
        <f>№2!N655+№5!N655+'№ 6'!N655+№14!N655+'№ 20'!N655+'№ 23'!N655+№27!N655+'№ 31'!N655+'№ 34'!N655+'№ 41'!N655</f>
        <v>4.6349999999999998</v>
      </c>
      <c r="O578" s="199">
        <f>№2!O655+№5!O655+'№ 6'!O655+№14!O655+'№ 20'!O655+'№ 23'!O655+№27!O655+'№ 31'!O655+'№ 34'!O655+'№ 41'!O655</f>
        <v>0.433</v>
      </c>
      <c r="P578" s="199">
        <f>№2!P655+№5!P655+'№ 6'!P655+№14!P655+'№ 20'!P655+'№ 23'!P655+№27!P655+'№ 31'!P655+'№ 34'!P655+'№ 41'!P655</f>
        <v>5.4749999999999996</v>
      </c>
      <c r="Q578" s="199">
        <f>№2!Q655+№5!Q655+'№ 6'!Q655+№14!Q655+'№ 20'!Q655+'№ 23'!Q655+№27!Q655+'№ 31'!Q655+'№ 34'!Q655+'№ 41'!Q655</f>
        <v>4.2830000000000004</v>
      </c>
      <c r="R578" s="199">
        <f>№2!R655+№5!R655+'№ 6'!R655+№14!R655+'№ 20'!R655+'№ 23'!R655+№27!R655+'№ 31'!R655+'№ 34'!R655+'№ 41'!R655</f>
        <v>7.274</v>
      </c>
      <c r="S578" s="199">
        <f>№2!S655+№5!S655+'№ 6'!S655+№14!S655+'№ 20'!S655+'№ 23'!S655+№27!S655+'№ 31'!S655+'№ 34'!S655+'№ 41'!S655</f>
        <v>9.6489999999999991</v>
      </c>
      <c r="T578" s="199">
        <f>SUM(N578:S578)</f>
        <v>31.748999999999999</v>
      </c>
      <c r="U578" s="199">
        <f>T578+L578</f>
        <v>56.094999999999999</v>
      </c>
      <c r="V578" s="199">
        <f>№2!V655+№5!V655+'№ 6'!V655+№14!V655+'№ 20'!V655+'№ 23'!V655+№27!V655+'№ 31'!V655+'№ 34'!V655+'№ 41'!V655</f>
        <v>55.972999999999999</v>
      </c>
      <c r="W578" s="221">
        <f>V578-U578</f>
        <v>-0.122</v>
      </c>
      <c r="X578" s="176">
        <f>U573-U578</f>
        <v>-0.122</v>
      </c>
    </row>
    <row r="579" spans="1:28" s="205" customFormat="1" ht="18" customHeight="1">
      <c r="A579" s="614"/>
      <c r="B579" s="576"/>
      <c r="C579" s="577"/>
      <c r="D579" s="202" t="s">
        <v>29</v>
      </c>
      <c r="E579" s="203"/>
      <c r="F579" s="203">
        <f t="shared" ref="F579:K579" si="577">F573+F572</f>
        <v>1.175</v>
      </c>
      <c r="G579" s="203">
        <f t="shared" si="577"/>
        <v>3.4430000000000001</v>
      </c>
      <c r="H579" s="203">
        <f t="shared" si="577"/>
        <v>4.4320000000000004</v>
      </c>
      <c r="I579" s="203">
        <f t="shared" si="577"/>
        <v>3.008</v>
      </c>
      <c r="J579" s="203">
        <f t="shared" si="577"/>
        <v>4.3079999999999998</v>
      </c>
      <c r="K579" s="203">
        <f t="shared" si="577"/>
        <v>3.7530000000000001</v>
      </c>
      <c r="L579" s="203">
        <f>SUM(F579:K579)</f>
        <v>20.119</v>
      </c>
      <c r="M579" s="203">
        <f>L579/6</f>
        <v>3.3530000000000002</v>
      </c>
      <c r="N579" s="203">
        <f t="shared" ref="N579:S579" si="578">N573+N572</f>
        <v>3.8149999999999999</v>
      </c>
      <c r="O579" s="203">
        <f t="shared" si="578"/>
        <v>0.36599999999999999</v>
      </c>
      <c r="P579" s="203">
        <f t="shared" si="578"/>
        <v>5.883</v>
      </c>
      <c r="Q579" s="203">
        <f t="shared" si="578"/>
        <v>8.7260000000000009</v>
      </c>
      <c r="R579" s="203">
        <f t="shared" si="578"/>
        <v>6.9109999999999996</v>
      </c>
      <c r="S579" s="203">
        <f t="shared" si="578"/>
        <v>10.153</v>
      </c>
      <c r="T579" s="203">
        <f>SUM(N579:S579)</f>
        <v>35.853999999999999</v>
      </c>
      <c r="U579" s="203">
        <f>T579+L579</f>
        <v>55.972999999999999</v>
      </c>
      <c r="V579" s="203">
        <f>V576</f>
        <v>55.972999999999999</v>
      </c>
      <c r="W579" s="203">
        <f>V579-U579</f>
        <v>0</v>
      </c>
    </row>
    <row r="580" spans="1:28" s="205" customFormat="1" ht="18" customHeight="1">
      <c r="A580" s="614"/>
      <c r="B580" s="576"/>
      <c r="C580" s="577"/>
      <c r="D580" s="202" t="s">
        <v>30</v>
      </c>
      <c r="E580" s="203"/>
      <c r="F580" s="203">
        <f t="shared" ref="F580:K580" si="579">F576-F579</f>
        <v>-1.175</v>
      </c>
      <c r="G580" s="203">
        <f t="shared" si="579"/>
        <v>0.47499999999999998</v>
      </c>
      <c r="H580" s="203">
        <f t="shared" si="579"/>
        <v>0.94899999999999995</v>
      </c>
      <c r="I580" s="203">
        <f t="shared" si="579"/>
        <v>2.1930000000000001</v>
      </c>
      <c r="J580" s="203">
        <f t="shared" si="579"/>
        <v>0.47199999999999998</v>
      </c>
      <c r="K580" s="203">
        <f t="shared" si="579"/>
        <v>1.3129999999999999</v>
      </c>
      <c r="L580" s="203"/>
      <c r="M580" s="203"/>
      <c r="N580" s="203">
        <f t="shared" ref="N580:S580" si="580">N576-N579</f>
        <v>0.82</v>
      </c>
      <c r="O580" s="203">
        <f t="shared" si="580"/>
        <v>6.7000000000000004E-2</v>
      </c>
      <c r="P580" s="203">
        <f t="shared" si="580"/>
        <v>-0.40799999999999997</v>
      </c>
      <c r="Q580" s="203">
        <f t="shared" si="580"/>
        <v>-4.4429999999999996</v>
      </c>
      <c r="R580" s="203">
        <f t="shared" si="580"/>
        <v>0.36299999999999999</v>
      </c>
      <c r="S580" s="203">
        <f t="shared" si="580"/>
        <v>-0.504</v>
      </c>
      <c r="T580" s="203"/>
      <c r="U580" s="203"/>
      <c r="V580" s="203"/>
      <c r="W580" s="203"/>
    </row>
    <row r="581" spans="1:28" s="205" customFormat="1" ht="18" customHeight="1">
      <c r="A581" s="614"/>
      <c r="B581" s="578"/>
      <c r="C581" s="579"/>
      <c r="D581" s="202" t="s">
        <v>31</v>
      </c>
      <c r="E581" s="203"/>
      <c r="F581" s="203">
        <f>F580</f>
        <v>-1.175</v>
      </c>
      <c r="G581" s="203">
        <f>G580+F581</f>
        <v>-0.7</v>
      </c>
      <c r="H581" s="203">
        <f>H580+G581</f>
        <v>0.249</v>
      </c>
      <c r="I581" s="203">
        <f>I580+H581</f>
        <v>2.4420000000000002</v>
      </c>
      <c r="J581" s="203">
        <f>J580+I581</f>
        <v>2.9140000000000001</v>
      </c>
      <c r="K581" s="203">
        <f>K580+J581</f>
        <v>4.2270000000000003</v>
      </c>
      <c r="L581" s="203"/>
      <c r="M581" s="203"/>
      <c r="N581" s="203">
        <f>N580+K581</f>
        <v>5.0469999999999997</v>
      </c>
      <c r="O581" s="203">
        <f>O580+N581</f>
        <v>5.1139999999999999</v>
      </c>
      <c r="P581" s="203">
        <f>P580+O581</f>
        <v>4.7060000000000004</v>
      </c>
      <c r="Q581" s="203">
        <f>Q580+P581</f>
        <v>0.26300000000000001</v>
      </c>
      <c r="R581" s="203">
        <f>R580+Q581</f>
        <v>0.626</v>
      </c>
      <c r="S581" s="203">
        <f>S580+R581</f>
        <v>0.122</v>
      </c>
      <c r="T581" s="203"/>
      <c r="U581" s="203"/>
      <c r="V581" s="203"/>
      <c r="W581" s="203"/>
    </row>
    <row r="582" spans="1:28" s="196" customFormat="1" ht="18" hidden="1" customHeight="1">
      <c r="A582" s="614"/>
      <c r="B582" s="574" t="s">
        <v>120</v>
      </c>
      <c r="C582" s="575"/>
      <c r="D582" s="178" t="s">
        <v>105</v>
      </c>
      <c r="E582" s="179"/>
      <c r="F582" s="180">
        <f>№2!F659+№5!F659+'№ 6'!F659+№14!F659+'№ 20'!F659+'№ 23'!F659+№27!F659+'№ 31'!F659+'№ 34'!F659+'№ 41'!F659</f>
        <v>0</v>
      </c>
      <c r="G582" s="180">
        <f>№2!G659+№5!G659+'№ 6'!G659+№14!G659+'№ 20'!G659+'№ 23'!G659+№27!G659+'№ 31'!G659+'№ 34'!G659+'№ 41'!G659</f>
        <v>0</v>
      </c>
      <c r="H582" s="180">
        <f>№2!H659+№5!H659+'№ 6'!H659+№14!H659+'№ 20'!H659+'№ 23'!H659+№27!H659+'№ 31'!H659+'№ 34'!H659+'№ 41'!H659</f>
        <v>0</v>
      </c>
      <c r="I582" s="180">
        <f>№2!I659+№5!I659+'№ 6'!I659+№14!I659+'№ 20'!I659+'№ 23'!I659+№27!I659+'№ 31'!I659+'№ 34'!I659+'№ 41'!I659</f>
        <v>0</v>
      </c>
      <c r="J582" s="180">
        <f>№2!J659+№5!J659+'№ 6'!J659+№14!J659+'№ 20'!J659+'№ 23'!J659+№27!J659+'№ 31'!J659+'№ 34'!J659+'№ 41'!J659</f>
        <v>0</v>
      </c>
      <c r="K582" s="180">
        <f>№2!K659+№5!K659+'№ 6'!K659+№14!K659+'№ 20'!K659+'№ 23'!K659+№27!K659+'№ 31'!K659+'№ 34'!K659+'№ 41'!K659</f>
        <v>0</v>
      </c>
      <c r="L582" s="215">
        <f>SUM(F582:K582)</f>
        <v>0</v>
      </c>
      <c r="M582" s="215">
        <f>L582/6</f>
        <v>0</v>
      </c>
      <c r="N582" s="180">
        <f>№2!N659+№5!N659+'№ 6'!N659+№14!N659+'№ 20'!N659+'№ 23'!N659+№27!N659+'№ 31'!N659+'№ 34'!N659+'№ 41'!N659</f>
        <v>0</v>
      </c>
      <c r="O582" s="180">
        <f>№2!O659+№5!O659+'№ 6'!O659+№14!O659+'№ 20'!O659+'№ 23'!O659+№27!O659+'№ 31'!O659+'№ 34'!O659+'№ 41'!O659</f>
        <v>0</v>
      </c>
      <c r="P582" s="180">
        <f>№2!P659+№5!P659+'№ 6'!P659+№14!P659+'№ 20'!P659+'№ 23'!P659+№27!P659+'№ 31'!P659+'№ 34'!P659+'№ 41'!P659</f>
        <v>0</v>
      </c>
      <c r="Q582" s="180">
        <f>№2!Q659+№5!Q659+'№ 6'!Q659+№14!Q659+'№ 20'!Q659+'№ 23'!Q659+№27!Q659+'№ 31'!Q659+'№ 34'!Q659+'№ 41'!Q659</f>
        <v>0</v>
      </c>
      <c r="R582" s="180">
        <f>№2!R659+№5!R659+'№ 6'!R659+№14!R659+'№ 20'!R659+'№ 23'!R659+№27!R659+'№ 31'!R659+'№ 34'!R659+'№ 41'!R659</f>
        <v>0</v>
      </c>
      <c r="S582" s="180">
        <f>№2!S659+№5!S659+'№ 6'!S659+№14!S659+'№ 20'!S659+'№ 23'!S659+№27!S659+'№ 31'!S659+'№ 34'!S659+'№ 41'!S659</f>
        <v>0</v>
      </c>
      <c r="T582" s="215">
        <f>SUM(N582:S582)</f>
        <v>0</v>
      </c>
      <c r="U582" s="215">
        <f>T582+L582</f>
        <v>0</v>
      </c>
      <c r="V582" s="233">
        <f>№2!V659+№5!V659+'№ 6'!V659+№14!V659+'№ 20'!V659+'№ 23'!V659+№27!V659+'№ 31'!V659+'№ 34'!V659+'№ 41'!V659</f>
        <v>0</v>
      </c>
      <c r="W582" s="184"/>
      <c r="X582" s="185"/>
      <c r="Y582" s="186"/>
      <c r="Z582" s="186"/>
      <c r="AA582" s="186"/>
      <c r="AB582" s="186"/>
    </row>
    <row r="583" spans="1:28" s="186" customFormat="1" ht="18" hidden="1" customHeight="1">
      <c r="A583" s="614"/>
      <c r="B583" s="576"/>
      <c r="C583" s="577"/>
      <c r="D583" s="178" t="s">
        <v>109</v>
      </c>
      <c r="E583" s="179"/>
      <c r="F583" s="180">
        <f>№2!F660+№5!F660+'№ 6'!F660+№14!F660+'№ 20'!F660+'№ 23'!F660+№27!F660+'№ 31'!F660+'№ 34'!F660+'№ 41'!F660</f>
        <v>0</v>
      </c>
      <c r="G583" s="180">
        <f>№2!G660+№5!G660+'№ 6'!G660+№14!G660+'№ 20'!G660+'№ 23'!G660+№27!G660+'№ 31'!G660+'№ 34'!G660+'№ 41'!G660</f>
        <v>0</v>
      </c>
      <c r="H583" s="180">
        <f>№2!H660+№5!H660+'№ 6'!H660+№14!H660+'№ 20'!H660+'№ 23'!H660+№27!H660+'№ 31'!H660+'№ 34'!H660+'№ 41'!H660</f>
        <v>0</v>
      </c>
      <c r="I583" s="180">
        <f>№2!I660+№5!I660+'№ 6'!I660+№14!I660+'№ 20'!I660+'№ 23'!I660+№27!I660+'№ 31'!I660+'№ 34'!I660+'№ 41'!I660</f>
        <v>0</v>
      </c>
      <c r="J583" s="180">
        <f>№2!J660+№5!J660+'№ 6'!J660+№14!J660+'№ 20'!J660+'№ 23'!J660+№27!J660+'№ 31'!J660+'№ 34'!J660+'№ 41'!J660</f>
        <v>0</v>
      </c>
      <c r="K583" s="180">
        <f>№2!K660+№5!K660+'№ 6'!K660+№14!K660+'№ 20'!K660+'№ 23'!K660+№27!K660+'№ 31'!K660+'№ 34'!K660+'№ 41'!K660</f>
        <v>0</v>
      </c>
      <c r="L583" s="215">
        <f>SUM(F583:K583)</f>
        <v>0</v>
      </c>
      <c r="M583" s="215">
        <f>L583/6</f>
        <v>0</v>
      </c>
      <c r="N583" s="180">
        <f>№2!N660+№5!N660+'№ 6'!N660+№14!N660+'№ 20'!N660+'№ 23'!N660+№27!N660+'№ 31'!N660+'№ 34'!N660+'№ 41'!N660</f>
        <v>0</v>
      </c>
      <c r="O583" s="180">
        <f>№2!O660+№5!O660+'№ 6'!O660+№14!O660+'№ 20'!O660+'№ 23'!O660+№27!O660+'№ 31'!O660+'№ 34'!O660+'№ 41'!O660</f>
        <v>0</v>
      </c>
      <c r="P583" s="180">
        <f>№2!P660+№5!P660+'№ 6'!P660+№14!P660+'№ 20'!P660+'№ 23'!P660+№27!P660+'№ 31'!P660+'№ 34'!P660+'№ 41'!P660</f>
        <v>0</v>
      </c>
      <c r="Q583" s="180">
        <f>№2!Q660+№5!Q660+'№ 6'!Q660+№14!Q660+'№ 20'!Q660+'№ 23'!Q660+№27!Q660+'№ 31'!Q660+'№ 34'!Q660+'№ 41'!Q660</f>
        <v>0</v>
      </c>
      <c r="R583" s="180">
        <f>№2!R660+№5!R660+'№ 6'!R660+№14!R660+'№ 20'!R660+'№ 23'!R660+№27!R660+'№ 31'!R660+'№ 34'!R660+'№ 41'!R660</f>
        <v>0</v>
      </c>
      <c r="S583" s="180">
        <f>№2!S660+№5!S660+'№ 6'!S660+№14!S660+'№ 20'!S660+'№ 23'!S660+№27!S660+'№ 31'!S660+'№ 34'!S660+'№ 41'!S660</f>
        <v>0</v>
      </c>
      <c r="T583" s="215">
        <f>SUM(N583:S583)</f>
        <v>0</v>
      </c>
      <c r="U583" s="215">
        <f>T583+L583</f>
        <v>0</v>
      </c>
      <c r="V583" s="233">
        <f>№2!V660+№5!V660+'№ 6'!V660+№14!V660+'№ 20'!V660+'№ 23'!V660+№27!V660+'№ 31'!V660+'№ 34'!V660+'№ 41'!V660</f>
        <v>0</v>
      </c>
      <c r="W583" s="184"/>
      <c r="X583" s="185"/>
    </row>
    <row r="584" spans="1:28" s="186" customFormat="1" ht="18" hidden="1" customHeight="1">
      <c r="A584" s="614"/>
      <c r="B584" s="576"/>
      <c r="C584" s="577"/>
      <c r="D584" s="178" t="s">
        <v>116</v>
      </c>
      <c r="E584" s="179"/>
      <c r="F584" s="264">
        <f>№2!F661+№5!F661+'№ 6'!F661+№14!F661+'№ 20'!F661+'№ 23'!F661+№27!F661+'№ 31'!F661+'№ 34'!F661+'№ 41'!F661</f>
        <v>0</v>
      </c>
      <c r="G584" s="264">
        <f>№2!G661+№5!G661+'№ 6'!G661+№14!G661+'№ 20'!G661+'№ 23'!G661+№27!G661+'№ 31'!G661+'№ 34'!G661+'№ 41'!G661</f>
        <v>0</v>
      </c>
      <c r="H584" s="264">
        <f>№2!H661+№5!H661+'№ 6'!H661+№14!H661+'№ 20'!H661+'№ 23'!H661+№27!H661+'№ 31'!H661+'№ 34'!H661+'№ 41'!H661</f>
        <v>0</v>
      </c>
      <c r="I584" s="264">
        <f>№2!I661+№5!I661+'№ 6'!I661+№14!I661+'№ 20'!I661+'№ 23'!I661+№27!I661+'№ 31'!I661+'№ 34'!I661+'№ 41'!I661</f>
        <v>0</v>
      </c>
      <c r="J584" s="264">
        <f>№2!J661+№5!J661+'№ 6'!J661+№14!J661+'№ 20'!J661+'№ 23'!J661+№27!J661+'№ 31'!J661+'№ 34'!J661+'№ 41'!J661</f>
        <v>0</v>
      </c>
      <c r="K584" s="264">
        <f>№2!K661+№5!K661+'№ 6'!K661+№14!K661+'№ 20'!K661+'№ 23'!K661+№27!K661+'№ 31'!K661+'№ 34'!K661+'№ 41'!K661</f>
        <v>0</v>
      </c>
      <c r="L584" s="215">
        <f>SUM(F584:K584)</f>
        <v>0</v>
      </c>
      <c r="M584" s="215">
        <f>L584/6</f>
        <v>0</v>
      </c>
      <c r="N584" s="180">
        <f>№2!N661+№5!N661+'№ 6'!N661+№14!N661+'№ 20'!N661+'№ 23'!N661+№27!N661+'№ 31'!N661+'№ 34'!N661+'№ 41'!N661</f>
        <v>0</v>
      </c>
      <c r="O584" s="180">
        <f>№2!O661+№5!O661+'№ 6'!O661+№14!O661+'№ 20'!O661+'№ 23'!O661+№27!O661+'№ 31'!O661+'№ 34'!O661+'№ 41'!O661</f>
        <v>0</v>
      </c>
      <c r="P584" s="180">
        <f>№2!P661+№5!P661+'№ 6'!P661+№14!P661+'№ 20'!P661+'№ 23'!P661+№27!P661+'№ 31'!P661+'№ 34'!P661+'№ 41'!P661</f>
        <v>0</v>
      </c>
      <c r="Q584" s="180">
        <f>№2!Q661+№5!Q661+'№ 6'!Q661+№14!Q661+'№ 20'!Q661+'№ 23'!Q661+№27!Q661+'№ 31'!Q661+'№ 34'!Q661+'№ 41'!Q661</f>
        <v>0</v>
      </c>
      <c r="R584" s="180">
        <f>№2!R661+№5!R661+'№ 6'!R661+№14!R661+'№ 20'!R661+'№ 23'!R661+№27!R661+'№ 31'!R661+'№ 34'!R661+'№ 41'!R661</f>
        <v>0</v>
      </c>
      <c r="S584" s="180">
        <f>№2!S661+№5!S661+'№ 6'!S661+№14!S661+'№ 20'!S661+'№ 23'!S661+№27!S661+'№ 31'!S661+'№ 34'!S661+'№ 41'!S661</f>
        <v>0</v>
      </c>
      <c r="T584" s="215">
        <f>SUM(N584:S584)</f>
        <v>0</v>
      </c>
      <c r="U584" s="215">
        <f>T584+L584</f>
        <v>0</v>
      </c>
      <c r="V584" s="233">
        <f>№2!V661+№5!V661+'№ 6'!V661+№14!V661+'№ 20'!V661+'№ 23'!V661+№27!V661+'№ 31'!V661+'№ 34'!V661+'№ 41'!V661</f>
        <v>0</v>
      </c>
      <c r="W584" s="184">
        <f>V584-U584</f>
        <v>0</v>
      </c>
      <c r="X584" s="185"/>
    </row>
    <row r="585" spans="1:28" s="190" customFormat="1" ht="18" hidden="1" customHeight="1">
      <c r="A585" s="614"/>
      <c r="B585" s="576"/>
      <c r="C585" s="577"/>
      <c r="D585" s="187" t="s">
        <v>27</v>
      </c>
      <c r="E585" s="188"/>
      <c r="F585" s="188" t="e">
        <f t="shared" ref="F585:K585" si="581">F586*1000/F584</f>
        <v>#DIV/0!</v>
      </c>
      <c r="G585" s="188" t="e">
        <f t="shared" si="581"/>
        <v>#DIV/0!</v>
      </c>
      <c r="H585" s="188" t="e">
        <f t="shared" si="581"/>
        <v>#DIV/0!</v>
      </c>
      <c r="I585" s="188" t="e">
        <f t="shared" si="581"/>
        <v>#DIV/0!</v>
      </c>
      <c r="J585" s="188" t="e">
        <f t="shared" si="581"/>
        <v>#DIV/0!</v>
      </c>
      <c r="K585" s="188" t="e">
        <f t="shared" si="581"/>
        <v>#DIV/0!</v>
      </c>
      <c r="L585" s="217" t="e">
        <f>L586/L584*1000</f>
        <v>#DIV/0!</v>
      </c>
      <c r="M585" s="217" t="e">
        <f>M586/M584*1000</f>
        <v>#DIV/0!</v>
      </c>
      <c r="N585" s="188" t="e">
        <f t="shared" ref="N585:S585" si="582">N586*1000/N584</f>
        <v>#DIV/0!</v>
      </c>
      <c r="O585" s="188" t="e">
        <f t="shared" si="582"/>
        <v>#DIV/0!</v>
      </c>
      <c r="P585" s="188" t="e">
        <f t="shared" si="582"/>
        <v>#DIV/0!</v>
      </c>
      <c r="Q585" s="188" t="e">
        <f t="shared" si="582"/>
        <v>#DIV/0!</v>
      </c>
      <c r="R585" s="188" t="e">
        <f t="shared" si="582"/>
        <v>#DIV/0!</v>
      </c>
      <c r="S585" s="188" t="e">
        <f t="shared" si="582"/>
        <v>#DIV/0!</v>
      </c>
      <c r="T585" s="217" t="e">
        <f>T586/T584*1000</f>
        <v>#DIV/0!</v>
      </c>
      <c r="U585" s="217" t="e">
        <f>U586/U584*1000</f>
        <v>#DIV/0!</v>
      </c>
      <c r="V585" s="218" t="e">
        <f t="shared" ref="V585" si="583">V586*1000/V584</f>
        <v>#DIV/0!</v>
      </c>
      <c r="W585" s="189" t="e">
        <f>W586/W584*1000</f>
        <v>#DIV/0!</v>
      </c>
      <c r="X585" s="225"/>
    </row>
    <row r="586" spans="1:28" s="244" customFormat="1" ht="18" hidden="1" customHeight="1">
      <c r="A586" s="614"/>
      <c r="B586" s="576"/>
      <c r="C586" s="577"/>
      <c r="D586" s="191" t="s">
        <v>0</v>
      </c>
      <c r="E586" s="192"/>
      <c r="F586" s="192">
        <f>№2!F663+№5!F663+'№ 6'!F663+№14!F663+'№ 20'!F663+'№ 23'!F663+№27!F663+'№ 31'!F663+'№ 34'!F663+'№ 41'!F663</f>
        <v>0</v>
      </c>
      <c r="G586" s="192">
        <f>№2!G663+№5!G663+'№ 6'!G663+№14!G663+'№ 20'!G663+'№ 23'!G663+№27!G663+'№ 31'!G663+'№ 34'!G663+'№ 41'!G663</f>
        <v>0</v>
      </c>
      <c r="H586" s="192">
        <f>№2!H663+№5!H663+'№ 6'!H663+№14!H663+'№ 20'!H663+'№ 23'!H663+№27!H663+'№ 31'!H663+'№ 34'!H663+'№ 41'!H663</f>
        <v>0</v>
      </c>
      <c r="I586" s="192">
        <f>№2!I663+№5!I663+'№ 6'!I663+№14!I663+'№ 20'!I663+'№ 23'!I663+№27!I663+'№ 31'!I663+'№ 34'!I663+'№ 41'!I663</f>
        <v>0</v>
      </c>
      <c r="J586" s="192">
        <f>№2!J663+№5!J663+'№ 6'!J663+№14!J663+'№ 20'!J663+'№ 23'!J663+№27!J663+'№ 31'!J663+'№ 34'!J663+'№ 41'!J663</f>
        <v>0</v>
      </c>
      <c r="K586" s="192">
        <f>№2!K663+№5!K663+'№ 6'!K663+№14!K663+'№ 20'!K663+'№ 23'!K663+№27!K663+'№ 31'!K663+'№ 34'!K663+'№ 41'!K663</f>
        <v>0</v>
      </c>
      <c r="L586" s="194">
        <f>SUM(F586:K586)</f>
        <v>0</v>
      </c>
      <c r="M586" s="194">
        <f>L586/6</f>
        <v>0</v>
      </c>
      <c r="N586" s="192">
        <f>№2!N663+№5!N663+'№ 6'!N663+№14!N663+'№ 20'!N663+'№ 23'!N663+№27!N663+'№ 31'!N663+'№ 34'!N663+'№ 41'!N663</f>
        <v>0</v>
      </c>
      <c r="O586" s="192">
        <f>№2!O663+№5!O663+'№ 6'!O663+№14!O663+'№ 20'!O663+'№ 23'!O663+№27!O663+'№ 31'!O663+'№ 34'!O663+'№ 41'!O663</f>
        <v>0</v>
      </c>
      <c r="P586" s="192">
        <f>№2!P663+№5!P663+'№ 6'!P663+№14!P663+'№ 20'!P663+'№ 23'!P663+№27!P663+'№ 31'!P663+'№ 34'!P663+'№ 41'!P663</f>
        <v>0</v>
      </c>
      <c r="Q586" s="192">
        <f>№2!Q663+№5!Q663+'№ 6'!Q663+№14!Q663+'№ 20'!Q663+'№ 23'!Q663+№27!Q663+'№ 31'!Q663+'№ 34'!Q663+'№ 41'!Q663</f>
        <v>0</v>
      </c>
      <c r="R586" s="192">
        <f>№2!R663+№5!R663+'№ 6'!R663+№14!R663+'№ 20'!R663+'№ 23'!R663+№27!R663+'№ 31'!R663+'№ 34'!R663+'№ 41'!R663</f>
        <v>0</v>
      </c>
      <c r="S586" s="192">
        <f>№2!S663+№5!S663+'№ 6'!S663+№14!S663+'№ 20'!S663+'№ 23'!S663+№27!S663+'№ 31'!S663+'№ 34'!S663+'№ 41'!S663</f>
        <v>0</v>
      </c>
      <c r="T586" s="194">
        <f>SUM(N586:S586)</f>
        <v>0</v>
      </c>
      <c r="U586" s="194">
        <f>T586+L586</f>
        <v>0</v>
      </c>
      <c r="V586" s="194">
        <f>№2!V663+№5!V663+'№ 6'!V663+№14!V663+'№ 20'!V663+'№ 23'!V663+№27!V663+'№ 31'!V663+'№ 34'!V663+'№ 41'!V663</f>
        <v>0</v>
      </c>
      <c r="W586" s="193">
        <f>V586-U586</f>
        <v>0</v>
      </c>
    </row>
    <row r="587" spans="1:28" s="244" customFormat="1" ht="18" hidden="1" customHeight="1">
      <c r="A587" s="614"/>
      <c r="B587" s="576"/>
      <c r="C587" s="577"/>
      <c r="D587" s="174" t="s">
        <v>55</v>
      </c>
      <c r="E587" s="210"/>
      <c r="F587" s="192">
        <f>№2!F664+№5!F664+'№ 6'!F664+№14!F664+'№ 20'!F664+'№ 23'!F664+№27!F664+'№ 31'!F664+'№ 34'!F664+'№ 41'!F664</f>
        <v>0</v>
      </c>
      <c r="G587" s="192">
        <f>№2!G664+№5!G664+'№ 6'!G664+№14!G664+'№ 20'!G664+'№ 23'!G664+№27!G664+'№ 31'!G664+'№ 34'!G664+'№ 41'!G664</f>
        <v>0</v>
      </c>
      <c r="H587" s="192">
        <f>№2!H664+№5!H664+'№ 6'!H664+№14!H664+'№ 20'!H664+'№ 23'!H664+№27!H664+'№ 31'!H664+'№ 34'!H664+'№ 41'!H664</f>
        <v>0</v>
      </c>
      <c r="I587" s="192">
        <f>№2!I664+№5!I664+'№ 6'!I664+№14!I664+'№ 20'!I664+'№ 23'!I664+№27!I664+'№ 31'!I664+'№ 34'!I664+'№ 41'!I664</f>
        <v>0</v>
      </c>
      <c r="J587" s="192">
        <f>№2!J664+№5!J664+'№ 6'!J664+№14!J664+'№ 20'!J664+'№ 23'!J664+№27!J664+'№ 31'!J664+'№ 34'!J664+'№ 41'!J664</f>
        <v>0</v>
      </c>
      <c r="K587" s="192">
        <f>№2!K664+№5!K664+'№ 6'!K664+№14!K664+'№ 20'!K664+'№ 23'!K664+№27!K664+'№ 31'!K664+'№ 34'!K664+'№ 41'!K664</f>
        <v>0</v>
      </c>
      <c r="L587" s="194">
        <f>SUM(F587:K587)</f>
        <v>0</v>
      </c>
      <c r="M587" s="194">
        <f>L587/6</f>
        <v>0</v>
      </c>
      <c r="N587" s="192">
        <f>№2!N664+№5!N664+'№ 6'!N664+№14!N664+'№ 20'!N664+'№ 23'!N664+№27!N664+'№ 31'!N664+'№ 34'!N664+'№ 41'!N664</f>
        <v>0</v>
      </c>
      <c r="O587" s="192">
        <f>№2!O664+№5!O664+'№ 6'!O664+№14!O664+'№ 20'!O664+'№ 23'!O664+№27!O664+'№ 31'!O664+'№ 34'!O664+'№ 41'!O664</f>
        <v>0</v>
      </c>
      <c r="P587" s="192">
        <f>№2!P664+№5!P664+'№ 6'!P664+№14!P664+'№ 20'!P664+'№ 23'!P664+№27!P664+'№ 31'!P664+'№ 34'!P664+'№ 41'!P664</f>
        <v>0</v>
      </c>
      <c r="Q587" s="192">
        <f>№2!Q664+№5!Q664+'№ 6'!Q664+№14!Q664+'№ 20'!Q664+'№ 23'!Q664+№27!Q664+'№ 31'!Q664+'№ 34'!Q664+'№ 41'!Q664</f>
        <v>0</v>
      </c>
      <c r="R587" s="192">
        <f>№2!R664+№5!R664+'№ 6'!R664+№14!R664+'№ 20'!R664+'№ 23'!R664+№27!R664+'№ 31'!R664+'№ 34'!R664+'№ 41'!R664</f>
        <v>0</v>
      </c>
      <c r="S587" s="192">
        <f>№2!S664+№5!S664+'№ 6'!S664+№14!S664+'№ 20'!S664+'№ 23'!S664+№27!S664+'№ 31'!S664+'№ 34'!S664+'№ 41'!S664</f>
        <v>0</v>
      </c>
      <c r="T587" s="194">
        <f>SUM(N587:S587)</f>
        <v>0</v>
      </c>
      <c r="U587" s="194">
        <f>T587+L587</f>
        <v>0</v>
      </c>
      <c r="V587" s="194">
        <f>№2!V664+№5!V664+'№ 6'!V664+№14!V664+'№ 20'!V664+'№ 23'!V664+№27!V664+'№ 31'!V664+'№ 34'!V664+'№ 41'!V664</f>
        <v>0</v>
      </c>
      <c r="W587" s="193">
        <f>V587-U587</f>
        <v>0</v>
      </c>
    </row>
    <row r="588" spans="1:28" s="244" customFormat="1" ht="18" hidden="1" customHeight="1">
      <c r="A588" s="614"/>
      <c r="B588" s="576"/>
      <c r="C588" s="577"/>
      <c r="D588" s="174" t="s">
        <v>28</v>
      </c>
      <c r="E588" s="210"/>
      <c r="F588" s="192">
        <f>№2!F665+№5!F665+'№ 6'!F665+№14!F665+'№ 20'!F665+'№ 23'!F665+№27!F665+'№ 31'!F665+'№ 34'!F665+'№ 41'!F665</f>
        <v>0</v>
      </c>
      <c r="G588" s="192">
        <f>№2!G665+№5!G665+'№ 6'!G665+№14!G665+'№ 20'!G665+'№ 23'!G665+№27!G665+'№ 31'!G665+'№ 34'!G665+'№ 41'!G665</f>
        <v>0</v>
      </c>
      <c r="H588" s="192">
        <f>№2!H665+№5!H665+'№ 6'!H665+№14!H665+'№ 20'!H665+'№ 23'!H665+№27!H665+'№ 31'!H665+'№ 34'!H665+'№ 41'!H665</f>
        <v>0</v>
      </c>
      <c r="I588" s="192">
        <f>№2!I665+№5!I665+'№ 6'!I665+№14!I665+'№ 20'!I665+'№ 23'!I665+№27!I665+'№ 31'!I665+'№ 34'!I665+'№ 41'!I665</f>
        <v>0</v>
      </c>
      <c r="J588" s="192">
        <f>№2!J665+№5!J665+'№ 6'!J665+№14!J665+'№ 20'!J665+'№ 23'!J665+№27!J665+'№ 31'!J665+'№ 34'!J665+'№ 41'!J665</f>
        <v>0</v>
      </c>
      <c r="K588" s="192">
        <f>№2!K665+№5!K665+'№ 6'!K665+№14!K665+'№ 20'!K665+'№ 23'!K665+№27!K665+'№ 31'!K665+'№ 34'!K665+'№ 41'!K665</f>
        <v>0</v>
      </c>
      <c r="L588" s="194">
        <f>SUM(F588:K588)</f>
        <v>0</v>
      </c>
      <c r="M588" s="194">
        <f>L588/6</f>
        <v>0</v>
      </c>
      <c r="N588" s="192">
        <f>№2!N665+№5!N665+'№ 6'!N665+№14!N665+'№ 20'!N665+'№ 23'!N665+№27!N665+'№ 31'!N665+'№ 34'!N665+'№ 41'!N665</f>
        <v>0</v>
      </c>
      <c r="O588" s="192">
        <f>№2!O665+№5!O665+'№ 6'!O665+№14!O665+'№ 20'!O665+'№ 23'!O665+№27!O665+'№ 31'!O665+'№ 34'!O665+'№ 41'!O665</f>
        <v>0</v>
      </c>
      <c r="P588" s="192">
        <f>№2!P665+№5!P665+'№ 6'!P665+№14!P665+'№ 20'!P665+'№ 23'!P665+№27!P665+'№ 31'!P665+'№ 34'!P665+'№ 41'!P665</f>
        <v>0</v>
      </c>
      <c r="Q588" s="192">
        <f>№2!Q665+№5!Q665+'№ 6'!Q665+№14!Q665+'№ 20'!Q665+'№ 23'!Q665+№27!Q665+'№ 31'!Q665+'№ 34'!Q665+'№ 41'!Q665</f>
        <v>0</v>
      </c>
      <c r="R588" s="192">
        <f>№2!R665+№5!R665+'№ 6'!R665+№14!R665+'№ 20'!R665+'№ 23'!R665+№27!R665+'№ 31'!R665+'№ 34'!R665+'№ 41'!R665</f>
        <v>0</v>
      </c>
      <c r="S588" s="192">
        <f>№2!S665+№5!S665+'№ 6'!S665+№14!S665+'№ 20'!S665+'№ 23'!S665+№27!S665+'№ 31'!S665+'№ 34'!S665+'№ 41'!S665</f>
        <v>0</v>
      </c>
      <c r="T588" s="194">
        <f>SUM(N588:S588)</f>
        <v>0</v>
      </c>
      <c r="U588" s="194">
        <f>T588+L588</f>
        <v>0</v>
      </c>
      <c r="V588" s="194">
        <f>№2!V665+№5!V665+'№ 6'!V665+№14!V665+'№ 20'!V665+'№ 23'!V665+№27!V665+'№ 31'!V665+'№ 34'!V665+'№ 41'!V665</f>
        <v>0</v>
      </c>
      <c r="W588" s="193">
        <f>V588-U588</f>
        <v>0</v>
      </c>
    </row>
    <row r="589" spans="1:28" s="186" customFormat="1" ht="18" hidden="1" customHeight="1">
      <c r="A589" s="614"/>
      <c r="B589" s="576"/>
      <c r="C589" s="577"/>
      <c r="D589" s="178" t="s">
        <v>117</v>
      </c>
      <c r="E589" s="179">
        <f>№2!E666+№5!E666+'№ 6'!E666+№14!E666+'№ 20'!E666+'№ 23'!E666+№27!E666+'№ 31'!E666+'№ 34'!E666+'№ 41'!E666</f>
        <v>0</v>
      </c>
      <c r="F589" s="260">
        <f>№2!F666+№5!F666+'№ 6'!F666+№14!F666+'№ 20'!F666+'№ 23'!F666+№27!F666+'№ 31'!F666+'№ 34'!F666+'№ 41'!F666</f>
        <v>0</v>
      </c>
      <c r="G589" s="260">
        <f>№2!G666+№5!G666+'№ 6'!G666+№14!G666+'№ 20'!G666+'№ 23'!G666+№27!G666+'№ 31'!G666+'№ 34'!G666+'№ 41'!G666</f>
        <v>0</v>
      </c>
      <c r="H589" s="260">
        <f>№2!H666+№5!H666+'№ 6'!H666+№14!H666+'№ 20'!H666+'№ 23'!H666+№27!H666+'№ 31'!H666+'№ 34'!H666+'№ 41'!H666</f>
        <v>0</v>
      </c>
      <c r="I589" s="260">
        <f>№2!I666+№5!I666+'№ 6'!I666+№14!I666+'№ 20'!I666+'№ 23'!I666+№27!I666+'№ 31'!I666+'№ 34'!I666+'№ 41'!I666</f>
        <v>0</v>
      </c>
      <c r="J589" s="260">
        <f>№2!J666+№5!J666+'№ 6'!J666+№14!J666+'№ 20'!J666+'№ 23'!J666+№27!J666+'№ 31'!J666+'№ 34'!J666+'№ 41'!J666</f>
        <v>0</v>
      </c>
      <c r="K589" s="260">
        <f>№2!K666+№5!K666+'№ 6'!K666+№14!K666+'№ 20'!K666+'№ 23'!K666+№27!K666+'№ 31'!K666+'№ 34'!K666+'№ 41'!K666</f>
        <v>0</v>
      </c>
      <c r="L589" s="215">
        <f>SUM(F589:K589)</f>
        <v>0</v>
      </c>
      <c r="M589" s="215">
        <f>L589/6</f>
        <v>0</v>
      </c>
      <c r="N589" s="179">
        <f>№2!N666+№5!N666+'№ 6'!N666+№14!N666+'№ 20'!N666+'№ 23'!N666+№27!N666+'№ 31'!N666+'№ 34'!N666+'№ 41'!N666</f>
        <v>0</v>
      </c>
      <c r="O589" s="179">
        <f>№2!O666+№5!O666+'№ 6'!O666+№14!O666+'№ 20'!O666+'№ 23'!O666+№27!O666+'№ 31'!O666+'№ 34'!O666+'№ 41'!O666</f>
        <v>0</v>
      </c>
      <c r="P589" s="179">
        <f>№2!P666+№5!P666+'№ 6'!P666+№14!P666+'№ 20'!P666+'№ 23'!P666+№27!P666+'№ 31'!P666+'№ 34'!P666+'№ 41'!P666</f>
        <v>0</v>
      </c>
      <c r="Q589" s="179">
        <f>№2!Q666+№5!Q666+'№ 6'!Q666+№14!Q666+'№ 20'!Q666+'№ 23'!Q666+№27!Q666+'№ 31'!Q666+'№ 34'!Q666+'№ 41'!Q666</f>
        <v>0</v>
      </c>
      <c r="R589" s="179">
        <f>№2!R666+№5!R666+'№ 6'!R666+№14!R666+'№ 20'!R666+'№ 23'!R666+№27!R666+'№ 31'!R666+'№ 34'!R666+'№ 41'!R666</f>
        <v>0</v>
      </c>
      <c r="S589" s="179">
        <f>№2!S666+№5!S666+'№ 6'!S666+№14!S666+'№ 20'!S666+'№ 23'!S666+№27!S666+'№ 31'!S666+'№ 34'!S666+'№ 41'!S666</f>
        <v>0</v>
      </c>
      <c r="T589" s="215">
        <f>SUM(N589:S589)</f>
        <v>0</v>
      </c>
      <c r="U589" s="215">
        <f>T589+L589</f>
        <v>0</v>
      </c>
      <c r="V589" s="179">
        <f>№2!V666+№5!V666+'№ 6'!V666+№14!V666+'№ 20'!V666+'№ 23'!V666+№27!V666+'№ 31'!V666+'№ 34'!V666+'№ 41'!V666</f>
        <v>0</v>
      </c>
      <c r="W589" s="184">
        <f>V589-U589</f>
        <v>0</v>
      </c>
      <c r="X589" s="185">
        <f>U584-U589</f>
        <v>0</v>
      </c>
    </row>
    <row r="590" spans="1:28" s="190" customFormat="1" ht="18" hidden="1" customHeight="1">
      <c r="A590" s="614"/>
      <c r="B590" s="576"/>
      <c r="C590" s="577"/>
      <c r="D590" s="187" t="s">
        <v>27</v>
      </c>
      <c r="E590" s="188" t="e">
        <f t="shared" ref="E590:K590" si="584">E591*1000/E589</f>
        <v>#DIV/0!</v>
      </c>
      <c r="F590" s="188" t="e">
        <f t="shared" si="584"/>
        <v>#DIV/0!</v>
      </c>
      <c r="G590" s="188" t="e">
        <f t="shared" si="584"/>
        <v>#DIV/0!</v>
      </c>
      <c r="H590" s="188" t="e">
        <f t="shared" si="584"/>
        <v>#DIV/0!</v>
      </c>
      <c r="I590" s="188" t="e">
        <f t="shared" si="584"/>
        <v>#DIV/0!</v>
      </c>
      <c r="J590" s="188" t="e">
        <f t="shared" si="584"/>
        <v>#DIV/0!</v>
      </c>
      <c r="K590" s="188" t="e">
        <f t="shared" si="584"/>
        <v>#DIV/0!</v>
      </c>
      <c r="L590" s="217" t="e">
        <f>L591/L589*1000</f>
        <v>#DIV/0!</v>
      </c>
      <c r="M590" s="217" t="e">
        <f>M591/M589*1000</f>
        <v>#DIV/0!</v>
      </c>
      <c r="N590" s="188" t="e">
        <f t="shared" ref="N590:S590" si="585">N591*1000/N589</f>
        <v>#DIV/0!</v>
      </c>
      <c r="O590" s="188" t="e">
        <f t="shared" si="585"/>
        <v>#DIV/0!</v>
      </c>
      <c r="P590" s="188" t="e">
        <f t="shared" si="585"/>
        <v>#DIV/0!</v>
      </c>
      <c r="Q590" s="188" t="e">
        <f t="shared" si="585"/>
        <v>#DIV/0!</v>
      </c>
      <c r="R590" s="188" t="e">
        <f t="shared" si="585"/>
        <v>#DIV/0!</v>
      </c>
      <c r="S590" s="188" t="e">
        <f t="shared" si="585"/>
        <v>#DIV/0!</v>
      </c>
      <c r="T590" s="217" t="e">
        <f>T591/T589*1000</f>
        <v>#DIV/0!</v>
      </c>
      <c r="U590" s="217" t="e">
        <f>U591/U589*1000</f>
        <v>#DIV/0!</v>
      </c>
      <c r="V590" s="218" t="e">
        <f t="shared" ref="V590" si="586">V591*1000/V589</f>
        <v>#DIV/0!</v>
      </c>
      <c r="W590" s="189" t="e">
        <f>W591/W589*1000</f>
        <v>#DIV/0!</v>
      </c>
      <c r="X590" s="225"/>
    </row>
    <row r="591" spans="1:28" s="239" customFormat="1" ht="18" hidden="1" customHeight="1">
      <c r="A591" s="614"/>
      <c r="B591" s="576"/>
      <c r="C591" s="577"/>
      <c r="D591" s="198" t="s">
        <v>25</v>
      </c>
      <c r="E591" s="199">
        <f>№2!E668+№5!E668+'№ 6'!E668+№14!E668+'№ 20'!E668+'№ 23'!E668+№27!E668+'№ 31'!E668+'№ 34'!E668+'№ 41'!E668</f>
        <v>0</v>
      </c>
      <c r="F591" s="199">
        <f>№2!F668+№5!F668+'№ 6'!F668+№14!F668+'№ 20'!F668+'№ 23'!F668+№27!F668+'№ 31'!F668+'№ 34'!F668+'№ 41'!F668</f>
        <v>0</v>
      </c>
      <c r="G591" s="199">
        <f>№2!G668+№5!G668+'№ 6'!G668+№14!G668+'№ 20'!G668+'№ 23'!G668+№27!G668+'№ 31'!G668+'№ 34'!G668+'№ 41'!G668</f>
        <v>0</v>
      </c>
      <c r="H591" s="199">
        <f>№2!H668+№5!H668+'№ 6'!H668+№14!H668+'№ 20'!H668+'№ 23'!H668+№27!H668+'№ 31'!H668+'№ 34'!H668+'№ 41'!H668</f>
        <v>0</v>
      </c>
      <c r="I591" s="199">
        <f>№2!I668+№5!I668+'№ 6'!I668+№14!I668+'№ 20'!I668+'№ 23'!I668+№27!I668+'№ 31'!I668+'№ 34'!I668+'№ 41'!I668</f>
        <v>0</v>
      </c>
      <c r="J591" s="199">
        <f>№2!J668+№5!J668+'№ 6'!J668+№14!J668+'№ 20'!J668+'№ 23'!J668+№27!J668+'№ 31'!J668+'№ 34'!J668+'№ 41'!J668</f>
        <v>0</v>
      </c>
      <c r="K591" s="199">
        <f>№2!K668+№5!K668+'№ 6'!K668+№14!K668+'№ 20'!K668+'№ 23'!K668+№27!K668+'№ 31'!K668+'№ 34'!K668+'№ 41'!K668</f>
        <v>0</v>
      </c>
      <c r="L591" s="199">
        <f>SUM(F591:K591)</f>
        <v>0</v>
      </c>
      <c r="M591" s="199">
        <f>L591/6</f>
        <v>0</v>
      </c>
      <c r="N591" s="199">
        <f>№2!N668+№5!N668+'№ 6'!N668+№14!N668+'№ 20'!N668+'№ 23'!N668+№27!N668+'№ 31'!N668+'№ 34'!N668+'№ 41'!N668</f>
        <v>0</v>
      </c>
      <c r="O591" s="199">
        <f>№2!O668+№5!O668+'№ 6'!O668+№14!O668+'№ 20'!O668+'№ 23'!O668+№27!O668+'№ 31'!O668+'№ 34'!O668+'№ 41'!O668</f>
        <v>0</v>
      </c>
      <c r="P591" s="199">
        <f>№2!P668+№5!P668+'№ 6'!P668+№14!P668+'№ 20'!P668+'№ 23'!P668+№27!P668+'№ 31'!P668+'№ 34'!P668+'№ 41'!P668</f>
        <v>0</v>
      </c>
      <c r="Q591" s="199">
        <f>№2!Q668+№5!Q668+'№ 6'!Q668+№14!Q668+'№ 20'!Q668+'№ 23'!Q668+№27!Q668+'№ 31'!Q668+'№ 34'!Q668+'№ 41'!Q668</f>
        <v>0</v>
      </c>
      <c r="R591" s="199">
        <f>№2!R668+№5!R668+'№ 6'!R668+№14!R668+'№ 20'!R668+'№ 23'!R668+№27!R668+'№ 31'!R668+'№ 34'!R668+'№ 41'!R668</f>
        <v>0</v>
      </c>
      <c r="S591" s="199">
        <f>№2!S668+№5!S668+'№ 6'!S668+№14!S668+'№ 20'!S668+'№ 23'!S668+№27!S668+'№ 31'!S668+'№ 34'!S668+'№ 41'!S668</f>
        <v>0</v>
      </c>
      <c r="T591" s="199">
        <f>SUM(N591:S591)</f>
        <v>0</v>
      </c>
      <c r="U591" s="199">
        <f>T591+L591</f>
        <v>0</v>
      </c>
      <c r="V591" s="199">
        <f>№2!V668+№5!V668+'№ 6'!V668+№14!V668+'№ 20'!V668+'№ 23'!V668+№27!V668+'№ 31'!V668+'№ 34'!V668+'№ 41'!V668</f>
        <v>0</v>
      </c>
      <c r="W591" s="221">
        <f>V591-U591</f>
        <v>0</v>
      </c>
      <c r="X591" s="176">
        <f>U586-U591</f>
        <v>0</v>
      </c>
    </row>
    <row r="592" spans="1:28" s="239" customFormat="1" ht="18" hidden="1" customHeight="1">
      <c r="A592" s="614"/>
      <c r="B592" s="576"/>
      <c r="C592" s="577"/>
      <c r="D592" s="201" t="s">
        <v>55</v>
      </c>
      <c r="E592" s="220"/>
      <c r="F592" s="199">
        <f>№2!F669+№5!F669+'№ 6'!F669+№14!F669+'№ 20'!F669+'№ 23'!F669+№27!F669+'№ 31'!F669+'№ 34'!F669+'№ 41'!F669</f>
        <v>0</v>
      </c>
      <c r="G592" s="199">
        <f>№2!G669+№5!G669+'№ 6'!G669+№14!G669+'№ 20'!G669+'№ 23'!G669+№27!G669+'№ 31'!G669+'№ 34'!G669+'№ 41'!G669</f>
        <v>0</v>
      </c>
      <c r="H592" s="199">
        <f>№2!H669+№5!H669+'№ 6'!H669+№14!H669+'№ 20'!H669+'№ 23'!H669+№27!H669+'№ 31'!H669+'№ 34'!H669+'№ 41'!H669</f>
        <v>0</v>
      </c>
      <c r="I592" s="199">
        <f>№2!I669+№5!I669+'№ 6'!I669+№14!I669+'№ 20'!I669+'№ 23'!I669+№27!I669+'№ 31'!I669+'№ 34'!I669+'№ 41'!I669</f>
        <v>0</v>
      </c>
      <c r="J592" s="199">
        <f>№2!J669+№5!J669+'№ 6'!J669+№14!J669+'№ 20'!J669+'№ 23'!J669+№27!J669+'№ 31'!J669+'№ 34'!J669+'№ 41'!J669</f>
        <v>0</v>
      </c>
      <c r="K592" s="199">
        <f>№2!K669+№5!K669+'№ 6'!K669+№14!K669+'№ 20'!K669+'№ 23'!K669+№27!K669+'№ 31'!K669+'№ 34'!K669+'№ 41'!K669</f>
        <v>0</v>
      </c>
      <c r="L592" s="199">
        <f>SUM(F592:K592)</f>
        <v>0</v>
      </c>
      <c r="M592" s="199">
        <f>L592/6</f>
        <v>0</v>
      </c>
      <c r="N592" s="199">
        <f>№2!N669+№5!N669+'№ 6'!N669+№14!N669+'№ 20'!N669+'№ 23'!N669+№27!N669+'№ 31'!N669+'№ 34'!N669+'№ 41'!N669</f>
        <v>0</v>
      </c>
      <c r="O592" s="199">
        <f>№2!O669+№5!O669+'№ 6'!O669+№14!O669+'№ 20'!O669+'№ 23'!O669+№27!O669+'№ 31'!O669+'№ 34'!O669+'№ 41'!O669</f>
        <v>0</v>
      </c>
      <c r="P592" s="199">
        <f>№2!P669+№5!P669+'№ 6'!P669+№14!P669+'№ 20'!P669+'№ 23'!P669+№27!P669+'№ 31'!P669+'№ 34'!P669+'№ 41'!P669</f>
        <v>0</v>
      </c>
      <c r="Q592" s="199">
        <f>№2!Q669+№5!Q669+'№ 6'!Q669+№14!Q669+'№ 20'!Q669+'№ 23'!Q669+№27!Q669+'№ 31'!Q669+'№ 34'!Q669+'№ 41'!Q669</f>
        <v>0</v>
      </c>
      <c r="R592" s="199">
        <f>№2!R669+№5!R669+'№ 6'!R669+№14!R669+'№ 20'!R669+'№ 23'!R669+№27!R669+'№ 31'!R669+'№ 34'!R669+'№ 41'!R669</f>
        <v>0</v>
      </c>
      <c r="S592" s="199">
        <f>№2!S669+№5!S669+'№ 6'!S669+№14!S669+'№ 20'!S669+'№ 23'!S669+№27!S669+'№ 31'!S669+'№ 34'!S669+'№ 41'!S669</f>
        <v>0</v>
      </c>
      <c r="T592" s="199">
        <f>SUM(N592:S592)</f>
        <v>0</v>
      </c>
      <c r="U592" s="199">
        <f>T592+L592</f>
        <v>0</v>
      </c>
      <c r="V592" s="199">
        <f>№2!V669+№5!V669+'№ 6'!V669+№14!V669+'№ 20'!V669+'№ 23'!V669+№27!V669+'№ 31'!V669+'№ 34'!V669+'№ 41'!V669</f>
        <v>0</v>
      </c>
      <c r="W592" s="221">
        <f>V592-U592</f>
        <v>0</v>
      </c>
      <c r="X592" s="176">
        <f>U587-U592</f>
        <v>0</v>
      </c>
    </row>
    <row r="593" spans="1:28" s="239" customFormat="1" ht="18" hidden="1" customHeight="1">
      <c r="A593" s="614"/>
      <c r="B593" s="576"/>
      <c r="C593" s="577"/>
      <c r="D593" s="201" t="s">
        <v>24</v>
      </c>
      <c r="E593" s="220"/>
      <c r="F593" s="199">
        <f>№2!F670+№5!F670+'№ 6'!F670+№14!F670+'№ 20'!F670+'№ 23'!F670+№27!F670+'№ 31'!F670+'№ 34'!F670+'№ 41'!F670</f>
        <v>0</v>
      </c>
      <c r="G593" s="199">
        <f>№2!G670+№5!G670+'№ 6'!G670+№14!G670+'№ 20'!G670+'№ 23'!G670+№27!G670+'№ 31'!G670+'№ 34'!G670+'№ 41'!G670</f>
        <v>0</v>
      </c>
      <c r="H593" s="199">
        <f>№2!H670+№5!H670+'№ 6'!H670+№14!H670+'№ 20'!H670+'№ 23'!H670+№27!H670+'№ 31'!H670+'№ 34'!H670+'№ 41'!H670</f>
        <v>0</v>
      </c>
      <c r="I593" s="199">
        <f>№2!I670+№5!I670+'№ 6'!I670+№14!I670+'№ 20'!I670+'№ 23'!I670+№27!I670+'№ 31'!I670+'№ 34'!I670+'№ 41'!I670</f>
        <v>0</v>
      </c>
      <c r="J593" s="199">
        <f>№2!J670+№5!J670+'№ 6'!J670+№14!J670+'№ 20'!J670+'№ 23'!J670+№27!J670+'№ 31'!J670+'№ 34'!J670+'№ 41'!J670</f>
        <v>0</v>
      </c>
      <c r="K593" s="199">
        <f>№2!K670+№5!K670+'№ 6'!K670+№14!K670+'№ 20'!K670+'№ 23'!K670+№27!K670+'№ 31'!K670+'№ 34'!K670+'№ 41'!K670</f>
        <v>0</v>
      </c>
      <c r="L593" s="199">
        <f>SUM(F593:K593)</f>
        <v>0</v>
      </c>
      <c r="M593" s="199">
        <f>L593/6</f>
        <v>0</v>
      </c>
      <c r="N593" s="199">
        <f>№2!N670+№5!N670+'№ 6'!N670+№14!N670+'№ 20'!N670+'№ 23'!N670+№27!N670+'№ 31'!N670+'№ 34'!N670+'№ 41'!N670</f>
        <v>0</v>
      </c>
      <c r="O593" s="199">
        <f>№2!O670+№5!O670+'№ 6'!O670+№14!O670+'№ 20'!O670+'№ 23'!O670+№27!O670+'№ 31'!O670+'№ 34'!O670+'№ 41'!O670</f>
        <v>0</v>
      </c>
      <c r="P593" s="199">
        <f>№2!P670+№5!P670+'№ 6'!P670+№14!P670+'№ 20'!P670+'№ 23'!P670+№27!P670+'№ 31'!P670+'№ 34'!P670+'№ 41'!P670</f>
        <v>0</v>
      </c>
      <c r="Q593" s="199">
        <f>№2!Q670+№5!Q670+'№ 6'!Q670+№14!Q670+'№ 20'!Q670+'№ 23'!Q670+№27!Q670+'№ 31'!Q670+'№ 34'!Q670+'№ 41'!Q670</f>
        <v>0</v>
      </c>
      <c r="R593" s="199">
        <f>№2!R670+№5!R670+'№ 6'!R670+№14!R670+'№ 20'!R670+'№ 23'!R670+№27!R670+'№ 31'!R670+'№ 34'!R670+'№ 41'!R670</f>
        <v>0</v>
      </c>
      <c r="S593" s="199">
        <f>№2!S670+№5!S670+'№ 6'!S670+№14!S670+'№ 20'!S670+'№ 23'!S670+№27!S670+'№ 31'!S670+'№ 34'!S670+'№ 41'!S670</f>
        <v>0</v>
      </c>
      <c r="T593" s="199">
        <f>SUM(N593:S593)</f>
        <v>0</v>
      </c>
      <c r="U593" s="199">
        <f>T593+L593</f>
        <v>0</v>
      </c>
      <c r="V593" s="199">
        <f>№2!V670+№5!V670+'№ 6'!V670+№14!V670+'№ 20'!V670+'№ 23'!V670+№27!V670+'№ 31'!V670+'№ 34'!V670+'№ 41'!V670</f>
        <v>0</v>
      </c>
      <c r="W593" s="221">
        <f>V593-U593</f>
        <v>0</v>
      </c>
      <c r="X593" s="176">
        <f>U588-U593</f>
        <v>0</v>
      </c>
    </row>
    <row r="594" spans="1:28" s="205" customFormat="1" ht="18" hidden="1" customHeight="1">
      <c r="A594" s="614"/>
      <c r="B594" s="576"/>
      <c r="C594" s="577"/>
      <c r="D594" s="202" t="s">
        <v>29</v>
      </c>
      <c r="E594" s="203"/>
      <c r="F594" s="203">
        <f t="shared" ref="F594:K594" si="587">F588+F587</f>
        <v>0</v>
      </c>
      <c r="G594" s="203">
        <f t="shared" si="587"/>
        <v>0</v>
      </c>
      <c r="H594" s="203">
        <f t="shared" si="587"/>
        <v>0</v>
      </c>
      <c r="I594" s="203">
        <f t="shared" si="587"/>
        <v>0</v>
      </c>
      <c r="J594" s="203">
        <f t="shared" si="587"/>
        <v>0</v>
      </c>
      <c r="K594" s="203">
        <f t="shared" si="587"/>
        <v>0</v>
      </c>
      <c r="L594" s="203">
        <f>SUM(F594:K594)</f>
        <v>0</v>
      </c>
      <c r="M594" s="203">
        <f>L594/6</f>
        <v>0</v>
      </c>
      <c r="N594" s="203">
        <f t="shared" ref="N594:S594" si="588">N588+N587</f>
        <v>0</v>
      </c>
      <c r="O594" s="203">
        <f t="shared" si="588"/>
        <v>0</v>
      </c>
      <c r="P594" s="203">
        <f t="shared" si="588"/>
        <v>0</v>
      </c>
      <c r="Q594" s="203">
        <f t="shared" si="588"/>
        <v>0</v>
      </c>
      <c r="R594" s="203">
        <f t="shared" si="588"/>
        <v>0</v>
      </c>
      <c r="S594" s="203">
        <f t="shared" si="588"/>
        <v>0</v>
      </c>
      <c r="T594" s="203">
        <f>SUM(N594:S594)</f>
        <v>0</v>
      </c>
      <c r="U594" s="203">
        <f>T594+L594</f>
        <v>0</v>
      </c>
      <c r="V594" s="203">
        <f>V591</f>
        <v>0</v>
      </c>
      <c r="W594" s="203">
        <f>V594-U594</f>
        <v>0</v>
      </c>
    </row>
    <row r="595" spans="1:28" s="205" customFormat="1" ht="18" hidden="1" customHeight="1">
      <c r="A595" s="614"/>
      <c r="B595" s="576"/>
      <c r="C595" s="577"/>
      <c r="D595" s="202" t="s">
        <v>30</v>
      </c>
      <c r="E595" s="203"/>
      <c r="F595" s="203">
        <f t="shared" ref="F595:K595" si="589">F591-F594</f>
        <v>0</v>
      </c>
      <c r="G595" s="203">
        <f t="shared" si="589"/>
        <v>0</v>
      </c>
      <c r="H595" s="203">
        <f t="shared" si="589"/>
        <v>0</v>
      </c>
      <c r="I595" s="203">
        <f t="shared" si="589"/>
        <v>0</v>
      </c>
      <c r="J595" s="203">
        <f t="shared" si="589"/>
        <v>0</v>
      </c>
      <c r="K595" s="203">
        <f t="shared" si="589"/>
        <v>0</v>
      </c>
      <c r="L595" s="203"/>
      <c r="M595" s="203"/>
      <c r="N595" s="203">
        <f t="shared" ref="N595:S595" si="590">N591-N594</f>
        <v>0</v>
      </c>
      <c r="O595" s="203">
        <f t="shared" si="590"/>
        <v>0</v>
      </c>
      <c r="P595" s="203">
        <f t="shared" si="590"/>
        <v>0</v>
      </c>
      <c r="Q595" s="203">
        <f t="shared" si="590"/>
        <v>0</v>
      </c>
      <c r="R595" s="203">
        <f t="shared" si="590"/>
        <v>0</v>
      </c>
      <c r="S595" s="203">
        <f t="shared" si="590"/>
        <v>0</v>
      </c>
      <c r="T595" s="203"/>
      <c r="U595" s="203"/>
      <c r="V595" s="203"/>
      <c r="W595" s="203"/>
    </row>
    <row r="596" spans="1:28" s="205" customFormat="1" ht="18" hidden="1" customHeight="1">
      <c r="A596" s="614"/>
      <c r="B596" s="578"/>
      <c r="C596" s="579"/>
      <c r="D596" s="202" t="s">
        <v>31</v>
      </c>
      <c r="E596" s="203"/>
      <c r="F596" s="203">
        <f>F595</f>
        <v>0</v>
      </c>
      <c r="G596" s="203">
        <f>G595+F596</f>
        <v>0</v>
      </c>
      <c r="H596" s="203">
        <f>H595+G596</f>
        <v>0</v>
      </c>
      <c r="I596" s="203">
        <f>I595+H596</f>
        <v>0</v>
      </c>
      <c r="J596" s="203">
        <f>J595+I596</f>
        <v>0</v>
      </c>
      <c r="K596" s="203">
        <f>K595+J596</f>
        <v>0</v>
      </c>
      <c r="L596" s="203"/>
      <c r="M596" s="203"/>
      <c r="N596" s="203">
        <f>N595+K596</f>
        <v>0</v>
      </c>
      <c r="O596" s="203">
        <f>O595+N596</f>
        <v>0</v>
      </c>
      <c r="P596" s="203">
        <f>P595+O596</f>
        <v>0</v>
      </c>
      <c r="Q596" s="203">
        <f>Q595+P596</f>
        <v>0</v>
      </c>
      <c r="R596" s="203">
        <f>R595+Q596</f>
        <v>0</v>
      </c>
      <c r="S596" s="203">
        <f>S595+R596</f>
        <v>0</v>
      </c>
      <c r="T596" s="203"/>
      <c r="U596" s="203"/>
      <c r="V596" s="203"/>
      <c r="W596" s="203"/>
    </row>
    <row r="597" spans="1:28" s="196" customFormat="1" ht="18" hidden="1" customHeight="1">
      <c r="A597" s="614"/>
      <c r="B597" s="580" t="s">
        <v>68</v>
      </c>
      <c r="C597" s="575"/>
      <c r="D597" s="178" t="s">
        <v>105</v>
      </c>
      <c r="E597" s="179"/>
      <c r="F597" s="180">
        <f>№2!F674+№5!F674+'№ 6'!F674+№14!F674+'№ 20'!F674+'№ 23'!F674+№27!F674+'№ 31'!F674+'№ 34'!F674+'№ 41'!F674</f>
        <v>0</v>
      </c>
      <c r="G597" s="180">
        <f>№2!G674+№5!G674+'№ 6'!G674+№14!G674+'№ 20'!G674+'№ 23'!G674+№27!G674+'№ 31'!G674+'№ 34'!G674+'№ 41'!G674</f>
        <v>0</v>
      </c>
      <c r="H597" s="180">
        <f>№2!H674+№5!H674+'№ 6'!H674+№14!H674+'№ 20'!H674+'№ 23'!H674+№27!H674+'№ 31'!H674+'№ 34'!H674+'№ 41'!H674</f>
        <v>0</v>
      </c>
      <c r="I597" s="180">
        <f>№2!I674+№5!I674+'№ 6'!I674+№14!I674+'№ 20'!I674+'№ 23'!I674+№27!I674+'№ 31'!I674+'№ 34'!I674+'№ 41'!I674</f>
        <v>0</v>
      </c>
      <c r="J597" s="180">
        <f>№2!J674+№5!J674+'№ 6'!J674+№14!J674+'№ 20'!J674+'№ 23'!J674+№27!J674+'№ 31'!J674+'№ 34'!J674+'№ 41'!J674</f>
        <v>0</v>
      </c>
      <c r="K597" s="180">
        <f>№2!K674+№5!K674+'№ 6'!K674+№14!K674+'№ 20'!K674+'№ 23'!K674+№27!K674+'№ 31'!K674+'№ 34'!K674+'№ 41'!K674</f>
        <v>0</v>
      </c>
      <c r="L597" s="215">
        <f>SUM(F597:K597)</f>
        <v>0</v>
      </c>
      <c r="M597" s="215">
        <f>L597/6</f>
        <v>0</v>
      </c>
      <c r="N597" s="180">
        <f>№2!N674+№5!N674+'№ 6'!N674+№14!N674+'№ 20'!N674+'№ 23'!N674+№27!N674+'№ 31'!N674+'№ 34'!N674+'№ 41'!N674</f>
        <v>0</v>
      </c>
      <c r="O597" s="180">
        <f>№2!O674+№5!O674+'№ 6'!O674+№14!O674+'№ 20'!O674+'№ 23'!O674+№27!O674+'№ 31'!O674+'№ 34'!O674+'№ 41'!O674</f>
        <v>0</v>
      </c>
      <c r="P597" s="180">
        <f>№2!P674+№5!P674+'№ 6'!P674+№14!P674+'№ 20'!P674+'№ 23'!P674+№27!P674+'№ 31'!P674+'№ 34'!P674+'№ 41'!P674</f>
        <v>0</v>
      </c>
      <c r="Q597" s="180">
        <f>№2!Q674+№5!Q674+'№ 6'!Q674+№14!Q674+'№ 20'!Q674+'№ 23'!Q674+№27!Q674+'№ 31'!Q674+'№ 34'!Q674+'№ 41'!Q674</f>
        <v>0</v>
      </c>
      <c r="R597" s="180">
        <f>№2!R674+№5!R674+'№ 6'!R674+№14!R674+'№ 20'!R674+'№ 23'!R674+№27!R674+'№ 31'!R674+'№ 34'!R674+'№ 41'!R674</f>
        <v>0</v>
      </c>
      <c r="S597" s="180">
        <f>№2!S674+№5!S674+'№ 6'!S674+№14!S674+'№ 20'!S674+'№ 23'!S674+№27!S674+'№ 31'!S674+'№ 34'!S674+'№ 41'!S674</f>
        <v>0</v>
      </c>
      <c r="T597" s="215">
        <f>SUM(N597:S597)</f>
        <v>0</v>
      </c>
      <c r="U597" s="215">
        <f>T597+L597</f>
        <v>0</v>
      </c>
      <c r="V597" s="233">
        <f>№2!V674+№5!V674+'№ 6'!V674+№14!V674+'№ 20'!V674+'№ 23'!V674+№27!V674+'№ 31'!V674+'№ 34'!V674+'№ 41'!V674</f>
        <v>0</v>
      </c>
      <c r="W597" s="184"/>
      <c r="X597" s="185"/>
      <c r="Y597" s="186"/>
      <c r="Z597" s="186"/>
      <c r="AA597" s="186"/>
      <c r="AB597" s="186"/>
    </row>
    <row r="598" spans="1:28" s="186" customFormat="1" ht="18" hidden="1" customHeight="1">
      <c r="A598" s="614"/>
      <c r="B598" s="576"/>
      <c r="C598" s="577"/>
      <c r="D598" s="178" t="s">
        <v>109</v>
      </c>
      <c r="E598" s="179"/>
      <c r="F598" s="180">
        <f>№2!F675+№5!F675+'№ 6'!F675+№14!F675+'№ 20'!F675+'№ 23'!F675+№27!F675+'№ 31'!F675+'№ 34'!F675+'№ 41'!F675</f>
        <v>0</v>
      </c>
      <c r="G598" s="180">
        <f>№2!G675+№5!G675+'№ 6'!G675+№14!G675+'№ 20'!G675+'№ 23'!G675+№27!G675+'№ 31'!G675+'№ 34'!G675+'№ 41'!G675</f>
        <v>0</v>
      </c>
      <c r="H598" s="180">
        <f>№2!H675+№5!H675+'№ 6'!H675+№14!H675+'№ 20'!H675+'№ 23'!H675+№27!H675+'№ 31'!H675+'№ 34'!H675+'№ 41'!H675</f>
        <v>0</v>
      </c>
      <c r="I598" s="180">
        <f>№2!I675+№5!I675+'№ 6'!I675+№14!I675+'№ 20'!I675+'№ 23'!I675+№27!I675+'№ 31'!I675+'№ 34'!I675+'№ 41'!I675</f>
        <v>0</v>
      </c>
      <c r="J598" s="180">
        <f>№2!J675+№5!J675+'№ 6'!J675+№14!J675+'№ 20'!J675+'№ 23'!J675+№27!J675+'№ 31'!J675+'№ 34'!J675+'№ 41'!J675</f>
        <v>0</v>
      </c>
      <c r="K598" s="180">
        <f>№2!K675+№5!K675+'№ 6'!K675+№14!K675+'№ 20'!K675+'№ 23'!K675+№27!K675+'№ 31'!K675+'№ 34'!K675+'№ 41'!K675</f>
        <v>0</v>
      </c>
      <c r="L598" s="215">
        <f>SUM(F598:K598)</f>
        <v>0</v>
      </c>
      <c r="M598" s="215">
        <f>L598/6</f>
        <v>0</v>
      </c>
      <c r="N598" s="180">
        <f>№2!N675+№5!N675+'№ 6'!N675+№14!N675+'№ 20'!N675+'№ 23'!N675+№27!N675+'№ 31'!N675+'№ 34'!N675+'№ 41'!N675</f>
        <v>0</v>
      </c>
      <c r="O598" s="180">
        <f>№2!O675+№5!O675+'№ 6'!O675+№14!O675+'№ 20'!O675+'№ 23'!O675+№27!O675+'№ 31'!O675+'№ 34'!O675+'№ 41'!O675</f>
        <v>0</v>
      </c>
      <c r="P598" s="180">
        <f>№2!P675+№5!P675+'№ 6'!P675+№14!P675+'№ 20'!P675+'№ 23'!P675+№27!P675+'№ 31'!P675+'№ 34'!P675+'№ 41'!P675</f>
        <v>0</v>
      </c>
      <c r="Q598" s="180">
        <f>№2!Q675+№5!Q675+'№ 6'!Q675+№14!Q675+'№ 20'!Q675+'№ 23'!Q675+№27!Q675+'№ 31'!Q675+'№ 34'!Q675+'№ 41'!Q675</f>
        <v>0</v>
      </c>
      <c r="R598" s="180">
        <f>№2!R675+№5!R675+'№ 6'!R675+№14!R675+'№ 20'!R675+'№ 23'!R675+№27!R675+'№ 31'!R675+'№ 34'!R675+'№ 41'!R675</f>
        <v>0</v>
      </c>
      <c r="S598" s="180">
        <f>№2!S675+№5!S675+'№ 6'!S675+№14!S675+'№ 20'!S675+'№ 23'!S675+№27!S675+'№ 31'!S675+'№ 34'!S675+'№ 41'!S675</f>
        <v>0</v>
      </c>
      <c r="T598" s="215">
        <f>SUM(N598:S598)</f>
        <v>0</v>
      </c>
      <c r="U598" s="215">
        <f>T598+L598</f>
        <v>0</v>
      </c>
      <c r="V598" s="233">
        <f>№2!V675+№5!V675+'№ 6'!V675+№14!V675+'№ 20'!V675+'№ 23'!V675+№27!V675+'№ 31'!V675+'№ 34'!V675+'№ 41'!V675</f>
        <v>0</v>
      </c>
      <c r="W598" s="184"/>
      <c r="X598" s="185"/>
    </row>
    <row r="599" spans="1:28" s="186" customFormat="1" ht="18" hidden="1" customHeight="1">
      <c r="A599" s="614"/>
      <c r="B599" s="576"/>
      <c r="C599" s="577"/>
      <c r="D599" s="178" t="s">
        <v>116</v>
      </c>
      <c r="E599" s="179"/>
      <c r="F599" s="180">
        <f>№2!F676+№5!F676+'№ 6'!F676+№14!F676+'№ 20'!F676+'№ 23'!F676+№27!F676+'№ 31'!F676+'№ 34'!F676+'№ 41'!F676</f>
        <v>0</v>
      </c>
      <c r="G599" s="180">
        <f>№2!G676+№5!G676+'№ 6'!G676+№14!G676+'№ 20'!G676+'№ 23'!G676+№27!G676+'№ 31'!G676+'№ 34'!G676+'№ 41'!G676</f>
        <v>0</v>
      </c>
      <c r="H599" s="180">
        <f>№2!H676+№5!H676+'№ 6'!H676+№14!H676+'№ 20'!H676+'№ 23'!H676+№27!H676+'№ 31'!H676+'№ 34'!H676+'№ 41'!H676</f>
        <v>0</v>
      </c>
      <c r="I599" s="180">
        <f>№2!I676+№5!I676+'№ 6'!I676+№14!I676+'№ 20'!I676+'№ 23'!I676+№27!I676+'№ 31'!I676+'№ 34'!I676+'№ 41'!I676</f>
        <v>0</v>
      </c>
      <c r="J599" s="180">
        <f>№2!J676+№5!J676+'№ 6'!J676+№14!J676+'№ 20'!J676+'№ 23'!J676+№27!J676+'№ 31'!J676+'№ 34'!J676+'№ 41'!J676</f>
        <v>0</v>
      </c>
      <c r="K599" s="180">
        <f>№2!K676+№5!K676+'№ 6'!K676+№14!K676+'№ 20'!K676+'№ 23'!K676+№27!K676+'№ 31'!K676+'№ 34'!K676+'№ 41'!K676</f>
        <v>0</v>
      </c>
      <c r="L599" s="215">
        <f>SUM(F599:K599)</f>
        <v>0</v>
      </c>
      <c r="M599" s="215">
        <f>L599/6</f>
        <v>0</v>
      </c>
      <c r="N599" s="180">
        <f>№2!N676+№5!N676+'№ 6'!N676+№14!N676+'№ 20'!N676+'№ 23'!N676+№27!N676+'№ 31'!N676+'№ 34'!N676+'№ 41'!N676</f>
        <v>0</v>
      </c>
      <c r="O599" s="180">
        <f>№2!O676+№5!O676+'№ 6'!O676+№14!O676+'№ 20'!O676+'№ 23'!O676+№27!O676+'№ 31'!O676+'№ 34'!O676+'№ 41'!O676</f>
        <v>0</v>
      </c>
      <c r="P599" s="180">
        <f>№2!P676+№5!P676+'№ 6'!P676+№14!P676+'№ 20'!P676+'№ 23'!P676+№27!P676+'№ 31'!P676+'№ 34'!P676+'№ 41'!P676</f>
        <v>0</v>
      </c>
      <c r="Q599" s="180">
        <f>№2!Q676+№5!Q676+'№ 6'!Q676+№14!Q676+'№ 20'!Q676+'№ 23'!Q676+№27!Q676+'№ 31'!Q676+'№ 34'!Q676+'№ 41'!Q676</f>
        <v>0</v>
      </c>
      <c r="R599" s="180">
        <f>№2!R676+№5!R676+'№ 6'!R676+№14!R676+'№ 20'!R676+'№ 23'!R676+№27!R676+'№ 31'!R676+'№ 34'!R676+'№ 41'!R676</f>
        <v>0</v>
      </c>
      <c r="S599" s="180">
        <f>№2!S676+№5!S676+'№ 6'!S676+№14!S676+'№ 20'!S676+'№ 23'!S676+№27!S676+'№ 31'!S676+'№ 34'!S676+'№ 41'!S676</f>
        <v>0</v>
      </c>
      <c r="T599" s="215">
        <f>SUM(N599:S599)</f>
        <v>0</v>
      </c>
      <c r="U599" s="215">
        <f>T599+L599</f>
        <v>0</v>
      </c>
      <c r="V599" s="233">
        <f>№2!V676+№5!V676+'№ 6'!V676+№14!V676+'№ 20'!V676+'№ 23'!V676+№27!V676+'№ 31'!V676+'№ 34'!V676+'№ 41'!V676</f>
        <v>0</v>
      </c>
      <c r="W599" s="184">
        <f>V599-U599</f>
        <v>0</v>
      </c>
      <c r="X599" s="185"/>
    </row>
    <row r="600" spans="1:28" s="190" customFormat="1" ht="18" hidden="1" customHeight="1">
      <c r="A600" s="614"/>
      <c r="B600" s="576"/>
      <c r="C600" s="577"/>
      <c r="D600" s="187" t="s">
        <v>27</v>
      </c>
      <c r="E600" s="188"/>
      <c r="F600" s="188" t="e">
        <f t="shared" ref="F600:K600" si="591">F601*1000/F599</f>
        <v>#DIV/0!</v>
      </c>
      <c r="G600" s="188" t="e">
        <f t="shared" si="591"/>
        <v>#DIV/0!</v>
      </c>
      <c r="H600" s="188" t="e">
        <f t="shared" si="591"/>
        <v>#DIV/0!</v>
      </c>
      <c r="I600" s="188" t="e">
        <f t="shared" si="591"/>
        <v>#DIV/0!</v>
      </c>
      <c r="J600" s="188" t="e">
        <f t="shared" si="591"/>
        <v>#DIV/0!</v>
      </c>
      <c r="K600" s="188" t="e">
        <f t="shared" si="591"/>
        <v>#DIV/0!</v>
      </c>
      <c r="L600" s="217" t="e">
        <f>L601/L599*1000</f>
        <v>#DIV/0!</v>
      </c>
      <c r="M600" s="217" t="e">
        <f>M601/M599*1000</f>
        <v>#DIV/0!</v>
      </c>
      <c r="N600" s="188" t="e">
        <f t="shared" ref="N600:S600" si="592">N601*1000/N599</f>
        <v>#DIV/0!</v>
      </c>
      <c r="O600" s="188" t="e">
        <f t="shared" si="592"/>
        <v>#DIV/0!</v>
      </c>
      <c r="P600" s="188" t="e">
        <f t="shared" si="592"/>
        <v>#DIV/0!</v>
      </c>
      <c r="Q600" s="188" t="e">
        <f t="shared" si="592"/>
        <v>#DIV/0!</v>
      </c>
      <c r="R600" s="188" t="e">
        <f t="shared" si="592"/>
        <v>#DIV/0!</v>
      </c>
      <c r="S600" s="188" t="e">
        <f t="shared" si="592"/>
        <v>#DIV/0!</v>
      </c>
      <c r="T600" s="217" t="e">
        <f>T601/T599*1000</f>
        <v>#DIV/0!</v>
      </c>
      <c r="U600" s="217" t="e">
        <f>U601/U599*1000</f>
        <v>#DIV/0!</v>
      </c>
      <c r="V600" s="218" t="e">
        <f t="shared" ref="V600" si="593">V601*1000/V599</f>
        <v>#DIV/0!</v>
      </c>
      <c r="W600" s="189" t="e">
        <f>W601/W599*1000</f>
        <v>#DIV/0!</v>
      </c>
      <c r="X600" s="225"/>
    </row>
    <row r="601" spans="1:28" s="244" customFormat="1" ht="18" hidden="1" customHeight="1">
      <c r="A601" s="614"/>
      <c r="B601" s="576"/>
      <c r="C601" s="577"/>
      <c r="D601" s="191" t="s">
        <v>0</v>
      </c>
      <c r="E601" s="192"/>
      <c r="F601" s="192">
        <f>№2!F678+№5!F678+'№ 6'!F678+№14!F678+'№ 20'!F678+'№ 23'!F678+№27!F678+'№ 31'!F678+'№ 34'!F678+'№ 41'!F678</f>
        <v>0</v>
      </c>
      <c r="G601" s="192">
        <f>№2!G678+№5!G678+'№ 6'!G678+№14!G678+'№ 20'!G678+'№ 23'!G678+№27!G678+'№ 31'!G678+'№ 34'!G678+'№ 41'!G678</f>
        <v>0</v>
      </c>
      <c r="H601" s="192">
        <f>№2!H678+№5!H678+'№ 6'!H678+№14!H678+'№ 20'!H678+'№ 23'!H678+№27!H678+'№ 31'!H678+'№ 34'!H678+'№ 41'!H678</f>
        <v>0</v>
      </c>
      <c r="I601" s="192">
        <f>№2!I678+№5!I678+'№ 6'!I678+№14!I678+'№ 20'!I678+'№ 23'!I678+№27!I678+'№ 31'!I678+'№ 34'!I678+'№ 41'!I678</f>
        <v>0</v>
      </c>
      <c r="J601" s="192">
        <f>№2!J678+№5!J678+'№ 6'!J678+№14!J678+'№ 20'!J678+'№ 23'!J678+№27!J678+'№ 31'!J678+'№ 34'!J678+'№ 41'!J678</f>
        <v>0</v>
      </c>
      <c r="K601" s="192">
        <f>№2!K678+№5!K678+'№ 6'!K678+№14!K678+'№ 20'!K678+'№ 23'!K678+№27!K678+'№ 31'!K678+'№ 34'!K678+'№ 41'!K678</f>
        <v>0</v>
      </c>
      <c r="L601" s="194">
        <f>SUM(F601:K601)</f>
        <v>0</v>
      </c>
      <c r="M601" s="194">
        <f>L601/6</f>
        <v>0</v>
      </c>
      <c r="N601" s="192">
        <f>№2!N678+№5!N678+'№ 6'!N678+№14!N678+'№ 20'!N678+'№ 23'!N678+№27!N678+'№ 31'!N678+'№ 34'!N678+'№ 41'!N678</f>
        <v>0</v>
      </c>
      <c r="O601" s="192">
        <f>№2!O678+№5!O678+'№ 6'!O678+№14!O678+'№ 20'!O678+'№ 23'!O678+№27!O678+'№ 31'!O678+'№ 34'!O678+'№ 41'!O678</f>
        <v>0</v>
      </c>
      <c r="P601" s="192">
        <f>№2!P678+№5!P678+'№ 6'!P678+№14!P678+'№ 20'!P678+'№ 23'!P678+№27!P678+'№ 31'!P678+'№ 34'!P678+'№ 41'!P678</f>
        <v>0</v>
      </c>
      <c r="Q601" s="192">
        <f>№2!Q678+№5!Q678+'№ 6'!Q678+№14!Q678+'№ 20'!Q678+'№ 23'!Q678+№27!Q678+'№ 31'!Q678+'№ 34'!Q678+'№ 41'!Q678</f>
        <v>0</v>
      </c>
      <c r="R601" s="192">
        <f>№2!R678+№5!R678+'№ 6'!R678+№14!R678+'№ 20'!R678+'№ 23'!R678+№27!R678+'№ 31'!R678+'№ 34'!R678+'№ 41'!R678</f>
        <v>0</v>
      </c>
      <c r="S601" s="192">
        <f>№2!S678+№5!S678+'№ 6'!S678+№14!S678+'№ 20'!S678+'№ 23'!S678+№27!S678+'№ 31'!S678+'№ 34'!S678+'№ 41'!S678</f>
        <v>0</v>
      </c>
      <c r="T601" s="194">
        <f>SUM(N601:S601)</f>
        <v>0</v>
      </c>
      <c r="U601" s="194">
        <f>T601+L601</f>
        <v>0</v>
      </c>
      <c r="V601" s="194">
        <f>№2!V678+№5!V678+'№ 6'!V678+№14!V678+'№ 20'!V678+'№ 23'!V678+№27!V678+'№ 31'!V678+'№ 34'!V678+'№ 41'!V678</f>
        <v>0</v>
      </c>
      <c r="W601" s="193">
        <f>V601-U601</f>
        <v>0</v>
      </c>
    </row>
    <row r="602" spans="1:28" s="244" customFormat="1" ht="18" hidden="1" customHeight="1">
      <c r="A602" s="614"/>
      <c r="B602" s="576"/>
      <c r="C602" s="577"/>
      <c r="D602" s="174" t="s">
        <v>55</v>
      </c>
      <c r="E602" s="210"/>
      <c r="F602" s="192">
        <f>№2!F679+№5!F679+'№ 6'!F679+№14!F679+'№ 20'!F679+'№ 23'!F679+№27!F679+'№ 31'!F679+'№ 34'!F679+'№ 41'!F679</f>
        <v>0</v>
      </c>
      <c r="G602" s="192">
        <f>№2!G679+№5!G679+'№ 6'!G679+№14!G679+'№ 20'!G679+'№ 23'!G679+№27!G679+'№ 31'!G679+'№ 34'!G679+'№ 41'!G679</f>
        <v>0</v>
      </c>
      <c r="H602" s="192">
        <f>№2!H679+№5!H679+'№ 6'!H679+№14!H679+'№ 20'!H679+'№ 23'!H679+№27!H679+'№ 31'!H679+'№ 34'!H679+'№ 41'!H679</f>
        <v>0</v>
      </c>
      <c r="I602" s="192">
        <f>№2!I679+№5!I679+'№ 6'!I679+№14!I679+'№ 20'!I679+'№ 23'!I679+№27!I679+'№ 31'!I679+'№ 34'!I679+'№ 41'!I679</f>
        <v>0</v>
      </c>
      <c r="J602" s="192">
        <f>№2!J679+№5!J679+'№ 6'!J679+№14!J679+'№ 20'!J679+'№ 23'!J679+№27!J679+'№ 31'!J679+'№ 34'!J679+'№ 41'!J679</f>
        <v>0</v>
      </c>
      <c r="K602" s="192">
        <f>№2!K679+№5!K679+'№ 6'!K679+№14!K679+'№ 20'!K679+'№ 23'!K679+№27!K679+'№ 31'!K679+'№ 34'!K679+'№ 41'!K679</f>
        <v>0</v>
      </c>
      <c r="L602" s="194">
        <f>SUM(F602:K602)</f>
        <v>0</v>
      </c>
      <c r="M602" s="194">
        <f>L602/6</f>
        <v>0</v>
      </c>
      <c r="N602" s="192">
        <f>№2!N679+№5!N679+'№ 6'!N679+№14!N679+'№ 20'!N679+'№ 23'!N679+№27!N679+'№ 31'!N679+'№ 34'!N679+'№ 41'!N679</f>
        <v>0</v>
      </c>
      <c r="O602" s="192">
        <f>№2!O679+№5!O679+'№ 6'!O679+№14!O679+'№ 20'!O679+'№ 23'!O679+№27!O679+'№ 31'!O679+'№ 34'!O679+'№ 41'!O679</f>
        <v>0</v>
      </c>
      <c r="P602" s="192">
        <f>№2!P679+№5!P679+'№ 6'!P679+№14!P679+'№ 20'!P679+'№ 23'!P679+№27!P679+'№ 31'!P679+'№ 34'!P679+'№ 41'!P679</f>
        <v>0</v>
      </c>
      <c r="Q602" s="192">
        <f>№2!Q679+№5!Q679+'№ 6'!Q679+№14!Q679+'№ 20'!Q679+'№ 23'!Q679+№27!Q679+'№ 31'!Q679+'№ 34'!Q679+'№ 41'!Q679</f>
        <v>0</v>
      </c>
      <c r="R602" s="192">
        <f>№2!R679+№5!R679+'№ 6'!R679+№14!R679+'№ 20'!R679+'№ 23'!R679+№27!R679+'№ 31'!R679+'№ 34'!R679+'№ 41'!R679</f>
        <v>0</v>
      </c>
      <c r="S602" s="192">
        <f>№2!S679+№5!S679+'№ 6'!S679+№14!S679+'№ 20'!S679+'№ 23'!S679+№27!S679+'№ 31'!S679+'№ 34'!S679+'№ 41'!S679</f>
        <v>0</v>
      </c>
      <c r="T602" s="194">
        <f>SUM(N602:S602)</f>
        <v>0</v>
      </c>
      <c r="U602" s="194">
        <f>T602+L602</f>
        <v>0</v>
      </c>
      <c r="V602" s="194">
        <f>№2!V679+№5!V679+'№ 6'!V679+№14!V679+'№ 20'!V679+'№ 23'!V679+№27!V679+'№ 31'!V679+'№ 34'!V679+'№ 41'!V679</f>
        <v>0</v>
      </c>
      <c r="W602" s="193">
        <f>V602-U602</f>
        <v>0</v>
      </c>
    </row>
    <row r="603" spans="1:28" s="244" customFormat="1" ht="18" hidden="1" customHeight="1">
      <c r="A603" s="614"/>
      <c r="B603" s="576"/>
      <c r="C603" s="577"/>
      <c r="D603" s="174" t="s">
        <v>28</v>
      </c>
      <c r="E603" s="210"/>
      <c r="F603" s="192">
        <f>№2!F680+№5!F680+'№ 6'!F680+№14!F680+'№ 20'!F680+'№ 23'!F680+№27!F680+'№ 31'!F680+'№ 34'!F680+'№ 41'!F680</f>
        <v>0</v>
      </c>
      <c r="G603" s="192">
        <f>№2!G680+№5!G680+'№ 6'!G680+№14!G680+'№ 20'!G680+'№ 23'!G680+№27!G680+'№ 31'!G680+'№ 34'!G680+'№ 41'!G680</f>
        <v>0</v>
      </c>
      <c r="H603" s="192">
        <f>№2!H680+№5!H680+'№ 6'!H680+№14!H680+'№ 20'!H680+'№ 23'!H680+№27!H680+'№ 31'!H680+'№ 34'!H680+'№ 41'!H680</f>
        <v>0</v>
      </c>
      <c r="I603" s="192">
        <f>№2!I680+№5!I680+'№ 6'!I680+№14!I680+'№ 20'!I680+'№ 23'!I680+№27!I680+'№ 31'!I680+'№ 34'!I680+'№ 41'!I680</f>
        <v>0</v>
      </c>
      <c r="J603" s="192">
        <f>№2!J680+№5!J680+'№ 6'!J680+№14!J680+'№ 20'!J680+'№ 23'!J680+№27!J680+'№ 31'!J680+'№ 34'!J680+'№ 41'!J680</f>
        <v>0</v>
      </c>
      <c r="K603" s="192">
        <f>№2!K680+№5!K680+'№ 6'!K680+№14!K680+'№ 20'!K680+'№ 23'!K680+№27!K680+'№ 31'!K680+'№ 34'!K680+'№ 41'!K680</f>
        <v>0</v>
      </c>
      <c r="L603" s="194">
        <f>SUM(F603:K603)</f>
        <v>0</v>
      </c>
      <c r="M603" s="194">
        <f>L603/6</f>
        <v>0</v>
      </c>
      <c r="N603" s="192">
        <f>№2!N680+№5!N680+'№ 6'!N680+№14!N680+'№ 20'!N680+'№ 23'!N680+№27!N680+'№ 31'!N680+'№ 34'!N680+'№ 41'!N680</f>
        <v>0</v>
      </c>
      <c r="O603" s="192">
        <f>№2!O680+№5!O680+'№ 6'!O680+№14!O680+'№ 20'!O680+'№ 23'!O680+№27!O680+'№ 31'!O680+'№ 34'!O680+'№ 41'!O680</f>
        <v>0</v>
      </c>
      <c r="P603" s="192">
        <f>№2!P680+№5!P680+'№ 6'!P680+№14!P680+'№ 20'!P680+'№ 23'!P680+№27!P680+'№ 31'!P680+'№ 34'!P680+'№ 41'!P680</f>
        <v>0</v>
      </c>
      <c r="Q603" s="192">
        <f>№2!Q680+№5!Q680+'№ 6'!Q680+№14!Q680+'№ 20'!Q680+'№ 23'!Q680+№27!Q680+'№ 31'!Q680+'№ 34'!Q680+'№ 41'!Q680</f>
        <v>0</v>
      </c>
      <c r="R603" s="192">
        <f>№2!R680+№5!R680+'№ 6'!R680+№14!R680+'№ 20'!R680+'№ 23'!R680+№27!R680+'№ 31'!R680+'№ 34'!R680+'№ 41'!R680</f>
        <v>0</v>
      </c>
      <c r="S603" s="192">
        <f>№2!S680+№5!S680+'№ 6'!S680+№14!S680+'№ 20'!S680+'№ 23'!S680+№27!S680+'№ 31'!S680+'№ 34'!S680+'№ 41'!S680</f>
        <v>0</v>
      </c>
      <c r="T603" s="194">
        <f>SUM(N603:S603)</f>
        <v>0</v>
      </c>
      <c r="U603" s="194">
        <f>T603+L603</f>
        <v>0</v>
      </c>
      <c r="V603" s="194">
        <f>№2!V680+№5!V680+'№ 6'!V680+№14!V680+'№ 20'!V680+'№ 23'!V680+№27!V680+'№ 31'!V680+'№ 34'!V680+'№ 41'!V680</f>
        <v>0</v>
      </c>
      <c r="W603" s="193">
        <f>V603-U603</f>
        <v>0</v>
      </c>
    </row>
    <row r="604" spans="1:28" s="186" customFormat="1" ht="18" hidden="1" customHeight="1">
      <c r="A604" s="614"/>
      <c r="B604" s="576"/>
      <c r="C604" s="577"/>
      <c r="D604" s="178" t="s">
        <v>117</v>
      </c>
      <c r="E604" s="179">
        <f>№2!E681+№5!E681+'№ 6'!E681+№14!E681+'№ 20'!E681+'№ 23'!E681+№27!E681+'№ 31'!E681+'№ 34'!E681+'№ 41'!E681</f>
        <v>0</v>
      </c>
      <c r="F604" s="179">
        <f>№2!F681+№5!F681+'№ 6'!F681+№14!F681+'№ 20'!F681+'№ 23'!F681+№27!F681+'№ 31'!F681+'№ 34'!F681+'№ 41'!F681</f>
        <v>0</v>
      </c>
      <c r="G604" s="179">
        <f>№2!G681+№5!G681+'№ 6'!G681+№14!G681+'№ 20'!G681+'№ 23'!G681+№27!G681+'№ 31'!G681+'№ 34'!G681+'№ 41'!G681</f>
        <v>0</v>
      </c>
      <c r="H604" s="179">
        <f>№2!H681+№5!H681+'№ 6'!H681+№14!H681+'№ 20'!H681+'№ 23'!H681+№27!H681+'№ 31'!H681+'№ 34'!H681+'№ 41'!H681</f>
        <v>0</v>
      </c>
      <c r="I604" s="179">
        <f>№2!I681+№5!I681+'№ 6'!I681+№14!I681+'№ 20'!I681+'№ 23'!I681+№27!I681+'№ 31'!I681+'№ 34'!I681+'№ 41'!I681</f>
        <v>0</v>
      </c>
      <c r="J604" s="179">
        <f>№2!J681+№5!J681+'№ 6'!J681+№14!J681+'№ 20'!J681+'№ 23'!J681+№27!J681+'№ 31'!J681+'№ 34'!J681+'№ 41'!J681</f>
        <v>0</v>
      </c>
      <c r="K604" s="179">
        <f>№2!K681+№5!K681+'№ 6'!K681+№14!K681+'№ 20'!K681+'№ 23'!K681+№27!K681+'№ 31'!K681+'№ 34'!K681+'№ 41'!K681</f>
        <v>0</v>
      </c>
      <c r="L604" s="215">
        <f>SUM(F604:K604)</f>
        <v>0</v>
      </c>
      <c r="M604" s="215">
        <f>L604/6</f>
        <v>0</v>
      </c>
      <c r="N604" s="179">
        <f>№2!N681+№5!N681+'№ 6'!N681+№14!N681+'№ 20'!N681+'№ 23'!N681+№27!N681+'№ 31'!N681+'№ 34'!N681+'№ 41'!N681</f>
        <v>0</v>
      </c>
      <c r="O604" s="179">
        <f>№2!O681+№5!O681+'№ 6'!O681+№14!O681+'№ 20'!O681+'№ 23'!O681+№27!O681+'№ 31'!O681+'№ 34'!O681+'№ 41'!O681</f>
        <v>0</v>
      </c>
      <c r="P604" s="179">
        <f>№2!P681+№5!P681+'№ 6'!P681+№14!P681+'№ 20'!P681+'№ 23'!P681+№27!P681+'№ 31'!P681+'№ 34'!P681+'№ 41'!P681</f>
        <v>0</v>
      </c>
      <c r="Q604" s="179">
        <f>№2!Q681+№5!Q681+'№ 6'!Q681+№14!Q681+'№ 20'!Q681+'№ 23'!Q681+№27!Q681+'№ 31'!Q681+'№ 34'!Q681+'№ 41'!Q681</f>
        <v>0</v>
      </c>
      <c r="R604" s="179">
        <f>№2!R681+№5!R681+'№ 6'!R681+№14!R681+'№ 20'!R681+'№ 23'!R681+№27!R681+'№ 31'!R681+'№ 34'!R681+'№ 41'!R681</f>
        <v>0</v>
      </c>
      <c r="S604" s="179">
        <f>№2!S681+№5!S681+'№ 6'!S681+№14!S681+'№ 20'!S681+'№ 23'!S681+№27!S681+'№ 31'!S681+'№ 34'!S681+'№ 41'!S681</f>
        <v>0</v>
      </c>
      <c r="T604" s="215">
        <f>SUM(N604:S604)</f>
        <v>0</v>
      </c>
      <c r="U604" s="215">
        <f>T604+L604</f>
        <v>0</v>
      </c>
      <c r="V604" s="179">
        <f>№2!V681+№5!V681+'№ 6'!V681+№14!V681+'№ 20'!V681+'№ 23'!V681+№27!V681+'№ 31'!V681+'№ 34'!V681+'№ 41'!V681</f>
        <v>0</v>
      </c>
      <c r="W604" s="184">
        <f>V604-U604</f>
        <v>0</v>
      </c>
      <c r="X604" s="185">
        <f>U599-U604</f>
        <v>0</v>
      </c>
    </row>
    <row r="605" spans="1:28" s="190" customFormat="1" ht="18" hidden="1" customHeight="1">
      <c r="A605" s="614"/>
      <c r="B605" s="576"/>
      <c r="C605" s="577"/>
      <c r="D605" s="187" t="s">
        <v>27</v>
      </c>
      <c r="E605" s="188" t="e">
        <f t="shared" ref="E605:K605" si="594">E606*1000/E604</f>
        <v>#DIV/0!</v>
      </c>
      <c r="F605" s="188" t="e">
        <f t="shared" si="594"/>
        <v>#DIV/0!</v>
      </c>
      <c r="G605" s="188" t="e">
        <f t="shared" si="594"/>
        <v>#DIV/0!</v>
      </c>
      <c r="H605" s="188" t="e">
        <f t="shared" si="594"/>
        <v>#DIV/0!</v>
      </c>
      <c r="I605" s="188" t="e">
        <f t="shared" si="594"/>
        <v>#DIV/0!</v>
      </c>
      <c r="J605" s="188" t="e">
        <f t="shared" si="594"/>
        <v>#DIV/0!</v>
      </c>
      <c r="K605" s="188" t="e">
        <f t="shared" si="594"/>
        <v>#DIV/0!</v>
      </c>
      <c r="L605" s="217" t="e">
        <f>L606/L604*1000</f>
        <v>#DIV/0!</v>
      </c>
      <c r="M605" s="217" t="e">
        <f>M606/M604*1000</f>
        <v>#DIV/0!</v>
      </c>
      <c r="N605" s="188" t="e">
        <f t="shared" ref="N605:S605" si="595">N606*1000/N604</f>
        <v>#DIV/0!</v>
      </c>
      <c r="O605" s="188" t="e">
        <f t="shared" si="595"/>
        <v>#DIV/0!</v>
      </c>
      <c r="P605" s="188" t="e">
        <f t="shared" si="595"/>
        <v>#DIV/0!</v>
      </c>
      <c r="Q605" s="188" t="e">
        <f t="shared" si="595"/>
        <v>#DIV/0!</v>
      </c>
      <c r="R605" s="188" t="e">
        <f t="shared" si="595"/>
        <v>#DIV/0!</v>
      </c>
      <c r="S605" s="188" t="e">
        <f t="shared" si="595"/>
        <v>#DIV/0!</v>
      </c>
      <c r="T605" s="217" t="e">
        <f>T606/T604*1000</f>
        <v>#DIV/0!</v>
      </c>
      <c r="U605" s="217" t="e">
        <f>U606/U604*1000</f>
        <v>#DIV/0!</v>
      </c>
      <c r="V605" s="218" t="e">
        <f t="shared" ref="V605" si="596">V606*1000/V604</f>
        <v>#DIV/0!</v>
      </c>
      <c r="W605" s="189" t="e">
        <f>W606/W604*1000</f>
        <v>#DIV/0!</v>
      </c>
      <c r="X605" s="225"/>
    </row>
    <row r="606" spans="1:28" s="239" customFormat="1" ht="18" hidden="1" customHeight="1">
      <c r="A606" s="614"/>
      <c r="B606" s="576"/>
      <c r="C606" s="577"/>
      <c r="D606" s="198" t="s">
        <v>25</v>
      </c>
      <c r="E606" s="199">
        <f>№2!E683+№5!E683+'№ 6'!E683+№14!E683+'№ 20'!E683+'№ 23'!E683+№27!E683+'№ 31'!E683+'№ 34'!E683+'№ 41'!E683</f>
        <v>0</v>
      </c>
      <c r="F606" s="199">
        <f>№2!F683+№5!F683+'№ 6'!F683+№14!F683+'№ 20'!F683+'№ 23'!F683+№27!F683+'№ 31'!F683+'№ 34'!F683+'№ 41'!F683</f>
        <v>0</v>
      </c>
      <c r="G606" s="199">
        <f>№2!G683+№5!G683+'№ 6'!G683+№14!G683+'№ 20'!G683+'№ 23'!G683+№27!G683+'№ 31'!G683+'№ 34'!G683+'№ 41'!G683</f>
        <v>0</v>
      </c>
      <c r="H606" s="199">
        <f>№2!H683+№5!H683+'№ 6'!H683+№14!H683+'№ 20'!H683+'№ 23'!H683+№27!H683+'№ 31'!H683+'№ 34'!H683+'№ 41'!H683</f>
        <v>0</v>
      </c>
      <c r="I606" s="199">
        <f>№2!I683+№5!I683+'№ 6'!I683+№14!I683+'№ 20'!I683+'№ 23'!I683+№27!I683+'№ 31'!I683+'№ 34'!I683+'№ 41'!I683</f>
        <v>0</v>
      </c>
      <c r="J606" s="199">
        <f>№2!J683+№5!J683+'№ 6'!J683+№14!J683+'№ 20'!J683+'№ 23'!J683+№27!J683+'№ 31'!J683+'№ 34'!J683+'№ 41'!J683</f>
        <v>0</v>
      </c>
      <c r="K606" s="199">
        <f>№2!K683+№5!K683+'№ 6'!K683+№14!K683+'№ 20'!K683+'№ 23'!K683+№27!K683+'№ 31'!K683+'№ 34'!K683+'№ 41'!K683</f>
        <v>0</v>
      </c>
      <c r="L606" s="199">
        <f>SUM(F606:K606)</f>
        <v>0</v>
      </c>
      <c r="M606" s="199">
        <f>L606/6</f>
        <v>0</v>
      </c>
      <c r="N606" s="199">
        <f>№2!N683+№5!N683+'№ 6'!N683+№14!N683+'№ 20'!N683+'№ 23'!N683+№27!N683+'№ 31'!N683+'№ 34'!N683+'№ 41'!N683</f>
        <v>0</v>
      </c>
      <c r="O606" s="199">
        <f>№2!O683+№5!O683+'№ 6'!O683+№14!O683+'№ 20'!O683+'№ 23'!O683+№27!O683+'№ 31'!O683+'№ 34'!O683+'№ 41'!O683</f>
        <v>0</v>
      </c>
      <c r="P606" s="199">
        <f>№2!P683+№5!P683+'№ 6'!P683+№14!P683+'№ 20'!P683+'№ 23'!P683+№27!P683+'№ 31'!P683+'№ 34'!P683+'№ 41'!P683</f>
        <v>0</v>
      </c>
      <c r="Q606" s="199">
        <f>№2!Q683+№5!Q683+'№ 6'!Q683+№14!Q683+'№ 20'!Q683+'№ 23'!Q683+№27!Q683+'№ 31'!Q683+'№ 34'!Q683+'№ 41'!Q683</f>
        <v>0</v>
      </c>
      <c r="R606" s="199">
        <f>№2!R683+№5!R683+'№ 6'!R683+№14!R683+'№ 20'!R683+'№ 23'!R683+№27!R683+'№ 31'!R683+'№ 34'!R683+'№ 41'!R683</f>
        <v>0</v>
      </c>
      <c r="S606" s="199">
        <f>№2!S683+№5!S683+'№ 6'!S683+№14!S683+'№ 20'!S683+'№ 23'!S683+№27!S683+'№ 31'!S683+'№ 34'!S683+'№ 41'!S683</f>
        <v>0</v>
      </c>
      <c r="T606" s="199">
        <f>SUM(N606:S606)</f>
        <v>0</v>
      </c>
      <c r="U606" s="199">
        <f>T606+L606</f>
        <v>0</v>
      </c>
      <c r="V606" s="199">
        <f>№2!V683+№5!V683+'№ 6'!V683+№14!V683+'№ 20'!V683+'№ 23'!V683+№27!V683+'№ 31'!V683+'№ 34'!V683+'№ 41'!V683</f>
        <v>0</v>
      </c>
      <c r="W606" s="221">
        <f>V606-U606</f>
        <v>0</v>
      </c>
      <c r="X606" s="176">
        <f>U601-U606</f>
        <v>0</v>
      </c>
    </row>
    <row r="607" spans="1:28" s="239" customFormat="1" ht="18" hidden="1" customHeight="1">
      <c r="A607" s="614"/>
      <c r="B607" s="576"/>
      <c r="C607" s="577"/>
      <c r="D607" s="201" t="s">
        <v>55</v>
      </c>
      <c r="E607" s="220"/>
      <c r="F607" s="199">
        <f>№2!F684+№5!F684+'№ 6'!F684+№14!F684+'№ 20'!F684+'№ 23'!F684+№27!F684+'№ 31'!F684+'№ 34'!F684+'№ 41'!F684</f>
        <v>0</v>
      </c>
      <c r="G607" s="199">
        <f>№2!G684+№5!G684+'№ 6'!G684+№14!G684+'№ 20'!G684+'№ 23'!G684+№27!G684+'№ 31'!G684+'№ 34'!G684+'№ 41'!G684</f>
        <v>0</v>
      </c>
      <c r="H607" s="199">
        <f>№2!H684+№5!H684+'№ 6'!H684+№14!H684+'№ 20'!H684+'№ 23'!H684+№27!H684+'№ 31'!H684+'№ 34'!H684+'№ 41'!H684</f>
        <v>0</v>
      </c>
      <c r="I607" s="199">
        <f>№2!I684+№5!I684+'№ 6'!I684+№14!I684+'№ 20'!I684+'№ 23'!I684+№27!I684+'№ 31'!I684+'№ 34'!I684+'№ 41'!I684</f>
        <v>0</v>
      </c>
      <c r="J607" s="199">
        <f>№2!J684+№5!J684+'№ 6'!J684+№14!J684+'№ 20'!J684+'№ 23'!J684+№27!J684+'№ 31'!J684+'№ 34'!J684+'№ 41'!J684</f>
        <v>0</v>
      </c>
      <c r="K607" s="199">
        <f>№2!K684+№5!K684+'№ 6'!K684+№14!K684+'№ 20'!K684+'№ 23'!K684+№27!K684+'№ 31'!K684+'№ 34'!K684+'№ 41'!K684</f>
        <v>0</v>
      </c>
      <c r="L607" s="199">
        <f>SUM(F607:K607)</f>
        <v>0</v>
      </c>
      <c r="M607" s="199">
        <f>L607/6</f>
        <v>0</v>
      </c>
      <c r="N607" s="199">
        <f>№2!N684+№5!N684+'№ 6'!N684+№14!N684+'№ 20'!N684+'№ 23'!N684+№27!N684+'№ 31'!N684+'№ 34'!N684+'№ 41'!N684</f>
        <v>0</v>
      </c>
      <c r="O607" s="199">
        <f>№2!O684+№5!O684+'№ 6'!O684+№14!O684+'№ 20'!O684+'№ 23'!O684+№27!O684+'№ 31'!O684+'№ 34'!O684+'№ 41'!O684</f>
        <v>0</v>
      </c>
      <c r="P607" s="199">
        <f>№2!P684+№5!P684+'№ 6'!P684+№14!P684+'№ 20'!P684+'№ 23'!P684+№27!P684+'№ 31'!P684+'№ 34'!P684+'№ 41'!P684</f>
        <v>0</v>
      </c>
      <c r="Q607" s="199">
        <f>№2!Q684+№5!Q684+'№ 6'!Q684+№14!Q684+'№ 20'!Q684+'№ 23'!Q684+№27!Q684+'№ 31'!Q684+'№ 34'!Q684+'№ 41'!Q684</f>
        <v>0</v>
      </c>
      <c r="R607" s="199">
        <f>№2!R684+№5!R684+'№ 6'!R684+№14!R684+'№ 20'!R684+'№ 23'!R684+№27!R684+'№ 31'!R684+'№ 34'!R684+'№ 41'!R684</f>
        <v>0</v>
      </c>
      <c r="S607" s="199">
        <f>№2!S684+№5!S684+'№ 6'!S684+№14!S684+'№ 20'!S684+'№ 23'!S684+№27!S684+'№ 31'!S684+'№ 34'!S684+'№ 41'!S684</f>
        <v>0</v>
      </c>
      <c r="T607" s="199">
        <f>SUM(N607:S607)</f>
        <v>0</v>
      </c>
      <c r="U607" s="199">
        <f>T607+L607</f>
        <v>0</v>
      </c>
      <c r="V607" s="199">
        <f>№2!V684+№5!V684+'№ 6'!V684+№14!V684+'№ 20'!V684+'№ 23'!V684+№27!V684+'№ 31'!V684+'№ 34'!V684+'№ 41'!V684</f>
        <v>0</v>
      </c>
      <c r="W607" s="221">
        <f>V607-U607</f>
        <v>0</v>
      </c>
      <c r="X607" s="176">
        <f>U602-U607</f>
        <v>0</v>
      </c>
    </row>
    <row r="608" spans="1:28" s="239" customFormat="1" ht="18" hidden="1" customHeight="1">
      <c r="A608" s="614"/>
      <c r="B608" s="576"/>
      <c r="C608" s="577"/>
      <c r="D608" s="201" t="s">
        <v>24</v>
      </c>
      <c r="E608" s="220"/>
      <c r="F608" s="199">
        <f>№2!F685+№5!F685+'№ 6'!F685+№14!F685+'№ 20'!F685+'№ 23'!F685+№27!F685+'№ 31'!F685+'№ 34'!F685+'№ 41'!F685</f>
        <v>0</v>
      </c>
      <c r="G608" s="199">
        <f>№2!G685+№5!G685+'№ 6'!G685+№14!G685+'№ 20'!G685+'№ 23'!G685+№27!G685+'№ 31'!G685+'№ 34'!G685+'№ 41'!G685</f>
        <v>0</v>
      </c>
      <c r="H608" s="199">
        <f>№2!H685+№5!H685+'№ 6'!H685+№14!H685+'№ 20'!H685+'№ 23'!H685+№27!H685+'№ 31'!H685+'№ 34'!H685+'№ 41'!H685</f>
        <v>0</v>
      </c>
      <c r="I608" s="199">
        <f>№2!I685+№5!I685+'№ 6'!I685+№14!I685+'№ 20'!I685+'№ 23'!I685+№27!I685+'№ 31'!I685+'№ 34'!I685+'№ 41'!I685</f>
        <v>0</v>
      </c>
      <c r="J608" s="199">
        <f>№2!J685+№5!J685+'№ 6'!J685+№14!J685+'№ 20'!J685+'№ 23'!J685+№27!J685+'№ 31'!J685+'№ 34'!J685+'№ 41'!J685</f>
        <v>0</v>
      </c>
      <c r="K608" s="199">
        <f>№2!K685+№5!K685+'№ 6'!K685+№14!K685+'№ 20'!K685+'№ 23'!K685+№27!K685+'№ 31'!K685+'№ 34'!K685+'№ 41'!K685</f>
        <v>0</v>
      </c>
      <c r="L608" s="199">
        <f>SUM(F608:K608)</f>
        <v>0</v>
      </c>
      <c r="M608" s="199">
        <f>L608/6</f>
        <v>0</v>
      </c>
      <c r="N608" s="199">
        <f>№2!N685+№5!N685+'№ 6'!N685+№14!N685+'№ 20'!N685+'№ 23'!N685+№27!N685+'№ 31'!N685+'№ 34'!N685+'№ 41'!N685</f>
        <v>0</v>
      </c>
      <c r="O608" s="199">
        <f>№2!O685+№5!O685+'№ 6'!O685+№14!O685+'№ 20'!O685+'№ 23'!O685+№27!O685+'№ 31'!O685+'№ 34'!O685+'№ 41'!O685</f>
        <v>0</v>
      </c>
      <c r="P608" s="199">
        <f>№2!P685+№5!P685+'№ 6'!P685+№14!P685+'№ 20'!P685+'№ 23'!P685+№27!P685+'№ 31'!P685+'№ 34'!P685+'№ 41'!P685</f>
        <v>0</v>
      </c>
      <c r="Q608" s="199">
        <f>№2!Q685+№5!Q685+'№ 6'!Q685+№14!Q685+'№ 20'!Q685+'№ 23'!Q685+№27!Q685+'№ 31'!Q685+'№ 34'!Q685+'№ 41'!Q685</f>
        <v>0</v>
      </c>
      <c r="R608" s="199">
        <f>№2!R685+№5!R685+'№ 6'!R685+№14!R685+'№ 20'!R685+'№ 23'!R685+№27!R685+'№ 31'!R685+'№ 34'!R685+'№ 41'!R685</f>
        <v>0</v>
      </c>
      <c r="S608" s="199">
        <f>№2!S685+№5!S685+'№ 6'!S685+№14!S685+'№ 20'!S685+'№ 23'!S685+№27!S685+'№ 31'!S685+'№ 34'!S685+'№ 41'!S685</f>
        <v>0</v>
      </c>
      <c r="T608" s="199">
        <f>SUM(N608:S608)</f>
        <v>0</v>
      </c>
      <c r="U608" s="199">
        <f>T608+L608</f>
        <v>0</v>
      </c>
      <c r="V608" s="199">
        <f>№2!V685+№5!V685+'№ 6'!V685+№14!V685+'№ 20'!V685+'№ 23'!V685+№27!V685+'№ 31'!V685+'№ 34'!V685+'№ 41'!V685</f>
        <v>0</v>
      </c>
      <c r="W608" s="221">
        <f>V608-U608</f>
        <v>0</v>
      </c>
      <c r="X608" s="176">
        <f>U603-U608</f>
        <v>0</v>
      </c>
    </row>
    <row r="609" spans="1:28" s="205" customFormat="1" ht="18" hidden="1" customHeight="1">
      <c r="A609" s="614"/>
      <c r="B609" s="576"/>
      <c r="C609" s="577"/>
      <c r="D609" s="202" t="s">
        <v>29</v>
      </c>
      <c r="E609" s="203"/>
      <c r="F609" s="203">
        <f t="shared" ref="F609:K609" si="597">F603</f>
        <v>0</v>
      </c>
      <c r="G609" s="203">
        <f t="shared" si="597"/>
        <v>0</v>
      </c>
      <c r="H609" s="203">
        <f t="shared" si="597"/>
        <v>0</v>
      </c>
      <c r="I609" s="203">
        <f t="shared" si="597"/>
        <v>0</v>
      </c>
      <c r="J609" s="203">
        <f t="shared" si="597"/>
        <v>0</v>
      </c>
      <c r="K609" s="203">
        <f t="shared" si="597"/>
        <v>0</v>
      </c>
      <c r="L609" s="203">
        <f>SUM(F609:K609)</f>
        <v>0</v>
      </c>
      <c r="M609" s="203">
        <f>L609/6</f>
        <v>0</v>
      </c>
      <c r="N609" s="203">
        <f t="shared" ref="N609:S609" si="598">N603+N602</f>
        <v>0</v>
      </c>
      <c r="O609" s="203">
        <f t="shared" si="598"/>
        <v>0</v>
      </c>
      <c r="P609" s="203">
        <f t="shared" si="598"/>
        <v>0</v>
      </c>
      <c r="Q609" s="203">
        <f t="shared" si="598"/>
        <v>0</v>
      </c>
      <c r="R609" s="203">
        <f t="shared" si="598"/>
        <v>0</v>
      </c>
      <c r="S609" s="203">
        <f t="shared" si="598"/>
        <v>0</v>
      </c>
      <c r="T609" s="203">
        <f>SUM(N609:S609)</f>
        <v>0</v>
      </c>
      <c r="U609" s="203">
        <f>T609+L609</f>
        <v>0</v>
      </c>
      <c r="V609" s="203">
        <f>V606</f>
        <v>0</v>
      </c>
      <c r="W609" s="203">
        <f>V609-U609</f>
        <v>0</v>
      </c>
    </row>
    <row r="610" spans="1:28" s="205" customFormat="1" ht="18" hidden="1" customHeight="1">
      <c r="A610" s="614"/>
      <c r="B610" s="576"/>
      <c r="C610" s="577"/>
      <c r="D610" s="202" t="s">
        <v>30</v>
      </c>
      <c r="E610" s="203"/>
      <c r="F610" s="203">
        <f t="shared" ref="F610:K610" si="599">F606-F609</f>
        <v>0</v>
      </c>
      <c r="G610" s="203">
        <f t="shared" si="599"/>
        <v>0</v>
      </c>
      <c r="H610" s="203">
        <f t="shared" si="599"/>
        <v>0</v>
      </c>
      <c r="I610" s="203">
        <f t="shared" si="599"/>
        <v>0</v>
      </c>
      <c r="J610" s="203">
        <f t="shared" si="599"/>
        <v>0</v>
      </c>
      <c r="K610" s="203">
        <f t="shared" si="599"/>
        <v>0</v>
      </c>
      <c r="L610" s="203"/>
      <c r="M610" s="203"/>
      <c r="N610" s="203">
        <f t="shared" ref="N610:S610" si="600">N606-N609</f>
        <v>0</v>
      </c>
      <c r="O610" s="203">
        <f t="shared" si="600"/>
        <v>0</v>
      </c>
      <c r="P610" s="203">
        <f t="shared" si="600"/>
        <v>0</v>
      </c>
      <c r="Q610" s="203">
        <f t="shared" si="600"/>
        <v>0</v>
      </c>
      <c r="R610" s="203">
        <f t="shared" si="600"/>
        <v>0</v>
      </c>
      <c r="S610" s="203">
        <f t="shared" si="600"/>
        <v>0</v>
      </c>
      <c r="T610" s="203"/>
      <c r="U610" s="203"/>
      <c r="V610" s="203"/>
      <c r="W610" s="203"/>
    </row>
    <row r="611" spans="1:28" s="205" customFormat="1" ht="18" hidden="1" customHeight="1">
      <c r="A611" s="614"/>
      <c r="B611" s="578"/>
      <c r="C611" s="579"/>
      <c r="D611" s="202" t="s">
        <v>31</v>
      </c>
      <c r="E611" s="203"/>
      <c r="F611" s="203">
        <f>F610</f>
        <v>0</v>
      </c>
      <c r="G611" s="203">
        <f>G610+F611</f>
        <v>0</v>
      </c>
      <c r="H611" s="203">
        <f>H610+G611</f>
        <v>0</v>
      </c>
      <c r="I611" s="203">
        <f>I610+H611</f>
        <v>0</v>
      </c>
      <c r="J611" s="203">
        <f>J610+I611</f>
        <v>0</v>
      </c>
      <c r="K611" s="203">
        <f>K610+J611</f>
        <v>0</v>
      </c>
      <c r="L611" s="203"/>
      <c r="M611" s="203"/>
      <c r="N611" s="203">
        <f>N610+K611</f>
        <v>0</v>
      </c>
      <c r="O611" s="203">
        <f>O610+N611</f>
        <v>0</v>
      </c>
      <c r="P611" s="203">
        <f>P610+O611</f>
        <v>0</v>
      </c>
      <c r="Q611" s="203">
        <f>Q610+P611</f>
        <v>0</v>
      </c>
      <c r="R611" s="203">
        <f>R610+Q611</f>
        <v>0</v>
      </c>
      <c r="S611" s="203">
        <f>S610+R611</f>
        <v>0</v>
      </c>
      <c r="T611" s="203"/>
      <c r="U611" s="203"/>
      <c r="V611" s="203"/>
      <c r="W611" s="203"/>
    </row>
    <row r="612" spans="1:28" s="196" customFormat="1" ht="18" hidden="1" customHeight="1">
      <c r="A612" s="614"/>
      <c r="B612" s="574" t="s">
        <v>121</v>
      </c>
      <c r="C612" s="575"/>
      <c r="D612" s="178" t="s">
        <v>105</v>
      </c>
      <c r="E612" s="179"/>
      <c r="F612" s="180">
        <f>№2!F689+№5!F689+'№ 6'!F689+№14!F689+'№ 20'!F689+'№ 23'!F689+№27!F689+'№ 31'!F689+'№ 34'!F689+'№ 41'!F689</f>
        <v>0</v>
      </c>
      <c r="G612" s="180">
        <f>№2!G689+№5!G689+'№ 6'!G689+№14!G689+'№ 20'!G689+'№ 23'!G689+№27!G689+'№ 31'!G689+'№ 34'!G689+'№ 41'!G689</f>
        <v>0</v>
      </c>
      <c r="H612" s="180">
        <f>№2!H689+№5!H689+'№ 6'!H689+№14!H689+'№ 20'!H689+'№ 23'!H689+№27!H689+'№ 31'!H689+'№ 34'!H689+'№ 41'!H689</f>
        <v>0</v>
      </c>
      <c r="I612" s="180">
        <f>№2!I689+№5!I689+'№ 6'!I689+№14!I689+'№ 20'!I689+'№ 23'!I689+№27!I689+'№ 31'!I689+'№ 34'!I689+'№ 41'!I689</f>
        <v>0</v>
      </c>
      <c r="J612" s="180">
        <f>№2!J689+№5!J689+'№ 6'!J689+№14!J689+'№ 20'!J689+'№ 23'!J689+№27!J689+'№ 31'!J689+'№ 34'!J689+'№ 41'!J689</f>
        <v>0</v>
      </c>
      <c r="K612" s="180">
        <f>№2!K689+№5!K689+'№ 6'!K689+№14!K689+'№ 20'!K689+'№ 23'!K689+№27!K689+'№ 31'!K689+'№ 34'!K689+'№ 41'!K689</f>
        <v>0</v>
      </c>
      <c r="L612" s="215">
        <f>SUM(F612:K612)</f>
        <v>0</v>
      </c>
      <c r="M612" s="215">
        <f>L612/6</f>
        <v>0</v>
      </c>
      <c r="N612" s="180">
        <f>№2!N689+№5!N689+'№ 6'!N689+№14!N689+'№ 20'!N689+'№ 23'!N689+№27!N689+'№ 31'!N689+'№ 34'!N689+'№ 41'!N689</f>
        <v>0</v>
      </c>
      <c r="O612" s="180">
        <f>№2!O689+№5!O689+'№ 6'!O689+№14!O689+'№ 20'!O689+'№ 23'!O689+№27!O689+'№ 31'!O689+'№ 34'!O689+'№ 41'!O689</f>
        <v>0</v>
      </c>
      <c r="P612" s="180">
        <f>№2!P689+№5!P689+'№ 6'!P689+№14!P689+'№ 20'!P689+'№ 23'!P689+№27!P689+'№ 31'!P689+'№ 34'!P689+'№ 41'!P689</f>
        <v>0</v>
      </c>
      <c r="Q612" s="180">
        <f>№2!Q689+№5!Q689+'№ 6'!Q689+№14!Q689+'№ 20'!Q689+'№ 23'!Q689+№27!Q689+'№ 31'!Q689+'№ 34'!Q689+'№ 41'!Q689</f>
        <v>0</v>
      </c>
      <c r="R612" s="180">
        <f>№2!R689+№5!R689+'№ 6'!R689+№14!R689+'№ 20'!R689+'№ 23'!R689+№27!R689+'№ 31'!R689+'№ 34'!R689+'№ 41'!R689</f>
        <v>0</v>
      </c>
      <c r="S612" s="180">
        <f>№2!S689+№5!S689+'№ 6'!S689+№14!S689+'№ 20'!S689+'№ 23'!S689+№27!S689+'№ 31'!S689+'№ 34'!S689+'№ 41'!S689</f>
        <v>0</v>
      </c>
      <c r="T612" s="215">
        <f>SUM(N612:S612)</f>
        <v>0</v>
      </c>
      <c r="U612" s="215">
        <f>T612+L612</f>
        <v>0</v>
      </c>
      <c r="V612" s="233">
        <f>№2!V689+№5!V689+'№ 6'!V689+№14!V689+'№ 20'!V689+'№ 23'!V689+№27!V689+'№ 31'!V689+'№ 34'!V689+'№ 41'!V689</f>
        <v>0</v>
      </c>
      <c r="W612" s="184"/>
      <c r="X612" s="185"/>
      <c r="Y612" s="186"/>
      <c r="Z612" s="186"/>
      <c r="AA612" s="186"/>
      <c r="AB612" s="186"/>
    </row>
    <row r="613" spans="1:28" s="186" customFormat="1" ht="18" hidden="1" customHeight="1">
      <c r="A613" s="614"/>
      <c r="B613" s="576"/>
      <c r="C613" s="577"/>
      <c r="D613" s="178" t="s">
        <v>109</v>
      </c>
      <c r="E613" s="179"/>
      <c r="F613" s="180">
        <f>№2!F690+№5!F690+'№ 6'!F690+№14!F690+'№ 20'!F690+'№ 23'!F690+№27!F690+'№ 31'!F690+'№ 34'!F690+'№ 41'!F690</f>
        <v>0</v>
      </c>
      <c r="G613" s="180">
        <f>№2!G690+№5!G690+'№ 6'!G690+№14!G690+'№ 20'!G690+'№ 23'!G690+№27!G690+'№ 31'!G690+'№ 34'!G690+'№ 41'!G690</f>
        <v>0</v>
      </c>
      <c r="H613" s="180">
        <f>№2!H690+№5!H690+'№ 6'!H690+№14!H690+'№ 20'!H690+'№ 23'!H690+№27!H690+'№ 31'!H690+'№ 34'!H690+'№ 41'!H690</f>
        <v>0</v>
      </c>
      <c r="I613" s="180">
        <f>№2!I690+№5!I690+'№ 6'!I690+№14!I690+'№ 20'!I690+'№ 23'!I690+№27!I690+'№ 31'!I690+'№ 34'!I690+'№ 41'!I690</f>
        <v>0</v>
      </c>
      <c r="J613" s="180">
        <f>№2!J690+№5!J690+'№ 6'!J690+№14!J690+'№ 20'!J690+'№ 23'!J690+№27!J690+'№ 31'!J690+'№ 34'!J690+'№ 41'!J690</f>
        <v>0</v>
      </c>
      <c r="K613" s="180">
        <f>№2!K690+№5!K690+'№ 6'!K690+№14!K690+'№ 20'!K690+'№ 23'!K690+№27!K690+'№ 31'!K690+'№ 34'!K690+'№ 41'!K690</f>
        <v>0</v>
      </c>
      <c r="L613" s="215">
        <f>SUM(F613:K613)</f>
        <v>0</v>
      </c>
      <c r="M613" s="215">
        <f>L613/6</f>
        <v>0</v>
      </c>
      <c r="N613" s="180">
        <f>№2!N690+№5!N690+'№ 6'!N690+№14!N690+'№ 20'!N690+'№ 23'!N690+№27!N690+'№ 31'!N690+'№ 34'!N690+'№ 41'!N690</f>
        <v>0</v>
      </c>
      <c r="O613" s="180">
        <f>№2!O690+№5!O690+'№ 6'!O690+№14!O690+'№ 20'!O690+'№ 23'!O690+№27!O690+'№ 31'!O690+'№ 34'!O690+'№ 41'!O690</f>
        <v>0</v>
      </c>
      <c r="P613" s="180">
        <f>№2!P690+№5!P690+'№ 6'!P690+№14!P690+'№ 20'!P690+'№ 23'!P690+№27!P690+'№ 31'!P690+'№ 34'!P690+'№ 41'!P690</f>
        <v>0</v>
      </c>
      <c r="Q613" s="180">
        <f>№2!Q690+№5!Q690+'№ 6'!Q690+№14!Q690+'№ 20'!Q690+'№ 23'!Q690+№27!Q690+'№ 31'!Q690+'№ 34'!Q690+'№ 41'!Q690</f>
        <v>0</v>
      </c>
      <c r="R613" s="180">
        <f>№2!R690+№5!R690+'№ 6'!R690+№14!R690+'№ 20'!R690+'№ 23'!R690+№27!R690+'№ 31'!R690+'№ 34'!R690+'№ 41'!R690</f>
        <v>0</v>
      </c>
      <c r="S613" s="180">
        <f>№2!S690+№5!S690+'№ 6'!S690+№14!S690+'№ 20'!S690+'№ 23'!S690+№27!S690+'№ 31'!S690+'№ 34'!S690+'№ 41'!S690</f>
        <v>0</v>
      </c>
      <c r="T613" s="215">
        <f>SUM(N613:S613)</f>
        <v>0</v>
      </c>
      <c r="U613" s="215">
        <f>T613+L613</f>
        <v>0</v>
      </c>
      <c r="V613" s="233">
        <f>№2!V690+№5!V690+'№ 6'!V690+№14!V690+'№ 20'!V690+'№ 23'!V690+№27!V690+'№ 31'!V690+'№ 34'!V690+'№ 41'!V690</f>
        <v>0</v>
      </c>
      <c r="W613" s="184"/>
      <c r="X613" s="185"/>
    </row>
    <row r="614" spans="1:28" s="186" customFormat="1" ht="18" hidden="1" customHeight="1">
      <c r="A614" s="614"/>
      <c r="B614" s="576"/>
      <c r="C614" s="577"/>
      <c r="D614" s="178" t="s">
        <v>116</v>
      </c>
      <c r="E614" s="179"/>
      <c r="F614" s="180">
        <f>№2!F691+№5!F691+'№ 6'!F691+№14!F691+'№ 20'!F691+'№ 23'!F691+№27!F691+'№ 31'!F691+'№ 34'!F691+'№ 41'!F691</f>
        <v>0</v>
      </c>
      <c r="G614" s="180">
        <f>№2!G691+№5!G691+'№ 6'!G691+№14!G691+'№ 20'!G691+'№ 23'!G691+№27!G691+'№ 31'!G691+'№ 34'!G691+'№ 41'!G691</f>
        <v>0</v>
      </c>
      <c r="H614" s="180">
        <f>№2!H691+№5!H691+'№ 6'!H691+№14!H691+'№ 20'!H691+'№ 23'!H691+№27!H691+'№ 31'!H691+'№ 34'!H691+'№ 41'!H691</f>
        <v>0</v>
      </c>
      <c r="I614" s="180">
        <f>№2!I691+№5!I691+'№ 6'!I691+№14!I691+'№ 20'!I691+'№ 23'!I691+№27!I691+'№ 31'!I691+'№ 34'!I691+'№ 41'!I691</f>
        <v>0</v>
      </c>
      <c r="J614" s="180">
        <f>№2!J691+№5!J691+'№ 6'!J691+№14!J691+'№ 20'!J691+'№ 23'!J691+№27!J691+'№ 31'!J691+'№ 34'!J691+'№ 41'!J691</f>
        <v>0</v>
      </c>
      <c r="K614" s="180">
        <f>№2!K691+№5!K691+'№ 6'!K691+№14!K691+'№ 20'!K691+'№ 23'!K691+№27!K691+'№ 31'!K691+'№ 34'!K691+'№ 41'!K691</f>
        <v>0</v>
      </c>
      <c r="L614" s="215">
        <f>SUM(F614:K614)</f>
        <v>0</v>
      </c>
      <c r="M614" s="215">
        <f>L614/6</f>
        <v>0</v>
      </c>
      <c r="N614" s="180">
        <f>№2!N691+№5!N691+'№ 6'!N691+№14!N691+'№ 20'!N691+'№ 23'!N691+№27!N691+'№ 31'!N691+'№ 34'!N691+'№ 41'!N691</f>
        <v>0</v>
      </c>
      <c r="O614" s="180">
        <f>№2!O691+№5!O691+'№ 6'!O691+№14!O691+'№ 20'!O691+'№ 23'!O691+№27!O691+'№ 31'!O691+'№ 34'!O691+'№ 41'!O691</f>
        <v>0</v>
      </c>
      <c r="P614" s="180">
        <f>№2!P691+№5!P691+'№ 6'!P691+№14!P691+'№ 20'!P691+'№ 23'!P691+№27!P691+'№ 31'!P691+'№ 34'!P691+'№ 41'!P691</f>
        <v>0</v>
      </c>
      <c r="Q614" s="180">
        <f>№2!Q691+№5!Q691+'№ 6'!Q691+№14!Q691+'№ 20'!Q691+'№ 23'!Q691+№27!Q691+'№ 31'!Q691+'№ 34'!Q691+'№ 41'!Q691</f>
        <v>0</v>
      </c>
      <c r="R614" s="180">
        <f>№2!R691+№5!R691+'№ 6'!R691+№14!R691+'№ 20'!R691+'№ 23'!R691+№27!R691+'№ 31'!R691+'№ 34'!R691+'№ 41'!R691</f>
        <v>0</v>
      </c>
      <c r="S614" s="180">
        <f>№2!S691+№5!S691+'№ 6'!S691+№14!S691+'№ 20'!S691+'№ 23'!S691+№27!S691+'№ 31'!S691+'№ 34'!S691+'№ 41'!S691</f>
        <v>0</v>
      </c>
      <c r="T614" s="215">
        <f>SUM(N614:S614)</f>
        <v>0</v>
      </c>
      <c r="U614" s="215">
        <f>T614+L614</f>
        <v>0</v>
      </c>
      <c r="V614" s="233">
        <f>№2!V691+№5!V691+'№ 6'!V691+№14!V691+'№ 20'!V691+'№ 23'!V691+№27!V691+'№ 31'!V691+'№ 34'!V691+'№ 41'!V691</f>
        <v>0</v>
      </c>
      <c r="W614" s="184">
        <f>V614-U614</f>
        <v>0</v>
      </c>
      <c r="X614" s="185"/>
    </row>
    <row r="615" spans="1:28" s="190" customFormat="1" ht="18" hidden="1" customHeight="1">
      <c r="A615" s="614"/>
      <c r="B615" s="576"/>
      <c r="C615" s="577"/>
      <c r="D615" s="187" t="s">
        <v>27</v>
      </c>
      <c r="E615" s="188"/>
      <c r="F615" s="188" t="e">
        <f t="shared" ref="F615:K615" si="601">F616*1000/F614</f>
        <v>#DIV/0!</v>
      </c>
      <c r="G615" s="188" t="e">
        <f t="shared" si="601"/>
        <v>#DIV/0!</v>
      </c>
      <c r="H615" s="188" t="e">
        <f t="shared" si="601"/>
        <v>#DIV/0!</v>
      </c>
      <c r="I615" s="188" t="e">
        <f t="shared" si="601"/>
        <v>#DIV/0!</v>
      </c>
      <c r="J615" s="188" t="e">
        <f t="shared" si="601"/>
        <v>#DIV/0!</v>
      </c>
      <c r="K615" s="188" t="e">
        <f t="shared" si="601"/>
        <v>#DIV/0!</v>
      </c>
      <c r="L615" s="217" t="e">
        <f>L616/L614*1000</f>
        <v>#DIV/0!</v>
      </c>
      <c r="M615" s="217" t="e">
        <f>M616/M614*1000</f>
        <v>#DIV/0!</v>
      </c>
      <c r="N615" s="188" t="e">
        <f t="shared" ref="N615:S615" si="602">N616*1000/N614</f>
        <v>#DIV/0!</v>
      </c>
      <c r="O615" s="188" t="e">
        <f t="shared" si="602"/>
        <v>#DIV/0!</v>
      </c>
      <c r="P615" s="188" t="e">
        <f t="shared" si="602"/>
        <v>#DIV/0!</v>
      </c>
      <c r="Q615" s="188" t="e">
        <f t="shared" si="602"/>
        <v>#DIV/0!</v>
      </c>
      <c r="R615" s="188" t="e">
        <f t="shared" si="602"/>
        <v>#DIV/0!</v>
      </c>
      <c r="S615" s="188" t="e">
        <f t="shared" si="602"/>
        <v>#DIV/0!</v>
      </c>
      <c r="T615" s="217" t="e">
        <f>T616/T614*1000</f>
        <v>#DIV/0!</v>
      </c>
      <c r="U615" s="217" t="e">
        <f>U616/U614*1000</f>
        <v>#DIV/0!</v>
      </c>
      <c r="V615" s="218" t="e">
        <f t="shared" ref="V615" si="603">V616*1000/V614</f>
        <v>#DIV/0!</v>
      </c>
      <c r="W615" s="189" t="e">
        <f>W616/W614*1000</f>
        <v>#DIV/0!</v>
      </c>
      <c r="X615" s="225"/>
    </row>
    <row r="616" spans="1:28" s="244" customFormat="1" ht="18" hidden="1" customHeight="1">
      <c r="A616" s="614"/>
      <c r="B616" s="576"/>
      <c r="C616" s="577"/>
      <c r="D616" s="191" t="s">
        <v>0</v>
      </c>
      <c r="E616" s="192"/>
      <c r="F616" s="192">
        <f>№2!F693+№5!F693+'№ 6'!F693+№14!F693+'№ 20'!F693+'№ 23'!F693+№27!F693+'№ 31'!F693+'№ 34'!F693+'№ 41'!F693</f>
        <v>0</v>
      </c>
      <c r="G616" s="192">
        <f>№2!G693+№5!G693+'№ 6'!G693+№14!G693+'№ 20'!G693+'№ 23'!G693+№27!G693+'№ 31'!G693+'№ 34'!G693+'№ 41'!G693</f>
        <v>0</v>
      </c>
      <c r="H616" s="192">
        <f>№2!H693+№5!H693+'№ 6'!H693+№14!H693+'№ 20'!H693+'№ 23'!H693+№27!H693+'№ 31'!H693+'№ 34'!H693+'№ 41'!H693</f>
        <v>0</v>
      </c>
      <c r="I616" s="192">
        <f>№2!I693+№5!I693+'№ 6'!I693+№14!I693+'№ 20'!I693+'№ 23'!I693+№27!I693+'№ 31'!I693+'№ 34'!I693+'№ 41'!I693</f>
        <v>0</v>
      </c>
      <c r="J616" s="192">
        <f>№2!J693+№5!J693+'№ 6'!J693+№14!J693+'№ 20'!J693+'№ 23'!J693+№27!J693+'№ 31'!J693+'№ 34'!J693+'№ 41'!J693</f>
        <v>0</v>
      </c>
      <c r="K616" s="192">
        <f>№2!K693+№5!K693+'№ 6'!K693+№14!K693+'№ 20'!K693+'№ 23'!K693+№27!K693+'№ 31'!K693+'№ 34'!K693+'№ 41'!K693</f>
        <v>0</v>
      </c>
      <c r="L616" s="194">
        <f>SUM(F616:K616)</f>
        <v>0</v>
      </c>
      <c r="M616" s="194">
        <f>L616/6</f>
        <v>0</v>
      </c>
      <c r="N616" s="192">
        <f>№2!N693+№5!N693+'№ 6'!N693+№14!N693+'№ 20'!N693+'№ 23'!N693+№27!N693+'№ 31'!N693+'№ 34'!N693+'№ 41'!N693</f>
        <v>0</v>
      </c>
      <c r="O616" s="192">
        <f>№2!O693+№5!O693+'№ 6'!O693+№14!O693+'№ 20'!O693+'№ 23'!O693+№27!O693+'№ 31'!O693+'№ 34'!O693+'№ 41'!O693</f>
        <v>0</v>
      </c>
      <c r="P616" s="192">
        <f>№2!P693+№5!P693+'№ 6'!P693+№14!P693+'№ 20'!P693+'№ 23'!P693+№27!P693+'№ 31'!P693+'№ 34'!P693+'№ 41'!P693</f>
        <v>0</v>
      </c>
      <c r="Q616" s="192">
        <f>№2!Q693+№5!Q693+'№ 6'!Q693+№14!Q693+'№ 20'!Q693+'№ 23'!Q693+№27!Q693+'№ 31'!Q693+'№ 34'!Q693+'№ 41'!Q693</f>
        <v>0</v>
      </c>
      <c r="R616" s="192">
        <f>№2!R693+№5!R693+'№ 6'!R693+№14!R693+'№ 20'!R693+'№ 23'!R693+№27!R693+'№ 31'!R693+'№ 34'!R693+'№ 41'!R693</f>
        <v>0</v>
      </c>
      <c r="S616" s="192">
        <f>№2!S693+№5!S693+'№ 6'!S693+№14!S693+'№ 20'!S693+'№ 23'!S693+№27!S693+'№ 31'!S693+'№ 34'!S693+'№ 41'!S693</f>
        <v>0</v>
      </c>
      <c r="T616" s="194">
        <f>SUM(N616:S616)</f>
        <v>0</v>
      </c>
      <c r="U616" s="194">
        <f>T616+L616</f>
        <v>0</v>
      </c>
      <c r="V616" s="194">
        <f>№2!V693+№5!V693+'№ 6'!V693+№14!V693+'№ 20'!V693+'№ 23'!V693+№27!V693+'№ 31'!V693+'№ 34'!V693+'№ 41'!V693</f>
        <v>0</v>
      </c>
      <c r="W616" s="193">
        <f>V616-U616</f>
        <v>0</v>
      </c>
    </row>
    <row r="617" spans="1:28" s="244" customFormat="1" ht="18" hidden="1" customHeight="1">
      <c r="A617" s="614"/>
      <c r="B617" s="576"/>
      <c r="C617" s="577"/>
      <c r="D617" s="174" t="s">
        <v>55</v>
      </c>
      <c r="E617" s="210"/>
      <c r="F617" s="192">
        <f>№2!F694+№5!F694+'№ 6'!F694+№14!F694+'№ 20'!F694+'№ 23'!F694+№27!F694+'№ 31'!F694+'№ 34'!F694+'№ 41'!F694</f>
        <v>0</v>
      </c>
      <c r="G617" s="192">
        <f>№2!G694+№5!G694+'№ 6'!G694+№14!G694+'№ 20'!G694+'№ 23'!G694+№27!G694+'№ 31'!G694+'№ 34'!G694+'№ 41'!G694</f>
        <v>0</v>
      </c>
      <c r="H617" s="192">
        <f>№2!H694+№5!H694+'№ 6'!H694+№14!H694+'№ 20'!H694+'№ 23'!H694+№27!H694+'№ 31'!H694+'№ 34'!H694+'№ 41'!H694</f>
        <v>0</v>
      </c>
      <c r="I617" s="192">
        <f>№2!I694+№5!I694+'№ 6'!I694+№14!I694+'№ 20'!I694+'№ 23'!I694+№27!I694+'№ 31'!I694+'№ 34'!I694+'№ 41'!I694</f>
        <v>0</v>
      </c>
      <c r="J617" s="192">
        <f>№2!J694+№5!J694+'№ 6'!J694+№14!J694+'№ 20'!J694+'№ 23'!J694+№27!J694+'№ 31'!J694+'№ 34'!J694+'№ 41'!J694</f>
        <v>0</v>
      </c>
      <c r="K617" s="192">
        <f>№2!K694+№5!K694+'№ 6'!K694+№14!K694+'№ 20'!K694+'№ 23'!K694+№27!K694+'№ 31'!K694+'№ 34'!K694+'№ 41'!K694</f>
        <v>0</v>
      </c>
      <c r="L617" s="194">
        <f>SUM(F617:K617)</f>
        <v>0</v>
      </c>
      <c r="M617" s="194">
        <f>L617/6</f>
        <v>0</v>
      </c>
      <c r="N617" s="192">
        <f>№2!N694+№5!N694+'№ 6'!N694+№14!N694+'№ 20'!N694+'№ 23'!N694+№27!N694+'№ 31'!N694+'№ 34'!N694+'№ 41'!N694</f>
        <v>0</v>
      </c>
      <c r="O617" s="192">
        <f>№2!O694+№5!O694+'№ 6'!O694+№14!O694+'№ 20'!O694+'№ 23'!O694+№27!O694+'№ 31'!O694+'№ 34'!O694+'№ 41'!O694</f>
        <v>0</v>
      </c>
      <c r="P617" s="192">
        <f>№2!P694+№5!P694+'№ 6'!P694+№14!P694+'№ 20'!P694+'№ 23'!P694+№27!P694+'№ 31'!P694+'№ 34'!P694+'№ 41'!P694</f>
        <v>0</v>
      </c>
      <c r="Q617" s="192">
        <f>№2!Q694+№5!Q694+'№ 6'!Q694+№14!Q694+'№ 20'!Q694+'№ 23'!Q694+№27!Q694+'№ 31'!Q694+'№ 34'!Q694+'№ 41'!Q694</f>
        <v>0</v>
      </c>
      <c r="R617" s="192">
        <f>№2!R694+№5!R694+'№ 6'!R694+№14!R694+'№ 20'!R694+'№ 23'!R694+№27!R694+'№ 31'!R694+'№ 34'!R694+'№ 41'!R694</f>
        <v>0</v>
      </c>
      <c r="S617" s="192">
        <f>№2!S694+№5!S694+'№ 6'!S694+№14!S694+'№ 20'!S694+'№ 23'!S694+№27!S694+'№ 31'!S694+'№ 34'!S694+'№ 41'!S694</f>
        <v>0</v>
      </c>
      <c r="T617" s="194">
        <f>SUM(N617:S617)</f>
        <v>0</v>
      </c>
      <c r="U617" s="194">
        <f>T617+L617</f>
        <v>0</v>
      </c>
      <c r="V617" s="194">
        <f>№2!V694+№5!V694+'№ 6'!V694+№14!V694+'№ 20'!V694+'№ 23'!V694+№27!V694+'№ 31'!V694+'№ 34'!V694+'№ 41'!V694</f>
        <v>0</v>
      </c>
      <c r="W617" s="193">
        <f>V617-U617</f>
        <v>0</v>
      </c>
    </row>
    <row r="618" spans="1:28" s="244" customFormat="1" ht="18" hidden="1" customHeight="1">
      <c r="A618" s="614"/>
      <c r="B618" s="576"/>
      <c r="C618" s="577"/>
      <c r="D618" s="174" t="s">
        <v>28</v>
      </c>
      <c r="E618" s="210"/>
      <c r="F618" s="192">
        <f>№2!F695+№5!F695+'№ 6'!F695+№14!F695+'№ 20'!F695+'№ 23'!F695+№27!F695+'№ 31'!F695+'№ 34'!F695+'№ 41'!F695</f>
        <v>0</v>
      </c>
      <c r="G618" s="192">
        <f>№2!G695+№5!G695+'№ 6'!G695+№14!G695+'№ 20'!G695+'№ 23'!G695+№27!G695+'№ 31'!G695+'№ 34'!G695+'№ 41'!G695</f>
        <v>0</v>
      </c>
      <c r="H618" s="192">
        <f>№2!H695+№5!H695+'№ 6'!H695+№14!H695+'№ 20'!H695+'№ 23'!H695+№27!H695+'№ 31'!H695+'№ 34'!H695+'№ 41'!H695</f>
        <v>0</v>
      </c>
      <c r="I618" s="192">
        <f>№2!I695+№5!I695+'№ 6'!I695+№14!I695+'№ 20'!I695+'№ 23'!I695+№27!I695+'№ 31'!I695+'№ 34'!I695+'№ 41'!I695</f>
        <v>0</v>
      </c>
      <c r="J618" s="192">
        <f>№2!J695+№5!J695+'№ 6'!J695+№14!J695+'№ 20'!J695+'№ 23'!J695+№27!J695+'№ 31'!J695+'№ 34'!J695+'№ 41'!J695</f>
        <v>0</v>
      </c>
      <c r="K618" s="192">
        <f>№2!K695+№5!K695+'№ 6'!K695+№14!K695+'№ 20'!K695+'№ 23'!K695+№27!K695+'№ 31'!K695+'№ 34'!K695+'№ 41'!K695</f>
        <v>0</v>
      </c>
      <c r="L618" s="194">
        <f>SUM(F618:K618)</f>
        <v>0</v>
      </c>
      <c r="M618" s="194">
        <f>L618/6</f>
        <v>0</v>
      </c>
      <c r="N618" s="192">
        <f>№2!N695+№5!N695+'№ 6'!N695+№14!N695+'№ 20'!N695+'№ 23'!N695+№27!N695+'№ 31'!N695+'№ 34'!N695+'№ 41'!N695</f>
        <v>0</v>
      </c>
      <c r="O618" s="192">
        <f>№2!O695+№5!O695+'№ 6'!O695+№14!O695+'№ 20'!O695+'№ 23'!O695+№27!O695+'№ 31'!O695+'№ 34'!O695+'№ 41'!O695</f>
        <v>0</v>
      </c>
      <c r="P618" s="192">
        <f>№2!P695+№5!P695+'№ 6'!P695+№14!P695+'№ 20'!P695+'№ 23'!P695+№27!P695+'№ 31'!P695+'№ 34'!P695+'№ 41'!P695</f>
        <v>0</v>
      </c>
      <c r="Q618" s="192">
        <f>№2!Q695+№5!Q695+'№ 6'!Q695+№14!Q695+'№ 20'!Q695+'№ 23'!Q695+№27!Q695+'№ 31'!Q695+'№ 34'!Q695+'№ 41'!Q695</f>
        <v>0</v>
      </c>
      <c r="R618" s="192">
        <f>№2!R695+№5!R695+'№ 6'!R695+№14!R695+'№ 20'!R695+'№ 23'!R695+№27!R695+'№ 31'!R695+'№ 34'!R695+'№ 41'!R695</f>
        <v>0</v>
      </c>
      <c r="S618" s="192">
        <f>№2!S695+№5!S695+'№ 6'!S695+№14!S695+'№ 20'!S695+'№ 23'!S695+№27!S695+'№ 31'!S695+'№ 34'!S695+'№ 41'!S695</f>
        <v>0</v>
      </c>
      <c r="T618" s="194">
        <f>SUM(N618:S618)</f>
        <v>0</v>
      </c>
      <c r="U618" s="194">
        <f>T618+L618</f>
        <v>0</v>
      </c>
      <c r="V618" s="194">
        <f>№2!V695+№5!V695+'№ 6'!V695+№14!V695+'№ 20'!V695+'№ 23'!V695+№27!V695+'№ 31'!V695+'№ 34'!V695+'№ 41'!V695</f>
        <v>0</v>
      </c>
      <c r="W618" s="193">
        <f>V618-U618</f>
        <v>0</v>
      </c>
    </row>
    <row r="619" spans="1:28" s="186" customFormat="1" ht="18" hidden="1" customHeight="1">
      <c r="A619" s="614"/>
      <c r="B619" s="576"/>
      <c r="C619" s="577"/>
      <c r="D619" s="178" t="s">
        <v>117</v>
      </c>
      <c r="E619" s="179">
        <f>№2!E696+№5!E696+'№ 6'!E696+№14!E696+'№ 20'!E696+'№ 23'!E696+№27!E696+'№ 31'!E696+'№ 34'!E696+'№ 41'!E696</f>
        <v>0</v>
      </c>
      <c r="F619" s="179">
        <f>№2!F696+№5!F696+'№ 6'!F696+№14!F696+'№ 20'!F696+'№ 23'!F696+№27!F696+'№ 31'!F696+'№ 34'!F696+'№ 41'!F696</f>
        <v>0</v>
      </c>
      <c r="G619" s="179">
        <f>№2!G696+№5!G696+'№ 6'!G696+№14!G696+'№ 20'!G696+'№ 23'!G696+№27!G696+'№ 31'!G696+'№ 34'!G696+'№ 41'!G696</f>
        <v>0</v>
      </c>
      <c r="H619" s="179">
        <f>№2!H696+№5!H696+'№ 6'!H696+№14!H696+'№ 20'!H696+'№ 23'!H696+№27!H696+'№ 31'!H696+'№ 34'!H696+'№ 41'!H696</f>
        <v>0</v>
      </c>
      <c r="I619" s="179">
        <f>№2!I696+№5!I696+'№ 6'!I696+№14!I696+'№ 20'!I696+'№ 23'!I696+№27!I696+'№ 31'!I696+'№ 34'!I696+'№ 41'!I696</f>
        <v>0</v>
      </c>
      <c r="J619" s="179">
        <f>№2!J696+№5!J696+'№ 6'!J696+№14!J696+'№ 20'!J696+'№ 23'!J696+№27!J696+'№ 31'!J696+'№ 34'!J696+'№ 41'!J696</f>
        <v>0</v>
      </c>
      <c r="K619" s="179">
        <f>№2!K696+№5!K696+'№ 6'!K696+№14!K696+'№ 20'!K696+'№ 23'!K696+№27!K696+'№ 31'!K696+'№ 34'!K696+'№ 41'!K696</f>
        <v>0</v>
      </c>
      <c r="L619" s="215">
        <f>SUM(F619:K619)</f>
        <v>0</v>
      </c>
      <c r="M619" s="215">
        <f>L619/6</f>
        <v>0</v>
      </c>
      <c r="N619" s="179">
        <f>№2!N696+№5!N696+'№ 6'!N696+№14!N696+'№ 20'!N696+'№ 23'!N696+№27!N696+'№ 31'!N696+'№ 34'!N696+'№ 41'!N696</f>
        <v>0</v>
      </c>
      <c r="O619" s="179">
        <f>№2!O696+№5!O696+'№ 6'!O696+№14!O696+'№ 20'!O696+'№ 23'!O696+№27!O696+'№ 31'!O696+'№ 34'!O696+'№ 41'!O696</f>
        <v>0</v>
      </c>
      <c r="P619" s="179">
        <f>№2!P696+№5!P696+'№ 6'!P696+№14!P696+'№ 20'!P696+'№ 23'!P696+№27!P696+'№ 31'!P696+'№ 34'!P696+'№ 41'!P696</f>
        <v>0</v>
      </c>
      <c r="Q619" s="179">
        <f>№2!Q696+№5!Q696+'№ 6'!Q696+№14!Q696+'№ 20'!Q696+'№ 23'!Q696+№27!Q696+'№ 31'!Q696+'№ 34'!Q696+'№ 41'!Q696</f>
        <v>0</v>
      </c>
      <c r="R619" s="179">
        <f>№2!R696+№5!R696+'№ 6'!R696+№14!R696+'№ 20'!R696+'№ 23'!R696+№27!R696+'№ 31'!R696+'№ 34'!R696+'№ 41'!R696</f>
        <v>0</v>
      </c>
      <c r="S619" s="179">
        <f>№2!S696+№5!S696+'№ 6'!S696+№14!S696+'№ 20'!S696+'№ 23'!S696+№27!S696+'№ 31'!S696+'№ 34'!S696+'№ 41'!S696</f>
        <v>0</v>
      </c>
      <c r="T619" s="215">
        <f>SUM(N619:S619)</f>
        <v>0</v>
      </c>
      <c r="U619" s="215">
        <f>T619+L619</f>
        <v>0</v>
      </c>
      <c r="V619" s="179">
        <f>№2!V696+№5!V696+'№ 6'!V696+№14!V696+'№ 20'!V696+'№ 23'!V696+№27!V696+'№ 31'!V696+'№ 34'!V696+'№ 41'!V696</f>
        <v>0</v>
      </c>
      <c r="W619" s="184">
        <f>V619-U619</f>
        <v>0</v>
      </c>
      <c r="X619" s="185">
        <f>U614-U619</f>
        <v>0</v>
      </c>
    </row>
    <row r="620" spans="1:28" s="190" customFormat="1" ht="18" hidden="1" customHeight="1">
      <c r="A620" s="614"/>
      <c r="B620" s="576"/>
      <c r="C620" s="577"/>
      <c r="D620" s="187" t="s">
        <v>27</v>
      </c>
      <c r="E620" s="188" t="e">
        <f t="shared" ref="E620:K620" si="604">E621*1000/E619</f>
        <v>#DIV/0!</v>
      </c>
      <c r="F620" s="188" t="e">
        <f t="shared" si="604"/>
        <v>#DIV/0!</v>
      </c>
      <c r="G620" s="188" t="e">
        <f t="shared" si="604"/>
        <v>#DIV/0!</v>
      </c>
      <c r="H620" s="188" t="e">
        <f t="shared" si="604"/>
        <v>#DIV/0!</v>
      </c>
      <c r="I620" s="188" t="e">
        <f t="shared" si="604"/>
        <v>#DIV/0!</v>
      </c>
      <c r="J620" s="188" t="e">
        <f t="shared" si="604"/>
        <v>#DIV/0!</v>
      </c>
      <c r="K620" s="188" t="e">
        <f t="shared" si="604"/>
        <v>#DIV/0!</v>
      </c>
      <c r="L620" s="217" t="e">
        <f>L621/L619*1000</f>
        <v>#DIV/0!</v>
      </c>
      <c r="M620" s="217" t="e">
        <f>M621/M619*1000</f>
        <v>#DIV/0!</v>
      </c>
      <c r="N620" s="188" t="e">
        <f t="shared" ref="N620:S620" si="605">N621*1000/N619</f>
        <v>#DIV/0!</v>
      </c>
      <c r="O620" s="188" t="e">
        <f t="shared" si="605"/>
        <v>#DIV/0!</v>
      </c>
      <c r="P620" s="188" t="e">
        <f t="shared" si="605"/>
        <v>#DIV/0!</v>
      </c>
      <c r="Q620" s="188" t="e">
        <f t="shared" si="605"/>
        <v>#DIV/0!</v>
      </c>
      <c r="R620" s="188" t="e">
        <f t="shared" si="605"/>
        <v>#DIV/0!</v>
      </c>
      <c r="S620" s="188" t="e">
        <f t="shared" si="605"/>
        <v>#DIV/0!</v>
      </c>
      <c r="T620" s="217" t="e">
        <f>T621/T619*1000</f>
        <v>#DIV/0!</v>
      </c>
      <c r="U620" s="217" t="e">
        <f>U621/U619*1000</f>
        <v>#DIV/0!</v>
      </c>
      <c r="V620" s="218" t="e">
        <f t="shared" ref="V620" si="606">V621*1000/V619</f>
        <v>#DIV/0!</v>
      </c>
      <c r="W620" s="189" t="e">
        <f>W621/W619*1000</f>
        <v>#DIV/0!</v>
      </c>
      <c r="X620" s="225"/>
    </row>
    <row r="621" spans="1:28" s="239" customFormat="1" ht="18" hidden="1" customHeight="1">
      <c r="A621" s="614"/>
      <c r="B621" s="576"/>
      <c r="C621" s="577"/>
      <c r="D621" s="198" t="s">
        <v>25</v>
      </c>
      <c r="E621" s="199">
        <f>№2!E698+№5!E698+'№ 6'!E698+№14!E698+'№ 20'!E698+'№ 23'!E698+№27!E698+'№ 31'!E698+'№ 34'!E698+'№ 41'!E698</f>
        <v>0</v>
      </c>
      <c r="F621" s="199">
        <f>№2!F698+№5!F698+'№ 6'!F698+№14!F698+'№ 20'!F698+'№ 23'!F698+№27!F698+'№ 31'!F698+'№ 34'!F698+'№ 41'!F698</f>
        <v>0</v>
      </c>
      <c r="G621" s="199">
        <f>№2!G698+№5!G698+'№ 6'!G698+№14!G698+'№ 20'!G698+'№ 23'!G698+№27!G698+'№ 31'!G698+'№ 34'!G698+'№ 41'!G698</f>
        <v>0</v>
      </c>
      <c r="H621" s="199">
        <f>№2!H698+№5!H698+'№ 6'!H698+№14!H698+'№ 20'!H698+'№ 23'!H698+№27!H698+'№ 31'!H698+'№ 34'!H698+'№ 41'!H698</f>
        <v>0</v>
      </c>
      <c r="I621" s="199">
        <f>№2!I698+№5!I698+'№ 6'!I698+№14!I698+'№ 20'!I698+'№ 23'!I698+№27!I698+'№ 31'!I698+'№ 34'!I698+'№ 41'!I698</f>
        <v>0</v>
      </c>
      <c r="J621" s="199">
        <f>№2!J698+№5!J698+'№ 6'!J698+№14!J698+'№ 20'!J698+'№ 23'!J698+№27!J698+'№ 31'!J698+'№ 34'!J698+'№ 41'!J698</f>
        <v>0</v>
      </c>
      <c r="K621" s="199">
        <f>№2!K698+№5!K698+'№ 6'!K698+№14!K698+'№ 20'!K698+'№ 23'!K698+№27!K698+'№ 31'!K698+'№ 34'!K698+'№ 41'!K698</f>
        <v>0</v>
      </c>
      <c r="L621" s="199">
        <f>SUM(F621:K621)</f>
        <v>0</v>
      </c>
      <c r="M621" s="199">
        <f>L621/6</f>
        <v>0</v>
      </c>
      <c r="N621" s="199">
        <f>№2!N698+№5!N698+'№ 6'!N698+№14!N698+'№ 20'!N698+'№ 23'!N698+№27!N698+'№ 31'!N698+'№ 34'!N698+'№ 41'!N698</f>
        <v>0</v>
      </c>
      <c r="O621" s="199">
        <f>№2!O698+№5!O698+'№ 6'!O698+№14!O698+'№ 20'!O698+'№ 23'!O698+№27!O698+'№ 31'!O698+'№ 34'!O698+'№ 41'!O698</f>
        <v>0</v>
      </c>
      <c r="P621" s="199">
        <f>№2!P698+№5!P698+'№ 6'!P698+№14!P698+'№ 20'!P698+'№ 23'!P698+№27!P698+'№ 31'!P698+'№ 34'!P698+'№ 41'!P698</f>
        <v>0</v>
      </c>
      <c r="Q621" s="199">
        <f>№2!Q698+№5!Q698+'№ 6'!Q698+№14!Q698+'№ 20'!Q698+'№ 23'!Q698+№27!Q698+'№ 31'!Q698+'№ 34'!Q698+'№ 41'!Q698</f>
        <v>0</v>
      </c>
      <c r="R621" s="199">
        <f>№2!R698+№5!R698+'№ 6'!R698+№14!R698+'№ 20'!R698+'№ 23'!R698+№27!R698+'№ 31'!R698+'№ 34'!R698+'№ 41'!R698</f>
        <v>0</v>
      </c>
      <c r="S621" s="199">
        <f>№2!S698+№5!S698+'№ 6'!S698+№14!S698+'№ 20'!S698+'№ 23'!S698+№27!S698+'№ 31'!S698+'№ 34'!S698+'№ 41'!S698</f>
        <v>0</v>
      </c>
      <c r="T621" s="199">
        <f>SUM(N621:S621)</f>
        <v>0</v>
      </c>
      <c r="U621" s="199">
        <f>T621+L621</f>
        <v>0</v>
      </c>
      <c r="V621" s="199">
        <f>№2!V698+№5!V698+'№ 6'!V698+№14!V698+'№ 20'!V698+'№ 23'!V698+№27!V698+'№ 31'!V698+'№ 34'!V698+'№ 41'!V698</f>
        <v>0</v>
      </c>
      <c r="W621" s="221">
        <f>V621-U621</f>
        <v>0</v>
      </c>
      <c r="X621" s="176">
        <f>U616-U621</f>
        <v>0</v>
      </c>
    </row>
    <row r="622" spans="1:28" s="239" customFormat="1" ht="18" hidden="1" customHeight="1">
      <c r="A622" s="614"/>
      <c r="B622" s="576"/>
      <c r="C622" s="577"/>
      <c r="D622" s="201" t="s">
        <v>55</v>
      </c>
      <c r="E622" s="220"/>
      <c r="F622" s="199">
        <f>№2!F699+№5!F699+'№ 6'!F699+№14!F699+'№ 20'!F699+'№ 23'!F699+№27!F699+'№ 31'!F699+'№ 34'!F699+'№ 41'!F699</f>
        <v>0</v>
      </c>
      <c r="G622" s="199">
        <f>№2!G699+№5!G699+'№ 6'!G699+№14!G699+'№ 20'!G699+'№ 23'!G699+№27!G699+'№ 31'!G699+'№ 34'!G699+'№ 41'!G699</f>
        <v>0</v>
      </c>
      <c r="H622" s="199">
        <f>№2!H699+№5!H699+'№ 6'!H699+№14!H699+'№ 20'!H699+'№ 23'!H699+№27!H699+'№ 31'!H699+'№ 34'!H699+'№ 41'!H699</f>
        <v>0</v>
      </c>
      <c r="I622" s="199">
        <f>№2!I699+№5!I699+'№ 6'!I699+№14!I699+'№ 20'!I699+'№ 23'!I699+№27!I699+'№ 31'!I699+'№ 34'!I699+'№ 41'!I699</f>
        <v>0</v>
      </c>
      <c r="J622" s="199">
        <f>№2!J699+№5!J699+'№ 6'!J699+№14!J699+'№ 20'!J699+'№ 23'!J699+№27!J699+'№ 31'!J699+'№ 34'!J699+'№ 41'!J699</f>
        <v>0</v>
      </c>
      <c r="K622" s="199">
        <f>№2!K699+№5!K699+'№ 6'!K699+№14!K699+'№ 20'!K699+'№ 23'!K699+№27!K699+'№ 31'!K699+'№ 34'!K699+'№ 41'!K699</f>
        <v>0</v>
      </c>
      <c r="L622" s="199">
        <f>SUM(F622:K622)</f>
        <v>0</v>
      </c>
      <c r="M622" s="199">
        <f>L622/6</f>
        <v>0</v>
      </c>
      <c r="N622" s="199">
        <f>№2!N699+№5!N699+'№ 6'!N699+№14!N699+'№ 20'!N699+'№ 23'!N699+№27!N699+'№ 31'!N699+'№ 34'!N699+'№ 41'!N699</f>
        <v>0</v>
      </c>
      <c r="O622" s="199">
        <f>№2!O699+№5!O699+'№ 6'!O699+№14!O699+'№ 20'!O699+'№ 23'!O699+№27!O699+'№ 31'!O699+'№ 34'!O699+'№ 41'!O699</f>
        <v>0</v>
      </c>
      <c r="P622" s="199">
        <f>№2!P699+№5!P699+'№ 6'!P699+№14!P699+'№ 20'!P699+'№ 23'!P699+№27!P699+'№ 31'!P699+'№ 34'!P699+'№ 41'!P699</f>
        <v>0</v>
      </c>
      <c r="Q622" s="199">
        <f>№2!Q699+№5!Q699+'№ 6'!Q699+№14!Q699+'№ 20'!Q699+'№ 23'!Q699+№27!Q699+'№ 31'!Q699+'№ 34'!Q699+'№ 41'!Q699</f>
        <v>0</v>
      </c>
      <c r="R622" s="199">
        <f>№2!R699+№5!R699+'№ 6'!R699+№14!R699+'№ 20'!R699+'№ 23'!R699+№27!R699+'№ 31'!R699+'№ 34'!R699+'№ 41'!R699</f>
        <v>0</v>
      </c>
      <c r="S622" s="199">
        <f>№2!S699+№5!S699+'№ 6'!S699+№14!S699+'№ 20'!S699+'№ 23'!S699+№27!S699+'№ 31'!S699+'№ 34'!S699+'№ 41'!S699</f>
        <v>0</v>
      </c>
      <c r="T622" s="199">
        <f>SUM(N622:S622)</f>
        <v>0</v>
      </c>
      <c r="U622" s="199">
        <f>T622+L622</f>
        <v>0</v>
      </c>
      <c r="V622" s="199">
        <f>№2!V699+№5!V699+'№ 6'!V699+№14!V699+'№ 20'!V699+'№ 23'!V699+№27!V699+'№ 31'!V699+'№ 34'!V699+'№ 41'!V699</f>
        <v>0</v>
      </c>
      <c r="W622" s="221">
        <f>V622-U622</f>
        <v>0</v>
      </c>
      <c r="X622" s="176">
        <f>U617-U622</f>
        <v>0</v>
      </c>
    </row>
    <row r="623" spans="1:28" s="239" customFormat="1" ht="18" hidden="1" customHeight="1">
      <c r="A623" s="614"/>
      <c r="B623" s="576"/>
      <c r="C623" s="577"/>
      <c r="D623" s="201" t="s">
        <v>24</v>
      </c>
      <c r="E623" s="220"/>
      <c r="F623" s="199">
        <f>№2!F700+№5!F700+'№ 6'!F700+№14!F700+'№ 20'!F700+'№ 23'!F700+№27!F700+'№ 31'!F700+'№ 34'!F700+'№ 41'!F700</f>
        <v>0</v>
      </c>
      <c r="G623" s="199">
        <f>№2!G700+№5!G700+'№ 6'!G700+№14!G700+'№ 20'!G700+'№ 23'!G700+№27!G700+'№ 31'!G700+'№ 34'!G700+'№ 41'!G700</f>
        <v>0</v>
      </c>
      <c r="H623" s="199">
        <f>№2!H700+№5!H700+'№ 6'!H700+№14!H700+'№ 20'!H700+'№ 23'!H700+№27!H700+'№ 31'!H700+'№ 34'!H700+'№ 41'!H700</f>
        <v>0</v>
      </c>
      <c r="I623" s="199">
        <f>№2!I700+№5!I700+'№ 6'!I700+№14!I700+'№ 20'!I700+'№ 23'!I700+№27!I700+'№ 31'!I700+'№ 34'!I700+'№ 41'!I700</f>
        <v>0</v>
      </c>
      <c r="J623" s="199">
        <f>№2!J700+№5!J700+'№ 6'!J700+№14!J700+'№ 20'!J700+'№ 23'!J700+№27!J700+'№ 31'!J700+'№ 34'!J700+'№ 41'!J700</f>
        <v>0</v>
      </c>
      <c r="K623" s="199">
        <f>№2!K700+№5!K700+'№ 6'!K700+№14!K700+'№ 20'!K700+'№ 23'!K700+№27!K700+'№ 31'!K700+'№ 34'!K700+'№ 41'!K700</f>
        <v>0</v>
      </c>
      <c r="L623" s="199">
        <f>SUM(F623:K623)</f>
        <v>0</v>
      </c>
      <c r="M623" s="199">
        <f>L623/6</f>
        <v>0</v>
      </c>
      <c r="N623" s="199">
        <f>№2!N700+№5!N700+'№ 6'!N700+№14!N700+'№ 20'!N700+'№ 23'!N700+№27!N700+'№ 31'!N700+'№ 34'!N700+'№ 41'!N700</f>
        <v>0</v>
      </c>
      <c r="O623" s="199">
        <f>№2!O700+№5!O700+'№ 6'!O700+№14!O700+'№ 20'!O700+'№ 23'!O700+№27!O700+'№ 31'!O700+'№ 34'!O700+'№ 41'!O700</f>
        <v>0</v>
      </c>
      <c r="P623" s="199">
        <f>№2!P700+№5!P700+'№ 6'!P700+№14!P700+'№ 20'!P700+'№ 23'!P700+№27!P700+'№ 31'!P700+'№ 34'!P700+'№ 41'!P700</f>
        <v>0</v>
      </c>
      <c r="Q623" s="199">
        <f>№2!Q700+№5!Q700+'№ 6'!Q700+№14!Q700+'№ 20'!Q700+'№ 23'!Q700+№27!Q700+'№ 31'!Q700+'№ 34'!Q700+'№ 41'!Q700</f>
        <v>0</v>
      </c>
      <c r="R623" s="199">
        <f>№2!R700+№5!R700+'№ 6'!R700+№14!R700+'№ 20'!R700+'№ 23'!R700+№27!R700+'№ 31'!R700+'№ 34'!R700+'№ 41'!R700</f>
        <v>0</v>
      </c>
      <c r="S623" s="199">
        <f>№2!S700+№5!S700+'№ 6'!S700+№14!S700+'№ 20'!S700+'№ 23'!S700+№27!S700+'№ 31'!S700+'№ 34'!S700+'№ 41'!S700</f>
        <v>0</v>
      </c>
      <c r="T623" s="199">
        <f>SUM(N623:S623)</f>
        <v>0</v>
      </c>
      <c r="U623" s="199">
        <f>T623+L623</f>
        <v>0</v>
      </c>
      <c r="V623" s="199">
        <f>№2!V700+№5!V700+'№ 6'!V700+№14!V700+'№ 20'!V700+'№ 23'!V700+№27!V700+'№ 31'!V700+'№ 34'!V700+'№ 41'!V700</f>
        <v>0</v>
      </c>
      <c r="W623" s="221">
        <f>V623-U623</f>
        <v>0</v>
      </c>
      <c r="X623" s="176">
        <f>U618-U623</f>
        <v>0</v>
      </c>
    </row>
    <row r="624" spans="1:28" s="205" customFormat="1" ht="18" hidden="1" customHeight="1">
      <c r="A624" s="614"/>
      <c r="B624" s="576"/>
      <c r="C624" s="577"/>
      <c r="D624" s="202" t="s">
        <v>29</v>
      </c>
      <c r="E624" s="203"/>
      <c r="F624" s="203">
        <f t="shared" ref="F624:K624" si="607">F618</f>
        <v>0</v>
      </c>
      <c r="G624" s="203">
        <f t="shared" si="607"/>
        <v>0</v>
      </c>
      <c r="H624" s="203">
        <f t="shared" si="607"/>
        <v>0</v>
      </c>
      <c r="I624" s="203">
        <f t="shared" si="607"/>
        <v>0</v>
      </c>
      <c r="J624" s="203">
        <f t="shared" si="607"/>
        <v>0</v>
      </c>
      <c r="K624" s="203">
        <f t="shared" si="607"/>
        <v>0</v>
      </c>
      <c r="L624" s="203">
        <f>SUM(F624:K624)</f>
        <v>0</v>
      </c>
      <c r="M624" s="203">
        <f>L624/6</f>
        <v>0</v>
      </c>
      <c r="N624" s="203">
        <f t="shared" ref="N624:S624" si="608">N618+N617</f>
        <v>0</v>
      </c>
      <c r="O624" s="203">
        <f t="shared" si="608"/>
        <v>0</v>
      </c>
      <c r="P624" s="203">
        <f t="shared" si="608"/>
        <v>0</v>
      </c>
      <c r="Q624" s="203">
        <f t="shared" si="608"/>
        <v>0</v>
      </c>
      <c r="R624" s="203">
        <f t="shared" si="608"/>
        <v>0</v>
      </c>
      <c r="S624" s="203">
        <f t="shared" si="608"/>
        <v>0</v>
      </c>
      <c r="T624" s="203">
        <f>SUM(N624:S624)</f>
        <v>0</v>
      </c>
      <c r="U624" s="203">
        <f>T624+L624</f>
        <v>0</v>
      </c>
      <c r="V624" s="203">
        <f>V621</f>
        <v>0</v>
      </c>
      <c r="W624" s="203">
        <f>V624-U624</f>
        <v>0</v>
      </c>
    </row>
    <row r="625" spans="1:24" s="205" customFormat="1" ht="18" hidden="1" customHeight="1">
      <c r="A625" s="614"/>
      <c r="B625" s="576"/>
      <c r="C625" s="577"/>
      <c r="D625" s="202" t="s">
        <v>30</v>
      </c>
      <c r="E625" s="203"/>
      <c r="F625" s="203">
        <f t="shared" ref="F625:K625" si="609">F621-F624</f>
        <v>0</v>
      </c>
      <c r="G625" s="203">
        <f t="shared" si="609"/>
        <v>0</v>
      </c>
      <c r="H625" s="203">
        <f t="shared" si="609"/>
        <v>0</v>
      </c>
      <c r="I625" s="203">
        <f t="shared" si="609"/>
        <v>0</v>
      </c>
      <c r="J625" s="203">
        <f t="shared" si="609"/>
        <v>0</v>
      </c>
      <c r="K625" s="203">
        <f t="shared" si="609"/>
        <v>0</v>
      </c>
      <c r="L625" s="203"/>
      <c r="M625" s="203"/>
      <c r="N625" s="203">
        <f t="shared" ref="N625:S625" si="610">N621-N624</f>
        <v>0</v>
      </c>
      <c r="O625" s="203">
        <f t="shared" si="610"/>
        <v>0</v>
      </c>
      <c r="P625" s="203">
        <f t="shared" si="610"/>
        <v>0</v>
      </c>
      <c r="Q625" s="203">
        <f t="shared" si="610"/>
        <v>0</v>
      </c>
      <c r="R625" s="203">
        <f t="shared" si="610"/>
        <v>0</v>
      </c>
      <c r="S625" s="203">
        <f t="shared" si="610"/>
        <v>0</v>
      </c>
      <c r="T625" s="203"/>
      <c r="U625" s="203"/>
      <c r="V625" s="203"/>
      <c r="W625" s="203"/>
    </row>
    <row r="626" spans="1:24" s="205" customFormat="1" ht="18" hidden="1" customHeight="1">
      <c r="A626" s="614"/>
      <c r="B626" s="578"/>
      <c r="C626" s="579"/>
      <c r="D626" s="202" t="s">
        <v>31</v>
      </c>
      <c r="E626" s="203"/>
      <c r="F626" s="203">
        <f>F625</f>
        <v>0</v>
      </c>
      <c r="G626" s="203">
        <f>G625+F626</f>
        <v>0</v>
      </c>
      <c r="H626" s="203">
        <f>H625+G626</f>
        <v>0</v>
      </c>
      <c r="I626" s="203">
        <f>I625+H626</f>
        <v>0</v>
      </c>
      <c r="J626" s="203">
        <f>J625+I626</f>
        <v>0</v>
      </c>
      <c r="K626" s="203">
        <f>K625+J626</f>
        <v>0</v>
      </c>
      <c r="L626" s="203"/>
      <c r="M626" s="203"/>
      <c r="N626" s="203">
        <f>N625+K626</f>
        <v>0</v>
      </c>
      <c r="O626" s="203">
        <f>O625+N626</f>
        <v>0</v>
      </c>
      <c r="P626" s="203">
        <f>P625+O626</f>
        <v>0</v>
      </c>
      <c r="Q626" s="203">
        <f>Q625+P626</f>
        <v>0</v>
      </c>
      <c r="R626" s="203">
        <f>R625+Q626</f>
        <v>0</v>
      </c>
      <c r="S626" s="203">
        <f>S625+R626</f>
        <v>0</v>
      </c>
      <c r="T626" s="203"/>
      <c r="U626" s="203"/>
      <c r="V626" s="203"/>
      <c r="W626" s="203"/>
    </row>
    <row r="627" spans="1:24" s="185" customFormat="1" ht="18" customHeight="1">
      <c r="A627" s="614"/>
      <c r="B627" s="585" t="s">
        <v>122</v>
      </c>
      <c r="C627" s="586"/>
      <c r="D627" s="178" t="s">
        <v>105</v>
      </c>
      <c r="E627" s="179"/>
      <c r="F627" s="180">
        <f t="shared" ref="F627:K629" si="611">F642+F657</f>
        <v>0</v>
      </c>
      <c r="G627" s="180">
        <f t="shared" si="611"/>
        <v>0</v>
      </c>
      <c r="H627" s="180">
        <f t="shared" si="611"/>
        <v>0</v>
      </c>
      <c r="I627" s="180">
        <f t="shared" si="611"/>
        <v>0</v>
      </c>
      <c r="J627" s="180">
        <f t="shared" si="611"/>
        <v>0</v>
      </c>
      <c r="K627" s="180">
        <f t="shared" si="611"/>
        <v>0</v>
      </c>
      <c r="L627" s="215">
        <f>SUM(F627:K627)</f>
        <v>0</v>
      </c>
      <c r="M627" s="215">
        <f>L627/6</f>
        <v>0</v>
      </c>
      <c r="N627" s="180">
        <f t="shared" ref="N627:S629" si="612">N642+N657</f>
        <v>0</v>
      </c>
      <c r="O627" s="180">
        <f t="shared" si="612"/>
        <v>20.399999999999999</v>
      </c>
      <c r="P627" s="180">
        <f t="shared" si="612"/>
        <v>15.6</v>
      </c>
      <c r="Q627" s="180">
        <f t="shared" si="612"/>
        <v>0</v>
      </c>
      <c r="R627" s="180">
        <f t="shared" si="612"/>
        <v>0</v>
      </c>
      <c r="S627" s="180">
        <f t="shared" si="612"/>
        <v>0</v>
      </c>
      <c r="T627" s="215">
        <f>SUM(N627:S627)</f>
        <v>36</v>
      </c>
      <c r="U627" s="215">
        <f>T627+L627</f>
        <v>36</v>
      </c>
      <c r="V627" s="233">
        <f t="shared" ref="V627" si="613">V642+V657</f>
        <v>0</v>
      </c>
      <c r="W627" s="184"/>
    </row>
    <row r="628" spans="1:24" s="185" customFormat="1" ht="18" customHeight="1">
      <c r="A628" s="614"/>
      <c r="B628" s="587"/>
      <c r="C628" s="588"/>
      <c r="D628" s="178" t="s">
        <v>109</v>
      </c>
      <c r="E628" s="179"/>
      <c r="F628" s="180">
        <f t="shared" si="611"/>
        <v>0</v>
      </c>
      <c r="G628" s="180">
        <f t="shared" si="611"/>
        <v>0</v>
      </c>
      <c r="H628" s="180">
        <f t="shared" si="611"/>
        <v>0</v>
      </c>
      <c r="I628" s="180">
        <f t="shared" si="611"/>
        <v>0</v>
      </c>
      <c r="J628" s="180">
        <f t="shared" si="611"/>
        <v>0</v>
      </c>
      <c r="K628" s="180">
        <f t="shared" si="611"/>
        <v>0</v>
      </c>
      <c r="L628" s="215">
        <f>SUM(F628:K628)</f>
        <v>0</v>
      </c>
      <c r="M628" s="215">
        <f>L628/6</f>
        <v>0</v>
      </c>
      <c r="N628" s="180">
        <f t="shared" si="612"/>
        <v>25</v>
      </c>
      <c r="O628" s="180">
        <f t="shared" si="612"/>
        <v>10.199999999999999</v>
      </c>
      <c r="P628" s="180">
        <f t="shared" si="612"/>
        <v>1549.5</v>
      </c>
      <c r="Q628" s="180">
        <f t="shared" si="612"/>
        <v>0</v>
      </c>
      <c r="R628" s="180">
        <f t="shared" si="612"/>
        <v>0</v>
      </c>
      <c r="S628" s="180">
        <f t="shared" si="612"/>
        <v>0</v>
      </c>
      <c r="T628" s="215">
        <f>SUM(N628:S628)</f>
        <v>1584.7</v>
      </c>
      <c r="U628" s="215">
        <f>T628+L628</f>
        <v>1584.7</v>
      </c>
      <c r="V628" s="233">
        <f t="shared" ref="V628" si="614">V643+V658</f>
        <v>0</v>
      </c>
      <c r="W628" s="184"/>
    </row>
    <row r="629" spans="1:24" s="185" customFormat="1" ht="18" customHeight="1">
      <c r="A629" s="614"/>
      <c r="B629" s="587"/>
      <c r="C629" s="588"/>
      <c r="D629" s="178" t="s">
        <v>116</v>
      </c>
      <c r="E629" s="179"/>
      <c r="F629" s="180">
        <f t="shared" si="611"/>
        <v>0</v>
      </c>
      <c r="G629" s="180">
        <f t="shared" si="611"/>
        <v>0</v>
      </c>
      <c r="H629" s="180">
        <f t="shared" si="611"/>
        <v>0</v>
      </c>
      <c r="I629" s="180">
        <f t="shared" si="611"/>
        <v>0</v>
      </c>
      <c r="J629" s="180">
        <f t="shared" si="611"/>
        <v>120</v>
      </c>
      <c r="K629" s="180">
        <f t="shared" si="611"/>
        <v>200</v>
      </c>
      <c r="L629" s="215">
        <f>SUM(F629:K629)</f>
        <v>320</v>
      </c>
      <c r="M629" s="215">
        <f>L629/6</f>
        <v>53.3</v>
      </c>
      <c r="N629" s="180">
        <f t="shared" si="612"/>
        <v>8.8000000000000007</v>
      </c>
      <c r="O629" s="180">
        <f t="shared" si="612"/>
        <v>0</v>
      </c>
      <c r="P629" s="180">
        <f t="shared" si="612"/>
        <v>0</v>
      </c>
      <c r="Q629" s="180">
        <f t="shared" si="612"/>
        <v>2.5</v>
      </c>
      <c r="R629" s="180">
        <f t="shared" si="612"/>
        <v>0</v>
      </c>
      <c r="S629" s="180">
        <f t="shared" si="612"/>
        <v>0</v>
      </c>
      <c r="T629" s="215">
        <f>SUM(N629:S629)</f>
        <v>11.3</v>
      </c>
      <c r="U629" s="215">
        <f>T629+L629</f>
        <v>331.3</v>
      </c>
      <c r="V629" s="233">
        <f t="shared" ref="V629" si="615">V644+V659</f>
        <v>433.2</v>
      </c>
      <c r="W629" s="184">
        <f>V629-U629</f>
        <v>101.9</v>
      </c>
    </row>
    <row r="630" spans="1:24" s="185" customFormat="1" ht="18" customHeight="1">
      <c r="A630" s="614"/>
      <c r="B630" s="587"/>
      <c r="C630" s="588"/>
      <c r="D630" s="187" t="s">
        <v>27</v>
      </c>
      <c r="E630" s="188"/>
      <c r="F630" s="188" t="e">
        <f t="shared" ref="F630:K630" si="616">F631*1000/F629</f>
        <v>#DIV/0!</v>
      </c>
      <c r="G630" s="188" t="e">
        <f t="shared" si="616"/>
        <v>#DIV/0!</v>
      </c>
      <c r="H630" s="188" t="e">
        <f t="shared" si="616"/>
        <v>#DIV/0!</v>
      </c>
      <c r="I630" s="188" t="e">
        <f t="shared" si="616"/>
        <v>#DIV/0!</v>
      </c>
      <c r="J630" s="188">
        <f t="shared" si="616"/>
        <v>52.491999999999997</v>
      </c>
      <c r="K630" s="188">
        <f t="shared" si="616"/>
        <v>55.99</v>
      </c>
      <c r="L630" s="217">
        <f>L631/L629*1000</f>
        <v>54.68</v>
      </c>
      <c r="M630" s="217">
        <f>M631/M629*1000</f>
        <v>54.71</v>
      </c>
      <c r="N630" s="188">
        <f t="shared" ref="N630:S630" si="617">N631*1000/N629</f>
        <v>7613.8639999999996</v>
      </c>
      <c r="O630" s="188" t="e">
        <f t="shared" si="617"/>
        <v>#DIV/0!</v>
      </c>
      <c r="P630" s="188" t="e">
        <f t="shared" si="617"/>
        <v>#DIV/0!</v>
      </c>
      <c r="Q630" s="188">
        <f t="shared" si="617"/>
        <v>7679.2</v>
      </c>
      <c r="R630" s="188" t="e">
        <f t="shared" si="617"/>
        <v>#DIV/0!</v>
      </c>
      <c r="S630" s="188" t="e">
        <f t="shared" si="617"/>
        <v>#DIV/0!</v>
      </c>
      <c r="T630" s="217">
        <f>T631/T629*1000</f>
        <v>7628.32</v>
      </c>
      <c r="U630" s="217">
        <f>U631/U629*1000</f>
        <v>313</v>
      </c>
      <c r="V630" s="218">
        <f t="shared" ref="V630" si="618">V631*1000/V629</f>
        <v>239.381</v>
      </c>
      <c r="W630" s="189">
        <f>W631/W629*1000</f>
        <v>2.9000000000000001E-2</v>
      </c>
    </row>
    <row r="631" spans="1:24" s="185" customFormat="1" ht="18" customHeight="1">
      <c r="A631" s="614"/>
      <c r="B631" s="587"/>
      <c r="C631" s="588"/>
      <c r="D631" s="480" t="s">
        <v>0</v>
      </c>
      <c r="E631" s="192"/>
      <c r="F631" s="192">
        <f t="shared" ref="F631:K634" si="619">F646+F661</f>
        <v>0</v>
      </c>
      <c r="G631" s="192">
        <f t="shared" si="619"/>
        <v>0</v>
      </c>
      <c r="H631" s="192">
        <f t="shared" si="619"/>
        <v>0</v>
      </c>
      <c r="I631" s="192">
        <f t="shared" si="619"/>
        <v>0</v>
      </c>
      <c r="J631" s="192">
        <f t="shared" si="619"/>
        <v>6.2990000000000004</v>
      </c>
      <c r="K631" s="192">
        <f t="shared" si="619"/>
        <v>11.198</v>
      </c>
      <c r="L631" s="194">
        <f>SUM(F631:K631)</f>
        <v>17.497</v>
      </c>
      <c r="M631" s="194">
        <f>L631/6</f>
        <v>2.9159999999999999</v>
      </c>
      <c r="N631" s="192">
        <f t="shared" ref="N631:S634" si="620">N646+N661</f>
        <v>67.001999999999995</v>
      </c>
      <c r="O631" s="192">
        <f t="shared" si="620"/>
        <v>0</v>
      </c>
      <c r="P631" s="192">
        <f t="shared" si="620"/>
        <v>0</v>
      </c>
      <c r="Q631" s="192">
        <f t="shared" si="620"/>
        <v>19.198</v>
      </c>
      <c r="R631" s="192">
        <f t="shared" si="620"/>
        <v>0</v>
      </c>
      <c r="S631" s="192">
        <f t="shared" si="620"/>
        <v>0</v>
      </c>
      <c r="T631" s="194">
        <f>SUM(N631:S631)</f>
        <v>86.2</v>
      </c>
      <c r="U631" s="194">
        <f>T631+L631</f>
        <v>103.697</v>
      </c>
      <c r="V631" s="194">
        <f>V646+V661</f>
        <v>103.7</v>
      </c>
      <c r="W631" s="193">
        <f>V631-U631</f>
        <v>3.0000000000000001E-3</v>
      </c>
    </row>
    <row r="632" spans="1:24" s="185" customFormat="1" ht="18" customHeight="1">
      <c r="A632" s="614"/>
      <c r="B632" s="587"/>
      <c r="C632" s="588"/>
      <c r="D632" s="481" t="s">
        <v>55</v>
      </c>
      <c r="E632" s="210"/>
      <c r="F632" s="192">
        <f t="shared" si="619"/>
        <v>0</v>
      </c>
      <c r="G632" s="192">
        <f t="shared" si="619"/>
        <v>0</v>
      </c>
      <c r="H632" s="192">
        <f t="shared" si="619"/>
        <v>0</v>
      </c>
      <c r="I632" s="192">
        <f t="shared" si="619"/>
        <v>0</v>
      </c>
      <c r="J632" s="192">
        <f t="shared" si="619"/>
        <v>0</v>
      </c>
      <c r="K632" s="192">
        <f t="shared" si="619"/>
        <v>0</v>
      </c>
      <c r="L632" s="194">
        <f>SUM(F632:K632)</f>
        <v>0</v>
      </c>
      <c r="M632" s="194">
        <f>L632/6</f>
        <v>0</v>
      </c>
      <c r="N632" s="192">
        <f t="shared" si="620"/>
        <v>0</v>
      </c>
      <c r="O632" s="192">
        <f t="shared" si="620"/>
        <v>0</v>
      </c>
      <c r="P632" s="192">
        <f t="shared" si="620"/>
        <v>0</v>
      </c>
      <c r="Q632" s="192">
        <f t="shared" si="620"/>
        <v>0</v>
      </c>
      <c r="R632" s="192">
        <f t="shared" si="620"/>
        <v>0</v>
      </c>
      <c r="S632" s="192">
        <f t="shared" si="620"/>
        <v>0</v>
      </c>
      <c r="T632" s="194">
        <f>SUM(N632:S632)</f>
        <v>0</v>
      </c>
      <c r="U632" s="194">
        <f>T632+L632</f>
        <v>0</v>
      </c>
      <c r="V632" s="194">
        <f t="shared" ref="V632" si="621">V647+V662</f>
        <v>0</v>
      </c>
      <c r="W632" s="193">
        <f>V632-U632</f>
        <v>0</v>
      </c>
    </row>
    <row r="633" spans="1:24" s="185" customFormat="1" ht="18" customHeight="1">
      <c r="A633" s="614"/>
      <c r="B633" s="587"/>
      <c r="C633" s="588"/>
      <c r="D633" s="481" t="s">
        <v>28</v>
      </c>
      <c r="E633" s="210"/>
      <c r="F633" s="192">
        <f t="shared" si="619"/>
        <v>0</v>
      </c>
      <c r="G633" s="192">
        <f t="shared" si="619"/>
        <v>0</v>
      </c>
      <c r="H633" s="192">
        <f t="shared" si="619"/>
        <v>0</v>
      </c>
      <c r="I633" s="192">
        <f t="shared" si="619"/>
        <v>0</v>
      </c>
      <c r="J633" s="192">
        <f t="shared" si="619"/>
        <v>12.448</v>
      </c>
      <c r="K633" s="192">
        <f t="shared" si="619"/>
        <v>4.3</v>
      </c>
      <c r="L633" s="194">
        <f>SUM(F633:K633)</f>
        <v>16.748000000000001</v>
      </c>
      <c r="M633" s="194">
        <f>L633/6</f>
        <v>2.7909999999999999</v>
      </c>
      <c r="N633" s="192">
        <f t="shared" si="620"/>
        <v>66.549000000000007</v>
      </c>
      <c r="O633" s="192">
        <f t="shared" si="620"/>
        <v>10.4</v>
      </c>
      <c r="P633" s="192">
        <f t="shared" si="620"/>
        <v>8.2509999999999994</v>
      </c>
      <c r="Q633" s="192">
        <f t="shared" si="620"/>
        <v>0</v>
      </c>
      <c r="R633" s="192">
        <f t="shared" si="620"/>
        <v>0</v>
      </c>
      <c r="S633" s="192">
        <f t="shared" si="620"/>
        <v>1.752</v>
      </c>
      <c r="T633" s="194">
        <f>SUM(N633:S633)</f>
        <v>86.951999999999998</v>
      </c>
      <c r="U633" s="194">
        <f>T633+L633</f>
        <v>103.7</v>
      </c>
      <c r="V633" s="194">
        <f t="shared" ref="V633" si="622">V648+V663</f>
        <v>103.7</v>
      </c>
      <c r="W633" s="193">
        <f>V633-U633</f>
        <v>0</v>
      </c>
    </row>
    <row r="634" spans="1:24" s="185" customFormat="1" ht="18" customHeight="1">
      <c r="A634" s="614"/>
      <c r="B634" s="587"/>
      <c r="C634" s="588"/>
      <c r="D634" s="178" t="s">
        <v>117</v>
      </c>
      <c r="E634" s="179">
        <f>E649+E664</f>
        <v>0</v>
      </c>
      <c r="F634" s="179">
        <f t="shared" si="619"/>
        <v>0</v>
      </c>
      <c r="G634" s="179">
        <f t="shared" si="619"/>
        <v>0</v>
      </c>
      <c r="H634" s="179">
        <f t="shared" si="619"/>
        <v>0</v>
      </c>
      <c r="I634" s="179">
        <f t="shared" si="619"/>
        <v>0</v>
      </c>
      <c r="J634" s="179">
        <f t="shared" si="619"/>
        <v>120</v>
      </c>
      <c r="K634" s="179">
        <f t="shared" si="619"/>
        <v>0</v>
      </c>
      <c r="L634" s="215">
        <f>SUM(F634:K634)</f>
        <v>120</v>
      </c>
      <c r="M634" s="215">
        <f>L634/6</f>
        <v>20</v>
      </c>
      <c r="N634" s="179">
        <f t="shared" si="620"/>
        <v>208.8</v>
      </c>
      <c r="O634" s="179">
        <f t="shared" si="620"/>
        <v>0</v>
      </c>
      <c r="P634" s="179">
        <f t="shared" si="620"/>
        <v>0</v>
      </c>
      <c r="Q634" s="179">
        <f t="shared" si="620"/>
        <v>2.5</v>
      </c>
      <c r="R634" s="179">
        <f t="shared" si="620"/>
        <v>0</v>
      </c>
      <c r="S634" s="179">
        <f t="shared" si="620"/>
        <v>0</v>
      </c>
      <c r="T634" s="215">
        <f>SUM(N634:S634)</f>
        <v>211.3</v>
      </c>
      <c r="U634" s="215">
        <f>T634+L634</f>
        <v>331.3</v>
      </c>
      <c r="V634" s="179">
        <f t="shared" ref="V634" si="623">V649+V664</f>
        <v>433.2</v>
      </c>
      <c r="W634" s="184">
        <f>V634-U634</f>
        <v>101.9</v>
      </c>
      <c r="X634" s="185">
        <f>U629-U634</f>
        <v>0</v>
      </c>
    </row>
    <row r="635" spans="1:24" s="185" customFormat="1" ht="18" customHeight="1">
      <c r="A635" s="614"/>
      <c r="B635" s="587"/>
      <c r="C635" s="588"/>
      <c r="D635" s="187" t="s">
        <v>27</v>
      </c>
      <c r="E635" s="188" t="e">
        <f t="shared" ref="E635:K635" si="624">E636*1000/E634</f>
        <v>#DIV/0!</v>
      </c>
      <c r="F635" s="188" t="e">
        <f t="shared" si="624"/>
        <v>#DIV/0!</v>
      </c>
      <c r="G635" s="188" t="e">
        <f t="shared" si="624"/>
        <v>#DIV/0!</v>
      </c>
      <c r="H635" s="188" t="e">
        <f t="shared" si="624"/>
        <v>#DIV/0!</v>
      </c>
      <c r="I635" s="188" t="e">
        <f t="shared" si="624"/>
        <v>#DIV/0!</v>
      </c>
      <c r="J635" s="188">
        <f t="shared" si="624"/>
        <v>52.491999999999997</v>
      </c>
      <c r="K635" s="188" t="e">
        <f t="shared" si="624"/>
        <v>#DIV/0!</v>
      </c>
      <c r="L635" s="217">
        <f>L636/L634*1000</f>
        <v>52.49</v>
      </c>
      <c r="M635" s="217">
        <f>M636/M634*1000</f>
        <v>52.5</v>
      </c>
      <c r="N635" s="188">
        <f t="shared" ref="N635:S635" si="625">N636*1000/N634</f>
        <v>374.52100000000002</v>
      </c>
      <c r="O635" s="188" t="e">
        <f t="shared" si="625"/>
        <v>#DIV/0!</v>
      </c>
      <c r="P635" s="188" t="e">
        <f t="shared" si="625"/>
        <v>#DIV/0!</v>
      </c>
      <c r="Q635" s="188">
        <f t="shared" si="625"/>
        <v>7679.2</v>
      </c>
      <c r="R635" s="188" t="e">
        <f t="shared" si="625"/>
        <v>#DIV/0!</v>
      </c>
      <c r="S635" s="188" t="e">
        <f t="shared" si="625"/>
        <v>#DIV/0!</v>
      </c>
      <c r="T635" s="217">
        <f>T636/T634*1000</f>
        <v>460.95</v>
      </c>
      <c r="U635" s="217">
        <f>U636/U634*1000</f>
        <v>313</v>
      </c>
      <c r="V635" s="218">
        <f t="shared" ref="V635" si="626">V636*1000/V634</f>
        <v>239.381</v>
      </c>
      <c r="W635" s="189">
        <f>W636/W634*1000</f>
        <v>2.9000000000000001E-2</v>
      </c>
      <c r="X635" s="225"/>
    </row>
    <row r="636" spans="1:24" s="185" customFormat="1" ht="18" customHeight="1">
      <c r="A636" s="614"/>
      <c r="B636" s="587"/>
      <c r="C636" s="588"/>
      <c r="D636" s="482" t="s">
        <v>25</v>
      </c>
      <c r="E636" s="199">
        <f t="shared" ref="E636:K636" si="627">E651+E666</f>
        <v>0</v>
      </c>
      <c r="F636" s="199">
        <f t="shared" si="627"/>
        <v>0</v>
      </c>
      <c r="G636" s="199">
        <f t="shared" si="627"/>
        <v>0</v>
      </c>
      <c r="H636" s="199">
        <f t="shared" si="627"/>
        <v>0</v>
      </c>
      <c r="I636" s="199">
        <f t="shared" si="627"/>
        <v>0</v>
      </c>
      <c r="J636" s="199">
        <f t="shared" si="627"/>
        <v>6.2990000000000004</v>
      </c>
      <c r="K636" s="199">
        <f t="shared" si="627"/>
        <v>0</v>
      </c>
      <c r="L636" s="199">
        <f>SUM(F636:K636)</f>
        <v>6.2990000000000004</v>
      </c>
      <c r="M636" s="199">
        <f>L636/6</f>
        <v>1.05</v>
      </c>
      <c r="N636" s="199">
        <f t="shared" ref="N636:S639" si="628">N651+N666</f>
        <v>78.2</v>
      </c>
      <c r="O636" s="199">
        <f t="shared" si="628"/>
        <v>0</v>
      </c>
      <c r="P636" s="199">
        <f t="shared" si="628"/>
        <v>0</v>
      </c>
      <c r="Q636" s="199">
        <f t="shared" si="628"/>
        <v>19.198</v>
      </c>
      <c r="R636" s="199">
        <f t="shared" si="628"/>
        <v>0</v>
      </c>
      <c r="S636" s="199">
        <f t="shared" si="628"/>
        <v>0</v>
      </c>
      <c r="T636" s="199">
        <f>SUM(N636:S636)</f>
        <v>97.397999999999996</v>
      </c>
      <c r="U636" s="199">
        <f>T636+L636</f>
        <v>103.697</v>
      </c>
      <c r="V636" s="199">
        <f t="shared" ref="V636" si="629">V651+V666</f>
        <v>103.7</v>
      </c>
      <c r="W636" s="221">
        <f>V636-U636</f>
        <v>3.0000000000000001E-3</v>
      </c>
      <c r="X636" s="176">
        <f>U631-U636</f>
        <v>0</v>
      </c>
    </row>
    <row r="637" spans="1:24" s="185" customFormat="1" ht="18" customHeight="1">
      <c r="A637" s="614"/>
      <c r="B637" s="587"/>
      <c r="C637" s="588"/>
      <c r="D637" s="483" t="s">
        <v>55</v>
      </c>
      <c r="E637" s="220"/>
      <c r="F637" s="199">
        <f t="shared" ref="F637:K639" si="630">F652+F667</f>
        <v>0</v>
      </c>
      <c r="G637" s="199">
        <f t="shared" si="630"/>
        <v>0</v>
      </c>
      <c r="H637" s="199">
        <f t="shared" si="630"/>
        <v>0</v>
      </c>
      <c r="I637" s="199">
        <f t="shared" si="630"/>
        <v>0</v>
      </c>
      <c r="J637" s="199">
        <f t="shared" si="630"/>
        <v>0</v>
      </c>
      <c r="K637" s="199">
        <f t="shared" si="630"/>
        <v>0</v>
      </c>
      <c r="L637" s="199">
        <f>SUM(F637:K637)</f>
        <v>0</v>
      </c>
      <c r="M637" s="199">
        <f>L637/6</f>
        <v>0</v>
      </c>
      <c r="N637" s="199">
        <f t="shared" si="628"/>
        <v>0</v>
      </c>
      <c r="O637" s="199">
        <f t="shared" si="628"/>
        <v>0</v>
      </c>
      <c r="P637" s="199">
        <f t="shared" si="628"/>
        <v>0</v>
      </c>
      <c r="Q637" s="199">
        <f t="shared" si="628"/>
        <v>0</v>
      </c>
      <c r="R637" s="199">
        <f t="shared" si="628"/>
        <v>0</v>
      </c>
      <c r="S637" s="199">
        <f t="shared" si="628"/>
        <v>0</v>
      </c>
      <c r="T637" s="199">
        <f>SUM(N637:S637)</f>
        <v>0</v>
      </c>
      <c r="U637" s="199">
        <f>T637+L637</f>
        <v>0</v>
      </c>
      <c r="V637" s="199">
        <f t="shared" ref="V637" si="631">V652+V667</f>
        <v>0</v>
      </c>
      <c r="W637" s="221">
        <f>V637-U637</f>
        <v>0</v>
      </c>
      <c r="X637" s="176">
        <f>U632-U637</f>
        <v>0</v>
      </c>
    </row>
    <row r="638" spans="1:24" s="185" customFormat="1" ht="18" customHeight="1">
      <c r="A638" s="614"/>
      <c r="B638" s="587"/>
      <c r="C638" s="588"/>
      <c r="D638" s="483" t="s">
        <v>24</v>
      </c>
      <c r="E638" s="220"/>
      <c r="F638" s="199">
        <f t="shared" si="630"/>
        <v>0</v>
      </c>
      <c r="G638" s="199">
        <f t="shared" si="630"/>
        <v>0</v>
      </c>
      <c r="H638" s="199">
        <f t="shared" si="630"/>
        <v>0</v>
      </c>
      <c r="I638" s="199">
        <f t="shared" si="630"/>
        <v>0</v>
      </c>
      <c r="J638" s="199">
        <f t="shared" si="630"/>
        <v>6.2990000000000004</v>
      </c>
      <c r="K638" s="199">
        <f t="shared" si="630"/>
        <v>0</v>
      </c>
      <c r="L638" s="199">
        <f>SUM(F638:K638)</f>
        <v>6.2990000000000004</v>
      </c>
      <c r="M638" s="199">
        <f>L638/6</f>
        <v>1.05</v>
      </c>
      <c r="N638" s="199">
        <f t="shared" si="628"/>
        <v>78.2</v>
      </c>
      <c r="O638" s="199">
        <f t="shared" si="628"/>
        <v>0</v>
      </c>
      <c r="P638" s="199">
        <f t="shared" si="628"/>
        <v>0</v>
      </c>
      <c r="Q638" s="199">
        <f t="shared" si="628"/>
        <v>19.198</v>
      </c>
      <c r="R638" s="199">
        <f t="shared" si="628"/>
        <v>0</v>
      </c>
      <c r="S638" s="199">
        <f t="shared" si="628"/>
        <v>0</v>
      </c>
      <c r="T638" s="199">
        <f>SUM(N638:S638)</f>
        <v>97.397999999999996</v>
      </c>
      <c r="U638" s="199">
        <f>T638+L638</f>
        <v>103.697</v>
      </c>
      <c r="V638" s="199">
        <f t="shared" ref="V638" si="632">V653+V668</f>
        <v>103.7</v>
      </c>
      <c r="W638" s="221">
        <f>V638-U638</f>
        <v>3.0000000000000001E-3</v>
      </c>
      <c r="X638" s="176">
        <f>U633-U638</f>
        <v>3.0000000000000001E-3</v>
      </c>
    </row>
    <row r="639" spans="1:24" s="185" customFormat="1" ht="18" customHeight="1">
      <c r="A639" s="614"/>
      <c r="B639" s="587"/>
      <c r="C639" s="588"/>
      <c r="D639" s="202" t="s">
        <v>29</v>
      </c>
      <c r="E639" s="203"/>
      <c r="F639" s="203">
        <f t="shared" si="630"/>
        <v>0</v>
      </c>
      <c r="G639" s="203">
        <f t="shared" si="630"/>
        <v>0</v>
      </c>
      <c r="H639" s="203">
        <f t="shared" si="630"/>
        <v>0</v>
      </c>
      <c r="I639" s="203">
        <f t="shared" si="630"/>
        <v>0</v>
      </c>
      <c r="J639" s="203">
        <f t="shared" si="630"/>
        <v>12.448</v>
      </c>
      <c r="K639" s="203">
        <f t="shared" si="630"/>
        <v>4.3</v>
      </c>
      <c r="L639" s="203">
        <f>SUM(F639:K639)</f>
        <v>16.748000000000001</v>
      </c>
      <c r="M639" s="203">
        <f>L639/6</f>
        <v>2.7909999999999999</v>
      </c>
      <c r="N639" s="203">
        <f t="shared" si="628"/>
        <v>66.549000000000007</v>
      </c>
      <c r="O639" s="203">
        <f t="shared" si="628"/>
        <v>10.4</v>
      </c>
      <c r="P639" s="203">
        <f t="shared" si="628"/>
        <v>8.2509999999999994</v>
      </c>
      <c r="Q639" s="203">
        <f t="shared" si="628"/>
        <v>0</v>
      </c>
      <c r="R639" s="203">
        <f t="shared" si="628"/>
        <v>0</v>
      </c>
      <c r="S639" s="203">
        <f t="shared" si="628"/>
        <v>1.752</v>
      </c>
      <c r="T639" s="203">
        <f>SUM(N639:S639)</f>
        <v>86.951999999999998</v>
      </c>
      <c r="U639" s="203">
        <f>T639+L639</f>
        <v>103.7</v>
      </c>
      <c r="V639" s="203">
        <f t="shared" ref="V639" si="633">V654+V669</f>
        <v>103.7</v>
      </c>
      <c r="W639" s="203">
        <f>V639-U639</f>
        <v>0</v>
      </c>
    </row>
    <row r="640" spans="1:24" s="185" customFormat="1" ht="18" customHeight="1">
      <c r="A640" s="614"/>
      <c r="B640" s="587"/>
      <c r="C640" s="588"/>
      <c r="D640" s="202" t="s">
        <v>30</v>
      </c>
      <c r="E640" s="203"/>
      <c r="F640" s="203">
        <f t="shared" ref="F640:K640" si="634">F636-F639</f>
        <v>0</v>
      </c>
      <c r="G640" s="203">
        <f t="shared" si="634"/>
        <v>0</v>
      </c>
      <c r="H640" s="203">
        <f t="shared" si="634"/>
        <v>0</v>
      </c>
      <c r="I640" s="203">
        <f t="shared" si="634"/>
        <v>0</v>
      </c>
      <c r="J640" s="203">
        <f t="shared" si="634"/>
        <v>-6.149</v>
      </c>
      <c r="K640" s="203">
        <f t="shared" si="634"/>
        <v>-4.3</v>
      </c>
      <c r="L640" s="203"/>
      <c r="M640" s="203"/>
      <c r="N640" s="203">
        <f t="shared" ref="N640:S640" si="635">N636-N639</f>
        <v>11.651</v>
      </c>
      <c r="O640" s="203">
        <f t="shared" si="635"/>
        <v>-10.4</v>
      </c>
      <c r="P640" s="203">
        <f t="shared" si="635"/>
        <v>-8.2509999999999994</v>
      </c>
      <c r="Q640" s="203">
        <f t="shared" si="635"/>
        <v>19.198</v>
      </c>
      <c r="R640" s="203">
        <f t="shared" si="635"/>
        <v>0</v>
      </c>
      <c r="S640" s="203">
        <f t="shared" si="635"/>
        <v>-1.752</v>
      </c>
      <c r="T640" s="203"/>
      <c r="U640" s="203"/>
      <c r="V640" s="203"/>
      <c r="W640" s="203"/>
    </row>
    <row r="641" spans="1:24" s="185" customFormat="1" ht="18" customHeight="1">
      <c r="A641" s="615"/>
      <c r="B641" s="589"/>
      <c r="C641" s="590"/>
      <c r="D641" s="202" t="s">
        <v>31</v>
      </c>
      <c r="E641" s="203"/>
      <c r="F641" s="203">
        <f t="shared" ref="F641:K641" si="636">F640</f>
        <v>0</v>
      </c>
      <c r="G641" s="203">
        <f t="shared" si="636"/>
        <v>0</v>
      </c>
      <c r="H641" s="203">
        <f t="shared" si="636"/>
        <v>0</v>
      </c>
      <c r="I641" s="203">
        <f t="shared" si="636"/>
        <v>0</v>
      </c>
      <c r="J641" s="203">
        <f t="shared" si="636"/>
        <v>-6.149</v>
      </c>
      <c r="K641" s="203">
        <f t="shared" si="636"/>
        <v>-4.3</v>
      </c>
      <c r="L641" s="203"/>
      <c r="M641" s="203"/>
      <c r="N641" s="203">
        <f t="shared" ref="N641:S641" si="637">N640</f>
        <v>11.651</v>
      </c>
      <c r="O641" s="203">
        <f t="shared" si="637"/>
        <v>-10.4</v>
      </c>
      <c r="P641" s="203">
        <f t="shared" si="637"/>
        <v>-8.2509999999999994</v>
      </c>
      <c r="Q641" s="203">
        <f t="shared" si="637"/>
        <v>19.198</v>
      </c>
      <c r="R641" s="203">
        <f t="shared" si="637"/>
        <v>0</v>
      </c>
      <c r="S641" s="203">
        <f t="shared" si="637"/>
        <v>-1.752</v>
      </c>
      <c r="T641" s="203"/>
      <c r="U641" s="203"/>
      <c r="V641" s="203"/>
      <c r="W641" s="203"/>
    </row>
    <row r="642" spans="1:24" s="185" customFormat="1" ht="18" customHeight="1">
      <c r="A642" s="650"/>
      <c r="B642" s="580" t="s">
        <v>125</v>
      </c>
      <c r="C642" s="575"/>
      <c r="D642" s="178" t="s">
        <v>105</v>
      </c>
      <c r="E642" s="179"/>
      <c r="F642" s="180">
        <f>№2!F719+№5!F719+'№ 6'!F719+№14!F719+'№ 20'!F719+'№ 23'!F719+№27!F719+'№ 31'!F719+'№ 34'!F719+'№ 41'!F719</f>
        <v>0</v>
      </c>
      <c r="G642" s="180">
        <f>№2!G719+№5!G719+'№ 6'!G719+№14!G719+'№ 20'!G719+'№ 23'!G719+№27!G719+'№ 31'!G719+'№ 34'!G719+'№ 41'!G719</f>
        <v>0</v>
      </c>
      <c r="H642" s="180">
        <f>№2!H719+№5!H719+'№ 6'!H719+№14!H719+'№ 20'!H719+'№ 23'!H719+№27!H719+'№ 31'!H719+'№ 34'!H719+'№ 41'!H719</f>
        <v>0</v>
      </c>
      <c r="I642" s="180">
        <f>№2!I719+№5!I719+'№ 6'!I719+№14!I719+'№ 20'!I719+'№ 23'!I719+№27!I719+'№ 31'!I719+'№ 34'!I719+'№ 41'!I719</f>
        <v>0</v>
      </c>
      <c r="J642" s="180">
        <f>№2!J719+№5!J719+'№ 6'!J719+№14!J719+'№ 20'!J719+'№ 23'!J719+№27!J719+'№ 31'!J719+'№ 34'!J719+'№ 41'!J719</f>
        <v>0</v>
      </c>
      <c r="K642" s="180">
        <f>№2!K719+№5!K719+'№ 6'!K719+№14!K719+'№ 20'!K719+'№ 23'!K719+№27!K719+'№ 31'!K719+'№ 34'!K719+'№ 41'!K719</f>
        <v>0</v>
      </c>
      <c r="L642" s="215">
        <f>SUM(F642:K642)</f>
        <v>0</v>
      </c>
      <c r="M642" s="215">
        <f>L642/6</f>
        <v>0</v>
      </c>
      <c r="N642" s="180">
        <f>№2!N719+№5!N719+'№ 6'!N719+№14!N719+'№ 20'!N719+'№ 23'!N719+№27!N719+'№ 31'!N719+'№ 34'!N719+'№ 41'!N719</f>
        <v>0</v>
      </c>
      <c r="O642" s="180">
        <f>№2!O719+№5!O719+'№ 6'!O719+№14!O719+'№ 20'!O719+'№ 23'!O719+№27!O719+'№ 31'!O719+'№ 34'!O719+'№ 41'!O719</f>
        <v>10.199999999999999</v>
      </c>
      <c r="P642" s="180">
        <f>№2!P719+№5!P719+'№ 6'!P719+№14!P719+'№ 20'!P719+'№ 23'!P719+№27!P719+'№ 31'!P719+'№ 34'!P719+'№ 41'!P719</f>
        <v>7.8</v>
      </c>
      <c r="Q642" s="180">
        <f>№2!Q719+№5!Q719+'№ 6'!Q719+№14!Q719+'№ 20'!Q719+'№ 23'!Q719+№27!Q719+'№ 31'!Q719+'№ 34'!Q719+'№ 41'!Q719</f>
        <v>0</v>
      </c>
      <c r="R642" s="180">
        <f>№2!R719+№5!R719+'№ 6'!R719+№14!R719+'№ 20'!R719+'№ 23'!R719+№27!R719+'№ 31'!R719+'№ 34'!R719+'№ 41'!R719</f>
        <v>0</v>
      </c>
      <c r="S642" s="180">
        <f>№2!S719+№5!S719+'№ 6'!S719+№14!S719+'№ 20'!S719+'№ 23'!S719+№27!S719+'№ 31'!S719+'№ 34'!S719+'№ 41'!S719</f>
        <v>0</v>
      </c>
      <c r="T642" s="215">
        <f>SUM(N642:S642)</f>
        <v>18</v>
      </c>
      <c r="U642" s="215">
        <f>T642+L642</f>
        <v>18</v>
      </c>
      <c r="V642" s="233">
        <f>№2!V719+№5!V719+'№ 6'!V719+№14!V719+'№ 20'!V719+'№ 23'!V719+№27!V719+'№ 31'!V719+'№ 34'!V719+'№ 41'!V719</f>
        <v>0</v>
      </c>
      <c r="W642" s="184"/>
    </row>
    <row r="643" spans="1:24" s="185" customFormat="1" ht="18" customHeight="1">
      <c r="A643" s="614"/>
      <c r="B643" s="576"/>
      <c r="C643" s="577"/>
      <c r="D643" s="178" t="s">
        <v>109</v>
      </c>
      <c r="E643" s="179"/>
      <c r="F643" s="180">
        <f>№2!F720+№5!F720+'№ 6'!F720+№14!F720+'№ 20'!F720+'№ 23'!F720+№27!F720+'№ 31'!F720+'№ 34'!F720+'№ 41'!F720</f>
        <v>0</v>
      </c>
      <c r="G643" s="180">
        <f>№2!G720+№5!G720+'№ 6'!G720+№14!G720+'№ 20'!G720+'№ 23'!G720+№27!G720+'№ 31'!G720+'№ 34'!G720+'№ 41'!G720</f>
        <v>0</v>
      </c>
      <c r="H643" s="180">
        <f>№2!H720+№5!H720+'№ 6'!H720+№14!H720+'№ 20'!H720+'№ 23'!H720+№27!H720+'№ 31'!H720+'№ 34'!H720+'№ 41'!H720</f>
        <v>0</v>
      </c>
      <c r="I643" s="180">
        <f>№2!I720+№5!I720+'№ 6'!I720+№14!I720+'№ 20'!I720+'№ 23'!I720+№27!I720+'№ 31'!I720+'№ 34'!I720+'№ 41'!I720</f>
        <v>0</v>
      </c>
      <c r="J643" s="180">
        <f>№2!J720+№5!J720+'№ 6'!J720+№14!J720+'№ 20'!J720+'№ 23'!J720+№27!J720+'№ 31'!J720+'№ 34'!J720+'№ 41'!J720</f>
        <v>0</v>
      </c>
      <c r="K643" s="180">
        <f>№2!K720+№5!K720+'№ 6'!K720+№14!K720+'№ 20'!K720+'№ 23'!K720+№27!K720+'№ 31'!K720+'№ 34'!K720+'№ 41'!K720</f>
        <v>0</v>
      </c>
      <c r="L643" s="215">
        <f>SUM(F643:K643)</f>
        <v>0</v>
      </c>
      <c r="M643" s="215">
        <f>L643/6</f>
        <v>0</v>
      </c>
      <c r="N643" s="180">
        <f>№2!N720+№5!N720+'№ 6'!N720+№14!N720+'№ 20'!N720+'№ 23'!N720+№27!N720+'№ 31'!N720+'№ 34'!N720+'№ 41'!N720</f>
        <v>25</v>
      </c>
      <c r="O643" s="180">
        <f>№2!O720+№5!O720+'№ 6'!O720+№14!O720+'№ 20'!O720+'№ 23'!O720+№27!O720+'№ 31'!O720+'№ 34'!O720+'№ 41'!O720</f>
        <v>0</v>
      </c>
      <c r="P643" s="180">
        <f>№2!P720+№5!P720+'№ 6'!P720+№14!P720+'№ 20'!P720+'№ 23'!P720+№27!P720+'№ 31'!P720+'№ 34'!P720+'№ 41'!P720</f>
        <v>9.5</v>
      </c>
      <c r="Q643" s="180">
        <f>№2!Q720+№5!Q720+'№ 6'!Q720+№14!Q720+'№ 20'!Q720+'№ 23'!Q720+№27!Q720+'№ 31'!Q720+'№ 34'!Q720+'№ 41'!Q720</f>
        <v>0</v>
      </c>
      <c r="R643" s="180">
        <f>№2!R720+№5!R720+'№ 6'!R720+№14!R720+'№ 20'!R720+'№ 23'!R720+№27!R720+'№ 31'!R720+'№ 34'!R720+'№ 41'!R720</f>
        <v>0</v>
      </c>
      <c r="S643" s="180">
        <f>№2!S720+№5!S720+'№ 6'!S720+№14!S720+'№ 20'!S720+'№ 23'!S720+№27!S720+'№ 31'!S720+'№ 34'!S720+'№ 41'!S720</f>
        <v>0</v>
      </c>
      <c r="T643" s="215">
        <f>SUM(N643:S643)</f>
        <v>34.5</v>
      </c>
      <c r="U643" s="215">
        <f>T643+L643</f>
        <v>34.5</v>
      </c>
      <c r="V643" s="233">
        <f>№2!V720+№5!V720+'№ 6'!V720+№14!V720+'№ 20'!V720+'№ 23'!V720+№27!V720+'№ 31'!V720+'№ 34'!V720+'№ 41'!V720</f>
        <v>0</v>
      </c>
      <c r="W643" s="184"/>
    </row>
    <row r="644" spans="1:24" s="185" customFormat="1" ht="18" customHeight="1">
      <c r="A644" s="614"/>
      <c r="B644" s="576"/>
      <c r="C644" s="577"/>
      <c r="D644" s="178" t="s">
        <v>116</v>
      </c>
      <c r="E644" s="179"/>
      <c r="F644" s="180">
        <f>№2!F721+№5!F721+'№ 6'!F721+№14!F721+'№ 20'!F721+'№ 23'!F721+№27!F721+'№ 31'!F721+'№ 34'!F721+'№ 41'!F721</f>
        <v>0</v>
      </c>
      <c r="G644" s="180">
        <f>№2!G721+№5!G721+'№ 6'!G721+№14!G721+'№ 20'!G721+'№ 23'!G721+№27!G721+'№ 31'!G721+'№ 34'!G721+'№ 41'!G721</f>
        <v>0</v>
      </c>
      <c r="H644" s="180">
        <f>№2!H721+№5!H721+'№ 6'!H721+№14!H721+'№ 20'!H721+'№ 23'!H721+№27!H721+'№ 31'!H721+'№ 34'!H721+'№ 41'!H721</f>
        <v>0</v>
      </c>
      <c r="I644" s="180">
        <f>№2!I721+№5!I721+'№ 6'!I721+№14!I721+'№ 20'!I721+'№ 23'!I721+№27!I721+'№ 31'!I721+'№ 34'!I721+'№ 41'!I721</f>
        <v>0</v>
      </c>
      <c r="J644" s="180">
        <f>№2!J721+№5!J721+'№ 6'!J721+№14!J721+'№ 20'!J721+'№ 23'!J721+№27!J721+'№ 31'!J721+'№ 34'!J721+'№ 41'!J721</f>
        <v>0</v>
      </c>
      <c r="K644" s="180">
        <f>№2!K721+№5!K721+'№ 6'!K721+№14!K721+'№ 20'!K721+'№ 23'!K721+№27!K721+'№ 31'!K721+'№ 34'!K721+'№ 41'!K721</f>
        <v>0</v>
      </c>
      <c r="L644" s="215">
        <f>SUM(F644:K644)</f>
        <v>0</v>
      </c>
      <c r="M644" s="215">
        <f>L644/6</f>
        <v>0</v>
      </c>
      <c r="N644" s="180">
        <f>№2!N721+№5!N721+'№ 6'!N721+№14!N721+'№ 20'!N721+'№ 23'!N721+№27!N721+'№ 31'!N721+'№ 34'!N721+'№ 41'!N721</f>
        <v>8.8000000000000007</v>
      </c>
      <c r="O644" s="180">
        <f>№2!O721+№5!O721+'№ 6'!O721+№14!O721+'№ 20'!O721+'№ 23'!O721+№27!O721+'№ 31'!O721+'№ 34'!O721+'№ 41'!O721</f>
        <v>0</v>
      </c>
      <c r="P644" s="180">
        <f>№2!P721+№5!P721+'№ 6'!P721+№14!P721+'№ 20'!P721+'№ 23'!P721+№27!P721+'№ 31'!P721+'№ 34'!P721+'№ 41'!P721</f>
        <v>0</v>
      </c>
      <c r="Q644" s="180">
        <f>№2!Q721+№5!Q721+'№ 6'!Q721+№14!Q721+'№ 20'!Q721+'№ 23'!Q721+№27!Q721+'№ 31'!Q721+'№ 34'!Q721+'№ 41'!Q721</f>
        <v>2.5</v>
      </c>
      <c r="R644" s="180">
        <f>№2!R721+№5!R721+'№ 6'!R721+№14!R721+'№ 20'!R721+'№ 23'!R721+№27!R721+'№ 31'!R721+'№ 34'!R721+'№ 41'!R721</f>
        <v>0</v>
      </c>
      <c r="S644" s="180">
        <f>№2!S721+№5!S721+'№ 6'!S721+№14!S721+'№ 20'!S721+'№ 23'!S721+№27!S721+'№ 31'!S721+'№ 34'!S721+'№ 41'!S721</f>
        <v>0</v>
      </c>
      <c r="T644" s="215">
        <f>SUM(N644:S644)</f>
        <v>11.3</v>
      </c>
      <c r="U644" s="215">
        <f>T644+L644</f>
        <v>11.3</v>
      </c>
      <c r="V644" s="233">
        <f>№2!V721+№5!V721+'№ 6'!V721+№14!V721+'№ 20'!V721+'№ 23'!V721+№27!V721+'№ 31'!V721+'№ 34'!V721+'№ 41'!V721</f>
        <v>10</v>
      </c>
      <c r="W644" s="184">
        <f>V644-U644</f>
        <v>-1.3</v>
      </c>
    </row>
    <row r="645" spans="1:24" s="185" customFormat="1" ht="18" customHeight="1">
      <c r="A645" s="614"/>
      <c r="B645" s="576"/>
      <c r="C645" s="577"/>
      <c r="D645" s="187" t="s">
        <v>27</v>
      </c>
      <c r="E645" s="188"/>
      <c r="F645" s="188" t="e">
        <f t="shared" ref="F645:U645" si="638">F646/F644*1000</f>
        <v>#DIV/0!</v>
      </c>
      <c r="G645" s="188" t="e">
        <f t="shared" si="638"/>
        <v>#DIV/0!</v>
      </c>
      <c r="H645" s="188" t="e">
        <f t="shared" si="638"/>
        <v>#DIV/0!</v>
      </c>
      <c r="I645" s="188" t="e">
        <f t="shared" si="638"/>
        <v>#DIV/0!</v>
      </c>
      <c r="J645" s="188" t="e">
        <f t="shared" si="638"/>
        <v>#DIV/0!</v>
      </c>
      <c r="K645" s="188" t="e">
        <f t="shared" si="638"/>
        <v>#DIV/0!</v>
      </c>
      <c r="L645" s="217" t="e">
        <f t="shared" si="638"/>
        <v>#DIV/0!</v>
      </c>
      <c r="M645" s="217" t="e">
        <f t="shared" si="638"/>
        <v>#DIV/0!</v>
      </c>
      <c r="N645" s="188">
        <f t="shared" si="638"/>
        <v>7613.8639999999996</v>
      </c>
      <c r="O645" s="188" t="e">
        <f t="shared" si="638"/>
        <v>#DIV/0!</v>
      </c>
      <c r="P645" s="188" t="e">
        <f t="shared" si="638"/>
        <v>#DIV/0!</v>
      </c>
      <c r="Q645" s="188">
        <f t="shared" si="638"/>
        <v>7679.2</v>
      </c>
      <c r="R645" s="188" t="e">
        <f t="shared" si="638"/>
        <v>#DIV/0!</v>
      </c>
      <c r="S645" s="188" t="e">
        <f t="shared" si="638"/>
        <v>#DIV/0!</v>
      </c>
      <c r="T645" s="217">
        <f t="shared" si="638"/>
        <v>7628.32</v>
      </c>
      <c r="U645" s="217">
        <f t="shared" si="638"/>
        <v>7628.32</v>
      </c>
      <c r="V645" s="218">
        <f t="shared" ref="V645" si="639">V646/V644*1000</f>
        <v>8620</v>
      </c>
      <c r="W645" s="189">
        <f>W646/W644*1000</f>
        <v>0</v>
      </c>
    </row>
    <row r="646" spans="1:24" s="185" customFormat="1" ht="18" customHeight="1">
      <c r="A646" s="614"/>
      <c r="B646" s="576"/>
      <c r="C646" s="577"/>
      <c r="D646" s="480" t="s">
        <v>0</v>
      </c>
      <c r="E646" s="192"/>
      <c r="F646" s="192">
        <f>№2!F723+№5!F723+'№ 6'!F723+№14!F723+'№ 20'!F723+'№ 23'!F723+№27!F723+'№ 31'!F723+'№ 34'!F723+'№ 41'!F723</f>
        <v>0</v>
      </c>
      <c r="G646" s="192">
        <f>№2!G723+№5!G723+'№ 6'!G723+№14!G723+'№ 20'!G723+'№ 23'!G723+№27!G723+'№ 31'!G723+'№ 34'!G723+'№ 41'!G723</f>
        <v>0</v>
      </c>
      <c r="H646" s="192">
        <f>№2!H723+№5!H723+'№ 6'!H723+№14!H723+'№ 20'!H723+'№ 23'!H723+№27!H723+'№ 31'!H723+'№ 34'!H723+'№ 41'!H723</f>
        <v>0</v>
      </c>
      <c r="I646" s="192">
        <f>№2!I723+№5!I723+'№ 6'!I723+№14!I723+'№ 20'!I723+'№ 23'!I723+№27!I723+'№ 31'!I723+'№ 34'!I723+'№ 41'!I723</f>
        <v>0</v>
      </c>
      <c r="J646" s="192">
        <f>№2!J723+№5!J723+'№ 6'!J723+№14!J723+'№ 20'!J723+'№ 23'!J723+№27!J723+'№ 31'!J723+'№ 34'!J723+'№ 41'!J723</f>
        <v>0</v>
      </c>
      <c r="K646" s="192">
        <f>№2!K723+№5!K723+'№ 6'!K723+№14!K723+'№ 20'!K723+'№ 23'!K723+№27!K723+'№ 31'!K723+'№ 34'!K723+'№ 41'!K723</f>
        <v>0</v>
      </c>
      <c r="L646" s="194">
        <f>SUM(F646:K646)</f>
        <v>0</v>
      </c>
      <c r="M646" s="194">
        <f>L646/6</f>
        <v>0</v>
      </c>
      <c r="N646" s="192">
        <f>№2!N723+№5!N723+'№ 6'!N723+№14!N723+'№ 20'!N723+'№ 23'!N723+№27!N723+'№ 31'!N723+'№ 34'!N723+'№ 41'!N723</f>
        <v>67.001999999999995</v>
      </c>
      <c r="O646" s="192">
        <f>№2!O723+№5!O723+'№ 6'!O723+№14!O723+'№ 20'!O723+'№ 23'!O723+№27!O723+'№ 31'!O723+'№ 34'!O723+'№ 41'!O723</f>
        <v>0</v>
      </c>
      <c r="P646" s="192">
        <f>№2!P723+№5!P723+'№ 6'!P723+№14!P723+'№ 20'!P723+'№ 23'!P723+№27!P723+'№ 31'!P723+'№ 34'!P723+'№ 41'!P723</f>
        <v>0</v>
      </c>
      <c r="Q646" s="192">
        <f>№2!Q723+№5!Q723+'№ 6'!Q723+№14!Q723+'№ 20'!Q723+'№ 23'!Q723+№27!Q723+'№ 31'!Q723+'№ 34'!Q723+'№ 41'!Q723</f>
        <v>19.198</v>
      </c>
      <c r="R646" s="192">
        <f>№2!R723+№5!R723+'№ 6'!R723+№14!R723+'№ 20'!R723+'№ 23'!R723+№27!R723+'№ 31'!R723+'№ 34'!R723+'№ 41'!R723</f>
        <v>0</v>
      </c>
      <c r="S646" s="192">
        <f>№2!S723+№5!S723+'№ 6'!S723+№14!S723+'№ 20'!S723+'№ 23'!S723+№27!S723+'№ 31'!S723+'№ 34'!S723+'№ 41'!S723</f>
        <v>0</v>
      </c>
      <c r="T646" s="194">
        <f>SUM(N646:S646)</f>
        <v>86.2</v>
      </c>
      <c r="U646" s="194">
        <f>T646+L646</f>
        <v>86.2</v>
      </c>
      <c r="V646" s="194">
        <f>№2!V723+№5!V723+'№ 6'!V723+№14!V723+'№ 20'!V723+'№ 23'!V723+№27!V723+'№ 31'!V723+'№ 34'!V723+'№ 41'!V723</f>
        <v>86.2</v>
      </c>
      <c r="W646" s="193">
        <f>V646-U646</f>
        <v>0</v>
      </c>
    </row>
    <row r="647" spans="1:24" s="185" customFormat="1" ht="18" customHeight="1">
      <c r="A647" s="614"/>
      <c r="B647" s="576"/>
      <c r="C647" s="577"/>
      <c r="D647" s="481" t="s">
        <v>55</v>
      </c>
      <c r="E647" s="210"/>
      <c r="F647" s="192">
        <f>№2!F724+№5!F724+'№ 6'!F724+№14!F724+'№ 20'!F724+'№ 23'!F724+№27!F724+'№ 31'!F724+'№ 34'!F724+'№ 41'!F724</f>
        <v>0</v>
      </c>
      <c r="G647" s="192">
        <f>№2!G724+№5!G724+'№ 6'!G724+№14!G724+'№ 20'!G724+'№ 23'!G724+№27!G724+'№ 31'!G724+'№ 34'!G724+'№ 41'!G724</f>
        <v>0</v>
      </c>
      <c r="H647" s="192">
        <f>№2!H724+№5!H724+'№ 6'!H724+№14!H724+'№ 20'!H724+'№ 23'!H724+№27!H724+'№ 31'!H724+'№ 34'!H724+'№ 41'!H724</f>
        <v>0</v>
      </c>
      <c r="I647" s="192">
        <f>№2!I724+№5!I724+'№ 6'!I724+№14!I724+'№ 20'!I724+'№ 23'!I724+№27!I724+'№ 31'!I724+'№ 34'!I724+'№ 41'!I724</f>
        <v>0</v>
      </c>
      <c r="J647" s="192">
        <f>№2!J724+№5!J724+'№ 6'!J724+№14!J724+'№ 20'!J724+'№ 23'!J724+№27!J724+'№ 31'!J724+'№ 34'!J724+'№ 41'!J724</f>
        <v>0</v>
      </c>
      <c r="K647" s="192">
        <f>№2!K724+№5!K724+'№ 6'!K724+№14!K724+'№ 20'!K724+'№ 23'!K724+№27!K724+'№ 31'!K724+'№ 34'!K724+'№ 41'!K724</f>
        <v>0</v>
      </c>
      <c r="L647" s="194">
        <f>SUM(F647:K647)</f>
        <v>0</v>
      </c>
      <c r="M647" s="194">
        <f>L647/6</f>
        <v>0</v>
      </c>
      <c r="N647" s="192">
        <f>№2!N724+№5!N724+'№ 6'!N724+№14!N724+'№ 20'!N724+'№ 23'!N724+№27!N724+'№ 31'!N724+'№ 34'!N724+'№ 41'!N724</f>
        <v>0</v>
      </c>
      <c r="O647" s="192">
        <f>№2!O724+№5!O724+'№ 6'!O724+№14!O724+'№ 20'!O724+'№ 23'!O724+№27!O724+'№ 31'!O724+'№ 34'!O724+'№ 41'!O724</f>
        <v>0</v>
      </c>
      <c r="P647" s="192">
        <f>№2!P724+№5!P724+'№ 6'!P724+№14!P724+'№ 20'!P724+'№ 23'!P724+№27!P724+'№ 31'!P724+'№ 34'!P724+'№ 41'!P724</f>
        <v>0</v>
      </c>
      <c r="Q647" s="192">
        <f>№2!Q724+№5!Q724+'№ 6'!Q724+№14!Q724+'№ 20'!Q724+'№ 23'!Q724+№27!Q724+'№ 31'!Q724+'№ 34'!Q724+'№ 41'!Q724</f>
        <v>0</v>
      </c>
      <c r="R647" s="192">
        <f>№2!R724+№5!R724+'№ 6'!R724+№14!R724+'№ 20'!R724+'№ 23'!R724+№27!R724+'№ 31'!R724+'№ 34'!R724+'№ 41'!R724</f>
        <v>0</v>
      </c>
      <c r="S647" s="192">
        <f>№2!S724+№5!S724+'№ 6'!S724+№14!S724+'№ 20'!S724+'№ 23'!S724+№27!S724+'№ 31'!S724+'№ 34'!S724+'№ 41'!S724</f>
        <v>0</v>
      </c>
      <c r="T647" s="194">
        <f>SUM(N647:S647)</f>
        <v>0</v>
      </c>
      <c r="U647" s="194">
        <f>T647+L647</f>
        <v>0</v>
      </c>
      <c r="V647" s="194">
        <f>№2!V724+№5!V724+'№ 6'!V724+№14!V724+'№ 20'!V724+'№ 23'!V724+№27!V724+'№ 31'!V724+'№ 34'!V724+'№ 41'!V724</f>
        <v>0</v>
      </c>
      <c r="W647" s="193">
        <f>V647-U647</f>
        <v>0</v>
      </c>
    </row>
    <row r="648" spans="1:24" s="185" customFormat="1" ht="18" customHeight="1">
      <c r="A648" s="614"/>
      <c r="B648" s="576"/>
      <c r="C648" s="577"/>
      <c r="D648" s="481" t="s">
        <v>28</v>
      </c>
      <c r="E648" s="210"/>
      <c r="F648" s="192">
        <f>№2!F725+№5!F725+'№ 6'!F725+№14!F725+'№ 20'!F725+'№ 23'!F725+№27!F725+'№ 31'!F725+'№ 34'!F725+'№ 41'!F725</f>
        <v>0</v>
      </c>
      <c r="G648" s="192">
        <f>№2!G725+№5!G725+'№ 6'!G725+№14!G725+'№ 20'!G725+'№ 23'!G725+№27!G725+'№ 31'!G725+'№ 34'!G725+'№ 41'!G725</f>
        <v>0</v>
      </c>
      <c r="H648" s="192">
        <f>№2!H725+№5!H725+'№ 6'!H725+№14!H725+'№ 20'!H725+'№ 23'!H725+№27!H725+'№ 31'!H725+'№ 34'!H725+'№ 41'!H725</f>
        <v>0</v>
      </c>
      <c r="I648" s="192">
        <f>№2!I725+№5!I725+'№ 6'!I725+№14!I725+'№ 20'!I725+'№ 23'!I725+№27!I725+'№ 31'!I725+'№ 34'!I725+'№ 41'!I725</f>
        <v>0</v>
      </c>
      <c r="J648" s="192">
        <f>№2!J725+№5!J725+'№ 6'!J725+№14!J725+'№ 20'!J725+'№ 23'!J725+№27!J725+'№ 31'!J725+'№ 34'!J725+'№ 41'!J725</f>
        <v>1.448</v>
      </c>
      <c r="K648" s="192">
        <f>№2!K725+№5!K725+'№ 6'!K725+№14!K725+'№ 20'!K725+'№ 23'!K725+№27!K725+'№ 31'!K725+'№ 34'!K725+'№ 41'!K725</f>
        <v>0</v>
      </c>
      <c r="L648" s="194">
        <f>SUM(F648:K648)</f>
        <v>1.448</v>
      </c>
      <c r="M648" s="194">
        <f>L648/6</f>
        <v>0.24099999999999999</v>
      </c>
      <c r="N648" s="192">
        <f>№2!N725+№5!N725+'№ 6'!N725+№14!N725+'№ 20'!N725+'№ 23'!N725+№27!N725+'№ 31'!N725+'№ 34'!N725+'№ 41'!N725</f>
        <v>66.549000000000007</v>
      </c>
      <c r="O648" s="192">
        <f>№2!O725+№5!O725+'№ 6'!O725+№14!O725+'№ 20'!O725+'№ 23'!O725+№27!O725+'№ 31'!O725+'№ 34'!O725+'№ 41'!O725</f>
        <v>8.1999999999999993</v>
      </c>
      <c r="P648" s="192">
        <f>№2!P725+№5!P725+'№ 6'!P725+№14!P725+'№ 20'!P725+'№ 23'!P725+№27!P725+'№ 31'!P725+'№ 34'!P725+'№ 41'!P725</f>
        <v>8.2509999999999994</v>
      </c>
      <c r="Q648" s="192">
        <f>№2!Q725+№5!Q725+'№ 6'!Q725+№14!Q725+'№ 20'!Q725+'№ 23'!Q725+№27!Q725+'№ 31'!Q725+'№ 34'!Q725+'№ 41'!Q725</f>
        <v>0</v>
      </c>
      <c r="R648" s="192">
        <f>№2!R725+№5!R725+'№ 6'!R725+№14!R725+'№ 20'!R725+'№ 23'!R725+№27!R725+'№ 31'!R725+'№ 34'!R725+'№ 41'!R725</f>
        <v>0</v>
      </c>
      <c r="S648" s="192">
        <f>№2!S725+№5!S725+'№ 6'!S725+№14!S725+'№ 20'!S725+'№ 23'!S725+№27!S725+'№ 31'!S725+'№ 34'!S725+'№ 41'!S725</f>
        <v>1.752</v>
      </c>
      <c r="T648" s="194">
        <f>SUM(N648:S648)</f>
        <v>84.751999999999995</v>
      </c>
      <c r="U648" s="194">
        <f>T648+L648</f>
        <v>86.2</v>
      </c>
      <c r="V648" s="194">
        <f>№2!V725+№5!V725+'№ 6'!V725+№14!V725+'№ 20'!V725+'№ 23'!V725+№27!V725+'№ 31'!V725+'№ 34'!V725+'№ 41'!V725</f>
        <v>86.2</v>
      </c>
      <c r="W648" s="193">
        <f>V648-U648</f>
        <v>0</v>
      </c>
    </row>
    <row r="649" spans="1:24" s="185" customFormat="1" ht="18" customHeight="1">
      <c r="A649" s="614"/>
      <c r="B649" s="576"/>
      <c r="C649" s="577"/>
      <c r="D649" s="178" t="s">
        <v>117</v>
      </c>
      <c r="E649" s="179">
        <f>№2!E726+№5!E726+'№ 6'!E726+№14!E726+'№ 20'!E726+'№ 23'!E726+№27!E726+'№ 31'!E726+'№ 34'!E726+'№ 41'!E726</f>
        <v>0</v>
      </c>
      <c r="F649" s="179">
        <f>№2!F726+№5!F726+'№ 6'!F726+№14!F726+'№ 20'!F726+'№ 23'!F726+№27!F726+'№ 31'!F726+'№ 34'!F726+'№ 41'!F726</f>
        <v>0</v>
      </c>
      <c r="G649" s="179">
        <f>№2!G726+№5!G726+'№ 6'!G726+№14!G726+'№ 20'!G726+'№ 23'!G726+№27!G726+'№ 31'!G726+'№ 34'!G726+'№ 41'!G726</f>
        <v>0</v>
      </c>
      <c r="H649" s="179">
        <f>№2!H726+№5!H726+'№ 6'!H726+№14!H726+'№ 20'!H726+'№ 23'!H726+№27!H726+'№ 31'!H726+'№ 34'!H726+'№ 41'!H726</f>
        <v>0</v>
      </c>
      <c r="I649" s="179">
        <f>№2!I726+№5!I726+'№ 6'!I726+№14!I726+'№ 20'!I726+'№ 23'!I726+№27!I726+'№ 31'!I726+'№ 34'!I726+'№ 41'!I726</f>
        <v>0</v>
      </c>
      <c r="J649" s="179">
        <f>№2!J726+№5!J726+'№ 6'!J726+№14!J726+'№ 20'!J726+'№ 23'!J726+№27!J726+'№ 31'!J726+'№ 34'!J726+'№ 41'!J726</f>
        <v>0</v>
      </c>
      <c r="K649" s="179">
        <f>№2!K726+№5!K726+'№ 6'!K726+№14!K726+'№ 20'!K726+'№ 23'!K726+№27!K726+'№ 31'!K726+'№ 34'!K726+'№ 41'!K726</f>
        <v>0</v>
      </c>
      <c r="L649" s="215">
        <f>SUM(F649:K649)</f>
        <v>0</v>
      </c>
      <c r="M649" s="215">
        <f>L649/6</f>
        <v>0</v>
      </c>
      <c r="N649" s="179">
        <f>№2!N726+№5!N726+'№ 6'!N726+№14!N726+'№ 20'!N726+'№ 23'!N726+№27!N726+'№ 31'!N726+'№ 34'!N726+'№ 41'!N726</f>
        <v>8.8000000000000007</v>
      </c>
      <c r="O649" s="179">
        <f>№2!O726+№5!O726+'№ 6'!O726+№14!O726+'№ 20'!O726+'№ 23'!O726+№27!O726+'№ 31'!O726+'№ 34'!O726+'№ 41'!O726</f>
        <v>0</v>
      </c>
      <c r="P649" s="179">
        <f>№2!P726+№5!P726+'№ 6'!P726+№14!P726+'№ 20'!P726+'№ 23'!P726+№27!P726+'№ 31'!P726+'№ 34'!P726+'№ 41'!P726</f>
        <v>0</v>
      </c>
      <c r="Q649" s="179">
        <f>№2!Q726+№5!Q726+'№ 6'!Q726+№14!Q726+'№ 20'!Q726+'№ 23'!Q726+№27!Q726+'№ 31'!Q726+'№ 34'!Q726+'№ 41'!Q726</f>
        <v>2.5</v>
      </c>
      <c r="R649" s="179">
        <f>№2!R726+№5!R726+'№ 6'!R726+№14!R726+'№ 20'!R726+'№ 23'!R726+№27!R726+'№ 31'!R726+'№ 34'!R726+'№ 41'!R726</f>
        <v>0</v>
      </c>
      <c r="S649" s="179">
        <f>№2!S726+№5!S726+'№ 6'!S726+№14!S726+'№ 20'!S726+'№ 23'!S726+№27!S726+'№ 31'!S726+'№ 34'!S726+'№ 41'!S726</f>
        <v>0</v>
      </c>
      <c r="T649" s="215">
        <f>SUM(N649:S649)</f>
        <v>11.3</v>
      </c>
      <c r="U649" s="215">
        <f>T649+L649</f>
        <v>11.3</v>
      </c>
      <c r="V649" s="179">
        <f>№2!V726+№5!V726+'№ 6'!V726+№14!V726+'№ 20'!V726+'№ 23'!V726+№27!V726+'№ 31'!V726+'№ 34'!V726+'№ 41'!V726</f>
        <v>10</v>
      </c>
      <c r="W649" s="184">
        <f>V649-U649</f>
        <v>-1.3</v>
      </c>
      <c r="X649" s="185">
        <f>U644-U649</f>
        <v>0</v>
      </c>
    </row>
    <row r="650" spans="1:24" s="185" customFormat="1" ht="18" customHeight="1">
      <c r="A650" s="614"/>
      <c r="B650" s="576"/>
      <c r="C650" s="577"/>
      <c r="D650" s="187" t="s">
        <v>27</v>
      </c>
      <c r="E650" s="188" t="e">
        <f t="shared" ref="E650:U650" si="640">E651/E649*1000</f>
        <v>#DIV/0!</v>
      </c>
      <c r="F650" s="188" t="e">
        <f t="shared" si="640"/>
        <v>#DIV/0!</v>
      </c>
      <c r="G650" s="188" t="e">
        <f t="shared" si="640"/>
        <v>#DIV/0!</v>
      </c>
      <c r="H650" s="188" t="e">
        <f t="shared" si="640"/>
        <v>#DIV/0!</v>
      </c>
      <c r="I650" s="188" t="e">
        <f t="shared" si="640"/>
        <v>#DIV/0!</v>
      </c>
      <c r="J650" s="188" t="e">
        <f t="shared" si="640"/>
        <v>#DIV/0!</v>
      </c>
      <c r="K650" s="188" t="e">
        <f t="shared" si="640"/>
        <v>#DIV/0!</v>
      </c>
      <c r="L650" s="217" t="e">
        <f t="shared" si="640"/>
        <v>#DIV/0!</v>
      </c>
      <c r="M650" s="217" t="e">
        <f t="shared" si="640"/>
        <v>#DIV/0!</v>
      </c>
      <c r="N650" s="188">
        <f t="shared" si="640"/>
        <v>7613.8639999999996</v>
      </c>
      <c r="O650" s="188" t="e">
        <f t="shared" si="640"/>
        <v>#DIV/0!</v>
      </c>
      <c r="P650" s="188" t="e">
        <f t="shared" si="640"/>
        <v>#DIV/0!</v>
      </c>
      <c r="Q650" s="188">
        <f t="shared" si="640"/>
        <v>7679.2</v>
      </c>
      <c r="R650" s="188" t="e">
        <f t="shared" si="640"/>
        <v>#DIV/0!</v>
      </c>
      <c r="S650" s="188" t="e">
        <f t="shared" si="640"/>
        <v>#DIV/0!</v>
      </c>
      <c r="T650" s="217">
        <f t="shared" si="640"/>
        <v>7628.32</v>
      </c>
      <c r="U650" s="217">
        <f t="shared" si="640"/>
        <v>7628.32</v>
      </c>
      <c r="V650" s="218">
        <f t="shared" ref="V650" si="641">V651/V649*1000</f>
        <v>8620</v>
      </c>
      <c r="W650" s="189">
        <f>W651/W649*1000</f>
        <v>0</v>
      </c>
      <c r="X650" s="225"/>
    </row>
    <row r="651" spans="1:24" s="185" customFormat="1" ht="18" customHeight="1">
      <c r="A651" s="614"/>
      <c r="B651" s="576"/>
      <c r="C651" s="577"/>
      <c r="D651" s="198" t="s">
        <v>25</v>
      </c>
      <c r="E651" s="199">
        <f>№2!E728+№5!E728+'№ 6'!E728+№14!E728+'№ 20'!E728+'№ 23'!E728+№27!E728+'№ 31'!E728+'№ 34'!E728+'№ 41'!E728</f>
        <v>0</v>
      </c>
      <c r="F651" s="199">
        <f>№2!F728+№5!F728+'№ 6'!F728+№14!F728+'№ 20'!F728+'№ 23'!F728+№27!F728+'№ 31'!F728+'№ 34'!F728+'№ 41'!F728</f>
        <v>0</v>
      </c>
      <c r="G651" s="199">
        <f>№2!G728+№5!G728+'№ 6'!G728+№14!G728+'№ 20'!G728+'№ 23'!G728+№27!G728+'№ 31'!G728+'№ 34'!G728+'№ 41'!G728</f>
        <v>0</v>
      </c>
      <c r="H651" s="199">
        <f>№2!H728+№5!H728+'№ 6'!H728+№14!H728+'№ 20'!H728+'№ 23'!H728+№27!H728+'№ 31'!H728+'№ 34'!H728+'№ 41'!H728</f>
        <v>0</v>
      </c>
      <c r="I651" s="199">
        <f>№2!I728+№5!I728+'№ 6'!I728+№14!I728+'№ 20'!I728+'№ 23'!I728+№27!I728+'№ 31'!I728+'№ 34'!I728+'№ 41'!I728</f>
        <v>0</v>
      </c>
      <c r="J651" s="199">
        <f>№2!J728+№5!J728+'№ 6'!J728+№14!J728+'№ 20'!J728+'№ 23'!J728+№27!J728+'№ 31'!J728+'№ 34'!J728+'№ 41'!J728</f>
        <v>0</v>
      </c>
      <c r="K651" s="199">
        <f>№2!K728+№5!K728+'№ 6'!K728+№14!K728+'№ 20'!K728+'№ 23'!K728+№27!K728+'№ 31'!K728+'№ 34'!K728+'№ 41'!K728</f>
        <v>0</v>
      </c>
      <c r="L651" s="199">
        <f>SUM(F651:K651)</f>
        <v>0</v>
      </c>
      <c r="M651" s="199">
        <f>L651/6</f>
        <v>0</v>
      </c>
      <c r="N651" s="199">
        <f>№2!N728+№5!N728+'№ 6'!N728+№14!N728+'№ 20'!N728+'№ 23'!N728+№27!N728+'№ 31'!N728+'№ 34'!N728+'№ 41'!N728</f>
        <v>67.001999999999995</v>
      </c>
      <c r="O651" s="199">
        <f>№2!O728+№5!O728+'№ 6'!O728+№14!O728+'№ 20'!O728+'№ 23'!O728+№27!O728+'№ 31'!O728+'№ 34'!O728+'№ 41'!O728</f>
        <v>0</v>
      </c>
      <c r="P651" s="199">
        <f>№2!P728+№5!P728+'№ 6'!P728+№14!P728+'№ 20'!P728+'№ 23'!P728+№27!P728+'№ 31'!P728+'№ 34'!P728+'№ 41'!P728</f>
        <v>0</v>
      </c>
      <c r="Q651" s="199">
        <f>№2!Q728+№5!Q728+'№ 6'!Q728+№14!Q728+'№ 20'!Q728+'№ 23'!Q728+№27!Q728+'№ 31'!Q728+'№ 34'!Q728+'№ 41'!Q728</f>
        <v>19.198</v>
      </c>
      <c r="R651" s="199">
        <f>№2!R728+№5!R728+'№ 6'!R728+№14!R728+'№ 20'!R728+'№ 23'!R728+№27!R728+'№ 31'!R728+'№ 34'!R728+'№ 41'!R728</f>
        <v>0</v>
      </c>
      <c r="S651" s="199">
        <f>№2!S728+№5!S728+'№ 6'!S728+№14!S728+'№ 20'!S728+'№ 23'!S728+№27!S728+'№ 31'!S728+'№ 34'!S728+'№ 41'!S728</f>
        <v>0</v>
      </c>
      <c r="T651" s="199">
        <f>SUM(N651:S651)</f>
        <v>86.2</v>
      </c>
      <c r="U651" s="199">
        <f>T651+L651</f>
        <v>86.2</v>
      </c>
      <c r="V651" s="199">
        <f>№2!V728+№5!V728+'№ 6'!V728+№14!V728+'№ 20'!V728+'№ 23'!V728+№27!V728+'№ 31'!V728+'№ 34'!V728+'№ 41'!V728</f>
        <v>86.2</v>
      </c>
      <c r="W651" s="221">
        <f>V651-U651</f>
        <v>0</v>
      </c>
      <c r="X651" s="176">
        <f>U646-U651</f>
        <v>0</v>
      </c>
    </row>
    <row r="652" spans="1:24" s="185" customFormat="1" ht="18" customHeight="1">
      <c r="A652" s="614"/>
      <c r="B652" s="576"/>
      <c r="C652" s="577"/>
      <c r="D652" s="201" t="s">
        <v>55</v>
      </c>
      <c r="E652" s="220"/>
      <c r="F652" s="199">
        <f>№2!F729+№5!F729+'№ 6'!F729+№14!F729+'№ 20'!F729+'№ 23'!F729+№27!F729+'№ 31'!F729+'№ 34'!F729+'№ 41'!F729</f>
        <v>0</v>
      </c>
      <c r="G652" s="199">
        <f>№2!G729+№5!G729+'№ 6'!G729+№14!G729+'№ 20'!G729+'№ 23'!G729+№27!G729+'№ 31'!G729+'№ 34'!G729+'№ 41'!G729</f>
        <v>0</v>
      </c>
      <c r="H652" s="199">
        <f>№2!H729+№5!H729+'№ 6'!H729+№14!H729+'№ 20'!H729+'№ 23'!H729+№27!H729+'№ 31'!H729+'№ 34'!H729+'№ 41'!H729</f>
        <v>0</v>
      </c>
      <c r="I652" s="199">
        <f>№2!I729+№5!I729+'№ 6'!I729+№14!I729+'№ 20'!I729+'№ 23'!I729+№27!I729+'№ 31'!I729+'№ 34'!I729+'№ 41'!I729</f>
        <v>0</v>
      </c>
      <c r="J652" s="199">
        <f>№2!J729+№5!J729+'№ 6'!J729+№14!J729+'№ 20'!J729+'№ 23'!J729+№27!J729+'№ 31'!J729+'№ 34'!J729+'№ 41'!J729</f>
        <v>0</v>
      </c>
      <c r="K652" s="199">
        <f>№2!K729+№5!K729+'№ 6'!K729+№14!K729+'№ 20'!K729+'№ 23'!K729+№27!K729+'№ 31'!K729+'№ 34'!K729+'№ 41'!K729</f>
        <v>0</v>
      </c>
      <c r="L652" s="199">
        <f>SUM(F652:K652)</f>
        <v>0</v>
      </c>
      <c r="M652" s="199">
        <f>L652/6</f>
        <v>0</v>
      </c>
      <c r="N652" s="199">
        <f>№2!N729+№5!N729+'№ 6'!N729+№14!N729+'№ 20'!N729+'№ 23'!N729+№27!N729+'№ 31'!N729+'№ 34'!N729+'№ 41'!N729</f>
        <v>0</v>
      </c>
      <c r="O652" s="199">
        <f>№2!O729+№5!O729+'№ 6'!O729+№14!O729+'№ 20'!O729+'№ 23'!O729+№27!O729+'№ 31'!O729+'№ 34'!O729+'№ 41'!O729</f>
        <v>0</v>
      </c>
      <c r="P652" s="199">
        <f>№2!P729+№5!P729+'№ 6'!P729+№14!P729+'№ 20'!P729+'№ 23'!P729+№27!P729+'№ 31'!P729+'№ 34'!P729+'№ 41'!P729</f>
        <v>0</v>
      </c>
      <c r="Q652" s="199">
        <f>№2!Q729+№5!Q729+'№ 6'!Q729+№14!Q729+'№ 20'!Q729+'№ 23'!Q729+№27!Q729+'№ 31'!Q729+'№ 34'!Q729+'№ 41'!Q729</f>
        <v>0</v>
      </c>
      <c r="R652" s="199">
        <f>№2!R729+№5!R729+'№ 6'!R729+№14!R729+'№ 20'!R729+'№ 23'!R729+№27!R729+'№ 31'!R729+'№ 34'!R729+'№ 41'!R729</f>
        <v>0</v>
      </c>
      <c r="S652" s="199">
        <f>№2!S729+№5!S729+'№ 6'!S729+№14!S729+'№ 20'!S729+'№ 23'!S729+№27!S729+'№ 31'!S729+'№ 34'!S729+'№ 41'!S729</f>
        <v>0</v>
      </c>
      <c r="T652" s="199">
        <f>SUM(N652:S652)</f>
        <v>0</v>
      </c>
      <c r="U652" s="199">
        <f>T652+L652</f>
        <v>0</v>
      </c>
      <c r="V652" s="199">
        <f>№2!V729+№5!V729+'№ 6'!V729+№14!V729+'№ 20'!V729+'№ 23'!V729+№27!V729+'№ 31'!V729+'№ 34'!V729+'№ 41'!V729</f>
        <v>0</v>
      </c>
      <c r="W652" s="221">
        <f>V652-U652</f>
        <v>0</v>
      </c>
      <c r="X652" s="176">
        <f>U647-U652</f>
        <v>0</v>
      </c>
    </row>
    <row r="653" spans="1:24" s="185" customFormat="1" ht="18" customHeight="1">
      <c r="A653" s="614"/>
      <c r="B653" s="576"/>
      <c r="C653" s="577"/>
      <c r="D653" s="201" t="s">
        <v>24</v>
      </c>
      <c r="E653" s="220"/>
      <c r="F653" s="199">
        <f>№2!F730+№5!F730+'№ 6'!F730+№14!F730+'№ 20'!F730+'№ 23'!F730+№27!F730+'№ 31'!F730+'№ 34'!F730+'№ 41'!F730</f>
        <v>0</v>
      </c>
      <c r="G653" s="199">
        <f>№2!G730+№5!G730+'№ 6'!G730+№14!G730+'№ 20'!G730+'№ 23'!G730+№27!G730+'№ 31'!G730+'№ 34'!G730+'№ 41'!G730</f>
        <v>0</v>
      </c>
      <c r="H653" s="199">
        <f>№2!H730+№5!H730+'№ 6'!H730+№14!H730+'№ 20'!H730+'№ 23'!H730+№27!H730+'№ 31'!H730+'№ 34'!H730+'№ 41'!H730</f>
        <v>0</v>
      </c>
      <c r="I653" s="199">
        <f>№2!I730+№5!I730+'№ 6'!I730+№14!I730+'№ 20'!I730+'№ 23'!I730+№27!I730+'№ 31'!I730+'№ 34'!I730+'№ 41'!I730</f>
        <v>0</v>
      </c>
      <c r="J653" s="199">
        <f>№2!J730+№5!J730+'№ 6'!J730+№14!J730+'№ 20'!J730+'№ 23'!J730+№27!J730+'№ 31'!J730+'№ 34'!J730+'№ 41'!J730</f>
        <v>0</v>
      </c>
      <c r="K653" s="199">
        <f>№2!K730+№5!K730+'№ 6'!K730+№14!K730+'№ 20'!K730+'№ 23'!K730+№27!K730+'№ 31'!K730+'№ 34'!K730+'№ 41'!K730</f>
        <v>0</v>
      </c>
      <c r="L653" s="199">
        <f>SUM(F653:K653)</f>
        <v>0</v>
      </c>
      <c r="M653" s="199">
        <f>L653/6</f>
        <v>0</v>
      </c>
      <c r="N653" s="199">
        <f>№2!N730+№5!N730+'№ 6'!N730+№14!N730+'№ 20'!N730+'№ 23'!N730+№27!N730+'№ 31'!N730+'№ 34'!N730+'№ 41'!N730</f>
        <v>67.001999999999995</v>
      </c>
      <c r="O653" s="199">
        <f>№2!O730+№5!O730+'№ 6'!O730+№14!O730+'№ 20'!O730+'№ 23'!O730+№27!O730+'№ 31'!O730+'№ 34'!O730+'№ 41'!O730</f>
        <v>0</v>
      </c>
      <c r="P653" s="199">
        <f>№2!P730+№5!P730+'№ 6'!P730+№14!P730+'№ 20'!P730+'№ 23'!P730+№27!P730+'№ 31'!P730+'№ 34'!P730+'№ 41'!P730</f>
        <v>0</v>
      </c>
      <c r="Q653" s="199">
        <f>№2!Q730+№5!Q730+'№ 6'!Q730+№14!Q730+'№ 20'!Q730+'№ 23'!Q730+№27!Q730+'№ 31'!Q730+'№ 34'!Q730+'№ 41'!Q730</f>
        <v>19.198</v>
      </c>
      <c r="R653" s="199">
        <f>№2!R730+№5!R730+'№ 6'!R730+№14!R730+'№ 20'!R730+'№ 23'!R730+№27!R730+'№ 31'!R730+'№ 34'!R730+'№ 41'!R730</f>
        <v>0</v>
      </c>
      <c r="S653" s="199">
        <f>№2!S730+№5!S730+'№ 6'!S730+№14!S730+'№ 20'!S730+'№ 23'!S730+№27!S730+'№ 31'!S730+'№ 34'!S730+'№ 41'!S730</f>
        <v>0</v>
      </c>
      <c r="T653" s="199">
        <f>SUM(N653:S653)</f>
        <v>86.2</v>
      </c>
      <c r="U653" s="199">
        <f>T653+L653</f>
        <v>86.2</v>
      </c>
      <c r="V653" s="199">
        <f>№2!V730+№5!V730+'№ 6'!V730+№14!V730+'№ 20'!V730+'№ 23'!V730+№27!V730+'№ 31'!V730+'№ 34'!V730+'№ 41'!V730</f>
        <v>86.2</v>
      </c>
      <c r="W653" s="221">
        <f>V653-U653</f>
        <v>0</v>
      </c>
      <c r="X653" s="176">
        <f>U648-U653</f>
        <v>0</v>
      </c>
    </row>
    <row r="654" spans="1:24" s="185" customFormat="1" ht="18" customHeight="1">
      <c r="A654" s="614"/>
      <c r="B654" s="576"/>
      <c r="C654" s="577"/>
      <c r="D654" s="202" t="s">
        <v>29</v>
      </c>
      <c r="E654" s="203"/>
      <c r="F654" s="203">
        <f t="shared" ref="F654:K654" si="642">F648</f>
        <v>0</v>
      </c>
      <c r="G654" s="203">
        <f t="shared" si="642"/>
        <v>0</v>
      </c>
      <c r="H654" s="203">
        <f t="shared" si="642"/>
        <v>0</v>
      </c>
      <c r="I654" s="203">
        <f t="shared" si="642"/>
        <v>0</v>
      </c>
      <c r="J654" s="203">
        <f t="shared" si="642"/>
        <v>1.448</v>
      </c>
      <c r="K654" s="203">
        <f t="shared" si="642"/>
        <v>0</v>
      </c>
      <c r="L654" s="203">
        <f>SUM(F654:K654)</f>
        <v>1.448</v>
      </c>
      <c r="M654" s="203">
        <f>L654/6</f>
        <v>0.24099999999999999</v>
      </c>
      <c r="N654" s="203">
        <f t="shared" ref="N654:S654" si="643">N648+N647</f>
        <v>66.549000000000007</v>
      </c>
      <c r="O654" s="203">
        <f t="shared" si="643"/>
        <v>8.1999999999999993</v>
      </c>
      <c r="P654" s="203">
        <f t="shared" si="643"/>
        <v>8.2509999999999994</v>
      </c>
      <c r="Q654" s="203">
        <f t="shared" si="643"/>
        <v>0</v>
      </c>
      <c r="R654" s="203">
        <f t="shared" si="643"/>
        <v>0</v>
      </c>
      <c r="S654" s="203">
        <f t="shared" si="643"/>
        <v>1.752</v>
      </c>
      <c r="T654" s="203">
        <f>SUM(N654:S654)</f>
        <v>84.751999999999995</v>
      </c>
      <c r="U654" s="203">
        <f>T654+L654</f>
        <v>86.2</v>
      </c>
      <c r="V654" s="203">
        <f>V651</f>
        <v>86.2</v>
      </c>
      <c r="W654" s="203">
        <f>V654-U654</f>
        <v>0</v>
      </c>
    </row>
    <row r="655" spans="1:24" s="185" customFormat="1" ht="18" customHeight="1">
      <c r="A655" s="614"/>
      <c r="B655" s="576"/>
      <c r="C655" s="577"/>
      <c r="D655" s="202" t="s">
        <v>30</v>
      </c>
      <c r="E655" s="203"/>
      <c r="F655" s="203">
        <f t="shared" ref="F655:K655" si="644">F651-F654</f>
        <v>0</v>
      </c>
      <c r="G655" s="203">
        <f t="shared" si="644"/>
        <v>0</v>
      </c>
      <c r="H655" s="203">
        <f t="shared" si="644"/>
        <v>0</v>
      </c>
      <c r="I655" s="203">
        <f t="shared" si="644"/>
        <v>0</v>
      </c>
      <c r="J655" s="203">
        <f t="shared" si="644"/>
        <v>-1.448</v>
      </c>
      <c r="K655" s="203">
        <f t="shared" si="644"/>
        <v>0</v>
      </c>
      <c r="L655" s="203"/>
      <c r="M655" s="203"/>
      <c r="N655" s="203">
        <f t="shared" ref="N655:S655" si="645">N651-N654</f>
        <v>0.45300000000000001</v>
      </c>
      <c r="O655" s="203">
        <f t="shared" si="645"/>
        <v>-8.1999999999999993</v>
      </c>
      <c r="P655" s="203">
        <f t="shared" si="645"/>
        <v>-8.2509999999999994</v>
      </c>
      <c r="Q655" s="203">
        <f t="shared" si="645"/>
        <v>19.198</v>
      </c>
      <c r="R655" s="203">
        <f t="shared" si="645"/>
        <v>0</v>
      </c>
      <c r="S655" s="203">
        <f t="shared" si="645"/>
        <v>-1.752</v>
      </c>
      <c r="T655" s="203"/>
      <c r="U655" s="203"/>
      <c r="V655" s="203"/>
      <c r="W655" s="203"/>
    </row>
    <row r="656" spans="1:24" s="185" customFormat="1" ht="18" customHeight="1">
      <c r="A656" s="614"/>
      <c r="B656" s="578"/>
      <c r="C656" s="579"/>
      <c r="D656" s="202" t="s">
        <v>31</v>
      </c>
      <c r="E656" s="203"/>
      <c r="F656" s="203">
        <f>F655</f>
        <v>0</v>
      </c>
      <c r="G656" s="203">
        <f>G655+F656</f>
        <v>0</v>
      </c>
      <c r="H656" s="203">
        <f>H655+G656</f>
        <v>0</v>
      </c>
      <c r="I656" s="203">
        <f>I655+H656</f>
        <v>0</v>
      </c>
      <c r="J656" s="203">
        <f>J655+I656</f>
        <v>-1.448</v>
      </c>
      <c r="K656" s="203">
        <f>K655+J656</f>
        <v>-1.448</v>
      </c>
      <c r="L656" s="203"/>
      <c r="M656" s="203"/>
      <c r="N656" s="203">
        <f>N655+K656</f>
        <v>-0.995</v>
      </c>
      <c r="O656" s="203">
        <f>O655+N656</f>
        <v>-9.1950000000000003</v>
      </c>
      <c r="P656" s="203">
        <f>P655+O656</f>
        <v>-17.446000000000002</v>
      </c>
      <c r="Q656" s="203">
        <f>Q655+P656</f>
        <v>1.752</v>
      </c>
      <c r="R656" s="203">
        <f>R655+Q656</f>
        <v>1.752</v>
      </c>
      <c r="S656" s="203">
        <f>S655+R656</f>
        <v>0</v>
      </c>
      <c r="T656" s="203"/>
      <c r="U656" s="203"/>
      <c r="V656" s="203"/>
      <c r="W656" s="203"/>
    </row>
    <row r="657" spans="1:24" s="185" customFormat="1" ht="18" customHeight="1">
      <c r="A657" s="650"/>
      <c r="B657" s="580" t="s">
        <v>124</v>
      </c>
      <c r="C657" s="575"/>
      <c r="D657" s="178" t="s">
        <v>105</v>
      </c>
      <c r="E657" s="179"/>
      <c r="F657" s="180">
        <f>№2!F734+№5!F734+'№ 6'!F734+№14!F734+'№ 20'!F734+'№ 23'!F734+№27!F734+'№ 31'!F734+'№ 34'!F734+'№ 41'!F734</f>
        <v>0</v>
      </c>
      <c r="G657" s="180">
        <f>№2!G734+№5!G734+'№ 6'!G734+№14!G734+'№ 20'!G734+'№ 23'!G734+№27!G734+'№ 31'!G734+'№ 34'!G734+'№ 41'!G734</f>
        <v>0</v>
      </c>
      <c r="H657" s="180">
        <f>№2!H734+№5!H734+'№ 6'!H734+№14!H734+'№ 20'!H734+'№ 23'!H734+№27!H734+'№ 31'!H734+'№ 34'!H734+'№ 41'!H734</f>
        <v>0</v>
      </c>
      <c r="I657" s="180">
        <f>№2!I734+№5!I734+'№ 6'!I734+№14!I734+'№ 20'!I734+'№ 23'!I734+№27!I734+'№ 31'!I734+'№ 34'!I734+'№ 41'!I734</f>
        <v>0</v>
      </c>
      <c r="J657" s="180">
        <f>№2!J734+№5!J734+'№ 6'!J734+№14!J734+'№ 20'!J734+'№ 23'!J734+№27!J734+'№ 31'!J734+'№ 34'!J734+'№ 41'!J734</f>
        <v>0</v>
      </c>
      <c r="K657" s="180">
        <f>№2!K734+№5!K734+'№ 6'!K734+№14!K734+'№ 20'!K734+'№ 23'!K734+№27!K734+'№ 31'!K734+'№ 34'!K734+'№ 41'!K734</f>
        <v>0</v>
      </c>
      <c r="L657" s="215">
        <f>SUM(F657:K657)</f>
        <v>0</v>
      </c>
      <c r="M657" s="215">
        <f>L657/6</f>
        <v>0</v>
      </c>
      <c r="N657" s="180">
        <f>№2!N734+№5!N734+'№ 6'!N734+№14!N734+'№ 20'!N734+'№ 23'!N734+№27!N734+'№ 31'!N734+'№ 34'!N734+'№ 41'!N734</f>
        <v>0</v>
      </c>
      <c r="O657" s="180">
        <f>№2!O734+№5!O734+'№ 6'!O734+№14!O734+'№ 20'!O734+'№ 23'!O734+№27!O734+'№ 31'!O734+'№ 34'!O734+'№ 41'!O734</f>
        <v>10.199999999999999</v>
      </c>
      <c r="P657" s="180">
        <f>№2!P734+№5!P734+'№ 6'!P734+№14!P734+'№ 20'!P734+'№ 23'!P734+№27!P734+'№ 31'!P734+'№ 34'!P734+'№ 41'!P734</f>
        <v>7.8</v>
      </c>
      <c r="Q657" s="180">
        <f>№2!Q734+№5!Q734+'№ 6'!Q734+№14!Q734+'№ 20'!Q734+'№ 23'!Q734+№27!Q734+'№ 31'!Q734+'№ 34'!Q734+'№ 41'!Q734</f>
        <v>0</v>
      </c>
      <c r="R657" s="180">
        <f>№2!R734+№5!R734+'№ 6'!R734+№14!R734+'№ 20'!R734+'№ 23'!R734+№27!R734+'№ 31'!R734+'№ 34'!R734+'№ 41'!R734</f>
        <v>0</v>
      </c>
      <c r="S657" s="180">
        <f>№2!S734+№5!S734+'№ 6'!S734+№14!S734+'№ 20'!S734+'№ 23'!S734+№27!S734+'№ 31'!S734+'№ 34'!S734+'№ 41'!S734</f>
        <v>0</v>
      </c>
      <c r="T657" s="215">
        <f>SUM(N657:S657)</f>
        <v>18</v>
      </c>
      <c r="U657" s="215">
        <f>T657+L657</f>
        <v>18</v>
      </c>
      <c r="V657" s="233">
        <f>№2!V734+№5!V734+'№ 6'!V734+№14!V734+'№ 20'!V734+'№ 23'!V734+№27!V734+'№ 31'!V734+'№ 34'!V734+'№ 41'!V734</f>
        <v>0</v>
      </c>
      <c r="W657" s="184"/>
    </row>
    <row r="658" spans="1:24" s="185" customFormat="1" ht="18" customHeight="1">
      <c r="A658" s="614"/>
      <c r="B658" s="576"/>
      <c r="C658" s="577"/>
      <c r="D658" s="178" t="s">
        <v>109</v>
      </c>
      <c r="E658" s="179"/>
      <c r="F658" s="180">
        <f>№2!F735+№5!F735+'№ 6'!F735+№14!F735+'№ 20'!F735+'№ 23'!F735+№27!F735+'№ 31'!F735+'№ 34'!F735+'№ 41'!F735</f>
        <v>0</v>
      </c>
      <c r="G658" s="180">
        <f>№2!G735+№5!G735+'№ 6'!G735+№14!G735+'№ 20'!G735+'№ 23'!G735+№27!G735+'№ 31'!G735+'№ 34'!G735+'№ 41'!G735</f>
        <v>0</v>
      </c>
      <c r="H658" s="180">
        <f>№2!H735+№5!H735+'№ 6'!H735+№14!H735+'№ 20'!H735+'№ 23'!H735+№27!H735+'№ 31'!H735+'№ 34'!H735+'№ 41'!H735</f>
        <v>0</v>
      </c>
      <c r="I658" s="180">
        <f>№2!I735+№5!I735+'№ 6'!I735+№14!I735+'№ 20'!I735+'№ 23'!I735+№27!I735+'№ 31'!I735+'№ 34'!I735+'№ 41'!I735</f>
        <v>0</v>
      </c>
      <c r="J658" s="180">
        <f>№2!J735+№5!J735+'№ 6'!J735+№14!J735+'№ 20'!J735+'№ 23'!J735+№27!J735+'№ 31'!J735+'№ 34'!J735+'№ 41'!J735</f>
        <v>0</v>
      </c>
      <c r="K658" s="180">
        <f>№2!K735+№5!K735+'№ 6'!K735+№14!K735+'№ 20'!K735+'№ 23'!K735+№27!K735+'№ 31'!K735+'№ 34'!K735+'№ 41'!K735</f>
        <v>0</v>
      </c>
      <c r="L658" s="215">
        <f>SUM(F658:K658)</f>
        <v>0</v>
      </c>
      <c r="M658" s="215">
        <f>L658/6</f>
        <v>0</v>
      </c>
      <c r="N658" s="180">
        <f>№2!N735+№5!N735+'№ 6'!N735+№14!N735+'№ 20'!N735+'№ 23'!N735+№27!N735+'№ 31'!N735+'№ 34'!N735+'№ 41'!N735</f>
        <v>0</v>
      </c>
      <c r="O658" s="180">
        <f>№2!O735+№5!O735+'№ 6'!O735+№14!O735+'№ 20'!O735+'№ 23'!O735+№27!O735+'№ 31'!O735+'№ 34'!O735+'№ 41'!O735</f>
        <v>10.199999999999999</v>
      </c>
      <c r="P658" s="180">
        <f>№2!P735+№5!P735+'№ 6'!P735+№14!P735+'№ 20'!P735+'№ 23'!P735+№27!P735+'№ 31'!P735+'№ 34'!P735+'№ 41'!P735</f>
        <v>1540</v>
      </c>
      <c r="Q658" s="180">
        <f>№2!Q735+№5!Q735+'№ 6'!Q735+№14!Q735+'№ 20'!Q735+'№ 23'!Q735+№27!Q735+'№ 31'!Q735+'№ 34'!Q735+'№ 41'!Q735</f>
        <v>0</v>
      </c>
      <c r="R658" s="180">
        <f>№2!R735+№5!R735+'№ 6'!R735+№14!R735+'№ 20'!R735+'№ 23'!R735+№27!R735+'№ 31'!R735+'№ 34'!R735+'№ 41'!R735</f>
        <v>0</v>
      </c>
      <c r="S658" s="180">
        <f>№2!S735+№5!S735+'№ 6'!S735+№14!S735+'№ 20'!S735+'№ 23'!S735+№27!S735+'№ 31'!S735+'№ 34'!S735+'№ 41'!S735</f>
        <v>0</v>
      </c>
      <c r="T658" s="215">
        <f>SUM(N658:S658)</f>
        <v>1550.2</v>
      </c>
      <c r="U658" s="215">
        <f>T658+L658</f>
        <v>1550.2</v>
      </c>
      <c r="V658" s="233">
        <f>№2!V735+№5!V735+'№ 6'!V735+№14!V735+'№ 20'!V735+'№ 23'!V735+№27!V735+'№ 31'!V735+'№ 34'!V735+'№ 41'!V735</f>
        <v>0</v>
      </c>
      <c r="W658" s="184"/>
    </row>
    <row r="659" spans="1:24" s="185" customFormat="1" ht="18" customHeight="1">
      <c r="A659" s="614"/>
      <c r="B659" s="576"/>
      <c r="C659" s="577"/>
      <c r="D659" s="178" t="s">
        <v>116</v>
      </c>
      <c r="E659" s="179"/>
      <c r="F659" s="180">
        <f>№2!F736+№5!F736+'№ 6'!F736+№14!F736+'№ 20'!F736+'№ 23'!F736+№27!F736+'№ 31'!F736+'№ 34'!F736+'№ 41'!F736</f>
        <v>0</v>
      </c>
      <c r="G659" s="180">
        <f>№2!G736+№5!G736+'№ 6'!G736+№14!G736+'№ 20'!G736+'№ 23'!G736+№27!G736+'№ 31'!G736+'№ 34'!G736+'№ 41'!G736</f>
        <v>0</v>
      </c>
      <c r="H659" s="180">
        <f>№2!H736+№5!H736+'№ 6'!H736+№14!H736+'№ 20'!H736+'№ 23'!H736+№27!H736+'№ 31'!H736+'№ 34'!H736+'№ 41'!H736</f>
        <v>0</v>
      </c>
      <c r="I659" s="180">
        <f>№2!I736+№5!I736+'№ 6'!I736+№14!I736+'№ 20'!I736+'№ 23'!I736+№27!I736+'№ 31'!I736+'№ 34'!I736+'№ 41'!I736</f>
        <v>0</v>
      </c>
      <c r="J659" s="180">
        <f>№2!J736+№5!J736+'№ 6'!J736+№14!J736+'№ 20'!J736+'№ 23'!J736+№27!J736+'№ 31'!J736+'№ 34'!J736+'№ 41'!J736</f>
        <v>120</v>
      </c>
      <c r="K659" s="180">
        <f>№2!K736+№5!K736+'№ 6'!K736+№14!K736+'№ 20'!K736+'№ 23'!K736+№27!K736+'№ 31'!K736+'№ 34'!K736+'№ 41'!K736</f>
        <v>200</v>
      </c>
      <c r="L659" s="215">
        <f>SUM(F659:K659)</f>
        <v>320</v>
      </c>
      <c r="M659" s="215">
        <f>L659/6</f>
        <v>53.3</v>
      </c>
      <c r="N659" s="180">
        <f>№2!N736+№5!N736+'№ 6'!N736+№14!N736+'№ 20'!N736+'№ 23'!N736+№27!N736+'№ 31'!N736+'№ 34'!N736+'№ 41'!N736</f>
        <v>0</v>
      </c>
      <c r="O659" s="180">
        <f>№2!O736+№5!O736+'№ 6'!O736+№14!O736+'№ 20'!O736+'№ 23'!O736+№27!O736+'№ 31'!O736+'№ 34'!O736+'№ 41'!O736</f>
        <v>0</v>
      </c>
      <c r="P659" s="180">
        <f>№2!P736+№5!P736+'№ 6'!P736+№14!P736+'№ 20'!P736+'№ 23'!P736+№27!P736+'№ 31'!P736+'№ 34'!P736+'№ 41'!P736</f>
        <v>0</v>
      </c>
      <c r="Q659" s="180">
        <f>№2!Q736+№5!Q736+'№ 6'!Q736+№14!Q736+'№ 20'!Q736+'№ 23'!Q736+№27!Q736+'№ 31'!Q736+'№ 34'!Q736+'№ 41'!Q736</f>
        <v>0</v>
      </c>
      <c r="R659" s="180">
        <f>№2!R736+№5!R736+'№ 6'!R736+№14!R736+'№ 20'!R736+'№ 23'!R736+№27!R736+'№ 31'!R736+'№ 34'!R736+'№ 41'!R736</f>
        <v>0</v>
      </c>
      <c r="S659" s="180">
        <f>№2!S736+№5!S736+'№ 6'!S736+№14!S736+'№ 20'!S736+'№ 23'!S736+№27!S736+'№ 31'!S736+'№ 34'!S736+'№ 41'!S736</f>
        <v>0</v>
      </c>
      <c r="T659" s="215">
        <f>SUM(N659:S659)</f>
        <v>0</v>
      </c>
      <c r="U659" s="215">
        <f>T659+L659</f>
        <v>320</v>
      </c>
      <c r="V659" s="233">
        <f>№2!V736+№5!V736+'№ 6'!V736+№14!V736+'№ 20'!V736+'№ 23'!V736+№27!V736+'№ 31'!V736+'№ 34'!V736+'№ 41'!V736</f>
        <v>423.2</v>
      </c>
      <c r="W659" s="184">
        <f>V659-U659</f>
        <v>103.2</v>
      </c>
    </row>
    <row r="660" spans="1:24" s="185" customFormat="1" ht="18" customHeight="1">
      <c r="A660" s="614"/>
      <c r="B660" s="576"/>
      <c r="C660" s="577"/>
      <c r="D660" s="187" t="s">
        <v>27</v>
      </c>
      <c r="E660" s="188"/>
      <c r="F660" s="188" t="e">
        <f t="shared" ref="F660:U660" si="646">F661/F659*1000</f>
        <v>#DIV/0!</v>
      </c>
      <c r="G660" s="188" t="e">
        <f t="shared" si="646"/>
        <v>#DIV/0!</v>
      </c>
      <c r="H660" s="188" t="e">
        <f t="shared" si="646"/>
        <v>#DIV/0!</v>
      </c>
      <c r="I660" s="188" t="e">
        <f t="shared" si="646"/>
        <v>#DIV/0!</v>
      </c>
      <c r="J660" s="188">
        <f t="shared" si="646"/>
        <v>52.491999999999997</v>
      </c>
      <c r="K660" s="188">
        <f t="shared" si="646"/>
        <v>55.99</v>
      </c>
      <c r="L660" s="217">
        <f t="shared" si="646"/>
        <v>54.68</v>
      </c>
      <c r="M660" s="217">
        <f t="shared" si="646"/>
        <v>54.71</v>
      </c>
      <c r="N660" s="188" t="e">
        <f t="shared" si="646"/>
        <v>#DIV/0!</v>
      </c>
      <c r="O660" s="188" t="e">
        <f t="shared" si="646"/>
        <v>#DIV/0!</v>
      </c>
      <c r="P660" s="188" t="e">
        <f t="shared" si="646"/>
        <v>#DIV/0!</v>
      </c>
      <c r="Q660" s="188" t="e">
        <f t="shared" si="646"/>
        <v>#DIV/0!</v>
      </c>
      <c r="R660" s="188" t="e">
        <f t="shared" si="646"/>
        <v>#DIV/0!</v>
      </c>
      <c r="S660" s="188" t="e">
        <f t="shared" si="646"/>
        <v>#DIV/0!</v>
      </c>
      <c r="T660" s="217" t="e">
        <f t="shared" si="646"/>
        <v>#DIV/0!</v>
      </c>
      <c r="U660" s="217">
        <f t="shared" si="646"/>
        <v>54.68</v>
      </c>
      <c r="V660" s="218">
        <f t="shared" ref="V660" si="647">V661/V659*1000</f>
        <v>41.351999999999997</v>
      </c>
      <c r="W660" s="189">
        <f>W661/W659*1000</f>
        <v>2.9000000000000001E-2</v>
      </c>
    </row>
    <row r="661" spans="1:24" s="185" customFormat="1" ht="18" customHeight="1">
      <c r="A661" s="614"/>
      <c r="B661" s="576"/>
      <c r="C661" s="577"/>
      <c r="D661" s="191" t="s">
        <v>0</v>
      </c>
      <c r="E661" s="192"/>
      <c r="F661" s="192">
        <f>№2!F738+№5!F738+'№ 6'!F738+№14!F738+'№ 20'!F738+'№ 23'!F738+№27!F738+'№ 31'!F738+'№ 34'!F738+'№ 41'!F738</f>
        <v>0</v>
      </c>
      <c r="G661" s="192">
        <f>№2!G738+№5!G738+'№ 6'!G738+№14!G738+'№ 20'!G738+'№ 23'!G738+№27!G738+'№ 31'!G738+'№ 34'!G738+'№ 41'!G738</f>
        <v>0</v>
      </c>
      <c r="H661" s="192">
        <f>№2!H738+№5!H738+'№ 6'!H738+№14!H738+'№ 20'!H738+'№ 23'!H738+№27!H738+'№ 31'!H738+'№ 34'!H738+'№ 41'!H738</f>
        <v>0</v>
      </c>
      <c r="I661" s="192">
        <f>№2!I738+№5!I738+'№ 6'!I738+№14!I738+'№ 20'!I738+'№ 23'!I738+№27!I738+'№ 31'!I738+'№ 34'!I738+'№ 41'!I738</f>
        <v>0</v>
      </c>
      <c r="J661" s="192">
        <f>№2!J738+№5!J738+'№ 6'!J738+№14!J738+'№ 20'!J738+'№ 23'!J738+№27!J738+'№ 31'!J738+'№ 34'!J738+'№ 41'!J738</f>
        <v>6.2990000000000004</v>
      </c>
      <c r="K661" s="192">
        <f>№2!K738+№5!K738+'№ 6'!K738+№14!K738+'№ 20'!K738+'№ 23'!K738+№27!K738+'№ 31'!K738+'№ 34'!K738+'№ 41'!K738</f>
        <v>11.198</v>
      </c>
      <c r="L661" s="194">
        <f>SUM(F661:K661)</f>
        <v>17.497</v>
      </c>
      <c r="M661" s="194">
        <f>L661/6</f>
        <v>2.9159999999999999</v>
      </c>
      <c r="N661" s="192">
        <f>№2!N738+№5!N738+'№ 6'!N738+№14!N738+'№ 20'!N738+'№ 23'!N738+№27!N738+'№ 31'!N738+'№ 34'!N738+'№ 41'!N738</f>
        <v>0</v>
      </c>
      <c r="O661" s="192">
        <f>№2!O738+№5!O738+'№ 6'!O738+№14!O738+'№ 20'!O738+'№ 23'!O738+№27!O738+'№ 31'!O738+'№ 34'!O738+'№ 41'!O738</f>
        <v>0</v>
      </c>
      <c r="P661" s="192">
        <f>№2!P738+№5!P738+'№ 6'!P738+№14!P738+'№ 20'!P738+'№ 23'!P738+№27!P738+'№ 31'!P738+'№ 34'!P738+'№ 41'!P738</f>
        <v>0</v>
      </c>
      <c r="Q661" s="192">
        <f>№2!Q738+№5!Q738+'№ 6'!Q738+№14!Q738+'№ 20'!Q738+'№ 23'!Q738+№27!Q738+'№ 31'!Q738+'№ 34'!Q738+'№ 41'!Q738</f>
        <v>0</v>
      </c>
      <c r="R661" s="192">
        <f>№2!R738+№5!R738+'№ 6'!R738+№14!R738+'№ 20'!R738+'№ 23'!R738+№27!R738+'№ 31'!R738+'№ 34'!R738+'№ 41'!R738</f>
        <v>0</v>
      </c>
      <c r="S661" s="192">
        <f>№2!S738+№5!S738+'№ 6'!S738+№14!S738+'№ 20'!S738+'№ 23'!S738+№27!S738+'№ 31'!S738+'№ 34'!S738+'№ 41'!S738</f>
        <v>0</v>
      </c>
      <c r="T661" s="194">
        <f>SUM(N661:S661)</f>
        <v>0</v>
      </c>
      <c r="U661" s="194">
        <f>T661+L661</f>
        <v>17.497</v>
      </c>
      <c r="V661" s="194">
        <f>№2!V738+№5!V738+'№ 6'!V738+№14!V738+'№ 20'!V738+'№ 23'!V738+№27!V738+'№ 31'!V738+'№ 34'!V738+'№ 41'!V738</f>
        <v>17.5</v>
      </c>
      <c r="W661" s="193">
        <f>V661-U661</f>
        <v>3.0000000000000001E-3</v>
      </c>
    </row>
    <row r="662" spans="1:24" s="185" customFormat="1" ht="18" customHeight="1">
      <c r="A662" s="614"/>
      <c r="B662" s="576"/>
      <c r="C662" s="577"/>
      <c r="D662" s="174" t="s">
        <v>55</v>
      </c>
      <c r="E662" s="210"/>
      <c r="F662" s="192">
        <f>№2!F739+№5!F739+'№ 6'!F739+№14!F739+'№ 20'!F739+'№ 23'!F739+№27!F739+'№ 31'!F739+'№ 34'!F739+'№ 41'!F739</f>
        <v>0</v>
      </c>
      <c r="G662" s="192">
        <f>№2!G739+№5!G739+'№ 6'!G739+№14!G739+'№ 20'!G739+'№ 23'!G739+№27!G739+'№ 31'!G739+'№ 34'!G739+'№ 41'!G739</f>
        <v>0</v>
      </c>
      <c r="H662" s="192">
        <f>№2!H739+№5!H739+'№ 6'!H739+№14!H739+'№ 20'!H739+'№ 23'!H739+№27!H739+'№ 31'!H739+'№ 34'!H739+'№ 41'!H739</f>
        <v>0</v>
      </c>
      <c r="I662" s="192">
        <f>№2!I739+№5!I739+'№ 6'!I739+№14!I739+'№ 20'!I739+'№ 23'!I739+№27!I739+'№ 31'!I739+'№ 34'!I739+'№ 41'!I739</f>
        <v>0</v>
      </c>
      <c r="J662" s="192">
        <f>№2!J739+№5!J739+'№ 6'!J739+№14!J739+'№ 20'!J739+'№ 23'!J739+№27!J739+'№ 31'!J739+'№ 34'!J739+'№ 41'!J739</f>
        <v>0</v>
      </c>
      <c r="K662" s="192">
        <f>№2!K739+№5!K739+'№ 6'!K739+№14!K739+'№ 20'!K739+'№ 23'!K739+№27!K739+'№ 31'!K739+'№ 34'!K739+'№ 41'!K739</f>
        <v>0</v>
      </c>
      <c r="L662" s="194">
        <f>SUM(F662:K662)</f>
        <v>0</v>
      </c>
      <c r="M662" s="194">
        <f>L662/6</f>
        <v>0</v>
      </c>
      <c r="N662" s="192">
        <f>№2!N739+№5!N739+'№ 6'!N739+№14!N739+'№ 20'!N739+'№ 23'!N739+№27!N739+'№ 31'!N739+'№ 34'!N739+'№ 41'!N739</f>
        <v>0</v>
      </c>
      <c r="O662" s="192">
        <f>№2!O739+№5!O739+'№ 6'!O739+№14!O739+'№ 20'!O739+'№ 23'!O739+№27!O739+'№ 31'!O739+'№ 34'!O739+'№ 41'!O739</f>
        <v>0</v>
      </c>
      <c r="P662" s="192">
        <f>№2!P739+№5!P739+'№ 6'!P739+№14!P739+'№ 20'!P739+'№ 23'!P739+№27!P739+'№ 31'!P739+'№ 34'!P739+'№ 41'!P739</f>
        <v>0</v>
      </c>
      <c r="Q662" s="192">
        <f>№2!Q739+№5!Q739+'№ 6'!Q739+№14!Q739+'№ 20'!Q739+'№ 23'!Q739+№27!Q739+'№ 31'!Q739+'№ 34'!Q739+'№ 41'!Q739</f>
        <v>0</v>
      </c>
      <c r="R662" s="192">
        <f>№2!R739+№5!R739+'№ 6'!R739+№14!R739+'№ 20'!R739+'№ 23'!R739+№27!R739+'№ 31'!R739+'№ 34'!R739+'№ 41'!R739</f>
        <v>0</v>
      </c>
      <c r="S662" s="192">
        <f>№2!S739+№5!S739+'№ 6'!S739+№14!S739+'№ 20'!S739+'№ 23'!S739+№27!S739+'№ 31'!S739+'№ 34'!S739+'№ 41'!S739</f>
        <v>0</v>
      </c>
      <c r="T662" s="194">
        <f>SUM(N662:S662)</f>
        <v>0</v>
      </c>
      <c r="U662" s="194">
        <f>T662+L662</f>
        <v>0</v>
      </c>
      <c r="V662" s="194">
        <f>№2!V739+№5!V739+'№ 6'!V739+№14!V739+'№ 20'!V739+'№ 23'!V739+№27!V739+'№ 31'!V739+'№ 34'!V739+'№ 41'!V739</f>
        <v>0</v>
      </c>
      <c r="W662" s="193">
        <f>V662-U662</f>
        <v>0</v>
      </c>
    </row>
    <row r="663" spans="1:24" s="185" customFormat="1" ht="18" customHeight="1">
      <c r="A663" s="614"/>
      <c r="B663" s="576"/>
      <c r="C663" s="577"/>
      <c r="D663" s="174" t="s">
        <v>28</v>
      </c>
      <c r="E663" s="210"/>
      <c r="F663" s="192">
        <f>№2!F740+№5!F740+'№ 6'!F740+№14!F740+'№ 20'!F740+'№ 23'!F740+№27!F740+'№ 31'!F740+'№ 34'!F740+'№ 41'!F740</f>
        <v>0</v>
      </c>
      <c r="G663" s="192">
        <f>№2!G740+№5!G740+'№ 6'!G740+№14!G740+'№ 20'!G740+'№ 23'!G740+№27!G740+'№ 31'!G740+'№ 34'!G740+'№ 41'!G740</f>
        <v>0</v>
      </c>
      <c r="H663" s="192">
        <f>№2!H740+№5!H740+'№ 6'!H740+№14!H740+'№ 20'!H740+'№ 23'!H740+№27!H740+'№ 31'!H740+'№ 34'!H740+'№ 41'!H740</f>
        <v>0</v>
      </c>
      <c r="I663" s="192">
        <f>№2!I740+№5!I740+'№ 6'!I740+№14!I740+'№ 20'!I740+'№ 23'!I740+№27!I740+'№ 31'!I740+'№ 34'!I740+'№ 41'!I740</f>
        <v>0</v>
      </c>
      <c r="J663" s="192">
        <f>№2!J740+№5!J740+'№ 6'!J740+№14!J740+'№ 20'!J740+'№ 23'!J740+№27!J740+'№ 31'!J740+'№ 34'!J740+'№ 41'!J740</f>
        <v>11</v>
      </c>
      <c r="K663" s="192">
        <f>№2!K740+№5!K740+'№ 6'!K740+№14!K740+'№ 20'!K740+'№ 23'!K740+№27!K740+'№ 31'!K740+'№ 34'!K740+'№ 41'!K740</f>
        <v>4.3</v>
      </c>
      <c r="L663" s="194">
        <f>SUM(F663:K663)</f>
        <v>15.3</v>
      </c>
      <c r="M663" s="194">
        <f>L663/6</f>
        <v>2.5499999999999998</v>
      </c>
      <c r="N663" s="192">
        <f>№2!N740+№5!N740+'№ 6'!N740+№14!N740+'№ 20'!N740+'№ 23'!N740+№27!N740+'№ 31'!N740+'№ 34'!N740+'№ 41'!N740</f>
        <v>0</v>
      </c>
      <c r="O663" s="192">
        <f>№2!O740+№5!O740+'№ 6'!O740+№14!O740+'№ 20'!O740+'№ 23'!O740+№27!O740+'№ 31'!O740+'№ 34'!O740+'№ 41'!O740</f>
        <v>2.2000000000000002</v>
      </c>
      <c r="P663" s="192">
        <f>№2!P740+№5!P740+'№ 6'!P740+№14!P740+'№ 20'!P740+'№ 23'!P740+№27!P740+'№ 31'!P740+'№ 34'!P740+'№ 41'!P740</f>
        <v>0</v>
      </c>
      <c r="Q663" s="192">
        <f>№2!Q740+№5!Q740+'№ 6'!Q740+№14!Q740+'№ 20'!Q740+'№ 23'!Q740+№27!Q740+'№ 31'!Q740+'№ 34'!Q740+'№ 41'!Q740</f>
        <v>0</v>
      </c>
      <c r="R663" s="192">
        <f>№2!R740+№5!R740+'№ 6'!R740+№14!R740+'№ 20'!R740+'№ 23'!R740+№27!R740+'№ 31'!R740+'№ 34'!R740+'№ 41'!R740</f>
        <v>0</v>
      </c>
      <c r="S663" s="192">
        <f>№2!S740+№5!S740+'№ 6'!S740+№14!S740+'№ 20'!S740+'№ 23'!S740+№27!S740+'№ 31'!S740+'№ 34'!S740+'№ 41'!S740</f>
        <v>0</v>
      </c>
      <c r="T663" s="194">
        <f>SUM(N663:S663)</f>
        <v>2.2000000000000002</v>
      </c>
      <c r="U663" s="194">
        <f>T663+L663</f>
        <v>17.5</v>
      </c>
      <c r="V663" s="194">
        <f>№2!V740+№5!V740+'№ 6'!V740+№14!V740+'№ 20'!V740+'№ 23'!V740+№27!V740+'№ 31'!V740+'№ 34'!V740+'№ 41'!V740</f>
        <v>17.5</v>
      </c>
      <c r="W663" s="193">
        <f>V663-U663</f>
        <v>0</v>
      </c>
    </row>
    <row r="664" spans="1:24" s="185" customFormat="1" ht="18" customHeight="1">
      <c r="A664" s="614"/>
      <c r="B664" s="576"/>
      <c r="C664" s="577"/>
      <c r="D664" s="178" t="s">
        <v>117</v>
      </c>
      <c r="E664" s="179">
        <f>№2!E741+№5!E741+'№ 6'!E741+№14!E741+'№ 20'!E741+'№ 23'!E741+№27!E741+'№ 31'!E741+'№ 34'!E741+'№ 41'!E741</f>
        <v>0</v>
      </c>
      <c r="F664" s="179">
        <f>№2!F741+№5!F741+'№ 6'!F741+№14!F741+'№ 20'!F741+'№ 23'!F741+№27!F741+'№ 31'!F741+'№ 34'!F741+'№ 41'!F741</f>
        <v>0</v>
      </c>
      <c r="G664" s="179">
        <f>№2!G741+№5!G741+'№ 6'!G741+№14!G741+'№ 20'!G741+'№ 23'!G741+№27!G741+'№ 31'!G741+'№ 34'!G741+'№ 41'!G741</f>
        <v>0</v>
      </c>
      <c r="H664" s="179">
        <f>№2!H741+№5!H741+'№ 6'!H741+№14!H741+'№ 20'!H741+'№ 23'!H741+№27!H741+'№ 31'!H741+'№ 34'!H741+'№ 41'!H741</f>
        <v>0</v>
      </c>
      <c r="I664" s="179">
        <f>№2!I741+№5!I741+'№ 6'!I741+№14!I741+'№ 20'!I741+'№ 23'!I741+№27!I741+'№ 31'!I741+'№ 34'!I741+'№ 41'!I741</f>
        <v>0</v>
      </c>
      <c r="J664" s="179">
        <f>№2!J741+№5!J741+'№ 6'!J741+№14!J741+'№ 20'!J741+'№ 23'!J741+№27!J741+'№ 31'!J741+'№ 34'!J741+'№ 41'!J741</f>
        <v>120</v>
      </c>
      <c r="K664" s="179">
        <f>№2!K741+№5!K741+'№ 6'!K741+№14!K741+'№ 20'!K741+'№ 23'!K741+№27!K741+'№ 31'!K741+'№ 34'!K741+'№ 41'!K741</f>
        <v>0</v>
      </c>
      <c r="L664" s="215">
        <f>SUM(F664:K664)</f>
        <v>120</v>
      </c>
      <c r="M664" s="215">
        <f>L664/6</f>
        <v>20</v>
      </c>
      <c r="N664" s="179">
        <f>№2!N741+№5!N741+'№ 6'!N741+№14!N741+'№ 20'!N741+'№ 23'!N741+№27!N741+'№ 31'!N741+'№ 34'!N741+'№ 41'!N741</f>
        <v>200</v>
      </c>
      <c r="O664" s="179">
        <f>№2!O741+№5!O741+'№ 6'!O741+№14!O741+'№ 20'!O741+'№ 23'!O741+№27!O741+'№ 31'!O741+'№ 34'!O741+'№ 41'!O741</f>
        <v>0</v>
      </c>
      <c r="P664" s="179">
        <f>№2!P741+№5!P741+'№ 6'!P741+№14!P741+'№ 20'!P741+'№ 23'!P741+№27!P741+'№ 31'!P741+'№ 34'!P741+'№ 41'!P741</f>
        <v>0</v>
      </c>
      <c r="Q664" s="179">
        <f>№2!Q741+№5!Q741+'№ 6'!Q741+№14!Q741+'№ 20'!Q741+'№ 23'!Q741+№27!Q741+'№ 31'!Q741+'№ 34'!Q741+'№ 41'!Q741</f>
        <v>0</v>
      </c>
      <c r="R664" s="179">
        <f>№2!R741+№5!R741+'№ 6'!R741+№14!R741+'№ 20'!R741+'№ 23'!R741+№27!R741+'№ 31'!R741+'№ 34'!R741+'№ 41'!R741</f>
        <v>0</v>
      </c>
      <c r="S664" s="179">
        <f>№2!S741+№5!S741+'№ 6'!S741+№14!S741+'№ 20'!S741+'№ 23'!S741+№27!S741+'№ 31'!S741+'№ 34'!S741+'№ 41'!S741</f>
        <v>0</v>
      </c>
      <c r="T664" s="215">
        <f>SUM(N664:S664)</f>
        <v>200</v>
      </c>
      <c r="U664" s="215">
        <f>T664+L664</f>
        <v>320</v>
      </c>
      <c r="V664" s="179">
        <f>№2!V741+№5!V741+'№ 6'!V741+№14!V741+'№ 20'!V741+'№ 23'!V741+№27!V741+'№ 31'!V741+'№ 34'!V741+'№ 41'!V741</f>
        <v>423.2</v>
      </c>
      <c r="W664" s="184">
        <f>V664-U664</f>
        <v>103.2</v>
      </c>
      <c r="X664" s="185">
        <f>U659-U664</f>
        <v>0</v>
      </c>
    </row>
    <row r="665" spans="1:24" s="185" customFormat="1" ht="18" customHeight="1">
      <c r="A665" s="614"/>
      <c r="B665" s="576"/>
      <c r="C665" s="577"/>
      <c r="D665" s="187" t="s">
        <v>27</v>
      </c>
      <c r="E665" s="188" t="e">
        <f t="shared" ref="E665:U665" si="648">E666/E664*1000</f>
        <v>#DIV/0!</v>
      </c>
      <c r="F665" s="188" t="e">
        <f t="shared" si="648"/>
        <v>#DIV/0!</v>
      </c>
      <c r="G665" s="188" t="e">
        <f t="shared" si="648"/>
        <v>#DIV/0!</v>
      </c>
      <c r="H665" s="188" t="e">
        <f t="shared" si="648"/>
        <v>#DIV/0!</v>
      </c>
      <c r="I665" s="188" t="e">
        <f t="shared" si="648"/>
        <v>#DIV/0!</v>
      </c>
      <c r="J665" s="188">
        <f t="shared" si="648"/>
        <v>52.491999999999997</v>
      </c>
      <c r="K665" s="188" t="e">
        <f t="shared" si="648"/>
        <v>#DIV/0!</v>
      </c>
      <c r="L665" s="217">
        <f t="shared" si="648"/>
        <v>52.49</v>
      </c>
      <c r="M665" s="217">
        <f t="shared" si="648"/>
        <v>52.5</v>
      </c>
      <c r="N665" s="188">
        <f t="shared" si="648"/>
        <v>55.99</v>
      </c>
      <c r="O665" s="188" t="e">
        <f t="shared" si="648"/>
        <v>#DIV/0!</v>
      </c>
      <c r="P665" s="188" t="e">
        <f t="shared" si="648"/>
        <v>#DIV/0!</v>
      </c>
      <c r="Q665" s="188" t="e">
        <f t="shared" si="648"/>
        <v>#DIV/0!</v>
      </c>
      <c r="R665" s="188" t="e">
        <f t="shared" si="648"/>
        <v>#DIV/0!</v>
      </c>
      <c r="S665" s="188" t="e">
        <f t="shared" si="648"/>
        <v>#DIV/0!</v>
      </c>
      <c r="T665" s="217">
        <f t="shared" si="648"/>
        <v>55.99</v>
      </c>
      <c r="U665" s="217">
        <f t="shared" si="648"/>
        <v>54.68</v>
      </c>
      <c r="V665" s="218">
        <f t="shared" ref="V665" si="649">V666/V664*1000</f>
        <v>41.351999999999997</v>
      </c>
      <c r="W665" s="189">
        <f>W666/W664*1000</f>
        <v>2.9000000000000001E-2</v>
      </c>
      <c r="X665" s="225"/>
    </row>
    <row r="666" spans="1:24" s="185" customFormat="1" ht="18" customHeight="1">
      <c r="A666" s="614"/>
      <c r="B666" s="576"/>
      <c r="C666" s="577"/>
      <c r="D666" s="198" t="s">
        <v>25</v>
      </c>
      <c r="E666" s="199">
        <f>№2!E743+№5!E743+'№ 6'!E743+№14!E743+'№ 20'!E743+'№ 23'!E743+№27!E743+'№ 31'!E743+'№ 34'!E743+'№ 41'!E743</f>
        <v>0</v>
      </c>
      <c r="F666" s="199">
        <f>№2!F743+№5!F743+'№ 6'!F743+№14!F743+'№ 20'!F743+'№ 23'!F743+№27!F743+'№ 31'!F743+'№ 34'!F743+'№ 41'!F743</f>
        <v>0</v>
      </c>
      <c r="G666" s="199">
        <f>№2!G743+№5!G743+'№ 6'!G743+№14!G743+'№ 20'!G743+'№ 23'!G743+№27!G743+'№ 31'!G743+'№ 34'!G743+'№ 41'!G743</f>
        <v>0</v>
      </c>
      <c r="H666" s="199">
        <f>№2!H743+№5!H743+'№ 6'!H743+№14!H743+'№ 20'!H743+'№ 23'!H743+№27!H743+'№ 31'!H743+'№ 34'!H743+'№ 41'!H743</f>
        <v>0</v>
      </c>
      <c r="I666" s="199">
        <f>№2!I743+№5!I743+'№ 6'!I743+№14!I743+'№ 20'!I743+'№ 23'!I743+№27!I743+'№ 31'!I743+'№ 34'!I743+'№ 41'!I743</f>
        <v>0</v>
      </c>
      <c r="J666" s="199">
        <f>№2!J743+№5!J743+'№ 6'!J743+№14!J743+'№ 20'!J743+'№ 23'!J743+№27!J743+'№ 31'!J743+'№ 34'!J743+'№ 41'!J743</f>
        <v>6.2990000000000004</v>
      </c>
      <c r="K666" s="199">
        <f>№2!K743+№5!K743+'№ 6'!K743+№14!K743+'№ 20'!K743+'№ 23'!K743+№27!K743+'№ 31'!K743+'№ 34'!K743+'№ 41'!K743</f>
        <v>0</v>
      </c>
      <c r="L666" s="199">
        <f>SUM(F666:K666)</f>
        <v>6.2990000000000004</v>
      </c>
      <c r="M666" s="199">
        <f>L666/6</f>
        <v>1.05</v>
      </c>
      <c r="N666" s="199">
        <f>№2!N743+№5!N743+'№ 6'!N743+№14!N743+'№ 20'!N743+'№ 23'!N743+№27!N743+'№ 31'!N743+'№ 34'!N743+'№ 41'!N743</f>
        <v>11.198</v>
      </c>
      <c r="O666" s="199">
        <f>№2!O743+№5!O743+'№ 6'!O743+№14!O743+'№ 20'!O743+'№ 23'!O743+№27!O743+'№ 31'!O743+'№ 34'!O743+'№ 41'!O743</f>
        <v>0</v>
      </c>
      <c r="P666" s="199">
        <f>№2!P743+№5!P743+'№ 6'!P743+№14!P743+'№ 20'!P743+'№ 23'!P743+№27!P743+'№ 31'!P743+'№ 34'!P743+'№ 41'!P743</f>
        <v>0</v>
      </c>
      <c r="Q666" s="199">
        <f>№2!Q743+№5!Q743+'№ 6'!Q743+№14!Q743+'№ 20'!Q743+'№ 23'!Q743+№27!Q743+'№ 31'!Q743+'№ 34'!Q743+'№ 41'!Q743</f>
        <v>0</v>
      </c>
      <c r="R666" s="199">
        <f>№2!R743+№5!R743+'№ 6'!R743+№14!R743+'№ 20'!R743+'№ 23'!R743+№27!R743+'№ 31'!R743+'№ 34'!R743+'№ 41'!R743</f>
        <v>0</v>
      </c>
      <c r="S666" s="199">
        <f>№2!S743+№5!S743+'№ 6'!S743+№14!S743+'№ 20'!S743+'№ 23'!S743+№27!S743+'№ 31'!S743+'№ 34'!S743+'№ 41'!S743</f>
        <v>0</v>
      </c>
      <c r="T666" s="199">
        <f>SUM(N666:S666)</f>
        <v>11.198</v>
      </c>
      <c r="U666" s="199">
        <f>T666+L666</f>
        <v>17.497</v>
      </c>
      <c r="V666" s="199">
        <f>№2!V743+№5!V743+'№ 6'!V743+№14!V743+'№ 20'!V743+'№ 23'!V743+№27!V743+'№ 31'!V743+'№ 34'!V743+'№ 41'!V743</f>
        <v>17.5</v>
      </c>
      <c r="W666" s="221">
        <f>V666-U666</f>
        <v>3.0000000000000001E-3</v>
      </c>
      <c r="X666" s="176">
        <f>U661-U666</f>
        <v>0</v>
      </c>
    </row>
    <row r="667" spans="1:24" s="185" customFormat="1" ht="18" customHeight="1">
      <c r="A667" s="614"/>
      <c r="B667" s="576"/>
      <c r="C667" s="577"/>
      <c r="D667" s="201" t="s">
        <v>55</v>
      </c>
      <c r="E667" s="220"/>
      <c r="F667" s="199">
        <f>№2!F744+№5!F744+'№ 6'!F744+№14!F744+'№ 20'!F744+'№ 23'!F744+№27!F744+'№ 31'!F744+'№ 34'!F744+'№ 41'!F744</f>
        <v>0</v>
      </c>
      <c r="G667" s="199">
        <f>№2!G744+№5!G744+'№ 6'!G744+№14!G744+'№ 20'!G744+'№ 23'!G744+№27!G744+'№ 31'!G744+'№ 34'!G744+'№ 41'!G744</f>
        <v>0</v>
      </c>
      <c r="H667" s="199">
        <f>№2!H744+№5!H744+'№ 6'!H744+№14!H744+'№ 20'!H744+'№ 23'!H744+№27!H744+'№ 31'!H744+'№ 34'!H744+'№ 41'!H744</f>
        <v>0</v>
      </c>
      <c r="I667" s="199">
        <f>№2!I744+№5!I744+'№ 6'!I744+№14!I744+'№ 20'!I744+'№ 23'!I744+№27!I744+'№ 31'!I744+'№ 34'!I744+'№ 41'!I744</f>
        <v>0</v>
      </c>
      <c r="J667" s="199">
        <f>№2!J744+№5!J744+'№ 6'!J744+№14!J744+'№ 20'!J744+'№ 23'!J744+№27!J744+'№ 31'!J744+'№ 34'!J744+'№ 41'!J744</f>
        <v>0</v>
      </c>
      <c r="K667" s="199">
        <f>№2!K744+№5!K744+'№ 6'!K744+№14!K744+'№ 20'!K744+'№ 23'!K744+№27!K744+'№ 31'!K744+'№ 34'!K744+'№ 41'!K744</f>
        <v>0</v>
      </c>
      <c r="L667" s="199">
        <f>SUM(F667:K667)</f>
        <v>0</v>
      </c>
      <c r="M667" s="199">
        <f>L667/6</f>
        <v>0</v>
      </c>
      <c r="N667" s="199">
        <f>№2!N744+№5!N744+'№ 6'!N744+№14!N744+'№ 20'!N744+'№ 23'!N744+№27!N744+'№ 31'!N744+'№ 34'!N744+'№ 41'!N744</f>
        <v>0</v>
      </c>
      <c r="O667" s="199">
        <f>№2!O744+№5!O744+'№ 6'!O744+№14!O744+'№ 20'!O744+'№ 23'!O744+№27!O744+'№ 31'!O744+'№ 34'!O744+'№ 41'!O744</f>
        <v>0</v>
      </c>
      <c r="P667" s="199">
        <f>№2!P744+№5!P744+'№ 6'!P744+№14!P744+'№ 20'!P744+'№ 23'!P744+№27!P744+'№ 31'!P744+'№ 34'!P744+'№ 41'!P744</f>
        <v>0</v>
      </c>
      <c r="Q667" s="199">
        <f>№2!Q744+№5!Q744+'№ 6'!Q744+№14!Q744+'№ 20'!Q744+'№ 23'!Q744+№27!Q744+'№ 31'!Q744+'№ 34'!Q744+'№ 41'!Q744</f>
        <v>0</v>
      </c>
      <c r="R667" s="199">
        <f>№2!R744+№5!R744+'№ 6'!R744+№14!R744+'№ 20'!R744+'№ 23'!R744+№27!R744+'№ 31'!R744+'№ 34'!R744+'№ 41'!R744</f>
        <v>0</v>
      </c>
      <c r="S667" s="199">
        <f>№2!S744+№5!S744+'№ 6'!S744+№14!S744+'№ 20'!S744+'№ 23'!S744+№27!S744+'№ 31'!S744+'№ 34'!S744+'№ 41'!S744</f>
        <v>0</v>
      </c>
      <c r="T667" s="199">
        <f>SUM(N667:S667)</f>
        <v>0</v>
      </c>
      <c r="U667" s="199">
        <f>T667+L667</f>
        <v>0</v>
      </c>
      <c r="V667" s="199">
        <f>№2!V744+№5!V744+'№ 6'!V744+№14!V744+'№ 20'!V744+'№ 23'!V744+№27!V744+'№ 31'!V744+'№ 34'!V744+'№ 41'!V744</f>
        <v>0</v>
      </c>
      <c r="W667" s="221">
        <f>V667-U667</f>
        <v>0</v>
      </c>
      <c r="X667" s="176">
        <f>U662-U667</f>
        <v>0</v>
      </c>
    </row>
    <row r="668" spans="1:24" s="185" customFormat="1" ht="18" customHeight="1">
      <c r="A668" s="614"/>
      <c r="B668" s="576"/>
      <c r="C668" s="577"/>
      <c r="D668" s="201" t="s">
        <v>24</v>
      </c>
      <c r="E668" s="220"/>
      <c r="F668" s="199">
        <f>№2!F745+№5!F745+'№ 6'!F745+№14!F745+'№ 20'!F745+'№ 23'!F745+№27!F745+'№ 31'!F745+'№ 34'!F745+'№ 41'!F745</f>
        <v>0</v>
      </c>
      <c r="G668" s="199">
        <f>№2!G745+№5!G745+'№ 6'!G745+№14!G745+'№ 20'!G745+'№ 23'!G745+№27!G745+'№ 31'!G745+'№ 34'!G745+'№ 41'!G745</f>
        <v>0</v>
      </c>
      <c r="H668" s="199">
        <f>№2!H745+№5!H745+'№ 6'!H745+№14!H745+'№ 20'!H745+'№ 23'!H745+№27!H745+'№ 31'!H745+'№ 34'!H745+'№ 41'!H745</f>
        <v>0</v>
      </c>
      <c r="I668" s="199">
        <f>№2!I745+№5!I745+'№ 6'!I745+№14!I745+'№ 20'!I745+'№ 23'!I745+№27!I745+'№ 31'!I745+'№ 34'!I745+'№ 41'!I745</f>
        <v>0</v>
      </c>
      <c r="J668" s="199">
        <f>№2!J745+№5!J745+'№ 6'!J745+№14!J745+'№ 20'!J745+'№ 23'!J745+№27!J745+'№ 31'!J745+'№ 34'!J745+'№ 41'!J745</f>
        <v>6.2990000000000004</v>
      </c>
      <c r="K668" s="199">
        <f>№2!K745+№5!K745+'№ 6'!K745+№14!K745+'№ 20'!K745+'№ 23'!K745+№27!K745+'№ 31'!K745+'№ 34'!K745+'№ 41'!K745</f>
        <v>0</v>
      </c>
      <c r="L668" s="199">
        <f>SUM(F668:K668)</f>
        <v>6.2990000000000004</v>
      </c>
      <c r="M668" s="199">
        <f>L668/6</f>
        <v>1.05</v>
      </c>
      <c r="N668" s="199">
        <f>№2!N745+№5!N745+'№ 6'!N745+№14!N745+'№ 20'!N745+'№ 23'!N745+№27!N745+'№ 31'!N745+'№ 34'!N745+'№ 41'!N745</f>
        <v>11.198</v>
      </c>
      <c r="O668" s="199">
        <f>№2!O745+№5!O745+'№ 6'!O745+№14!O745+'№ 20'!O745+'№ 23'!O745+№27!O745+'№ 31'!O745+'№ 34'!O745+'№ 41'!O745</f>
        <v>0</v>
      </c>
      <c r="P668" s="199">
        <f>№2!P745+№5!P745+'№ 6'!P745+№14!P745+'№ 20'!P745+'№ 23'!P745+№27!P745+'№ 31'!P745+'№ 34'!P745+'№ 41'!P745</f>
        <v>0</v>
      </c>
      <c r="Q668" s="199">
        <f>№2!Q745+№5!Q745+'№ 6'!Q745+№14!Q745+'№ 20'!Q745+'№ 23'!Q745+№27!Q745+'№ 31'!Q745+'№ 34'!Q745+'№ 41'!Q745</f>
        <v>0</v>
      </c>
      <c r="R668" s="199">
        <f>№2!R745+№5!R745+'№ 6'!R745+№14!R745+'№ 20'!R745+'№ 23'!R745+№27!R745+'№ 31'!R745+'№ 34'!R745+'№ 41'!R745</f>
        <v>0</v>
      </c>
      <c r="S668" s="199">
        <f>№2!S745+№5!S745+'№ 6'!S745+№14!S745+'№ 20'!S745+'№ 23'!S745+№27!S745+'№ 31'!S745+'№ 34'!S745+'№ 41'!S745</f>
        <v>0</v>
      </c>
      <c r="T668" s="199">
        <f>SUM(N668:S668)</f>
        <v>11.198</v>
      </c>
      <c r="U668" s="199">
        <f>T668+L668</f>
        <v>17.497</v>
      </c>
      <c r="V668" s="199">
        <f>№2!V745+№5!V745+'№ 6'!V745+№14!V745+'№ 20'!V745+'№ 23'!V745+№27!V745+'№ 31'!V745+'№ 34'!V745+'№ 41'!V745</f>
        <v>17.5</v>
      </c>
      <c r="W668" s="221">
        <f>V668-U668</f>
        <v>3.0000000000000001E-3</v>
      </c>
      <c r="X668" s="176">
        <f>U663-U668</f>
        <v>3.0000000000000001E-3</v>
      </c>
    </row>
    <row r="669" spans="1:24" s="185" customFormat="1" ht="18" customHeight="1">
      <c r="A669" s="614"/>
      <c r="B669" s="576"/>
      <c r="C669" s="577"/>
      <c r="D669" s="202" t="s">
        <v>29</v>
      </c>
      <c r="E669" s="203"/>
      <c r="F669" s="203">
        <f t="shared" ref="F669:K669" si="650">F663</f>
        <v>0</v>
      </c>
      <c r="G669" s="203">
        <f t="shared" si="650"/>
        <v>0</v>
      </c>
      <c r="H669" s="203">
        <f t="shared" si="650"/>
        <v>0</v>
      </c>
      <c r="I669" s="203">
        <f t="shared" si="650"/>
        <v>0</v>
      </c>
      <c r="J669" s="203">
        <f t="shared" si="650"/>
        <v>11</v>
      </c>
      <c r="K669" s="203">
        <f t="shared" si="650"/>
        <v>4.3</v>
      </c>
      <c r="L669" s="203">
        <f>SUM(F669:K669)</f>
        <v>15.3</v>
      </c>
      <c r="M669" s="203">
        <f>L669/6</f>
        <v>2.5499999999999998</v>
      </c>
      <c r="N669" s="203">
        <f t="shared" ref="N669:S669" si="651">N663+N662</f>
        <v>0</v>
      </c>
      <c r="O669" s="203">
        <f t="shared" si="651"/>
        <v>2.2000000000000002</v>
      </c>
      <c r="P669" s="203">
        <f t="shared" si="651"/>
        <v>0</v>
      </c>
      <c r="Q669" s="203">
        <f t="shared" si="651"/>
        <v>0</v>
      </c>
      <c r="R669" s="203">
        <f t="shared" si="651"/>
        <v>0</v>
      </c>
      <c r="S669" s="203">
        <f t="shared" si="651"/>
        <v>0</v>
      </c>
      <c r="T669" s="203">
        <f>SUM(N669:S669)</f>
        <v>2.2000000000000002</v>
      </c>
      <c r="U669" s="203">
        <f>T669+L669</f>
        <v>17.5</v>
      </c>
      <c r="V669" s="203">
        <f>V666</f>
        <v>17.5</v>
      </c>
      <c r="W669" s="203">
        <f>V669-U669</f>
        <v>0</v>
      </c>
    </row>
    <row r="670" spans="1:24" s="185" customFormat="1" ht="18" customHeight="1">
      <c r="A670" s="614"/>
      <c r="B670" s="576"/>
      <c r="C670" s="577"/>
      <c r="D670" s="202" t="s">
        <v>30</v>
      </c>
      <c r="E670" s="203"/>
      <c r="F670" s="203">
        <f t="shared" ref="F670:K670" si="652">F666-F669</f>
        <v>0</v>
      </c>
      <c r="G670" s="203">
        <f t="shared" si="652"/>
        <v>0</v>
      </c>
      <c r="H670" s="203">
        <f t="shared" si="652"/>
        <v>0</v>
      </c>
      <c r="I670" s="203">
        <f t="shared" si="652"/>
        <v>0</v>
      </c>
      <c r="J670" s="203">
        <f t="shared" si="652"/>
        <v>-4.7009999999999996</v>
      </c>
      <c r="K670" s="203">
        <f t="shared" si="652"/>
        <v>-4.3</v>
      </c>
      <c r="L670" s="203"/>
      <c r="M670" s="203"/>
      <c r="N670" s="203">
        <f t="shared" ref="N670:S670" si="653">N666-N669</f>
        <v>11.198</v>
      </c>
      <c r="O670" s="203">
        <f t="shared" si="653"/>
        <v>-2.2000000000000002</v>
      </c>
      <c r="P670" s="203">
        <f t="shared" si="653"/>
        <v>0</v>
      </c>
      <c r="Q670" s="203">
        <f t="shared" si="653"/>
        <v>0</v>
      </c>
      <c r="R670" s="203">
        <f t="shared" si="653"/>
        <v>0</v>
      </c>
      <c r="S670" s="203">
        <f t="shared" si="653"/>
        <v>0</v>
      </c>
      <c r="T670" s="203"/>
      <c r="U670" s="203"/>
      <c r="V670" s="203"/>
      <c r="W670" s="203"/>
    </row>
    <row r="671" spans="1:24" s="185" customFormat="1" ht="18" customHeight="1">
      <c r="A671" s="615"/>
      <c r="B671" s="578"/>
      <c r="C671" s="579"/>
      <c r="D671" s="202" t="s">
        <v>31</v>
      </c>
      <c r="E671" s="203"/>
      <c r="F671" s="203">
        <f>F670</f>
        <v>0</v>
      </c>
      <c r="G671" s="203">
        <f>G670+F671</f>
        <v>0</v>
      </c>
      <c r="H671" s="203">
        <f>H670+G671</f>
        <v>0</v>
      </c>
      <c r="I671" s="203">
        <f>I670+H671</f>
        <v>0</v>
      </c>
      <c r="J671" s="203">
        <f>J670+I671</f>
        <v>-4.7009999999999996</v>
      </c>
      <c r="K671" s="203">
        <f>K670+J671</f>
        <v>-9.0009999999999994</v>
      </c>
      <c r="L671" s="203"/>
      <c r="M671" s="203"/>
      <c r="N671" s="203">
        <f>N670+K671</f>
        <v>2.1970000000000001</v>
      </c>
      <c r="O671" s="203">
        <f>O670+N671</f>
        <v>-3.0000000000000001E-3</v>
      </c>
      <c r="P671" s="203">
        <f>P670+O671</f>
        <v>-3.0000000000000001E-3</v>
      </c>
      <c r="Q671" s="203">
        <f>Q670+P671</f>
        <v>-3.0000000000000001E-3</v>
      </c>
      <c r="R671" s="203">
        <f>R670+Q671</f>
        <v>-3.0000000000000001E-3</v>
      </c>
      <c r="S671" s="203">
        <f>S670+R671</f>
        <v>-3.0000000000000001E-3</v>
      </c>
      <c r="T671" s="203"/>
      <c r="U671" s="203"/>
      <c r="V671" s="203"/>
      <c r="W671" s="203"/>
    </row>
    <row r="672" spans="1:24">
      <c r="L672" s="249"/>
      <c r="M672" s="249"/>
      <c r="N672" s="249"/>
      <c r="T672" s="249"/>
      <c r="U672" s="249"/>
    </row>
    <row r="673" spans="4:21">
      <c r="D673" s="651" t="s">
        <v>123</v>
      </c>
      <c r="E673" s="652"/>
      <c r="F673" s="652"/>
      <c r="G673" s="652"/>
      <c r="H673" s="652"/>
      <c r="I673" s="652"/>
      <c r="L673" s="249"/>
      <c r="M673" s="249"/>
      <c r="N673" s="249"/>
      <c r="R673" s="653" t="s">
        <v>110</v>
      </c>
      <c r="S673" s="653"/>
      <c r="T673" s="653"/>
      <c r="U673" s="653"/>
    </row>
    <row r="674" spans="4:21">
      <c r="D674" s="652"/>
      <c r="E674" s="652"/>
      <c r="F674" s="652"/>
      <c r="G674" s="652"/>
      <c r="H674" s="652"/>
      <c r="I674" s="652"/>
      <c r="L674" s="249"/>
      <c r="M674" s="249"/>
      <c r="N674" s="249"/>
      <c r="R674" s="653"/>
      <c r="S674" s="653"/>
      <c r="T674" s="653"/>
      <c r="U674" s="653"/>
    </row>
    <row r="675" spans="4:21">
      <c r="D675" s="652"/>
      <c r="E675" s="652"/>
      <c r="F675" s="652"/>
      <c r="G675" s="652"/>
      <c r="H675" s="652"/>
      <c r="I675" s="652"/>
      <c r="L675" s="249"/>
      <c r="M675" s="249"/>
      <c r="N675" s="249"/>
      <c r="R675" s="653"/>
      <c r="S675" s="653"/>
      <c r="T675" s="653"/>
      <c r="U675" s="653"/>
    </row>
    <row r="676" spans="4:21">
      <c r="L676" s="249"/>
      <c r="M676" s="249"/>
      <c r="N676" s="249"/>
      <c r="T676" s="249"/>
      <c r="U676" s="249"/>
    </row>
    <row r="677" spans="4:21">
      <c r="L677" s="249"/>
      <c r="M677" s="249"/>
      <c r="N677" s="249"/>
      <c r="T677" s="249"/>
      <c r="U677" s="249"/>
    </row>
    <row r="678" spans="4:21">
      <c r="L678" s="249"/>
      <c r="M678" s="249"/>
      <c r="N678" s="249"/>
      <c r="T678" s="249"/>
      <c r="U678" s="249"/>
    </row>
    <row r="679" spans="4:21">
      <c r="L679" s="249"/>
      <c r="M679" s="249"/>
      <c r="N679" s="249"/>
      <c r="T679" s="249"/>
      <c r="U679" s="249"/>
    </row>
    <row r="680" spans="4:21">
      <c r="N680" s="249"/>
    </row>
    <row r="681" spans="4:21">
      <c r="N681" s="249"/>
    </row>
    <row r="682" spans="4:21">
      <c r="N682" s="249"/>
    </row>
    <row r="683" spans="4:21">
      <c r="N683" s="249"/>
    </row>
    <row r="684" spans="4:21">
      <c r="N684" s="249"/>
    </row>
    <row r="685" spans="4:21">
      <c r="N685" s="249"/>
    </row>
    <row r="686" spans="4:21">
      <c r="N686" s="249"/>
    </row>
    <row r="687" spans="4:21">
      <c r="N687" s="249"/>
    </row>
    <row r="688" spans="4:21">
      <c r="N688" s="249"/>
    </row>
    <row r="689" spans="14:14">
      <c r="N689" s="249"/>
    </row>
    <row r="690" spans="14:14">
      <c r="N690" s="249"/>
    </row>
    <row r="691" spans="14:14">
      <c r="N691" s="249"/>
    </row>
    <row r="692" spans="14:14">
      <c r="N692" s="249"/>
    </row>
    <row r="693" spans="14:14">
      <c r="N693" s="249"/>
    </row>
    <row r="694" spans="14:14">
      <c r="N694" s="249"/>
    </row>
    <row r="695" spans="14:14">
      <c r="N695" s="249"/>
    </row>
    <row r="696" spans="14:14">
      <c r="N696" s="249"/>
    </row>
    <row r="697" spans="14:14">
      <c r="N697" s="249"/>
    </row>
    <row r="698" spans="14:14">
      <c r="N698" s="249"/>
    </row>
    <row r="699" spans="14:14">
      <c r="N699" s="249"/>
    </row>
    <row r="700" spans="14:14">
      <c r="N700" s="249"/>
    </row>
    <row r="701" spans="14:14">
      <c r="N701" s="249"/>
    </row>
    <row r="702" spans="14:14">
      <c r="N702" s="249"/>
    </row>
    <row r="703" spans="14:14">
      <c r="N703" s="249"/>
    </row>
    <row r="704" spans="14:14">
      <c r="N704" s="249"/>
    </row>
    <row r="705" spans="14:14">
      <c r="N705" s="249"/>
    </row>
    <row r="706" spans="14:14">
      <c r="N706" s="249"/>
    </row>
    <row r="707" spans="14:14">
      <c r="N707" s="249"/>
    </row>
    <row r="708" spans="14:14">
      <c r="N708" s="249"/>
    </row>
    <row r="709" spans="14:14">
      <c r="N709" s="249"/>
    </row>
    <row r="710" spans="14:14">
      <c r="N710" s="249"/>
    </row>
    <row r="711" spans="14:14">
      <c r="N711" s="249"/>
    </row>
    <row r="712" spans="14:14">
      <c r="N712" s="249"/>
    </row>
    <row r="713" spans="14:14">
      <c r="N713" s="249"/>
    </row>
    <row r="714" spans="14:14">
      <c r="N714" s="249"/>
    </row>
    <row r="715" spans="14:14">
      <c r="N715" s="249"/>
    </row>
    <row r="716" spans="14:14">
      <c r="N716" s="249"/>
    </row>
    <row r="717" spans="14:14">
      <c r="N717" s="249"/>
    </row>
    <row r="718" spans="14:14">
      <c r="N718" s="249"/>
    </row>
    <row r="719" spans="14:14">
      <c r="N719" s="249"/>
    </row>
    <row r="720" spans="14:14">
      <c r="N720" s="249"/>
    </row>
    <row r="721" spans="14:14">
      <c r="N721" s="249"/>
    </row>
    <row r="722" spans="14:14">
      <c r="N722" s="249"/>
    </row>
    <row r="723" spans="14:14">
      <c r="N723" s="249"/>
    </row>
    <row r="724" spans="14:14">
      <c r="N724" s="249"/>
    </row>
    <row r="725" spans="14:14">
      <c r="N725" s="249"/>
    </row>
    <row r="726" spans="14:14">
      <c r="N726" s="249"/>
    </row>
    <row r="727" spans="14:14">
      <c r="N727" s="249"/>
    </row>
    <row r="728" spans="14:14">
      <c r="N728" s="249"/>
    </row>
    <row r="729" spans="14:14">
      <c r="N729" s="249"/>
    </row>
    <row r="730" spans="14:14">
      <c r="N730" s="249"/>
    </row>
    <row r="731" spans="14:14">
      <c r="N731" s="249"/>
    </row>
    <row r="732" spans="14:14">
      <c r="N732" s="249"/>
    </row>
    <row r="733" spans="14:14">
      <c r="N733" s="249"/>
    </row>
    <row r="734" spans="14:14">
      <c r="N734" s="249"/>
    </row>
    <row r="735" spans="14:14">
      <c r="N735" s="249"/>
    </row>
    <row r="736" spans="14:14">
      <c r="N736" s="249"/>
    </row>
    <row r="737" spans="14:14">
      <c r="N737" s="249"/>
    </row>
    <row r="738" spans="14:14">
      <c r="N738" s="249"/>
    </row>
    <row r="739" spans="14:14">
      <c r="N739" s="249"/>
    </row>
    <row r="740" spans="14:14">
      <c r="N740" s="249"/>
    </row>
    <row r="741" spans="14:14">
      <c r="N741" s="249"/>
    </row>
    <row r="742" spans="14:14">
      <c r="N742" s="249"/>
    </row>
    <row r="743" spans="14:14">
      <c r="N743" s="249"/>
    </row>
    <row r="744" spans="14:14">
      <c r="N744" s="249"/>
    </row>
    <row r="745" spans="14:14">
      <c r="N745" s="249"/>
    </row>
    <row r="746" spans="14:14">
      <c r="N746" s="249"/>
    </row>
    <row r="747" spans="14:14">
      <c r="N747" s="249"/>
    </row>
    <row r="748" spans="14:14">
      <c r="N748" s="249"/>
    </row>
    <row r="749" spans="14:14">
      <c r="N749" s="249"/>
    </row>
    <row r="750" spans="14:14">
      <c r="N750" s="249"/>
    </row>
    <row r="751" spans="14:14">
      <c r="N751" s="249"/>
    </row>
    <row r="752" spans="14:14">
      <c r="N752" s="249"/>
    </row>
    <row r="753" spans="14:14">
      <c r="N753" s="249"/>
    </row>
    <row r="754" spans="14:14">
      <c r="N754" s="249"/>
    </row>
    <row r="755" spans="14:14">
      <c r="N755" s="249"/>
    </row>
    <row r="756" spans="14:14">
      <c r="N756" s="249"/>
    </row>
    <row r="757" spans="14:14">
      <c r="N757" s="249"/>
    </row>
    <row r="758" spans="14:14">
      <c r="N758" s="249"/>
    </row>
    <row r="759" spans="14:14">
      <c r="N759" s="249"/>
    </row>
  </sheetData>
  <mergeCells count="68">
    <mergeCell ref="A642:A656"/>
    <mergeCell ref="A657:A671"/>
    <mergeCell ref="B657:C671"/>
    <mergeCell ref="D673:I675"/>
    <mergeCell ref="R673:U675"/>
    <mergeCell ref="C6:W6"/>
    <mergeCell ref="C7:W7"/>
    <mergeCell ref="C8:W8"/>
    <mergeCell ref="A456:A641"/>
    <mergeCell ref="W13:W14"/>
    <mergeCell ref="A15:W15"/>
    <mergeCell ref="A16:C18"/>
    <mergeCell ref="A19:C21"/>
    <mergeCell ref="V13:V14"/>
    <mergeCell ref="A22:A207"/>
    <mergeCell ref="C133:C147"/>
    <mergeCell ref="F13:U13"/>
    <mergeCell ref="C88:C102"/>
    <mergeCell ref="A13:C14"/>
    <mergeCell ref="D13:D14"/>
    <mergeCell ref="E13:E14"/>
    <mergeCell ref="A208:A252"/>
    <mergeCell ref="B520:C534"/>
    <mergeCell ref="B550:C566"/>
    <mergeCell ref="B567:C581"/>
    <mergeCell ref="B597:C611"/>
    <mergeCell ref="B238:C252"/>
    <mergeCell ref="B409:C423"/>
    <mergeCell ref="B424:C438"/>
    <mergeCell ref="B456:C472"/>
    <mergeCell ref="B473:C489"/>
    <mergeCell ref="A439:A455"/>
    <mergeCell ref="B439:C455"/>
    <mergeCell ref="B505:C519"/>
    <mergeCell ref="B535:C549"/>
    <mergeCell ref="B582:C596"/>
    <mergeCell ref="B627:C641"/>
    <mergeCell ref="A253:A269"/>
    <mergeCell ref="A394:A438"/>
    <mergeCell ref="A332:A393"/>
    <mergeCell ref="B302:C316"/>
    <mergeCell ref="A270:A331"/>
    <mergeCell ref="B253:C269"/>
    <mergeCell ref="B270:C286"/>
    <mergeCell ref="B287:C301"/>
    <mergeCell ref="B317:C331"/>
    <mergeCell ref="B332:C348"/>
    <mergeCell ref="B349:C363"/>
    <mergeCell ref="B379:C393"/>
    <mergeCell ref="B394:C408"/>
    <mergeCell ref="B364:C378"/>
    <mergeCell ref="B490:C504"/>
    <mergeCell ref="B612:C626"/>
    <mergeCell ref="B642:C656"/>
    <mergeCell ref="B22:C38"/>
    <mergeCell ref="B39:C55"/>
    <mergeCell ref="B56:C72"/>
    <mergeCell ref="B73:B117"/>
    <mergeCell ref="B118:B162"/>
    <mergeCell ref="C73:C87"/>
    <mergeCell ref="C103:C117"/>
    <mergeCell ref="C118:C132"/>
    <mergeCell ref="C148:C162"/>
    <mergeCell ref="B163:C177"/>
    <mergeCell ref="B178:C192"/>
    <mergeCell ref="B193:C207"/>
    <mergeCell ref="B208:C222"/>
    <mergeCell ref="B223:C237"/>
  </mergeCells>
  <pageMargins left="0" right="0" top="0.23622047244094491" bottom="0.15748031496062992" header="0.31496062992125984" footer="0.31496062992125984"/>
  <pageSetup paperSize="9" scale="47" fitToHeight="0" orientation="landscape" r:id="rId1"/>
  <rowBreaks count="7" manualBreakCount="7">
    <brk id="132" max="22" man="1"/>
    <brk id="252" max="22" man="1"/>
    <brk id="301" max="22" man="1"/>
    <brk id="423" max="22" man="1"/>
    <brk id="549" max="22" man="1"/>
    <brk id="566" max="22" man="1"/>
    <brk id="596" max="22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C000"/>
  </sheetPr>
  <dimension ref="A1:AB1891"/>
  <sheetViews>
    <sheetView view="pageBreakPreview" zoomScale="70" zoomScaleNormal="70" zoomScaleSheetLayoutView="70" workbookViewId="0">
      <pane xSplit="5" ySplit="15" topLeftCell="J573" activePane="bottomRight" state="frozen"/>
      <selection activeCell="C5" sqref="C5:W5"/>
      <selection pane="topRight" activeCell="C5" sqref="C5:W5"/>
      <selection pane="bottomLeft" activeCell="C5" sqref="C5:W5"/>
      <selection pane="bottomRight" activeCell="N602" sqref="N602"/>
    </sheetView>
  </sheetViews>
  <sheetFormatPr defaultColWidth="9.33203125" defaultRowHeight="12.55"/>
  <cols>
    <col min="1" max="1" width="10.44140625" style="249" customWidth="1"/>
    <col min="2" max="2" width="6.44140625" style="249" customWidth="1"/>
    <col min="3" max="3" width="7" style="155" customWidth="1"/>
    <col min="4" max="4" width="33.5546875" style="155" customWidth="1"/>
    <col min="5" max="5" width="13.6640625" style="1" customWidth="1"/>
    <col min="6" max="6" width="12.44140625" style="15" customWidth="1"/>
    <col min="7" max="11" width="11.44140625" style="15" customWidth="1"/>
    <col min="12" max="12" width="12" style="16" customWidth="1"/>
    <col min="13" max="13" width="11.44140625" style="16" customWidth="1"/>
    <col min="14" max="14" width="10.44140625" style="17" customWidth="1"/>
    <col min="15" max="17" width="11.44140625" style="15" customWidth="1"/>
    <col min="18" max="18" width="13" style="15" customWidth="1"/>
    <col min="19" max="19" width="13.33203125" style="15" customWidth="1"/>
    <col min="20" max="20" width="13.44140625" style="16" customWidth="1"/>
    <col min="21" max="21" width="13.5546875" style="16" customWidth="1"/>
    <col min="22" max="22" width="14.6640625" style="78" customWidth="1"/>
    <col min="23" max="23" width="14.6640625" style="15" customWidth="1"/>
    <col min="24" max="24" width="14.6640625" style="13" customWidth="1"/>
    <col min="25" max="25" width="12" style="13" bestFit="1" customWidth="1"/>
    <col min="26" max="16384" width="9.33203125" style="13"/>
  </cols>
  <sheetData>
    <row r="1" spans="1:24" s="3" customFormat="1" ht="34.450000000000003" customHeight="1">
      <c r="A1" s="545" t="s">
        <v>49</v>
      </c>
      <c r="B1" s="155"/>
      <c r="C1" s="155"/>
      <c r="D1" s="155"/>
      <c r="E1" s="519" t="s">
        <v>131</v>
      </c>
      <c r="F1" s="472">
        <v>11129</v>
      </c>
      <c r="G1" s="472">
        <v>315865</v>
      </c>
      <c r="H1" s="472">
        <v>367718</v>
      </c>
      <c r="I1" s="472">
        <v>245716</v>
      </c>
      <c r="J1" s="472">
        <v>107472</v>
      </c>
      <c r="K1" s="472">
        <v>102606</v>
      </c>
      <c r="L1" s="472"/>
      <c r="M1" s="472"/>
      <c r="N1" s="472">
        <v>52285</v>
      </c>
      <c r="O1" s="472">
        <v>34756</v>
      </c>
      <c r="P1" s="472">
        <v>34701</v>
      </c>
      <c r="Q1" s="472">
        <v>60061</v>
      </c>
      <c r="R1" s="472">
        <v>79639</v>
      </c>
      <c r="S1" s="472">
        <v>918965</v>
      </c>
      <c r="T1" s="472">
        <v>2330913</v>
      </c>
      <c r="U1" s="329">
        <v>2330.913</v>
      </c>
      <c r="V1" s="681" t="s">
        <v>3</v>
      </c>
      <c r="W1" s="681"/>
    </row>
    <row r="2" spans="1:24" s="3" customFormat="1" ht="17.7" customHeight="1">
      <c r="A2" s="155"/>
      <c r="B2" s="155"/>
      <c r="C2" s="155"/>
      <c r="D2" s="155"/>
      <c r="E2" s="385"/>
      <c r="F2" s="476">
        <f>F1/1000</f>
        <v>11.129</v>
      </c>
      <c r="G2" s="476">
        <f t="shared" ref="G2:K2" si="0">G1/1000</f>
        <v>315.86500000000001</v>
      </c>
      <c r="H2" s="476">
        <f t="shared" si="0"/>
        <v>367.71800000000002</v>
      </c>
      <c r="I2" s="476">
        <f t="shared" si="0"/>
        <v>245.71600000000001</v>
      </c>
      <c r="J2" s="476">
        <f t="shared" si="0"/>
        <v>107.47199999999999</v>
      </c>
      <c r="K2" s="476">
        <f t="shared" si="0"/>
        <v>102.60599999999999</v>
      </c>
      <c r="L2" s="476"/>
      <c r="M2" s="476"/>
      <c r="N2" s="476">
        <f>N1/1000</f>
        <v>52.284999999999997</v>
      </c>
      <c r="O2" s="476">
        <f t="shared" ref="O2:S2" si="1">O1/1000</f>
        <v>34.756</v>
      </c>
      <c r="P2" s="476">
        <f t="shared" si="1"/>
        <v>34.701000000000001</v>
      </c>
      <c r="Q2" s="476">
        <f t="shared" si="1"/>
        <v>60.061</v>
      </c>
      <c r="R2" s="476">
        <f t="shared" si="1"/>
        <v>79.638999999999996</v>
      </c>
      <c r="S2" s="476">
        <f t="shared" si="1"/>
        <v>918.96500000000003</v>
      </c>
      <c r="T2" s="479">
        <f>SUM(F2:S2)</f>
        <v>2330.913</v>
      </c>
      <c r="U2" s="329">
        <f>U1-T1</f>
        <v>-2328582.0869999998</v>
      </c>
      <c r="V2" s="77"/>
      <c r="W2" s="1"/>
    </row>
    <row r="3" spans="1:24" s="3" customFormat="1" ht="17.7" customHeight="1">
      <c r="A3" s="155"/>
      <c r="B3" s="155"/>
      <c r="C3" s="155"/>
      <c r="D3" s="155"/>
      <c r="E3" s="385"/>
      <c r="F3" s="477">
        <f>F2-F17-F18</f>
        <v>0</v>
      </c>
      <c r="G3" s="477">
        <f t="shared" ref="G3:K3" si="2">G2-G17-G18</f>
        <v>0</v>
      </c>
      <c r="H3" s="477">
        <f t="shared" si="2"/>
        <v>0</v>
      </c>
      <c r="I3" s="477">
        <f t="shared" si="2"/>
        <v>0</v>
      </c>
      <c r="J3" s="477">
        <f t="shared" si="2"/>
        <v>0</v>
      </c>
      <c r="K3" s="477">
        <f t="shared" si="2"/>
        <v>0</v>
      </c>
      <c r="L3" s="477"/>
      <c r="M3" s="477"/>
      <c r="N3" s="477">
        <f>N2-N17-N18</f>
        <v>0</v>
      </c>
      <c r="O3" s="477">
        <f t="shared" ref="O3" si="3">O2-O17-O18</f>
        <v>0</v>
      </c>
      <c r="P3" s="477">
        <f t="shared" ref="P3" si="4">P2-P17-P18</f>
        <v>0</v>
      </c>
      <c r="Q3" s="477">
        <f t="shared" ref="Q3" si="5">Q2-Q17-Q18</f>
        <v>0</v>
      </c>
      <c r="R3" s="477">
        <f t="shared" ref="R3" si="6">R2-R17-R18</f>
        <v>0</v>
      </c>
      <c r="S3" s="477">
        <f t="shared" ref="S3" si="7">S2-S17-S18</f>
        <v>0</v>
      </c>
      <c r="T3" s="478">
        <f>SUM(F3:S3)</f>
        <v>0</v>
      </c>
      <c r="U3" s="329">
        <f>U1-V16</f>
        <v>0</v>
      </c>
      <c r="V3" s="77"/>
      <c r="W3" s="1"/>
    </row>
    <row r="4" spans="1:24" s="3" customFormat="1" ht="17.7" customHeight="1">
      <c r="A4" s="155"/>
      <c r="B4" s="155"/>
      <c r="C4" s="434"/>
      <c r="D4" s="434"/>
      <c r="E4" s="427"/>
      <c r="F4" s="427"/>
      <c r="G4" s="427"/>
      <c r="H4" s="427"/>
      <c r="I4" s="427"/>
      <c r="J4" s="5"/>
      <c r="K4" s="5"/>
      <c r="L4" s="5"/>
      <c r="M4" s="1"/>
      <c r="N4" s="1"/>
      <c r="O4" s="1"/>
      <c r="P4" s="1"/>
      <c r="Q4" s="1"/>
      <c r="R4" s="1"/>
      <c r="S4" s="1"/>
      <c r="T4" s="1"/>
      <c r="U4" s="1"/>
      <c r="V4" s="77"/>
      <c r="W4" s="1"/>
    </row>
    <row r="5" spans="1:24" s="3" customFormat="1" ht="17.7" customHeight="1">
      <c r="A5" s="155"/>
      <c r="B5" s="155"/>
      <c r="C5" s="516"/>
      <c r="D5" s="516"/>
      <c r="E5" s="427"/>
      <c r="F5" s="427"/>
      <c r="G5" s="427"/>
      <c r="H5" s="427"/>
      <c r="I5" s="427"/>
      <c r="J5" s="5"/>
      <c r="K5" s="5"/>
      <c r="L5" s="5"/>
      <c r="M5" s="1"/>
      <c r="N5" s="1"/>
      <c r="O5" s="1"/>
      <c r="P5" s="1"/>
      <c r="Q5" s="1"/>
      <c r="R5" s="1"/>
      <c r="S5" s="1"/>
      <c r="T5" s="1"/>
      <c r="U5" s="1"/>
      <c r="V5" s="77"/>
      <c r="W5" s="1"/>
    </row>
    <row r="6" spans="1:24" s="7" customFormat="1" ht="17.55">
      <c r="A6" s="162"/>
      <c r="B6" s="162"/>
      <c r="C6" s="680" t="s">
        <v>85</v>
      </c>
      <c r="D6" s="680"/>
      <c r="E6" s="680"/>
      <c r="F6" s="680"/>
      <c r="G6" s="680"/>
      <c r="H6" s="680"/>
      <c r="I6" s="680"/>
      <c r="J6" s="680"/>
      <c r="K6" s="680"/>
      <c r="L6" s="680"/>
      <c r="M6" s="680"/>
      <c r="N6" s="680"/>
      <c r="O6" s="680"/>
      <c r="P6" s="680"/>
      <c r="Q6" s="680"/>
      <c r="R6" s="680"/>
      <c r="S6" s="680"/>
      <c r="T6" s="680"/>
      <c r="U6" s="680"/>
      <c r="V6" s="680"/>
      <c r="W6" s="680"/>
    </row>
    <row r="7" spans="1:24" s="7" customFormat="1" ht="15.65">
      <c r="A7" s="162"/>
      <c r="B7" s="162"/>
      <c r="C7" s="674" t="s">
        <v>47</v>
      </c>
      <c r="D7" s="674"/>
      <c r="E7" s="674"/>
      <c r="F7" s="674"/>
      <c r="G7" s="674"/>
      <c r="H7" s="674"/>
      <c r="I7" s="674"/>
      <c r="J7" s="674"/>
      <c r="K7" s="674"/>
      <c r="L7" s="674"/>
      <c r="M7" s="674"/>
      <c r="N7" s="674"/>
      <c r="O7" s="674"/>
      <c r="P7" s="674"/>
      <c r="Q7" s="674"/>
      <c r="R7" s="674"/>
      <c r="S7" s="674"/>
      <c r="T7" s="674"/>
      <c r="U7" s="674"/>
      <c r="V7" s="674"/>
      <c r="W7" s="674"/>
    </row>
    <row r="8" spans="1:24" s="7" customFormat="1" ht="15.65">
      <c r="A8" s="162"/>
      <c r="B8" s="162"/>
      <c r="C8" s="613" t="str">
        <f>серпень!C8</f>
        <v>станом на 01.09.2025</v>
      </c>
      <c r="D8" s="613"/>
      <c r="E8" s="613"/>
      <c r="F8" s="613"/>
      <c r="G8" s="613"/>
      <c r="H8" s="613"/>
      <c r="I8" s="613"/>
      <c r="J8" s="613"/>
      <c r="K8" s="613"/>
      <c r="L8" s="613"/>
      <c r="M8" s="613"/>
      <c r="N8" s="613"/>
      <c r="O8" s="613"/>
      <c r="P8" s="613"/>
      <c r="Q8" s="613"/>
      <c r="R8" s="613"/>
      <c r="S8" s="613"/>
      <c r="T8" s="613"/>
      <c r="U8" s="613"/>
      <c r="V8" s="613"/>
      <c r="W8" s="613"/>
    </row>
    <row r="9" spans="1:24" s="3" customFormat="1" ht="15.65">
      <c r="A9" s="155"/>
      <c r="B9" s="155"/>
      <c r="C9" s="155"/>
      <c r="D9" s="164"/>
      <c r="E9" s="1"/>
      <c r="F9" s="1"/>
      <c r="G9" s="1"/>
      <c r="H9" s="1"/>
      <c r="I9" s="1"/>
      <c r="J9" s="1"/>
      <c r="K9" s="1"/>
      <c r="L9" s="1"/>
      <c r="M9" s="1"/>
      <c r="N9" s="1"/>
      <c r="O9" s="290"/>
      <c r="P9" s="1"/>
      <c r="Q9" s="1"/>
      <c r="R9" s="1"/>
      <c r="S9" s="1"/>
      <c r="T9" s="1"/>
      <c r="U9" s="1"/>
      <c r="V9" s="79"/>
      <c r="W9" s="1"/>
    </row>
    <row r="10" spans="1:24" s="379" customFormat="1" ht="17.100000000000001" customHeight="1">
      <c r="A10" s="372"/>
      <c r="B10" s="372"/>
      <c r="C10" s="372"/>
      <c r="D10" s="378"/>
      <c r="E10" s="529" t="s">
        <v>126</v>
      </c>
      <c r="F10" s="373">
        <v>0</v>
      </c>
      <c r="G10" s="373">
        <v>263468.71000000002</v>
      </c>
      <c r="H10" s="373">
        <v>429103.68</v>
      </c>
      <c r="I10" s="373">
        <v>246423.38</v>
      </c>
      <c r="J10" s="373">
        <v>107133.01</v>
      </c>
      <c r="K10" s="373">
        <v>75920.72</v>
      </c>
      <c r="L10" s="373"/>
      <c r="M10" s="373"/>
      <c r="N10" s="373">
        <v>80671.25</v>
      </c>
      <c r="O10" s="373">
        <v>34644.03</v>
      </c>
      <c r="P10" s="373"/>
      <c r="Q10" s="373"/>
      <c r="R10" s="373"/>
      <c r="S10" s="373"/>
      <c r="T10" s="373"/>
      <c r="U10" s="373"/>
      <c r="V10" s="395"/>
      <c r="W10" s="373"/>
    </row>
    <row r="11" spans="1:24" s="3" customFormat="1" ht="17.100000000000001" customHeight="1">
      <c r="A11" s="155"/>
      <c r="B11" s="155"/>
      <c r="C11" s="155"/>
      <c r="D11" s="164"/>
      <c r="E11" s="1"/>
      <c r="F11" s="81">
        <f>F10/1000</f>
        <v>0</v>
      </c>
      <c r="G11" s="81">
        <f t="shared" ref="G11:K11" si="8">G10/1000</f>
        <v>263.46899999999999</v>
      </c>
      <c r="H11" s="81">
        <f t="shared" si="8"/>
        <v>429.10399999999998</v>
      </c>
      <c r="I11" s="81">
        <f t="shared" si="8"/>
        <v>246.423</v>
      </c>
      <c r="J11" s="81">
        <f t="shared" si="8"/>
        <v>107.133</v>
      </c>
      <c r="K11" s="81">
        <f t="shared" si="8"/>
        <v>75.921000000000006</v>
      </c>
      <c r="L11" s="1"/>
      <c r="M11" s="1"/>
      <c r="N11" s="81">
        <f>N10/1000</f>
        <v>80.671000000000006</v>
      </c>
      <c r="O11" s="81">
        <f t="shared" ref="O11:S11" si="9">O10/1000</f>
        <v>34.643999999999998</v>
      </c>
      <c r="P11" s="81">
        <f t="shared" si="9"/>
        <v>0</v>
      </c>
      <c r="Q11" s="81">
        <f t="shared" si="9"/>
        <v>0</v>
      </c>
      <c r="R11" s="81">
        <f t="shared" si="9"/>
        <v>0</v>
      </c>
      <c r="S11" s="81">
        <f t="shared" si="9"/>
        <v>0</v>
      </c>
      <c r="T11" s="81"/>
      <c r="U11" s="1"/>
      <c r="V11" s="77"/>
      <c r="W11" s="1"/>
    </row>
    <row r="12" spans="1:24" s="36" customFormat="1" ht="17.100000000000001" customHeight="1">
      <c r="A12" s="525"/>
      <c r="B12" s="525"/>
      <c r="C12" s="525"/>
      <c r="D12" s="526"/>
      <c r="E12" s="527"/>
      <c r="F12" s="527">
        <f t="shared" ref="F12:K12" si="10">F11-F19</f>
        <v>0</v>
      </c>
      <c r="G12" s="527">
        <f t="shared" si="10"/>
        <v>0</v>
      </c>
      <c r="H12" s="527">
        <f t="shared" si="10"/>
        <v>0</v>
      </c>
      <c r="I12" s="527">
        <f t="shared" si="10"/>
        <v>0</v>
      </c>
      <c r="J12" s="527">
        <f t="shared" si="10"/>
        <v>0</v>
      </c>
      <c r="K12" s="527">
        <f t="shared" si="10"/>
        <v>1E-3</v>
      </c>
      <c r="L12" s="527"/>
      <c r="M12" s="527"/>
      <c r="N12" s="527">
        <f t="shared" ref="N12:S12" si="11">N11-N19</f>
        <v>0</v>
      </c>
      <c r="O12" s="527">
        <f t="shared" si="11"/>
        <v>0</v>
      </c>
      <c r="P12" s="527">
        <f t="shared" si="11"/>
        <v>-51.594000000000001</v>
      </c>
      <c r="Q12" s="527">
        <f t="shared" si="11"/>
        <v>-44.942</v>
      </c>
      <c r="R12" s="527">
        <f t="shared" si="11"/>
        <v>-84.355000000000004</v>
      </c>
      <c r="S12" s="527">
        <f t="shared" si="11"/>
        <v>-908.03899999999999</v>
      </c>
      <c r="T12" s="527">
        <f>SUM(F12:S12)</f>
        <v>-1088.9290000000001</v>
      </c>
      <c r="U12" s="527"/>
      <c r="V12" s="528"/>
      <c r="W12" s="527"/>
    </row>
    <row r="13" spans="1:24" s="3" customFormat="1" ht="39.450000000000003" customHeight="1">
      <c r="A13" s="668" t="s">
        <v>5</v>
      </c>
      <c r="B13" s="668"/>
      <c r="C13" s="668"/>
      <c r="D13" s="668"/>
      <c r="E13" s="648" t="str">
        <f>серпень!E13</f>
        <v>оплата в січні 2025 за грудень 2024 року/в грудні 2024за січень 2025</v>
      </c>
      <c r="F13" s="675" t="s">
        <v>6</v>
      </c>
      <c r="G13" s="675"/>
      <c r="H13" s="675"/>
      <c r="I13" s="675"/>
      <c r="J13" s="675"/>
      <c r="K13" s="675"/>
      <c r="L13" s="675"/>
      <c r="M13" s="675"/>
      <c r="N13" s="675"/>
      <c r="O13" s="675"/>
      <c r="P13" s="675"/>
      <c r="Q13" s="675"/>
      <c r="R13" s="675"/>
      <c r="S13" s="675"/>
      <c r="T13" s="675"/>
      <c r="U13" s="675"/>
      <c r="V13" s="676" t="s">
        <v>7</v>
      </c>
      <c r="W13" s="676" t="s">
        <v>8</v>
      </c>
    </row>
    <row r="14" spans="1:24" s="3" customFormat="1" ht="51.05" customHeight="1">
      <c r="A14" s="668"/>
      <c r="B14" s="668"/>
      <c r="C14" s="668"/>
      <c r="D14" s="672"/>
      <c r="E14" s="649"/>
      <c r="F14" s="8" t="s">
        <v>9</v>
      </c>
      <c r="G14" s="8" t="s">
        <v>10</v>
      </c>
      <c r="H14" s="8" t="s">
        <v>11</v>
      </c>
      <c r="I14" s="8" t="s">
        <v>12</v>
      </c>
      <c r="J14" s="8" t="s">
        <v>13</v>
      </c>
      <c r="K14" s="8" t="s">
        <v>14</v>
      </c>
      <c r="L14" s="9" t="s">
        <v>15</v>
      </c>
      <c r="M14" s="9" t="s">
        <v>16</v>
      </c>
      <c r="N14" s="8" t="s">
        <v>17</v>
      </c>
      <c r="O14" s="8" t="s">
        <v>18</v>
      </c>
      <c r="P14" s="8" t="s">
        <v>19</v>
      </c>
      <c r="Q14" s="8" t="s">
        <v>20</v>
      </c>
      <c r="R14" s="8" t="s">
        <v>21</v>
      </c>
      <c r="S14" s="8" t="s">
        <v>22</v>
      </c>
      <c r="T14" s="9" t="s">
        <v>23</v>
      </c>
      <c r="U14" s="9" t="s">
        <v>2</v>
      </c>
      <c r="V14" s="676"/>
      <c r="W14" s="676"/>
    </row>
    <row r="15" spans="1:24" s="18" customFormat="1" ht="18.649999999999999" customHeight="1">
      <c r="A15" s="677" t="s">
        <v>94</v>
      </c>
      <c r="B15" s="678"/>
      <c r="C15" s="678"/>
      <c r="D15" s="678"/>
      <c r="E15" s="678"/>
      <c r="F15" s="678"/>
      <c r="G15" s="678"/>
      <c r="H15" s="678"/>
      <c r="I15" s="678"/>
      <c r="J15" s="678"/>
      <c r="K15" s="678"/>
      <c r="L15" s="678"/>
      <c r="M15" s="678"/>
      <c r="N15" s="678"/>
      <c r="O15" s="678"/>
      <c r="P15" s="678"/>
      <c r="Q15" s="678"/>
      <c r="R15" s="678"/>
      <c r="S15" s="678"/>
      <c r="T15" s="678"/>
      <c r="U15" s="678"/>
      <c r="V15" s="678"/>
      <c r="W15" s="679"/>
      <c r="X15" s="37"/>
    </row>
    <row r="16" spans="1:24" s="173" customFormat="1" ht="18" customHeight="1">
      <c r="A16" s="621">
        <v>2270</v>
      </c>
      <c r="B16" s="622"/>
      <c r="C16" s="623"/>
      <c r="D16" s="170" t="s">
        <v>0</v>
      </c>
      <c r="E16" s="171"/>
      <c r="F16" s="171">
        <f>F28+F336+F475+F522</f>
        <v>325.98899999999998</v>
      </c>
      <c r="G16" s="171">
        <f t="shared" ref="G16:K16" si="12">G28+G336+G475+G522</f>
        <v>369.125</v>
      </c>
      <c r="H16" s="171">
        <f t="shared" si="12"/>
        <v>243.89</v>
      </c>
      <c r="I16" s="171">
        <f t="shared" si="12"/>
        <v>107.13500000000001</v>
      </c>
      <c r="J16" s="171">
        <f t="shared" si="12"/>
        <v>104.041</v>
      </c>
      <c r="K16" s="171">
        <f t="shared" si="12"/>
        <v>52.552</v>
      </c>
      <c r="L16" s="171">
        <f t="shared" ref="L16:L18" si="13">SUM(F16:K16)</f>
        <v>1202.732</v>
      </c>
      <c r="M16" s="171">
        <f t="shared" ref="M16:M18" si="14">L16/6</f>
        <v>200.45500000000001</v>
      </c>
      <c r="N16" s="171">
        <f>N28+N336+N475+N522</f>
        <v>34.642000000000003</v>
      </c>
      <c r="O16" s="171">
        <f t="shared" ref="O16:S16" si="15">O28+O336+O475+O522</f>
        <v>38.412999999999997</v>
      </c>
      <c r="P16" s="171">
        <f t="shared" si="15"/>
        <v>46.777999999999999</v>
      </c>
      <c r="Q16" s="171">
        <f t="shared" si="15"/>
        <v>85.302000000000007</v>
      </c>
      <c r="R16" s="171">
        <f t="shared" si="15"/>
        <v>380.74299999999999</v>
      </c>
      <c r="S16" s="171">
        <f t="shared" si="15"/>
        <v>537.68399999999997</v>
      </c>
      <c r="T16" s="171">
        <f t="shared" ref="T16:T18" si="16">SUM(N16:S16)</f>
        <v>1123.5619999999999</v>
      </c>
      <c r="U16" s="171">
        <f>T16+L16</f>
        <v>2326.2939999999999</v>
      </c>
      <c r="V16" s="171">
        <f t="shared" ref="V16" si="17">V28+V336+V475+V522</f>
        <v>2330.913</v>
      </c>
      <c r="W16" s="171">
        <f t="shared" ref="W16:W18" si="18">V16-U16</f>
        <v>4.6189999999999998</v>
      </c>
      <c r="X16" s="172"/>
    </row>
    <row r="17" spans="1:25" s="173" customFormat="1" ht="18" customHeight="1">
      <c r="A17" s="624"/>
      <c r="B17" s="625"/>
      <c r="C17" s="626"/>
      <c r="D17" s="174" t="s">
        <v>55</v>
      </c>
      <c r="E17" s="171"/>
      <c r="F17" s="171">
        <f t="shared" ref="F17" si="19">F29+F337+F476+F540</f>
        <v>0</v>
      </c>
      <c r="G17" s="171">
        <f t="shared" ref="G17:K17" si="20">G29+G337+G476+G540</f>
        <v>0</v>
      </c>
      <c r="H17" s="171">
        <f t="shared" si="20"/>
        <v>0</v>
      </c>
      <c r="I17" s="171">
        <f t="shared" si="20"/>
        <v>0</v>
      </c>
      <c r="J17" s="171">
        <f t="shared" si="20"/>
        <v>0</v>
      </c>
      <c r="K17" s="171">
        <f t="shared" si="20"/>
        <v>0</v>
      </c>
      <c r="L17" s="171">
        <f t="shared" si="13"/>
        <v>0</v>
      </c>
      <c r="M17" s="171">
        <f>L17/6</f>
        <v>0</v>
      </c>
      <c r="N17" s="171">
        <f t="shared" ref="N17:S17" si="21">N29+N337+N476+N540</f>
        <v>0</v>
      </c>
      <c r="O17" s="171">
        <f t="shared" si="21"/>
        <v>0</v>
      </c>
      <c r="P17" s="171">
        <f t="shared" si="21"/>
        <v>0</v>
      </c>
      <c r="Q17" s="171">
        <f t="shared" si="21"/>
        <v>0</v>
      </c>
      <c r="R17" s="171">
        <f t="shared" si="21"/>
        <v>0</v>
      </c>
      <c r="S17" s="171">
        <f t="shared" si="21"/>
        <v>0</v>
      </c>
      <c r="T17" s="171">
        <f t="shared" si="16"/>
        <v>0</v>
      </c>
      <c r="U17" s="171">
        <f>T17+L17</f>
        <v>0</v>
      </c>
      <c r="V17" s="171">
        <f t="shared" ref="V17" si="22">V29+V337+V476+V540</f>
        <v>0</v>
      </c>
      <c r="W17" s="171">
        <f t="shared" si="18"/>
        <v>0</v>
      </c>
      <c r="X17" s="172"/>
    </row>
    <row r="18" spans="1:25" s="173" customFormat="1" ht="18" customHeight="1">
      <c r="A18" s="627"/>
      <c r="B18" s="628"/>
      <c r="C18" s="629"/>
      <c r="D18" s="170" t="s">
        <v>24</v>
      </c>
      <c r="E18" s="171"/>
      <c r="F18" s="171">
        <f>F30+F338+F477+F524</f>
        <v>11.129</v>
      </c>
      <c r="G18" s="171">
        <f t="shared" ref="G18:K18" si="23">G30+G338+G477+G524</f>
        <v>315.86500000000001</v>
      </c>
      <c r="H18" s="171">
        <f t="shared" si="23"/>
        <v>367.71800000000002</v>
      </c>
      <c r="I18" s="171">
        <f t="shared" si="23"/>
        <v>245.71600000000001</v>
      </c>
      <c r="J18" s="171">
        <f t="shared" si="23"/>
        <v>107.47199999999999</v>
      </c>
      <c r="K18" s="171">
        <f t="shared" si="23"/>
        <v>102.60599999999999</v>
      </c>
      <c r="L18" s="171">
        <f t="shared" si="13"/>
        <v>1150.5060000000001</v>
      </c>
      <c r="M18" s="171">
        <f t="shared" si="14"/>
        <v>191.751</v>
      </c>
      <c r="N18" s="171">
        <f>N30+N338+N477+N524</f>
        <v>52.284999999999997</v>
      </c>
      <c r="O18" s="171">
        <f t="shared" ref="O18:S18" si="24">O30+O338+O477+O524</f>
        <v>34.756</v>
      </c>
      <c r="P18" s="171">
        <f t="shared" si="24"/>
        <v>34.701000000000001</v>
      </c>
      <c r="Q18" s="171">
        <f t="shared" si="24"/>
        <v>60.061</v>
      </c>
      <c r="R18" s="171">
        <f t="shared" si="24"/>
        <v>79.638999999999996</v>
      </c>
      <c r="S18" s="171">
        <f t="shared" si="24"/>
        <v>918.96500000000003</v>
      </c>
      <c r="T18" s="171">
        <f t="shared" si="16"/>
        <v>1180.4069999999999</v>
      </c>
      <c r="U18" s="171">
        <f>T18+L18</f>
        <v>2330.913</v>
      </c>
      <c r="V18" s="171">
        <f t="shared" ref="V18" si="25">V30+V338+V477+V524</f>
        <v>2330.913</v>
      </c>
      <c r="W18" s="171">
        <f t="shared" si="18"/>
        <v>0</v>
      </c>
      <c r="X18" s="172"/>
    </row>
    <row r="19" spans="1:25" s="116" customFormat="1" ht="18" customHeight="1">
      <c r="A19" s="630">
        <v>2270</v>
      </c>
      <c r="B19" s="631"/>
      <c r="C19" s="632"/>
      <c r="D19" s="115" t="s">
        <v>25</v>
      </c>
      <c r="E19" s="62">
        <f t="shared" ref="E19:K19" si="26">E33+E341+E480+E527</f>
        <v>0</v>
      </c>
      <c r="F19" s="62">
        <f>F33+F341+F480+F527</f>
        <v>0</v>
      </c>
      <c r="G19" s="62">
        <f t="shared" si="26"/>
        <v>263.46899999999999</v>
      </c>
      <c r="H19" s="62">
        <f t="shared" si="26"/>
        <v>429.10399999999998</v>
      </c>
      <c r="I19" s="62">
        <f t="shared" si="26"/>
        <v>246.423</v>
      </c>
      <c r="J19" s="62">
        <f t="shared" si="26"/>
        <v>107.133</v>
      </c>
      <c r="K19" s="62">
        <f t="shared" si="26"/>
        <v>75.92</v>
      </c>
      <c r="L19" s="62">
        <f t="shared" ref="L19:L21" si="27">SUM(F19:K19)</f>
        <v>1122.049</v>
      </c>
      <c r="M19" s="62">
        <f t="shared" ref="M19:M21" si="28">L19/6</f>
        <v>187.00800000000001</v>
      </c>
      <c r="N19" s="62">
        <f t="shared" ref="N19:S21" si="29">N33+N341+N480+N527</f>
        <v>80.671000000000006</v>
      </c>
      <c r="O19" s="62">
        <f t="shared" si="29"/>
        <v>34.643999999999998</v>
      </c>
      <c r="P19" s="62">
        <f t="shared" si="29"/>
        <v>51.594000000000001</v>
      </c>
      <c r="Q19" s="62">
        <f t="shared" si="29"/>
        <v>44.942</v>
      </c>
      <c r="R19" s="62">
        <f t="shared" si="29"/>
        <v>84.355000000000004</v>
      </c>
      <c r="S19" s="62">
        <f t="shared" si="29"/>
        <v>908.03899999999999</v>
      </c>
      <c r="T19" s="62">
        <f t="shared" ref="T19:T21" si="30">SUM(N19:S19)</f>
        <v>1204.2449999999999</v>
      </c>
      <c r="U19" s="62">
        <f t="shared" ref="U19:U21" si="31">T19+L19</f>
        <v>2326.2939999999999</v>
      </c>
      <c r="V19" s="62">
        <f>V33+V341+V480+V527</f>
        <v>2330.913</v>
      </c>
      <c r="W19" s="62">
        <f t="shared" ref="W19:W21" si="32">V19-U19</f>
        <v>4.6189999999999998</v>
      </c>
      <c r="X19" s="63">
        <f>U16-U19</f>
        <v>0</v>
      </c>
    </row>
    <row r="20" spans="1:25" s="116" customFormat="1" ht="18" customHeight="1">
      <c r="A20" s="633"/>
      <c r="B20" s="634"/>
      <c r="C20" s="635"/>
      <c r="D20" s="115" t="s">
        <v>55</v>
      </c>
      <c r="E20" s="62"/>
      <c r="F20" s="62">
        <f>F34+F342+F481+F528</f>
        <v>0</v>
      </c>
      <c r="G20" s="62">
        <f t="shared" ref="G20:K21" si="33">G34+G342+G481+G528</f>
        <v>0</v>
      </c>
      <c r="H20" s="62">
        <f t="shared" si="33"/>
        <v>0</v>
      </c>
      <c r="I20" s="62">
        <f t="shared" si="33"/>
        <v>0</v>
      </c>
      <c r="J20" s="62">
        <f t="shared" si="33"/>
        <v>0</v>
      </c>
      <c r="K20" s="62">
        <f t="shared" si="33"/>
        <v>0</v>
      </c>
      <c r="L20" s="62">
        <f t="shared" si="27"/>
        <v>0</v>
      </c>
      <c r="M20" s="62">
        <f t="shared" si="28"/>
        <v>0</v>
      </c>
      <c r="N20" s="62">
        <f t="shared" si="29"/>
        <v>0</v>
      </c>
      <c r="O20" s="62">
        <f t="shared" si="29"/>
        <v>0</v>
      </c>
      <c r="P20" s="62">
        <f t="shared" si="29"/>
        <v>0</v>
      </c>
      <c r="Q20" s="62">
        <f t="shared" si="29"/>
        <v>0</v>
      </c>
      <c r="R20" s="62">
        <f t="shared" si="29"/>
        <v>0</v>
      </c>
      <c r="S20" s="62">
        <f t="shared" si="29"/>
        <v>0</v>
      </c>
      <c r="T20" s="62">
        <f t="shared" si="30"/>
        <v>0</v>
      </c>
      <c r="U20" s="62">
        <f t="shared" si="31"/>
        <v>0</v>
      </c>
      <c r="V20" s="62">
        <f>V34+V342+V481+V528</f>
        <v>0</v>
      </c>
      <c r="W20" s="62">
        <f t="shared" si="32"/>
        <v>0</v>
      </c>
      <c r="X20" s="63">
        <f>U17-U20</f>
        <v>0</v>
      </c>
    </row>
    <row r="21" spans="1:25" s="116" customFormat="1" ht="18" customHeight="1">
      <c r="A21" s="636"/>
      <c r="B21" s="637"/>
      <c r="C21" s="638"/>
      <c r="D21" s="115" t="s">
        <v>24</v>
      </c>
      <c r="E21" s="62"/>
      <c r="F21" s="62">
        <f>F35+F343+F482+F529</f>
        <v>0</v>
      </c>
      <c r="G21" s="62">
        <f t="shared" si="33"/>
        <v>263.46899999999999</v>
      </c>
      <c r="H21" s="62">
        <f t="shared" si="33"/>
        <v>429.10399999999998</v>
      </c>
      <c r="I21" s="62">
        <f t="shared" si="33"/>
        <v>246.423</v>
      </c>
      <c r="J21" s="62">
        <f t="shared" si="33"/>
        <v>107.133</v>
      </c>
      <c r="K21" s="62">
        <f t="shared" si="33"/>
        <v>75.92</v>
      </c>
      <c r="L21" s="62">
        <f t="shared" si="27"/>
        <v>1122.049</v>
      </c>
      <c r="M21" s="62">
        <f t="shared" si="28"/>
        <v>187.00800000000001</v>
      </c>
      <c r="N21" s="62">
        <f t="shared" si="29"/>
        <v>80.671000000000006</v>
      </c>
      <c r="O21" s="62">
        <f t="shared" si="29"/>
        <v>34.643999999999998</v>
      </c>
      <c r="P21" s="62">
        <f t="shared" si="29"/>
        <v>51.594000000000001</v>
      </c>
      <c r="Q21" s="62">
        <f t="shared" si="29"/>
        <v>44.942</v>
      </c>
      <c r="R21" s="62">
        <f t="shared" si="29"/>
        <v>84.355000000000004</v>
      </c>
      <c r="S21" s="62">
        <f t="shared" si="29"/>
        <v>908.03899999999999</v>
      </c>
      <c r="T21" s="62">
        <f t="shared" si="30"/>
        <v>1204.2449999999999</v>
      </c>
      <c r="U21" s="62">
        <f t="shared" si="31"/>
        <v>2326.2939999999999</v>
      </c>
      <c r="V21" s="62">
        <f>V35+V343+V482+V529</f>
        <v>2330.913</v>
      </c>
      <c r="W21" s="62">
        <f t="shared" si="32"/>
        <v>4.6189999999999998</v>
      </c>
      <c r="X21" s="63">
        <f>U18-U21</f>
        <v>4.6189999999999998</v>
      </c>
    </row>
    <row r="22" spans="1:25" s="186" customFormat="1" ht="18" customHeight="1">
      <c r="A22" s="609">
        <v>2271</v>
      </c>
      <c r="B22" s="580" t="s">
        <v>86</v>
      </c>
      <c r="C22" s="575"/>
      <c r="D22" s="178" t="str">
        <f>серпень!D22</f>
        <v>факт. нат.п-ки 2023</v>
      </c>
      <c r="E22" s="179"/>
      <c r="F22" s="180">
        <f t="shared" ref="F22:K24" si="34">F56+F163+F208+F253</f>
        <v>83.2</v>
      </c>
      <c r="G22" s="180">
        <f t="shared" si="34"/>
        <v>75.7</v>
      </c>
      <c r="H22" s="180">
        <f t="shared" si="34"/>
        <v>38.6</v>
      </c>
      <c r="I22" s="180">
        <f t="shared" si="34"/>
        <v>0</v>
      </c>
      <c r="J22" s="180">
        <f t="shared" si="34"/>
        <v>0</v>
      </c>
      <c r="K22" s="180">
        <f t="shared" si="34"/>
        <v>0</v>
      </c>
      <c r="L22" s="181">
        <f t="shared" ref="L22:L23" si="35">SUM(F22:K22)</f>
        <v>197.5</v>
      </c>
      <c r="M22" s="181">
        <f>L22/6</f>
        <v>32.9</v>
      </c>
      <c r="N22" s="180">
        <f t="shared" ref="N22:S24" si="36">N56+N163+N208+N253</f>
        <v>0</v>
      </c>
      <c r="O22" s="180">
        <f t="shared" si="36"/>
        <v>0</v>
      </c>
      <c r="P22" s="180">
        <f t="shared" si="36"/>
        <v>0</v>
      </c>
      <c r="Q22" s="180">
        <f t="shared" si="36"/>
        <v>0</v>
      </c>
      <c r="R22" s="180">
        <f t="shared" si="36"/>
        <v>26.1</v>
      </c>
      <c r="S22" s="180">
        <f t="shared" si="36"/>
        <v>125.1</v>
      </c>
      <c r="T22" s="181">
        <f t="shared" ref="T22:T23" si="37">SUM(N22:S22)</f>
        <v>151.19999999999999</v>
      </c>
      <c r="U22" s="182">
        <f>T22+L22</f>
        <v>348.7</v>
      </c>
      <c r="V22" s="183">
        <f>V56+V163+V208+V253</f>
        <v>0</v>
      </c>
      <c r="W22" s="184"/>
      <c r="X22" s="185"/>
    </row>
    <row r="23" spans="1:25" s="186" customFormat="1" ht="18" customHeight="1">
      <c r="A23" s="610"/>
      <c r="B23" s="576"/>
      <c r="C23" s="577"/>
      <c r="D23" s="178" t="str">
        <f>серпень!D23</f>
        <v>факт. нат.п-ки 2024</v>
      </c>
      <c r="E23" s="179"/>
      <c r="F23" s="180">
        <f t="shared" si="34"/>
        <v>99.9</v>
      </c>
      <c r="G23" s="180">
        <f t="shared" si="34"/>
        <v>73</v>
      </c>
      <c r="H23" s="180">
        <f t="shared" si="34"/>
        <v>45.6</v>
      </c>
      <c r="I23" s="180">
        <f t="shared" si="34"/>
        <v>0</v>
      </c>
      <c r="J23" s="180">
        <f t="shared" si="34"/>
        <v>0</v>
      </c>
      <c r="K23" s="180">
        <f t="shared" si="34"/>
        <v>0</v>
      </c>
      <c r="L23" s="181">
        <f t="shared" si="35"/>
        <v>218.5</v>
      </c>
      <c r="M23" s="181">
        <f>L23/6</f>
        <v>36.4</v>
      </c>
      <c r="N23" s="180">
        <f t="shared" si="36"/>
        <v>0</v>
      </c>
      <c r="O23" s="180">
        <f t="shared" si="36"/>
        <v>0</v>
      </c>
      <c r="P23" s="180">
        <f t="shared" si="36"/>
        <v>0</v>
      </c>
      <c r="Q23" s="180">
        <f t="shared" si="36"/>
        <v>0</v>
      </c>
      <c r="R23" s="180">
        <f t="shared" si="36"/>
        <v>83</v>
      </c>
      <c r="S23" s="180">
        <f t="shared" si="36"/>
        <v>125.1</v>
      </c>
      <c r="T23" s="181">
        <f t="shared" si="37"/>
        <v>208.1</v>
      </c>
      <c r="U23" s="182">
        <f t="shared" ref="U23:U24" si="38">T23+L23</f>
        <v>426.6</v>
      </c>
      <c r="V23" s="183">
        <f>V57+V164+V209+V254</f>
        <v>0</v>
      </c>
      <c r="W23" s="184"/>
      <c r="X23" s="185"/>
    </row>
    <row r="24" spans="1:25" s="186" customFormat="1" ht="18" customHeight="1">
      <c r="A24" s="610"/>
      <c r="B24" s="576"/>
      <c r="C24" s="577"/>
      <c r="D24" s="178" t="str">
        <f>серпень!D24</f>
        <v>факт. нат.п-ки 2025</v>
      </c>
      <c r="E24" s="179"/>
      <c r="F24" s="263">
        <f>F58+F165+F210+F255</f>
        <v>77.3</v>
      </c>
      <c r="G24" s="263">
        <f t="shared" si="34"/>
        <v>89.4</v>
      </c>
      <c r="H24" s="263">
        <f t="shared" si="34"/>
        <v>40.4</v>
      </c>
      <c r="I24" s="263">
        <f t="shared" si="34"/>
        <v>0</v>
      </c>
      <c r="J24" s="263">
        <f t="shared" si="34"/>
        <v>0</v>
      </c>
      <c r="K24" s="263">
        <f t="shared" si="34"/>
        <v>0</v>
      </c>
      <c r="L24" s="181">
        <f t="shared" ref="L24" si="39">SUM(F24:K24)</f>
        <v>207.1</v>
      </c>
      <c r="M24" s="181">
        <f>L24/6</f>
        <v>34.5</v>
      </c>
      <c r="N24" s="263">
        <f>N58+N165+N210+N255</f>
        <v>0</v>
      </c>
      <c r="O24" s="263">
        <f t="shared" si="36"/>
        <v>0</v>
      </c>
      <c r="P24" s="263">
        <f t="shared" si="36"/>
        <v>0</v>
      </c>
      <c r="Q24" s="263">
        <f t="shared" si="36"/>
        <v>0</v>
      </c>
      <c r="R24" s="263">
        <f t="shared" si="36"/>
        <v>94.2</v>
      </c>
      <c r="S24" s="263">
        <f t="shared" si="36"/>
        <v>170.3</v>
      </c>
      <c r="T24" s="181">
        <f t="shared" ref="T24" si="40">SUM(N24:S24)</f>
        <v>264.5</v>
      </c>
      <c r="U24" s="182">
        <f t="shared" si="38"/>
        <v>471.6</v>
      </c>
      <c r="V24" s="183">
        <f>V58+V165+V210+V255</f>
        <v>486</v>
      </c>
      <c r="W24" s="184">
        <f>V24-U24</f>
        <v>14.4</v>
      </c>
      <c r="X24" s="185"/>
    </row>
    <row r="25" spans="1:25" s="190" customFormat="1" ht="18" customHeight="1">
      <c r="A25" s="610"/>
      <c r="B25" s="576"/>
      <c r="C25" s="577"/>
      <c r="D25" s="187" t="str">
        <f>серпень!D25</f>
        <v>тариф, грн.</v>
      </c>
      <c r="E25" s="188"/>
      <c r="F25" s="188">
        <f>F26/F24*1000</f>
        <v>2440.0650000000001</v>
      </c>
      <c r="G25" s="188">
        <f t="shared" ref="G25:W25" si="41">G26/G24*1000</f>
        <v>2629.3739999999998</v>
      </c>
      <c r="H25" s="188">
        <f t="shared" si="41"/>
        <v>2651.2869999999998</v>
      </c>
      <c r="I25" s="188" t="e">
        <f t="shared" si="41"/>
        <v>#DIV/0!</v>
      </c>
      <c r="J25" s="188" t="e">
        <f t="shared" si="41"/>
        <v>#DIV/0!</v>
      </c>
      <c r="K25" s="188" t="e">
        <f t="shared" si="41"/>
        <v>#DIV/0!</v>
      </c>
      <c r="L25" s="188">
        <f t="shared" si="41"/>
        <v>2562.989</v>
      </c>
      <c r="M25" s="188">
        <f t="shared" si="41"/>
        <v>2564.232</v>
      </c>
      <c r="N25" s="188" t="e">
        <f t="shared" si="41"/>
        <v>#DIV/0!</v>
      </c>
      <c r="O25" s="188" t="e">
        <f>O26/O24*1000</f>
        <v>#DIV/0!</v>
      </c>
      <c r="P25" s="188" t="e">
        <f>P26/P24*1000</f>
        <v>#DIV/0!</v>
      </c>
      <c r="Q25" s="188" t="e">
        <f>Q26/Q24*1000</f>
        <v>#DIV/0!</v>
      </c>
      <c r="R25" s="188">
        <f>R26/R24*1000</f>
        <v>2801.73</v>
      </c>
      <c r="S25" s="188">
        <f>S26/S24*1000</f>
        <v>2489.63</v>
      </c>
      <c r="T25" s="188">
        <f t="shared" si="41"/>
        <v>2600.7829999999999</v>
      </c>
      <c r="U25" s="188">
        <f t="shared" si="41"/>
        <v>2584.1860000000001</v>
      </c>
      <c r="V25" s="188">
        <f t="shared" si="41"/>
        <v>2528.44</v>
      </c>
      <c r="W25" s="189">
        <f t="shared" si="41"/>
        <v>702.77800000000002</v>
      </c>
      <c r="X25" s="185"/>
    </row>
    <row r="26" spans="1:25" s="196" customFormat="1" ht="16.3" customHeight="1">
      <c r="A26" s="610"/>
      <c r="B26" s="576"/>
      <c r="C26" s="577"/>
      <c r="D26" s="191" t="str">
        <f>серпень!D26</f>
        <v>сума, тис.грн.</v>
      </c>
      <c r="E26" s="192"/>
      <c r="F26" s="193">
        <f>F60+F167+F212+F257</f>
        <v>188.61699999999999</v>
      </c>
      <c r="G26" s="193">
        <f t="shared" ref="G26:K26" si="42">G60+G167+G212+G257</f>
        <v>235.066</v>
      </c>
      <c r="H26" s="193">
        <f t="shared" si="42"/>
        <v>107.11199999999999</v>
      </c>
      <c r="I26" s="193">
        <f t="shared" si="42"/>
        <v>0</v>
      </c>
      <c r="J26" s="193">
        <f t="shared" si="42"/>
        <v>0</v>
      </c>
      <c r="K26" s="193">
        <f t="shared" si="42"/>
        <v>0</v>
      </c>
      <c r="L26" s="194">
        <f t="shared" ref="L26:L31" si="43">SUM(F26:K26)</f>
        <v>530.79499999999996</v>
      </c>
      <c r="M26" s="194">
        <f t="shared" ref="M26:M31" si="44">L26/6</f>
        <v>88.465999999999994</v>
      </c>
      <c r="N26" s="193">
        <f t="shared" ref="N26:S26" si="45">N60+N167+N212+N257</f>
        <v>0</v>
      </c>
      <c r="O26" s="193">
        <f t="shared" si="45"/>
        <v>0</v>
      </c>
      <c r="P26" s="193">
        <f t="shared" si="45"/>
        <v>0</v>
      </c>
      <c r="Q26" s="193">
        <f t="shared" si="45"/>
        <v>0</v>
      </c>
      <c r="R26" s="193">
        <f t="shared" si="45"/>
        <v>263.923</v>
      </c>
      <c r="S26" s="193">
        <f t="shared" si="45"/>
        <v>423.98399999999998</v>
      </c>
      <c r="T26" s="194">
        <f>SUM(N26:S26)</f>
        <v>687.90700000000004</v>
      </c>
      <c r="U26" s="194">
        <f>T26+L26</f>
        <v>1218.702</v>
      </c>
      <c r="V26" s="171">
        <f>V60+V167+V212+V257</f>
        <v>1228.8219999999999</v>
      </c>
      <c r="W26" s="193">
        <f>W60+W167+W212+W257</f>
        <v>10.119999999999999</v>
      </c>
      <c r="X26" s="195"/>
    </row>
    <row r="27" spans="1:25" s="196" customFormat="1" ht="16.3" customHeight="1">
      <c r="A27" s="610"/>
      <c r="B27" s="576"/>
      <c r="C27" s="577"/>
      <c r="D27" s="174" t="str">
        <f>серпень!D27</f>
        <v>абоненська плата, тис.грн.</v>
      </c>
      <c r="E27" s="192"/>
      <c r="F27" s="278">
        <f>F44+F258</f>
        <v>0</v>
      </c>
      <c r="G27" s="278">
        <f t="shared" ref="G27:K27" si="46">G44+G258</f>
        <v>0</v>
      </c>
      <c r="H27" s="278">
        <f t="shared" si="46"/>
        <v>0</v>
      </c>
      <c r="I27" s="278">
        <f t="shared" si="46"/>
        <v>0</v>
      </c>
      <c r="J27" s="278">
        <f t="shared" si="46"/>
        <v>0</v>
      </c>
      <c r="K27" s="278">
        <f t="shared" si="46"/>
        <v>0</v>
      </c>
      <c r="L27" s="194">
        <f t="shared" si="43"/>
        <v>0</v>
      </c>
      <c r="M27" s="194">
        <f t="shared" si="44"/>
        <v>0</v>
      </c>
      <c r="N27" s="278">
        <f>N44+N258</f>
        <v>0</v>
      </c>
      <c r="O27" s="278">
        <f t="shared" ref="O27:S27" si="47">O44+O258</f>
        <v>0</v>
      </c>
      <c r="P27" s="278">
        <f t="shared" si="47"/>
        <v>0</v>
      </c>
      <c r="Q27" s="278">
        <f t="shared" si="47"/>
        <v>0</v>
      </c>
      <c r="R27" s="278">
        <f t="shared" si="47"/>
        <v>0</v>
      </c>
      <c r="S27" s="278">
        <f t="shared" si="47"/>
        <v>0</v>
      </c>
      <c r="T27" s="194">
        <f>SUM(N27:S27)</f>
        <v>0</v>
      </c>
      <c r="U27" s="194">
        <f>T27+L27</f>
        <v>0</v>
      </c>
      <c r="V27" s="171">
        <f t="shared" ref="V27" si="48">V44+V258</f>
        <v>0</v>
      </c>
      <c r="W27" s="193">
        <f>W61+W168+W213+W258</f>
        <v>0</v>
      </c>
      <c r="X27" s="195"/>
    </row>
    <row r="28" spans="1:25" s="196" customFormat="1" ht="16.3" customHeight="1">
      <c r="A28" s="610"/>
      <c r="B28" s="576"/>
      <c r="C28" s="577"/>
      <c r="D28" s="174" t="str">
        <f>серпень!D28</f>
        <v>разом сума тис. грн+абонплата</v>
      </c>
      <c r="E28" s="192"/>
      <c r="F28" s="278">
        <f>F62+F167+F212+F259</f>
        <v>188.61699999999999</v>
      </c>
      <c r="G28" s="278">
        <f t="shared" ref="G28:K28" si="49">G62+G167+G212+G259</f>
        <v>235.066</v>
      </c>
      <c r="H28" s="278">
        <f t="shared" si="49"/>
        <v>107.11199999999999</v>
      </c>
      <c r="I28" s="278">
        <f t="shared" si="49"/>
        <v>0</v>
      </c>
      <c r="J28" s="278">
        <f t="shared" si="49"/>
        <v>0</v>
      </c>
      <c r="K28" s="278">
        <f t="shared" si="49"/>
        <v>0</v>
      </c>
      <c r="L28" s="194">
        <f t="shared" si="43"/>
        <v>530.79499999999996</v>
      </c>
      <c r="M28" s="194">
        <f t="shared" si="44"/>
        <v>88.465999999999994</v>
      </c>
      <c r="N28" s="278">
        <f>N62+N167+N212+N259</f>
        <v>0</v>
      </c>
      <c r="O28" s="278">
        <f t="shared" ref="O28:R28" si="50">O62+O167+O212+O259</f>
        <v>0</v>
      </c>
      <c r="P28" s="278">
        <f t="shared" si="50"/>
        <v>0</v>
      </c>
      <c r="Q28" s="278">
        <f t="shared" si="50"/>
        <v>0</v>
      </c>
      <c r="R28" s="278">
        <f t="shared" si="50"/>
        <v>263.923</v>
      </c>
      <c r="S28" s="278">
        <f>S62+S167+S212+S259</f>
        <v>423.98399999999998</v>
      </c>
      <c r="T28" s="194">
        <f t="shared" ref="T28:T29" si="51">SUM(N28:S28)</f>
        <v>687.90700000000004</v>
      </c>
      <c r="U28" s="194">
        <f t="shared" ref="U28:U29" si="52">T28+L28</f>
        <v>1218.702</v>
      </c>
      <c r="V28" s="171">
        <f>V45+V259</f>
        <v>1228.8219999999999</v>
      </c>
      <c r="W28" s="278">
        <f t="shared" ref="W28" si="53">W26+W27</f>
        <v>10.119999999999999</v>
      </c>
      <c r="X28" s="195"/>
    </row>
    <row r="29" spans="1:25" s="196" customFormat="1" ht="16.3" customHeight="1">
      <c r="A29" s="610"/>
      <c r="B29" s="576"/>
      <c r="C29" s="577"/>
      <c r="D29" s="174" t="str">
        <f>серпень!D29</f>
        <v>дотація</v>
      </c>
      <c r="E29" s="192"/>
      <c r="F29" s="193">
        <f t="shared" ref="F29:K31" si="54">F63+F168+F213+F260</f>
        <v>0</v>
      </c>
      <c r="G29" s="193">
        <f t="shared" si="54"/>
        <v>0</v>
      </c>
      <c r="H29" s="193">
        <f t="shared" si="54"/>
        <v>0</v>
      </c>
      <c r="I29" s="193">
        <f t="shared" si="54"/>
        <v>0</v>
      </c>
      <c r="J29" s="193">
        <f t="shared" si="54"/>
        <v>0</v>
      </c>
      <c r="K29" s="193">
        <f t="shared" si="54"/>
        <v>0</v>
      </c>
      <c r="L29" s="194">
        <f t="shared" si="43"/>
        <v>0</v>
      </c>
      <c r="M29" s="194">
        <f t="shared" si="44"/>
        <v>0</v>
      </c>
      <c r="N29" s="193">
        <f t="shared" ref="N29:S31" si="55">N63+N168+N213+N260</f>
        <v>0</v>
      </c>
      <c r="O29" s="193">
        <f t="shared" si="55"/>
        <v>0</v>
      </c>
      <c r="P29" s="193">
        <f t="shared" si="55"/>
        <v>0</v>
      </c>
      <c r="Q29" s="193">
        <f t="shared" si="55"/>
        <v>0</v>
      </c>
      <c r="R29" s="193">
        <f t="shared" si="55"/>
        <v>0</v>
      </c>
      <c r="S29" s="193">
        <f t="shared" si="55"/>
        <v>0</v>
      </c>
      <c r="T29" s="194">
        <f t="shared" si="51"/>
        <v>0</v>
      </c>
      <c r="U29" s="194">
        <f t="shared" si="52"/>
        <v>0</v>
      </c>
      <c r="V29" s="171">
        <f>V63+V168+V213+V260</f>
        <v>0</v>
      </c>
      <c r="W29" s="192">
        <f t="shared" ref="W29" si="56">W63+W169+W214+W260</f>
        <v>0</v>
      </c>
      <c r="X29" s="195"/>
      <c r="Y29" s="197"/>
    </row>
    <row r="30" spans="1:25" s="196" customFormat="1" ht="16.3" customHeight="1">
      <c r="A30" s="610"/>
      <c r="B30" s="576"/>
      <c r="C30" s="577"/>
      <c r="D30" s="174" t="str">
        <f>серпень!D30</f>
        <v>місцевий (план), тис.грн</v>
      </c>
      <c r="E30" s="192"/>
      <c r="F30" s="193">
        <f t="shared" si="54"/>
        <v>0</v>
      </c>
      <c r="G30" s="193">
        <f t="shared" si="54"/>
        <v>188.61699999999999</v>
      </c>
      <c r="H30" s="193">
        <f t="shared" si="54"/>
        <v>235.066</v>
      </c>
      <c r="I30" s="193">
        <f t="shared" si="54"/>
        <v>107.179</v>
      </c>
      <c r="J30" s="193">
        <f t="shared" si="54"/>
        <v>0</v>
      </c>
      <c r="K30" s="193">
        <f t="shared" si="54"/>
        <v>0</v>
      </c>
      <c r="L30" s="194">
        <f t="shared" si="43"/>
        <v>530.86199999999997</v>
      </c>
      <c r="M30" s="194">
        <f t="shared" si="44"/>
        <v>88.477000000000004</v>
      </c>
      <c r="N30" s="193">
        <f t="shared" si="55"/>
        <v>0</v>
      </c>
      <c r="O30" s="193">
        <f t="shared" si="55"/>
        <v>0</v>
      </c>
      <c r="P30" s="193">
        <f t="shared" si="55"/>
        <v>0</v>
      </c>
      <c r="Q30" s="193">
        <f t="shared" si="55"/>
        <v>0</v>
      </c>
      <c r="R30" s="193">
        <f t="shared" si="55"/>
        <v>0</v>
      </c>
      <c r="S30" s="193">
        <f t="shared" si="55"/>
        <v>697.96</v>
      </c>
      <c r="T30" s="194">
        <f>SUM(N30:S30)</f>
        <v>697.96</v>
      </c>
      <c r="U30" s="194">
        <f>T30+L30</f>
        <v>1228.8219999999999</v>
      </c>
      <c r="V30" s="171">
        <f>V64+V169+V214+V261</f>
        <v>1228.8219999999999</v>
      </c>
      <c r="W30" s="192">
        <f>W64+W169+W214</f>
        <v>0</v>
      </c>
      <c r="X30" s="195"/>
      <c r="Y30" s="197"/>
    </row>
    <row r="31" spans="1:25" s="186" customFormat="1" ht="18" customHeight="1">
      <c r="A31" s="610"/>
      <c r="B31" s="576"/>
      <c r="C31" s="577"/>
      <c r="D31" s="178" t="str">
        <f>серпень!D31</f>
        <v>касові нат.п-ки 2025</v>
      </c>
      <c r="E31" s="180">
        <f>E65+E170+E215+E262</f>
        <v>0</v>
      </c>
      <c r="F31" s="179">
        <f>F65+F170+F215+F262</f>
        <v>0</v>
      </c>
      <c r="G31" s="179">
        <f t="shared" si="54"/>
        <v>77.3</v>
      </c>
      <c r="H31" s="179">
        <f t="shared" si="54"/>
        <v>89.4</v>
      </c>
      <c r="I31" s="179">
        <f t="shared" si="54"/>
        <v>40.4</v>
      </c>
      <c r="J31" s="179">
        <f t="shared" si="54"/>
        <v>0</v>
      </c>
      <c r="K31" s="179">
        <f t="shared" si="54"/>
        <v>0</v>
      </c>
      <c r="L31" s="181">
        <f t="shared" si="43"/>
        <v>207.1</v>
      </c>
      <c r="M31" s="181">
        <f t="shared" si="44"/>
        <v>34.5</v>
      </c>
      <c r="N31" s="179">
        <f>N65+N170+N215+N262</f>
        <v>0</v>
      </c>
      <c r="O31" s="179">
        <f t="shared" si="55"/>
        <v>0</v>
      </c>
      <c r="P31" s="179">
        <f t="shared" si="55"/>
        <v>0</v>
      </c>
      <c r="Q31" s="179">
        <f t="shared" si="55"/>
        <v>0</v>
      </c>
      <c r="R31" s="179">
        <f t="shared" si="55"/>
        <v>0</v>
      </c>
      <c r="S31" s="179">
        <f t="shared" si="55"/>
        <v>264.5</v>
      </c>
      <c r="T31" s="181">
        <f>SUM(N31:S31)</f>
        <v>264.5</v>
      </c>
      <c r="U31" s="181">
        <f>T31+L31</f>
        <v>471.6</v>
      </c>
      <c r="V31" s="183">
        <f t="shared" ref="V31:W31" si="57">V65+V170+V215</f>
        <v>486</v>
      </c>
      <c r="W31" s="184">
        <f t="shared" si="57"/>
        <v>14.4</v>
      </c>
      <c r="X31" s="279">
        <f>U24-U31</f>
        <v>0</v>
      </c>
    </row>
    <row r="32" spans="1:25" s="190" customFormat="1" ht="18" customHeight="1">
      <c r="A32" s="610"/>
      <c r="B32" s="576"/>
      <c r="C32" s="577"/>
      <c r="D32" s="187" t="str">
        <f>серпень!D32</f>
        <v>тариф, грн.</v>
      </c>
      <c r="E32" s="188" t="e">
        <f t="shared" ref="E32:K32" si="58">E33/E31*1000</f>
        <v>#DIV/0!</v>
      </c>
      <c r="F32" s="188" t="e">
        <f t="shared" si="58"/>
        <v>#DIV/0!</v>
      </c>
      <c r="G32" s="188">
        <f t="shared" si="58"/>
        <v>2440.0650000000001</v>
      </c>
      <c r="H32" s="188">
        <f t="shared" si="58"/>
        <v>2629.3739999999998</v>
      </c>
      <c r="I32" s="188">
        <f t="shared" si="58"/>
        <v>2651.2869999999998</v>
      </c>
      <c r="J32" s="188" t="e">
        <f t="shared" si="58"/>
        <v>#DIV/0!</v>
      </c>
      <c r="K32" s="188" t="e">
        <f t="shared" si="58"/>
        <v>#DIV/0!</v>
      </c>
      <c r="L32" s="188">
        <f>L33/L31*1000</f>
        <v>2562.989</v>
      </c>
      <c r="M32" s="188">
        <f>M33/M31*1000</f>
        <v>2564.232</v>
      </c>
      <c r="N32" s="188" t="e">
        <f t="shared" ref="N32:S32" si="59">N33/N31*1000</f>
        <v>#DIV/0!</v>
      </c>
      <c r="O32" s="188" t="e">
        <f t="shared" si="59"/>
        <v>#DIV/0!</v>
      </c>
      <c r="P32" s="188" t="e">
        <f t="shared" si="59"/>
        <v>#DIV/0!</v>
      </c>
      <c r="Q32" s="188" t="e">
        <f t="shared" si="59"/>
        <v>#DIV/0!</v>
      </c>
      <c r="R32" s="188" t="e">
        <f t="shared" si="59"/>
        <v>#DIV/0!</v>
      </c>
      <c r="S32" s="188">
        <f t="shared" si="59"/>
        <v>2600.7829999999999</v>
      </c>
      <c r="T32" s="188">
        <f>T33/T31*1000</f>
        <v>2600.7829999999999</v>
      </c>
      <c r="U32" s="188">
        <f>U33/U31*1000</f>
        <v>2584.1860000000001</v>
      </c>
      <c r="V32" s="188">
        <f>V33/V31*1000</f>
        <v>2528.44</v>
      </c>
      <c r="W32" s="189">
        <f>W33/W31*1000</f>
        <v>702.77800000000002</v>
      </c>
      <c r="X32" s="185"/>
    </row>
    <row r="33" spans="1:25" s="176" customFormat="1" ht="18" customHeight="1">
      <c r="A33" s="610"/>
      <c r="B33" s="576"/>
      <c r="C33" s="577"/>
      <c r="D33" s="198" t="str">
        <f>серпень!D33</f>
        <v>касові видатки, тис.грн.</v>
      </c>
      <c r="E33" s="199">
        <f t="shared" ref="E33" si="60">E67+E172+E217+E264</f>
        <v>0</v>
      </c>
      <c r="F33" s="199">
        <f>F67+F172+F217+F264</f>
        <v>0</v>
      </c>
      <c r="G33" s="199">
        <f t="shared" ref="G33:K33" si="61">G67+G172+G217+G264</f>
        <v>188.61699999999999</v>
      </c>
      <c r="H33" s="199">
        <f t="shared" si="61"/>
        <v>235.066</v>
      </c>
      <c r="I33" s="199">
        <f t="shared" si="61"/>
        <v>107.11199999999999</v>
      </c>
      <c r="J33" s="199">
        <f t="shared" si="61"/>
        <v>0</v>
      </c>
      <c r="K33" s="199">
        <f t="shared" si="61"/>
        <v>0</v>
      </c>
      <c r="L33" s="199">
        <f>SUM(F33:K33)</f>
        <v>530.79499999999996</v>
      </c>
      <c r="M33" s="199">
        <f>L33/6</f>
        <v>88.465999999999994</v>
      </c>
      <c r="N33" s="199">
        <f>N67+N172+N217+N264</f>
        <v>0</v>
      </c>
      <c r="O33" s="199">
        <f t="shared" ref="O33:S33" si="62">O67+O172+O217+O264</f>
        <v>0</v>
      </c>
      <c r="P33" s="199">
        <f t="shared" si="62"/>
        <v>0</v>
      </c>
      <c r="Q33" s="199">
        <f t="shared" si="62"/>
        <v>0</v>
      </c>
      <c r="R33" s="199">
        <f t="shared" si="62"/>
        <v>0</v>
      </c>
      <c r="S33" s="199">
        <f t="shared" si="62"/>
        <v>687.90700000000004</v>
      </c>
      <c r="T33" s="199">
        <f>SUM(N33:S33)</f>
        <v>687.90700000000004</v>
      </c>
      <c r="U33" s="199">
        <f>T33+L33</f>
        <v>1218.702</v>
      </c>
      <c r="V33" s="175">
        <f>V67+V172+V217+V264</f>
        <v>1228.8219999999999</v>
      </c>
      <c r="W33" s="200">
        <f>W67+W172+W217+W264</f>
        <v>10.119999999999999</v>
      </c>
      <c r="X33" s="176">
        <f>U28-U33</f>
        <v>0</v>
      </c>
    </row>
    <row r="34" spans="1:25" s="176" customFormat="1" ht="18" customHeight="1">
      <c r="A34" s="610"/>
      <c r="B34" s="576"/>
      <c r="C34" s="577"/>
      <c r="D34" s="201" t="str">
        <f>серпень!D34</f>
        <v>дотація</v>
      </c>
      <c r="E34" s="199"/>
      <c r="F34" s="199">
        <f t="shared" ref="F34:K35" si="63">F68+F173+F218+F265</f>
        <v>0</v>
      </c>
      <c r="G34" s="199">
        <f t="shared" si="63"/>
        <v>0</v>
      </c>
      <c r="H34" s="199">
        <f t="shared" si="63"/>
        <v>0</v>
      </c>
      <c r="I34" s="199">
        <f t="shared" si="63"/>
        <v>0</v>
      </c>
      <c r="J34" s="199">
        <f t="shared" si="63"/>
        <v>0</v>
      </c>
      <c r="K34" s="199">
        <f t="shared" si="63"/>
        <v>0</v>
      </c>
      <c r="L34" s="199">
        <f>SUM(F34:K34)</f>
        <v>0</v>
      </c>
      <c r="M34" s="199">
        <f>L34/6</f>
        <v>0</v>
      </c>
      <c r="N34" s="199">
        <f t="shared" ref="N34:S35" si="64">N68+N173+N218+N265</f>
        <v>0</v>
      </c>
      <c r="O34" s="199">
        <f t="shared" si="64"/>
        <v>0</v>
      </c>
      <c r="P34" s="199">
        <f t="shared" si="64"/>
        <v>0</v>
      </c>
      <c r="Q34" s="199">
        <f t="shared" si="64"/>
        <v>0</v>
      </c>
      <c r="R34" s="199">
        <f t="shared" si="64"/>
        <v>0</v>
      </c>
      <c r="S34" s="199">
        <f t="shared" si="64"/>
        <v>0</v>
      </c>
      <c r="T34" s="199">
        <f>SUM(N34:S34)</f>
        <v>0</v>
      </c>
      <c r="U34" s="199">
        <f>T34+L34</f>
        <v>0</v>
      </c>
      <c r="V34" s="175">
        <f>V68+V173+V218+V265</f>
        <v>0</v>
      </c>
      <c r="W34" s="200">
        <f>V34-U34</f>
        <v>0</v>
      </c>
      <c r="X34" s="176">
        <f>U29-U34</f>
        <v>0</v>
      </c>
    </row>
    <row r="35" spans="1:25" s="176" customFormat="1" ht="18" customHeight="1">
      <c r="A35" s="610"/>
      <c r="B35" s="576"/>
      <c r="C35" s="577"/>
      <c r="D35" s="201" t="str">
        <f>серпень!D35</f>
        <v xml:space="preserve">місцевий </v>
      </c>
      <c r="E35" s="199"/>
      <c r="F35" s="199">
        <f t="shared" si="63"/>
        <v>0</v>
      </c>
      <c r="G35" s="199">
        <f t="shared" si="63"/>
        <v>188.61699999999999</v>
      </c>
      <c r="H35" s="199">
        <f t="shared" si="63"/>
        <v>235.066</v>
      </c>
      <c r="I35" s="199">
        <f t="shared" si="63"/>
        <v>107.11199999999999</v>
      </c>
      <c r="J35" s="199">
        <f t="shared" si="63"/>
        <v>0</v>
      </c>
      <c r="K35" s="199">
        <f t="shared" si="63"/>
        <v>0</v>
      </c>
      <c r="L35" s="199">
        <f>SUM(F35:K35)</f>
        <v>530.79499999999996</v>
      </c>
      <c r="M35" s="199">
        <f>L35/6</f>
        <v>88.465999999999994</v>
      </c>
      <c r="N35" s="199">
        <f t="shared" si="64"/>
        <v>0</v>
      </c>
      <c r="O35" s="199">
        <f t="shared" si="64"/>
        <v>0</v>
      </c>
      <c r="P35" s="199">
        <f t="shared" si="64"/>
        <v>0</v>
      </c>
      <c r="Q35" s="199">
        <f t="shared" si="64"/>
        <v>0</v>
      </c>
      <c r="R35" s="199">
        <f t="shared" si="64"/>
        <v>0</v>
      </c>
      <c r="S35" s="199">
        <f t="shared" si="64"/>
        <v>687.90700000000004</v>
      </c>
      <c r="T35" s="199">
        <f>SUM(N35:S35)</f>
        <v>687.90700000000004</v>
      </c>
      <c r="U35" s="199">
        <f>T35+L35</f>
        <v>1218.702</v>
      </c>
      <c r="V35" s="175">
        <f>V69+V174+V219+V266</f>
        <v>1228.8219999999999</v>
      </c>
      <c r="W35" s="200">
        <f>V35-U35</f>
        <v>10.119999999999999</v>
      </c>
      <c r="X35" s="176">
        <f>U30-U35</f>
        <v>10.119999999999999</v>
      </c>
    </row>
    <row r="36" spans="1:25" s="205" customFormat="1" ht="18" customHeight="1">
      <c r="A36" s="610"/>
      <c r="B36" s="576"/>
      <c r="C36" s="577"/>
      <c r="D36" s="202" t="str">
        <f>серпень!D36</f>
        <v>план</v>
      </c>
      <c r="E36" s="203"/>
      <c r="F36" s="203">
        <f t="shared" ref="F36:K36" si="65">F30</f>
        <v>0</v>
      </c>
      <c r="G36" s="203">
        <f t="shared" si="65"/>
        <v>188.61699999999999</v>
      </c>
      <c r="H36" s="203">
        <f t="shared" si="65"/>
        <v>235.066</v>
      </c>
      <c r="I36" s="203">
        <f>I30</f>
        <v>107.179</v>
      </c>
      <c r="J36" s="203">
        <f>J30</f>
        <v>0</v>
      </c>
      <c r="K36" s="203">
        <f t="shared" si="65"/>
        <v>0</v>
      </c>
      <c r="L36" s="203">
        <f>SUM(F36:K36)</f>
        <v>530.86199999999997</v>
      </c>
      <c r="M36" s="203">
        <f>L36/6</f>
        <v>88.477000000000004</v>
      </c>
      <c r="N36" s="203">
        <f t="shared" ref="N36:S36" si="66">N30+N29</f>
        <v>0</v>
      </c>
      <c r="O36" s="203">
        <f t="shared" si="66"/>
        <v>0</v>
      </c>
      <c r="P36" s="203">
        <f t="shared" si="66"/>
        <v>0</v>
      </c>
      <c r="Q36" s="203">
        <f t="shared" si="66"/>
        <v>0</v>
      </c>
      <c r="R36" s="203">
        <f t="shared" si="66"/>
        <v>0</v>
      </c>
      <c r="S36" s="203">
        <f t="shared" si="66"/>
        <v>697.96</v>
      </c>
      <c r="T36" s="203">
        <f>SUM(N36:S36)</f>
        <v>697.96</v>
      </c>
      <c r="U36" s="203">
        <f>T36+L36</f>
        <v>1228.8219999999999</v>
      </c>
      <c r="V36" s="204">
        <f>V70+V175+V220+V267</f>
        <v>1228.8219999999999</v>
      </c>
      <c r="W36" s="203">
        <f>V36-U36</f>
        <v>0</v>
      </c>
    </row>
    <row r="37" spans="1:25" s="205" customFormat="1" ht="18" customHeight="1">
      <c r="A37" s="610"/>
      <c r="B37" s="576"/>
      <c r="C37" s="577"/>
      <c r="D37" s="202" t="str">
        <f>серпень!D37</f>
        <v xml:space="preserve">відхилення </v>
      </c>
      <c r="E37" s="203"/>
      <c r="F37" s="203">
        <f t="shared" ref="F37:K37" si="67">F33-F36</f>
        <v>0</v>
      </c>
      <c r="G37" s="203">
        <f t="shared" si="67"/>
        <v>0</v>
      </c>
      <c r="H37" s="203">
        <f t="shared" si="67"/>
        <v>0</v>
      </c>
      <c r="I37" s="203">
        <f t="shared" si="67"/>
        <v>-6.7000000000000004E-2</v>
      </c>
      <c r="J37" s="203">
        <f t="shared" si="67"/>
        <v>0</v>
      </c>
      <c r="K37" s="203">
        <f t="shared" si="67"/>
        <v>0</v>
      </c>
      <c r="L37" s="203"/>
      <c r="M37" s="203"/>
      <c r="N37" s="203">
        <f t="shared" ref="N37:S37" si="68">N33-N36</f>
        <v>0</v>
      </c>
      <c r="O37" s="203">
        <f t="shared" si="68"/>
        <v>0</v>
      </c>
      <c r="P37" s="203">
        <f t="shared" si="68"/>
        <v>0</v>
      </c>
      <c r="Q37" s="203">
        <f t="shared" si="68"/>
        <v>0</v>
      </c>
      <c r="R37" s="203">
        <f t="shared" si="68"/>
        <v>0</v>
      </c>
      <c r="S37" s="203">
        <f t="shared" si="68"/>
        <v>-10.053000000000001</v>
      </c>
      <c r="T37" s="203"/>
      <c r="U37" s="203"/>
      <c r="V37" s="203"/>
      <c r="W37" s="203"/>
    </row>
    <row r="38" spans="1:25" s="205" customFormat="1" ht="18" customHeight="1">
      <c r="A38" s="610"/>
      <c r="B38" s="576"/>
      <c r="C38" s="577"/>
      <c r="D38" s="202" t="str">
        <f>серпень!D38</f>
        <v>відхилення з наростаючим</v>
      </c>
      <c r="E38" s="203"/>
      <c r="F38" s="203">
        <f>F37</f>
        <v>0</v>
      </c>
      <c r="G38" s="203">
        <f>G37+F38</f>
        <v>0</v>
      </c>
      <c r="H38" s="203">
        <f>H37+G38</f>
        <v>0</v>
      </c>
      <c r="I38" s="203">
        <f>I37+H38</f>
        <v>-6.7000000000000004E-2</v>
      </c>
      <c r="J38" s="203">
        <f>J37+I38</f>
        <v>-6.7000000000000004E-2</v>
      </c>
      <c r="K38" s="203">
        <f>K37+J38</f>
        <v>-6.7000000000000004E-2</v>
      </c>
      <c r="L38" s="203"/>
      <c r="M38" s="203"/>
      <c r="N38" s="203">
        <f>N37+K38</f>
        <v>-6.7000000000000004E-2</v>
      </c>
      <c r="O38" s="203">
        <f>O37+N38</f>
        <v>-6.7000000000000004E-2</v>
      </c>
      <c r="P38" s="203">
        <f>P37+O38</f>
        <v>-6.7000000000000004E-2</v>
      </c>
      <c r="Q38" s="203">
        <f>Q37+P38</f>
        <v>-6.7000000000000004E-2</v>
      </c>
      <c r="R38" s="203">
        <f>R37+Q38</f>
        <v>-6.7000000000000004E-2</v>
      </c>
      <c r="S38" s="203">
        <f>S37+R38</f>
        <v>-10.119999999999999</v>
      </c>
      <c r="T38" s="203"/>
      <c r="U38" s="203"/>
      <c r="V38" s="203"/>
      <c r="W38" s="203"/>
    </row>
    <row r="39" spans="1:25" s="206" customFormat="1" ht="18" customHeight="1">
      <c r="A39" s="610"/>
      <c r="B39" s="581" t="s">
        <v>71</v>
      </c>
      <c r="C39" s="581"/>
      <c r="D39" s="178" t="str">
        <f>серпень!D39</f>
        <v>факт. нат.п-ки 2023</v>
      </c>
      <c r="E39" s="179"/>
      <c r="F39" s="180">
        <f t="shared" ref="F39:K40" si="69">F56+F163+F208</f>
        <v>83.2</v>
      </c>
      <c r="G39" s="180">
        <f t="shared" si="69"/>
        <v>75.7</v>
      </c>
      <c r="H39" s="180">
        <f t="shared" si="69"/>
        <v>38.6</v>
      </c>
      <c r="I39" s="180">
        <f t="shared" si="69"/>
        <v>0</v>
      </c>
      <c r="J39" s="180">
        <f t="shared" si="69"/>
        <v>0</v>
      </c>
      <c r="K39" s="180">
        <f t="shared" si="69"/>
        <v>0</v>
      </c>
      <c r="L39" s="181">
        <f>SUM(F39:K39)</f>
        <v>197.5</v>
      </c>
      <c r="M39" s="181">
        <f>L39/6</f>
        <v>32.9</v>
      </c>
      <c r="N39" s="180">
        <f t="shared" ref="N39:S40" si="70">N56+N163+N208</f>
        <v>0</v>
      </c>
      <c r="O39" s="180">
        <f t="shared" si="70"/>
        <v>0</v>
      </c>
      <c r="P39" s="180">
        <f t="shared" si="70"/>
        <v>0</v>
      </c>
      <c r="Q39" s="180">
        <f t="shared" si="70"/>
        <v>0</v>
      </c>
      <c r="R39" s="180">
        <f t="shared" si="70"/>
        <v>26.1</v>
      </c>
      <c r="S39" s="180">
        <f t="shared" si="70"/>
        <v>125.1</v>
      </c>
      <c r="T39" s="181">
        <f>SUM(N39:S39)</f>
        <v>151.19999999999999</v>
      </c>
      <c r="U39" s="182">
        <f>T39+L39</f>
        <v>348.7</v>
      </c>
      <c r="V39" s="183">
        <f>V56+V163</f>
        <v>0</v>
      </c>
      <c r="W39" s="184"/>
    </row>
    <row r="40" spans="1:25" s="206" customFormat="1" ht="18" customHeight="1">
      <c r="A40" s="610"/>
      <c r="B40" s="581"/>
      <c r="C40" s="581"/>
      <c r="D40" s="178" t="str">
        <f>серпень!D40</f>
        <v>факт. нат.п-ки 2024</v>
      </c>
      <c r="E40" s="179"/>
      <c r="F40" s="180">
        <f t="shared" si="69"/>
        <v>99.9</v>
      </c>
      <c r="G40" s="180">
        <f t="shared" si="69"/>
        <v>73</v>
      </c>
      <c r="H40" s="180">
        <f t="shared" si="69"/>
        <v>45.6</v>
      </c>
      <c r="I40" s="180">
        <f t="shared" si="69"/>
        <v>0</v>
      </c>
      <c r="J40" s="180">
        <f t="shared" si="69"/>
        <v>0</v>
      </c>
      <c r="K40" s="180">
        <f t="shared" si="69"/>
        <v>0</v>
      </c>
      <c r="L40" s="181">
        <f>SUM(F40:K40)</f>
        <v>218.5</v>
      </c>
      <c r="M40" s="181">
        <f>L40/6</f>
        <v>36.4</v>
      </c>
      <c r="N40" s="180">
        <f t="shared" si="70"/>
        <v>0</v>
      </c>
      <c r="O40" s="180">
        <f t="shared" si="70"/>
        <v>0</v>
      </c>
      <c r="P40" s="180">
        <f t="shared" si="70"/>
        <v>0</v>
      </c>
      <c r="Q40" s="180">
        <f t="shared" si="70"/>
        <v>0</v>
      </c>
      <c r="R40" s="180">
        <f t="shared" si="70"/>
        <v>83</v>
      </c>
      <c r="S40" s="180">
        <f t="shared" si="70"/>
        <v>125.1</v>
      </c>
      <c r="T40" s="181">
        <f>SUM(N40:S40)</f>
        <v>208.1</v>
      </c>
      <c r="U40" s="182">
        <f>T40+L40</f>
        <v>426.6</v>
      </c>
      <c r="V40" s="183">
        <f>V57+V164</f>
        <v>0</v>
      </c>
      <c r="W40" s="184"/>
    </row>
    <row r="41" spans="1:25" s="206" customFormat="1" ht="18" customHeight="1">
      <c r="A41" s="610"/>
      <c r="B41" s="581"/>
      <c r="C41" s="581"/>
      <c r="D41" s="178" t="str">
        <f>серпень!D41</f>
        <v>факт. нат.п-ки 2025</v>
      </c>
      <c r="E41" s="179"/>
      <c r="F41" s="180">
        <f>F90+F135+F165+F210</f>
        <v>77.3</v>
      </c>
      <c r="G41" s="180">
        <f t="shared" ref="G41:K41" si="71">G90+G135+G165+G210</f>
        <v>89.4</v>
      </c>
      <c r="H41" s="180">
        <f t="shared" si="71"/>
        <v>40.4</v>
      </c>
      <c r="I41" s="180">
        <f t="shared" si="71"/>
        <v>0</v>
      </c>
      <c r="J41" s="180">
        <f t="shared" si="71"/>
        <v>0</v>
      </c>
      <c r="K41" s="180">
        <f t="shared" si="71"/>
        <v>0</v>
      </c>
      <c r="L41" s="181">
        <f>SUM(F41:K41)</f>
        <v>207.1</v>
      </c>
      <c r="M41" s="181">
        <f>L41/6</f>
        <v>34.5</v>
      </c>
      <c r="N41" s="180">
        <f>N90+N135+N165+N210</f>
        <v>0</v>
      </c>
      <c r="O41" s="180">
        <f t="shared" ref="O41:S41" si="72">O90+O135+O165+O210</f>
        <v>0</v>
      </c>
      <c r="P41" s="180">
        <f t="shared" si="72"/>
        <v>0</v>
      </c>
      <c r="Q41" s="180">
        <f t="shared" si="72"/>
        <v>0</v>
      </c>
      <c r="R41" s="180">
        <f t="shared" si="72"/>
        <v>94.2</v>
      </c>
      <c r="S41" s="180">
        <f t="shared" si="72"/>
        <v>170.3</v>
      </c>
      <c r="T41" s="181">
        <f>SUM(N41:S41)</f>
        <v>264.5</v>
      </c>
      <c r="U41" s="182">
        <f>T41+L41</f>
        <v>471.6</v>
      </c>
      <c r="V41" s="264">
        <f t="shared" ref="V41" si="73">V58+V165+V210</f>
        <v>486</v>
      </c>
      <c r="W41" s="184">
        <f>V41-U41</f>
        <v>14.4</v>
      </c>
    </row>
    <row r="42" spans="1:25" s="206" customFormat="1" ht="18" customHeight="1">
      <c r="A42" s="610"/>
      <c r="B42" s="581"/>
      <c r="C42" s="581"/>
      <c r="D42" s="187" t="str">
        <f>серпень!D42</f>
        <v>тариф, грн.</v>
      </c>
      <c r="E42" s="188"/>
      <c r="F42" s="188">
        <f t="shared" ref="F42:S42" si="74">F43/F41*1000</f>
        <v>2440.0650000000001</v>
      </c>
      <c r="G42" s="188">
        <f t="shared" si="74"/>
        <v>2629.3739999999998</v>
      </c>
      <c r="H42" s="188">
        <f t="shared" si="74"/>
        <v>2651.2869999999998</v>
      </c>
      <c r="I42" s="188" t="e">
        <f>I43/I41*1000</f>
        <v>#DIV/0!</v>
      </c>
      <c r="J42" s="188" t="e">
        <f>J43/J41*1000</f>
        <v>#DIV/0!</v>
      </c>
      <c r="K42" s="188" t="e">
        <f t="shared" si="74"/>
        <v>#DIV/0!</v>
      </c>
      <c r="L42" s="188">
        <f t="shared" si="74"/>
        <v>2562.989</v>
      </c>
      <c r="M42" s="188">
        <f t="shared" si="74"/>
        <v>2564.232</v>
      </c>
      <c r="N42" s="188" t="e">
        <f t="shared" si="74"/>
        <v>#DIV/0!</v>
      </c>
      <c r="O42" s="188" t="e">
        <f t="shared" si="74"/>
        <v>#DIV/0!</v>
      </c>
      <c r="P42" s="188" t="e">
        <f t="shared" si="74"/>
        <v>#DIV/0!</v>
      </c>
      <c r="Q42" s="188" t="e">
        <f t="shared" si="74"/>
        <v>#DIV/0!</v>
      </c>
      <c r="R42" s="188">
        <f t="shared" si="74"/>
        <v>2801.73</v>
      </c>
      <c r="S42" s="188">
        <f t="shared" si="74"/>
        <v>2489.63</v>
      </c>
      <c r="T42" s="188">
        <f>T43/T41*1000</f>
        <v>2600.7829999999999</v>
      </c>
      <c r="U42" s="188">
        <f>U43/U41*1000</f>
        <v>2584.1860000000001</v>
      </c>
      <c r="V42" s="188">
        <f>V43/V41*1000</f>
        <v>2528.44</v>
      </c>
      <c r="W42" s="189">
        <f>W43/W41*1000</f>
        <v>702.77800000000002</v>
      </c>
    </row>
    <row r="43" spans="1:25" s="206" customFormat="1" ht="18" customHeight="1">
      <c r="A43" s="610"/>
      <c r="B43" s="581"/>
      <c r="C43" s="581"/>
      <c r="D43" s="191" t="str">
        <f>серпень!D43</f>
        <v>сума, тис.грн.</v>
      </c>
      <c r="E43" s="192"/>
      <c r="F43" s="193">
        <f>F92+F137+F167+F212</f>
        <v>188.61699999999999</v>
      </c>
      <c r="G43" s="193">
        <f t="shared" ref="G43:K43" si="75">G92+G137+G167+G212</f>
        <v>235.066</v>
      </c>
      <c r="H43" s="193">
        <f t="shared" si="75"/>
        <v>107.11199999999999</v>
      </c>
      <c r="I43" s="193">
        <f t="shared" si="75"/>
        <v>0</v>
      </c>
      <c r="J43" s="193">
        <f t="shared" si="75"/>
        <v>0</v>
      </c>
      <c r="K43" s="193">
        <f t="shared" si="75"/>
        <v>0</v>
      </c>
      <c r="L43" s="194">
        <f t="shared" ref="L43:L48" si="76">SUM(F43:K43)</f>
        <v>530.79499999999996</v>
      </c>
      <c r="M43" s="194">
        <f t="shared" ref="M43:M48" si="77">L43/6</f>
        <v>88.465999999999994</v>
      </c>
      <c r="N43" s="193">
        <f>N92+N137+N167+N212</f>
        <v>0</v>
      </c>
      <c r="O43" s="193">
        <f t="shared" ref="O43:S43" si="78">O92+O137+O167+O212</f>
        <v>0</v>
      </c>
      <c r="P43" s="193">
        <f t="shared" si="78"/>
        <v>0</v>
      </c>
      <c r="Q43" s="193">
        <f t="shared" si="78"/>
        <v>0</v>
      </c>
      <c r="R43" s="193">
        <f t="shared" si="78"/>
        <v>263.923</v>
      </c>
      <c r="S43" s="193">
        <f t="shared" si="78"/>
        <v>423.98399999999998</v>
      </c>
      <c r="T43" s="194">
        <f>SUM(N43:S43)</f>
        <v>687.90700000000004</v>
      </c>
      <c r="U43" s="194">
        <f>T43+L43</f>
        <v>1218.702</v>
      </c>
      <c r="V43" s="171">
        <f>V60+V167+V212</f>
        <v>1228.8219999999999</v>
      </c>
      <c r="W43" s="193">
        <f>V43-U43</f>
        <v>10.119999999999999</v>
      </c>
    </row>
    <row r="44" spans="1:25" s="206" customFormat="1" ht="18" customHeight="1">
      <c r="A44" s="610"/>
      <c r="B44" s="581"/>
      <c r="C44" s="581"/>
      <c r="D44" s="174" t="str">
        <f>серпень!D44</f>
        <v>абоненська плата, тис.грн.</v>
      </c>
      <c r="E44" s="192"/>
      <c r="F44" s="193">
        <f>F77+F107+F122+F152</f>
        <v>0</v>
      </c>
      <c r="G44" s="193">
        <f t="shared" ref="G44:K44" si="79">G77+G107+G122+G152</f>
        <v>0</v>
      </c>
      <c r="H44" s="193">
        <f t="shared" si="79"/>
        <v>0</v>
      </c>
      <c r="I44" s="193">
        <f t="shared" si="79"/>
        <v>0</v>
      </c>
      <c r="J44" s="193">
        <f t="shared" si="79"/>
        <v>0</v>
      </c>
      <c r="K44" s="193">
        <f t="shared" si="79"/>
        <v>0</v>
      </c>
      <c r="L44" s="194">
        <f t="shared" si="76"/>
        <v>0</v>
      </c>
      <c r="M44" s="194">
        <f t="shared" si="77"/>
        <v>0</v>
      </c>
      <c r="N44" s="193">
        <f>N77+N107+N122+N152</f>
        <v>0</v>
      </c>
      <c r="O44" s="193">
        <f t="shared" ref="O44:S44" si="80">O77+O107+O122+O152</f>
        <v>0</v>
      </c>
      <c r="P44" s="193">
        <f t="shared" si="80"/>
        <v>0</v>
      </c>
      <c r="Q44" s="193">
        <f t="shared" si="80"/>
        <v>0</v>
      </c>
      <c r="R44" s="193">
        <f t="shared" si="80"/>
        <v>0</v>
      </c>
      <c r="S44" s="193">
        <f t="shared" si="80"/>
        <v>0</v>
      </c>
      <c r="T44" s="194">
        <f t="shared" ref="T44:T46" si="81">SUM(N44:S44)</f>
        <v>0</v>
      </c>
      <c r="U44" s="194">
        <f t="shared" ref="U44:U46" si="82">T44+L44</f>
        <v>0</v>
      </c>
      <c r="V44" s="171">
        <f t="shared" ref="V44" si="83">V61</f>
        <v>0</v>
      </c>
      <c r="W44" s="193">
        <f t="shared" ref="W44:W45" si="84">V44-U44</f>
        <v>0</v>
      </c>
    </row>
    <row r="45" spans="1:25" s="206" customFormat="1" ht="18" customHeight="1">
      <c r="A45" s="610"/>
      <c r="B45" s="581"/>
      <c r="C45" s="581"/>
      <c r="D45" s="174" t="str">
        <f>серпень!D45</f>
        <v>разом сума тис. грн+абонплата</v>
      </c>
      <c r="E45" s="192"/>
      <c r="F45" s="193">
        <f>F43+F44</f>
        <v>188.61699999999999</v>
      </c>
      <c r="G45" s="193">
        <f t="shared" ref="G45:K45" si="85">G43+G44</f>
        <v>235.066</v>
      </c>
      <c r="H45" s="193">
        <f t="shared" si="85"/>
        <v>107.11199999999999</v>
      </c>
      <c r="I45" s="193">
        <f t="shared" si="85"/>
        <v>0</v>
      </c>
      <c r="J45" s="193">
        <f t="shared" si="85"/>
        <v>0</v>
      </c>
      <c r="K45" s="193">
        <f t="shared" si="85"/>
        <v>0</v>
      </c>
      <c r="L45" s="194">
        <f t="shared" si="76"/>
        <v>530.79499999999996</v>
      </c>
      <c r="M45" s="194">
        <f t="shared" si="77"/>
        <v>88.465999999999994</v>
      </c>
      <c r="N45" s="193">
        <f t="shared" ref="N45:S45" si="86">N43+N44</f>
        <v>0</v>
      </c>
      <c r="O45" s="193">
        <f t="shared" si="86"/>
        <v>0</v>
      </c>
      <c r="P45" s="193">
        <f t="shared" si="86"/>
        <v>0</v>
      </c>
      <c r="Q45" s="193">
        <f t="shared" si="86"/>
        <v>0</v>
      </c>
      <c r="R45" s="193">
        <f t="shared" si="86"/>
        <v>263.923</v>
      </c>
      <c r="S45" s="193">
        <f t="shared" si="86"/>
        <v>423.98399999999998</v>
      </c>
      <c r="T45" s="194">
        <f t="shared" ref="T45" si="87">SUM(N45:S45)</f>
        <v>687.90700000000004</v>
      </c>
      <c r="U45" s="194">
        <f t="shared" si="82"/>
        <v>1218.702</v>
      </c>
      <c r="V45" s="171">
        <f>V43</f>
        <v>1228.8219999999999</v>
      </c>
      <c r="W45" s="193">
        <f t="shared" si="84"/>
        <v>10.119999999999999</v>
      </c>
    </row>
    <row r="46" spans="1:25" s="206" customFormat="1" ht="18" customHeight="1">
      <c r="A46" s="610"/>
      <c r="B46" s="581"/>
      <c r="C46" s="581"/>
      <c r="D46" s="174" t="str">
        <f>серпень!D46</f>
        <v>дотація</v>
      </c>
      <c r="E46" s="192"/>
      <c r="F46" s="193">
        <f>F63+F168+F213</f>
        <v>0</v>
      </c>
      <c r="G46" s="193">
        <f t="shared" ref="G46:K47" si="88">G63+G168+G213</f>
        <v>0</v>
      </c>
      <c r="H46" s="193">
        <f t="shared" si="88"/>
        <v>0</v>
      </c>
      <c r="I46" s="193">
        <f t="shared" si="88"/>
        <v>0</v>
      </c>
      <c r="J46" s="193">
        <f t="shared" si="88"/>
        <v>0</v>
      </c>
      <c r="K46" s="193">
        <f t="shared" si="88"/>
        <v>0</v>
      </c>
      <c r="L46" s="194">
        <f t="shared" si="76"/>
        <v>0</v>
      </c>
      <c r="M46" s="194">
        <f t="shared" si="77"/>
        <v>0</v>
      </c>
      <c r="N46" s="193">
        <f t="shared" ref="N46:S47" si="89">N63+N168+N213</f>
        <v>0</v>
      </c>
      <c r="O46" s="193">
        <f t="shared" si="89"/>
        <v>0</v>
      </c>
      <c r="P46" s="193">
        <f t="shared" si="89"/>
        <v>0</v>
      </c>
      <c r="Q46" s="193">
        <f t="shared" si="89"/>
        <v>0</v>
      </c>
      <c r="R46" s="193">
        <f t="shared" si="89"/>
        <v>0</v>
      </c>
      <c r="S46" s="193">
        <f t="shared" si="89"/>
        <v>0</v>
      </c>
      <c r="T46" s="194">
        <f t="shared" si="81"/>
        <v>0</v>
      </c>
      <c r="U46" s="194">
        <f t="shared" si="82"/>
        <v>0</v>
      </c>
      <c r="V46" s="171">
        <f t="shared" ref="V46:V47" si="90">V63+V168+V213</f>
        <v>0</v>
      </c>
      <c r="W46" s="192">
        <f>V46-U46</f>
        <v>0</v>
      </c>
    </row>
    <row r="47" spans="1:25" s="206" customFormat="1" ht="18" customHeight="1">
      <c r="A47" s="610"/>
      <c r="B47" s="581"/>
      <c r="C47" s="581"/>
      <c r="D47" s="174" t="str">
        <f>серпень!D47</f>
        <v>місцевий (план), тис.грн</v>
      </c>
      <c r="E47" s="192"/>
      <c r="F47" s="193">
        <f>F64+F169+F214</f>
        <v>0</v>
      </c>
      <c r="G47" s="193">
        <f t="shared" si="88"/>
        <v>188.61699999999999</v>
      </c>
      <c r="H47" s="193">
        <f t="shared" si="88"/>
        <v>235.066</v>
      </c>
      <c r="I47" s="193">
        <f t="shared" si="88"/>
        <v>107.179</v>
      </c>
      <c r="J47" s="193">
        <f t="shared" si="88"/>
        <v>0</v>
      </c>
      <c r="K47" s="193">
        <f t="shared" si="88"/>
        <v>0</v>
      </c>
      <c r="L47" s="194">
        <f t="shared" si="76"/>
        <v>530.86199999999997</v>
      </c>
      <c r="M47" s="194">
        <f t="shared" si="77"/>
        <v>88.477000000000004</v>
      </c>
      <c r="N47" s="193">
        <f t="shared" si="89"/>
        <v>0</v>
      </c>
      <c r="O47" s="193">
        <f t="shared" si="89"/>
        <v>0</v>
      </c>
      <c r="P47" s="193">
        <f t="shared" si="89"/>
        <v>0</v>
      </c>
      <c r="Q47" s="193">
        <f t="shared" si="89"/>
        <v>0</v>
      </c>
      <c r="R47" s="193">
        <f t="shared" si="89"/>
        <v>0</v>
      </c>
      <c r="S47" s="193">
        <f t="shared" si="89"/>
        <v>697.96</v>
      </c>
      <c r="T47" s="194">
        <f>SUM(N47:S47)</f>
        <v>697.96</v>
      </c>
      <c r="U47" s="194">
        <f>T47+L47</f>
        <v>1228.8219999999999</v>
      </c>
      <c r="V47" s="171">
        <f t="shared" si="90"/>
        <v>1228.8219999999999</v>
      </c>
      <c r="W47" s="192">
        <f>V47-U47</f>
        <v>0</v>
      </c>
    </row>
    <row r="48" spans="1:25" s="206" customFormat="1" ht="18" customHeight="1">
      <c r="A48" s="610"/>
      <c r="B48" s="581"/>
      <c r="C48" s="581"/>
      <c r="D48" s="178" t="str">
        <f>серпень!D48</f>
        <v>касові нат.п-ки 2025</v>
      </c>
      <c r="E48" s="179">
        <f t="shared" ref="E48" si="91">E65+E170+E215</f>
        <v>0</v>
      </c>
      <c r="F48" s="264">
        <f>F95+F140+F170+F215</f>
        <v>0</v>
      </c>
      <c r="G48" s="264">
        <f t="shared" ref="G48:K48" si="92">G95+G140+G170+G215</f>
        <v>77.3</v>
      </c>
      <c r="H48" s="264">
        <f t="shared" si="92"/>
        <v>89.4</v>
      </c>
      <c r="I48" s="264">
        <f t="shared" si="92"/>
        <v>40.4</v>
      </c>
      <c r="J48" s="264">
        <f>J95+J140+J170+J215</f>
        <v>0</v>
      </c>
      <c r="K48" s="264">
        <f t="shared" si="92"/>
        <v>0</v>
      </c>
      <c r="L48" s="181">
        <f t="shared" si="76"/>
        <v>207.1</v>
      </c>
      <c r="M48" s="181">
        <f t="shared" si="77"/>
        <v>34.5</v>
      </c>
      <c r="N48" s="264">
        <f>N95+N140+N170+N215</f>
        <v>0</v>
      </c>
      <c r="O48" s="264">
        <f t="shared" ref="O48:S48" si="93">O95+O140+O170+O215</f>
        <v>0</v>
      </c>
      <c r="P48" s="264">
        <f t="shared" si="93"/>
        <v>0</v>
      </c>
      <c r="Q48" s="264">
        <f t="shared" si="93"/>
        <v>0</v>
      </c>
      <c r="R48" s="264">
        <f t="shared" si="93"/>
        <v>0</v>
      </c>
      <c r="S48" s="264">
        <f t="shared" si="93"/>
        <v>264.5</v>
      </c>
      <c r="T48" s="181">
        <f>SUM(N48:S48)</f>
        <v>264.5</v>
      </c>
      <c r="U48" s="181">
        <f>T48+L48</f>
        <v>471.6</v>
      </c>
      <c r="V48" s="260">
        <f t="shared" ref="V48" si="94">V80+V95+V110+V125+V140+V155+V170+V215</f>
        <v>486</v>
      </c>
      <c r="W48" s="184">
        <f>V48-U48</f>
        <v>14.4</v>
      </c>
      <c r="X48" s="206">
        <f>U41-U48</f>
        <v>0</v>
      </c>
      <c r="Y48" s="176"/>
    </row>
    <row r="49" spans="1:24" s="206" customFormat="1" ht="18" customHeight="1">
      <c r="A49" s="610"/>
      <c r="B49" s="581"/>
      <c r="C49" s="581"/>
      <c r="D49" s="187" t="str">
        <f>серпень!D49</f>
        <v>тариф, грн.</v>
      </c>
      <c r="E49" s="188" t="e">
        <f t="shared" ref="E49:S49" si="95">E50/E48*1000</f>
        <v>#DIV/0!</v>
      </c>
      <c r="F49" s="188" t="e">
        <f t="shared" si="95"/>
        <v>#DIV/0!</v>
      </c>
      <c r="G49" s="188">
        <f t="shared" si="95"/>
        <v>2440.0650000000001</v>
      </c>
      <c r="H49" s="188">
        <f t="shared" si="95"/>
        <v>2629.3739999999998</v>
      </c>
      <c r="I49" s="188">
        <f>I50/I48*1000</f>
        <v>2651.2869999999998</v>
      </c>
      <c r="J49" s="188" t="e">
        <f>J50/J48*1000</f>
        <v>#DIV/0!</v>
      </c>
      <c r="K49" s="188" t="e">
        <f t="shared" si="95"/>
        <v>#DIV/0!</v>
      </c>
      <c r="L49" s="188">
        <f t="shared" si="95"/>
        <v>2562.989</v>
      </c>
      <c r="M49" s="188">
        <f t="shared" si="95"/>
        <v>2564.232</v>
      </c>
      <c r="N49" s="188" t="e">
        <f t="shared" si="95"/>
        <v>#DIV/0!</v>
      </c>
      <c r="O49" s="188" t="e">
        <f t="shared" si="95"/>
        <v>#DIV/0!</v>
      </c>
      <c r="P49" s="188" t="e">
        <f t="shared" si="95"/>
        <v>#DIV/0!</v>
      </c>
      <c r="Q49" s="188" t="e">
        <f t="shared" si="95"/>
        <v>#DIV/0!</v>
      </c>
      <c r="R49" s="188" t="e">
        <f t="shared" si="95"/>
        <v>#DIV/0!</v>
      </c>
      <c r="S49" s="188">
        <f t="shared" si="95"/>
        <v>2600.7829999999999</v>
      </c>
      <c r="T49" s="188">
        <f>T50/T48*1000</f>
        <v>2600.7829999999999</v>
      </c>
      <c r="U49" s="188">
        <f>U50/U48*1000</f>
        <v>2584.1860000000001</v>
      </c>
      <c r="V49" s="188">
        <f>V50/V48*1000</f>
        <v>2528.44</v>
      </c>
      <c r="W49" s="189">
        <f>W50/W48*1000</f>
        <v>702.77800000000002</v>
      </c>
    </row>
    <row r="50" spans="1:24" s="176" customFormat="1" ht="18" customHeight="1">
      <c r="A50" s="610"/>
      <c r="B50" s="581"/>
      <c r="C50" s="581"/>
      <c r="D50" s="198" t="str">
        <f>серпень!D50</f>
        <v>касові видатки, тис.грн.</v>
      </c>
      <c r="E50" s="199">
        <f t="shared" ref="E50" si="96">E67+E172+E217</f>
        <v>0</v>
      </c>
      <c r="F50" s="199">
        <f>F67+F172+F217</f>
        <v>0</v>
      </c>
      <c r="G50" s="199">
        <f t="shared" ref="F50:K52" si="97">G67+G172+G217</f>
        <v>188.61699999999999</v>
      </c>
      <c r="H50" s="199">
        <f t="shared" si="97"/>
        <v>235.066</v>
      </c>
      <c r="I50" s="199">
        <f t="shared" si="97"/>
        <v>107.11199999999999</v>
      </c>
      <c r="J50" s="199">
        <f t="shared" si="97"/>
        <v>0</v>
      </c>
      <c r="K50" s="199">
        <f t="shared" si="97"/>
        <v>0</v>
      </c>
      <c r="L50" s="199">
        <f>SUM(F50:K50)</f>
        <v>530.79499999999996</v>
      </c>
      <c r="M50" s="199">
        <f>L50/6</f>
        <v>88.465999999999994</v>
      </c>
      <c r="N50" s="199">
        <f>N67+N172+N217</f>
        <v>0</v>
      </c>
      <c r="O50" s="199">
        <f t="shared" ref="O50:S50" si="98">O67+O172+O217</f>
        <v>0</v>
      </c>
      <c r="P50" s="199">
        <f t="shared" si="98"/>
        <v>0</v>
      </c>
      <c r="Q50" s="199">
        <f t="shared" si="98"/>
        <v>0</v>
      </c>
      <c r="R50" s="199">
        <f t="shared" si="98"/>
        <v>0</v>
      </c>
      <c r="S50" s="199">
        <f t="shared" si="98"/>
        <v>687.90700000000004</v>
      </c>
      <c r="T50" s="199">
        <f>SUM(N50:S50)</f>
        <v>687.90700000000004</v>
      </c>
      <c r="U50" s="199">
        <f>T50+L50</f>
        <v>1218.702</v>
      </c>
      <c r="V50" s="175">
        <f>V67+V172+V217</f>
        <v>1228.8219999999999</v>
      </c>
      <c r="W50" s="200">
        <f>V50-U50</f>
        <v>10.119999999999999</v>
      </c>
      <c r="X50" s="176">
        <f>U45-U50</f>
        <v>0</v>
      </c>
    </row>
    <row r="51" spans="1:24" s="176" customFormat="1" ht="18" customHeight="1">
      <c r="A51" s="610"/>
      <c r="B51" s="581"/>
      <c r="C51" s="581"/>
      <c r="D51" s="201" t="str">
        <f>серпень!D51</f>
        <v>дотація</v>
      </c>
      <c r="E51" s="199"/>
      <c r="F51" s="199">
        <f>F68+F173+F218</f>
        <v>0</v>
      </c>
      <c r="G51" s="199">
        <f t="shared" si="97"/>
        <v>0</v>
      </c>
      <c r="H51" s="199">
        <f t="shared" si="97"/>
        <v>0</v>
      </c>
      <c r="I51" s="199">
        <f t="shared" si="97"/>
        <v>0</v>
      </c>
      <c r="J51" s="199">
        <f t="shared" si="97"/>
        <v>0</v>
      </c>
      <c r="K51" s="199">
        <f t="shared" si="97"/>
        <v>0</v>
      </c>
      <c r="L51" s="199">
        <f>SUM(F51:K51)</f>
        <v>0</v>
      </c>
      <c r="M51" s="199">
        <f>L51/6</f>
        <v>0</v>
      </c>
      <c r="N51" s="199">
        <f t="shared" ref="N51:S52" si="99">N68+N173+N218</f>
        <v>0</v>
      </c>
      <c r="O51" s="199">
        <f t="shared" si="99"/>
        <v>0</v>
      </c>
      <c r="P51" s="199">
        <f t="shared" si="99"/>
        <v>0</v>
      </c>
      <c r="Q51" s="199">
        <f t="shared" si="99"/>
        <v>0</v>
      </c>
      <c r="R51" s="199">
        <f t="shared" si="99"/>
        <v>0</v>
      </c>
      <c r="S51" s="199">
        <f t="shared" si="99"/>
        <v>0</v>
      </c>
      <c r="T51" s="199">
        <f>SUM(N51:S51)</f>
        <v>0</v>
      </c>
      <c r="U51" s="199">
        <f>T51+L51</f>
        <v>0</v>
      </c>
      <c r="V51" s="175">
        <f>V68+V173+V218</f>
        <v>0</v>
      </c>
      <c r="W51" s="200">
        <f>V51-U51</f>
        <v>0</v>
      </c>
      <c r="X51" s="176">
        <f>U46-U51</f>
        <v>0</v>
      </c>
    </row>
    <row r="52" spans="1:24" s="176" customFormat="1" ht="18" customHeight="1">
      <c r="A52" s="610"/>
      <c r="B52" s="581"/>
      <c r="C52" s="581"/>
      <c r="D52" s="201" t="str">
        <f>серпень!D52</f>
        <v xml:space="preserve">місцевий </v>
      </c>
      <c r="E52" s="199"/>
      <c r="F52" s="199">
        <f t="shared" si="97"/>
        <v>0</v>
      </c>
      <c r="G52" s="199">
        <f t="shared" si="97"/>
        <v>188.61699999999999</v>
      </c>
      <c r="H52" s="199">
        <f t="shared" si="97"/>
        <v>235.066</v>
      </c>
      <c r="I52" s="199">
        <f>I69+I174+I219</f>
        <v>107.11199999999999</v>
      </c>
      <c r="J52" s="199">
        <f t="shared" si="97"/>
        <v>0</v>
      </c>
      <c r="K52" s="199">
        <f t="shared" si="97"/>
        <v>0</v>
      </c>
      <c r="L52" s="199">
        <f>SUM(F52:K52)</f>
        <v>530.79499999999996</v>
      </c>
      <c r="M52" s="199">
        <f>L52/6</f>
        <v>88.465999999999994</v>
      </c>
      <c r="N52" s="199">
        <f t="shared" si="99"/>
        <v>0</v>
      </c>
      <c r="O52" s="199">
        <f t="shared" si="99"/>
        <v>0</v>
      </c>
      <c r="P52" s="199">
        <f t="shared" si="99"/>
        <v>0</v>
      </c>
      <c r="Q52" s="199">
        <f t="shared" si="99"/>
        <v>0</v>
      </c>
      <c r="R52" s="199">
        <f t="shared" si="99"/>
        <v>0</v>
      </c>
      <c r="S52" s="199">
        <f t="shared" si="99"/>
        <v>687.90700000000004</v>
      </c>
      <c r="T52" s="199">
        <f>SUM(N52:S52)</f>
        <v>687.90700000000004</v>
      </c>
      <c r="U52" s="199">
        <f>T52+L52</f>
        <v>1218.702</v>
      </c>
      <c r="V52" s="175">
        <f>V69+V174+V219</f>
        <v>1228.8219999999999</v>
      </c>
      <c r="W52" s="200">
        <f>V52-U52</f>
        <v>10.119999999999999</v>
      </c>
      <c r="X52" s="176">
        <f>U47-U52</f>
        <v>10.119999999999999</v>
      </c>
    </row>
    <row r="53" spans="1:24" s="205" customFormat="1" ht="18" customHeight="1">
      <c r="A53" s="610"/>
      <c r="B53" s="581"/>
      <c r="C53" s="581"/>
      <c r="D53" s="202" t="str">
        <f>серпень!D53</f>
        <v>план</v>
      </c>
      <c r="E53" s="203"/>
      <c r="F53" s="203">
        <f t="shared" ref="F53:K53" si="100">F47</f>
        <v>0</v>
      </c>
      <c r="G53" s="203">
        <f t="shared" si="100"/>
        <v>188.61699999999999</v>
      </c>
      <c r="H53" s="203">
        <f t="shared" si="100"/>
        <v>235.066</v>
      </c>
      <c r="I53" s="203">
        <f t="shared" si="100"/>
        <v>107.179</v>
      </c>
      <c r="J53" s="203">
        <f t="shared" si="100"/>
        <v>0</v>
      </c>
      <c r="K53" s="203">
        <f t="shared" si="100"/>
        <v>0</v>
      </c>
      <c r="L53" s="203">
        <f>SUM(F53:K53)</f>
        <v>530.86199999999997</v>
      </c>
      <c r="M53" s="203">
        <f>L53/6</f>
        <v>88.477000000000004</v>
      </c>
      <c r="N53" s="203">
        <f>N47+N46</f>
        <v>0</v>
      </c>
      <c r="O53" s="203">
        <f t="shared" ref="O53:S53" si="101">O47+O46</f>
        <v>0</v>
      </c>
      <c r="P53" s="203">
        <f t="shared" si="101"/>
        <v>0</v>
      </c>
      <c r="Q53" s="203">
        <f t="shared" si="101"/>
        <v>0</v>
      </c>
      <c r="R53" s="203">
        <f t="shared" si="101"/>
        <v>0</v>
      </c>
      <c r="S53" s="203">
        <f t="shared" si="101"/>
        <v>697.96</v>
      </c>
      <c r="T53" s="203">
        <f>SUM(N53:S53)</f>
        <v>697.96</v>
      </c>
      <c r="U53" s="203">
        <f>T53+L53</f>
        <v>1228.8219999999999</v>
      </c>
      <c r="V53" s="204">
        <f>V47+V46</f>
        <v>1228.8219999999999</v>
      </c>
      <c r="W53" s="203">
        <f>V53-U53</f>
        <v>0</v>
      </c>
    </row>
    <row r="54" spans="1:24" s="205" customFormat="1" ht="18" customHeight="1">
      <c r="A54" s="610"/>
      <c r="B54" s="581"/>
      <c r="C54" s="581"/>
      <c r="D54" s="202" t="str">
        <f>серпень!D54</f>
        <v xml:space="preserve">відхилення </v>
      </c>
      <c r="E54" s="203"/>
      <c r="F54" s="203">
        <f t="shared" ref="F54:K54" si="102">F50-F53</f>
        <v>0</v>
      </c>
      <c r="G54" s="203">
        <f t="shared" si="102"/>
        <v>0</v>
      </c>
      <c r="H54" s="203">
        <f t="shared" si="102"/>
        <v>0</v>
      </c>
      <c r="I54" s="203">
        <f t="shared" si="102"/>
        <v>-6.7000000000000004E-2</v>
      </c>
      <c r="J54" s="203">
        <f t="shared" si="102"/>
        <v>0</v>
      </c>
      <c r="K54" s="203">
        <f t="shared" si="102"/>
        <v>0</v>
      </c>
      <c r="L54" s="203"/>
      <c r="M54" s="203"/>
      <c r="N54" s="203">
        <f t="shared" ref="N54:S54" si="103">N50-N53</f>
        <v>0</v>
      </c>
      <c r="O54" s="203">
        <f t="shared" si="103"/>
        <v>0</v>
      </c>
      <c r="P54" s="203">
        <f t="shared" si="103"/>
        <v>0</v>
      </c>
      <c r="Q54" s="203">
        <f t="shared" si="103"/>
        <v>0</v>
      </c>
      <c r="R54" s="203">
        <f t="shared" si="103"/>
        <v>0</v>
      </c>
      <c r="S54" s="203">
        <f t="shared" si="103"/>
        <v>-10.053000000000001</v>
      </c>
      <c r="T54" s="203"/>
      <c r="U54" s="203"/>
      <c r="V54" s="203"/>
      <c r="W54" s="203"/>
    </row>
    <row r="55" spans="1:24" s="205" customFormat="1" ht="18" customHeight="1">
      <c r="A55" s="610"/>
      <c r="B55" s="581"/>
      <c r="C55" s="581"/>
      <c r="D55" s="202" t="str">
        <f>серпень!D55</f>
        <v>відхилення з наростаючим</v>
      </c>
      <c r="E55" s="203"/>
      <c r="F55" s="203">
        <f>F54</f>
        <v>0</v>
      </c>
      <c r="G55" s="203">
        <f>G54+F55</f>
        <v>0</v>
      </c>
      <c r="H55" s="203">
        <f>H54+G55</f>
        <v>0</v>
      </c>
      <c r="I55" s="203">
        <f>I54+H55</f>
        <v>-6.7000000000000004E-2</v>
      </c>
      <c r="J55" s="203">
        <f>J54+I55</f>
        <v>-6.7000000000000004E-2</v>
      </c>
      <c r="K55" s="203">
        <f>K54+J55</f>
        <v>-6.7000000000000004E-2</v>
      </c>
      <c r="L55" s="203"/>
      <c r="M55" s="203"/>
      <c r="N55" s="203">
        <f>N54+K55</f>
        <v>-6.7000000000000004E-2</v>
      </c>
      <c r="O55" s="203">
        <f>O54+N55</f>
        <v>-6.7000000000000004E-2</v>
      </c>
      <c r="P55" s="203">
        <f>P54+O55</f>
        <v>-6.7000000000000004E-2</v>
      </c>
      <c r="Q55" s="203">
        <f>Q54+P55</f>
        <v>-6.7000000000000004E-2</v>
      </c>
      <c r="R55" s="203">
        <f>R54+Q55</f>
        <v>-6.7000000000000004E-2</v>
      </c>
      <c r="S55" s="203">
        <f>S54+R55</f>
        <v>-10.119999999999999</v>
      </c>
      <c r="T55" s="203"/>
      <c r="U55" s="203"/>
      <c r="V55" s="203"/>
      <c r="W55" s="203"/>
    </row>
    <row r="56" spans="1:24" s="209" customFormat="1" ht="18" hidden="1" customHeight="1">
      <c r="A56" s="610"/>
      <c r="B56" s="580" t="s">
        <v>53</v>
      </c>
      <c r="C56" s="575"/>
      <c r="D56" s="178" t="str">
        <f>серпень!D56</f>
        <v>факт. нат.п-ки 2023</v>
      </c>
      <c r="E56" s="179"/>
      <c r="F56" s="180">
        <f t="shared" ref="F56:K58" si="104">F73+F88+F103+F118+F133+F148</f>
        <v>0</v>
      </c>
      <c r="G56" s="180">
        <f t="shared" si="104"/>
        <v>0</v>
      </c>
      <c r="H56" s="180">
        <f t="shared" si="104"/>
        <v>0</v>
      </c>
      <c r="I56" s="180">
        <f t="shared" si="104"/>
        <v>0</v>
      </c>
      <c r="J56" s="180">
        <f t="shared" si="104"/>
        <v>0</v>
      </c>
      <c r="K56" s="180">
        <f t="shared" si="104"/>
        <v>0</v>
      </c>
      <c r="L56" s="207">
        <f>SUM(F56:K56)</f>
        <v>0</v>
      </c>
      <c r="M56" s="207">
        <f>L56/6</f>
        <v>0</v>
      </c>
      <c r="N56" s="180">
        <f t="shared" ref="N56:S58" si="105">N73+N88+N103+N118+N133+N148</f>
        <v>0</v>
      </c>
      <c r="O56" s="180">
        <f t="shared" si="105"/>
        <v>0</v>
      </c>
      <c r="P56" s="180">
        <f t="shared" si="105"/>
        <v>0</v>
      </c>
      <c r="Q56" s="180">
        <f t="shared" si="105"/>
        <v>0</v>
      </c>
      <c r="R56" s="180">
        <f t="shared" si="105"/>
        <v>0</v>
      </c>
      <c r="S56" s="180">
        <f t="shared" si="105"/>
        <v>0</v>
      </c>
      <c r="T56" s="207">
        <f>SUM(N56:S56)</f>
        <v>0</v>
      </c>
      <c r="U56" s="208">
        <f>T56+L56</f>
        <v>0</v>
      </c>
      <c r="V56" s="183">
        <f>V88+V133</f>
        <v>0</v>
      </c>
      <c r="W56" s="184"/>
    </row>
    <row r="57" spans="1:24" s="209" customFormat="1" ht="18.649999999999999" hidden="1" customHeight="1">
      <c r="A57" s="610"/>
      <c r="B57" s="576"/>
      <c r="C57" s="577"/>
      <c r="D57" s="178" t="str">
        <f>серпень!D57</f>
        <v>факт. нат.п-ки 2024</v>
      </c>
      <c r="E57" s="179"/>
      <c r="F57" s="180">
        <f t="shared" si="104"/>
        <v>0</v>
      </c>
      <c r="G57" s="180">
        <f t="shared" si="104"/>
        <v>0</v>
      </c>
      <c r="H57" s="180">
        <f t="shared" si="104"/>
        <v>0</v>
      </c>
      <c r="I57" s="180">
        <f t="shared" si="104"/>
        <v>0</v>
      </c>
      <c r="J57" s="180">
        <f t="shared" si="104"/>
        <v>0</v>
      </c>
      <c r="K57" s="180">
        <f t="shared" si="104"/>
        <v>0</v>
      </c>
      <c r="L57" s="207">
        <f>SUM(F57:K57)</f>
        <v>0</v>
      </c>
      <c r="M57" s="207">
        <f>L57/6</f>
        <v>0</v>
      </c>
      <c r="N57" s="179">
        <f t="shared" si="105"/>
        <v>0</v>
      </c>
      <c r="O57" s="179">
        <f t="shared" si="105"/>
        <v>0</v>
      </c>
      <c r="P57" s="179">
        <f t="shared" si="105"/>
        <v>0</v>
      </c>
      <c r="Q57" s="179">
        <f t="shared" si="105"/>
        <v>0</v>
      </c>
      <c r="R57" s="179">
        <f t="shared" si="105"/>
        <v>0</v>
      </c>
      <c r="S57" s="179">
        <f t="shared" si="105"/>
        <v>0</v>
      </c>
      <c r="T57" s="207">
        <f>SUM(N57:S57)</f>
        <v>0</v>
      </c>
      <c r="U57" s="208">
        <f>T57+L57</f>
        <v>0</v>
      </c>
      <c r="V57" s="183">
        <f>V89+V134</f>
        <v>0</v>
      </c>
      <c r="W57" s="184"/>
    </row>
    <row r="58" spans="1:24" s="209" customFormat="1" ht="18" hidden="1" customHeight="1">
      <c r="A58" s="610"/>
      <c r="B58" s="576"/>
      <c r="C58" s="577"/>
      <c r="D58" s="178" t="str">
        <f>серпень!D58</f>
        <v>факт. нат.п-ки 2025</v>
      </c>
      <c r="E58" s="179"/>
      <c r="F58" s="180">
        <f t="shared" si="104"/>
        <v>0</v>
      </c>
      <c r="G58" s="180">
        <f t="shared" si="104"/>
        <v>0</v>
      </c>
      <c r="H58" s="180">
        <f t="shared" si="104"/>
        <v>0</v>
      </c>
      <c r="I58" s="180">
        <f t="shared" si="104"/>
        <v>0</v>
      </c>
      <c r="J58" s="180">
        <f t="shared" si="104"/>
        <v>0</v>
      </c>
      <c r="K58" s="180">
        <f t="shared" si="104"/>
        <v>0</v>
      </c>
      <c r="L58" s="207">
        <f>SUM(F58:K58)</f>
        <v>0</v>
      </c>
      <c r="M58" s="207">
        <f>L58/6</f>
        <v>0</v>
      </c>
      <c r="N58" s="179">
        <f t="shared" si="105"/>
        <v>0</v>
      </c>
      <c r="O58" s="179">
        <f t="shared" si="105"/>
        <v>0</v>
      </c>
      <c r="P58" s="179">
        <f t="shared" si="105"/>
        <v>0</v>
      </c>
      <c r="Q58" s="179">
        <f t="shared" si="105"/>
        <v>0</v>
      </c>
      <c r="R58" s="179">
        <f t="shared" si="105"/>
        <v>0</v>
      </c>
      <c r="S58" s="179">
        <f t="shared" si="105"/>
        <v>0</v>
      </c>
      <c r="T58" s="207">
        <f>SUM(N58:S58)</f>
        <v>0</v>
      </c>
      <c r="U58" s="208">
        <f>T58+L58</f>
        <v>0</v>
      </c>
      <c r="V58" s="233">
        <f>V90+V135</f>
        <v>0</v>
      </c>
      <c r="W58" s="184">
        <f>V58-U58</f>
        <v>0</v>
      </c>
    </row>
    <row r="59" spans="1:24" s="209" customFormat="1" ht="18" hidden="1" customHeight="1">
      <c r="A59" s="610"/>
      <c r="B59" s="576"/>
      <c r="C59" s="577"/>
      <c r="D59" s="187" t="str">
        <f>серпень!D59</f>
        <v>тариф, грн.</v>
      </c>
      <c r="E59" s="188"/>
      <c r="F59" s="188" t="e">
        <f t="shared" ref="F59:S59" si="106">F60/F58*1000</f>
        <v>#DIV/0!</v>
      </c>
      <c r="G59" s="188" t="e">
        <f t="shared" si="106"/>
        <v>#DIV/0!</v>
      </c>
      <c r="H59" s="188" t="e">
        <f t="shared" si="106"/>
        <v>#DIV/0!</v>
      </c>
      <c r="I59" s="188" t="e">
        <f>I60/I58*1000</f>
        <v>#DIV/0!</v>
      </c>
      <c r="J59" s="188" t="e">
        <f>J60/J58*1000</f>
        <v>#DIV/0!</v>
      </c>
      <c r="K59" s="188" t="e">
        <f t="shared" si="106"/>
        <v>#DIV/0!</v>
      </c>
      <c r="L59" s="188" t="e">
        <f t="shared" si="106"/>
        <v>#DIV/0!</v>
      </c>
      <c r="M59" s="188" t="e">
        <f t="shared" si="106"/>
        <v>#DIV/0!</v>
      </c>
      <c r="N59" s="188" t="e">
        <f t="shared" si="106"/>
        <v>#DIV/0!</v>
      </c>
      <c r="O59" s="188" t="e">
        <f t="shared" si="106"/>
        <v>#DIV/0!</v>
      </c>
      <c r="P59" s="188" t="e">
        <f t="shared" si="106"/>
        <v>#DIV/0!</v>
      </c>
      <c r="Q59" s="188" t="e">
        <f t="shared" si="106"/>
        <v>#DIV/0!</v>
      </c>
      <c r="R59" s="188" t="e">
        <f t="shared" si="106"/>
        <v>#DIV/0!</v>
      </c>
      <c r="S59" s="188" t="e">
        <f t="shared" si="106"/>
        <v>#DIV/0!</v>
      </c>
      <c r="T59" s="188" t="e">
        <f>T60/T58*1000</f>
        <v>#DIV/0!</v>
      </c>
      <c r="U59" s="188" t="e">
        <f>U60/U58*1000</f>
        <v>#DIV/0!</v>
      </c>
      <c r="V59" s="188" t="e">
        <f>V60/V58*1000</f>
        <v>#DIV/0!</v>
      </c>
      <c r="W59" s="189" t="e">
        <f>W60/W58*1000</f>
        <v>#DIV/0!</v>
      </c>
    </row>
    <row r="60" spans="1:24" s="209" customFormat="1" ht="18" hidden="1" customHeight="1">
      <c r="A60" s="610"/>
      <c r="B60" s="576"/>
      <c r="C60" s="577"/>
      <c r="D60" s="191" t="str">
        <f>серпень!D60</f>
        <v>сума, тис.грн.</v>
      </c>
      <c r="E60" s="192"/>
      <c r="F60" s="192">
        <f>F92+F137</f>
        <v>0</v>
      </c>
      <c r="G60" s="192">
        <f t="shared" ref="G60:K60" si="107">G92+G137</f>
        <v>0</v>
      </c>
      <c r="H60" s="192">
        <f t="shared" si="107"/>
        <v>0</v>
      </c>
      <c r="I60" s="192">
        <f t="shared" si="107"/>
        <v>0</v>
      </c>
      <c r="J60" s="192">
        <f t="shared" si="107"/>
        <v>0</v>
      </c>
      <c r="K60" s="192">
        <f t="shared" si="107"/>
        <v>0</v>
      </c>
      <c r="L60" s="192">
        <f t="shared" ref="L60:L65" si="108">SUM(F60:K60)</f>
        <v>0</v>
      </c>
      <c r="M60" s="192">
        <f t="shared" ref="M60:M65" si="109">L60/6</f>
        <v>0</v>
      </c>
      <c r="N60" s="192">
        <f>N92+N137</f>
        <v>0</v>
      </c>
      <c r="O60" s="192">
        <f t="shared" ref="O60:S60" si="110">O92+O137</f>
        <v>0</v>
      </c>
      <c r="P60" s="192">
        <f t="shared" si="110"/>
        <v>0</v>
      </c>
      <c r="Q60" s="192">
        <f t="shared" si="110"/>
        <v>0</v>
      </c>
      <c r="R60" s="192">
        <f t="shared" si="110"/>
        <v>0</v>
      </c>
      <c r="S60" s="192">
        <f t="shared" si="110"/>
        <v>0</v>
      </c>
      <c r="T60" s="192">
        <f t="shared" ref="T60:T65" si="111">SUM(N60:S60)</f>
        <v>0</v>
      </c>
      <c r="U60" s="192">
        <f t="shared" ref="U60:U65" si="112">T60+L60</f>
        <v>0</v>
      </c>
      <c r="V60" s="192">
        <f t="shared" ref="V60" si="113">V92+V137</f>
        <v>0</v>
      </c>
      <c r="W60" s="193">
        <f>V60-U60</f>
        <v>0</v>
      </c>
    </row>
    <row r="61" spans="1:24" s="209" customFormat="1" ht="18" hidden="1" customHeight="1">
      <c r="A61" s="610"/>
      <c r="B61" s="576"/>
      <c r="C61" s="577"/>
      <c r="D61" s="174" t="str">
        <f>серпень!D61</f>
        <v>абоненська плата, тис.грн.</v>
      </c>
      <c r="E61" s="192"/>
      <c r="F61" s="192">
        <f>F77+F107+F122+F152</f>
        <v>0</v>
      </c>
      <c r="G61" s="192">
        <f t="shared" ref="G61:K61" si="114">G77+G107+G122+G152</f>
        <v>0</v>
      </c>
      <c r="H61" s="192">
        <f t="shared" si="114"/>
        <v>0</v>
      </c>
      <c r="I61" s="192">
        <f t="shared" si="114"/>
        <v>0</v>
      </c>
      <c r="J61" s="192">
        <f t="shared" si="114"/>
        <v>0</v>
      </c>
      <c r="K61" s="192">
        <f t="shared" si="114"/>
        <v>0</v>
      </c>
      <c r="L61" s="192">
        <f t="shared" si="108"/>
        <v>0</v>
      </c>
      <c r="M61" s="192">
        <f t="shared" si="109"/>
        <v>0</v>
      </c>
      <c r="N61" s="192">
        <f>N77+N107+N122+N152</f>
        <v>0</v>
      </c>
      <c r="O61" s="192">
        <f t="shared" ref="O61:S61" si="115">O77+O107+O122+O152</f>
        <v>0</v>
      </c>
      <c r="P61" s="192">
        <f t="shared" si="115"/>
        <v>0</v>
      </c>
      <c r="Q61" s="192">
        <f t="shared" si="115"/>
        <v>0</v>
      </c>
      <c r="R61" s="192">
        <f t="shared" si="115"/>
        <v>0</v>
      </c>
      <c r="S61" s="192">
        <f t="shared" si="115"/>
        <v>0</v>
      </c>
      <c r="T61" s="192">
        <f t="shared" si="111"/>
        <v>0</v>
      </c>
      <c r="U61" s="192">
        <f t="shared" si="112"/>
        <v>0</v>
      </c>
      <c r="V61" s="192">
        <f t="shared" ref="V61" si="116">V77+V107+V122+V152</f>
        <v>0</v>
      </c>
      <c r="W61" s="193">
        <f t="shared" ref="W61:W63" si="117">V61-U61</f>
        <v>0</v>
      </c>
    </row>
    <row r="62" spans="1:24" s="209" customFormat="1" ht="18" hidden="1" customHeight="1">
      <c r="A62" s="610"/>
      <c r="B62" s="576"/>
      <c r="C62" s="577"/>
      <c r="D62" s="174" t="str">
        <f>серпень!D62</f>
        <v>разом сума тис. грн+абонплата</v>
      </c>
      <c r="E62" s="192"/>
      <c r="F62" s="192">
        <f>F60+F61</f>
        <v>0</v>
      </c>
      <c r="G62" s="192">
        <f t="shared" ref="G62:K62" si="118">G60+G61</f>
        <v>0</v>
      </c>
      <c r="H62" s="192">
        <f t="shared" si="118"/>
        <v>0</v>
      </c>
      <c r="I62" s="192">
        <f t="shared" si="118"/>
        <v>0</v>
      </c>
      <c r="J62" s="192">
        <f t="shared" si="118"/>
        <v>0</v>
      </c>
      <c r="K62" s="192">
        <f t="shared" si="118"/>
        <v>0</v>
      </c>
      <c r="L62" s="192">
        <f t="shared" si="108"/>
        <v>0</v>
      </c>
      <c r="M62" s="192">
        <f t="shared" si="109"/>
        <v>0</v>
      </c>
      <c r="N62" s="192">
        <f t="shared" ref="N62:S62" si="119">N60+N61</f>
        <v>0</v>
      </c>
      <c r="O62" s="192">
        <f t="shared" si="119"/>
        <v>0</v>
      </c>
      <c r="P62" s="192">
        <f t="shared" si="119"/>
        <v>0</v>
      </c>
      <c r="Q62" s="192">
        <f t="shared" si="119"/>
        <v>0</v>
      </c>
      <c r="R62" s="192">
        <f t="shared" si="119"/>
        <v>0</v>
      </c>
      <c r="S62" s="192">
        <f t="shared" si="119"/>
        <v>0</v>
      </c>
      <c r="T62" s="192">
        <f t="shared" si="111"/>
        <v>0</v>
      </c>
      <c r="U62" s="192">
        <f t="shared" si="112"/>
        <v>0</v>
      </c>
      <c r="V62" s="192">
        <f t="shared" ref="V62" si="120">V60+V61</f>
        <v>0</v>
      </c>
      <c r="W62" s="193">
        <f t="shared" si="117"/>
        <v>0</v>
      </c>
    </row>
    <row r="63" spans="1:24" s="209" customFormat="1" ht="18" hidden="1" customHeight="1">
      <c r="A63" s="610"/>
      <c r="B63" s="576"/>
      <c r="C63" s="577"/>
      <c r="D63" s="174" t="str">
        <f>серпень!D63</f>
        <v>дотація</v>
      </c>
      <c r="E63" s="210"/>
      <c r="F63" s="192">
        <f t="shared" ref="F63:K64" si="121">F78+F93+F108+F123+F138+F153</f>
        <v>0</v>
      </c>
      <c r="G63" s="192">
        <f t="shared" si="121"/>
        <v>0</v>
      </c>
      <c r="H63" s="192">
        <f t="shared" si="121"/>
        <v>0</v>
      </c>
      <c r="I63" s="192">
        <f t="shared" si="121"/>
        <v>0</v>
      </c>
      <c r="J63" s="192">
        <f t="shared" si="121"/>
        <v>0</v>
      </c>
      <c r="K63" s="192">
        <f t="shared" si="121"/>
        <v>0</v>
      </c>
      <c r="L63" s="192">
        <f t="shared" si="108"/>
        <v>0</v>
      </c>
      <c r="M63" s="192">
        <f t="shared" si="109"/>
        <v>0</v>
      </c>
      <c r="N63" s="192">
        <f t="shared" ref="N63:S64" si="122">N78+N93+N108+N123+N138+N153</f>
        <v>0</v>
      </c>
      <c r="O63" s="192">
        <f t="shared" si="122"/>
        <v>0</v>
      </c>
      <c r="P63" s="192">
        <f t="shared" si="122"/>
        <v>0</v>
      </c>
      <c r="Q63" s="192">
        <f t="shared" si="122"/>
        <v>0</v>
      </c>
      <c r="R63" s="192">
        <f t="shared" si="122"/>
        <v>0</v>
      </c>
      <c r="S63" s="192">
        <f t="shared" si="122"/>
        <v>0</v>
      </c>
      <c r="T63" s="192">
        <f t="shared" si="111"/>
        <v>0</v>
      </c>
      <c r="U63" s="192">
        <f t="shared" si="112"/>
        <v>0</v>
      </c>
      <c r="V63" s="192">
        <f t="shared" ref="V63:V65" si="123">V78+V93+V108+V123+V138+V153</f>
        <v>0</v>
      </c>
      <c r="W63" s="211">
        <f t="shared" si="117"/>
        <v>0</v>
      </c>
    </row>
    <row r="64" spans="1:24" s="209" customFormat="1" ht="18" hidden="1" customHeight="1">
      <c r="A64" s="610"/>
      <c r="B64" s="576"/>
      <c r="C64" s="577"/>
      <c r="D64" s="174" t="str">
        <f>серпень!D64</f>
        <v>місцевий (план), тис.грн</v>
      </c>
      <c r="E64" s="210"/>
      <c r="F64" s="192">
        <f>F79+F94+F109+F124+F139+F154</f>
        <v>0</v>
      </c>
      <c r="G64" s="192">
        <f t="shared" si="121"/>
        <v>0</v>
      </c>
      <c r="H64" s="192">
        <f t="shared" si="121"/>
        <v>0</v>
      </c>
      <c r="I64" s="192">
        <f t="shared" si="121"/>
        <v>0</v>
      </c>
      <c r="J64" s="192">
        <f t="shared" si="121"/>
        <v>0</v>
      </c>
      <c r="K64" s="192">
        <f t="shared" si="121"/>
        <v>0</v>
      </c>
      <c r="L64" s="192">
        <f t="shared" si="108"/>
        <v>0</v>
      </c>
      <c r="M64" s="192">
        <f t="shared" si="109"/>
        <v>0</v>
      </c>
      <c r="N64" s="192">
        <f t="shared" si="122"/>
        <v>0</v>
      </c>
      <c r="O64" s="192">
        <f t="shared" si="122"/>
        <v>0</v>
      </c>
      <c r="P64" s="192">
        <f t="shared" si="122"/>
        <v>0</v>
      </c>
      <c r="Q64" s="192">
        <f t="shared" si="122"/>
        <v>0</v>
      </c>
      <c r="R64" s="192">
        <f t="shared" si="122"/>
        <v>0</v>
      </c>
      <c r="S64" s="192">
        <f t="shared" si="122"/>
        <v>0</v>
      </c>
      <c r="T64" s="192">
        <f t="shared" si="111"/>
        <v>0</v>
      </c>
      <c r="U64" s="192">
        <f t="shared" si="112"/>
        <v>0</v>
      </c>
      <c r="V64" s="192">
        <f t="shared" si="123"/>
        <v>0</v>
      </c>
      <c r="W64" s="193">
        <f>V64-U64</f>
        <v>0</v>
      </c>
    </row>
    <row r="65" spans="1:24" s="209" customFormat="1" ht="18" hidden="1" customHeight="1">
      <c r="A65" s="610"/>
      <c r="B65" s="576"/>
      <c r="C65" s="577"/>
      <c r="D65" s="178" t="str">
        <f>серпень!D65</f>
        <v>касові нат.п-ки 2025</v>
      </c>
      <c r="E65" s="260">
        <f>E80+E95+E110+E125+E140+E155</f>
        <v>0</v>
      </c>
      <c r="F65" s="256">
        <f>F95+F140</f>
        <v>0</v>
      </c>
      <c r="G65" s="256">
        <f t="shared" ref="G65:K65" si="124">G95+G140</f>
        <v>0</v>
      </c>
      <c r="H65" s="256">
        <f t="shared" si="124"/>
        <v>0</v>
      </c>
      <c r="I65" s="256">
        <f t="shared" si="124"/>
        <v>0</v>
      </c>
      <c r="J65" s="256">
        <f t="shared" si="124"/>
        <v>0</v>
      </c>
      <c r="K65" s="256">
        <f t="shared" si="124"/>
        <v>0</v>
      </c>
      <c r="L65" s="207">
        <f t="shared" si="108"/>
        <v>0</v>
      </c>
      <c r="M65" s="207">
        <f t="shared" si="109"/>
        <v>0</v>
      </c>
      <c r="N65" s="256">
        <f>N95+N140</f>
        <v>0</v>
      </c>
      <c r="O65" s="256">
        <f t="shared" ref="O65:S65" si="125">O95+O140</f>
        <v>0</v>
      </c>
      <c r="P65" s="256">
        <f t="shared" si="125"/>
        <v>0</v>
      </c>
      <c r="Q65" s="256">
        <f t="shared" si="125"/>
        <v>0</v>
      </c>
      <c r="R65" s="256">
        <f t="shared" si="125"/>
        <v>0</v>
      </c>
      <c r="S65" s="256">
        <f t="shared" si="125"/>
        <v>0</v>
      </c>
      <c r="T65" s="207">
        <f t="shared" si="111"/>
        <v>0</v>
      </c>
      <c r="U65" s="207">
        <f t="shared" si="112"/>
        <v>0</v>
      </c>
      <c r="V65" s="184">
        <f t="shared" si="123"/>
        <v>0</v>
      </c>
      <c r="W65" s="184">
        <f>V65-U65</f>
        <v>0</v>
      </c>
      <c r="X65" s="209">
        <f>U58-U65</f>
        <v>0</v>
      </c>
    </row>
    <row r="66" spans="1:24" s="209" customFormat="1" ht="18" hidden="1" customHeight="1">
      <c r="A66" s="610"/>
      <c r="B66" s="576"/>
      <c r="C66" s="577"/>
      <c r="D66" s="187" t="str">
        <f>серпень!D66</f>
        <v>тариф, грн.</v>
      </c>
      <c r="E66" s="188" t="e">
        <f t="shared" ref="E66:S66" si="126">E67/E65*1000</f>
        <v>#DIV/0!</v>
      </c>
      <c r="F66" s="188" t="e">
        <f t="shared" si="126"/>
        <v>#DIV/0!</v>
      </c>
      <c r="G66" s="188" t="e">
        <f t="shared" si="126"/>
        <v>#DIV/0!</v>
      </c>
      <c r="H66" s="188" t="e">
        <f t="shared" si="126"/>
        <v>#DIV/0!</v>
      </c>
      <c r="I66" s="188" t="e">
        <f>I67/I65*1000</f>
        <v>#DIV/0!</v>
      </c>
      <c r="J66" s="188" t="e">
        <f>J67/J65*1000</f>
        <v>#DIV/0!</v>
      </c>
      <c r="K66" s="188" t="e">
        <f t="shared" si="126"/>
        <v>#DIV/0!</v>
      </c>
      <c r="L66" s="188" t="e">
        <f t="shared" si="126"/>
        <v>#DIV/0!</v>
      </c>
      <c r="M66" s="188" t="e">
        <f t="shared" si="126"/>
        <v>#DIV/0!</v>
      </c>
      <c r="N66" s="188" t="e">
        <f t="shared" si="126"/>
        <v>#DIV/0!</v>
      </c>
      <c r="O66" s="188" t="e">
        <f t="shared" si="126"/>
        <v>#DIV/0!</v>
      </c>
      <c r="P66" s="188" t="e">
        <f t="shared" si="126"/>
        <v>#DIV/0!</v>
      </c>
      <c r="Q66" s="188" t="e">
        <f t="shared" si="126"/>
        <v>#DIV/0!</v>
      </c>
      <c r="R66" s="188" t="e">
        <f t="shared" si="126"/>
        <v>#DIV/0!</v>
      </c>
      <c r="S66" s="188" t="e">
        <f t="shared" si="126"/>
        <v>#DIV/0!</v>
      </c>
      <c r="T66" s="188" t="e">
        <f>T67/T65*1000</f>
        <v>#DIV/0!</v>
      </c>
      <c r="U66" s="188" t="e">
        <f>U67/U65*1000</f>
        <v>#DIV/0!</v>
      </c>
      <c r="V66" s="188" t="e">
        <f>V67/V65*1000</f>
        <v>#DIV/0!</v>
      </c>
      <c r="W66" s="189" t="e">
        <f>W67/W65*1000</f>
        <v>#DIV/0!</v>
      </c>
    </row>
    <row r="67" spans="1:24" s="213" customFormat="1" ht="18" hidden="1" customHeight="1">
      <c r="A67" s="610"/>
      <c r="B67" s="576"/>
      <c r="C67" s="577"/>
      <c r="D67" s="198" t="str">
        <f>серпень!D67</f>
        <v>касові видатки, тис.грн.</v>
      </c>
      <c r="E67" s="199">
        <f>E82+E97+E112+E127+E142+E157+E279+E294+E309+E324</f>
        <v>0</v>
      </c>
      <c r="F67" s="199">
        <f>F82+F97+F112+F127+F142+F157</f>
        <v>0</v>
      </c>
      <c r="G67" s="199">
        <f t="shared" ref="G67:K67" si="127">G82+G97+G112+G127+G142+G157</f>
        <v>0</v>
      </c>
      <c r="H67" s="199">
        <f t="shared" si="127"/>
        <v>0</v>
      </c>
      <c r="I67" s="199">
        <f t="shared" si="127"/>
        <v>0</v>
      </c>
      <c r="J67" s="199">
        <f t="shared" si="127"/>
        <v>0</v>
      </c>
      <c r="K67" s="199">
        <f t="shared" si="127"/>
        <v>0</v>
      </c>
      <c r="L67" s="199">
        <f>SUM(F67:K67)</f>
        <v>0</v>
      </c>
      <c r="M67" s="199">
        <f>L67/6</f>
        <v>0</v>
      </c>
      <c r="N67" s="199">
        <f>N82+N97+N112+N127+N142+N157</f>
        <v>0</v>
      </c>
      <c r="O67" s="199">
        <f t="shared" ref="O67:S67" si="128">O82+O97+O112+O127+O142+O157</f>
        <v>0</v>
      </c>
      <c r="P67" s="199">
        <f t="shared" si="128"/>
        <v>0</v>
      </c>
      <c r="Q67" s="199">
        <f t="shared" si="128"/>
        <v>0</v>
      </c>
      <c r="R67" s="199">
        <f t="shared" si="128"/>
        <v>0</v>
      </c>
      <c r="S67" s="199">
        <f t="shared" si="128"/>
        <v>0</v>
      </c>
      <c r="T67" s="199">
        <f>SUM(N67:S67)</f>
        <v>0</v>
      </c>
      <c r="U67" s="199">
        <f>T67+L67</f>
        <v>0</v>
      </c>
      <c r="V67" s="199">
        <f t="shared" ref="V67:V69" si="129">V82+V97+V112+V127+V142+V157</f>
        <v>0</v>
      </c>
      <c r="W67" s="175">
        <f>V67-U67</f>
        <v>0</v>
      </c>
      <c r="X67" s="213">
        <f>U62-U67</f>
        <v>0</v>
      </c>
    </row>
    <row r="68" spans="1:24" s="213" customFormat="1" ht="18" hidden="1" customHeight="1">
      <c r="A68" s="610"/>
      <c r="B68" s="576"/>
      <c r="C68" s="577"/>
      <c r="D68" s="201" t="str">
        <f>серпень!D68</f>
        <v>дотація</v>
      </c>
      <c r="E68" s="212"/>
      <c r="F68" s="199">
        <f t="shared" ref="F68:K69" si="130">F83+F98+F113+F128+F143+F158</f>
        <v>0</v>
      </c>
      <c r="G68" s="199">
        <f t="shared" si="130"/>
        <v>0</v>
      </c>
      <c r="H68" s="199">
        <f t="shared" si="130"/>
        <v>0</v>
      </c>
      <c r="I68" s="199">
        <f t="shared" si="130"/>
        <v>0</v>
      </c>
      <c r="J68" s="199">
        <f t="shared" si="130"/>
        <v>0</v>
      </c>
      <c r="K68" s="199">
        <f t="shared" si="130"/>
        <v>0</v>
      </c>
      <c r="L68" s="199">
        <f>SUM(F68:K68)</f>
        <v>0</v>
      </c>
      <c r="M68" s="199">
        <f>L68/6</f>
        <v>0</v>
      </c>
      <c r="N68" s="199">
        <f t="shared" ref="N68:S69" si="131">N83+N98+N113+N128+N143+N158</f>
        <v>0</v>
      </c>
      <c r="O68" s="199">
        <f t="shared" si="131"/>
        <v>0</v>
      </c>
      <c r="P68" s="199">
        <f t="shared" si="131"/>
        <v>0</v>
      </c>
      <c r="Q68" s="199">
        <f t="shared" si="131"/>
        <v>0</v>
      </c>
      <c r="R68" s="199">
        <f t="shared" si="131"/>
        <v>0</v>
      </c>
      <c r="S68" s="199">
        <f t="shared" si="131"/>
        <v>0</v>
      </c>
      <c r="T68" s="199">
        <f>SUM(N68:S68)</f>
        <v>0</v>
      </c>
      <c r="U68" s="199">
        <f>T68+L68</f>
        <v>0</v>
      </c>
      <c r="V68" s="199">
        <f t="shared" si="129"/>
        <v>0</v>
      </c>
      <c r="W68" s="175">
        <f>V68-U68</f>
        <v>0</v>
      </c>
      <c r="X68" s="213">
        <f>U63-U68</f>
        <v>0</v>
      </c>
    </row>
    <row r="69" spans="1:24" s="213" customFormat="1" ht="18" hidden="1" customHeight="1">
      <c r="A69" s="610"/>
      <c r="B69" s="576"/>
      <c r="C69" s="577"/>
      <c r="D69" s="201" t="str">
        <f>серпень!D69</f>
        <v xml:space="preserve">місцевий </v>
      </c>
      <c r="E69" s="212"/>
      <c r="F69" s="199">
        <f t="shared" si="130"/>
        <v>0</v>
      </c>
      <c r="G69" s="199">
        <f t="shared" si="130"/>
        <v>0</v>
      </c>
      <c r="H69" s="199">
        <f t="shared" si="130"/>
        <v>0</v>
      </c>
      <c r="I69" s="199">
        <f t="shared" si="130"/>
        <v>0</v>
      </c>
      <c r="J69" s="199">
        <f t="shared" si="130"/>
        <v>0</v>
      </c>
      <c r="K69" s="199">
        <f t="shared" si="130"/>
        <v>0</v>
      </c>
      <c r="L69" s="199">
        <f>SUM(F69:K69)</f>
        <v>0</v>
      </c>
      <c r="M69" s="199">
        <f>L69/6</f>
        <v>0</v>
      </c>
      <c r="N69" s="199">
        <f t="shared" si="131"/>
        <v>0</v>
      </c>
      <c r="O69" s="199">
        <f t="shared" si="131"/>
        <v>0</v>
      </c>
      <c r="P69" s="199">
        <f t="shared" si="131"/>
        <v>0</v>
      </c>
      <c r="Q69" s="199">
        <f t="shared" si="131"/>
        <v>0</v>
      </c>
      <c r="R69" s="199">
        <f t="shared" si="131"/>
        <v>0</v>
      </c>
      <c r="S69" s="199">
        <f t="shared" si="131"/>
        <v>0</v>
      </c>
      <c r="T69" s="199">
        <f>SUM(N69:S69)</f>
        <v>0</v>
      </c>
      <c r="U69" s="199">
        <f>T69+L69</f>
        <v>0</v>
      </c>
      <c r="V69" s="199">
        <f t="shared" si="129"/>
        <v>0</v>
      </c>
      <c r="W69" s="175">
        <f>V69-U69</f>
        <v>0</v>
      </c>
      <c r="X69" s="213">
        <f>U64-U69</f>
        <v>0</v>
      </c>
    </row>
    <row r="70" spans="1:24" s="214" customFormat="1" ht="18" hidden="1" customHeight="1">
      <c r="A70" s="610"/>
      <c r="B70" s="576"/>
      <c r="C70" s="577"/>
      <c r="D70" s="202" t="str">
        <f>серпень!D70</f>
        <v>план</v>
      </c>
      <c r="E70" s="203"/>
      <c r="F70" s="203">
        <f t="shared" ref="F70:K70" si="132">F64</f>
        <v>0</v>
      </c>
      <c r="G70" s="203">
        <f t="shared" si="132"/>
        <v>0</v>
      </c>
      <c r="H70" s="203">
        <f t="shared" si="132"/>
        <v>0</v>
      </c>
      <c r="I70" s="203">
        <f t="shared" si="132"/>
        <v>0</v>
      </c>
      <c r="J70" s="203">
        <f t="shared" si="132"/>
        <v>0</v>
      </c>
      <c r="K70" s="203">
        <f t="shared" si="132"/>
        <v>0</v>
      </c>
      <c r="L70" s="203">
        <f>SUM(F70:K70)</f>
        <v>0</v>
      </c>
      <c r="M70" s="203">
        <f>L70/6</f>
        <v>0</v>
      </c>
      <c r="N70" s="203">
        <f>N64+N63</f>
        <v>0</v>
      </c>
      <c r="O70" s="203">
        <f t="shared" ref="O70:R70" si="133">O64+O63</f>
        <v>0</v>
      </c>
      <c r="P70" s="203">
        <f t="shared" si="133"/>
        <v>0</v>
      </c>
      <c r="Q70" s="203">
        <f t="shared" si="133"/>
        <v>0</v>
      </c>
      <c r="R70" s="203">
        <f t="shared" si="133"/>
        <v>0</v>
      </c>
      <c r="S70" s="203">
        <f>S64+S63</f>
        <v>0</v>
      </c>
      <c r="T70" s="203">
        <f>SUM(N70:S70)</f>
        <v>0</v>
      </c>
      <c r="U70" s="203">
        <f>T70+L70</f>
        <v>0</v>
      </c>
      <c r="V70" s="203">
        <f>V64+V63</f>
        <v>0</v>
      </c>
      <c r="W70" s="204">
        <f>V70-U70</f>
        <v>0</v>
      </c>
    </row>
    <row r="71" spans="1:24" s="214" customFormat="1" ht="18" hidden="1" customHeight="1">
      <c r="A71" s="610"/>
      <c r="B71" s="576"/>
      <c r="C71" s="577"/>
      <c r="D71" s="202" t="str">
        <f>серпень!D71</f>
        <v xml:space="preserve">відхилення </v>
      </c>
      <c r="E71" s="203"/>
      <c r="F71" s="203">
        <f t="shared" ref="F71:K71" si="134">F67-F70</f>
        <v>0</v>
      </c>
      <c r="G71" s="203">
        <f t="shared" si="134"/>
        <v>0</v>
      </c>
      <c r="H71" s="203">
        <f t="shared" si="134"/>
        <v>0</v>
      </c>
      <c r="I71" s="203">
        <f t="shared" si="134"/>
        <v>0</v>
      </c>
      <c r="J71" s="203">
        <f t="shared" si="134"/>
        <v>0</v>
      </c>
      <c r="K71" s="203">
        <f t="shared" si="134"/>
        <v>0</v>
      </c>
      <c r="L71" s="203"/>
      <c r="M71" s="203"/>
      <c r="N71" s="203">
        <f>N67-N70</f>
        <v>0</v>
      </c>
      <c r="O71" s="203">
        <f t="shared" ref="O71:S71" si="135">O67-O70</f>
        <v>0</v>
      </c>
      <c r="P71" s="203">
        <f t="shared" si="135"/>
        <v>0</v>
      </c>
      <c r="Q71" s="203">
        <f t="shared" si="135"/>
        <v>0</v>
      </c>
      <c r="R71" s="203">
        <f t="shared" si="135"/>
        <v>0</v>
      </c>
      <c r="S71" s="203">
        <f t="shared" si="135"/>
        <v>0</v>
      </c>
      <c r="T71" s="203"/>
      <c r="U71" s="203"/>
      <c r="V71" s="203"/>
      <c r="W71" s="203"/>
    </row>
    <row r="72" spans="1:24" s="214" customFormat="1" ht="18" hidden="1" customHeight="1">
      <c r="A72" s="610"/>
      <c r="B72" s="578"/>
      <c r="C72" s="579"/>
      <c r="D72" s="202" t="str">
        <f>серпень!D72</f>
        <v>відхилення з наростаючим</v>
      </c>
      <c r="E72" s="203"/>
      <c r="F72" s="203">
        <f>F71</f>
        <v>0</v>
      </c>
      <c r="G72" s="203">
        <f>G71+F72</f>
        <v>0</v>
      </c>
      <c r="H72" s="203">
        <f>H71+G72</f>
        <v>0</v>
      </c>
      <c r="I72" s="203">
        <f>I71+H72</f>
        <v>0</v>
      </c>
      <c r="J72" s="203">
        <f>J71+I72</f>
        <v>0</v>
      </c>
      <c r="K72" s="203">
        <f>K71+J72</f>
        <v>0</v>
      </c>
      <c r="L72" s="203"/>
      <c r="M72" s="203"/>
      <c r="N72" s="203">
        <f>N71+K72</f>
        <v>0</v>
      </c>
      <c r="O72" s="203">
        <f>O71+N72</f>
        <v>0</v>
      </c>
      <c r="P72" s="203">
        <f>P71+O72</f>
        <v>0</v>
      </c>
      <c r="Q72" s="203">
        <f>Q71+P72</f>
        <v>0</v>
      </c>
      <c r="R72" s="203">
        <f>R71+Q72</f>
        <v>0</v>
      </c>
      <c r="S72" s="203">
        <f>S71+R72</f>
        <v>0</v>
      </c>
      <c r="T72" s="203"/>
      <c r="U72" s="203"/>
      <c r="V72" s="203"/>
      <c r="W72" s="203"/>
    </row>
    <row r="73" spans="1:24" s="214" customFormat="1" ht="18" hidden="1" customHeight="1">
      <c r="A73" s="610"/>
      <c r="B73" s="582" t="s">
        <v>54</v>
      </c>
      <c r="C73" s="582" t="s">
        <v>98</v>
      </c>
      <c r="D73" s="178" t="str">
        <f>серпень!D73</f>
        <v>факт. нат.п-ки 2023</v>
      </c>
      <c r="E73" s="179"/>
      <c r="F73" s="184"/>
      <c r="G73" s="184"/>
      <c r="H73" s="179"/>
      <c r="I73" s="179"/>
      <c r="J73" s="179"/>
      <c r="K73" s="179"/>
      <c r="L73" s="215">
        <f>SUM(F73:K73)</f>
        <v>0</v>
      </c>
      <c r="M73" s="215">
        <f>L73/6</f>
        <v>0</v>
      </c>
      <c r="N73" s="179"/>
      <c r="O73" s="179"/>
      <c r="P73" s="179"/>
      <c r="Q73" s="179"/>
      <c r="R73" s="179"/>
      <c r="S73" s="179"/>
      <c r="T73" s="215">
        <f>SUM(N73:S73)</f>
        <v>0</v>
      </c>
      <c r="U73" s="215">
        <f>T73+L73</f>
        <v>0</v>
      </c>
      <c r="V73" s="179"/>
      <c r="W73" s="184"/>
    </row>
    <row r="74" spans="1:24" s="214" customFormat="1" ht="18" hidden="1" customHeight="1">
      <c r="A74" s="610"/>
      <c r="B74" s="583"/>
      <c r="C74" s="583"/>
      <c r="D74" s="178" t="str">
        <f>серпень!D74</f>
        <v>факт. нат.п-ки 2024</v>
      </c>
      <c r="E74" s="179"/>
      <c r="F74" s="184"/>
      <c r="G74" s="184"/>
      <c r="H74" s="179"/>
      <c r="I74" s="179"/>
      <c r="J74" s="179"/>
      <c r="K74" s="179"/>
      <c r="L74" s="215">
        <f>SUM(F74:K74)</f>
        <v>0</v>
      </c>
      <c r="M74" s="215">
        <f>L74/6</f>
        <v>0</v>
      </c>
      <c r="N74" s="179"/>
      <c r="O74" s="179"/>
      <c r="P74" s="179"/>
      <c r="Q74" s="179"/>
      <c r="R74" s="179"/>
      <c r="S74" s="179"/>
      <c r="T74" s="215">
        <f>SUM(N74:S74)</f>
        <v>0</v>
      </c>
      <c r="U74" s="215">
        <f>T74+L74</f>
        <v>0</v>
      </c>
      <c r="V74" s="179"/>
      <c r="W74" s="184"/>
    </row>
    <row r="75" spans="1:24" s="214" customFormat="1" ht="18" hidden="1" customHeight="1">
      <c r="A75" s="610"/>
      <c r="B75" s="583"/>
      <c r="C75" s="583"/>
      <c r="D75" s="178" t="str">
        <f>серпень!D75</f>
        <v>факт. нат.п-ки 2025</v>
      </c>
      <c r="E75" s="179"/>
      <c r="F75" s="184"/>
      <c r="G75" s="184"/>
      <c r="H75" s="179"/>
      <c r="I75" s="216"/>
      <c r="J75" s="179"/>
      <c r="K75" s="179"/>
      <c r="L75" s="215">
        <f>SUM(F75:K75)</f>
        <v>0</v>
      </c>
      <c r="M75" s="215">
        <f>L75/6</f>
        <v>0</v>
      </c>
      <c r="N75" s="179"/>
      <c r="O75" s="179"/>
      <c r="P75" s="179"/>
      <c r="Q75" s="179"/>
      <c r="R75" s="179"/>
      <c r="S75" s="179"/>
      <c r="T75" s="215">
        <f>SUM(N75:S75)</f>
        <v>0</v>
      </c>
      <c r="U75" s="215">
        <f>T75+L75</f>
        <v>0</v>
      </c>
      <c r="V75" s="179"/>
      <c r="W75" s="184">
        <f>U75-V75</f>
        <v>0</v>
      </c>
    </row>
    <row r="76" spans="1:24" s="214" customFormat="1" ht="18" hidden="1" customHeight="1">
      <c r="A76" s="610"/>
      <c r="B76" s="583"/>
      <c r="C76" s="583"/>
      <c r="D76" s="187" t="str">
        <f>серпень!D76</f>
        <v>тариф, грн.</v>
      </c>
      <c r="E76" s="188"/>
      <c r="F76" s="188"/>
      <c r="G76" s="188"/>
      <c r="H76" s="188"/>
      <c r="I76" s="188"/>
      <c r="J76" s="188">
        <v>76050.11</v>
      </c>
      <c r="K76" s="188">
        <v>76050.11</v>
      </c>
      <c r="L76" s="217" t="e">
        <f>L77/L75*1000</f>
        <v>#DIV/0!</v>
      </c>
      <c r="M76" s="217" t="e">
        <f>M77/M75*1000</f>
        <v>#DIV/0!</v>
      </c>
      <c r="N76" s="188">
        <v>76050.11</v>
      </c>
      <c r="O76" s="188">
        <v>76050.11</v>
      </c>
      <c r="P76" s="218">
        <v>76050.11</v>
      </c>
      <c r="Q76" s="218">
        <v>76050.11</v>
      </c>
      <c r="R76" s="218">
        <v>76050.11</v>
      </c>
      <c r="S76" s="218">
        <v>76050.11</v>
      </c>
      <c r="T76" s="217" t="e">
        <f>T77/T75*1000</f>
        <v>#DIV/0!</v>
      </c>
      <c r="U76" s="217" t="e">
        <f>U77/U75*1000</f>
        <v>#DIV/0!</v>
      </c>
      <c r="V76" s="218" t="e">
        <f>V77/V75*1000</f>
        <v>#DIV/0!</v>
      </c>
      <c r="W76" s="219" t="e">
        <f>W77/W75*1000</f>
        <v>#DIV/0!</v>
      </c>
    </row>
    <row r="77" spans="1:24" s="214" customFormat="1" ht="18" hidden="1" customHeight="1">
      <c r="A77" s="610"/>
      <c r="B77" s="583"/>
      <c r="C77" s="583"/>
      <c r="D77" s="191" t="str">
        <f>серпень!D77</f>
        <v>сума, тис.грн.</v>
      </c>
      <c r="E77" s="192"/>
      <c r="F77" s="192"/>
      <c r="G77" s="192"/>
      <c r="H77" s="192"/>
      <c r="I77" s="192"/>
      <c r="J77" s="192"/>
      <c r="K77" s="192"/>
      <c r="L77" s="194">
        <f>SUM(F77:K77)</f>
        <v>0</v>
      </c>
      <c r="M77" s="194">
        <f>L77/6</f>
        <v>0</v>
      </c>
      <c r="N77" s="192"/>
      <c r="O77" s="192"/>
      <c r="P77" s="192"/>
      <c r="Q77" s="192"/>
      <c r="R77" s="192"/>
      <c r="S77" s="192"/>
      <c r="T77" s="194">
        <f>SUM(N77:S77)</f>
        <v>0</v>
      </c>
      <c r="U77" s="194">
        <f>T77+L77</f>
        <v>0</v>
      </c>
      <c r="V77" s="171">
        <f>V78+V79</f>
        <v>0</v>
      </c>
      <c r="W77" s="192">
        <f>V77-U77</f>
        <v>0</v>
      </c>
    </row>
    <row r="78" spans="1:24" s="214" customFormat="1" ht="18" hidden="1" customHeight="1">
      <c r="A78" s="610"/>
      <c r="B78" s="583"/>
      <c r="C78" s="583"/>
      <c r="D78" s="174" t="str">
        <f>серпень!D78</f>
        <v>дотація</v>
      </c>
      <c r="E78" s="210"/>
      <c r="F78" s="192"/>
      <c r="G78" s="192"/>
      <c r="H78" s="192"/>
      <c r="I78" s="192"/>
      <c r="J78" s="192"/>
      <c r="K78" s="192"/>
      <c r="L78" s="194">
        <f>SUM(F78:K78)</f>
        <v>0</v>
      </c>
      <c r="M78" s="194">
        <f>L78/6</f>
        <v>0</v>
      </c>
      <c r="N78" s="192"/>
      <c r="O78" s="192"/>
      <c r="P78" s="192"/>
      <c r="Q78" s="192"/>
      <c r="R78" s="192"/>
      <c r="S78" s="192"/>
      <c r="T78" s="194">
        <f>SUM(N78:S78)</f>
        <v>0</v>
      </c>
      <c r="U78" s="194">
        <f>T78+L78</f>
        <v>0</v>
      </c>
      <c r="V78" s="171"/>
      <c r="W78" s="192">
        <f>V78-U78</f>
        <v>0</v>
      </c>
    </row>
    <row r="79" spans="1:24" s="214" customFormat="1" ht="18" hidden="1" customHeight="1">
      <c r="A79" s="610"/>
      <c r="B79" s="583"/>
      <c r="C79" s="583"/>
      <c r="D79" s="174" t="str">
        <f>серпень!D79</f>
        <v>місцевий (план), тис.грн</v>
      </c>
      <c r="E79" s="210"/>
      <c r="F79" s="192"/>
      <c r="G79" s="192"/>
      <c r="H79" s="192"/>
      <c r="I79" s="192"/>
      <c r="J79" s="192"/>
      <c r="K79" s="192"/>
      <c r="L79" s="194">
        <f>SUM(F79:K79)</f>
        <v>0</v>
      </c>
      <c r="M79" s="194">
        <f>L79/6</f>
        <v>0</v>
      </c>
      <c r="N79" s="192"/>
      <c r="O79" s="192"/>
      <c r="P79" s="192"/>
      <c r="Q79" s="192"/>
      <c r="R79" s="192"/>
      <c r="S79" s="192"/>
      <c r="T79" s="194">
        <f>SUM(N79:S79)</f>
        <v>0</v>
      </c>
      <c r="U79" s="194">
        <f>T79+L79</f>
        <v>0</v>
      </c>
      <c r="V79" s="171"/>
      <c r="W79" s="192">
        <f>V79-U79</f>
        <v>0</v>
      </c>
    </row>
    <row r="80" spans="1:24" s="214" customFormat="1" ht="18" hidden="1" customHeight="1">
      <c r="A80" s="610"/>
      <c r="B80" s="583"/>
      <c r="C80" s="583"/>
      <c r="D80" s="178" t="str">
        <f>серпень!D80</f>
        <v>касові нат.п-ки 2025</v>
      </c>
      <c r="E80" s="179"/>
      <c r="F80" s="184"/>
      <c r="G80" s="184"/>
      <c r="H80" s="179"/>
      <c r="I80" s="179"/>
      <c r="J80" s="216"/>
      <c r="K80" s="179"/>
      <c r="L80" s="215">
        <f>SUM(F80:K80)</f>
        <v>0</v>
      </c>
      <c r="M80" s="215">
        <f>L80/6</f>
        <v>0</v>
      </c>
      <c r="N80" s="179"/>
      <c r="O80" s="179"/>
      <c r="P80" s="179"/>
      <c r="Q80" s="179"/>
      <c r="R80" s="179"/>
      <c r="S80" s="179"/>
      <c r="T80" s="215">
        <f>SUM(N80:S80)</f>
        <v>0</v>
      </c>
      <c r="U80" s="215">
        <f>T80+L80</f>
        <v>0</v>
      </c>
      <c r="V80" s="179">
        <f>V75</f>
        <v>0</v>
      </c>
      <c r="W80" s="184">
        <f>V80-U80</f>
        <v>0</v>
      </c>
    </row>
    <row r="81" spans="1:24" s="214" customFormat="1" ht="18" hidden="1" customHeight="1">
      <c r="A81" s="610"/>
      <c r="B81" s="583"/>
      <c r="C81" s="583"/>
      <c r="D81" s="187" t="str">
        <f>серпень!D81</f>
        <v>тариф, грн.</v>
      </c>
      <c r="E81" s="188" t="e">
        <f t="shared" ref="E81" si="136">E82/E80*1000</f>
        <v>#DIV/0!</v>
      </c>
      <c r="F81" s="188"/>
      <c r="G81" s="188"/>
      <c r="H81" s="188"/>
      <c r="I81" s="188"/>
      <c r="J81" s="188"/>
      <c r="K81" s="188">
        <v>76050.11</v>
      </c>
      <c r="L81" s="217" t="e">
        <f>L82/L80*1000</f>
        <v>#DIV/0!</v>
      </c>
      <c r="M81" s="217" t="e">
        <f>M82/M80*1000</f>
        <v>#DIV/0!</v>
      </c>
      <c r="N81" s="188">
        <v>76050.11</v>
      </c>
      <c r="O81" s="188">
        <v>76050.11</v>
      </c>
      <c r="P81" s="188">
        <v>76050.11</v>
      </c>
      <c r="Q81" s="218">
        <v>76050.11</v>
      </c>
      <c r="R81" s="218">
        <v>76050.11</v>
      </c>
      <c r="S81" s="218">
        <v>76050.11</v>
      </c>
      <c r="T81" s="217" t="e">
        <f>T82/T80*1000</f>
        <v>#DIV/0!</v>
      </c>
      <c r="U81" s="217" t="e">
        <f>U82/U80*1000</f>
        <v>#DIV/0!</v>
      </c>
      <c r="V81" s="218" t="e">
        <f>V82/V80*1000</f>
        <v>#DIV/0!</v>
      </c>
      <c r="W81" s="219" t="e">
        <f>W82/W80*1000</f>
        <v>#DIV/0!</v>
      </c>
    </row>
    <row r="82" spans="1:24" s="214" customFormat="1" ht="18" hidden="1" customHeight="1">
      <c r="A82" s="610"/>
      <c r="B82" s="583"/>
      <c r="C82" s="583"/>
      <c r="D82" s="198" t="str">
        <f>серпень!D82</f>
        <v>касові видатки, тис.грн.</v>
      </c>
      <c r="E82" s="220"/>
      <c r="F82" s="199"/>
      <c r="G82" s="199"/>
      <c r="H82" s="199"/>
      <c r="I82" s="199"/>
      <c r="J82" s="199"/>
      <c r="K82" s="199"/>
      <c r="L82" s="199">
        <f>SUM(F82:K82)</f>
        <v>0</v>
      </c>
      <c r="M82" s="199">
        <f>L82/6</f>
        <v>0</v>
      </c>
      <c r="N82" s="199"/>
      <c r="O82" s="199"/>
      <c r="P82" s="199"/>
      <c r="Q82" s="199"/>
      <c r="R82" s="199"/>
      <c r="S82" s="199"/>
      <c r="T82" s="199">
        <f>SUM(N82:S82)</f>
        <v>0</v>
      </c>
      <c r="U82" s="199">
        <f>T82+L82</f>
        <v>0</v>
      </c>
      <c r="V82" s="199">
        <f>V77</f>
        <v>0</v>
      </c>
      <c r="W82" s="221">
        <f>V82-U82</f>
        <v>0</v>
      </c>
    </row>
    <row r="83" spans="1:24" s="214" customFormat="1" ht="18" hidden="1" customHeight="1">
      <c r="A83" s="610"/>
      <c r="B83" s="583"/>
      <c r="C83" s="583"/>
      <c r="D83" s="201" t="str">
        <f>серпень!D83</f>
        <v>дотація</v>
      </c>
      <c r="E83" s="220"/>
      <c r="F83" s="199"/>
      <c r="G83" s="199"/>
      <c r="H83" s="199"/>
      <c r="I83" s="199"/>
      <c r="J83" s="199"/>
      <c r="K83" s="199"/>
      <c r="L83" s="199">
        <f>SUM(F83:K83)</f>
        <v>0</v>
      </c>
      <c r="M83" s="199">
        <f>L83/6</f>
        <v>0</v>
      </c>
      <c r="N83" s="199"/>
      <c r="O83" s="199"/>
      <c r="P83" s="199"/>
      <c r="Q83" s="199"/>
      <c r="R83" s="199"/>
      <c r="S83" s="199"/>
      <c r="T83" s="199">
        <f>SUM(N83:S83)</f>
        <v>0</v>
      </c>
      <c r="U83" s="199">
        <f>T83+L83</f>
        <v>0</v>
      </c>
      <c r="V83" s="199">
        <f>V78</f>
        <v>0</v>
      </c>
      <c r="W83" s="221">
        <f>V83-U83</f>
        <v>0</v>
      </c>
    </row>
    <row r="84" spans="1:24" s="214" customFormat="1" ht="18" hidden="1" customHeight="1">
      <c r="A84" s="610"/>
      <c r="B84" s="583"/>
      <c r="C84" s="583"/>
      <c r="D84" s="201" t="str">
        <f>серпень!D84</f>
        <v xml:space="preserve">місцевий </v>
      </c>
      <c r="E84" s="220"/>
      <c r="F84" s="199"/>
      <c r="G84" s="199"/>
      <c r="H84" s="199"/>
      <c r="I84" s="199"/>
      <c r="J84" s="199"/>
      <c r="K84" s="199"/>
      <c r="L84" s="199">
        <f>SUM(F84:K84)</f>
        <v>0</v>
      </c>
      <c r="M84" s="199">
        <f>L84/6</f>
        <v>0</v>
      </c>
      <c r="N84" s="199"/>
      <c r="O84" s="199"/>
      <c r="P84" s="199"/>
      <c r="Q84" s="199"/>
      <c r="R84" s="199"/>
      <c r="S84" s="199"/>
      <c r="T84" s="199">
        <f>SUM(N84:S84)</f>
        <v>0</v>
      </c>
      <c r="U84" s="199">
        <f>T84+L84</f>
        <v>0</v>
      </c>
      <c r="V84" s="199">
        <f>V79</f>
        <v>0</v>
      </c>
      <c r="W84" s="221">
        <f>V84-U84</f>
        <v>0</v>
      </c>
    </row>
    <row r="85" spans="1:24" s="214" customFormat="1" ht="18" hidden="1" customHeight="1">
      <c r="A85" s="610"/>
      <c r="B85" s="583"/>
      <c r="C85" s="583"/>
      <c r="D85" s="202" t="str">
        <f>серпень!D85</f>
        <v>план</v>
      </c>
      <c r="E85" s="203"/>
      <c r="F85" s="203">
        <f t="shared" ref="F85:K85" si="137">F78+F79</f>
        <v>0</v>
      </c>
      <c r="G85" s="203">
        <f t="shared" si="137"/>
        <v>0</v>
      </c>
      <c r="H85" s="203">
        <f t="shared" si="137"/>
        <v>0</v>
      </c>
      <c r="I85" s="203">
        <f t="shared" si="137"/>
        <v>0</v>
      </c>
      <c r="J85" s="203">
        <f t="shared" si="137"/>
        <v>0</v>
      </c>
      <c r="K85" s="203">
        <f t="shared" si="137"/>
        <v>0</v>
      </c>
      <c r="L85" s="203">
        <f>SUM(F85:K85)</f>
        <v>0</v>
      </c>
      <c r="M85" s="203">
        <f>L85/6</f>
        <v>0</v>
      </c>
      <c r="N85" s="203">
        <f t="shared" ref="N85:S85" si="138">N79+N78</f>
        <v>0</v>
      </c>
      <c r="O85" s="203">
        <f t="shared" si="138"/>
        <v>0</v>
      </c>
      <c r="P85" s="203">
        <f t="shared" si="138"/>
        <v>0</v>
      </c>
      <c r="Q85" s="203">
        <f t="shared" si="138"/>
        <v>0</v>
      </c>
      <c r="R85" s="203">
        <f t="shared" si="138"/>
        <v>0</v>
      </c>
      <c r="S85" s="203">
        <f t="shared" si="138"/>
        <v>0</v>
      </c>
      <c r="T85" s="203">
        <f>SUM(N85:S85)</f>
        <v>0</v>
      </c>
      <c r="U85" s="203">
        <f>T85+L85</f>
        <v>0</v>
      </c>
      <c r="V85" s="203">
        <f>V82</f>
        <v>0</v>
      </c>
      <c r="W85" s="203">
        <f>V85-U85</f>
        <v>0</v>
      </c>
    </row>
    <row r="86" spans="1:24" s="214" customFormat="1" ht="18" hidden="1" customHeight="1">
      <c r="A86" s="610"/>
      <c r="B86" s="583"/>
      <c r="C86" s="583"/>
      <c r="D86" s="202" t="str">
        <f>серпень!D86</f>
        <v xml:space="preserve">відхилення </v>
      </c>
      <c r="E86" s="203"/>
      <c r="F86" s="203">
        <f t="shared" ref="F86:K86" si="139">F82-F85</f>
        <v>0</v>
      </c>
      <c r="G86" s="203">
        <f t="shared" si="139"/>
        <v>0</v>
      </c>
      <c r="H86" s="203">
        <f t="shared" si="139"/>
        <v>0</v>
      </c>
      <c r="I86" s="203">
        <f t="shared" si="139"/>
        <v>0</v>
      </c>
      <c r="J86" s="203">
        <f t="shared" si="139"/>
        <v>0</v>
      </c>
      <c r="K86" s="203">
        <f t="shared" si="139"/>
        <v>0</v>
      </c>
      <c r="L86" s="203"/>
      <c r="M86" s="203"/>
      <c r="N86" s="203">
        <f t="shared" ref="N86:S86" si="140">N82-N85</f>
        <v>0</v>
      </c>
      <c r="O86" s="203">
        <f t="shared" si="140"/>
        <v>0</v>
      </c>
      <c r="P86" s="203">
        <f t="shared" si="140"/>
        <v>0</v>
      </c>
      <c r="Q86" s="203">
        <f t="shared" si="140"/>
        <v>0</v>
      </c>
      <c r="R86" s="203">
        <f t="shared" si="140"/>
        <v>0</v>
      </c>
      <c r="S86" s="203">
        <f t="shared" si="140"/>
        <v>0</v>
      </c>
      <c r="T86" s="203"/>
      <c r="U86" s="203"/>
      <c r="V86" s="203"/>
      <c r="W86" s="203"/>
    </row>
    <row r="87" spans="1:24" s="214" customFormat="1" ht="25.2" hidden="1" customHeight="1">
      <c r="A87" s="610"/>
      <c r="B87" s="583"/>
      <c r="C87" s="584"/>
      <c r="D87" s="202" t="str">
        <f>серпень!D87</f>
        <v>відхилення з наростаючим</v>
      </c>
      <c r="E87" s="203"/>
      <c r="F87" s="203">
        <f>F86</f>
        <v>0</v>
      </c>
      <c r="G87" s="203">
        <f>G86+F87</f>
        <v>0</v>
      </c>
      <c r="H87" s="203">
        <f>H86+G87</f>
        <v>0</v>
      </c>
      <c r="I87" s="203">
        <f>I86+H87</f>
        <v>0</v>
      </c>
      <c r="J87" s="203">
        <f>J86+I87</f>
        <v>0</v>
      </c>
      <c r="K87" s="203">
        <f>K86+J87</f>
        <v>0</v>
      </c>
      <c r="L87" s="203"/>
      <c r="M87" s="203"/>
      <c r="N87" s="203">
        <f>N86+K87</f>
        <v>0</v>
      </c>
      <c r="O87" s="203">
        <f>O86+N87</f>
        <v>0</v>
      </c>
      <c r="P87" s="203">
        <f>P86+O87</f>
        <v>0</v>
      </c>
      <c r="Q87" s="203">
        <f>Q86+P87</f>
        <v>0</v>
      </c>
      <c r="R87" s="203">
        <f>R86+Q87</f>
        <v>0</v>
      </c>
      <c r="S87" s="203">
        <f>S86+R87</f>
        <v>0</v>
      </c>
      <c r="T87" s="203"/>
      <c r="U87" s="203"/>
      <c r="V87" s="203"/>
      <c r="W87" s="203"/>
    </row>
    <row r="88" spans="1:24" s="47" customFormat="1" ht="18" hidden="1" customHeight="1">
      <c r="A88" s="610"/>
      <c r="B88" s="583"/>
      <c r="C88" s="582" t="s">
        <v>99</v>
      </c>
      <c r="D88" s="178" t="str">
        <f>серпень!D88</f>
        <v>факт. нат.п-ки 2023</v>
      </c>
      <c r="E88" s="11"/>
      <c r="F88" s="12"/>
      <c r="G88" s="12"/>
      <c r="H88" s="12"/>
      <c r="I88" s="12"/>
      <c r="J88" s="12"/>
      <c r="K88" s="12"/>
      <c r="L88" s="65">
        <f>SUM(F88:K88)</f>
        <v>0</v>
      </c>
      <c r="M88" s="65">
        <f>L88/6</f>
        <v>0</v>
      </c>
      <c r="N88" s="12"/>
      <c r="O88" s="12"/>
      <c r="P88" s="12"/>
      <c r="Q88" s="12"/>
      <c r="R88" s="12"/>
      <c r="S88" s="12"/>
      <c r="T88" s="65">
        <f>SUM(N88:S88)</f>
        <v>0</v>
      </c>
      <c r="U88" s="65">
        <f>T88+L88</f>
        <v>0</v>
      </c>
      <c r="V88" s="67"/>
      <c r="W88" s="38"/>
    </row>
    <row r="89" spans="1:24" s="47" customFormat="1" ht="18" hidden="1" customHeight="1">
      <c r="A89" s="610"/>
      <c r="B89" s="583"/>
      <c r="C89" s="583"/>
      <c r="D89" s="178" t="str">
        <f>серпень!D89</f>
        <v>факт. нат.п-ки 2024</v>
      </c>
      <c r="E89" s="11"/>
      <c r="F89" s="12"/>
      <c r="G89" s="12"/>
      <c r="H89" s="12"/>
      <c r="I89" s="12"/>
      <c r="J89" s="12"/>
      <c r="K89" s="12"/>
      <c r="L89" s="65">
        <f>SUM(F89:K89)</f>
        <v>0</v>
      </c>
      <c r="M89" s="65">
        <f>L89/6</f>
        <v>0</v>
      </c>
      <c r="N89" s="11"/>
      <c r="O89" s="11"/>
      <c r="P89" s="11"/>
      <c r="Q89" s="11"/>
      <c r="R89" s="11"/>
      <c r="S89" s="11"/>
      <c r="T89" s="65">
        <f>SUM(N89:S89)</f>
        <v>0</v>
      </c>
      <c r="U89" s="65">
        <f>T89+L89</f>
        <v>0</v>
      </c>
      <c r="V89" s="67"/>
      <c r="W89" s="38"/>
    </row>
    <row r="90" spans="1:24" s="47" customFormat="1" ht="18" hidden="1" customHeight="1">
      <c r="A90" s="610"/>
      <c r="B90" s="583"/>
      <c r="C90" s="583"/>
      <c r="D90" s="178" t="str">
        <f>серпень!D90</f>
        <v>факт. нат.п-ки 2025</v>
      </c>
      <c r="E90" s="11"/>
      <c r="F90" s="12"/>
      <c r="G90" s="12"/>
      <c r="H90" s="12"/>
      <c r="I90" s="12"/>
      <c r="J90" s="12"/>
      <c r="K90" s="12"/>
      <c r="L90" s="65">
        <f>SUM(F90:K90)</f>
        <v>0</v>
      </c>
      <c r="M90" s="65">
        <f>L90/6</f>
        <v>0</v>
      </c>
      <c r="N90" s="12"/>
      <c r="O90" s="12"/>
      <c r="P90" s="12"/>
      <c r="Q90" s="12"/>
      <c r="R90" s="12"/>
      <c r="S90" s="11"/>
      <c r="T90" s="65">
        <f>SUM(N90:S90)</f>
        <v>0</v>
      </c>
      <c r="U90" s="65">
        <f>T90+L90</f>
        <v>0</v>
      </c>
      <c r="V90" s="11"/>
      <c r="W90" s="38">
        <f>U90-V90</f>
        <v>0</v>
      </c>
    </row>
    <row r="91" spans="1:24" s="47" customFormat="1" ht="18" hidden="1" customHeight="1">
      <c r="A91" s="610"/>
      <c r="B91" s="583"/>
      <c r="C91" s="583"/>
      <c r="D91" s="187" t="str">
        <f>серпень!D91</f>
        <v>тариф, грн.</v>
      </c>
      <c r="E91" s="49"/>
      <c r="F91" s="188">
        <v>1617.35</v>
      </c>
      <c r="G91" s="188">
        <v>1617.35</v>
      </c>
      <c r="H91" s="188">
        <v>1617.35</v>
      </c>
      <c r="I91" s="188">
        <v>1617.35</v>
      </c>
      <c r="J91" s="188">
        <v>1617.35</v>
      </c>
      <c r="K91" s="188">
        <v>1617.35</v>
      </c>
      <c r="L91" s="217" t="e">
        <f>L92/L90*1000</f>
        <v>#DIV/0!</v>
      </c>
      <c r="M91" s="217" t="e">
        <f>M92/M90*1000</f>
        <v>#DIV/0!</v>
      </c>
      <c r="N91" s="188">
        <v>1617.35</v>
      </c>
      <c r="O91" s="188">
        <v>1617.35</v>
      </c>
      <c r="P91" s="188">
        <v>1617.35</v>
      </c>
      <c r="Q91" s="188">
        <v>1617.35</v>
      </c>
      <c r="R91" s="188">
        <v>1617.35</v>
      </c>
      <c r="S91" s="188">
        <v>1617.35</v>
      </c>
      <c r="T91" s="121" t="e">
        <f>T92/T90*1000</f>
        <v>#DIV/0!</v>
      </c>
      <c r="U91" s="121" t="e">
        <f>U92/U90*1000</f>
        <v>#DIV/0!</v>
      </c>
      <c r="V91" s="68" t="e">
        <f>V92/V90*1000</f>
        <v>#DIV/0!</v>
      </c>
      <c r="W91" s="14" t="e">
        <f>W92/W90*1000</f>
        <v>#DIV/0!</v>
      </c>
    </row>
    <row r="92" spans="1:24" s="47" customFormat="1" ht="18" hidden="1" customHeight="1">
      <c r="A92" s="610"/>
      <c r="B92" s="583"/>
      <c r="C92" s="583"/>
      <c r="D92" s="191" t="str">
        <f>серпень!D92</f>
        <v>сума, тис.грн.</v>
      </c>
      <c r="E92" s="52"/>
      <c r="F92" s="52">
        <f t="shared" ref="F92:K92" si="141">F90*F91/1000</f>
        <v>0</v>
      </c>
      <c r="G92" s="52">
        <f t="shared" si="141"/>
        <v>0</v>
      </c>
      <c r="H92" s="52">
        <f t="shared" si="141"/>
        <v>0</v>
      </c>
      <c r="I92" s="52">
        <f t="shared" si="141"/>
        <v>0</v>
      </c>
      <c r="J92" s="52">
        <f t="shared" si="141"/>
        <v>0</v>
      </c>
      <c r="K92" s="52">
        <f t="shared" si="141"/>
        <v>0</v>
      </c>
      <c r="L92" s="69">
        <f>SUM(F92:K92)</f>
        <v>0</v>
      </c>
      <c r="M92" s="69">
        <f>L92/6</f>
        <v>0</v>
      </c>
      <c r="N92" s="52">
        <f t="shared" ref="N92:S92" si="142">N90*N91/1000</f>
        <v>0</v>
      </c>
      <c r="O92" s="52">
        <f t="shared" si="142"/>
        <v>0</v>
      </c>
      <c r="P92" s="52">
        <f t="shared" si="142"/>
        <v>0</v>
      </c>
      <c r="Q92" s="52">
        <f t="shared" si="142"/>
        <v>0</v>
      </c>
      <c r="R92" s="52">
        <f t="shared" si="142"/>
        <v>0</v>
      </c>
      <c r="S92" s="52">
        <f t="shared" si="142"/>
        <v>0</v>
      </c>
      <c r="T92" s="69">
        <f>SUM(N92:S92)</f>
        <v>0</v>
      </c>
      <c r="U92" s="69">
        <f>T92+L92</f>
        <v>0</v>
      </c>
      <c r="V92" s="70">
        <f>V93+V94</f>
        <v>0</v>
      </c>
      <c r="W92" s="53">
        <f>V92-U92</f>
        <v>0</v>
      </c>
    </row>
    <row r="93" spans="1:24" s="47" customFormat="1" ht="18" hidden="1" customHeight="1">
      <c r="A93" s="610"/>
      <c r="B93" s="583"/>
      <c r="C93" s="583"/>
      <c r="D93" s="174" t="str">
        <f>серпень!D93</f>
        <v>дотація</v>
      </c>
      <c r="E93" s="56"/>
      <c r="F93" s="52"/>
      <c r="G93" s="52"/>
      <c r="H93" s="52"/>
      <c r="I93" s="52"/>
      <c r="J93" s="52"/>
      <c r="K93" s="52"/>
      <c r="L93" s="69">
        <f>SUM(F93:K93)</f>
        <v>0</v>
      </c>
      <c r="M93" s="69">
        <f>L93/6</f>
        <v>0</v>
      </c>
      <c r="N93" s="52"/>
      <c r="O93" s="52"/>
      <c r="P93" s="52"/>
      <c r="Q93" s="52"/>
      <c r="R93" s="52"/>
      <c r="S93" s="52"/>
      <c r="T93" s="69">
        <f>SUM(N93:S93)</f>
        <v>0</v>
      </c>
      <c r="U93" s="69">
        <f>T93+L93</f>
        <v>0</v>
      </c>
      <c r="V93" s="70"/>
      <c r="W93" s="53">
        <f>V93-U93</f>
        <v>0</v>
      </c>
    </row>
    <row r="94" spans="1:24" s="47" customFormat="1" ht="18" hidden="1" customHeight="1">
      <c r="A94" s="610"/>
      <c r="B94" s="583"/>
      <c r="C94" s="583"/>
      <c r="D94" s="174" t="str">
        <f>серпень!D94</f>
        <v>місцевий (план), тис.грн</v>
      </c>
      <c r="E94" s="56"/>
      <c r="F94" s="52"/>
      <c r="G94" s="52"/>
      <c r="H94" s="52"/>
      <c r="I94" s="52"/>
      <c r="J94" s="52"/>
      <c r="K94" s="52"/>
      <c r="L94" s="69">
        <f>SUM(F94:K94)</f>
        <v>0</v>
      </c>
      <c r="M94" s="69">
        <f>L94/6</f>
        <v>0</v>
      </c>
      <c r="N94" s="52"/>
      <c r="O94" s="52"/>
      <c r="P94" s="52"/>
      <c r="Q94" s="52"/>
      <c r="R94" s="52"/>
      <c r="S94" s="52"/>
      <c r="T94" s="69">
        <f>SUM(N94:S94)</f>
        <v>0</v>
      </c>
      <c r="U94" s="69">
        <f>T94+L94</f>
        <v>0</v>
      </c>
      <c r="V94" s="70"/>
      <c r="W94" s="53">
        <f>V94-U94</f>
        <v>0</v>
      </c>
    </row>
    <row r="95" spans="1:24" s="47" customFormat="1" ht="18" hidden="1" customHeight="1">
      <c r="A95" s="610"/>
      <c r="B95" s="583"/>
      <c r="C95" s="583"/>
      <c r="D95" s="178" t="str">
        <f>серпень!D95</f>
        <v>касові нат.п-ки 2025</v>
      </c>
      <c r="E95" s="11"/>
      <c r="F95" s="11"/>
      <c r="G95" s="11"/>
      <c r="H95" s="11"/>
      <c r="I95" s="11"/>
      <c r="J95" s="11"/>
      <c r="K95" s="11"/>
      <c r="L95" s="65">
        <f>SUM(F95:K95)</f>
        <v>0</v>
      </c>
      <c r="M95" s="65">
        <f>L95/6</f>
        <v>0</v>
      </c>
      <c r="N95" s="11"/>
      <c r="O95" s="11"/>
      <c r="P95" s="11"/>
      <c r="Q95" s="11"/>
      <c r="R95" s="11"/>
      <c r="S95" s="11"/>
      <c r="T95" s="65">
        <f>SUM(N95:S95)</f>
        <v>0</v>
      </c>
      <c r="U95" s="65">
        <f>T95+L95</f>
        <v>0</v>
      </c>
      <c r="V95" s="11">
        <f>V90</f>
        <v>0</v>
      </c>
      <c r="W95" s="38">
        <f>V95-U95</f>
        <v>0</v>
      </c>
      <c r="X95" s="47">
        <f>U90-U95</f>
        <v>0</v>
      </c>
    </row>
    <row r="96" spans="1:24" s="47" customFormat="1" ht="18" hidden="1" customHeight="1">
      <c r="A96" s="610"/>
      <c r="B96" s="583"/>
      <c r="C96" s="583"/>
      <c r="D96" s="187" t="str">
        <f>серпень!D96</f>
        <v>тариф, грн.</v>
      </c>
      <c r="E96" s="49" t="e">
        <f>E97/E95*1000</f>
        <v>#DIV/0!</v>
      </c>
      <c r="F96" s="188">
        <v>1617.35</v>
      </c>
      <c r="G96" s="188">
        <v>1617.35</v>
      </c>
      <c r="H96" s="188">
        <v>1617.35</v>
      </c>
      <c r="I96" s="188">
        <v>1617.35</v>
      </c>
      <c r="J96" s="188">
        <v>1617.35</v>
      </c>
      <c r="K96" s="188">
        <v>1617.35</v>
      </c>
      <c r="L96" s="217" t="e">
        <f>L97/L95*1000</f>
        <v>#DIV/0!</v>
      </c>
      <c r="M96" s="217" t="e">
        <f>M97/M95*1000</f>
        <v>#DIV/0!</v>
      </c>
      <c r="N96" s="188">
        <v>1617.35</v>
      </c>
      <c r="O96" s="188">
        <v>1617.35</v>
      </c>
      <c r="P96" s="188">
        <v>1617.35</v>
      </c>
      <c r="Q96" s="188">
        <v>1617.35</v>
      </c>
      <c r="R96" s="188">
        <v>1617.35</v>
      </c>
      <c r="S96" s="188">
        <v>1617.35</v>
      </c>
      <c r="T96" s="121" t="e">
        <f>T97/T95*1000</f>
        <v>#DIV/0!</v>
      </c>
      <c r="U96" s="121" t="e">
        <f>U97/U95*1000</f>
        <v>#DIV/0!</v>
      </c>
      <c r="V96" s="68" t="e">
        <f>V97/V95*1000</f>
        <v>#DIV/0!</v>
      </c>
      <c r="W96" s="14" t="e">
        <f>W97/W95*1000</f>
        <v>#DIV/0!</v>
      </c>
    </row>
    <row r="97" spans="1:24" s="63" customFormat="1" ht="18" hidden="1" customHeight="1">
      <c r="A97" s="610"/>
      <c r="B97" s="583"/>
      <c r="C97" s="583"/>
      <c r="D97" s="198" t="str">
        <f>серпень!D97</f>
        <v>касові видатки, тис.грн.</v>
      </c>
      <c r="E97" s="71"/>
      <c r="F97" s="61">
        <f t="shared" ref="F97:K97" si="143">F95*F96/1000</f>
        <v>0</v>
      </c>
      <c r="G97" s="61">
        <f t="shared" si="143"/>
        <v>0</v>
      </c>
      <c r="H97" s="61">
        <f t="shared" si="143"/>
        <v>0</v>
      </c>
      <c r="I97" s="61">
        <f t="shared" si="143"/>
        <v>0</v>
      </c>
      <c r="J97" s="61">
        <f t="shared" si="143"/>
        <v>0</v>
      </c>
      <c r="K97" s="61">
        <f t="shared" si="143"/>
        <v>0</v>
      </c>
      <c r="L97" s="61">
        <f>SUM(F97:K97)</f>
        <v>0</v>
      </c>
      <c r="M97" s="61">
        <f>L97/6</f>
        <v>0</v>
      </c>
      <c r="N97" s="61">
        <f t="shared" ref="N97:S97" si="144">N95*N96/1000</f>
        <v>0</v>
      </c>
      <c r="O97" s="61">
        <f t="shared" si="144"/>
        <v>0</v>
      </c>
      <c r="P97" s="61">
        <f t="shared" si="144"/>
        <v>0</v>
      </c>
      <c r="Q97" s="61">
        <f t="shared" si="144"/>
        <v>0</v>
      </c>
      <c r="R97" s="61">
        <f t="shared" si="144"/>
        <v>0</v>
      </c>
      <c r="S97" s="61">
        <f t="shared" si="144"/>
        <v>0</v>
      </c>
      <c r="T97" s="61">
        <f>SUM(N97:S97)</f>
        <v>0</v>
      </c>
      <c r="U97" s="61">
        <f>T97+L97</f>
        <v>0</v>
      </c>
      <c r="V97" s="61">
        <f>V92</f>
        <v>0</v>
      </c>
      <c r="W97" s="72">
        <f>V97-U97</f>
        <v>0</v>
      </c>
      <c r="X97" s="63">
        <f>U92-U97</f>
        <v>0</v>
      </c>
    </row>
    <row r="98" spans="1:24" s="63" customFormat="1" ht="18" hidden="1" customHeight="1">
      <c r="A98" s="610"/>
      <c r="B98" s="583"/>
      <c r="C98" s="583"/>
      <c r="D98" s="201" t="str">
        <f>серпень!D98</f>
        <v>дотація</v>
      </c>
      <c r="E98" s="71"/>
      <c r="F98" s="61">
        <v>0</v>
      </c>
      <c r="G98" s="61">
        <v>0</v>
      </c>
      <c r="H98" s="61">
        <v>0</v>
      </c>
      <c r="I98" s="61">
        <v>0</v>
      </c>
      <c r="J98" s="61">
        <v>0</v>
      </c>
      <c r="K98" s="61">
        <v>0</v>
      </c>
      <c r="L98" s="61">
        <f>SUM(F98:K98)</f>
        <v>0</v>
      </c>
      <c r="M98" s="61">
        <f>L98/6</f>
        <v>0</v>
      </c>
      <c r="N98" s="61">
        <v>0</v>
      </c>
      <c r="O98" s="61">
        <v>0</v>
      </c>
      <c r="P98" s="61">
        <v>0</v>
      </c>
      <c r="Q98" s="61">
        <v>0</v>
      </c>
      <c r="R98" s="61">
        <v>0</v>
      </c>
      <c r="S98" s="61">
        <v>0</v>
      </c>
      <c r="T98" s="61">
        <f>SUM(N98:S98)</f>
        <v>0</v>
      </c>
      <c r="U98" s="61">
        <f>T98+L98</f>
        <v>0</v>
      </c>
      <c r="V98" s="61">
        <f>V93</f>
        <v>0</v>
      </c>
      <c r="W98" s="72">
        <f>V98-U98</f>
        <v>0</v>
      </c>
      <c r="X98" s="63">
        <f>U93-U98</f>
        <v>0</v>
      </c>
    </row>
    <row r="99" spans="1:24" s="63" customFormat="1" ht="18" hidden="1" customHeight="1">
      <c r="A99" s="610"/>
      <c r="B99" s="583"/>
      <c r="C99" s="583"/>
      <c r="D99" s="201" t="str">
        <f>серпень!D99</f>
        <v xml:space="preserve">місцевий </v>
      </c>
      <c r="E99" s="71"/>
      <c r="F99" s="61">
        <f t="shared" ref="F99:K99" si="145">F97-F98</f>
        <v>0</v>
      </c>
      <c r="G99" s="61">
        <f t="shared" si="145"/>
        <v>0</v>
      </c>
      <c r="H99" s="61">
        <f t="shared" si="145"/>
        <v>0</v>
      </c>
      <c r="I99" s="61">
        <f t="shared" si="145"/>
        <v>0</v>
      </c>
      <c r="J99" s="61">
        <f t="shared" si="145"/>
        <v>0</v>
      </c>
      <c r="K99" s="61">
        <f t="shared" si="145"/>
        <v>0</v>
      </c>
      <c r="L99" s="61">
        <f>SUM(F99:K99)</f>
        <v>0</v>
      </c>
      <c r="M99" s="61">
        <f>L99/6</f>
        <v>0</v>
      </c>
      <c r="N99" s="61">
        <f t="shared" ref="N99:S99" si="146">N97-N98</f>
        <v>0</v>
      </c>
      <c r="O99" s="61">
        <f t="shared" si="146"/>
        <v>0</v>
      </c>
      <c r="P99" s="61">
        <f t="shared" si="146"/>
        <v>0</v>
      </c>
      <c r="Q99" s="61">
        <f t="shared" si="146"/>
        <v>0</v>
      </c>
      <c r="R99" s="61">
        <f t="shared" si="146"/>
        <v>0</v>
      </c>
      <c r="S99" s="61">
        <f t="shared" si="146"/>
        <v>0</v>
      </c>
      <c r="T99" s="61">
        <f>SUM(N99:S99)</f>
        <v>0</v>
      </c>
      <c r="U99" s="61">
        <f>T99+L99</f>
        <v>0</v>
      </c>
      <c r="V99" s="61">
        <f>V94</f>
        <v>0</v>
      </c>
      <c r="W99" s="72">
        <f>V99-U99</f>
        <v>0</v>
      </c>
      <c r="X99" s="63">
        <f>U94-U99</f>
        <v>0</v>
      </c>
    </row>
    <row r="100" spans="1:24" s="43" customFormat="1" ht="18" hidden="1" customHeight="1">
      <c r="A100" s="610"/>
      <c r="B100" s="583"/>
      <c r="C100" s="583"/>
      <c r="D100" s="202" t="str">
        <f>серпень!D100</f>
        <v>план</v>
      </c>
      <c r="E100" s="42"/>
      <c r="F100" s="42">
        <f t="shared" ref="F100:K100" si="147">F93+F94</f>
        <v>0</v>
      </c>
      <c r="G100" s="42">
        <f t="shared" si="147"/>
        <v>0</v>
      </c>
      <c r="H100" s="42">
        <f t="shared" si="147"/>
        <v>0</v>
      </c>
      <c r="I100" s="42">
        <f t="shared" si="147"/>
        <v>0</v>
      </c>
      <c r="J100" s="42">
        <f t="shared" si="147"/>
        <v>0</v>
      </c>
      <c r="K100" s="42">
        <f t="shared" si="147"/>
        <v>0</v>
      </c>
      <c r="L100" s="42">
        <f>SUM(F100:K100)</f>
        <v>0</v>
      </c>
      <c r="M100" s="42">
        <f>L100/6</f>
        <v>0</v>
      </c>
      <c r="N100" s="42">
        <f t="shared" ref="N100:S100" si="148">N94+N93</f>
        <v>0</v>
      </c>
      <c r="O100" s="42">
        <f t="shared" si="148"/>
        <v>0</v>
      </c>
      <c r="P100" s="42">
        <f t="shared" si="148"/>
        <v>0</v>
      </c>
      <c r="Q100" s="42">
        <f t="shared" si="148"/>
        <v>0</v>
      </c>
      <c r="R100" s="42">
        <f t="shared" si="148"/>
        <v>0</v>
      </c>
      <c r="S100" s="42">
        <f t="shared" si="148"/>
        <v>0</v>
      </c>
      <c r="T100" s="42">
        <f>SUM(N100:S100)</f>
        <v>0</v>
      </c>
      <c r="U100" s="42">
        <f>T100+L100</f>
        <v>0</v>
      </c>
      <c r="V100" s="42">
        <f>V97</f>
        <v>0</v>
      </c>
      <c r="W100" s="42">
        <f>V100-U100</f>
        <v>0</v>
      </c>
    </row>
    <row r="101" spans="1:24" s="43" customFormat="1" ht="18" hidden="1" customHeight="1">
      <c r="A101" s="610"/>
      <c r="B101" s="583"/>
      <c r="C101" s="583"/>
      <c r="D101" s="202" t="str">
        <f>серпень!D101</f>
        <v xml:space="preserve">відхилення </v>
      </c>
      <c r="E101" s="42"/>
      <c r="F101" s="42">
        <f t="shared" ref="F101:K101" si="149">F97-F100</f>
        <v>0</v>
      </c>
      <c r="G101" s="42">
        <f t="shared" si="149"/>
        <v>0</v>
      </c>
      <c r="H101" s="42">
        <f t="shared" si="149"/>
        <v>0</v>
      </c>
      <c r="I101" s="42">
        <f t="shared" si="149"/>
        <v>0</v>
      </c>
      <c r="J101" s="42">
        <f t="shared" si="149"/>
        <v>0</v>
      </c>
      <c r="K101" s="42">
        <f t="shared" si="149"/>
        <v>0</v>
      </c>
      <c r="L101" s="42"/>
      <c r="M101" s="42"/>
      <c r="N101" s="42">
        <f t="shared" ref="N101:S101" si="150">N97-N100</f>
        <v>0</v>
      </c>
      <c r="O101" s="42">
        <f t="shared" si="150"/>
        <v>0</v>
      </c>
      <c r="P101" s="42">
        <f t="shared" si="150"/>
        <v>0</v>
      </c>
      <c r="Q101" s="42">
        <f t="shared" si="150"/>
        <v>0</v>
      </c>
      <c r="R101" s="42">
        <f t="shared" si="150"/>
        <v>0</v>
      </c>
      <c r="S101" s="42">
        <f t="shared" si="150"/>
        <v>0</v>
      </c>
      <c r="T101" s="42"/>
      <c r="U101" s="42"/>
      <c r="V101" s="42"/>
      <c r="W101" s="42"/>
    </row>
    <row r="102" spans="1:24" s="43" customFormat="1" ht="18" hidden="1" customHeight="1">
      <c r="A102" s="610"/>
      <c r="B102" s="583"/>
      <c r="C102" s="584"/>
      <c r="D102" s="202" t="str">
        <f>серпень!D102</f>
        <v>відхилення з наростаючим</v>
      </c>
      <c r="E102" s="42"/>
      <c r="F102" s="42">
        <f>F101</f>
        <v>0</v>
      </c>
      <c r="G102" s="42">
        <f>G101+F102</f>
        <v>0</v>
      </c>
      <c r="H102" s="42">
        <f>H101+G102</f>
        <v>0</v>
      </c>
      <c r="I102" s="42">
        <f>I101+H102</f>
        <v>0</v>
      </c>
      <c r="J102" s="42">
        <f>J101+I102</f>
        <v>0</v>
      </c>
      <c r="K102" s="42">
        <f>K101+J102</f>
        <v>0</v>
      </c>
      <c r="L102" s="42"/>
      <c r="M102" s="42"/>
      <c r="N102" s="42">
        <f>N101+K102</f>
        <v>0</v>
      </c>
      <c r="O102" s="42">
        <f>O101+N102</f>
        <v>0</v>
      </c>
      <c r="P102" s="42">
        <f>P101+O102</f>
        <v>0</v>
      </c>
      <c r="Q102" s="42">
        <f>Q101+P102</f>
        <v>0</v>
      </c>
      <c r="R102" s="42">
        <f>R101+Q102</f>
        <v>0</v>
      </c>
      <c r="S102" s="42">
        <f>S101+R102</f>
        <v>0</v>
      </c>
      <c r="T102" s="42"/>
      <c r="U102" s="42"/>
      <c r="V102" s="42"/>
      <c r="W102" s="42"/>
    </row>
    <row r="103" spans="1:24" s="43" customFormat="1" ht="18" hidden="1" customHeight="1">
      <c r="A103" s="610"/>
      <c r="B103" s="583"/>
      <c r="C103" s="582" t="s">
        <v>96</v>
      </c>
      <c r="D103" s="178" t="str">
        <f>серпень!D103</f>
        <v>факт. нат.п-ки 2023</v>
      </c>
      <c r="E103" s="179"/>
      <c r="F103" s="184"/>
      <c r="G103" s="184"/>
      <c r="H103" s="179"/>
      <c r="I103" s="179"/>
      <c r="J103" s="179"/>
      <c r="K103" s="179"/>
      <c r="L103" s="215">
        <f>SUM(F103:K103)</f>
        <v>0</v>
      </c>
      <c r="M103" s="215">
        <f>L103/6</f>
        <v>0</v>
      </c>
      <c r="N103" s="179"/>
      <c r="O103" s="179"/>
      <c r="P103" s="179"/>
      <c r="Q103" s="179"/>
      <c r="R103" s="179"/>
      <c r="S103" s="179"/>
      <c r="T103" s="215">
        <f>SUM(N103:S103)</f>
        <v>0</v>
      </c>
      <c r="U103" s="215">
        <f>T103+L103</f>
        <v>0</v>
      </c>
      <c r="V103" s="179"/>
      <c r="W103" s="184"/>
    </row>
    <row r="104" spans="1:24" s="43" customFormat="1" ht="18" hidden="1" customHeight="1">
      <c r="A104" s="610"/>
      <c r="B104" s="583"/>
      <c r="C104" s="583"/>
      <c r="D104" s="178" t="str">
        <f>серпень!D104</f>
        <v>факт. нат.п-ки 2024</v>
      </c>
      <c r="E104" s="179"/>
      <c r="F104" s="184"/>
      <c r="G104" s="184"/>
      <c r="H104" s="179"/>
      <c r="I104" s="179"/>
      <c r="J104" s="179"/>
      <c r="K104" s="179"/>
      <c r="L104" s="215">
        <f>SUM(F104:K104)</f>
        <v>0</v>
      </c>
      <c r="M104" s="215">
        <f>L104/6</f>
        <v>0</v>
      </c>
      <c r="N104" s="179"/>
      <c r="O104" s="179"/>
      <c r="P104" s="179"/>
      <c r="Q104" s="179"/>
      <c r="R104" s="179"/>
      <c r="S104" s="179"/>
      <c r="T104" s="215">
        <f>SUM(N104:S104)</f>
        <v>0</v>
      </c>
      <c r="U104" s="215">
        <f>T104+L104</f>
        <v>0</v>
      </c>
      <c r="V104" s="179"/>
      <c r="W104" s="184"/>
    </row>
    <row r="105" spans="1:24" s="43" customFormat="1" ht="18" hidden="1" customHeight="1">
      <c r="A105" s="610"/>
      <c r="B105" s="583"/>
      <c r="C105" s="583"/>
      <c r="D105" s="178" t="str">
        <f>серпень!D105</f>
        <v>факт. нат.п-ки 2025</v>
      </c>
      <c r="E105" s="179"/>
      <c r="F105" s="184"/>
      <c r="G105" s="184"/>
      <c r="H105" s="179"/>
      <c r="I105" s="216"/>
      <c r="J105" s="179"/>
      <c r="K105" s="179"/>
      <c r="L105" s="215">
        <f>SUM(F105:K105)</f>
        <v>0</v>
      </c>
      <c r="M105" s="215">
        <f>L105/6</f>
        <v>0</v>
      </c>
      <c r="N105" s="179"/>
      <c r="O105" s="179"/>
      <c r="P105" s="179"/>
      <c r="Q105" s="179"/>
      <c r="R105" s="179"/>
      <c r="S105" s="179"/>
      <c r="T105" s="215">
        <f>SUM(N105:S105)</f>
        <v>0</v>
      </c>
      <c r="U105" s="215">
        <f>T105+L105</f>
        <v>0</v>
      </c>
      <c r="V105" s="179"/>
      <c r="W105" s="184">
        <f>U105-V105</f>
        <v>0</v>
      </c>
    </row>
    <row r="106" spans="1:24" s="43" customFormat="1" ht="18" hidden="1" customHeight="1">
      <c r="A106" s="610"/>
      <c r="B106" s="583"/>
      <c r="C106" s="583"/>
      <c r="D106" s="187" t="str">
        <f>серпень!D106</f>
        <v>тариф, грн.</v>
      </c>
      <c r="E106" s="188"/>
      <c r="F106" s="188"/>
      <c r="G106" s="188"/>
      <c r="H106" s="188"/>
      <c r="I106" s="188"/>
      <c r="J106" s="188"/>
      <c r="K106" s="188"/>
      <c r="L106" s="217" t="e">
        <f>L107/L105*1000</f>
        <v>#DIV/0!</v>
      </c>
      <c r="M106" s="217" t="e">
        <f>M107/M105*1000</f>
        <v>#DIV/0!</v>
      </c>
      <c r="N106" s="188"/>
      <c r="O106" s="188"/>
      <c r="P106" s="218"/>
      <c r="Q106" s="218"/>
      <c r="R106" s="218"/>
      <c r="S106" s="218"/>
      <c r="T106" s="217" t="e">
        <f>T107/T105*1000</f>
        <v>#DIV/0!</v>
      </c>
      <c r="U106" s="217" t="e">
        <f>U107/U105*1000</f>
        <v>#DIV/0!</v>
      </c>
      <c r="V106" s="218" t="e">
        <f>V107/V105*1000</f>
        <v>#DIV/0!</v>
      </c>
      <c r="W106" s="219" t="e">
        <f>W107/W105*1000</f>
        <v>#DIV/0!</v>
      </c>
    </row>
    <row r="107" spans="1:24" s="43" customFormat="1" ht="18" hidden="1" customHeight="1">
      <c r="A107" s="610"/>
      <c r="B107" s="583"/>
      <c r="C107" s="583"/>
      <c r="D107" s="191" t="str">
        <f>серпень!D107</f>
        <v>сума, тис.грн.</v>
      </c>
      <c r="E107" s="192"/>
      <c r="F107" s="192"/>
      <c r="G107" s="192"/>
      <c r="H107" s="192"/>
      <c r="I107" s="192"/>
      <c r="J107" s="192"/>
      <c r="K107" s="192"/>
      <c r="L107" s="194">
        <f>SUM(F107:K107)</f>
        <v>0</v>
      </c>
      <c r="M107" s="194">
        <f>L107/6</f>
        <v>0</v>
      </c>
      <c r="N107" s="192"/>
      <c r="O107" s="192"/>
      <c r="P107" s="192"/>
      <c r="Q107" s="192"/>
      <c r="R107" s="192"/>
      <c r="S107" s="192"/>
      <c r="T107" s="194">
        <f>SUM(N107:S107)</f>
        <v>0</v>
      </c>
      <c r="U107" s="194">
        <f>T107+L107</f>
        <v>0</v>
      </c>
      <c r="V107" s="171">
        <f>V108+V109</f>
        <v>0</v>
      </c>
      <c r="W107" s="192">
        <f>V107-U107</f>
        <v>0</v>
      </c>
    </row>
    <row r="108" spans="1:24" s="43" customFormat="1" ht="18" hidden="1" customHeight="1">
      <c r="A108" s="610"/>
      <c r="B108" s="583"/>
      <c r="C108" s="583"/>
      <c r="D108" s="174" t="str">
        <f>серпень!D108</f>
        <v>дотація</v>
      </c>
      <c r="E108" s="210"/>
      <c r="F108" s="192"/>
      <c r="G108" s="192"/>
      <c r="H108" s="192"/>
      <c r="I108" s="192"/>
      <c r="J108" s="192"/>
      <c r="K108" s="192"/>
      <c r="L108" s="194">
        <f>SUM(F108:K108)</f>
        <v>0</v>
      </c>
      <c r="M108" s="194">
        <f>L108/6</f>
        <v>0</v>
      </c>
      <c r="N108" s="192"/>
      <c r="O108" s="192"/>
      <c r="P108" s="192"/>
      <c r="Q108" s="192"/>
      <c r="R108" s="192"/>
      <c r="S108" s="192"/>
      <c r="T108" s="194">
        <f>SUM(N108:S108)</f>
        <v>0</v>
      </c>
      <c r="U108" s="194">
        <f>T108+L108</f>
        <v>0</v>
      </c>
      <c r="V108" s="171"/>
      <c r="W108" s="192">
        <f>V108-U108</f>
        <v>0</v>
      </c>
    </row>
    <row r="109" spans="1:24" s="43" customFormat="1" ht="18" hidden="1" customHeight="1">
      <c r="A109" s="610"/>
      <c r="B109" s="583"/>
      <c r="C109" s="583"/>
      <c r="D109" s="174" t="str">
        <f>серпень!D109</f>
        <v>місцевий (план), тис.грн</v>
      </c>
      <c r="E109" s="210"/>
      <c r="F109" s="192"/>
      <c r="G109" s="192"/>
      <c r="H109" s="192"/>
      <c r="I109" s="192"/>
      <c r="J109" s="192"/>
      <c r="K109" s="192"/>
      <c r="L109" s="194">
        <f>SUM(F109:K109)</f>
        <v>0</v>
      </c>
      <c r="M109" s="194">
        <f>L109/6</f>
        <v>0</v>
      </c>
      <c r="N109" s="192"/>
      <c r="O109" s="192"/>
      <c r="P109" s="192"/>
      <c r="Q109" s="192"/>
      <c r="R109" s="192"/>
      <c r="S109" s="192"/>
      <c r="T109" s="194">
        <f>SUM(N109:S109)</f>
        <v>0</v>
      </c>
      <c r="U109" s="194">
        <f>T109+L109</f>
        <v>0</v>
      </c>
      <c r="V109" s="171"/>
      <c r="W109" s="192">
        <f>V109-U109</f>
        <v>0</v>
      </c>
    </row>
    <row r="110" spans="1:24" s="43" customFormat="1" ht="18" hidden="1" customHeight="1">
      <c r="A110" s="610"/>
      <c r="B110" s="583"/>
      <c r="C110" s="583"/>
      <c r="D110" s="178" t="str">
        <f>серпень!D110</f>
        <v>касові нат.п-ки 2025</v>
      </c>
      <c r="E110" s="179"/>
      <c r="F110" s="184"/>
      <c r="G110" s="184"/>
      <c r="H110" s="179"/>
      <c r="I110" s="179"/>
      <c r="J110" s="216"/>
      <c r="K110" s="179"/>
      <c r="L110" s="215">
        <f>SUM(F110:K110)</f>
        <v>0</v>
      </c>
      <c r="M110" s="215">
        <f>L110/6</f>
        <v>0</v>
      </c>
      <c r="N110" s="179"/>
      <c r="O110" s="179"/>
      <c r="P110" s="179"/>
      <c r="Q110" s="179"/>
      <c r="R110" s="179"/>
      <c r="S110" s="179"/>
      <c r="T110" s="215">
        <f>SUM(N110:S110)</f>
        <v>0</v>
      </c>
      <c r="U110" s="215">
        <f>T110+L110</f>
        <v>0</v>
      </c>
      <c r="V110" s="179">
        <f>V105</f>
        <v>0</v>
      </c>
      <c r="W110" s="184">
        <f>V110-U110</f>
        <v>0</v>
      </c>
    </row>
    <row r="111" spans="1:24" s="43" customFormat="1" ht="18" hidden="1" customHeight="1">
      <c r="A111" s="610"/>
      <c r="B111" s="583"/>
      <c r="C111" s="583"/>
      <c r="D111" s="187" t="str">
        <f>серпень!D111</f>
        <v>тариф, грн.</v>
      </c>
      <c r="E111" s="188" t="e">
        <f t="shared" ref="E111" si="151">E112/E110*1000</f>
        <v>#DIV/0!</v>
      </c>
      <c r="F111" s="188"/>
      <c r="G111" s="188"/>
      <c r="H111" s="188"/>
      <c r="I111" s="188"/>
      <c r="J111" s="188"/>
      <c r="K111" s="188"/>
      <c r="L111" s="217" t="e">
        <f>L112/L110*1000</f>
        <v>#DIV/0!</v>
      </c>
      <c r="M111" s="217" t="e">
        <f>M112/M110*1000</f>
        <v>#DIV/0!</v>
      </c>
      <c r="N111" s="188"/>
      <c r="O111" s="188"/>
      <c r="P111" s="188"/>
      <c r="Q111" s="218"/>
      <c r="R111" s="218"/>
      <c r="S111" s="218"/>
      <c r="T111" s="217" t="e">
        <f>T112/T110*1000</f>
        <v>#DIV/0!</v>
      </c>
      <c r="U111" s="217" t="e">
        <f>U112/U110*1000</f>
        <v>#DIV/0!</v>
      </c>
      <c r="V111" s="218" t="e">
        <f>V112/V110*1000</f>
        <v>#DIV/0!</v>
      </c>
      <c r="W111" s="219" t="e">
        <f>W112/W110*1000</f>
        <v>#DIV/0!</v>
      </c>
    </row>
    <row r="112" spans="1:24" s="43" customFormat="1" ht="18" hidden="1" customHeight="1">
      <c r="A112" s="610"/>
      <c r="B112" s="583"/>
      <c r="C112" s="583"/>
      <c r="D112" s="198" t="str">
        <f>серпень!D112</f>
        <v>касові видатки, тис.грн.</v>
      </c>
      <c r="E112" s="220"/>
      <c r="F112" s="199"/>
      <c r="G112" s="199"/>
      <c r="H112" s="199"/>
      <c r="I112" s="199"/>
      <c r="J112" s="199"/>
      <c r="K112" s="199"/>
      <c r="L112" s="199">
        <f>SUM(F112:K112)</f>
        <v>0</v>
      </c>
      <c r="M112" s="199">
        <f>L112/6</f>
        <v>0</v>
      </c>
      <c r="N112" s="199"/>
      <c r="O112" s="199"/>
      <c r="P112" s="199"/>
      <c r="Q112" s="199"/>
      <c r="R112" s="199"/>
      <c r="S112" s="199"/>
      <c r="T112" s="199">
        <f>SUM(N112:S112)</f>
        <v>0</v>
      </c>
      <c r="U112" s="199">
        <f>T112+L112</f>
        <v>0</v>
      </c>
      <c r="V112" s="199">
        <f>V107</f>
        <v>0</v>
      </c>
      <c r="W112" s="221">
        <f>V112-U112</f>
        <v>0</v>
      </c>
    </row>
    <row r="113" spans="1:23" s="43" customFormat="1" ht="18" hidden="1" customHeight="1">
      <c r="A113" s="610"/>
      <c r="B113" s="583"/>
      <c r="C113" s="583"/>
      <c r="D113" s="201" t="str">
        <f>серпень!D113</f>
        <v>дотація</v>
      </c>
      <c r="E113" s="220"/>
      <c r="F113" s="199"/>
      <c r="G113" s="199"/>
      <c r="H113" s="199"/>
      <c r="I113" s="199"/>
      <c r="J113" s="199"/>
      <c r="K113" s="199"/>
      <c r="L113" s="199">
        <f>SUM(F113:K113)</f>
        <v>0</v>
      </c>
      <c r="M113" s="199">
        <f>L113/6</f>
        <v>0</v>
      </c>
      <c r="N113" s="199"/>
      <c r="O113" s="199"/>
      <c r="P113" s="199"/>
      <c r="Q113" s="199"/>
      <c r="R113" s="199"/>
      <c r="S113" s="199"/>
      <c r="T113" s="199">
        <f>SUM(N113:S113)</f>
        <v>0</v>
      </c>
      <c r="U113" s="199">
        <f>T113+L113</f>
        <v>0</v>
      </c>
      <c r="V113" s="199">
        <f>V108</f>
        <v>0</v>
      </c>
      <c r="W113" s="221">
        <f>V113-U113</f>
        <v>0</v>
      </c>
    </row>
    <row r="114" spans="1:23" s="43" customFormat="1" ht="18" hidden="1" customHeight="1">
      <c r="A114" s="610"/>
      <c r="B114" s="583"/>
      <c r="C114" s="583"/>
      <c r="D114" s="201" t="str">
        <f>серпень!D114</f>
        <v xml:space="preserve">місцевий </v>
      </c>
      <c r="E114" s="220"/>
      <c r="F114" s="199"/>
      <c r="G114" s="199"/>
      <c r="H114" s="199"/>
      <c r="I114" s="199"/>
      <c r="J114" s="199"/>
      <c r="K114" s="199"/>
      <c r="L114" s="199">
        <f>SUM(F114:K114)</f>
        <v>0</v>
      </c>
      <c r="M114" s="199">
        <f>L114/6</f>
        <v>0</v>
      </c>
      <c r="N114" s="199"/>
      <c r="O114" s="199"/>
      <c r="P114" s="199"/>
      <c r="Q114" s="199"/>
      <c r="R114" s="199"/>
      <c r="S114" s="199"/>
      <c r="T114" s="199">
        <f>SUM(N114:S114)</f>
        <v>0</v>
      </c>
      <c r="U114" s="199">
        <f>T114+L114</f>
        <v>0</v>
      </c>
      <c r="V114" s="199">
        <f>V109</f>
        <v>0</v>
      </c>
      <c r="W114" s="221">
        <f>V114-U114</f>
        <v>0</v>
      </c>
    </row>
    <row r="115" spans="1:23" s="43" customFormat="1" ht="18" hidden="1" customHeight="1">
      <c r="A115" s="610"/>
      <c r="B115" s="583"/>
      <c r="C115" s="583"/>
      <c r="D115" s="202" t="str">
        <f>серпень!D115</f>
        <v>план</v>
      </c>
      <c r="E115" s="203"/>
      <c r="F115" s="203">
        <f t="shared" ref="F115:K115" si="152">F108+F109</f>
        <v>0</v>
      </c>
      <c r="G115" s="203">
        <f t="shared" si="152"/>
        <v>0</v>
      </c>
      <c r="H115" s="203">
        <f t="shared" si="152"/>
        <v>0</v>
      </c>
      <c r="I115" s="203">
        <f t="shared" si="152"/>
        <v>0</v>
      </c>
      <c r="J115" s="203">
        <f t="shared" si="152"/>
        <v>0</v>
      </c>
      <c r="K115" s="203">
        <f t="shared" si="152"/>
        <v>0</v>
      </c>
      <c r="L115" s="203">
        <f>SUM(F115:K115)</f>
        <v>0</v>
      </c>
      <c r="M115" s="203">
        <f>L115/6</f>
        <v>0</v>
      </c>
      <c r="N115" s="203">
        <f t="shared" ref="N115:S115" si="153">N109+N108</f>
        <v>0</v>
      </c>
      <c r="O115" s="203">
        <f t="shared" si="153"/>
        <v>0</v>
      </c>
      <c r="P115" s="203">
        <f t="shared" si="153"/>
        <v>0</v>
      </c>
      <c r="Q115" s="203">
        <f t="shared" si="153"/>
        <v>0</v>
      </c>
      <c r="R115" s="203">
        <f t="shared" si="153"/>
        <v>0</v>
      </c>
      <c r="S115" s="203">
        <f t="shared" si="153"/>
        <v>0</v>
      </c>
      <c r="T115" s="203">
        <f>SUM(N115:S115)</f>
        <v>0</v>
      </c>
      <c r="U115" s="203">
        <f>T115+L115</f>
        <v>0</v>
      </c>
      <c r="V115" s="203">
        <f>V112</f>
        <v>0</v>
      </c>
      <c r="W115" s="203">
        <f>V115-U115</f>
        <v>0</v>
      </c>
    </row>
    <row r="116" spans="1:23" s="43" customFormat="1" ht="18" hidden="1" customHeight="1">
      <c r="A116" s="610"/>
      <c r="B116" s="583"/>
      <c r="C116" s="583"/>
      <c r="D116" s="202" t="str">
        <f>серпень!D116</f>
        <v xml:space="preserve">відхилення </v>
      </c>
      <c r="E116" s="203"/>
      <c r="F116" s="203">
        <f t="shared" ref="F116:K116" si="154">F112-F115</f>
        <v>0</v>
      </c>
      <c r="G116" s="203">
        <f t="shared" si="154"/>
        <v>0</v>
      </c>
      <c r="H116" s="203">
        <f t="shared" si="154"/>
        <v>0</v>
      </c>
      <c r="I116" s="203">
        <f t="shared" si="154"/>
        <v>0</v>
      </c>
      <c r="J116" s="203">
        <f t="shared" si="154"/>
        <v>0</v>
      </c>
      <c r="K116" s="203">
        <f t="shared" si="154"/>
        <v>0</v>
      </c>
      <c r="L116" s="203"/>
      <c r="M116" s="203"/>
      <c r="N116" s="203">
        <f t="shared" ref="N116:S116" si="155">N112-N115</f>
        <v>0</v>
      </c>
      <c r="O116" s="203">
        <f t="shared" si="155"/>
        <v>0</v>
      </c>
      <c r="P116" s="203">
        <f t="shared" si="155"/>
        <v>0</v>
      </c>
      <c r="Q116" s="203">
        <f t="shared" si="155"/>
        <v>0</v>
      </c>
      <c r="R116" s="203">
        <f t="shared" si="155"/>
        <v>0</v>
      </c>
      <c r="S116" s="203">
        <f t="shared" si="155"/>
        <v>0</v>
      </c>
      <c r="T116" s="203"/>
      <c r="U116" s="203"/>
      <c r="V116" s="203"/>
      <c r="W116" s="203"/>
    </row>
    <row r="117" spans="1:23" s="43" customFormat="1" ht="18" hidden="1" customHeight="1">
      <c r="A117" s="610"/>
      <c r="B117" s="583"/>
      <c r="C117" s="584"/>
      <c r="D117" s="202" t="str">
        <f>серпень!D117</f>
        <v>відхилення з наростаючим</v>
      </c>
      <c r="E117" s="203"/>
      <c r="F117" s="203">
        <f>F116</f>
        <v>0</v>
      </c>
      <c r="G117" s="203">
        <f>G116+F117</f>
        <v>0</v>
      </c>
      <c r="H117" s="203">
        <f>H116+G117</f>
        <v>0</v>
      </c>
      <c r="I117" s="203">
        <f>I116+H117</f>
        <v>0</v>
      </c>
      <c r="J117" s="203">
        <f>J116+I117</f>
        <v>0</v>
      </c>
      <c r="K117" s="203">
        <f>K116+J117</f>
        <v>0</v>
      </c>
      <c r="L117" s="203"/>
      <c r="M117" s="203"/>
      <c r="N117" s="203">
        <f>N116+K117</f>
        <v>0</v>
      </c>
      <c r="O117" s="203">
        <f>O116+N117</f>
        <v>0</v>
      </c>
      <c r="P117" s="203">
        <f>P116+O117</f>
        <v>0</v>
      </c>
      <c r="Q117" s="203">
        <f>Q116+P117</f>
        <v>0</v>
      </c>
      <c r="R117" s="203">
        <f>R116+Q117</f>
        <v>0</v>
      </c>
      <c r="S117" s="203">
        <f>S116+R117</f>
        <v>0</v>
      </c>
      <c r="T117" s="203"/>
      <c r="U117" s="203"/>
      <c r="V117" s="203"/>
      <c r="W117" s="203"/>
    </row>
    <row r="118" spans="1:23" s="43" customFormat="1" ht="18" hidden="1" customHeight="1">
      <c r="A118" s="610"/>
      <c r="B118" s="581" t="s">
        <v>57</v>
      </c>
      <c r="C118" s="582" t="s">
        <v>98</v>
      </c>
      <c r="D118" s="178" t="str">
        <f>серпень!D118</f>
        <v>факт. нат.п-ки 2023</v>
      </c>
      <c r="E118" s="179"/>
      <c r="F118" s="184"/>
      <c r="G118" s="184"/>
      <c r="H118" s="179"/>
      <c r="I118" s="179"/>
      <c r="J118" s="179"/>
      <c r="K118" s="179"/>
      <c r="L118" s="215">
        <f>SUM(F118:K118)</f>
        <v>0</v>
      </c>
      <c r="M118" s="215">
        <f>L118/6</f>
        <v>0</v>
      </c>
      <c r="N118" s="179"/>
      <c r="O118" s="179"/>
      <c r="P118" s="179"/>
      <c r="Q118" s="179"/>
      <c r="R118" s="179"/>
      <c r="S118" s="179"/>
      <c r="T118" s="215">
        <f>SUM(N118:S118)</f>
        <v>0</v>
      </c>
      <c r="U118" s="215">
        <f>T118+L118</f>
        <v>0</v>
      </c>
      <c r="V118" s="179"/>
      <c r="W118" s="184"/>
    </row>
    <row r="119" spans="1:23" s="43" customFormat="1" ht="18" hidden="1" customHeight="1">
      <c r="A119" s="610"/>
      <c r="B119" s="581"/>
      <c r="C119" s="583"/>
      <c r="D119" s="178" t="str">
        <f>серпень!D119</f>
        <v>факт. нат.п-ки 2024</v>
      </c>
      <c r="E119" s="179"/>
      <c r="F119" s="184"/>
      <c r="G119" s="184"/>
      <c r="H119" s="179"/>
      <c r="I119" s="179"/>
      <c r="J119" s="179"/>
      <c r="K119" s="179"/>
      <c r="L119" s="215">
        <f>SUM(F119:K119)</f>
        <v>0</v>
      </c>
      <c r="M119" s="215">
        <f>L119/6</f>
        <v>0</v>
      </c>
      <c r="N119" s="179"/>
      <c r="O119" s="179"/>
      <c r="P119" s="179"/>
      <c r="Q119" s="179"/>
      <c r="R119" s="179"/>
      <c r="S119" s="179"/>
      <c r="T119" s="215">
        <f>SUM(N119:S119)</f>
        <v>0</v>
      </c>
      <c r="U119" s="215">
        <f>T119+L119</f>
        <v>0</v>
      </c>
      <c r="V119" s="179"/>
      <c r="W119" s="184"/>
    </row>
    <row r="120" spans="1:23" s="43" customFormat="1" ht="18" hidden="1" customHeight="1">
      <c r="A120" s="610"/>
      <c r="B120" s="581"/>
      <c r="C120" s="583"/>
      <c r="D120" s="178" t="str">
        <f>серпень!D120</f>
        <v>факт. нат.п-ки 2025</v>
      </c>
      <c r="E120" s="179"/>
      <c r="F120" s="184"/>
      <c r="G120" s="184"/>
      <c r="H120" s="179"/>
      <c r="I120" s="216"/>
      <c r="J120" s="179"/>
      <c r="K120" s="179"/>
      <c r="L120" s="215">
        <f>SUM(F120:K120)</f>
        <v>0</v>
      </c>
      <c r="M120" s="215">
        <f>L120/6</f>
        <v>0</v>
      </c>
      <c r="N120" s="179"/>
      <c r="O120" s="179"/>
      <c r="P120" s="179"/>
      <c r="Q120" s="179"/>
      <c r="R120" s="179"/>
      <c r="S120" s="179"/>
      <c r="T120" s="215">
        <f>SUM(N120:S120)</f>
        <v>0</v>
      </c>
      <c r="U120" s="215">
        <f>T120+L120</f>
        <v>0</v>
      </c>
      <c r="V120" s="179"/>
      <c r="W120" s="184">
        <f>U120-V120</f>
        <v>0</v>
      </c>
    </row>
    <row r="121" spans="1:23" s="43" customFormat="1" ht="18" hidden="1" customHeight="1">
      <c r="A121" s="610"/>
      <c r="B121" s="581"/>
      <c r="C121" s="583"/>
      <c r="D121" s="187" t="str">
        <f>серпень!D121</f>
        <v>тариф, грн.</v>
      </c>
      <c r="E121" s="188"/>
      <c r="F121" s="188"/>
      <c r="G121" s="188"/>
      <c r="H121" s="188"/>
      <c r="I121" s="188"/>
      <c r="J121" s="188"/>
      <c r="K121" s="188"/>
      <c r="L121" s="217" t="e">
        <f>L122/L120*1000</f>
        <v>#DIV/0!</v>
      </c>
      <c r="M121" s="217" t="e">
        <f>M122/M120*1000</f>
        <v>#DIV/0!</v>
      </c>
      <c r="N121" s="188"/>
      <c r="O121" s="188"/>
      <c r="P121" s="188"/>
      <c r="Q121" s="188"/>
      <c r="R121" s="188"/>
      <c r="S121" s="188"/>
      <c r="T121" s="217" t="e">
        <f>T122/T120*1000</f>
        <v>#DIV/0!</v>
      </c>
      <c r="U121" s="217" t="e">
        <f>U122/U120*1000</f>
        <v>#DIV/0!</v>
      </c>
      <c r="V121" s="218" t="e">
        <f>V122/V120*1000</f>
        <v>#DIV/0!</v>
      </c>
      <c r="W121" s="219" t="e">
        <f>W122/W120*1000</f>
        <v>#DIV/0!</v>
      </c>
    </row>
    <row r="122" spans="1:23" s="43" customFormat="1" ht="18" hidden="1" customHeight="1">
      <c r="A122" s="610"/>
      <c r="B122" s="581"/>
      <c r="C122" s="583"/>
      <c r="D122" s="191" t="str">
        <f>серпень!D122</f>
        <v>сума, тис.грн.</v>
      </c>
      <c r="E122" s="192"/>
      <c r="F122" s="192"/>
      <c r="G122" s="192"/>
      <c r="H122" s="192"/>
      <c r="I122" s="192"/>
      <c r="J122" s="192"/>
      <c r="K122" s="192"/>
      <c r="L122" s="194">
        <f>SUM(F122:K122)</f>
        <v>0</v>
      </c>
      <c r="M122" s="194">
        <f>L122/6</f>
        <v>0</v>
      </c>
      <c r="N122" s="192"/>
      <c r="O122" s="192"/>
      <c r="P122" s="192"/>
      <c r="Q122" s="192"/>
      <c r="R122" s="192"/>
      <c r="S122" s="192"/>
      <c r="T122" s="194">
        <f>SUM(N122:S122)</f>
        <v>0</v>
      </c>
      <c r="U122" s="194">
        <f>T122+L122</f>
        <v>0</v>
      </c>
      <c r="V122" s="171">
        <f>V123+V124</f>
        <v>0</v>
      </c>
      <c r="W122" s="192">
        <f>V122-U122</f>
        <v>0</v>
      </c>
    </row>
    <row r="123" spans="1:23" s="43" customFormat="1" ht="18" hidden="1" customHeight="1">
      <c r="A123" s="610"/>
      <c r="B123" s="581"/>
      <c r="C123" s="583"/>
      <c r="D123" s="174" t="str">
        <f>серпень!D123</f>
        <v>дотація</v>
      </c>
      <c r="E123" s="210"/>
      <c r="F123" s="192"/>
      <c r="G123" s="192"/>
      <c r="H123" s="192"/>
      <c r="I123" s="192"/>
      <c r="J123" s="192"/>
      <c r="K123" s="192"/>
      <c r="L123" s="194">
        <f>SUM(F123:K123)</f>
        <v>0</v>
      </c>
      <c r="M123" s="194">
        <f>L123/6</f>
        <v>0</v>
      </c>
      <c r="N123" s="192"/>
      <c r="O123" s="192"/>
      <c r="P123" s="192"/>
      <c r="Q123" s="192"/>
      <c r="R123" s="192"/>
      <c r="S123" s="192"/>
      <c r="T123" s="194">
        <f>SUM(N123:S123)</f>
        <v>0</v>
      </c>
      <c r="U123" s="194">
        <f>T123+L123</f>
        <v>0</v>
      </c>
      <c r="V123" s="171"/>
      <c r="W123" s="192">
        <f>V123-U123</f>
        <v>0</v>
      </c>
    </row>
    <row r="124" spans="1:23" s="43" customFormat="1" ht="18" hidden="1" customHeight="1">
      <c r="A124" s="610"/>
      <c r="B124" s="581"/>
      <c r="C124" s="583"/>
      <c r="D124" s="174" t="str">
        <f>серпень!D124</f>
        <v>місцевий (план), тис.грн</v>
      </c>
      <c r="E124" s="210"/>
      <c r="F124" s="192"/>
      <c r="G124" s="192"/>
      <c r="H124" s="192"/>
      <c r="I124" s="192"/>
      <c r="J124" s="192"/>
      <c r="K124" s="192"/>
      <c r="L124" s="194">
        <f>SUM(F124:K124)</f>
        <v>0</v>
      </c>
      <c r="M124" s="194">
        <f>L124/6</f>
        <v>0</v>
      </c>
      <c r="N124" s="192"/>
      <c r="O124" s="192"/>
      <c r="P124" s="192"/>
      <c r="Q124" s="192"/>
      <c r="R124" s="192"/>
      <c r="S124" s="192"/>
      <c r="T124" s="194">
        <f>SUM(N124:S124)</f>
        <v>0</v>
      </c>
      <c r="U124" s="194">
        <f>T124+L124</f>
        <v>0</v>
      </c>
      <c r="V124" s="171"/>
      <c r="W124" s="192">
        <f>V124-U124</f>
        <v>0</v>
      </c>
    </row>
    <row r="125" spans="1:23" s="43" customFormat="1" ht="18" hidden="1" customHeight="1">
      <c r="A125" s="610"/>
      <c r="B125" s="581"/>
      <c r="C125" s="583"/>
      <c r="D125" s="178" t="str">
        <f>серпень!D125</f>
        <v>касові нат.п-ки 2025</v>
      </c>
      <c r="E125" s="179"/>
      <c r="F125" s="184"/>
      <c r="G125" s="184"/>
      <c r="H125" s="179"/>
      <c r="I125" s="179"/>
      <c r="J125" s="216"/>
      <c r="K125" s="179"/>
      <c r="L125" s="215">
        <f>SUM(F125:K125)</f>
        <v>0</v>
      </c>
      <c r="M125" s="215">
        <f>L125/6</f>
        <v>0</v>
      </c>
      <c r="N125" s="179"/>
      <c r="O125" s="179"/>
      <c r="P125" s="179"/>
      <c r="Q125" s="179"/>
      <c r="R125" s="179"/>
      <c r="S125" s="179"/>
      <c r="T125" s="215">
        <f>SUM(N125:S125)</f>
        <v>0</v>
      </c>
      <c r="U125" s="215">
        <f>T125+L125</f>
        <v>0</v>
      </c>
      <c r="V125" s="179">
        <f>V120</f>
        <v>0</v>
      </c>
      <c r="W125" s="184">
        <f>V125-U125</f>
        <v>0</v>
      </c>
    </row>
    <row r="126" spans="1:23" s="43" customFormat="1" ht="18" hidden="1" customHeight="1">
      <c r="A126" s="610"/>
      <c r="B126" s="581"/>
      <c r="C126" s="583"/>
      <c r="D126" s="187" t="str">
        <f>серпень!D126</f>
        <v>тариф, грн.</v>
      </c>
      <c r="E126" s="188" t="e">
        <f t="shared" ref="E126" si="156">E127/E125*1000</f>
        <v>#DIV/0!</v>
      </c>
      <c r="F126" s="188"/>
      <c r="G126" s="188"/>
      <c r="H126" s="188"/>
      <c r="I126" s="188"/>
      <c r="J126" s="188"/>
      <c r="K126" s="188"/>
      <c r="L126" s="217" t="e">
        <f>L127/L125*1000</f>
        <v>#DIV/0!</v>
      </c>
      <c r="M126" s="217" t="e">
        <f>M127/M125*1000</f>
        <v>#DIV/0!</v>
      </c>
      <c r="N126" s="188"/>
      <c r="O126" s="188"/>
      <c r="P126" s="188"/>
      <c r="Q126" s="188"/>
      <c r="R126" s="188"/>
      <c r="S126" s="188"/>
      <c r="T126" s="217" t="e">
        <f>T127/T125*1000</f>
        <v>#DIV/0!</v>
      </c>
      <c r="U126" s="217" t="e">
        <f>U127/U125*1000</f>
        <v>#DIV/0!</v>
      </c>
      <c r="V126" s="218" t="e">
        <f>V127/V125*1000</f>
        <v>#DIV/0!</v>
      </c>
      <c r="W126" s="219" t="e">
        <f>W127/W125*1000</f>
        <v>#DIV/0!</v>
      </c>
    </row>
    <row r="127" spans="1:23" s="43" customFormat="1" ht="18" hidden="1" customHeight="1">
      <c r="A127" s="610"/>
      <c r="B127" s="581"/>
      <c r="C127" s="583"/>
      <c r="D127" s="198" t="str">
        <f>серпень!D127</f>
        <v>касові видатки, тис.грн.</v>
      </c>
      <c r="E127" s="220"/>
      <c r="F127" s="199"/>
      <c r="G127" s="199"/>
      <c r="H127" s="199"/>
      <c r="I127" s="199"/>
      <c r="J127" s="199"/>
      <c r="K127" s="199"/>
      <c r="L127" s="199">
        <f>SUM(F127:K127)</f>
        <v>0</v>
      </c>
      <c r="M127" s="199">
        <f>L127/6</f>
        <v>0</v>
      </c>
      <c r="N127" s="199"/>
      <c r="O127" s="199"/>
      <c r="P127" s="199"/>
      <c r="Q127" s="199"/>
      <c r="R127" s="199"/>
      <c r="S127" s="199"/>
      <c r="T127" s="199">
        <f>SUM(N127:S127)</f>
        <v>0</v>
      </c>
      <c r="U127" s="199">
        <f>T127+L127</f>
        <v>0</v>
      </c>
      <c r="V127" s="199">
        <f>V122</f>
        <v>0</v>
      </c>
      <c r="W127" s="221">
        <f>V127-U127</f>
        <v>0</v>
      </c>
    </row>
    <row r="128" spans="1:23" s="43" customFormat="1" ht="18" hidden="1" customHeight="1">
      <c r="A128" s="610"/>
      <c r="B128" s="581"/>
      <c r="C128" s="583"/>
      <c r="D128" s="201" t="str">
        <f>серпень!D128</f>
        <v>дотація</v>
      </c>
      <c r="E128" s="220"/>
      <c r="F128" s="199"/>
      <c r="G128" s="199"/>
      <c r="H128" s="199"/>
      <c r="I128" s="199"/>
      <c r="J128" s="199"/>
      <c r="K128" s="199"/>
      <c r="L128" s="199">
        <f>SUM(F128:K128)</f>
        <v>0</v>
      </c>
      <c r="M128" s="199">
        <f>L128/6</f>
        <v>0</v>
      </c>
      <c r="N128" s="199"/>
      <c r="O128" s="199"/>
      <c r="P128" s="199"/>
      <c r="Q128" s="199"/>
      <c r="R128" s="199"/>
      <c r="S128" s="199"/>
      <c r="T128" s="199">
        <f>SUM(N128:S128)</f>
        <v>0</v>
      </c>
      <c r="U128" s="199">
        <f>T128+L128</f>
        <v>0</v>
      </c>
      <c r="V128" s="199">
        <f>V123</f>
        <v>0</v>
      </c>
      <c r="W128" s="221">
        <f>V128-U128</f>
        <v>0</v>
      </c>
    </row>
    <row r="129" spans="1:24" s="43" customFormat="1" ht="18" hidden="1" customHeight="1">
      <c r="A129" s="610"/>
      <c r="B129" s="581"/>
      <c r="C129" s="583"/>
      <c r="D129" s="201" t="str">
        <f>серпень!D129</f>
        <v xml:space="preserve">місцевий </v>
      </c>
      <c r="E129" s="220"/>
      <c r="F129" s="199"/>
      <c r="G129" s="199"/>
      <c r="H129" s="199"/>
      <c r="I129" s="199"/>
      <c r="J129" s="199"/>
      <c r="K129" s="199"/>
      <c r="L129" s="199">
        <f>SUM(F129:K129)</f>
        <v>0</v>
      </c>
      <c r="M129" s="199">
        <f>L129/6</f>
        <v>0</v>
      </c>
      <c r="N129" s="199"/>
      <c r="O129" s="199"/>
      <c r="P129" s="199"/>
      <c r="Q129" s="199"/>
      <c r="R129" s="199"/>
      <c r="S129" s="199"/>
      <c r="T129" s="199">
        <f>SUM(N129:S129)</f>
        <v>0</v>
      </c>
      <c r="U129" s="199">
        <f>T129+L129</f>
        <v>0</v>
      </c>
      <c r="V129" s="199">
        <f>V124</f>
        <v>0</v>
      </c>
      <c r="W129" s="221">
        <f>V129-U129</f>
        <v>0</v>
      </c>
    </row>
    <row r="130" spans="1:24" s="43" customFormat="1" ht="18" hidden="1" customHeight="1">
      <c r="A130" s="610"/>
      <c r="B130" s="581"/>
      <c r="C130" s="583"/>
      <c r="D130" s="202" t="str">
        <f>серпень!D130</f>
        <v>план</v>
      </c>
      <c r="E130" s="203"/>
      <c r="F130" s="203">
        <f t="shared" ref="F130:K130" si="157">F123+F124</f>
        <v>0</v>
      </c>
      <c r="G130" s="203">
        <f t="shared" si="157"/>
        <v>0</v>
      </c>
      <c r="H130" s="203">
        <f t="shared" si="157"/>
        <v>0</v>
      </c>
      <c r="I130" s="203">
        <f t="shared" si="157"/>
        <v>0</v>
      </c>
      <c r="J130" s="203">
        <f t="shared" si="157"/>
        <v>0</v>
      </c>
      <c r="K130" s="203">
        <f t="shared" si="157"/>
        <v>0</v>
      </c>
      <c r="L130" s="203">
        <f>SUM(F130:K130)</f>
        <v>0</v>
      </c>
      <c r="M130" s="203">
        <f>L130/6</f>
        <v>0</v>
      </c>
      <c r="N130" s="203">
        <f t="shared" ref="N130:S130" si="158">N124+N123</f>
        <v>0</v>
      </c>
      <c r="O130" s="203">
        <f t="shared" si="158"/>
        <v>0</v>
      </c>
      <c r="P130" s="203">
        <f t="shared" si="158"/>
        <v>0</v>
      </c>
      <c r="Q130" s="203">
        <f t="shared" si="158"/>
        <v>0</v>
      </c>
      <c r="R130" s="203">
        <f t="shared" si="158"/>
        <v>0</v>
      </c>
      <c r="S130" s="203">
        <f t="shared" si="158"/>
        <v>0</v>
      </c>
      <c r="T130" s="203">
        <f>SUM(N130:S130)</f>
        <v>0</v>
      </c>
      <c r="U130" s="203">
        <f>T130+L130</f>
        <v>0</v>
      </c>
      <c r="V130" s="203">
        <f>V127</f>
        <v>0</v>
      </c>
      <c r="W130" s="203">
        <f>V130-U130</f>
        <v>0</v>
      </c>
    </row>
    <row r="131" spans="1:24" s="43" customFormat="1" ht="18" hidden="1" customHeight="1">
      <c r="A131" s="610"/>
      <c r="B131" s="581"/>
      <c r="C131" s="583"/>
      <c r="D131" s="202" t="str">
        <f>серпень!D131</f>
        <v xml:space="preserve">відхилення </v>
      </c>
      <c r="E131" s="203"/>
      <c r="F131" s="203">
        <f t="shared" ref="F131:K131" si="159">F127-F130</f>
        <v>0</v>
      </c>
      <c r="G131" s="203">
        <f t="shared" si="159"/>
        <v>0</v>
      </c>
      <c r="H131" s="203">
        <f t="shared" si="159"/>
        <v>0</v>
      </c>
      <c r="I131" s="203">
        <f t="shared" si="159"/>
        <v>0</v>
      </c>
      <c r="J131" s="203">
        <f t="shared" si="159"/>
        <v>0</v>
      </c>
      <c r="K131" s="203">
        <f t="shared" si="159"/>
        <v>0</v>
      </c>
      <c r="L131" s="203"/>
      <c r="M131" s="203"/>
      <c r="N131" s="203">
        <f t="shared" ref="N131:S131" si="160">N127-N130</f>
        <v>0</v>
      </c>
      <c r="O131" s="203">
        <f t="shared" si="160"/>
        <v>0</v>
      </c>
      <c r="P131" s="203">
        <f t="shared" si="160"/>
        <v>0</v>
      </c>
      <c r="Q131" s="203">
        <f t="shared" si="160"/>
        <v>0</v>
      </c>
      <c r="R131" s="203">
        <f t="shared" si="160"/>
        <v>0</v>
      </c>
      <c r="S131" s="203">
        <f t="shared" si="160"/>
        <v>0</v>
      </c>
      <c r="T131" s="203"/>
      <c r="U131" s="203"/>
      <c r="V131" s="203"/>
      <c r="W131" s="203"/>
    </row>
    <row r="132" spans="1:24" s="43" customFormat="1" ht="27.1" hidden="1" customHeight="1">
      <c r="A132" s="610"/>
      <c r="B132" s="581"/>
      <c r="C132" s="584"/>
      <c r="D132" s="202" t="str">
        <f>серпень!D132</f>
        <v>відхилення з наростаючим</v>
      </c>
      <c r="E132" s="203"/>
      <c r="F132" s="203">
        <f>F131</f>
        <v>0</v>
      </c>
      <c r="G132" s="203">
        <f>G131+F132</f>
        <v>0</v>
      </c>
      <c r="H132" s="203">
        <f>H131+G132</f>
        <v>0</v>
      </c>
      <c r="I132" s="203">
        <f>I131+H132</f>
        <v>0</v>
      </c>
      <c r="J132" s="203">
        <f>J131+I132</f>
        <v>0</v>
      </c>
      <c r="K132" s="203">
        <f>K131+J132</f>
        <v>0</v>
      </c>
      <c r="L132" s="203"/>
      <c r="M132" s="203"/>
      <c r="N132" s="203">
        <f>N131+K132</f>
        <v>0</v>
      </c>
      <c r="O132" s="203">
        <f>O131+N132</f>
        <v>0</v>
      </c>
      <c r="P132" s="203">
        <f>P131+O132</f>
        <v>0</v>
      </c>
      <c r="Q132" s="203">
        <f>Q131+P132</f>
        <v>0</v>
      </c>
      <c r="R132" s="203">
        <f>R131+Q132</f>
        <v>0</v>
      </c>
      <c r="S132" s="203">
        <f>S131+R132</f>
        <v>0</v>
      </c>
      <c r="T132" s="203"/>
      <c r="U132" s="203"/>
      <c r="V132" s="203"/>
      <c r="W132" s="203"/>
    </row>
    <row r="133" spans="1:24" s="47" customFormat="1" ht="18" hidden="1" customHeight="1">
      <c r="A133" s="610"/>
      <c r="B133" s="581"/>
      <c r="C133" s="582" t="s">
        <v>99</v>
      </c>
      <c r="D133" s="178" t="str">
        <f>серпень!D133</f>
        <v>факт. нат.п-ки 2023</v>
      </c>
      <c r="E133" s="11"/>
      <c r="F133" s="12"/>
      <c r="G133" s="12"/>
      <c r="H133" s="12"/>
      <c r="I133" s="12"/>
      <c r="J133" s="12"/>
      <c r="K133" s="12"/>
      <c r="L133" s="65">
        <f>SUM(F133:K133)</f>
        <v>0</v>
      </c>
      <c r="M133" s="65">
        <f>L133/6</f>
        <v>0</v>
      </c>
      <c r="N133" s="12"/>
      <c r="O133" s="12"/>
      <c r="P133" s="12"/>
      <c r="Q133" s="12"/>
      <c r="R133" s="12"/>
      <c r="S133" s="12"/>
      <c r="T133" s="65">
        <f>SUM(N133:S133)</f>
        <v>0</v>
      </c>
      <c r="U133" s="65">
        <f>T133+L133</f>
        <v>0</v>
      </c>
      <c r="V133" s="67"/>
      <c r="W133" s="38"/>
    </row>
    <row r="134" spans="1:24" s="47" customFormat="1" ht="18" hidden="1" customHeight="1">
      <c r="A134" s="610"/>
      <c r="B134" s="581"/>
      <c r="C134" s="583"/>
      <c r="D134" s="178" t="str">
        <f>серпень!D134</f>
        <v>факт. нат.п-ки 2024</v>
      </c>
      <c r="E134" s="11"/>
      <c r="F134" s="12"/>
      <c r="G134" s="12"/>
      <c r="H134" s="12"/>
      <c r="I134" s="12"/>
      <c r="J134" s="12"/>
      <c r="K134" s="12"/>
      <c r="L134" s="65">
        <f>SUM(F134:K134)</f>
        <v>0</v>
      </c>
      <c r="M134" s="65">
        <f>L134/6</f>
        <v>0</v>
      </c>
      <c r="N134" s="11"/>
      <c r="O134" s="11"/>
      <c r="P134" s="11"/>
      <c r="Q134" s="11"/>
      <c r="R134" s="11"/>
      <c r="S134" s="11"/>
      <c r="T134" s="65">
        <f>SUM(N134:S134)</f>
        <v>0</v>
      </c>
      <c r="U134" s="65">
        <f>T134+L134</f>
        <v>0</v>
      </c>
      <c r="V134" s="67"/>
      <c r="W134" s="38"/>
    </row>
    <row r="135" spans="1:24" s="47" customFormat="1" ht="18" hidden="1" customHeight="1">
      <c r="A135" s="610"/>
      <c r="B135" s="581"/>
      <c r="C135" s="583"/>
      <c r="D135" s="178" t="str">
        <f>серпень!D135</f>
        <v>факт. нат.п-ки 2025</v>
      </c>
      <c r="E135" s="11"/>
      <c r="F135" s="12"/>
      <c r="G135" s="12"/>
      <c r="H135" s="12"/>
      <c r="I135" s="12"/>
      <c r="J135" s="12"/>
      <c r="K135" s="12"/>
      <c r="L135" s="65">
        <f>SUM(F135:K135)</f>
        <v>0</v>
      </c>
      <c r="M135" s="65">
        <f>L135/6</f>
        <v>0</v>
      </c>
      <c r="N135" s="12"/>
      <c r="O135" s="12"/>
      <c r="P135" s="12"/>
      <c r="Q135" s="12"/>
      <c r="R135" s="12"/>
      <c r="S135" s="11"/>
      <c r="T135" s="65">
        <f>SUM(N135:S135)</f>
        <v>0</v>
      </c>
      <c r="U135" s="65">
        <f>T135+L135</f>
        <v>0</v>
      </c>
      <c r="V135" s="11"/>
      <c r="W135" s="38">
        <f>V135-U135</f>
        <v>0</v>
      </c>
    </row>
    <row r="136" spans="1:24" s="47" customFormat="1" ht="18" hidden="1" customHeight="1">
      <c r="A136" s="610"/>
      <c r="B136" s="581"/>
      <c r="C136" s="583"/>
      <c r="D136" s="187" t="str">
        <f>серпень!D136</f>
        <v>тариф, грн.</v>
      </c>
      <c r="E136" s="49"/>
      <c r="F136" s="49">
        <v>1655.08</v>
      </c>
      <c r="G136" s="49">
        <v>1655.08</v>
      </c>
      <c r="H136" s="49">
        <v>1655.08</v>
      </c>
      <c r="I136" s="49">
        <v>1655.08</v>
      </c>
      <c r="J136" s="49">
        <v>1655.08</v>
      </c>
      <c r="K136" s="49">
        <v>1655.08</v>
      </c>
      <c r="L136" s="49" t="e">
        <f t="shared" ref="L136" si="161">L137/L135*1000</f>
        <v>#DIV/0!</v>
      </c>
      <c r="M136" s="121" t="e">
        <f>M137/M135*1000</f>
        <v>#DIV/0!</v>
      </c>
      <c r="N136" s="49">
        <v>1655.08</v>
      </c>
      <c r="O136" s="49">
        <v>1655.08</v>
      </c>
      <c r="P136" s="49">
        <v>1655.08</v>
      </c>
      <c r="Q136" s="49">
        <v>1655.08</v>
      </c>
      <c r="R136" s="49">
        <v>1655.08</v>
      </c>
      <c r="S136" s="49">
        <v>1655.08</v>
      </c>
      <c r="T136" s="121" t="e">
        <f>T137/T135*1000</f>
        <v>#DIV/0!</v>
      </c>
      <c r="U136" s="121" t="e">
        <f>U137/U135*1000</f>
        <v>#DIV/0!</v>
      </c>
      <c r="V136" s="68" t="e">
        <f>V137/V135*1000</f>
        <v>#DIV/0!</v>
      </c>
      <c r="W136" s="14" t="e">
        <f>W137/W135*1000</f>
        <v>#DIV/0!</v>
      </c>
    </row>
    <row r="137" spans="1:24" s="47" customFormat="1" ht="18" hidden="1" customHeight="1">
      <c r="A137" s="610"/>
      <c r="B137" s="581"/>
      <c r="C137" s="583"/>
      <c r="D137" s="191" t="str">
        <f>серпень!D137</f>
        <v>сума, тис.грн.</v>
      </c>
      <c r="E137" s="52"/>
      <c r="F137" s="52">
        <f t="shared" ref="F137:K137" si="162">F135*F136/1000</f>
        <v>0</v>
      </c>
      <c r="G137" s="52">
        <f t="shared" si="162"/>
        <v>0</v>
      </c>
      <c r="H137" s="52">
        <f t="shared" si="162"/>
        <v>0</v>
      </c>
      <c r="I137" s="52">
        <f t="shared" si="162"/>
        <v>0</v>
      </c>
      <c r="J137" s="52">
        <f t="shared" si="162"/>
        <v>0</v>
      </c>
      <c r="K137" s="52">
        <f t="shared" si="162"/>
        <v>0</v>
      </c>
      <c r="L137" s="69">
        <f>SUM(F137:K137)</f>
        <v>0</v>
      </c>
      <c r="M137" s="69">
        <f>L137/6</f>
        <v>0</v>
      </c>
      <c r="N137" s="52">
        <f t="shared" ref="N137:S137" si="163">N135*N136/1000</f>
        <v>0</v>
      </c>
      <c r="O137" s="52">
        <f t="shared" si="163"/>
        <v>0</v>
      </c>
      <c r="P137" s="52">
        <f t="shared" si="163"/>
        <v>0</v>
      </c>
      <c r="Q137" s="52">
        <f t="shared" si="163"/>
        <v>0</v>
      </c>
      <c r="R137" s="52">
        <f t="shared" si="163"/>
        <v>0</v>
      </c>
      <c r="S137" s="52">
        <f t="shared" si="163"/>
        <v>0</v>
      </c>
      <c r="T137" s="69">
        <f>SUM(N137:S137)</f>
        <v>0</v>
      </c>
      <c r="U137" s="69">
        <f>T137+L137</f>
        <v>0</v>
      </c>
      <c r="V137" s="70">
        <f>V138+V139</f>
        <v>0</v>
      </c>
      <c r="W137" s="53">
        <f>V137-U137</f>
        <v>0</v>
      </c>
    </row>
    <row r="138" spans="1:24" s="47" customFormat="1" ht="18" hidden="1" customHeight="1">
      <c r="A138" s="610"/>
      <c r="B138" s="581"/>
      <c r="C138" s="583"/>
      <c r="D138" s="174" t="str">
        <f>серпень!D138</f>
        <v>дотація</v>
      </c>
      <c r="E138" s="56"/>
      <c r="F138" s="52"/>
      <c r="G138" s="52"/>
      <c r="H138" s="52"/>
      <c r="I138" s="52"/>
      <c r="J138" s="52"/>
      <c r="K138" s="52"/>
      <c r="L138" s="69">
        <f>SUM(F138:K138)</f>
        <v>0</v>
      </c>
      <c r="M138" s="69">
        <f>L138/6</f>
        <v>0</v>
      </c>
      <c r="N138" s="52"/>
      <c r="O138" s="52"/>
      <c r="P138" s="52"/>
      <c r="Q138" s="52"/>
      <c r="R138" s="52"/>
      <c r="S138" s="52"/>
      <c r="T138" s="69">
        <f>SUM(N138:S138)</f>
        <v>0</v>
      </c>
      <c r="U138" s="69">
        <f>T138+L138</f>
        <v>0</v>
      </c>
      <c r="V138" s="70"/>
      <c r="W138" s="53">
        <f>V138-U138</f>
        <v>0</v>
      </c>
    </row>
    <row r="139" spans="1:24" s="47" customFormat="1" ht="18" hidden="1" customHeight="1">
      <c r="A139" s="610"/>
      <c r="B139" s="581"/>
      <c r="C139" s="583"/>
      <c r="D139" s="174" t="str">
        <f>серпень!D139</f>
        <v>місцевий (план), тис.грн</v>
      </c>
      <c r="E139" s="56"/>
      <c r="F139" s="52"/>
      <c r="G139" s="52"/>
      <c r="H139" s="52"/>
      <c r="I139" s="52"/>
      <c r="J139" s="52"/>
      <c r="K139" s="52"/>
      <c r="L139" s="69">
        <f>SUM(F139:K139)</f>
        <v>0</v>
      </c>
      <c r="M139" s="69">
        <f>L139/6</f>
        <v>0</v>
      </c>
      <c r="N139" s="52"/>
      <c r="O139" s="52"/>
      <c r="P139" s="52"/>
      <c r="Q139" s="52"/>
      <c r="R139" s="52"/>
      <c r="S139" s="52"/>
      <c r="T139" s="69">
        <f>SUM(N139:S139)</f>
        <v>0</v>
      </c>
      <c r="U139" s="69">
        <f>T139+L139</f>
        <v>0</v>
      </c>
      <c r="V139" s="70"/>
      <c r="W139" s="53">
        <f>V139-U139</f>
        <v>0</v>
      </c>
    </row>
    <row r="140" spans="1:24" s="47" customFormat="1" ht="18" hidden="1" customHeight="1">
      <c r="A140" s="610"/>
      <c r="B140" s="581"/>
      <c r="C140" s="583"/>
      <c r="D140" s="178" t="str">
        <f>серпень!D140</f>
        <v>касові нат.п-ки 2025</v>
      </c>
      <c r="E140" s="11"/>
      <c r="F140" s="11"/>
      <c r="G140" s="11"/>
      <c r="H140" s="11"/>
      <c r="I140" s="11"/>
      <c r="J140" s="11"/>
      <c r="K140" s="11"/>
      <c r="L140" s="65">
        <f>SUM(F140:K140)</f>
        <v>0</v>
      </c>
      <c r="M140" s="65">
        <f>L140/6</f>
        <v>0</v>
      </c>
      <c r="N140" s="11"/>
      <c r="O140" s="11"/>
      <c r="P140" s="11"/>
      <c r="Q140" s="11"/>
      <c r="R140" s="11"/>
      <c r="S140" s="11"/>
      <c r="T140" s="65">
        <f>SUM(N140:S140)</f>
        <v>0</v>
      </c>
      <c r="U140" s="65">
        <f>T140+L140</f>
        <v>0</v>
      </c>
      <c r="V140" s="11">
        <f>V135</f>
        <v>0</v>
      </c>
      <c r="W140" s="38">
        <f>V140-U140</f>
        <v>0</v>
      </c>
      <c r="X140" s="47">
        <v>0</v>
      </c>
    </row>
    <row r="141" spans="1:24" s="47" customFormat="1" ht="18" hidden="1" customHeight="1">
      <c r="A141" s="610"/>
      <c r="B141" s="581"/>
      <c r="C141" s="583"/>
      <c r="D141" s="187" t="str">
        <f>серпень!D141</f>
        <v>тариф, грн.</v>
      </c>
      <c r="E141" s="49" t="e">
        <f>E142/E140*1000</f>
        <v>#DIV/0!</v>
      </c>
      <c r="F141" s="49">
        <v>1655.08</v>
      </c>
      <c r="G141" s="49">
        <v>1655.08</v>
      </c>
      <c r="H141" s="49">
        <v>1655.08</v>
      </c>
      <c r="I141" s="49">
        <v>1655.08</v>
      </c>
      <c r="J141" s="49">
        <v>1655.08</v>
      </c>
      <c r="K141" s="49">
        <v>1655.08</v>
      </c>
      <c r="L141" s="49" t="e">
        <f t="shared" ref="L141" si="164">L142/L140*1000</f>
        <v>#DIV/0!</v>
      </c>
      <c r="M141" s="121" t="e">
        <f>M142/M140*1000</f>
        <v>#DIV/0!</v>
      </c>
      <c r="N141" s="49">
        <v>1655.08</v>
      </c>
      <c r="O141" s="49">
        <v>1655.08</v>
      </c>
      <c r="P141" s="49">
        <v>1655.08</v>
      </c>
      <c r="Q141" s="49">
        <v>1655.08</v>
      </c>
      <c r="R141" s="49">
        <v>1655.08</v>
      </c>
      <c r="S141" s="49">
        <v>1655.08</v>
      </c>
      <c r="T141" s="121" t="e">
        <f>T142/T140*1000</f>
        <v>#DIV/0!</v>
      </c>
      <c r="U141" s="121" t="e">
        <f>U142/U140*1000</f>
        <v>#DIV/0!</v>
      </c>
      <c r="V141" s="68" t="e">
        <f>V142/V140*1000</f>
        <v>#DIV/0!</v>
      </c>
      <c r="W141" s="14" t="e">
        <f>W142/W140*1000</f>
        <v>#DIV/0!</v>
      </c>
    </row>
    <row r="142" spans="1:24" s="63" customFormat="1" ht="18" hidden="1" customHeight="1">
      <c r="A142" s="610"/>
      <c r="B142" s="581"/>
      <c r="C142" s="583"/>
      <c r="D142" s="198" t="str">
        <f>серпень!D142</f>
        <v>касові видатки, тис.грн.</v>
      </c>
      <c r="E142" s="71"/>
      <c r="F142" s="61">
        <f t="shared" ref="F142:K142" si="165">F140*F141/1000</f>
        <v>0</v>
      </c>
      <c r="G142" s="61">
        <f t="shared" si="165"/>
        <v>0</v>
      </c>
      <c r="H142" s="61">
        <f t="shared" si="165"/>
        <v>0</v>
      </c>
      <c r="I142" s="61">
        <f t="shared" si="165"/>
        <v>0</v>
      </c>
      <c r="J142" s="61">
        <f t="shared" si="165"/>
        <v>0</v>
      </c>
      <c r="K142" s="61">
        <f t="shared" si="165"/>
        <v>0</v>
      </c>
      <c r="L142" s="61">
        <f>SUM(F142:K142)</f>
        <v>0</v>
      </c>
      <c r="M142" s="61">
        <f>L142/6</f>
        <v>0</v>
      </c>
      <c r="N142" s="61">
        <f t="shared" ref="N142:S142" si="166">N140*N141/1000</f>
        <v>0</v>
      </c>
      <c r="O142" s="61">
        <f t="shared" si="166"/>
        <v>0</v>
      </c>
      <c r="P142" s="61">
        <f t="shared" si="166"/>
        <v>0</v>
      </c>
      <c r="Q142" s="61">
        <f t="shared" si="166"/>
        <v>0</v>
      </c>
      <c r="R142" s="61">
        <f t="shared" si="166"/>
        <v>0</v>
      </c>
      <c r="S142" s="61">
        <f t="shared" si="166"/>
        <v>0</v>
      </c>
      <c r="T142" s="61">
        <f>SUM(N142:S142)</f>
        <v>0</v>
      </c>
      <c r="U142" s="61">
        <f>T142+L142</f>
        <v>0</v>
      </c>
      <c r="V142" s="61">
        <f>V137</f>
        <v>0</v>
      </c>
      <c r="W142" s="72">
        <f>V142-U142</f>
        <v>0</v>
      </c>
      <c r="X142" s="63">
        <f>U137-U142</f>
        <v>0</v>
      </c>
    </row>
    <row r="143" spans="1:24" s="63" customFormat="1" ht="18" hidden="1" customHeight="1">
      <c r="A143" s="610"/>
      <c r="B143" s="581"/>
      <c r="C143" s="583"/>
      <c r="D143" s="201" t="str">
        <f>серпень!D143</f>
        <v>дотація</v>
      </c>
      <c r="E143" s="71"/>
      <c r="F143" s="61">
        <v>0</v>
      </c>
      <c r="G143" s="61">
        <v>0</v>
      </c>
      <c r="H143" s="61">
        <v>0</v>
      </c>
      <c r="I143" s="61">
        <v>0</v>
      </c>
      <c r="J143" s="61">
        <v>0</v>
      </c>
      <c r="K143" s="61">
        <v>0</v>
      </c>
      <c r="L143" s="61">
        <f>SUM(F143:K143)</f>
        <v>0</v>
      </c>
      <c r="M143" s="61">
        <f>L143/6</f>
        <v>0</v>
      </c>
      <c r="N143" s="61">
        <v>0</v>
      </c>
      <c r="O143" s="61">
        <v>0</v>
      </c>
      <c r="P143" s="61">
        <v>0</v>
      </c>
      <c r="Q143" s="61">
        <v>0</v>
      </c>
      <c r="R143" s="61">
        <v>0</v>
      </c>
      <c r="S143" s="61">
        <v>0</v>
      </c>
      <c r="T143" s="61">
        <f>SUM(N143:S143)</f>
        <v>0</v>
      </c>
      <c r="U143" s="61">
        <f>T143+L143</f>
        <v>0</v>
      </c>
      <c r="V143" s="61">
        <f>V138</f>
        <v>0</v>
      </c>
      <c r="W143" s="72">
        <f>V143-U143</f>
        <v>0</v>
      </c>
      <c r="X143" s="63">
        <f>U138-U143</f>
        <v>0</v>
      </c>
    </row>
    <row r="144" spans="1:24" s="63" customFormat="1" ht="18" hidden="1" customHeight="1">
      <c r="A144" s="610"/>
      <c r="B144" s="581"/>
      <c r="C144" s="583"/>
      <c r="D144" s="201" t="str">
        <f>серпень!D144</f>
        <v xml:space="preserve">місцевий </v>
      </c>
      <c r="E144" s="71"/>
      <c r="F144" s="61">
        <f t="shared" ref="F144:K144" si="167">F142-F143</f>
        <v>0</v>
      </c>
      <c r="G144" s="61">
        <f t="shared" si="167"/>
        <v>0</v>
      </c>
      <c r="H144" s="61">
        <f t="shared" si="167"/>
        <v>0</v>
      </c>
      <c r="I144" s="61">
        <f t="shared" si="167"/>
        <v>0</v>
      </c>
      <c r="J144" s="61">
        <f t="shared" si="167"/>
        <v>0</v>
      </c>
      <c r="K144" s="61">
        <f t="shared" si="167"/>
        <v>0</v>
      </c>
      <c r="L144" s="61">
        <f>SUM(F144:K144)</f>
        <v>0</v>
      </c>
      <c r="M144" s="61">
        <f>L144/6</f>
        <v>0</v>
      </c>
      <c r="N144" s="61">
        <f t="shared" ref="N144:S144" si="168">N142-N143</f>
        <v>0</v>
      </c>
      <c r="O144" s="61">
        <f t="shared" si="168"/>
        <v>0</v>
      </c>
      <c r="P144" s="61">
        <f t="shared" si="168"/>
        <v>0</v>
      </c>
      <c r="Q144" s="61">
        <f t="shared" si="168"/>
        <v>0</v>
      </c>
      <c r="R144" s="61">
        <f t="shared" si="168"/>
        <v>0</v>
      </c>
      <c r="S144" s="61">
        <f t="shared" si="168"/>
        <v>0</v>
      </c>
      <c r="T144" s="61">
        <f>SUM(N144:S144)</f>
        <v>0</v>
      </c>
      <c r="U144" s="61">
        <f>T144+L144</f>
        <v>0</v>
      </c>
      <c r="V144" s="61">
        <f>V139</f>
        <v>0</v>
      </c>
      <c r="W144" s="72">
        <f>V144-U144</f>
        <v>0</v>
      </c>
      <c r="X144" s="63">
        <f>U139-U144</f>
        <v>0</v>
      </c>
    </row>
    <row r="145" spans="1:23" s="43" customFormat="1" ht="18" hidden="1" customHeight="1">
      <c r="A145" s="610"/>
      <c r="B145" s="581"/>
      <c r="C145" s="583"/>
      <c r="D145" s="202" t="str">
        <f>серпень!D145</f>
        <v>план</v>
      </c>
      <c r="E145" s="42"/>
      <c r="F145" s="42">
        <f t="shared" ref="F145:K145" si="169">F139</f>
        <v>0</v>
      </c>
      <c r="G145" s="42">
        <f t="shared" si="169"/>
        <v>0</v>
      </c>
      <c r="H145" s="42">
        <f t="shared" si="169"/>
        <v>0</v>
      </c>
      <c r="I145" s="42">
        <f t="shared" si="169"/>
        <v>0</v>
      </c>
      <c r="J145" s="42">
        <f t="shared" si="169"/>
        <v>0</v>
      </c>
      <c r="K145" s="42">
        <f t="shared" si="169"/>
        <v>0</v>
      </c>
      <c r="L145" s="42">
        <f>SUM(F145:K145)</f>
        <v>0</v>
      </c>
      <c r="M145" s="42">
        <f>L145/6</f>
        <v>0</v>
      </c>
      <c r="N145" s="42">
        <f t="shared" ref="N145:S145" si="170">N139+N138</f>
        <v>0</v>
      </c>
      <c r="O145" s="42">
        <f t="shared" si="170"/>
        <v>0</v>
      </c>
      <c r="P145" s="42">
        <f t="shared" si="170"/>
        <v>0</v>
      </c>
      <c r="Q145" s="42">
        <f t="shared" si="170"/>
        <v>0</v>
      </c>
      <c r="R145" s="42">
        <f t="shared" si="170"/>
        <v>0</v>
      </c>
      <c r="S145" s="42">
        <f t="shared" si="170"/>
        <v>0</v>
      </c>
      <c r="T145" s="42">
        <f>SUM(N145:S145)</f>
        <v>0</v>
      </c>
      <c r="U145" s="42">
        <f>T145+L145</f>
        <v>0</v>
      </c>
      <c r="V145" s="42">
        <f>V142</f>
        <v>0</v>
      </c>
      <c r="W145" s="42">
        <f>V145-U145</f>
        <v>0</v>
      </c>
    </row>
    <row r="146" spans="1:23" s="43" customFormat="1" ht="18" hidden="1" customHeight="1">
      <c r="A146" s="610"/>
      <c r="B146" s="581"/>
      <c r="C146" s="583"/>
      <c r="D146" s="202" t="str">
        <f>серпень!D146</f>
        <v xml:space="preserve">відхилення </v>
      </c>
      <c r="E146" s="42"/>
      <c r="F146" s="42">
        <f t="shared" ref="F146:K146" si="171">F142-F145</f>
        <v>0</v>
      </c>
      <c r="G146" s="42">
        <f t="shared" si="171"/>
        <v>0</v>
      </c>
      <c r="H146" s="42">
        <f t="shared" si="171"/>
        <v>0</v>
      </c>
      <c r="I146" s="42">
        <f t="shared" si="171"/>
        <v>0</v>
      </c>
      <c r="J146" s="42">
        <f t="shared" si="171"/>
        <v>0</v>
      </c>
      <c r="K146" s="42">
        <f t="shared" si="171"/>
        <v>0</v>
      </c>
      <c r="L146" s="42"/>
      <c r="M146" s="42"/>
      <c r="N146" s="42">
        <f t="shared" ref="N146:S146" si="172">N142-N145</f>
        <v>0</v>
      </c>
      <c r="O146" s="42">
        <f t="shared" si="172"/>
        <v>0</v>
      </c>
      <c r="P146" s="42">
        <f t="shared" si="172"/>
        <v>0</v>
      </c>
      <c r="Q146" s="42">
        <f t="shared" si="172"/>
        <v>0</v>
      </c>
      <c r="R146" s="42">
        <f t="shared" si="172"/>
        <v>0</v>
      </c>
      <c r="S146" s="42">
        <f t="shared" si="172"/>
        <v>0</v>
      </c>
      <c r="T146" s="42"/>
      <c r="U146" s="42"/>
      <c r="V146" s="42"/>
      <c r="W146" s="42"/>
    </row>
    <row r="147" spans="1:23" s="43" customFormat="1" ht="18" hidden="1" customHeight="1">
      <c r="A147" s="610"/>
      <c r="B147" s="581"/>
      <c r="C147" s="584"/>
      <c r="D147" s="202" t="str">
        <f>серпень!D147</f>
        <v>відхилення з наростаючим</v>
      </c>
      <c r="E147" s="42"/>
      <c r="F147" s="42">
        <f>F146</f>
        <v>0</v>
      </c>
      <c r="G147" s="42">
        <f>G146+F147</f>
        <v>0</v>
      </c>
      <c r="H147" s="42">
        <f>H146+G147</f>
        <v>0</v>
      </c>
      <c r="I147" s="42">
        <f>I146+H147</f>
        <v>0</v>
      </c>
      <c r="J147" s="42">
        <f>J146+I147</f>
        <v>0</v>
      </c>
      <c r="K147" s="42">
        <f>K146+J147</f>
        <v>0</v>
      </c>
      <c r="L147" s="42"/>
      <c r="M147" s="42"/>
      <c r="N147" s="42">
        <f>N146+K147</f>
        <v>0</v>
      </c>
      <c r="O147" s="42">
        <f>O146+N147</f>
        <v>0</v>
      </c>
      <c r="P147" s="42">
        <f>P146+O147</f>
        <v>0</v>
      </c>
      <c r="Q147" s="42">
        <f>Q146+P147</f>
        <v>0</v>
      </c>
      <c r="R147" s="42">
        <f>R146+Q147</f>
        <v>0</v>
      </c>
      <c r="S147" s="42">
        <f>S146+R147</f>
        <v>0</v>
      </c>
      <c r="T147" s="42"/>
      <c r="U147" s="42"/>
      <c r="V147" s="42"/>
      <c r="W147" s="42"/>
    </row>
    <row r="148" spans="1:23" s="43" customFormat="1" ht="18" hidden="1" customHeight="1">
      <c r="A148" s="610"/>
      <c r="B148" s="581"/>
      <c r="C148" s="582" t="s">
        <v>96</v>
      </c>
      <c r="D148" s="178" t="str">
        <f>серпень!D148</f>
        <v>факт. нат.п-ки 2023</v>
      </c>
      <c r="E148" s="179"/>
      <c r="F148" s="184"/>
      <c r="G148" s="184"/>
      <c r="H148" s="179"/>
      <c r="I148" s="179"/>
      <c r="J148" s="179"/>
      <c r="K148" s="179"/>
      <c r="L148" s="215">
        <f>SUM(F148:K148)</f>
        <v>0</v>
      </c>
      <c r="M148" s="215">
        <f>L148/6</f>
        <v>0</v>
      </c>
      <c r="N148" s="179"/>
      <c r="O148" s="179"/>
      <c r="P148" s="179"/>
      <c r="Q148" s="179"/>
      <c r="R148" s="179"/>
      <c r="S148" s="179"/>
      <c r="T148" s="215">
        <f>SUM(N148:S148)</f>
        <v>0</v>
      </c>
      <c r="U148" s="215">
        <f>T148+L148</f>
        <v>0</v>
      </c>
      <c r="V148" s="179"/>
      <c r="W148" s="184"/>
    </row>
    <row r="149" spans="1:23" s="43" customFormat="1" ht="18" hidden="1" customHeight="1">
      <c r="A149" s="610"/>
      <c r="B149" s="581"/>
      <c r="C149" s="583"/>
      <c r="D149" s="178" t="str">
        <f>серпень!D149</f>
        <v>факт. нат.п-ки 2024</v>
      </c>
      <c r="E149" s="179"/>
      <c r="F149" s="184"/>
      <c r="G149" s="184"/>
      <c r="H149" s="179"/>
      <c r="I149" s="179"/>
      <c r="J149" s="179"/>
      <c r="K149" s="179"/>
      <c r="L149" s="215">
        <f>SUM(F149:K149)</f>
        <v>0</v>
      </c>
      <c r="M149" s="215">
        <f>L149/6</f>
        <v>0</v>
      </c>
      <c r="N149" s="179"/>
      <c r="O149" s="179"/>
      <c r="P149" s="179"/>
      <c r="Q149" s="179"/>
      <c r="R149" s="179"/>
      <c r="S149" s="179"/>
      <c r="T149" s="215">
        <f>SUM(N149:S149)</f>
        <v>0</v>
      </c>
      <c r="U149" s="215">
        <f>T149+L149</f>
        <v>0</v>
      </c>
      <c r="V149" s="179"/>
      <c r="W149" s="184"/>
    </row>
    <row r="150" spans="1:23" s="43" customFormat="1" ht="18" hidden="1" customHeight="1">
      <c r="A150" s="610"/>
      <c r="B150" s="581"/>
      <c r="C150" s="583"/>
      <c r="D150" s="178" t="str">
        <f>серпень!D150</f>
        <v>факт. нат.п-ки 2025</v>
      </c>
      <c r="E150" s="179"/>
      <c r="F150" s="184"/>
      <c r="G150" s="184"/>
      <c r="H150" s="179"/>
      <c r="I150" s="216"/>
      <c r="J150" s="179"/>
      <c r="K150" s="179"/>
      <c r="L150" s="215">
        <f>SUM(F150:K150)</f>
        <v>0</v>
      </c>
      <c r="M150" s="215">
        <f>L150/6</f>
        <v>0</v>
      </c>
      <c r="N150" s="179"/>
      <c r="O150" s="179"/>
      <c r="P150" s="179"/>
      <c r="Q150" s="179"/>
      <c r="R150" s="179"/>
      <c r="S150" s="179"/>
      <c r="T150" s="215">
        <f>SUM(N150:S150)</f>
        <v>0</v>
      </c>
      <c r="U150" s="215">
        <f>T150+L150</f>
        <v>0</v>
      </c>
      <c r="V150" s="179"/>
      <c r="W150" s="184">
        <f>U150-V150</f>
        <v>0</v>
      </c>
    </row>
    <row r="151" spans="1:23" s="43" customFormat="1" ht="18" hidden="1" customHeight="1">
      <c r="A151" s="610"/>
      <c r="B151" s="581"/>
      <c r="C151" s="583"/>
      <c r="D151" s="187" t="str">
        <f>серпень!D151</f>
        <v>тариф, грн.</v>
      </c>
      <c r="E151" s="188"/>
      <c r="F151" s="188"/>
      <c r="G151" s="188"/>
      <c r="H151" s="188"/>
      <c r="I151" s="188"/>
      <c r="J151" s="188"/>
      <c r="K151" s="188"/>
      <c r="L151" s="217" t="e">
        <f>L152/L150*1000</f>
        <v>#DIV/0!</v>
      </c>
      <c r="M151" s="217" t="e">
        <f>M152/M150*1000</f>
        <v>#DIV/0!</v>
      </c>
      <c r="N151" s="188"/>
      <c r="O151" s="188"/>
      <c r="P151" s="218"/>
      <c r="Q151" s="218"/>
      <c r="R151" s="218"/>
      <c r="S151" s="218"/>
      <c r="T151" s="217" t="e">
        <f>T152/T150*1000</f>
        <v>#DIV/0!</v>
      </c>
      <c r="U151" s="217" t="e">
        <f>U152/U150*1000</f>
        <v>#DIV/0!</v>
      </c>
      <c r="V151" s="218" t="e">
        <f>V152/V150*1000</f>
        <v>#DIV/0!</v>
      </c>
      <c r="W151" s="219" t="e">
        <f>W152/W150*1000</f>
        <v>#DIV/0!</v>
      </c>
    </row>
    <row r="152" spans="1:23" s="43" customFormat="1" ht="18" hidden="1" customHeight="1">
      <c r="A152" s="610"/>
      <c r="B152" s="581"/>
      <c r="C152" s="583"/>
      <c r="D152" s="191" t="str">
        <f>серпень!D152</f>
        <v>сума, тис.грн.</v>
      </c>
      <c r="E152" s="192"/>
      <c r="F152" s="192"/>
      <c r="G152" s="192"/>
      <c r="H152" s="192"/>
      <c r="I152" s="192"/>
      <c r="J152" s="192"/>
      <c r="K152" s="192"/>
      <c r="L152" s="194">
        <f>SUM(F152:K152)</f>
        <v>0</v>
      </c>
      <c r="M152" s="194">
        <f>L152/6</f>
        <v>0</v>
      </c>
      <c r="N152" s="192"/>
      <c r="O152" s="192"/>
      <c r="P152" s="192"/>
      <c r="Q152" s="192"/>
      <c r="R152" s="192"/>
      <c r="S152" s="192"/>
      <c r="T152" s="194">
        <f>SUM(N152:S152)</f>
        <v>0</v>
      </c>
      <c r="U152" s="194">
        <f>T152+L152</f>
        <v>0</v>
      </c>
      <c r="V152" s="171">
        <f>V153+V154</f>
        <v>0</v>
      </c>
      <c r="W152" s="192">
        <f>V152-U152</f>
        <v>0</v>
      </c>
    </row>
    <row r="153" spans="1:23" s="43" customFormat="1" ht="18" hidden="1" customHeight="1">
      <c r="A153" s="610"/>
      <c r="B153" s="581"/>
      <c r="C153" s="583"/>
      <c r="D153" s="174" t="str">
        <f>серпень!D153</f>
        <v>дотація</v>
      </c>
      <c r="E153" s="210"/>
      <c r="F153" s="192"/>
      <c r="G153" s="192"/>
      <c r="H153" s="192"/>
      <c r="I153" s="192"/>
      <c r="J153" s="192"/>
      <c r="K153" s="192"/>
      <c r="L153" s="194">
        <f>SUM(F153:K153)</f>
        <v>0</v>
      </c>
      <c r="M153" s="194">
        <f>L153/6</f>
        <v>0</v>
      </c>
      <c r="N153" s="192"/>
      <c r="O153" s="192"/>
      <c r="P153" s="192"/>
      <c r="Q153" s="192"/>
      <c r="R153" s="192"/>
      <c r="S153" s="192"/>
      <c r="T153" s="194">
        <f>SUM(N153:S153)</f>
        <v>0</v>
      </c>
      <c r="U153" s="194">
        <f>T153+L153</f>
        <v>0</v>
      </c>
      <c r="V153" s="171"/>
      <c r="W153" s="192">
        <f>V153-U153</f>
        <v>0</v>
      </c>
    </row>
    <row r="154" spans="1:23" s="43" customFormat="1" ht="18" hidden="1" customHeight="1">
      <c r="A154" s="610"/>
      <c r="B154" s="581"/>
      <c r="C154" s="583"/>
      <c r="D154" s="174" t="str">
        <f>серпень!D154</f>
        <v>місцевий (план), тис.грн</v>
      </c>
      <c r="E154" s="210"/>
      <c r="F154" s="192"/>
      <c r="G154" s="192"/>
      <c r="H154" s="192"/>
      <c r="I154" s="192"/>
      <c r="J154" s="192"/>
      <c r="K154" s="192"/>
      <c r="L154" s="194">
        <f>SUM(F154:K154)</f>
        <v>0</v>
      </c>
      <c r="M154" s="194">
        <f>L154/6</f>
        <v>0</v>
      </c>
      <c r="N154" s="192"/>
      <c r="O154" s="192"/>
      <c r="P154" s="192"/>
      <c r="Q154" s="192"/>
      <c r="R154" s="192"/>
      <c r="S154" s="192"/>
      <c r="T154" s="194">
        <f>SUM(N154:S154)</f>
        <v>0</v>
      </c>
      <c r="U154" s="194">
        <f>T154+L154</f>
        <v>0</v>
      </c>
      <c r="V154" s="171"/>
      <c r="W154" s="192">
        <f>V154-U154</f>
        <v>0</v>
      </c>
    </row>
    <row r="155" spans="1:23" s="43" customFormat="1" ht="18" hidden="1" customHeight="1">
      <c r="A155" s="610"/>
      <c r="B155" s="581"/>
      <c r="C155" s="583"/>
      <c r="D155" s="178" t="str">
        <f>серпень!D155</f>
        <v>касові нат.п-ки 2025</v>
      </c>
      <c r="E155" s="179"/>
      <c r="F155" s="184"/>
      <c r="G155" s="184"/>
      <c r="H155" s="179"/>
      <c r="I155" s="179"/>
      <c r="J155" s="216"/>
      <c r="K155" s="179"/>
      <c r="L155" s="215">
        <f>SUM(F155:K155)</f>
        <v>0</v>
      </c>
      <c r="M155" s="215">
        <f>L155/6</f>
        <v>0</v>
      </c>
      <c r="N155" s="179"/>
      <c r="O155" s="179"/>
      <c r="P155" s="179"/>
      <c r="Q155" s="179"/>
      <c r="R155" s="179"/>
      <c r="S155" s="179"/>
      <c r="T155" s="215">
        <f>SUM(N155:S155)</f>
        <v>0</v>
      </c>
      <c r="U155" s="215">
        <f>T155+L155</f>
        <v>0</v>
      </c>
      <c r="V155" s="179">
        <f>V150</f>
        <v>0</v>
      </c>
      <c r="W155" s="184">
        <f>V155-U155</f>
        <v>0</v>
      </c>
    </row>
    <row r="156" spans="1:23" s="43" customFormat="1" ht="18" hidden="1" customHeight="1">
      <c r="A156" s="610"/>
      <c r="B156" s="581"/>
      <c r="C156" s="583"/>
      <c r="D156" s="187" t="str">
        <f>серпень!D156</f>
        <v>тариф, грн.</v>
      </c>
      <c r="E156" s="188" t="e">
        <f t="shared" ref="E156" si="173">E157/E155*1000</f>
        <v>#DIV/0!</v>
      </c>
      <c r="F156" s="188"/>
      <c r="G156" s="188"/>
      <c r="H156" s="188"/>
      <c r="I156" s="188"/>
      <c r="J156" s="188"/>
      <c r="K156" s="188"/>
      <c r="L156" s="217" t="e">
        <f>L157/L155*1000</f>
        <v>#DIV/0!</v>
      </c>
      <c r="M156" s="217" t="e">
        <f>M157/M155*1000</f>
        <v>#DIV/0!</v>
      </c>
      <c r="N156" s="188"/>
      <c r="O156" s="188"/>
      <c r="P156" s="188"/>
      <c r="Q156" s="218"/>
      <c r="R156" s="218"/>
      <c r="S156" s="218"/>
      <c r="T156" s="217" t="e">
        <f>T157/T155*1000</f>
        <v>#DIV/0!</v>
      </c>
      <c r="U156" s="217" t="e">
        <f>U157/U155*1000</f>
        <v>#DIV/0!</v>
      </c>
      <c r="V156" s="218" t="e">
        <f>V157/V155*1000</f>
        <v>#DIV/0!</v>
      </c>
      <c r="W156" s="219" t="e">
        <f>W157/W155*1000</f>
        <v>#DIV/0!</v>
      </c>
    </row>
    <row r="157" spans="1:23" s="43" customFormat="1" ht="18" hidden="1" customHeight="1">
      <c r="A157" s="610"/>
      <c r="B157" s="581"/>
      <c r="C157" s="583"/>
      <c r="D157" s="198" t="str">
        <f>серпень!D157</f>
        <v>касові видатки, тис.грн.</v>
      </c>
      <c r="E157" s="220"/>
      <c r="F157" s="199"/>
      <c r="G157" s="199"/>
      <c r="H157" s="199"/>
      <c r="I157" s="199"/>
      <c r="J157" s="199"/>
      <c r="K157" s="199"/>
      <c r="L157" s="199">
        <f>SUM(F157:K157)</f>
        <v>0</v>
      </c>
      <c r="M157" s="199">
        <f>L157/6</f>
        <v>0</v>
      </c>
      <c r="N157" s="199"/>
      <c r="O157" s="199"/>
      <c r="P157" s="199"/>
      <c r="Q157" s="199"/>
      <c r="R157" s="199"/>
      <c r="S157" s="199"/>
      <c r="T157" s="199">
        <f>SUM(N157:S157)</f>
        <v>0</v>
      </c>
      <c r="U157" s="199">
        <f>T157+L157</f>
        <v>0</v>
      </c>
      <c r="V157" s="199">
        <f>V152</f>
        <v>0</v>
      </c>
      <c r="W157" s="221">
        <f>V157-U157</f>
        <v>0</v>
      </c>
    </row>
    <row r="158" spans="1:23" s="43" customFormat="1" ht="18" hidden="1" customHeight="1">
      <c r="A158" s="610"/>
      <c r="B158" s="581"/>
      <c r="C158" s="583"/>
      <c r="D158" s="201" t="str">
        <f>серпень!D158</f>
        <v>дотація</v>
      </c>
      <c r="E158" s="220"/>
      <c r="F158" s="199"/>
      <c r="G158" s="199"/>
      <c r="H158" s="199"/>
      <c r="I158" s="199"/>
      <c r="J158" s="199"/>
      <c r="K158" s="199"/>
      <c r="L158" s="199">
        <f>SUM(F158:K158)</f>
        <v>0</v>
      </c>
      <c r="M158" s="199">
        <f>L158/6</f>
        <v>0</v>
      </c>
      <c r="N158" s="199"/>
      <c r="O158" s="199"/>
      <c r="P158" s="199"/>
      <c r="Q158" s="199"/>
      <c r="R158" s="199"/>
      <c r="S158" s="199"/>
      <c r="T158" s="199">
        <f>SUM(N158:S158)</f>
        <v>0</v>
      </c>
      <c r="U158" s="199">
        <f>T158+L158</f>
        <v>0</v>
      </c>
      <c r="V158" s="199">
        <f>V153</f>
        <v>0</v>
      </c>
      <c r="W158" s="221">
        <f>V158-U158</f>
        <v>0</v>
      </c>
    </row>
    <row r="159" spans="1:23" s="43" customFormat="1" ht="18" hidden="1" customHeight="1">
      <c r="A159" s="610"/>
      <c r="B159" s="581"/>
      <c r="C159" s="583"/>
      <c r="D159" s="201" t="str">
        <f>серпень!D159</f>
        <v xml:space="preserve">місцевий </v>
      </c>
      <c r="E159" s="220"/>
      <c r="F159" s="199"/>
      <c r="G159" s="199"/>
      <c r="H159" s="199"/>
      <c r="I159" s="199"/>
      <c r="J159" s="199"/>
      <c r="K159" s="199"/>
      <c r="L159" s="199">
        <f>SUM(F159:K159)</f>
        <v>0</v>
      </c>
      <c r="M159" s="199">
        <f>L159/6</f>
        <v>0</v>
      </c>
      <c r="N159" s="199"/>
      <c r="O159" s="199"/>
      <c r="P159" s="199"/>
      <c r="Q159" s="199"/>
      <c r="R159" s="199"/>
      <c r="S159" s="199"/>
      <c r="T159" s="199">
        <f>SUM(N159:S159)</f>
        <v>0</v>
      </c>
      <c r="U159" s="199">
        <f>T159+L159</f>
        <v>0</v>
      </c>
      <c r="V159" s="199">
        <f>V154</f>
        <v>0</v>
      </c>
      <c r="W159" s="221">
        <f>V159-U159</f>
        <v>0</v>
      </c>
    </row>
    <row r="160" spans="1:23" s="43" customFormat="1" ht="18" hidden="1" customHeight="1">
      <c r="A160" s="610"/>
      <c r="B160" s="581"/>
      <c r="C160" s="583"/>
      <c r="D160" s="202" t="str">
        <f>серпень!D160</f>
        <v>план</v>
      </c>
      <c r="E160" s="203"/>
      <c r="F160" s="203">
        <f t="shared" ref="F160:K160" si="174">F153+F154</f>
        <v>0</v>
      </c>
      <c r="G160" s="203">
        <f t="shared" si="174"/>
        <v>0</v>
      </c>
      <c r="H160" s="203">
        <f t="shared" si="174"/>
        <v>0</v>
      </c>
      <c r="I160" s="203">
        <f t="shared" si="174"/>
        <v>0</v>
      </c>
      <c r="J160" s="203">
        <f t="shared" si="174"/>
        <v>0</v>
      </c>
      <c r="K160" s="203">
        <f t="shared" si="174"/>
        <v>0</v>
      </c>
      <c r="L160" s="203">
        <f>SUM(F160:K160)</f>
        <v>0</v>
      </c>
      <c r="M160" s="203">
        <f>L160/6</f>
        <v>0</v>
      </c>
      <c r="N160" s="203">
        <f t="shared" ref="N160:S160" si="175">N154+N153</f>
        <v>0</v>
      </c>
      <c r="O160" s="203">
        <f t="shared" si="175"/>
        <v>0</v>
      </c>
      <c r="P160" s="203">
        <f t="shared" si="175"/>
        <v>0</v>
      </c>
      <c r="Q160" s="203">
        <f t="shared" si="175"/>
        <v>0</v>
      </c>
      <c r="R160" s="203">
        <f t="shared" si="175"/>
        <v>0</v>
      </c>
      <c r="S160" s="203">
        <f t="shared" si="175"/>
        <v>0</v>
      </c>
      <c r="T160" s="203">
        <f>SUM(N160:S160)</f>
        <v>0</v>
      </c>
      <c r="U160" s="203">
        <f>T160+L160</f>
        <v>0</v>
      </c>
      <c r="V160" s="203">
        <f>V157</f>
        <v>0</v>
      </c>
      <c r="W160" s="203">
        <f>V160-U160</f>
        <v>0</v>
      </c>
    </row>
    <row r="161" spans="1:24" s="43" customFormat="1" ht="18" hidden="1" customHeight="1">
      <c r="A161" s="610"/>
      <c r="B161" s="581"/>
      <c r="C161" s="583"/>
      <c r="D161" s="202" t="str">
        <f>серпень!D161</f>
        <v xml:space="preserve">відхилення </v>
      </c>
      <c r="E161" s="203"/>
      <c r="F161" s="203">
        <f t="shared" ref="F161:K161" si="176">F157-F160</f>
        <v>0</v>
      </c>
      <c r="G161" s="203">
        <f t="shared" si="176"/>
        <v>0</v>
      </c>
      <c r="H161" s="203">
        <f t="shared" si="176"/>
        <v>0</v>
      </c>
      <c r="I161" s="203">
        <f t="shared" si="176"/>
        <v>0</v>
      </c>
      <c r="J161" s="203">
        <f t="shared" si="176"/>
        <v>0</v>
      </c>
      <c r="K161" s="203">
        <f t="shared" si="176"/>
        <v>0</v>
      </c>
      <c r="L161" s="203"/>
      <c r="M161" s="203"/>
      <c r="N161" s="203">
        <f t="shared" ref="N161:S161" si="177">N157-N160</f>
        <v>0</v>
      </c>
      <c r="O161" s="203">
        <f t="shared" si="177"/>
        <v>0</v>
      </c>
      <c r="P161" s="203">
        <f t="shared" si="177"/>
        <v>0</v>
      </c>
      <c r="Q161" s="203">
        <f t="shared" si="177"/>
        <v>0</v>
      </c>
      <c r="R161" s="203">
        <f t="shared" si="177"/>
        <v>0</v>
      </c>
      <c r="S161" s="203">
        <f t="shared" si="177"/>
        <v>0</v>
      </c>
      <c r="T161" s="203"/>
      <c r="U161" s="203"/>
      <c r="V161" s="203"/>
      <c r="W161" s="203"/>
    </row>
    <row r="162" spans="1:24" s="43" customFormat="1" ht="18" hidden="1" customHeight="1">
      <c r="A162" s="610"/>
      <c r="B162" s="581"/>
      <c r="C162" s="584"/>
      <c r="D162" s="202" t="str">
        <f>серпень!D162</f>
        <v>відхилення з наростаючим</v>
      </c>
      <c r="E162" s="203"/>
      <c r="F162" s="203">
        <f>F161</f>
        <v>0</v>
      </c>
      <c r="G162" s="203">
        <f>G161+F162</f>
        <v>0</v>
      </c>
      <c r="H162" s="203">
        <f>H161+G162</f>
        <v>0</v>
      </c>
      <c r="I162" s="203">
        <f>I161+H162</f>
        <v>0</v>
      </c>
      <c r="J162" s="203">
        <f>J161+I162</f>
        <v>0</v>
      </c>
      <c r="K162" s="203">
        <f>K161+J162</f>
        <v>0</v>
      </c>
      <c r="L162" s="203"/>
      <c r="M162" s="203"/>
      <c r="N162" s="203">
        <f>N161+K162</f>
        <v>0</v>
      </c>
      <c r="O162" s="203">
        <f>O161+N162</f>
        <v>0</v>
      </c>
      <c r="P162" s="203">
        <f>P161+O162</f>
        <v>0</v>
      </c>
      <c r="Q162" s="203">
        <f>Q161+P162</f>
        <v>0</v>
      </c>
      <c r="R162" s="203">
        <f>R161+Q162</f>
        <v>0</v>
      </c>
      <c r="S162" s="203">
        <f>S161+R162</f>
        <v>0</v>
      </c>
      <c r="T162" s="203"/>
      <c r="U162" s="203"/>
      <c r="V162" s="203"/>
      <c r="W162" s="203"/>
    </row>
    <row r="163" spans="1:24" s="48" customFormat="1" ht="18" customHeight="1">
      <c r="A163" s="610"/>
      <c r="B163" s="576" t="s">
        <v>61</v>
      </c>
      <c r="C163" s="577"/>
      <c r="D163" s="178" t="str">
        <f>серпень!D163</f>
        <v>факт. нат.п-ки 2023</v>
      </c>
      <c r="E163" s="11"/>
      <c r="F163" s="12">
        <f t="shared" ref="F163:K165" si="178">F178+F193</f>
        <v>83.2</v>
      </c>
      <c r="G163" s="12">
        <f t="shared" si="178"/>
        <v>75.7</v>
      </c>
      <c r="H163" s="12">
        <f t="shared" si="178"/>
        <v>38.6</v>
      </c>
      <c r="I163" s="12">
        <f t="shared" si="178"/>
        <v>0</v>
      </c>
      <c r="J163" s="12">
        <f t="shared" si="178"/>
        <v>0</v>
      </c>
      <c r="K163" s="12">
        <f t="shared" si="178"/>
        <v>0</v>
      </c>
      <c r="L163" s="44">
        <f>SUM(F163:K163)</f>
        <v>197.5</v>
      </c>
      <c r="M163" s="44">
        <f>L163/6</f>
        <v>32.9</v>
      </c>
      <c r="N163" s="12">
        <f t="shared" ref="N163:S165" si="179">N178+N193</f>
        <v>0</v>
      </c>
      <c r="O163" s="12">
        <f t="shared" si="179"/>
        <v>0</v>
      </c>
      <c r="P163" s="12">
        <f t="shared" si="179"/>
        <v>0</v>
      </c>
      <c r="Q163" s="12">
        <f t="shared" si="179"/>
        <v>0</v>
      </c>
      <c r="R163" s="12">
        <f t="shared" si="179"/>
        <v>26.1</v>
      </c>
      <c r="S163" s="12">
        <f t="shared" si="179"/>
        <v>125.1</v>
      </c>
      <c r="T163" s="44">
        <f>SUM(N163:S163)</f>
        <v>151.19999999999999</v>
      </c>
      <c r="U163" s="45">
        <f>T163+L163</f>
        <v>348.7</v>
      </c>
      <c r="V163" s="46"/>
      <c r="W163" s="38"/>
      <c r="X163" s="47"/>
    </row>
    <row r="164" spans="1:24" s="48" customFormat="1" ht="18" customHeight="1">
      <c r="A164" s="610"/>
      <c r="B164" s="576"/>
      <c r="C164" s="577"/>
      <c r="D164" s="178" t="str">
        <f>серпень!D164</f>
        <v>факт. нат.п-ки 2024</v>
      </c>
      <c r="E164" s="11"/>
      <c r="F164" s="12">
        <f t="shared" si="178"/>
        <v>99.9</v>
      </c>
      <c r="G164" s="12">
        <f t="shared" si="178"/>
        <v>73</v>
      </c>
      <c r="H164" s="12">
        <f t="shared" si="178"/>
        <v>45.6</v>
      </c>
      <c r="I164" s="12">
        <f t="shared" si="178"/>
        <v>0</v>
      </c>
      <c r="J164" s="12">
        <f t="shared" si="178"/>
        <v>0</v>
      </c>
      <c r="K164" s="12">
        <f t="shared" si="178"/>
        <v>0</v>
      </c>
      <c r="L164" s="44">
        <f>SUM(F164:K164)</f>
        <v>218.5</v>
      </c>
      <c r="M164" s="44">
        <f>L164/6</f>
        <v>36.4</v>
      </c>
      <c r="N164" s="11">
        <f t="shared" si="179"/>
        <v>0</v>
      </c>
      <c r="O164" s="11">
        <f t="shared" si="179"/>
        <v>0</v>
      </c>
      <c r="P164" s="11">
        <f t="shared" si="179"/>
        <v>0</v>
      </c>
      <c r="Q164" s="11">
        <f t="shared" si="179"/>
        <v>0</v>
      </c>
      <c r="R164" s="11">
        <f t="shared" si="179"/>
        <v>83</v>
      </c>
      <c r="S164" s="11">
        <f t="shared" si="179"/>
        <v>125.1</v>
      </c>
      <c r="T164" s="44">
        <f>SUM(N164:S164)</f>
        <v>208.1</v>
      </c>
      <c r="U164" s="45">
        <f>T164+L164</f>
        <v>426.6</v>
      </c>
      <c r="V164" s="46"/>
      <c r="W164" s="38"/>
      <c r="X164" s="47"/>
    </row>
    <row r="165" spans="1:24" s="48" customFormat="1" ht="18" customHeight="1">
      <c r="A165" s="610"/>
      <c r="B165" s="576"/>
      <c r="C165" s="577"/>
      <c r="D165" s="178" t="str">
        <f>серпень!D165</f>
        <v>факт. нат.п-ки 2025</v>
      </c>
      <c r="E165" s="11"/>
      <c r="F165" s="12">
        <f t="shared" si="178"/>
        <v>77.3</v>
      </c>
      <c r="G165" s="12">
        <f t="shared" si="178"/>
        <v>89.4</v>
      </c>
      <c r="H165" s="12">
        <f t="shared" si="178"/>
        <v>40.4</v>
      </c>
      <c r="I165" s="12">
        <f t="shared" si="178"/>
        <v>0</v>
      </c>
      <c r="J165" s="12">
        <f t="shared" si="178"/>
        <v>0</v>
      </c>
      <c r="K165" s="12">
        <f t="shared" si="178"/>
        <v>0</v>
      </c>
      <c r="L165" s="44">
        <f>SUM(F165:K165)</f>
        <v>207.1</v>
      </c>
      <c r="M165" s="44">
        <f>L165/6</f>
        <v>34.5</v>
      </c>
      <c r="N165" s="12">
        <f t="shared" si="179"/>
        <v>0</v>
      </c>
      <c r="O165" s="12">
        <f t="shared" si="179"/>
        <v>0</v>
      </c>
      <c r="P165" s="12">
        <f t="shared" si="179"/>
        <v>0</v>
      </c>
      <c r="Q165" s="12">
        <f t="shared" si="179"/>
        <v>0</v>
      </c>
      <c r="R165" s="12">
        <f t="shared" si="179"/>
        <v>94.2</v>
      </c>
      <c r="S165" s="12">
        <f t="shared" si="179"/>
        <v>170.3</v>
      </c>
      <c r="T165" s="44">
        <f>SUM(N165:S165)</f>
        <v>264.5</v>
      </c>
      <c r="U165" s="45">
        <f>T165+L165</f>
        <v>471.6</v>
      </c>
      <c r="V165" s="46">
        <f>V180+V195</f>
        <v>486</v>
      </c>
      <c r="W165" s="38">
        <f>V165-U165</f>
        <v>14.4</v>
      </c>
      <c r="X165" s="47"/>
    </row>
    <row r="166" spans="1:24" s="51" customFormat="1" ht="18" customHeight="1">
      <c r="A166" s="610"/>
      <c r="B166" s="576"/>
      <c r="C166" s="577"/>
      <c r="D166" s="187" t="str">
        <f>серпень!D166</f>
        <v>тариф, грн.</v>
      </c>
      <c r="E166" s="49"/>
      <c r="F166" s="49">
        <f>F167/F165*1000</f>
        <v>2440.0650000000001</v>
      </c>
      <c r="G166" s="49">
        <f>G167/G165*1000</f>
        <v>2629.3739999999998</v>
      </c>
      <c r="H166" s="49">
        <f>H167/H165*1000</f>
        <v>2651.2869999999998</v>
      </c>
      <c r="I166" s="49" t="e">
        <f>I167/I165*1000</f>
        <v>#DIV/0!</v>
      </c>
      <c r="J166" s="49" t="e">
        <f>J167/J165*1000</f>
        <v>#DIV/0!</v>
      </c>
      <c r="K166" s="49" t="e">
        <f t="shared" ref="K166:S166" si="180">K167/K165*1000</f>
        <v>#DIV/0!</v>
      </c>
      <c r="L166" s="49">
        <f t="shared" si="180"/>
        <v>2562.989</v>
      </c>
      <c r="M166" s="49">
        <f t="shared" si="180"/>
        <v>2564.232</v>
      </c>
      <c r="N166" s="49" t="e">
        <f t="shared" si="180"/>
        <v>#DIV/0!</v>
      </c>
      <c r="O166" s="49" t="e">
        <f t="shared" si="180"/>
        <v>#DIV/0!</v>
      </c>
      <c r="P166" s="49" t="e">
        <f t="shared" si="180"/>
        <v>#DIV/0!</v>
      </c>
      <c r="Q166" s="49" t="e">
        <f t="shared" si="180"/>
        <v>#DIV/0!</v>
      </c>
      <c r="R166" s="49">
        <f t="shared" si="180"/>
        <v>2801.73</v>
      </c>
      <c r="S166" s="49">
        <f t="shared" si="180"/>
        <v>2489.63</v>
      </c>
      <c r="T166" s="49">
        <f>T167/T165*1000</f>
        <v>2600.7829999999999</v>
      </c>
      <c r="U166" s="49">
        <f>U167/U165*1000</f>
        <v>2584.1860000000001</v>
      </c>
      <c r="V166" s="49">
        <f>V167/V165*1000</f>
        <v>2528.44</v>
      </c>
      <c r="W166" s="14">
        <f>W167/W165*1000</f>
        <v>702.77800000000002</v>
      </c>
      <c r="X166" s="50"/>
    </row>
    <row r="167" spans="1:24" s="55" customFormat="1" ht="18" customHeight="1">
      <c r="A167" s="610"/>
      <c r="B167" s="576"/>
      <c r="C167" s="577"/>
      <c r="D167" s="191" t="str">
        <f>серпень!D167</f>
        <v>сума, тис.грн.</v>
      </c>
      <c r="E167" s="52"/>
      <c r="F167" s="52">
        <f t="shared" ref="F167:K170" si="181">F182+F197</f>
        <v>188.61699999999999</v>
      </c>
      <c r="G167" s="52">
        <f t="shared" si="181"/>
        <v>235.066</v>
      </c>
      <c r="H167" s="52">
        <f t="shared" si="181"/>
        <v>107.11199999999999</v>
      </c>
      <c r="I167" s="52">
        <f t="shared" si="181"/>
        <v>0</v>
      </c>
      <c r="J167" s="52">
        <f t="shared" si="181"/>
        <v>0</v>
      </c>
      <c r="K167" s="52">
        <f t="shared" si="181"/>
        <v>0</v>
      </c>
      <c r="L167" s="52">
        <f>SUM(F167:K167)</f>
        <v>530.79499999999996</v>
      </c>
      <c r="M167" s="52">
        <f>L167/6</f>
        <v>88.465999999999994</v>
      </c>
      <c r="N167" s="52">
        <f t="shared" ref="N167:S170" si="182">N182+N197</f>
        <v>0</v>
      </c>
      <c r="O167" s="52">
        <f t="shared" si="182"/>
        <v>0</v>
      </c>
      <c r="P167" s="52">
        <f t="shared" si="182"/>
        <v>0</v>
      </c>
      <c r="Q167" s="52">
        <f t="shared" si="182"/>
        <v>0</v>
      </c>
      <c r="R167" s="52">
        <f t="shared" si="182"/>
        <v>263.923</v>
      </c>
      <c r="S167" s="52">
        <f t="shared" si="182"/>
        <v>423.98399999999998</v>
      </c>
      <c r="T167" s="52">
        <f>SUM(N167:S167)</f>
        <v>687.90700000000004</v>
      </c>
      <c r="U167" s="52">
        <f>T167+L167</f>
        <v>1218.702</v>
      </c>
      <c r="V167" s="53">
        <f>V182+V197</f>
        <v>1228.8219999999999</v>
      </c>
      <c r="W167" s="53">
        <f>V167-U167</f>
        <v>10.119999999999999</v>
      </c>
      <c r="X167" s="54">
        <f>9891253.845/1000</f>
        <v>9891.2540000000008</v>
      </c>
    </row>
    <row r="168" spans="1:24" s="55" customFormat="1" ht="18" customHeight="1">
      <c r="A168" s="610"/>
      <c r="B168" s="576"/>
      <c r="C168" s="577"/>
      <c r="D168" s="174" t="str">
        <f>серпень!D168</f>
        <v>дотація</v>
      </c>
      <c r="E168" s="56"/>
      <c r="F168" s="52">
        <f t="shared" si="181"/>
        <v>0</v>
      </c>
      <c r="G168" s="52">
        <f t="shared" si="181"/>
        <v>0</v>
      </c>
      <c r="H168" s="52">
        <f t="shared" si="181"/>
        <v>0</v>
      </c>
      <c r="I168" s="52">
        <f t="shared" si="181"/>
        <v>0</v>
      </c>
      <c r="J168" s="52">
        <f t="shared" si="181"/>
        <v>0</v>
      </c>
      <c r="K168" s="52">
        <f t="shared" si="181"/>
        <v>0</v>
      </c>
      <c r="L168" s="52">
        <f>SUM(F168:K168)</f>
        <v>0</v>
      </c>
      <c r="M168" s="52">
        <f>L168/6</f>
        <v>0</v>
      </c>
      <c r="N168" s="52">
        <f t="shared" si="182"/>
        <v>0</v>
      </c>
      <c r="O168" s="52">
        <f t="shared" si="182"/>
        <v>0</v>
      </c>
      <c r="P168" s="52">
        <f t="shared" si="182"/>
        <v>0</v>
      </c>
      <c r="Q168" s="52">
        <f t="shared" si="182"/>
        <v>0</v>
      </c>
      <c r="R168" s="52">
        <f t="shared" si="182"/>
        <v>0</v>
      </c>
      <c r="S168" s="52">
        <f t="shared" si="182"/>
        <v>0</v>
      </c>
      <c r="T168" s="52">
        <f>SUM(N168:S168)</f>
        <v>0</v>
      </c>
      <c r="U168" s="52">
        <f>T168+L168</f>
        <v>0</v>
      </c>
      <c r="V168" s="53">
        <f>V183+V198</f>
        <v>0</v>
      </c>
      <c r="W168" s="57">
        <f>V168-U168</f>
        <v>0</v>
      </c>
      <c r="X168" s="58"/>
    </row>
    <row r="169" spans="1:24" s="55" customFormat="1" ht="18" customHeight="1">
      <c r="A169" s="610"/>
      <c r="B169" s="576"/>
      <c r="C169" s="577"/>
      <c r="D169" s="174" t="str">
        <f>серпень!D169</f>
        <v>місцевий (план), тис.грн</v>
      </c>
      <c r="E169" s="56"/>
      <c r="F169" s="52">
        <f t="shared" si="181"/>
        <v>0</v>
      </c>
      <c r="G169" s="52">
        <f t="shared" si="181"/>
        <v>188.61699999999999</v>
      </c>
      <c r="H169" s="52">
        <f t="shared" si="181"/>
        <v>235.066</v>
      </c>
      <c r="I169" s="52">
        <f t="shared" si="181"/>
        <v>107.179</v>
      </c>
      <c r="J169" s="52">
        <f t="shared" si="181"/>
        <v>0</v>
      </c>
      <c r="K169" s="52">
        <f t="shared" si="181"/>
        <v>0</v>
      </c>
      <c r="L169" s="52">
        <f>SUM(F169:K169)</f>
        <v>530.86199999999997</v>
      </c>
      <c r="M169" s="52">
        <f>L169/6</f>
        <v>88.477000000000004</v>
      </c>
      <c r="N169" s="52">
        <f t="shared" si="182"/>
        <v>0</v>
      </c>
      <c r="O169" s="52">
        <f t="shared" si="182"/>
        <v>0</v>
      </c>
      <c r="P169" s="52">
        <f t="shared" si="182"/>
        <v>0</v>
      </c>
      <c r="Q169" s="52">
        <f t="shared" si="182"/>
        <v>0</v>
      </c>
      <c r="R169" s="52">
        <f t="shared" si="182"/>
        <v>0</v>
      </c>
      <c r="S169" s="52">
        <f t="shared" si="182"/>
        <v>697.96</v>
      </c>
      <c r="T169" s="52">
        <f>SUM(N169:S169)</f>
        <v>697.96</v>
      </c>
      <c r="U169" s="52">
        <f>T169+L169</f>
        <v>1228.8219999999999</v>
      </c>
      <c r="V169" s="53">
        <f>V184+V199</f>
        <v>1228.8219999999999</v>
      </c>
      <c r="W169" s="53">
        <f>V169-U169</f>
        <v>0</v>
      </c>
      <c r="X169" s="58"/>
    </row>
    <row r="170" spans="1:24" s="48" customFormat="1" ht="18" customHeight="1">
      <c r="A170" s="610"/>
      <c r="B170" s="576"/>
      <c r="C170" s="577"/>
      <c r="D170" s="178" t="str">
        <f>серпень!D170</f>
        <v>касові нат.п-ки 2025</v>
      </c>
      <c r="E170" s="11">
        <f>E185+E200</f>
        <v>0</v>
      </c>
      <c r="F170" s="11">
        <f t="shared" si="181"/>
        <v>0</v>
      </c>
      <c r="G170" s="11">
        <f t="shared" si="181"/>
        <v>77.3</v>
      </c>
      <c r="H170" s="11">
        <f t="shared" si="181"/>
        <v>89.4</v>
      </c>
      <c r="I170" s="11">
        <f t="shared" si="181"/>
        <v>40.4</v>
      </c>
      <c r="J170" s="11">
        <f t="shared" si="181"/>
        <v>0</v>
      </c>
      <c r="K170" s="11">
        <f t="shared" si="181"/>
        <v>0</v>
      </c>
      <c r="L170" s="44">
        <f>SUM(F170:K170)</f>
        <v>207.1</v>
      </c>
      <c r="M170" s="44">
        <f>L170/6</f>
        <v>34.5</v>
      </c>
      <c r="N170" s="11">
        <f t="shared" si="182"/>
        <v>0</v>
      </c>
      <c r="O170" s="11">
        <f t="shared" si="182"/>
        <v>0</v>
      </c>
      <c r="P170" s="11">
        <f t="shared" si="182"/>
        <v>0</v>
      </c>
      <c r="Q170" s="11">
        <f t="shared" si="182"/>
        <v>0</v>
      </c>
      <c r="R170" s="11">
        <f t="shared" si="182"/>
        <v>0</v>
      </c>
      <c r="S170" s="11">
        <f t="shared" si="182"/>
        <v>264.5</v>
      </c>
      <c r="T170" s="44">
        <f>SUM(N170:S170)</f>
        <v>264.5</v>
      </c>
      <c r="U170" s="44">
        <f>T170+L170</f>
        <v>471.6</v>
      </c>
      <c r="V170" s="38">
        <f>V185+V200</f>
        <v>486</v>
      </c>
      <c r="W170" s="38">
        <f>V170-U170</f>
        <v>14.4</v>
      </c>
      <c r="X170" s="47">
        <f>U165-U170</f>
        <v>0</v>
      </c>
    </row>
    <row r="171" spans="1:24" s="51" customFormat="1" ht="18" customHeight="1">
      <c r="A171" s="610"/>
      <c r="B171" s="576"/>
      <c r="C171" s="577"/>
      <c r="D171" s="187" t="str">
        <f>серпень!D171</f>
        <v>тариф, грн.</v>
      </c>
      <c r="E171" s="49" t="e">
        <f t="shared" ref="E171:S171" si="183">E172/E170*1000</f>
        <v>#DIV/0!</v>
      </c>
      <c r="F171" s="49" t="e">
        <f t="shared" si="183"/>
        <v>#DIV/0!</v>
      </c>
      <c r="G171" s="49">
        <f t="shared" si="183"/>
        <v>2440.0650000000001</v>
      </c>
      <c r="H171" s="49">
        <f t="shared" si="183"/>
        <v>2629.3739999999998</v>
      </c>
      <c r="I171" s="49">
        <f t="shared" si="183"/>
        <v>2651.2869999999998</v>
      </c>
      <c r="J171" s="49" t="e">
        <f t="shared" si="183"/>
        <v>#DIV/0!</v>
      </c>
      <c r="K171" s="49" t="e">
        <f t="shared" si="183"/>
        <v>#DIV/0!</v>
      </c>
      <c r="L171" s="49">
        <f t="shared" si="183"/>
        <v>2562.989</v>
      </c>
      <c r="M171" s="49">
        <f t="shared" si="183"/>
        <v>2564.232</v>
      </c>
      <c r="N171" s="49" t="e">
        <f t="shared" si="183"/>
        <v>#DIV/0!</v>
      </c>
      <c r="O171" s="49" t="e">
        <f t="shared" si="183"/>
        <v>#DIV/0!</v>
      </c>
      <c r="P171" s="49" t="e">
        <f t="shared" si="183"/>
        <v>#DIV/0!</v>
      </c>
      <c r="Q171" s="49" t="e">
        <f t="shared" si="183"/>
        <v>#DIV/0!</v>
      </c>
      <c r="R171" s="49" t="e">
        <f t="shared" si="183"/>
        <v>#DIV/0!</v>
      </c>
      <c r="S171" s="49">
        <f t="shared" si="183"/>
        <v>2600.7829999999999</v>
      </c>
      <c r="T171" s="49">
        <f>T172/T170*1000</f>
        <v>2600.7829999999999</v>
      </c>
      <c r="U171" s="49">
        <f>U172/U170*1000</f>
        <v>2584.1860000000001</v>
      </c>
      <c r="V171" s="49">
        <f>V172/V170*1000</f>
        <v>2528.44</v>
      </c>
      <c r="W171" s="14">
        <f>W172/W170*1000</f>
        <v>702.77800000000002</v>
      </c>
      <c r="X171" s="59"/>
    </row>
    <row r="172" spans="1:24" s="63" customFormat="1" ht="18" customHeight="1">
      <c r="A172" s="610"/>
      <c r="B172" s="576"/>
      <c r="C172" s="577"/>
      <c r="D172" s="198" t="str">
        <f>серпень!D172</f>
        <v>касові видатки, тис.грн.</v>
      </c>
      <c r="E172" s="60">
        <f t="shared" ref="E172:K174" si="184">E187+E202</f>
        <v>0</v>
      </c>
      <c r="F172" s="61">
        <f t="shared" si="184"/>
        <v>0</v>
      </c>
      <c r="G172" s="61">
        <f t="shared" si="184"/>
        <v>188.61699999999999</v>
      </c>
      <c r="H172" s="61">
        <f t="shared" si="184"/>
        <v>235.066</v>
      </c>
      <c r="I172" s="61">
        <f t="shared" si="184"/>
        <v>107.11199999999999</v>
      </c>
      <c r="J172" s="61">
        <f t="shared" si="184"/>
        <v>0</v>
      </c>
      <c r="K172" s="61">
        <f t="shared" si="184"/>
        <v>0</v>
      </c>
      <c r="L172" s="61">
        <f>SUM(F172:K172)</f>
        <v>530.79499999999996</v>
      </c>
      <c r="M172" s="61">
        <f>L172/6</f>
        <v>88.465999999999994</v>
      </c>
      <c r="N172" s="61">
        <f t="shared" ref="N172:S174" si="185">N187+N202</f>
        <v>0</v>
      </c>
      <c r="O172" s="61">
        <f t="shared" si="185"/>
        <v>0</v>
      </c>
      <c r="P172" s="61">
        <f t="shared" si="185"/>
        <v>0</v>
      </c>
      <c r="Q172" s="61">
        <f t="shared" si="185"/>
        <v>0</v>
      </c>
      <c r="R172" s="61">
        <f t="shared" si="185"/>
        <v>0</v>
      </c>
      <c r="S172" s="61">
        <f t="shared" si="185"/>
        <v>687.90700000000004</v>
      </c>
      <c r="T172" s="61">
        <f>SUM(N172:S172)</f>
        <v>687.90700000000004</v>
      </c>
      <c r="U172" s="61">
        <f>T172+L172</f>
        <v>1218.702</v>
      </c>
      <c r="V172" s="62">
        <f>V187+V202</f>
        <v>1228.8219999999999</v>
      </c>
      <c r="W172" s="62">
        <f>V172-U172</f>
        <v>10.119999999999999</v>
      </c>
      <c r="X172" s="63">
        <f>U167-U172</f>
        <v>0</v>
      </c>
    </row>
    <row r="173" spans="1:24" s="63" customFormat="1" ht="18" customHeight="1">
      <c r="A173" s="610"/>
      <c r="B173" s="576"/>
      <c r="C173" s="577"/>
      <c r="D173" s="201" t="str">
        <f>серпень!D173</f>
        <v>дотація</v>
      </c>
      <c r="E173" s="60"/>
      <c r="F173" s="61">
        <f t="shared" si="184"/>
        <v>0</v>
      </c>
      <c r="G173" s="61">
        <f t="shared" si="184"/>
        <v>0</v>
      </c>
      <c r="H173" s="61">
        <f t="shared" si="184"/>
        <v>0</v>
      </c>
      <c r="I173" s="61">
        <f t="shared" si="184"/>
        <v>0</v>
      </c>
      <c r="J173" s="61">
        <f>J188+J203</f>
        <v>0</v>
      </c>
      <c r="K173" s="61">
        <f t="shared" si="184"/>
        <v>0</v>
      </c>
      <c r="L173" s="61">
        <f>SUM(F173:K173)</f>
        <v>0</v>
      </c>
      <c r="M173" s="61">
        <f>L173/6</f>
        <v>0</v>
      </c>
      <c r="N173" s="61">
        <f t="shared" si="185"/>
        <v>0</v>
      </c>
      <c r="O173" s="61">
        <f t="shared" si="185"/>
        <v>0</v>
      </c>
      <c r="P173" s="61">
        <f t="shared" si="185"/>
        <v>0</v>
      </c>
      <c r="Q173" s="61">
        <f t="shared" si="185"/>
        <v>0</v>
      </c>
      <c r="R173" s="61">
        <f t="shared" si="185"/>
        <v>0</v>
      </c>
      <c r="S173" s="61">
        <f t="shared" si="185"/>
        <v>0</v>
      </c>
      <c r="T173" s="61">
        <f>SUM(N173:S173)</f>
        <v>0</v>
      </c>
      <c r="U173" s="61">
        <f>T173+L173</f>
        <v>0</v>
      </c>
      <c r="V173" s="62">
        <f>V188+V203</f>
        <v>0</v>
      </c>
      <c r="W173" s="62">
        <f>V173-U173</f>
        <v>0</v>
      </c>
      <c r="X173" s="63">
        <f>U168-U173</f>
        <v>0</v>
      </c>
    </row>
    <row r="174" spans="1:24" s="63" customFormat="1" ht="18" customHeight="1">
      <c r="A174" s="610"/>
      <c r="B174" s="576"/>
      <c r="C174" s="577"/>
      <c r="D174" s="201" t="str">
        <f>серпень!D174</f>
        <v xml:space="preserve">місцевий </v>
      </c>
      <c r="E174" s="60"/>
      <c r="F174" s="61">
        <f t="shared" si="184"/>
        <v>0</v>
      </c>
      <c r="G174" s="61">
        <f t="shared" si="184"/>
        <v>188.61699999999999</v>
      </c>
      <c r="H174" s="61">
        <f t="shared" si="184"/>
        <v>235.066</v>
      </c>
      <c r="I174" s="61">
        <f t="shared" si="184"/>
        <v>107.11199999999999</v>
      </c>
      <c r="J174" s="61">
        <f>J189+J204</f>
        <v>0</v>
      </c>
      <c r="K174" s="61">
        <f t="shared" si="184"/>
        <v>0</v>
      </c>
      <c r="L174" s="61">
        <f>SUM(F174:K174)</f>
        <v>530.79499999999996</v>
      </c>
      <c r="M174" s="61">
        <f>L174/6</f>
        <v>88.465999999999994</v>
      </c>
      <c r="N174" s="61">
        <f t="shared" si="185"/>
        <v>0</v>
      </c>
      <c r="O174" s="61">
        <f t="shared" si="185"/>
        <v>0</v>
      </c>
      <c r="P174" s="61">
        <f t="shared" si="185"/>
        <v>0</v>
      </c>
      <c r="Q174" s="61">
        <f t="shared" si="185"/>
        <v>0</v>
      </c>
      <c r="R174" s="61">
        <f t="shared" si="185"/>
        <v>0</v>
      </c>
      <c r="S174" s="61">
        <f t="shared" si="185"/>
        <v>687.90700000000004</v>
      </c>
      <c r="T174" s="61">
        <f>SUM(N174:S174)</f>
        <v>687.90700000000004</v>
      </c>
      <c r="U174" s="61">
        <f>T174+L174</f>
        <v>1218.702</v>
      </c>
      <c r="V174" s="62">
        <f>V189+V204</f>
        <v>1228.8219999999999</v>
      </c>
      <c r="W174" s="62">
        <f>V174-U174</f>
        <v>10.119999999999999</v>
      </c>
      <c r="X174" s="63">
        <f>U169-U174</f>
        <v>10.119999999999999</v>
      </c>
    </row>
    <row r="175" spans="1:24" s="43" customFormat="1" ht="18" customHeight="1">
      <c r="A175" s="610"/>
      <c r="B175" s="576"/>
      <c r="C175" s="577"/>
      <c r="D175" s="202" t="str">
        <f>серпень!D175</f>
        <v>план</v>
      </c>
      <c r="E175" s="42"/>
      <c r="F175" s="42">
        <f t="shared" ref="F175:K175" si="186">F169</f>
        <v>0</v>
      </c>
      <c r="G175" s="42">
        <f t="shared" si="186"/>
        <v>188.61699999999999</v>
      </c>
      <c r="H175" s="42">
        <f t="shared" si="186"/>
        <v>235.066</v>
      </c>
      <c r="I175" s="42">
        <f t="shared" si="186"/>
        <v>107.179</v>
      </c>
      <c r="J175" s="42">
        <f t="shared" si="186"/>
        <v>0</v>
      </c>
      <c r="K175" s="42">
        <f t="shared" si="186"/>
        <v>0</v>
      </c>
      <c r="L175" s="42">
        <f>SUM(F175:K175)</f>
        <v>530.86199999999997</v>
      </c>
      <c r="M175" s="42">
        <f>L175/6</f>
        <v>88.477000000000004</v>
      </c>
      <c r="N175" s="42">
        <f t="shared" ref="N175:S175" si="187">N169+N168</f>
        <v>0</v>
      </c>
      <c r="O175" s="42">
        <f t="shared" si="187"/>
        <v>0</v>
      </c>
      <c r="P175" s="42">
        <f t="shared" si="187"/>
        <v>0</v>
      </c>
      <c r="Q175" s="42">
        <f t="shared" si="187"/>
        <v>0</v>
      </c>
      <c r="R175" s="42">
        <f t="shared" si="187"/>
        <v>0</v>
      </c>
      <c r="S175" s="42">
        <f t="shared" si="187"/>
        <v>697.96</v>
      </c>
      <c r="T175" s="42">
        <f>SUM(N175:S175)</f>
        <v>697.96</v>
      </c>
      <c r="U175" s="42">
        <f>T175+L175</f>
        <v>1228.8219999999999</v>
      </c>
      <c r="V175" s="64">
        <f>V190+V205</f>
        <v>1228.8219999999999</v>
      </c>
      <c r="W175" s="64">
        <f>V175-U175</f>
        <v>0</v>
      </c>
    </row>
    <row r="176" spans="1:24" s="43" customFormat="1" ht="18" customHeight="1">
      <c r="A176" s="610"/>
      <c r="B176" s="576"/>
      <c r="C176" s="577"/>
      <c r="D176" s="202" t="str">
        <f>серпень!D176</f>
        <v xml:space="preserve">відхилення </v>
      </c>
      <c r="E176" s="42"/>
      <c r="F176" s="42">
        <f t="shared" ref="F176:K176" si="188">F172-F175</f>
        <v>0</v>
      </c>
      <c r="G176" s="42">
        <f t="shared" si="188"/>
        <v>0</v>
      </c>
      <c r="H176" s="42">
        <f t="shared" si="188"/>
        <v>0</v>
      </c>
      <c r="I176" s="42">
        <f t="shared" si="188"/>
        <v>-6.7000000000000004E-2</v>
      </c>
      <c r="J176" s="42">
        <f t="shared" si="188"/>
        <v>0</v>
      </c>
      <c r="K176" s="42">
        <f t="shared" si="188"/>
        <v>0</v>
      </c>
      <c r="L176" s="42"/>
      <c r="M176" s="42"/>
      <c r="N176" s="42">
        <f t="shared" ref="N176:S176" si="189">N172-N175</f>
        <v>0</v>
      </c>
      <c r="O176" s="42">
        <f t="shared" si="189"/>
        <v>0</v>
      </c>
      <c r="P176" s="42">
        <f t="shared" si="189"/>
        <v>0</v>
      </c>
      <c r="Q176" s="42">
        <f t="shared" si="189"/>
        <v>0</v>
      </c>
      <c r="R176" s="42">
        <f t="shared" si="189"/>
        <v>0</v>
      </c>
      <c r="S176" s="42">
        <f t="shared" si="189"/>
        <v>-10.053000000000001</v>
      </c>
      <c r="T176" s="42"/>
      <c r="U176" s="42"/>
      <c r="V176" s="42"/>
      <c r="W176" s="42"/>
    </row>
    <row r="177" spans="1:24" s="43" customFormat="1" ht="18" customHeight="1">
      <c r="A177" s="610"/>
      <c r="B177" s="576"/>
      <c r="C177" s="577"/>
      <c r="D177" s="202" t="str">
        <f>серпень!D177</f>
        <v>відхилення з наростаючим</v>
      </c>
      <c r="E177" s="42"/>
      <c r="F177" s="42">
        <f>F176</f>
        <v>0</v>
      </c>
      <c r="G177" s="42">
        <f>G176+F177</f>
        <v>0</v>
      </c>
      <c r="H177" s="42">
        <f>H176+G177</f>
        <v>0</v>
      </c>
      <c r="I177" s="42">
        <f>I176+H177</f>
        <v>-6.7000000000000004E-2</v>
      </c>
      <c r="J177" s="42">
        <f>J176+I177</f>
        <v>-6.7000000000000004E-2</v>
      </c>
      <c r="K177" s="42">
        <f>K176+J177</f>
        <v>-6.7000000000000004E-2</v>
      </c>
      <c r="L177" s="42"/>
      <c r="M177" s="42"/>
      <c r="N177" s="42">
        <f>N176+K177</f>
        <v>-6.7000000000000004E-2</v>
      </c>
      <c r="O177" s="42">
        <f>O176+N177</f>
        <v>-6.7000000000000004E-2</v>
      </c>
      <c r="P177" s="42">
        <f>P176+O177</f>
        <v>-6.7000000000000004E-2</v>
      </c>
      <c r="Q177" s="42">
        <f>Q176+P177</f>
        <v>-6.7000000000000004E-2</v>
      </c>
      <c r="R177" s="42">
        <f>R176+Q177</f>
        <v>-6.7000000000000004E-2</v>
      </c>
      <c r="S177" s="42">
        <f>S176+R177</f>
        <v>-10.119999999999999</v>
      </c>
      <c r="T177" s="42"/>
      <c r="U177" s="42"/>
      <c r="V177" s="42"/>
      <c r="W177" s="42"/>
    </row>
    <row r="178" spans="1:24" s="47" customFormat="1" ht="18" customHeight="1">
      <c r="A178" s="610"/>
      <c r="B178" s="581" t="s">
        <v>89</v>
      </c>
      <c r="C178" s="581"/>
      <c r="D178" s="178" t="str">
        <f>серпень!D178</f>
        <v>факт. нат.п-ки 2023</v>
      </c>
      <c r="E178" s="11"/>
      <c r="F178" s="12">
        <v>59.6</v>
      </c>
      <c r="G178" s="12">
        <v>50.5</v>
      </c>
      <c r="H178" s="12">
        <v>26.5</v>
      </c>
      <c r="I178" s="12">
        <v>0</v>
      </c>
      <c r="J178" s="12">
        <v>0</v>
      </c>
      <c r="K178" s="12">
        <v>0</v>
      </c>
      <c r="L178" s="65">
        <f>SUM(F178:K178)</f>
        <v>136.6</v>
      </c>
      <c r="M178" s="65">
        <f>L178/6</f>
        <v>22.8</v>
      </c>
      <c r="N178" s="151">
        <v>0</v>
      </c>
      <c r="O178" s="151">
        <v>0</v>
      </c>
      <c r="P178" s="151">
        <v>0</v>
      </c>
      <c r="Q178" s="151">
        <v>0</v>
      </c>
      <c r="R178" s="151">
        <v>14.4</v>
      </c>
      <c r="S178" s="151">
        <v>86.3</v>
      </c>
      <c r="T178" s="65">
        <f>SUM(N178:S178)</f>
        <v>100.7</v>
      </c>
      <c r="U178" s="66">
        <f>T178+L178</f>
        <v>237.3</v>
      </c>
      <c r="V178" s="46"/>
      <c r="W178" s="38"/>
    </row>
    <row r="179" spans="1:24" s="47" customFormat="1" ht="18" customHeight="1">
      <c r="A179" s="610"/>
      <c r="B179" s="581"/>
      <c r="C179" s="581"/>
      <c r="D179" s="178" t="str">
        <f>серпень!D179</f>
        <v>факт. нат.п-ки 2024</v>
      </c>
      <c r="E179" s="11"/>
      <c r="F179" s="12">
        <v>64.5</v>
      </c>
      <c r="G179" s="12">
        <v>50.8</v>
      </c>
      <c r="H179" s="12">
        <v>30.1</v>
      </c>
      <c r="I179" s="12">
        <v>0</v>
      </c>
      <c r="J179" s="12">
        <v>0</v>
      </c>
      <c r="K179" s="12">
        <v>0</v>
      </c>
      <c r="L179" s="65">
        <f>SUM(F179:K179)</f>
        <v>145.4</v>
      </c>
      <c r="M179" s="65">
        <f>L179/6</f>
        <v>24.2</v>
      </c>
      <c r="N179" s="83">
        <v>0</v>
      </c>
      <c r="O179" s="83">
        <v>0</v>
      </c>
      <c r="P179" s="83">
        <v>0</v>
      </c>
      <c r="Q179" s="83">
        <v>0</v>
      </c>
      <c r="R179" s="83">
        <v>53.4</v>
      </c>
      <c r="S179" s="83">
        <v>86.3</v>
      </c>
      <c r="T179" s="65">
        <f>SUM(N179:S179)</f>
        <v>139.69999999999999</v>
      </c>
      <c r="U179" s="66">
        <f>T179+L179</f>
        <v>285.10000000000002</v>
      </c>
      <c r="V179" s="11">
        <v>284</v>
      </c>
      <c r="W179" s="38"/>
    </row>
    <row r="180" spans="1:24" s="47" customFormat="1" ht="18" customHeight="1">
      <c r="A180" s="610"/>
      <c r="B180" s="581"/>
      <c r="C180" s="581"/>
      <c r="D180" s="178" t="str">
        <f>серпень!D180</f>
        <v>факт. нат.п-ки 2025</v>
      </c>
      <c r="E180" s="11"/>
      <c r="F180" s="12">
        <v>48.2</v>
      </c>
      <c r="G180" s="12">
        <v>60.3</v>
      </c>
      <c r="H180" s="12">
        <v>27.7</v>
      </c>
      <c r="I180" s="12">
        <v>0</v>
      </c>
      <c r="J180" s="12">
        <v>0</v>
      </c>
      <c r="K180" s="12">
        <v>0</v>
      </c>
      <c r="L180" s="65">
        <f>SUM(F180:K180)</f>
        <v>136.19999999999999</v>
      </c>
      <c r="M180" s="65">
        <f>L180/6</f>
        <v>22.7</v>
      </c>
      <c r="N180" s="83">
        <v>0</v>
      </c>
      <c r="O180" s="83">
        <v>0</v>
      </c>
      <c r="P180" s="83">
        <v>0</v>
      </c>
      <c r="Q180" s="83">
        <v>0</v>
      </c>
      <c r="R180" s="83">
        <v>62.4</v>
      </c>
      <c r="S180" s="535">
        <v>67.891999999999996</v>
      </c>
      <c r="T180" s="530">
        <f>SUM(N180:S180)</f>
        <v>130.292</v>
      </c>
      <c r="U180" s="536">
        <f>T180+L180</f>
        <v>266.49200000000002</v>
      </c>
      <c r="V180" s="537">
        <v>275.69200000000001</v>
      </c>
      <c r="W180" s="538">
        <f>V180-U180</f>
        <v>9.1999999999999993</v>
      </c>
    </row>
    <row r="181" spans="1:24" s="47" customFormat="1" ht="18" customHeight="1">
      <c r="A181" s="610"/>
      <c r="B181" s="581"/>
      <c r="C181" s="581"/>
      <c r="D181" s="187" t="str">
        <f>серпень!D181</f>
        <v>тариф, грн.</v>
      </c>
      <c r="E181" s="49" t="e">
        <f>E182/E180*1000</f>
        <v>#DIV/0!</v>
      </c>
      <c r="F181" s="49">
        <f t="shared" ref="F181:H181" si="190">F182/F180*1000</f>
        <v>3043.154</v>
      </c>
      <c r="G181" s="49">
        <f t="shared" si="190"/>
        <v>3201.6419999999998</v>
      </c>
      <c r="H181" s="49">
        <f t="shared" si="190"/>
        <v>3203.7910000000002</v>
      </c>
      <c r="I181" s="49" t="e">
        <f t="shared" ref="I181" si="191">I182/I180*1000</f>
        <v>#DIV/0!</v>
      </c>
      <c r="J181" s="49" t="e">
        <f t="shared" ref="J181" si="192">J182/J180*1000</f>
        <v>#DIV/0!</v>
      </c>
      <c r="K181" s="49" t="e">
        <f t="shared" ref="K181" si="193">K182/K180*1000</f>
        <v>#DIV/0!</v>
      </c>
      <c r="L181" s="409">
        <f>L182/L180*1000</f>
        <v>3145.99</v>
      </c>
      <c r="M181" s="409">
        <f>M182/M180*1000</f>
        <v>3145.99</v>
      </c>
      <c r="N181" s="409">
        <v>3201.3119999999999</v>
      </c>
      <c r="O181" s="409">
        <v>3201.3119999999999</v>
      </c>
      <c r="P181" s="409">
        <v>3201.3119999999999</v>
      </c>
      <c r="Q181" s="409">
        <v>3201.3119999999999</v>
      </c>
      <c r="R181" s="409">
        <v>3201.3119999999999</v>
      </c>
      <c r="S181" s="409">
        <v>3201.3119999999999</v>
      </c>
      <c r="T181" s="49">
        <f>T182/T180*1000</f>
        <v>3201.3020000000001</v>
      </c>
      <c r="U181" s="49">
        <f>U182/U180*1000</f>
        <v>3173.0329999999999</v>
      </c>
      <c r="V181" s="121">
        <f>V182/V180*1000</f>
        <v>3040.66</v>
      </c>
      <c r="W181" s="14">
        <f>W182/W180*1000</f>
        <v>-793.58699999999999</v>
      </c>
    </row>
    <row r="182" spans="1:24" s="47" customFormat="1" ht="18" customHeight="1">
      <c r="A182" s="610"/>
      <c r="B182" s="581"/>
      <c r="C182" s="581"/>
      <c r="D182" s="191" t="str">
        <f>серпень!D182</f>
        <v>сума, тис.грн.</v>
      </c>
      <c r="E182" s="52"/>
      <c r="F182" s="52">
        <v>146.68</v>
      </c>
      <c r="G182" s="52">
        <v>193.059</v>
      </c>
      <c r="H182" s="52">
        <v>88.745000000000005</v>
      </c>
      <c r="I182" s="52">
        <v>0</v>
      </c>
      <c r="J182" s="52">
        <v>0</v>
      </c>
      <c r="K182" s="52">
        <v>0</v>
      </c>
      <c r="L182" s="69">
        <f>SUM(F182:K182)</f>
        <v>428.48399999999998</v>
      </c>
      <c r="M182" s="69">
        <f>L182/6</f>
        <v>71.414000000000001</v>
      </c>
      <c r="N182" s="52">
        <f>N180*N181/1000</f>
        <v>0</v>
      </c>
      <c r="O182" s="52">
        <f t="shared" ref="O182:R182" si="194">O180*O181/1000</f>
        <v>0</v>
      </c>
      <c r="P182" s="52">
        <f t="shared" si="194"/>
        <v>0</v>
      </c>
      <c r="Q182" s="52">
        <f t="shared" si="194"/>
        <v>0</v>
      </c>
      <c r="R182" s="52">
        <f t="shared" si="194"/>
        <v>199.762</v>
      </c>
      <c r="S182" s="52">
        <f>S180*S181/1000-0.001</f>
        <v>217.34200000000001</v>
      </c>
      <c r="T182" s="69">
        <f>SUM(N182:S182)</f>
        <v>417.10399999999998</v>
      </c>
      <c r="U182" s="69">
        <f>T182+L182</f>
        <v>845.58799999999997</v>
      </c>
      <c r="V182" s="70">
        <f>V183+V184</f>
        <v>838.28700000000003</v>
      </c>
      <c r="W182" s="53">
        <f>V182-U182</f>
        <v>-7.3010000000000002</v>
      </c>
    </row>
    <row r="183" spans="1:24" s="47" customFormat="1" ht="18" customHeight="1">
      <c r="A183" s="610"/>
      <c r="B183" s="581"/>
      <c r="C183" s="581"/>
      <c r="D183" s="174" t="str">
        <f>серпень!D183</f>
        <v>дотація</v>
      </c>
      <c r="E183" s="56"/>
      <c r="F183" s="52"/>
      <c r="G183" s="52"/>
      <c r="H183" s="52"/>
      <c r="I183" s="52"/>
      <c r="J183" s="52"/>
      <c r="K183" s="52"/>
      <c r="L183" s="69">
        <f>SUM(F183:K183)</f>
        <v>0</v>
      </c>
      <c r="M183" s="69">
        <f>L183/6</f>
        <v>0</v>
      </c>
      <c r="N183" s="52"/>
      <c r="O183" s="52"/>
      <c r="P183" s="52"/>
      <c r="Q183" s="52"/>
      <c r="R183" s="52"/>
      <c r="S183" s="52"/>
      <c r="T183" s="69">
        <f>SUM(N183:S183)</f>
        <v>0</v>
      </c>
      <c r="U183" s="69">
        <f>T183+L183</f>
        <v>0</v>
      </c>
      <c r="V183" s="70"/>
      <c r="W183" s="53">
        <f>V183-U183</f>
        <v>0</v>
      </c>
    </row>
    <row r="184" spans="1:24" s="47" customFormat="1" ht="18" customHeight="1">
      <c r="A184" s="610"/>
      <c r="B184" s="581"/>
      <c r="C184" s="581"/>
      <c r="D184" s="174" t="str">
        <f>серпень!D184</f>
        <v>місцевий (план), тис.грн</v>
      </c>
      <c r="E184" s="56"/>
      <c r="F184" s="52">
        <f>51.466-51.466</f>
        <v>0</v>
      </c>
      <c r="G184" s="52">
        <f>196.123-73.216</f>
        <v>122.907</v>
      </c>
      <c r="H184" s="52">
        <f>154.466+39.374</f>
        <v>193.84</v>
      </c>
      <c r="I184" s="52">
        <f>91.524-18.7</f>
        <v>72.823999999999998</v>
      </c>
      <c r="J184" s="52">
        <v>0</v>
      </c>
      <c r="K184" s="52">
        <v>0</v>
      </c>
      <c r="L184" s="69">
        <f>SUM(F184:K184)</f>
        <v>389.57100000000003</v>
      </c>
      <c r="M184" s="69">
        <f>L184/6</f>
        <v>64.929000000000002</v>
      </c>
      <c r="N184" s="52">
        <v>0</v>
      </c>
      <c r="O184" s="52">
        <v>0</v>
      </c>
      <c r="P184" s="52">
        <v>0</v>
      </c>
      <c r="Q184" s="52">
        <v>0</v>
      </c>
      <c r="R184" s="52">
        <v>0</v>
      </c>
      <c r="S184" s="52">
        <f>396.174+73.216-39.374+18.7</f>
        <v>448.71600000000001</v>
      </c>
      <c r="T184" s="69">
        <f>SUM(N184:S184)</f>
        <v>448.71600000000001</v>
      </c>
      <c r="U184" s="69">
        <f>T184+L184</f>
        <v>838.28700000000003</v>
      </c>
      <c r="V184" s="70">
        <v>838.28700000000003</v>
      </c>
      <c r="W184" s="53">
        <f>V184-U184</f>
        <v>0</v>
      </c>
    </row>
    <row r="185" spans="1:24" s="47" customFormat="1" ht="18" customHeight="1">
      <c r="A185" s="610"/>
      <c r="B185" s="581"/>
      <c r="C185" s="581"/>
      <c r="D185" s="178" t="str">
        <f>серпень!D185</f>
        <v>касові нат.п-ки 2025</v>
      </c>
      <c r="E185" s="11"/>
      <c r="F185" s="83">
        <v>0</v>
      </c>
      <c r="G185" s="151">
        <v>48.2</v>
      </c>
      <c r="H185" s="151">
        <v>60.3</v>
      </c>
      <c r="I185" s="151">
        <v>27.7</v>
      </c>
      <c r="J185" s="151">
        <v>0</v>
      </c>
      <c r="K185" s="83">
        <v>0</v>
      </c>
      <c r="L185" s="65">
        <f>SUM(F185:K185)</f>
        <v>136.19999999999999</v>
      </c>
      <c r="M185" s="65">
        <f>L185/6</f>
        <v>22.7</v>
      </c>
      <c r="N185" s="83">
        <v>0</v>
      </c>
      <c r="O185" s="83">
        <v>0</v>
      </c>
      <c r="P185" s="83">
        <v>0</v>
      </c>
      <c r="Q185" s="83">
        <v>0</v>
      </c>
      <c r="R185" s="83">
        <v>0</v>
      </c>
      <c r="S185" s="348">
        <f>R180+S180</f>
        <v>130.292</v>
      </c>
      <c r="T185" s="125">
        <f>SUM(N185:S185)</f>
        <v>130.292</v>
      </c>
      <c r="U185" s="125">
        <f>T185+L185</f>
        <v>266.49200000000002</v>
      </c>
      <c r="V185" s="349">
        <f>V180</f>
        <v>275.69200000000001</v>
      </c>
      <c r="W185" s="505">
        <f>V185-U185</f>
        <v>9.1999999999999993</v>
      </c>
      <c r="X185" s="47">
        <f>U180-U185</f>
        <v>0</v>
      </c>
    </row>
    <row r="186" spans="1:24" s="47" customFormat="1" ht="18" customHeight="1">
      <c r="A186" s="610"/>
      <c r="B186" s="581"/>
      <c r="C186" s="581"/>
      <c r="D186" s="187" t="str">
        <f>серпень!D186</f>
        <v>тариф, грн.</v>
      </c>
      <c r="E186" s="49" t="e">
        <f>E187/E185*1000</f>
        <v>#DIV/0!</v>
      </c>
      <c r="F186" s="49" t="e">
        <f t="shared" ref="F186:J186" si="195">F187/F185*1000</f>
        <v>#DIV/0!</v>
      </c>
      <c r="G186" s="49">
        <f t="shared" si="195"/>
        <v>3043.154</v>
      </c>
      <c r="H186" s="49">
        <f t="shared" si="195"/>
        <v>3201.6419999999998</v>
      </c>
      <c r="I186" s="49">
        <f t="shared" si="195"/>
        <v>3203.7910000000002</v>
      </c>
      <c r="J186" s="49" t="e">
        <f t="shared" si="195"/>
        <v>#DIV/0!</v>
      </c>
      <c r="K186" s="49">
        <v>3201.3119999999999</v>
      </c>
      <c r="L186" s="409">
        <f>L187/L185*1000</f>
        <v>3145.99</v>
      </c>
      <c r="M186" s="409">
        <f>M187/M185*1000</f>
        <v>3145.99</v>
      </c>
      <c r="N186" s="409">
        <v>3201.3119999999999</v>
      </c>
      <c r="O186" s="409">
        <v>3201.3119999999999</v>
      </c>
      <c r="P186" s="409">
        <v>3201.3119999999999</v>
      </c>
      <c r="Q186" s="409">
        <v>3201.3119999999999</v>
      </c>
      <c r="R186" s="409">
        <v>3201.3119999999999</v>
      </c>
      <c r="S186" s="409">
        <v>3201.3119999999999</v>
      </c>
      <c r="T186" s="49">
        <f>T187/T185*1000</f>
        <v>3201.3020000000001</v>
      </c>
      <c r="U186" s="49">
        <f>U187/U185*1000</f>
        <v>3173.0329999999999</v>
      </c>
      <c r="V186" s="68">
        <f>V187/V185*1000</f>
        <v>3040.665</v>
      </c>
      <c r="W186" s="14">
        <f>W187/W185*1000</f>
        <v>-793.58699999999999</v>
      </c>
    </row>
    <row r="187" spans="1:24" s="63" customFormat="1" ht="18" customHeight="1">
      <c r="A187" s="610"/>
      <c r="B187" s="581"/>
      <c r="C187" s="581"/>
      <c r="D187" s="198" t="str">
        <f>серпень!D187</f>
        <v>касові видатки, тис.грн.</v>
      </c>
      <c r="E187" s="71"/>
      <c r="F187" s="61">
        <v>0</v>
      </c>
      <c r="G187" s="61">
        <v>146.68</v>
      </c>
      <c r="H187" s="61">
        <v>193.059</v>
      </c>
      <c r="I187" s="61">
        <v>88.745000000000005</v>
      </c>
      <c r="J187" s="61">
        <v>0</v>
      </c>
      <c r="K187" s="61">
        <v>0</v>
      </c>
      <c r="L187" s="61">
        <f>SUM(F187:K187)</f>
        <v>428.48399999999998</v>
      </c>
      <c r="M187" s="61">
        <f>L187/6</f>
        <v>71.414000000000001</v>
      </c>
      <c r="N187" s="61">
        <f>N185*N186/1000</f>
        <v>0</v>
      </c>
      <c r="O187" s="61">
        <f t="shared" ref="O187:R187" si="196">O185*O186/1000</f>
        <v>0</v>
      </c>
      <c r="P187" s="61">
        <f t="shared" si="196"/>
        <v>0</v>
      </c>
      <c r="Q187" s="61">
        <f t="shared" si="196"/>
        <v>0</v>
      </c>
      <c r="R187" s="61">
        <f t="shared" si="196"/>
        <v>0</v>
      </c>
      <c r="S187" s="61">
        <f>S185*S186/1000-0.001</f>
        <v>417.10399999999998</v>
      </c>
      <c r="T187" s="61">
        <f>SUM(N187:S187)</f>
        <v>417.10399999999998</v>
      </c>
      <c r="U187" s="61">
        <f>T187+L187</f>
        <v>845.58799999999997</v>
      </c>
      <c r="V187" s="61">
        <f>V182</f>
        <v>838.28700000000003</v>
      </c>
      <c r="W187" s="72">
        <f>V187-U187</f>
        <v>-7.3010000000000002</v>
      </c>
      <c r="X187" s="63">
        <f>U182-U187</f>
        <v>0</v>
      </c>
    </row>
    <row r="188" spans="1:24" s="63" customFormat="1" ht="18" customHeight="1">
      <c r="A188" s="610"/>
      <c r="B188" s="581"/>
      <c r="C188" s="581"/>
      <c r="D188" s="201" t="str">
        <f>серпень!D188</f>
        <v>дотація</v>
      </c>
      <c r="E188" s="71"/>
      <c r="F188" s="61"/>
      <c r="G188" s="61"/>
      <c r="H188" s="61"/>
      <c r="I188" s="61"/>
      <c r="J188" s="61"/>
      <c r="K188" s="61"/>
      <c r="L188" s="61">
        <f>SUM(F188:K188)</f>
        <v>0</v>
      </c>
      <c r="M188" s="61">
        <f>L188/6</f>
        <v>0</v>
      </c>
      <c r="N188" s="61"/>
      <c r="O188" s="61"/>
      <c r="P188" s="61"/>
      <c r="Q188" s="61"/>
      <c r="R188" s="61"/>
      <c r="S188" s="61"/>
      <c r="T188" s="61">
        <f>SUM(N188:S188)</f>
        <v>0</v>
      </c>
      <c r="U188" s="61">
        <f>T188+L188</f>
        <v>0</v>
      </c>
      <c r="V188" s="61">
        <f>V183</f>
        <v>0</v>
      </c>
      <c r="W188" s="72">
        <f>V188-U188</f>
        <v>0</v>
      </c>
      <c r="X188" s="63">
        <f>U183-U188</f>
        <v>0</v>
      </c>
    </row>
    <row r="189" spans="1:24" s="63" customFormat="1" ht="18" customHeight="1">
      <c r="A189" s="610"/>
      <c r="B189" s="581"/>
      <c r="C189" s="581"/>
      <c r="D189" s="201" t="str">
        <f>серпень!D189</f>
        <v xml:space="preserve">місцевий </v>
      </c>
      <c r="E189" s="71"/>
      <c r="F189" s="61">
        <f t="shared" ref="F189:K189" si="197">F187-F188</f>
        <v>0</v>
      </c>
      <c r="G189" s="61">
        <f t="shared" si="197"/>
        <v>146.68</v>
      </c>
      <c r="H189" s="61">
        <f t="shared" si="197"/>
        <v>193.059</v>
      </c>
      <c r="I189" s="61">
        <f t="shared" si="197"/>
        <v>88.745000000000005</v>
      </c>
      <c r="J189" s="61">
        <f t="shared" si="197"/>
        <v>0</v>
      </c>
      <c r="K189" s="61">
        <f t="shared" si="197"/>
        <v>0</v>
      </c>
      <c r="L189" s="61">
        <f>SUM(F189:K189)</f>
        <v>428.48399999999998</v>
      </c>
      <c r="M189" s="61">
        <f>L189/6</f>
        <v>71.414000000000001</v>
      </c>
      <c r="N189" s="61">
        <f t="shared" ref="N189:S189" si="198">N187-N188</f>
        <v>0</v>
      </c>
      <c r="O189" s="61">
        <f t="shared" si="198"/>
        <v>0</v>
      </c>
      <c r="P189" s="61">
        <f t="shared" si="198"/>
        <v>0</v>
      </c>
      <c r="Q189" s="61">
        <f t="shared" si="198"/>
        <v>0</v>
      </c>
      <c r="R189" s="61">
        <f t="shared" si="198"/>
        <v>0</v>
      </c>
      <c r="S189" s="61">
        <f t="shared" si="198"/>
        <v>417.10399999999998</v>
      </c>
      <c r="T189" s="61">
        <f>SUM(N189:S189)</f>
        <v>417.10399999999998</v>
      </c>
      <c r="U189" s="61">
        <f>T189+L189</f>
        <v>845.58799999999997</v>
      </c>
      <c r="V189" s="61">
        <f>V184</f>
        <v>838.28700000000003</v>
      </c>
      <c r="W189" s="72">
        <f>V189-U189</f>
        <v>-7.3010000000000002</v>
      </c>
      <c r="X189" s="63">
        <f>U184-U189</f>
        <v>-7.3010000000000002</v>
      </c>
    </row>
    <row r="190" spans="1:24" s="43" customFormat="1" ht="18" customHeight="1">
      <c r="A190" s="610"/>
      <c r="B190" s="581"/>
      <c r="C190" s="581"/>
      <c r="D190" s="202" t="str">
        <f>серпень!D190</f>
        <v>план</v>
      </c>
      <c r="E190" s="42"/>
      <c r="F190" s="42">
        <f t="shared" ref="F190:K190" si="199">F184</f>
        <v>0</v>
      </c>
      <c r="G190" s="42">
        <f t="shared" si="199"/>
        <v>122.907</v>
      </c>
      <c r="H190" s="42">
        <f t="shared" si="199"/>
        <v>193.84</v>
      </c>
      <c r="I190" s="42">
        <f t="shared" si="199"/>
        <v>72.823999999999998</v>
      </c>
      <c r="J190" s="42">
        <f t="shared" si="199"/>
        <v>0</v>
      </c>
      <c r="K190" s="42">
        <f t="shared" si="199"/>
        <v>0</v>
      </c>
      <c r="L190" s="42">
        <f>SUM(F190:K190)</f>
        <v>389.57100000000003</v>
      </c>
      <c r="M190" s="42">
        <f>L190/6</f>
        <v>64.929000000000002</v>
      </c>
      <c r="N190" s="42">
        <f t="shared" ref="N190:S190" si="200">N184+N183</f>
        <v>0</v>
      </c>
      <c r="O190" s="42">
        <f t="shared" si="200"/>
        <v>0</v>
      </c>
      <c r="P190" s="42">
        <f t="shared" si="200"/>
        <v>0</v>
      </c>
      <c r="Q190" s="42">
        <f t="shared" si="200"/>
        <v>0</v>
      </c>
      <c r="R190" s="42">
        <f t="shared" si="200"/>
        <v>0</v>
      </c>
      <c r="S190" s="42">
        <f t="shared" si="200"/>
        <v>448.71600000000001</v>
      </c>
      <c r="T190" s="42">
        <f>SUM(N190:S190)</f>
        <v>448.71600000000001</v>
      </c>
      <c r="U190" s="42">
        <f>T190+L190</f>
        <v>838.28700000000003</v>
      </c>
      <c r="V190" s="42">
        <f>V187</f>
        <v>838.28700000000003</v>
      </c>
      <c r="W190" s="42">
        <f>V190-U190</f>
        <v>0</v>
      </c>
    </row>
    <row r="191" spans="1:24" s="43" customFormat="1" ht="18" customHeight="1">
      <c r="A191" s="610"/>
      <c r="B191" s="581"/>
      <c r="C191" s="581"/>
      <c r="D191" s="202" t="str">
        <f>серпень!D191</f>
        <v xml:space="preserve">відхилення </v>
      </c>
      <c r="E191" s="42"/>
      <c r="F191" s="42">
        <f t="shared" ref="F191:K191" si="201">F187-F190</f>
        <v>0</v>
      </c>
      <c r="G191" s="42">
        <f t="shared" si="201"/>
        <v>23.773</v>
      </c>
      <c r="H191" s="42">
        <f t="shared" si="201"/>
        <v>-0.78100000000000003</v>
      </c>
      <c r="I191" s="42">
        <f t="shared" si="201"/>
        <v>15.920999999999999</v>
      </c>
      <c r="J191" s="42">
        <f t="shared" si="201"/>
        <v>0</v>
      </c>
      <c r="K191" s="42">
        <f t="shared" si="201"/>
        <v>0</v>
      </c>
      <c r="L191" s="42"/>
      <c r="M191" s="42"/>
      <c r="N191" s="42">
        <f t="shared" ref="N191:S191" si="202">N187-N190</f>
        <v>0</v>
      </c>
      <c r="O191" s="42">
        <f t="shared" si="202"/>
        <v>0</v>
      </c>
      <c r="P191" s="42">
        <f t="shared" si="202"/>
        <v>0</v>
      </c>
      <c r="Q191" s="42">
        <f t="shared" si="202"/>
        <v>0</v>
      </c>
      <c r="R191" s="42">
        <f t="shared" si="202"/>
        <v>0</v>
      </c>
      <c r="S191" s="42">
        <f t="shared" si="202"/>
        <v>-31.611999999999998</v>
      </c>
      <c r="T191" s="42"/>
      <c r="U191" s="42"/>
      <c r="V191" s="42"/>
      <c r="W191" s="42"/>
    </row>
    <row r="192" spans="1:24" s="43" customFormat="1" ht="18" customHeight="1">
      <c r="A192" s="610"/>
      <c r="B192" s="581"/>
      <c r="C192" s="581"/>
      <c r="D192" s="202" t="str">
        <f>серпень!D192</f>
        <v>відхилення з наростаючим</v>
      </c>
      <c r="E192" s="42"/>
      <c r="F192" s="42">
        <f>F191</f>
        <v>0</v>
      </c>
      <c r="G192" s="42">
        <f>G191+F192</f>
        <v>23.773</v>
      </c>
      <c r="H192" s="42">
        <f>H191+G192</f>
        <v>22.992000000000001</v>
      </c>
      <c r="I192" s="42">
        <f>I191+H192</f>
        <v>38.912999999999997</v>
      </c>
      <c r="J192" s="42">
        <f>J191+I192</f>
        <v>38.912999999999997</v>
      </c>
      <c r="K192" s="42">
        <f>K191+J192</f>
        <v>38.912999999999997</v>
      </c>
      <c r="L192" s="42"/>
      <c r="M192" s="42"/>
      <c r="N192" s="42">
        <f>N191+K192</f>
        <v>38.912999999999997</v>
      </c>
      <c r="O192" s="42">
        <f>O191+N192</f>
        <v>38.912999999999997</v>
      </c>
      <c r="P192" s="42">
        <f>P191+O192</f>
        <v>38.912999999999997</v>
      </c>
      <c r="Q192" s="42">
        <f>Q191+P192</f>
        <v>38.912999999999997</v>
      </c>
      <c r="R192" s="42">
        <f>R191+Q192</f>
        <v>38.912999999999997</v>
      </c>
      <c r="S192" s="42">
        <f>S191+R192</f>
        <v>7.3010000000000002</v>
      </c>
      <c r="T192" s="42"/>
      <c r="U192" s="42"/>
      <c r="V192" s="42"/>
      <c r="W192" s="42"/>
    </row>
    <row r="193" spans="1:24" s="48" customFormat="1" ht="18" customHeight="1">
      <c r="A193" s="610"/>
      <c r="B193" s="576" t="s">
        <v>69</v>
      </c>
      <c r="C193" s="577"/>
      <c r="D193" s="178" t="str">
        <f>серпень!D193</f>
        <v>факт. нат.п-ки 2023</v>
      </c>
      <c r="E193" s="11"/>
      <c r="F193" s="12">
        <v>23.6</v>
      </c>
      <c r="G193" s="12">
        <v>25.2</v>
      </c>
      <c r="H193" s="12">
        <v>12.1</v>
      </c>
      <c r="I193" s="12">
        <v>0</v>
      </c>
      <c r="J193" s="12">
        <v>0</v>
      </c>
      <c r="K193" s="12">
        <v>0</v>
      </c>
      <c r="L193" s="65">
        <f>SUM(F193:K193)</f>
        <v>60.9</v>
      </c>
      <c r="M193" s="65">
        <f>L193/6</f>
        <v>10.199999999999999</v>
      </c>
      <c r="N193" s="11">
        <v>0</v>
      </c>
      <c r="O193" s="11">
        <v>0</v>
      </c>
      <c r="P193" s="11">
        <v>0</v>
      </c>
      <c r="Q193" s="11">
        <v>0</v>
      </c>
      <c r="R193" s="11">
        <v>11.7</v>
      </c>
      <c r="S193" s="11">
        <v>38.799999999999997</v>
      </c>
      <c r="T193" s="65">
        <f>SUM(N193:S193)</f>
        <v>50.5</v>
      </c>
      <c r="U193" s="66">
        <f>T193+L193</f>
        <v>111.4</v>
      </c>
      <c r="V193" s="46"/>
      <c r="W193" s="38"/>
      <c r="X193" s="47"/>
    </row>
    <row r="194" spans="1:24" s="48" customFormat="1" ht="18" customHeight="1">
      <c r="A194" s="610"/>
      <c r="B194" s="576"/>
      <c r="C194" s="577"/>
      <c r="D194" s="178" t="str">
        <f>серпень!D194</f>
        <v>факт. нат.п-ки 2024</v>
      </c>
      <c r="E194" s="11"/>
      <c r="F194" s="12">
        <v>35.384999999999998</v>
      </c>
      <c r="G194" s="12">
        <v>22.2</v>
      </c>
      <c r="H194" s="12">
        <v>15.5</v>
      </c>
      <c r="I194" s="12">
        <v>0</v>
      </c>
      <c r="J194" s="12">
        <v>0</v>
      </c>
      <c r="K194" s="12">
        <v>0</v>
      </c>
      <c r="L194" s="65">
        <f>SUM(F194:K194)</f>
        <v>73.099999999999994</v>
      </c>
      <c r="M194" s="65">
        <f>L194/6</f>
        <v>12.2</v>
      </c>
      <c r="N194" s="11">
        <v>0</v>
      </c>
      <c r="O194" s="11">
        <v>0</v>
      </c>
      <c r="P194" s="11">
        <v>0</v>
      </c>
      <c r="Q194" s="11">
        <v>0</v>
      </c>
      <c r="R194" s="11">
        <v>29.6</v>
      </c>
      <c r="S194" s="11">
        <v>38.799999999999997</v>
      </c>
      <c r="T194" s="65">
        <f>SUM(N194:S194)</f>
        <v>68.400000000000006</v>
      </c>
      <c r="U194" s="66">
        <f>T194+L194</f>
        <v>141.5</v>
      </c>
      <c r="V194" s="46">
        <v>129.30000000000001</v>
      </c>
      <c r="W194" s="38"/>
      <c r="X194" s="47"/>
    </row>
    <row r="195" spans="1:24" s="48" customFormat="1" ht="18" customHeight="1">
      <c r="A195" s="610"/>
      <c r="B195" s="576"/>
      <c r="C195" s="577"/>
      <c r="D195" s="178" t="str">
        <f>серпень!D195</f>
        <v>факт. нат.п-ки 2025</v>
      </c>
      <c r="E195" s="11"/>
      <c r="F195" s="12">
        <v>29.1</v>
      </c>
      <c r="G195" s="12">
        <v>29.1</v>
      </c>
      <c r="H195" s="12">
        <v>12.74</v>
      </c>
      <c r="I195" s="12">
        <v>0</v>
      </c>
      <c r="J195" s="12">
        <v>0</v>
      </c>
      <c r="K195" s="12">
        <v>0</v>
      </c>
      <c r="L195" s="65">
        <f>SUM(F195:K195)</f>
        <v>70.900000000000006</v>
      </c>
      <c r="M195" s="65">
        <f>L195/6</f>
        <v>11.8</v>
      </c>
      <c r="N195" s="11">
        <v>0</v>
      </c>
      <c r="O195" s="11">
        <v>0</v>
      </c>
      <c r="P195" s="11">
        <v>0</v>
      </c>
      <c r="Q195" s="11">
        <v>0</v>
      </c>
      <c r="R195" s="11">
        <v>31.8</v>
      </c>
      <c r="S195" s="349">
        <v>102.40300000000001</v>
      </c>
      <c r="T195" s="125">
        <f>SUM(N195:S195)</f>
        <v>134.203</v>
      </c>
      <c r="U195" s="467">
        <f>T195+L195</f>
        <v>205.10300000000001</v>
      </c>
      <c r="V195" s="349">
        <v>210.303</v>
      </c>
      <c r="W195" s="505">
        <f>V195-U195</f>
        <v>5.2</v>
      </c>
      <c r="X195" s="47"/>
    </row>
    <row r="196" spans="1:24" s="51" customFormat="1" ht="18" customHeight="1">
      <c r="A196" s="610"/>
      <c r="B196" s="576"/>
      <c r="C196" s="577"/>
      <c r="D196" s="187" t="str">
        <f>серпень!D196</f>
        <v>тариф, грн.</v>
      </c>
      <c r="E196" s="49" t="e">
        <f>E197/E195*1000</f>
        <v>#DIV/0!</v>
      </c>
      <c r="F196" s="49">
        <f t="shared" ref="F196:H196" si="203">F197/F195*1000</f>
        <v>1441.134</v>
      </c>
      <c r="G196" s="49">
        <f t="shared" si="203"/>
        <v>1443.54</v>
      </c>
      <c r="H196" s="49">
        <f t="shared" si="203"/>
        <v>1441.68</v>
      </c>
      <c r="I196" s="49" t="e">
        <f t="shared" ref="I196" si="204">I197/I195*1000</f>
        <v>#DIV/0!</v>
      </c>
      <c r="J196" s="49" t="e">
        <f t="shared" ref="J196" si="205">J197/J195*1000</f>
        <v>#DIV/0!</v>
      </c>
      <c r="K196" s="49" t="e">
        <f t="shared" ref="K196" si="206">K197/K195*1000</f>
        <v>#DIV/0!</v>
      </c>
      <c r="L196" s="409">
        <f>L197/L195*1000</f>
        <v>1443.03</v>
      </c>
      <c r="M196" s="409">
        <f>M197/M195*1000</f>
        <v>1445.08</v>
      </c>
      <c r="N196" s="49">
        <v>2017.6559999999999</v>
      </c>
      <c r="O196" s="49">
        <v>2017.6559999999999</v>
      </c>
      <c r="P196" s="49">
        <v>2017.6559999999999</v>
      </c>
      <c r="Q196" s="49">
        <v>2017.6559999999999</v>
      </c>
      <c r="R196" s="49">
        <v>2017.6559999999999</v>
      </c>
      <c r="S196" s="49">
        <v>2017.6559999999999</v>
      </c>
      <c r="T196" s="49">
        <f>T197/T195*1000</f>
        <v>2017.8610000000001</v>
      </c>
      <c r="U196" s="49">
        <f>U197/U195*1000</f>
        <v>1819.154</v>
      </c>
      <c r="V196" s="68">
        <f>V197/V195*1000</f>
        <v>1857.011</v>
      </c>
      <c r="W196" s="14">
        <f>W197/W195*1000</f>
        <v>3350.192</v>
      </c>
      <c r="X196" s="59"/>
    </row>
    <row r="197" spans="1:24" s="55" customFormat="1" ht="18" customHeight="1">
      <c r="A197" s="610"/>
      <c r="B197" s="576"/>
      <c r="C197" s="577"/>
      <c r="D197" s="191" t="str">
        <f>серпень!D197</f>
        <v>сума, тис.грн.</v>
      </c>
      <c r="E197" s="52"/>
      <c r="F197" s="52">
        <v>41.936999999999998</v>
      </c>
      <c r="G197" s="52">
        <v>42.006999999999998</v>
      </c>
      <c r="H197" s="52">
        <v>18.367000000000001</v>
      </c>
      <c r="I197" s="52">
        <v>0</v>
      </c>
      <c r="J197" s="52">
        <v>0</v>
      </c>
      <c r="K197" s="52">
        <v>0</v>
      </c>
      <c r="L197" s="69">
        <f>SUM(F197:K197)</f>
        <v>102.31100000000001</v>
      </c>
      <c r="M197" s="69">
        <f>L197/6</f>
        <v>17.052</v>
      </c>
      <c r="N197" s="52">
        <f>N195*N196/1000</f>
        <v>0</v>
      </c>
      <c r="O197" s="52">
        <f t="shared" ref="O197" si="207">O195*O196/1000</f>
        <v>0</v>
      </c>
      <c r="P197" s="52">
        <f t="shared" ref="P197" si="208">P195*P196/1000</f>
        <v>0</v>
      </c>
      <c r="Q197" s="52">
        <f t="shared" ref="Q197" si="209">Q195*Q196/1000</f>
        <v>0</v>
      </c>
      <c r="R197" s="52">
        <f t="shared" ref="R197" si="210">R195*R196/1000</f>
        <v>64.161000000000001</v>
      </c>
      <c r="S197" s="52">
        <f>S195*S196/1000+0.028</f>
        <v>206.642</v>
      </c>
      <c r="T197" s="69">
        <f>SUM(N197:S197)</f>
        <v>270.803</v>
      </c>
      <c r="U197" s="69">
        <f>T197+L197</f>
        <v>373.11399999999998</v>
      </c>
      <c r="V197" s="70">
        <f>V198+V199</f>
        <v>390.53500000000003</v>
      </c>
      <c r="W197" s="53">
        <f>V197-U197</f>
        <v>17.420999999999999</v>
      </c>
      <c r="X197" s="54">
        <f>2726951.723/1000</f>
        <v>2726.9520000000002</v>
      </c>
    </row>
    <row r="198" spans="1:24" s="55" customFormat="1" ht="18" customHeight="1">
      <c r="A198" s="610"/>
      <c r="B198" s="576"/>
      <c r="C198" s="577"/>
      <c r="D198" s="174" t="str">
        <f>серпень!D198</f>
        <v>дотація</v>
      </c>
      <c r="E198" s="56"/>
      <c r="F198" s="52"/>
      <c r="G198" s="52"/>
      <c r="H198" s="52"/>
      <c r="I198" s="52"/>
      <c r="J198" s="52"/>
      <c r="K198" s="52"/>
      <c r="L198" s="69">
        <f>SUM(F198:K198)</f>
        <v>0</v>
      </c>
      <c r="M198" s="69">
        <f>L198/6</f>
        <v>0</v>
      </c>
      <c r="N198" s="52"/>
      <c r="O198" s="52"/>
      <c r="P198" s="52"/>
      <c r="Q198" s="52"/>
      <c r="R198" s="52"/>
      <c r="S198" s="52"/>
      <c r="T198" s="69">
        <f>SUM(N198:S198)</f>
        <v>0</v>
      </c>
      <c r="U198" s="69">
        <f>T198+L198</f>
        <v>0</v>
      </c>
      <c r="V198" s="70">
        <v>0</v>
      </c>
      <c r="W198" s="53">
        <f>V198-U198</f>
        <v>0</v>
      </c>
      <c r="X198" s="58"/>
    </row>
    <row r="199" spans="1:24" s="55" customFormat="1" ht="18" customHeight="1">
      <c r="A199" s="610"/>
      <c r="B199" s="576"/>
      <c r="C199" s="577"/>
      <c r="D199" s="174" t="str">
        <f>серпень!D199</f>
        <v>місцевий (план), тис.грн</v>
      </c>
      <c r="E199" s="56"/>
      <c r="F199" s="52">
        <f>9.637-9.637</f>
        <v>0</v>
      </c>
      <c r="G199" s="52">
        <v>65.709999999999994</v>
      </c>
      <c r="H199" s="52">
        <v>41.225999999999999</v>
      </c>
      <c r="I199" s="52">
        <v>34.354999999999997</v>
      </c>
      <c r="J199" s="52">
        <v>0</v>
      </c>
      <c r="K199" s="52">
        <v>0</v>
      </c>
      <c r="L199" s="69">
        <f>SUM(F199:K199)</f>
        <v>141.291</v>
      </c>
      <c r="M199" s="69">
        <f>L199/6</f>
        <v>23.548999999999999</v>
      </c>
      <c r="N199" s="52">
        <v>0</v>
      </c>
      <c r="O199" s="52">
        <v>0</v>
      </c>
      <c r="P199" s="52">
        <v>0</v>
      </c>
      <c r="Q199" s="52">
        <v>0</v>
      </c>
      <c r="R199" s="52">
        <v>0</v>
      </c>
      <c r="S199" s="52">
        <v>249.244</v>
      </c>
      <c r="T199" s="69">
        <f>SUM(N199:S199)</f>
        <v>249.244</v>
      </c>
      <c r="U199" s="69">
        <f>T199+L199</f>
        <v>390.53500000000003</v>
      </c>
      <c r="V199" s="70">
        <v>390.53500000000003</v>
      </c>
      <c r="W199" s="53">
        <f>V199-U199</f>
        <v>0</v>
      </c>
      <c r="X199" s="58"/>
    </row>
    <row r="200" spans="1:24" s="48" customFormat="1" ht="18" customHeight="1">
      <c r="A200" s="610"/>
      <c r="B200" s="576"/>
      <c r="C200" s="577"/>
      <c r="D200" s="178" t="str">
        <f>серпень!D200</f>
        <v>касові нат.п-ки 2025</v>
      </c>
      <c r="E200" s="11"/>
      <c r="F200" s="83">
        <v>0</v>
      </c>
      <c r="G200" s="151">
        <v>29.1</v>
      </c>
      <c r="H200" s="12">
        <v>29.1</v>
      </c>
      <c r="I200" s="151">
        <v>12.74</v>
      </c>
      <c r="J200" s="12"/>
      <c r="K200" s="11"/>
      <c r="L200" s="65">
        <f>SUM(F200:K200)</f>
        <v>70.900000000000006</v>
      </c>
      <c r="M200" s="65">
        <f>L200/6</f>
        <v>11.8</v>
      </c>
      <c r="N200" s="11"/>
      <c r="O200" s="11"/>
      <c r="P200" s="11"/>
      <c r="Q200" s="11"/>
      <c r="R200" s="11"/>
      <c r="S200" s="349">
        <f>S195+R195</f>
        <v>134.203</v>
      </c>
      <c r="T200" s="125">
        <f>SUM(N200:S200)</f>
        <v>134.203</v>
      </c>
      <c r="U200" s="125">
        <f>T200+L200</f>
        <v>205.10300000000001</v>
      </c>
      <c r="V200" s="349">
        <f>V195</f>
        <v>210.303</v>
      </c>
      <c r="W200" s="505">
        <f>V200-U200</f>
        <v>5.2</v>
      </c>
      <c r="X200" s="47">
        <f>U195-U200</f>
        <v>0</v>
      </c>
    </row>
    <row r="201" spans="1:24" s="51" customFormat="1" ht="18" customHeight="1">
      <c r="A201" s="610"/>
      <c r="B201" s="576"/>
      <c r="C201" s="577"/>
      <c r="D201" s="187" t="str">
        <f>серпень!D201</f>
        <v>тариф, грн.</v>
      </c>
      <c r="E201" s="49" t="e">
        <f t="shared" ref="E201:K201" si="211">E202/E200*1000</f>
        <v>#DIV/0!</v>
      </c>
      <c r="F201" s="49" t="e">
        <f t="shared" si="211"/>
        <v>#DIV/0!</v>
      </c>
      <c r="G201" s="49">
        <f t="shared" si="211"/>
        <v>1441.134</v>
      </c>
      <c r="H201" s="49">
        <f t="shared" si="211"/>
        <v>1443.54</v>
      </c>
      <c r="I201" s="49">
        <f t="shared" si="211"/>
        <v>1441.68</v>
      </c>
      <c r="J201" s="49" t="e">
        <f t="shared" si="211"/>
        <v>#DIV/0!</v>
      </c>
      <c r="K201" s="49" t="e">
        <f t="shared" si="211"/>
        <v>#DIV/0!</v>
      </c>
      <c r="L201" s="409">
        <f>L202/L200*1000</f>
        <v>1443.03</v>
      </c>
      <c r="M201" s="409">
        <f>M202/M200*1000</f>
        <v>1445.08</v>
      </c>
      <c r="N201" s="49">
        <v>2017.6559999999999</v>
      </c>
      <c r="O201" s="49">
        <v>2017.6559999999999</v>
      </c>
      <c r="P201" s="49">
        <v>2017.6559999999999</v>
      </c>
      <c r="Q201" s="49">
        <v>2017.6559999999999</v>
      </c>
      <c r="R201" s="49">
        <v>2017.6559999999999</v>
      </c>
      <c r="S201" s="49">
        <v>2017.6559999999999</v>
      </c>
      <c r="T201" s="49">
        <f>T202/T200*1000</f>
        <v>2017.8610000000001</v>
      </c>
      <c r="U201" s="49">
        <f>U202/U200*1000</f>
        <v>1819.154</v>
      </c>
      <c r="V201" s="68">
        <f>V202/V200*1000</f>
        <v>1857.011</v>
      </c>
      <c r="W201" s="14">
        <f>W202/W200*1000</f>
        <v>3350.192</v>
      </c>
      <c r="X201" s="59"/>
    </row>
    <row r="202" spans="1:24" s="63" customFormat="1" ht="18" customHeight="1">
      <c r="A202" s="610"/>
      <c r="B202" s="576"/>
      <c r="C202" s="577"/>
      <c r="D202" s="198" t="str">
        <f>серпень!D202</f>
        <v>касові видатки, тис.грн.</v>
      </c>
      <c r="E202" s="71"/>
      <c r="F202" s="61">
        <v>0</v>
      </c>
      <c r="G202" s="61">
        <v>41.936999999999998</v>
      </c>
      <c r="H202" s="61">
        <v>42.006999999999998</v>
      </c>
      <c r="I202" s="61">
        <v>18.367000000000001</v>
      </c>
      <c r="J202" s="61">
        <v>0</v>
      </c>
      <c r="K202" s="61">
        <v>0</v>
      </c>
      <c r="L202" s="61">
        <f>SUM(F202:K202)</f>
        <v>102.31100000000001</v>
      </c>
      <c r="M202" s="61">
        <f>L202/6</f>
        <v>17.052</v>
      </c>
      <c r="N202" s="61">
        <f>N200*N201/1000</f>
        <v>0</v>
      </c>
      <c r="O202" s="61">
        <f t="shared" ref="O202" si="212">O200*O201/1000</f>
        <v>0</v>
      </c>
      <c r="P202" s="61">
        <f t="shared" ref="P202" si="213">P200*P201/1000</f>
        <v>0</v>
      </c>
      <c r="Q202" s="61">
        <f t="shared" ref="Q202" si="214">Q200*Q201/1000</f>
        <v>0</v>
      </c>
      <c r="R202" s="61">
        <f t="shared" ref="R202" si="215">R200*R201/1000</f>
        <v>0</v>
      </c>
      <c r="S202" s="61">
        <f>S200*S201/1000+0.028</f>
        <v>270.803</v>
      </c>
      <c r="T202" s="61">
        <f>SUM(N202:S202)</f>
        <v>270.803</v>
      </c>
      <c r="U202" s="61">
        <f>T202+L202</f>
        <v>373.11399999999998</v>
      </c>
      <c r="V202" s="61">
        <f>V197</f>
        <v>390.53500000000003</v>
      </c>
      <c r="W202" s="72">
        <f>V202-U202</f>
        <v>17.420999999999999</v>
      </c>
      <c r="X202" s="63">
        <f>U197-U202</f>
        <v>0</v>
      </c>
    </row>
    <row r="203" spans="1:24" s="63" customFormat="1" ht="18" customHeight="1">
      <c r="A203" s="610"/>
      <c r="B203" s="576"/>
      <c r="C203" s="577"/>
      <c r="D203" s="201" t="str">
        <f>серпень!D203</f>
        <v>дотація</v>
      </c>
      <c r="E203" s="71"/>
      <c r="F203" s="61"/>
      <c r="G203" s="61"/>
      <c r="H203" s="61"/>
      <c r="I203" s="61"/>
      <c r="J203" s="61"/>
      <c r="K203" s="61"/>
      <c r="L203" s="61">
        <f>SUM(F203:K203)</f>
        <v>0</v>
      </c>
      <c r="M203" s="61">
        <f>L203/6</f>
        <v>0</v>
      </c>
      <c r="N203" s="61"/>
      <c r="O203" s="61"/>
      <c r="P203" s="61"/>
      <c r="Q203" s="61"/>
      <c r="R203" s="61"/>
      <c r="S203" s="61"/>
      <c r="T203" s="61">
        <f>SUM(N203:S203)</f>
        <v>0</v>
      </c>
      <c r="U203" s="61">
        <f>T203+L203</f>
        <v>0</v>
      </c>
      <c r="V203" s="61">
        <f>V198</f>
        <v>0</v>
      </c>
      <c r="W203" s="72">
        <f>V203-U203</f>
        <v>0</v>
      </c>
      <c r="X203" s="63">
        <f>U198-U203</f>
        <v>0</v>
      </c>
    </row>
    <row r="204" spans="1:24" s="63" customFormat="1" ht="18" customHeight="1">
      <c r="A204" s="610"/>
      <c r="B204" s="576"/>
      <c r="C204" s="577"/>
      <c r="D204" s="201" t="str">
        <f>серпень!D204</f>
        <v xml:space="preserve">місцевий </v>
      </c>
      <c r="E204" s="71"/>
      <c r="F204" s="61">
        <f t="shared" ref="F204:K204" si="216">F202-F203</f>
        <v>0</v>
      </c>
      <c r="G204" s="61">
        <f t="shared" si="216"/>
        <v>41.936999999999998</v>
      </c>
      <c r="H204" s="61">
        <f t="shared" si="216"/>
        <v>42.006999999999998</v>
      </c>
      <c r="I204" s="61">
        <f t="shared" si="216"/>
        <v>18.367000000000001</v>
      </c>
      <c r="J204" s="61">
        <f t="shared" si="216"/>
        <v>0</v>
      </c>
      <c r="K204" s="61">
        <f t="shared" si="216"/>
        <v>0</v>
      </c>
      <c r="L204" s="61">
        <f>SUM(F204:K204)</f>
        <v>102.31100000000001</v>
      </c>
      <c r="M204" s="61">
        <f>L204/6</f>
        <v>17.052</v>
      </c>
      <c r="N204" s="61">
        <f t="shared" ref="N204:S204" si="217">N202-N203</f>
        <v>0</v>
      </c>
      <c r="O204" s="61">
        <f t="shared" si="217"/>
        <v>0</v>
      </c>
      <c r="P204" s="61">
        <f t="shared" si="217"/>
        <v>0</v>
      </c>
      <c r="Q204" s="61">
        <f t="shared" si="217"/>
        <v>0</v>
      </c>
      <c r="R204" s="61">
        <f t="shared" si="217"/>
        <v>0</v>
      </c>
      <c r="S204" s="61">
        <f t="shared" si="217"/>
        <v>270.803</v>
      </c>
      <c r="T204" s="61">
        <f>SUM(N204:S204)</f>
        <v>270.803</v>
      </c>
      <c r="U204" s="61">
        <f>T204+L204</f>
        <v>373.11399999999998</v>
      </c>
      <c r="V204" s="61">
        <f>V199</f>
        <v>390.53500000000003</v>
      </c>
      <c r="W204" s="72">
        <f>V204-U204</f>
        <v>17.420999999999999</v>
      </c>
      <c r="X204" s="63">
        <f>U199-U204</f>
        <v>17.420999999999999</v>
      </c>
    </row>
    <row r="205" spans="1:24" s="43" customFormat="1" ht="18" customHeight="1">
      <c r="A205" s="610"/>
      <c r="B205" s="576"/>
      <c r="C205" s="577"/>
      <c r="D205" s="202" t="str">
        <f>серпень!D205</f>
        <v>план</v>
      </c>
      <c r="E205" s="42"/>
      <c r="F205" s="42">
        <f t="shared" ref="F205:K205" si="218">F199</f>
        <v>0</v>
      </c>
      <c r="G205" s="42">
        <f t="shared" si="218"/>
        <v>65.709999999999994</v>
      </c>
      <c r="H205" s="42">
        <f t="shared" si="218"/>
        <v>41.225999999999999</v>
      </c>
      <c r="I205" s="42">
        <f t="shared" si="218"/>
        <v>34.354999999999997</v>
      </c>
      <c r="J205" s="42">
        <f t="shared" si="218"/>
        <v>0</v>
      </c>
      <c r="K205" s="42">
        <f t="shared" si="218"/>
        <v>0</v>
      </c>
      <c r="L205" s="42">
        <f>SUM(F205:K205)</f>
        <v>141.291</v>
      </c>
      <c r="M205" s="42">
        <f>L205/6</f>
        <v>23.548999999999999</v>
      </c>
      <c r="N205" s="42">
        <f t="shared" ref="N205:S205" si="219">N199+N198</f>
        <v>0</v>
      </c>
      <c r="O205" s="42">
        <f t="shared" si="219"/>
        <v>0</v>
      </c>
      <c r="P205" s="42">
        <f t="shared" si="219"/>
        <v>0</v>
      </c>
      <c r="Q205" s="42">
        <f t="shared" si="219"/>
        <v>0</v>
      </c>
      <c r="R205" s="42">
        <f t="shared" si="219"/>
        <v>0</v>
      </c>
      <c r="S205" s="42">
        <f t="shared" si="219"/>
        <v>249.244</v>
      </c>
      <c r="T205" s="42">
        <f>SUM(N205:S205)</f>
        <v>249.244</v>
      </c>
      <c r="U205" s="42">
        <f>T205+L205</f>
        <v>390.53500000000003</v>
      </c>
      <c r="V205" s="42">
        <f>V202</f>
        <v>390.53500000000003</v>
      </c>
      <c r="W205" s="42">
        <f>V205-U205</f>
        <v>0</v>
      </c>
    </row>
    <row r="206" spans="1:24" s="43" customFormat="1" ht="18" customHeight="1">
      <c r="A206" s="610"/>
      <c r="B206" s="576"/>
      <c r="C206" s="577"/>
      <c r="D206" s="202" t="str">
        <f>серпень!D206</f>
        <v xml:space="preserve">відхилення </v>
      </c>
      <c r="E206" s="42"/>
      <c r="F206" s="42">
        <f t="shared" ref="F206:K206" si="220">F202-F205</f>
        <v>0</v>
      </c>
      <c r="G206" s="42">
        <f t="shared" si="220"/>
        <v>-23.773</v>
      </c>
      <c r="H206" s="42">
        <f t="shared" si="220"/>
        <v>0.78100000000000003</v>
      </c>
      <c r="I206" s="42">
        <f t="shared" si="220"/>
        <v>-15.988</v>
      </c>
      <c r="J206" s="42">
        <f t="shared" si="220"/>
        <v>0</v>
      </c>
      <c r="K206" s="42">
        <f t="shared" si="220"/>
        <v>0</v>
      </c>
      <c r="L206" s="42"/>
      <c r="M206" s="42"/>
      <c r="N206" s="42">
        <f t="shared" ref="N206:S206" si="221">N202-N205</f>
        <v>0</v>
      </c>
      <c r="O206" s="42">
        <f t="shared" si="221"/>
        <v>0</v>
      </c>
      <c r="P206" s="42">
        <f t="shared" si="221"/>
        <v>0</v>
      </c>
      <c r="Q206" s="42">
        <f t="shared" si="221"/>
        <v>0</v>
      </c>
      <c r="R206" s="42">
        <f t="shared" si="221"/>
        <v>0</v>
      </c>
      <c r="S206" s="42">
        <f t="shared" si="221"/>
        <v>21.559000000000001</v>
      </c>
      <c r="T206" s="42"/>
      <c r="U206" s="42"/>
      <c r="V206" s="42"/>
      <c r="W206" s="42"/>
    </row>
    <row r="207" spans="1:24" s="43" customFormat="1" ht="18" customHeight="1">
      <c r="A207" s="611"/>
      <c r="B207" s="578"/>
      <c r="C207" s="579"/>
      <c r="D207" s="202" t="str">
        <f>серпень!D207</f>
        <v>відхилення з наростаючим</v>
      </c>
      <c r="E207" s="42"/>
      <c r="F207" s="42">
        <f>F206</f>
        <v>0</v>
      </c>
      <c r="G207" s="42">
        <f>G206+F207</f>
        <v>-23.773</v>
      </c>
      <c r="H207" s="42">
        <f>H206+G207</f>
        <v>-22.992000000000001</v>
      </c>
      <c r="I207" s="42">
        <f>I206+H207</f>
        <v>-38.979999999999997</v>
      </c>
      <c r="J207" s="42">
        <f>J206+I207</f>
        <v>-38.979999999999997</v>
      </c>
      <c r="K207" s="42">
        <f>K206+J207</f>
        <v>-38.979999999999997</v>
      </c>
      <c r="L207" s="42"/>
      <c r="M207" s="42"/>
      <c r="N207" s="42">
        <f>N206+K207</f>
        <v>-38.979999999999997</v>
      </c>
      <c r="O207" s="42">
        <f>O206+N207</f>
        <v>-38.979999999999997</v>
      </c>
      <c r="P207" s="42">
        <f>P206+O207</f>
        <v>-38.979999999999997</v>
      </c>
      <c r="Q207" s="42">
        <f>Q206+P207</f>
        <v>-38.979999999999997</v>
      </c>
      <c r="R207" s="42">
        <f>R206+Q207</f>
        <v>-38.979999999999997</v>
      </c>
      <c r="S207" s="42">
        <f>S206+R207</f>
        <v>-17.420999999999999</v>
      </c>
      <c r="T207" s="42"/>
      <c r="U207" s="42"/>
      <c r="V207" s="42"/>
      <c r="W207" s="42"/>
    </row>
    <row r="208" spans="1:24" s="47" customFormat="1" ht="18" hidden="1" customHeight="1">
      <c r="A208" s="609"/>
      <c r="B208" s="580" t="s">
        <v>92</v>
      </c>
      <c r="C208" s="575"/>
      <c r="D208" s="178" t="str">
        <f>серпень!D208</f>
        <v>факт. нат.п-ки 2023</v>
      </c>
      <c r="E208" s="11"/>
      <c r="F208" s="12">
        <f t="shared" ref="F208:K210" si="222">F223+F238</f>
        <v>0</v>
      </c>
      <c r="G208" s="12">
        <f t="shared" si="222"/>
        <v>0</v>
      </c>
      <c r="H208" s="12">
        <f t="shared" si="222"/>
        <v>0</v>
      </c>
      <c r="I208" s="12">
        <f t="shared" si="222"/>
        <v>0</v>
      </c>
      <c r="J208" s="12">
        <f t="shared" si="222"/>
        <v>0</v>
      </c>
      <c r="K208" s="12">
        <f t="shared" si="222"/>
        <v>0</v>
      </c>
      <c r="L208" s="44">
        <f>SUM(F208:K208)</f>
        <v>0</v>
      </c>
      <c r="M208" s="44">
        <f>L208/6</f>
        <v>0</v>
      </c>
      <c r="N208" s="12">
        <f t="shared" ref="N208:S210" si="223">N223+N238</f>
        <v>0</v>
      </c>
      <c r="O208" s="12">
        <f t="shared" si="223"/>
        <v>0</v>
      </c>
      <c r="P208" s="12">
        <f t="shared" si="223"/>
        <v>0</v>
      </c>
      <c r="Q208" s="12">
        <f t="shared" si="223"/>
        <v>0</v>
      </c>
      <c r="R208" s="12">
        <f t="shared" si="223"/>
        <v>0</v>
      </c>
      <c r="S208" s="12">
        <f t="shared" si="223"/>
        <v>0</v>
      </c>
      <c r="T208" s="44">
        <f>SUM(N208:S208)</f>
        <v>0</v>
      </c>
      <c r="U208" s="45">
        <f>T208+L208</f>
        <v>0</v>
      </c>
      <c r="V208" s="46">
        <f>V223+V238</f>
        <v>0</v>
      </c>
      <c r="W208" s="38">
        <f>V208-U208</f>
        <v>0</v>
      </c>
    </row>
    <row r="209" spans="1:24" s="47" customFormat="1" ht="18" hidden="1" customHeight="1">
      <c r="A209" s="610"/>
      <c r="B209" s="576"/>
      <c r="C209" s="577"/>
      <c r="D209" s="178" t="str">
        <f>серпень!D209</f>
        <v>факт. нат.п-ки 2024</v>
      </c>
      <c r="E209" s="11"/>
      <c r="F209" s="12">
        <f t="shared" si="222"/>
        <v>0</v>
      </c>
      <c r="G209" s="12">
        <f t="shared" si="222"/>
        <v>0</v>
      </c>
      <c r="H209" s="12">
        <f t="shared" si="222"/>
        <v>0</v>
      </c>
      <c r="I209" s="12">
        <f t="shared" si="222"/>
        <v>0</v>
      </c>
      <c r="J209" s="12">
        <f>J224+J239</f>
        <v>0</v>
      </c>
      <c r="K209" s="12">
        <f t="shared" si="222"/>
        <v>0</v>
      </c>
      <c r="L209" s="44">
        <f>SUM(F209:K209)</f>
        <v>0</v>
      </c>
      <c r="M209" s="44">
        <f>L209/6</f>
        <v>0</v>
      </c>
      <c r="N209" s="11">
        <f t="shared" si="223"/>
        <v>0</v>
      </c>
      <c r="O209" s="11">
        <f t="shared" si="223"/>
        <v>0</v>
      </c>
      <c r="P209" s="11">
        <f t="shared" si="223"/>
        <v>0</v>
      </c>
      <c r="Q209" s="11">
        <f t="shared" si="223"/>
        <v>0</v>
      </c>
      <c r="R209" s="11">
        <f t="shared" si="223"/>
        <v>0</v>
      </c>
      <c r="S209" s="11">
        <f t="shared" si="223"/>
        <v>0</v>
      </c>
      <c r="T209" s="44">
        <f>SUM(N209:S209)</f>
        <v>0</v>
      </c>
      <c r="U209" s="45">
        <f>T209+L209</f>
        <v>0</v>
      </c>
      <c r="V209" s="46">
        <f>V224+V239</f>
        <v>0</v>
      </c>
      <c r="W209" s="38">
        <f>V209-U209</f>
        <v>0</v>
      </c>
    </row>
    <row r="210" spans="1:24" s="47" customFormat="1" ht="18" hidden="1" customHeight="1">
      <c r="A210" s="610"/>
      <c r="B210" s="576"/>
      <c r="C210" s="577"/>
      <c r="D210" s="178" t="str">
        <f>серпень!D210</f>
        <v>факт. нат.п-ки 2025</v>
      </c>
      <c r="E210" s="11"/>
      <c r="F210" s="12">
        <f t="shared" si="222"/>
        <v>0</v>
      </c>
      <c r="G210" s="12">
        <f t="shared" si="222"/>
        <v>0</v>
      </c>
      <c r="H210" s="12">
        <f t="shared" si="222"/>
        <v>0</v>
      </c>
      <c r="I210" s="12">
        <f t="shared" si="222"/>
        <v>0</v>
      </c>
      <c r="J210" s="12">
        <f>J225+J240</f>
        <v>0</v>
      </c>
      <c r="K210" s="12">
        <f t="shared" si="222"/>
        <v>0</v>
      </c>
      <c r="L210" s="44">
        <f>SUM(F210:K210)</f>
        <v>0</v>
      </c>
      <c r="M210" s="44">
        <f>L210/6</f>
        <v>0</v>
      </c>
      <c r="N210" s="12">
        <f t="shared" si="223"/>
        <v>0</v>
      </c>
      <c r="O210" s="12">
        <f t="shared" si="223"/>
        <v>0</v>
      </c>
      <c r="P210" s="12">
        <f t="shared" si="223"/>
        <v>0</v>
      </c>
      <c r="Q210" s="12">
        <f t="shared" si="223"/>
        <v>0</v>
      </c>
      <c r="R210" s="12">
        <f t="shared" si="223"/>
        <v>0</v>
      </c>
      <c r="S210" s="12">
        <f t="shared" si="223"/>
        <v>0</v>
      </c>
      <c r="T210" s="44">
        <f>SUM(N210:S210)</f>
        <v>0</v>
      </c>
      <c r="U210" s="45">
        <f>T210+L210</f>
        <v>0</v>
      </c>
      <c r="V210" s="46">
        <f>V225+V240</f>
        <v>0</v>
      </c>
      <c r="W210" s="38">
        <f>V210-U210</f>
        <v>0</v>
      </c>
    </row>
    <row r="211" spans="1:24" s="47" customFormat="1" ht="18" hidden="1" customHeight="1">
      <c r="A211" s="610"/>
      <c r="B211" s="576"/>
      <c r="C211" s="577"/>
      <c r="D211" s="187" t="str">
        <f>серпень!D211</f>
        <v>тариф, грн.</v>
      </c>
      <c r="E211" s="49"/>
      <c r="F211" s="49" t="e">
        <f>F212/F210*1000</f>
        <v>#DIV/0!</v>
      </c>
      <c r="G211" s="49" t="e">
        <f>G212/G210*1000</f>
        <v>#DIV/0!</v>
      </c>
      <c r="H211" s="49" t="e">
        <f>H212/H210*1000</f>
        <v>#DIV/0!</v>
      </c>
      <c r="I211" s="49" t="e">
        <f>I212/I210*1000</f>
        <v>#DIV/0!</v>
      </c>
      <c r="J211" s="49" t="e">
        <f>J212/J210*1000</f>
        <v>#DIV/0!</v>
      </c>
      <c r="K211" s="49" t="e">
        <f t="shared" ref="K211:S211" si="224">K212/K210*1000</f>
        <v>#DIV/0!</v>
      </c>
      <c r="L211" s="49" t="e">
        <f t="shared" si="224"/>
        <v>#DIV/0!</v>
      </c>
      <c r="M211" s="49" t="e">
        <f t="shared" si="224"/>
        <v>#DIV/0!</v>
      </c>
      <c r="N211" s="49" t="e">
        <f t="shared" si="224"/>
        <v>#DIV/0!</v>
      </c>
      <c r="O211" s="49" t="e">
        <f t="shared" si="224"/>
        <v>#DIV/0!</v>
      </c>
      <c r="P211" s="49" t="e">
        <f t="shared" si="224"/>
        <v>#DIV/0!</v>
      </c>
      <c r="Q211" s="49" t="e">
        <f t="shared" si="224"/>
        <v>#DIV/0!</v>
      </c>
      <c r="R211" s="49" t="e">
        <f t="shared" si="224"/>
        <v>#DIV/0!</v>
      </c>
      <c r="S211" s="49" t="e">
        <f t="shared" si="224"/>
        <v>#DIV/0!</v>
      </c>
      <c r="T211" s="49" t="e">
        <f>T212/T210*1000</f>
        <v>#DIV/0!</v>
      </c>
      <c r="U211" s="49" t="e">
        <f>U212/U210*1000</f>
        <v>#DIV/0!</v>
      </c>
      <c r="V211" s="49" t="e">
        <f>V212/V210*1000</f>
        <v>#DIV/0!</v>
      </c>
      <c r="W211" s="14" t="e">
        <f>W212/W210*1000</f>
        <v>#DIV/0!</v>
      </c>
    </row>
    <row r="212" spans="1:24" s="47" customFormat="1" ht="18" hidden="1" customHeight="1">
      <c r="A212" s="610"/>
      <c r="B212" s="576"/>
      <c r="C212" s="577"/>
      <c r="D212" s="191" t="str">
        <f>серпень!D212</f>
        <v>сума, тис.грн.</v>
      </c>
      <c r="E212" s="52"/>
      <c r="F212" s="52">
        <f t="shared" ref="F212:K215" si="225">F227+F242</f>
        <v>0</v>
      </c>
      <c r="G212" s="52">
        <f t="shared" si="225"/>
        <v>0</v>
      </c>
      <c r="H212" s="52">
        <f t="shared" si="225"/>
        <v>0</v>
      </c>
      <c r="I212" s="52">
        <f t="shared" si="225"/>
        <v>0</v>
      </c>
      <c r="J212" s="52">
        <f t="shared" si="225"/>
        <v>0</v>
      </c>
      <c r="K212" s="52">
        <f t="shared" si="225"/>
        <v>0</v>
      </c>
      <c r="L212" s="52">
        <f>SUM(F212:K212)</f>
        <v>0</v>
      </c>
      <c r="M212" s="52">
        <f>L212/6</f>
        <v>0</v>
      </c>
      <c r="N212" s="52">
        <f t="shared" ref="N212:S215" si="226">N227+N242</f>
        <v>0</v>
      </c>
      <c r="O212" s="52">
        <f t="shared" si="226"/>
        <v>0</v>
      </c>
      <c r="P212" s="52">
        <f t="shared" si="226"/>
        <v>0</v>
      </c>
      <c r="Q212" s="52">
        <f t="shared" si="226"/>
        <v>0</v>
      </c>
      <c r="R212" s="52">
        <f t="shared" si="226"/>
        <v>0</v>
      </c>
      <c r="S212" s="52">
        <f t="shared" si="226"/>
        <v>0</v>
      </c>
      <c r="T212" s="52">
        <f>SUM(N212:S212)</f>
        <v>0</v>
      </c>
      <c r="U212" s="52">
        <f>T212+L212</f>
        <v>0</v>
      </c>
      <c r="V212" s="53">
        <f>V227+V242</f>
        <v>0</v>
      </c>
      <c r="W212" s="53">
        <f>V212-U212</f>
        <v>0</v>
      </c>
    </row>
    <row r="213" spans="1:24" s="47" customFormat="1" ht="18" hidden="1" customHeight="1">
      <c r="A213" s="610"/>
      <c r="B213" s="576"/>
      <c r="C213" s="577"/>
      <c r="D213" s="174" t="str">
        <f>серпень!D213</f>
        <v>дотація</v>
      </c>
      <c r="E213" s="56"/>
      <c r="F213" s="52">
        <f t="shared" si="225"/>
        <v>0</v>
      </c>
      <c r="G213" s="52">
        <f t="shared" si="225"/>
        <v>0</v>
      </c>
      <c r="H213" s="52">
        <f t="shared" si="225"/>
        <v>0</v>
      </c>
      <c r="I213" s="52">
        <f t="shared" si="225"/>
        <v>0</v>
      </c>
      <c r="J213" s="52">
        <f>J228+J243</f>
        <v>0</v>
      </c>
      <c r="K213" s="52">
        <f t="shared" si="225"/>
        <v>0</v>
      </c>
      <c r="L213" s="52">
        <f>SUM(F213:K213)</f>
        <v>0</v>
      </c>
      <c r="M213" s="52">
        <f>L213/6</f>
        <v>0</v>
      </c>
      <c r="N213" s="52">
        <f t="shared" si="226"/>
        <v>0</v>
      </c>
      <c r="O213" s="52">
        <f t="shared" si="226"/>
        <v>0</v>
      </c>
      <c r="P213" s="52">
        <f t="shared" si="226"/>
        <v>0</v>
      </c>
      <c r="Q213" s="52">
        <f t="shared" si="226"/>
        <v>0</v>
      </c>
      <c r="R213" s="52">
        <f t="shared" si="226"/>
        <v>0</v>
      </c>
      <c r="S213" s="52">
        <f t="shared" si="226"/>
        <v>0</v>
      </c>
      <c r="T213" s="52">
        <f>SUM(N213:S213)</f>
        <v>0</v>
      </c>
      <c r="U213" s="52">
        <f>T213+L213</f>
        <v>0</v>
      </c>
      <c r="V213" s="53">
        <f>V228+V243</f>
        <v>0</v>
      </c>
      <c r="W213" s="57">
        <f>V213-U213</f>
        <v>0</v>
      </c>
    </row>
    <row r="214" spans="1:24" s="47" customFormat="1" ht="18" hidden="1" customHeight="1">
      <c r="A214" s="610"/>
      <c r="B214" s="576"/>
      <c r="C214" s="577"/>
      <c r="D214" s="174" t="str">
        <f>серпень!D214</f>
        <v>місцевий (план), тис.грн</v>
      </c>
      <c r="E214" s="56"/>
      <c r="F214" s="52">
        <f t="shared" si="225"/>
        <v>0</v>
      </c>
      <c r="G214" s="52">
        <f t="shared" si="225"/>
        <v>0</v>
      </c>
      <c r="H214" s="52">
        <f t="shared" si="225"/>
        <v>0</v>
      </c>
      <c r="I214" s="52">
        <f t="shared" si="225"/>
        <v>0</v>
      </c>
      <c r="J214" s="52">
        <f>J229+J244</f>
        <v>0</v>
      </c>
      <c r="K214" s="52">
        <f t="shared" si="225"/>
        <v>0</v>
      </c>
      <c r="L214" s="52">
        <f>SUM(F214:K214)</f>
        <v>0</v>
      </c>
      <c r="M214" s="52">
        <f>L214/6</f>
        <v>0</v>
      </c>
      <c r="N214" s="52">
        <f t="shared" si="226"/>
        <v>0</v>
      </c>
      <c r="O214" s="52">
        <f t="shared" si="226"/>
        <v>0</v>
      </c>
      <c r="P214" s="52">
        <f t="shared" si="226"/>
        <v>0</v>
      </c>
      <c r="Q214" s="52">
        <f t="shared" si="226"/>
        <v>0</v>
      </c>
      <c r="R214" s="52">
        <f t="shared" si="226"/>
        <v>0</v>
      </c>
      <c r="S214" s="52">
        <f t="shared" si="226"/>
        <v>0</v>
      </c>
      <c r="T214" s="52">
        <f>SUM(N214:S214)</f>
        <v>0</v>
      </c>
      <c r="U214" s="52">
        <f>T214+L214</f>
        <v>0</v>
      </c>
      <c r="V214" s="53">
        <f>V229+V244</f>
        <v>0</v>
      </c>
      <c r="W214" s="53">
        <f>V214-U214</f>
        <v>0</v>
      </c>
    </row>
    <row r="215" spans="1:24" s="47" customFormat="1" ht="18" hidden="1" customHeight="1">
      <c r="A215" s="610"/>
      <c r="B215" s="576"/>
      <c r="C215" s="577"/>
      <c r="D215" s="178" t="str">
        <f>серпень!D215</f>
        <v>касові нат.п-ки 2025</v>
      </c>
      <c r="E215" s="11">
        <f>E230+E245</f>
        <v>0</v>
      </c>
      <c r="F215" s="11">
        <f t="shared" si="225"/>
        <v>0</v>
      </c>
      <c r="G215" s="11">
        <f t="shared" si="225"/>
        <v>0</v>
      </c>
      <c r="H215" s="11">
        <f t="shared" si="225"/>
        <v>0</v>
      </c>
      <c r="I215" s="11">
        <f t="shared" si="225"/>
        <v>0</v>
      </c>
      <c r="J215" s="11">
        <f>J230+J245</f>
        <v>0</v>
      </c>
      <c r="K215" s="11">
        <f t="shared" si="225"/>
        <v>0</v>
      </c>
      <c r="L215" s="44">
        <f>SUM(F215:K215)</f>
        <v>0</v>
      </c>
      <c r="M215" s="44">
        <f>L215/6</f>
        <v>0</v>
      </c>
      <c r="N215" s="11">
        <f t="shared" si="226"/>
        <v>0</v>
      </c>
      <c r="O215" s="11">
        <f t="shared" si="226"/>
        <v>0</v>
      </c>
      <c r="P215" s="11">
        <f t="shared" si="226"/>
        <v>0</v>
      </c>
      <c r="Q215" s="11">
        <f t="shared" si="226"/>
        <v>0</v>
      </c>
      <c r="R215" s="11">
        <f t="shared" si="226"/>
        <v>0</v>
      </c>
      <c r="S215" s="11">
        <f t="shared" si="226"/>
        <v>0</v>
      </c>
      <c r="T215" s="44">
        <f>SUM(N215:S215)</f>
        <v>0</v>
      </c>
      <c r="U215" s="44">
        <f>T215+L215</f>
        <v>0</v>
      </c>
      <c r="V215" s="38">
        <f>V230+V245</f>
        <v>0</v>
      </c>
      <c r="W215" s="38">
        <f>V215-U215</f>
        <v>0</v>
      </c>
      <c r="X215" s="47">
        <f>U210-U215</f>
        <v>0</v>
      </c>
    </row>
    <row r="216" spans="1:24" s="47" customFormat="1" ht="18" hidden="1" customHeight="1">
      <c r="A216" s="610"/>
      <c r="B216" s="576"/>
      <c r="C216" s="577"/>
      <c r="D216" s="187" t="str">
        <f>серпень!D216</f>
        <v>тариф, грн.</v>
      </c>
      <c r="E216" s="49" t="e">
        <f t="shared" ref="E216:S216" si="227">E217/E215*1000</f>
        <v>#DIV/0!</v>
      </c>
      <c r="F216" s="49" t="e">
        <f t="shared" si="227"/>
        <v>#DIV/0!</v>
      </c>
      <c r="G216" s="49" t="e">
        <f t="shared" si="227"/>
        <v>#DIV/0!</v>
      </c>
      <c r="H216" s="49" t="e">
        <f t="shared" si="227"/>
        <v>#DIV/0!</v>
      </c>
      <c r="I216" s="49" t="e">
        <f t="shared" si="227"/>
        <v>#DIV/0!</v>
      </c>
      <c r="J216" s="49" t="e">
        <f t="shared" si="227"/>
        <v>#DIV/0!</v>
      </c>
      <c r="K216" s="49" t="e">
        <f t="shared" si="227"/>
        <v>#DIV/0!</v>
      </c>
      <c r="L216" s="49" t="e">
        <f t="shared" si="227"/>
        <v>#DIV/0!</v>
      </c>
      <c r="M216" s="49" t="e">
        <f t="shared" si="227"/>
        <v>#DIV/0!</v>
      </c>
      <c r="N216" s="49" t="e">
        <f t="shared" si="227"/>
        <v>#DIV/0!</v>
      </c>
      <c r="O216" s="49" t="e">
        <f t="shared" si="227"/>
        <v>#DIV/0!</v>
      </c>
      <c r="P216" s="49" t="e">
        <f t="shared" si="227"/>
        <v>#DIV/0!</v>
      </c>
      <c r="Q216" s="49" t="e">
        <f t="shared" si="227"/>
        <v>#DIV/0!</v>
      </c>
      <c r="R216" s="49" t="e">
        <f t="shared" si="227"/>
        <v>#DIV/0!</v>
      </c>
      <c r="S216" s="49" t="e">
        <f t="shared" si="227"/>
        <v>#DIV/0!</v>
      </c>
      <c r="T216" s="49" t="e">
        <f>T217/T215*1000</f>
        <v>#DIV/0!</v>
      </c>
      <c r="U216" s="49" t="e">
        <f>U217/U215*1000</f>
        <v>#DIV/0!</v>
      </c>
      <c r="V216" s="49" t="e">
        <f>V217/V215*1000</f>
        <v>#DIV/0!</v>
      </c>
      <c r="W216" s="14" t="e">
        <f>W217/W215*1000</f>
        <v>#DIV/0!</v>
      </c>
    </row>
    <row r="217" spans="1:24" s="63" customFormat="1" ht="18" hidden="1" customHeight="1">
      <c r="A217" s="610"/>
      <c r="B217" s="576"/>
      <c r="C217" s="577"/>
      <c r="D217" s="198" t="str">
        <f>серпень!D217</f>
        <v>касові видатки, тис.грн.</v>
      </c>
      <c r="E217" s="60">
        <f t="shared" ref="E217:K219" si="228">E232+E247</f>
        <v>0</v>
      </c>
      <c r="F217" s="61">
        <f t="shared" si="228"/>
        <v>0</v>
      </c>
      <c r="G217" s="61">
        <f t="shared" si="228"/>
        <v>0</v>
      </c>
      <c r="H217" s="61">
        <f t="shared" si="228"/>
        <v>0</v>
      </c>
      <c r="I217" s="61">
        <f t="shared" si="228"/>
        <v>0</v>
      </c>
      <c r="J217" s="61">
        <f t="shared" si="228"/>
        <v>0</v>
      </c>
      <c r="K217" s="61">
        <f t="shared" si="228"/>
        <v>0</v>
      </c>
      <c r="L217" s="61">
        <f>SUM(F217:K217)</f>
        <v>0</v>
      </c>
      <c r="M217" s="61">
        <f>L217/6</f>
        <v>0</v>
      </c>
      <c r="N217" s="61">
        <f t="shared" ref="N217:S219" si="229">N232+N247</f>
        <v>0</v>
      </c>
      <c r="O217" s="61">
        <f t="shared" si="229"/>
        <v>0</v>
      </c>
      <c r="P217" s="61">
        <f t="shared" si="229"/>
        <v>0</v>
      </c>
      <c r="Q217" s="61">
        <f t="shared" si="229"/>
        <v>0</v>
      </c>
      <c r="R217" s="61">
        <f t="shared" si="229"/>
        <v>0</v>
      </c>
      <c r="S217" s="61">
        <f t="shared" si="229"/>
        <v>0</v>
      </c>
      <c r="T217" s="61">
        <f>SUM(N217:S217)</f>
        <v>0</v>
      </c>
      <c r="U217" s="61">
        <f>T217+L217</f>
        <v>0</v>
      </c>
      <c r="V217" s="62">
        <f>V232+V247</f>
        <v>0</v>
      </c>
      <c r="W217" s="62">
        <f>V217-U217</f>
        <v>0</v>
      </c>
      <c r="X217" s="63">
        <f>U212-U217</f>
        <v>0</v>
      </c>
    </row>
    <row r="218" spans="1:24" s="63" customFormat="1" ht="18" hidden="1" customHeight="1">
      <c r="A218" s="610"/>
      <c r="B218" s="576"/>
      <c r="C218" s="577"/>
      <c r="D218" s="201" t="str">
        <f>серпень!D218</f>
        <v>дотація</v>
      </c>
      <c r="E218" s="60"/>
      <c r="F218" s="61">
        <f t="shared" si="228"/>
        <v>0</v>
      </c>
      <c r="G218" s="61">
        <f t="shared" si="228"/>
        <v>0</v>
      </c>
      <c r="H218" s="61">
        <f t="shared" si="228"/>
        <v>0</v>
      </c>
      <c r="I218" s="61">
        <f t="shared" si="228"/>
        <v>0</v>
      </c>
      <c r="J218" s="61">
        <f>J233+J248</f>
        <v>0</v>
      </c>
      <c r="K218" s="61">
        <f t="shared" si="228"/>
        <v>0</v>
      </c>
      <c r="L218" s="61">
        <f>SUM(F218:K218)</f>
        <v>0</v>
      </c>
      <c r="M218" s="61">
        <f>L218/6</f>
        <v>0</v>
      </c>
      <c r="N218" s="61">
        <f t="shared" si="229"/>
        <v>0</v>
      </c>
      <c r="O218" s="61">
        <f t="shared" si="229"/>
        <v>0</v>
      </c>
      <c r="P218" s="61">
        <f t="shared" si="229"/>
        <v>0</v>
      </c>
      <c r="Q218" s="61">
        <f t="shared" si="229"/>
        <v>0</v>
      </c>
      <c r="R218" s="61">
        <f t="shared" si="229"/>
        <v>0</v>
      </c>
      <c r="S218" s="61">
        <f t="shared" si="229"/>
        <v>0</v>
      </c>
      <c r="T218" s="61">
        <f>SUM(N218:S218)</f>
        <v>0</v>
      </c>
      <c r="U218" s="61">
        <f>T218+L218</f>
        <v>0</v>
      </c>
      <c r="V218" s="62">
        <f>V233+V248</f>
        <v>0</v>
      </c>
      <c r="W218" s="62">
        <f>V218-U218</f>
        <v>0</v>
      </c>
      <c r="X218" s="63">
        <f>U213-U218</f>
        <v>0</v>
      </c>
    </row>
    <row r="219" spans="1:24" s="63" customFormat="1" ht="18" hidden="1" customHeight="1">
      <c r="A219" s="610"/>
      <c r="B219" s="576"/>
      <c r="C219" s="577"/>
      <c r="D219" s="201" t="str">
        <f>серпень!D219</f>
        <v xml:space="preserve">місцевий </v>
      </c>
      <c r="E219" s="60"/>
      <c r="F219" s="61">
        <f t="shared" si="228"/>
        <v>0</v>
      </c>
      <c r="G219" s="61">
        <f t="shared" si="228"/>
        <v>0</v>
      </c>
      <c r="H219" s="61">
        <f t="shared" si="228"/>
        <v>0</v>
      </c>
      <c r="I219" s="61">
        <f t="shared" si="228"/>
        <v>0</v>
      </c>
      <c r="J219" s="61">
        <f>J234+J249</f>
        <v>0</v>
      </c>
      <c r="K219" s="61">
        <f t="shared" si="228"/>
        <v>0</v>
      </c>
      <c r="L219" s="61">
        <f>SUM(F219:K219)</f>
        <v>0</v>
      </c>
      <c r="M219" s="61">
        <f>L219/6</f>
        <v>0</v>
      </c>
      <c r="N219" s="61">
        <f t="shared" si="229"/>
        <v>0</v>
      </c>
      <c r="O219" s="61">
        <f t="shared" si="229"/>
        <v>0</v>
      </c>
      <c r="P219" s="61">
        <f t="shared" si="229"/>
        <v>0</v>
      </c>
      <c r="Q219" s="61">
        <f t="shared" si="229"/>
        <v>0</v>
      </c>
      <c r="R219" s="61">
        <f t="shared" si="229"/>
        <v>0</v>
      </c>
      <c r="S219" s="61">
        <f t="shared" si="229"/>
        <v>0</v>
      </c>
      <c r="T219" s="61">
        <f>SUM(N219:S219)</f>
        <v>0</v>
      </c>
      <c r="U219" s="61">
        <f>T219+L219</f>
        <v>0</v>
      </c>
      <c r="V219" s="62">
        <f>V234+V249</f>
        <v>0</v>
      </c>
      <c r="W219" s="62">
        <f>V219-U219</f>
        <v>0</v>
      </c>
      <c r="X219" s="63">
        <f>U214-U219</f>
        <v>0</v>
      </c>
    </row>
    <row r="220" spans="1:24" s="43" customFormat="1" ht="18" hidden="1" customHeight="1">
      <c r="A220" s="610"/>
      <c r="B220" s="576"/>
      <c r="C220" s="577"/>
      <c r="D220" s="202" t="str">
        <f>серпень!D220</f>
        <v>план</v>
      </c>
      <c r="E220" s="42"/>
      <c r="F220" s="42">
        <f t="shared" ref="F220:K220" si="230">F214</f>
        <v>0</v>
      </c>
      <c r="G220" s="42">
        <f t="shared" si="230"/>
        <v>0</v>
      </c>
      <c r="H220" s="42">
        <f t="shared" si="230"/>
        <v>0</v>
      </c>
      <c r="I220" s="42">
        <f t="shared" si="230"/>
        <v>0</v>
      </c>
      <c r="J220" s="42">
        <f t="shared" si="230"/>
        <v>0</v>
      </c>
      <c r="K220" s="42">
        <f t="shared" si="230"/>
        <v>0</v>
      </c>
      <c r="L220" s="42">
        <f>SUM(F220:K220)</f>
        <v>0</v>
      </c>
      <c r="M220" s="42">
        <f>L220/6</f>
        <v>0</v>
      </c>
      <c r="N220" s="42">
        <f t="shared" ref="N220:S220" si="231">N214+N213</f>
        <v>0</v>
      </c>
      <c r="O220" s="42">
        <f t="shared" si="231"/>
        <v>0</v>
      </c>
      <c r="P220" s="42">
        <f t="shared" si="231"/>
        <v>0</v>
      </c>
      <c r="Q220" s="42">
        <f t="shared" si="231"/>
        <v>0</v>
      </c>
      <c r="R220" s="42">
        <f t="shared" si="231"/>
        <v>0</v>
      </c>
      <c r="S220" s="42">
        <f t="shared" si="231"/>
        <v>0</v>
      </c>
      <c r="T220" s="42">
        <f>SUM(N220:S220)</f>
        <v>0</v>
      </c>
      <c r="U220" s="42">
        <f>T220+L220</f>
        <v>0</v>
      </c>
      <c r="V220" s="64">
        <f>V235+V250</f>
        <v>0</v>
      </c>
      <c r="W220" s="64">
        <f>V220-U220</f>
        <v>0</v>
      </c>
    </row>
    <row r="221" spans="1:24" s="43" customFormat="1" ht="18" hidden="1" customHeight="1">
      <c r="A221" s="610"/>
      <c r="B221" s="576"/>
      <c r="C221" s="577"/>
      <c r="D221" s="202" t="str">
        <f>серпень!D221</f>
        <v xml:space="preserve">відхилення </v>
      </c>
      <c r="E221" s="42"/>
      <c r="F221" s="42">
        <f t="shared" ref="F221:K221" si="232">F217-F220</f>
        <v>0</v>
      </c>
      <c r="G221" s="42">
        <f t="shared" si="232"/>
        <v>0</v>
      </c>
      <c r="H221" s="42">
        <f t="shared" si="232"/>
        <v>0</v>
      </c>
      <c r="I221" s="42">
        <f t="shared" si="232"/>
        <v>0</v>
      </c>
      <c r="J221" s="42">
        <f t="shared" si="232"/>
        <v>0</v>
      </c>
      <c r="K221" s="42">
        <f t="shared" si="232"/>
        <v>0</v>
      </c>
      <c r="L221" s="42"/>
      <c r="M221" s="42"/>
      <c r="N221" s="42">
        <f t="shared" ref="N221:S221" si="233">N217-N220</f>
        <v>0</v>
      </c>
      <c r="O221" s="42">
        <f t="shared" si="233"/>
        <v>0</v>
      </c>
      <c r="P221" s="42">
        <f t="shared" si="233"/>
        <v>0</v>
      </c>
      <c r="Q221" s="42">
        <f t="shared" si="233"/>
        <v>0</v>
      </c>
      <c r="R221" s="42">
        <f t="shared" si="233"/>
        <v>0</v>
      </c>
      <c r="S221" s="42">
        <f t="shared" si="233"/>
        <v>0</v>
      </c>
      <c r="T221" s="42"/>
      <c r="U221" s="42"/>
      <c r="V221" s="42"/>
      <c r="W221" s="42"/>
    </row>
    <row r="222" spans="1:24" s="43" customFormat="1" ht="18" hidden="1" customHeight="1">
      <c r="A222" s="610"/>
      <c r="B222" s="576"/>
      <c r="C222" s="577"/>
      <c r="D222" s="202" t="str">
        <f>серпень!D222</f>
        <v>відхилення з наростаючим</v>
      </c>
      <c r="E222" s="42"/>
      <c r="F222" s="42">
        <f>F221</f>
        <v>0</v>
      </c>
      <c r="G222" s="42">
        <f>G221+F222</f>
        <v>0</v>
      </c>
      <c r="H222" s="42">
        <f>H221+G222</f>
        <v>0</v>
      </c>
      <c r="I222" s="42">
        <f>I221+H222</f>
        <v>0</v>
      </c>
      <c r="J222" s="42">
        <f>J221+I222</f>
        <v>0</v>
      </c>
      <c r="K222" s="42">
        <f>K221+J222</f>
        <v>0</v>
      </c>
      <c r="L222" s="42"/>
      <c r="M222" s="42"/>
      <c r="N222" s="42">
        <f>N221+K222</f>
        <v>0</v>
      </c>
      <c r="O222" s="42">
        <f>O221+N222</f>
        <v>0</v>
      </c>
      <c r="P222" s="42">
        <f>P221+O222</f>
        <v>0</v>
      </c>
      <c r="Q222" s="42">
        <f>Q221+P222</f>
        <v>0</v>
      </c>
      <c r="R222" s="42">
        <f>R221+Q222</f>
        <v>0</v>
      </c>
      <c r="S222" s="42">
        <f>S221+R222</f>
        <v>0</v>
      </c>
      <c r="T222" s="42"/>
      <c r="U222" s="42"/>
      <c r="V222" s="42"/>
      <c r="W222" s="42"/>
    </row>
    <row r="223" spans="1:24" s="48" customFormat="1" ht="18" hidden="1" customHeight="1">
      <c r="A223" s="610"/>
      <c r="B223" s="581" t="s">
        <v>91</v>
      </c>
      <c r="C223" s="581"/>
      <c r="D223" s="178" t="str">
        <f>серпень!D223</f>
        <v>факт. нат.п-ки 2023</v>
      </c>
      <c r="E223" s="11"/>
      <c r="F223" s="12"/>
      <c r="G223" s="12"/>
      <c r="H223" s="12"/>
      <c r="I223" s="12"/>
      <c r="J223" s="12"/>
      <c r="K223" s="12"/>
      <c r="L223" s="65">
        <f>SUM(F223:K223)</f>
        <v>0</v>
      </c>
      <c r="M223" s="65">
        <f>L223/6</f>
        <v>0</v>
      </c>
      <c r="N223" s="12"/>
      <c r="O223" s="12"/>
      <c r="P223" s="12"/>
      <c r="Q223" s="12"/>
      <c r="R223" s="12"/>
      <c r="S223" s="12"/>
      <c r="T223" s="65">
        <f>SUM(N223:S223)</f>
        <v>0</v>
      </c>
      <c r="U223" s="66">
        <f>T223+L223</f>
        <v>0</v>
      </c>
      <c r="V223" s="67"/>
      <c r="W223" s="38">
        <f>V223-U223</f>
        <v>0</v>
      </c>
      <c r="X223" s="47"/>
    </row>
    <row r="224" spans="1:24" s="48" customFormat="1" ht="18" hidden="1" customHeight="1">
      <c r="A224" s="610"/>
      <c r="B224" s="581"/>
      <c r="C224" s="581"/>
      <c r="D224" s="178" t="str">
        <f>серпень!D224</f>
        <v>факт. нат.п-ки 2024</v>
      </c>
      <c r="E224" s="11"/>
      <c r="F224" s="12"/>
      <c r="G224" s="12"/>
      <c r="H224" s="12"/>
      <c r="I224" s="12"/>
      <c r="J224" s="12"/>
      <c r="K224" s="12"/>
      <c r="L224" s="65">
        <f>SUM(F224:K224)</f>
        <v>0</v>
      </c>
      <c r="M224" s="65">
        <f>L224/6</f>
        <v>0</v>
      </c>
      <c r="N224" s="11"/>
      <c r="O224" s="11"/>
      <c r="P224" s="11"/>
      <c r="Q224" s="11"/>
      <c r="R224" s="11"/>
      <c r="S224" s="11"/>
      <c r="T224" s="65">
        <f>SUM(N224:S224)</f>
        <v>0</v>
      </c>
      <c r="U224" s="66">
        <f>T224+L224</f>
        <v>0</v>
      </c>
      <c r="V224" s="67"/>
      <c r="W224" s="38">
        <f>V224-U224</f>
        <v>0</v>
      </c>
      <c r="X224" s="47"/>
    </row>
    <row r="225" spans="1:24" s="48" customFormat="1" ht="18" hidden="1" customHeight="1">
      <c r="A225" s="610"/>
      <c r="B225" s="581"/>
      <c r="C225" s="581"/>
      <c r="D225" s="178" t="str">
        <f>серпень!D225</f>
        <v>факт. нат.п-ки 2025</v>
      </c>
      <c r="E225" s="11"/>
      <c r="F225" s="12"/>
      <c r="G225" s="12"/>
      <c r="H225" s="12"/>
      <c r="I225" s="12"/>
      <c r="J225" s="12"/>
      <c r="K225" s="12"/>
      <c r="L225" s="65">
        <f>SUM(F225:K225)</f>
        <v>0</v>
      </c>
      <c r="M225" s="65">
        <f>L225/6</f>
        <v>0</v>
      </c>
      <c r="N225" s="12"/>
      <c r="O225" s="12"/>
      <c r="P225" s="12"/>
      <c r="Q225" s="12"/>
      <c r="R225" s="12"/>
      <c r="S225" s="11"/>
      <c r="T225" s="65">
        <f>SUM(N225:S225)</f>
        <v>0</v>
      </c>
      <c r="U225" s="66">
        <f>T225+L225</f>
        <v>0</v>
      </c>
      <c r="V225" s="11"/>
      <c r="W225" s="38">
        <f>V225-U225</f>
        <v>0</v>
      </c>
      <c r="X225" s="47"/>
    </row>
    <row r="226" spans="1:24" s="51" customFormat="1" ht="18" hidden="1" customHeight="1">
      <c r="A226" s="610"/>
      <c r="B226" s="581"/>
      <c r="C226" s="581"/>
      <c r="D226" s="187" t="str">
        <f>серпень!D226</f>
        <v>тариф, грн.</v>
      </c>
      <c r="E226" s="49"/>
      <c r="F226" s="49">
        <v>3501.96</v>
      </c>
      <c r="G226" s="49">
        <v>3501.96</v>
      </c>
      <c r="H226" s="49">
        <v>3501.96</v>
      </c>
      <c r="I226" s="49">
        <v>3501.96</v>
      </c>
      <c r="J226" s="49">
        <v>3501.96</v>
      </c>
      <c r="K226" s="49">
        <v>3501.96</v>
      </c>
      <c r="L226" s="49" t="e">
        <f>L227/L225*1000</f>
        <v>#DIV/0!</v>
      </c>
      <c r="M226" s="49" t="e">
        <f>M227/M225*1000</f>
        <v>#DIV/0!</v>
      </c>
      <c r="N226" s="49">
        <v>3501.96</v>
      </c>
      <c r="O226" s="49">
        <v>3501.96</v>
      </c>
      <c r="P226" s="49">
        <v>3501.96</v>
      </c>
      <c r="Q226" s="49">
        <v>3501.96</v>
      </c>
      <c r="R226" s="49">
        <v>3501.96</v>
      </c>
      <c r="S226" s="49">
        <v>3501.96</v>
      </c>
      <c r="T226" s="49" t="e">
        <f>T227/T225*1000</f>
        <v>#DIV/0!</v>
      </c>
      <c r="U226" s="49" t="e">
        <f>U227/U225*1000</f>
        <v>#DIV/0!</v>
      </c>
      <c r="V226" s="68" t="e">
        <f>V227/V225*1000</f>
        <v>#DIV/0!</v>
      </c>
      <c r="W226" s="14" t="e">
        <f>W227/W225*1000</f>
        <v>#DIV/0!</v>
      </c>
      <c r="X226" s="59"/>
    </row>
    <row r="227" spans="1:24" s="55" customFormat="1" ht="18" hidden="1" customHeight="1">
      <c r="A227" s="610"/>
      <c r="B227" s="581"/>
      <c r="C227" s="581"/>
      <c r="D227" s="191" t="str">
        <f>серпень!D227</f>
        <v>сума, тис.грн.</v>
      </c>
      <c r="E227" s="52"/>
      <c r="F227" s="52">
        <f t="shared" ref="F227:K227" si="234">F225*F226/1000</f>
        <v>0</v>
      </c>
      <c r="G227" s="52">
        <f t="shared" si="234"/>
        <v>0</v>
      </c>
      <c r="H227" s="52">
        <f t="shared" si="234"/>
        <v>0</v>
      </c>
      <c r="I227" s="52">
        <f t="shared" si="234"/>
        <v>0</v>
      </c>
      <c r="J227" s="52">
        <f t="shared" si="234"/>
        <v>0</v>
      </c>
      <c r="K227" s="52">
        <f t="shared" si="234"/>
        <v>0</v>
      </c>
      <c r="L227" s="69">
        <f>SUM(F227:K227)</f>
        <v>0</v>
      </c>
      <c r="M227" s="69">
        <f>L227/6</f>
        <v>0</v>
      </c>
      <c r="N227" s="52">
        <f t="shared" ref="N227:S227" si="235">N225*N226/1000</f>
        <v>0</v>
      </c>
      <c r="O227" s="52">
        <f t="shared" si="235"/>
        <v>0</v>
      </c>
      <c r="P227" s="52">
        <f t="shared" si="235"/>
        <v>0</v>
      </c>
      <c r="Q227" s="52">
        <f t="shared" si="235"/>
        <v>0</v>
      </c>
      <c r="R227" s="52">
        <f t="shared" si="235"/>
        <v>0</v>
      </c>
      <c r="S227" s="52">
        <f t="shared" si="235"/>
        <v>0</v>
      </c>
      <c r="T227" s="69">
        <f>SUM(N227:S227)</f>
        <v>0</v>
      </c>
      <c r="U227" s="69">
        <f>T227+L227</f>
        <v>0</v>
      </c>
      <c r="V227" s="70">
        <f>V228+V229</f>
        <v>0</v>
      </c>
      <c r="W227" s="53">
        <f>V227-U227</f>
        <v>0</v>
      </c>
      <c r="X227" s="54">
        <f>2726951.723/1000</f>
        <v>2726.9520000000002</v>
      </c>
    </row>
    <row r="228" spans="1:24" s="55" customFormat="1" ht="18" hidden="1" customHeight="1">
      <c r="A228" s="610"/>
      <c r="B228" s="581"/>
      <c r="C228" s="581"/>
      <c r="D228" s="174" t="str">
        <f>серпень!D228</f>
        <v>дотація</v>
      </c>
      <c r="E228" s="56"/>
      <c r="F228" s="52"/>
      <c r="G228" s="52"/>
      <c r="H228" s="52"/>
      <c r="I228" s="52"/>
      <c r="J228" s="52"/>
      <c r="K228" s="52"/>
      <c r="L228" s="69">
        <f>SUM(F228:K228)</f>
        <v>0</v>
      </c>
      <c r="M228" s="69">
        <f>L228/6</f>
        <v>0</v>
      </c>
      <c r="N228" s="52"/>
      <c r="O228" s="52"/>
      <c r="P228" s="52"/>
      <c r="Q228" s="52"/>
      <c r="R228" s="52"/>
      <c r="S228" s="52"/>
      <c r="T228" s="69">
        <f>SUM(N228:S228)</f>
        <v>0</v>
      </c>
      <c r="U228" s="69">
        <f>T228+L228</f>
        <v>0</v>
      </c>
      <c r="V228" s="70">
        <v>0</v>
      </c>
      <c r="W228" s="53">
        <f>V228-U228</f>
        <v>0</v>
      </c>
      <c r="X228" s="58"/>
    </row>
    <row r="229" spans="1:24" s="55" customFormat="1" ht="18" hidden="1" customHeight="1">
      <c r="A229" s="610"/>
      <c r="B229" s="581"/>
      <c r="C229" s="581"/>
      <c r="D229" s="174" t="str">
        <f>серпень!D229</f>
        <v>місцевий (план), тис.грн</v>
      </c>
      <c r="E229" s="56"/>
      <c r="F229" s="52"/>
      <c r="G229" s="52"/>
      <c r="H229" s="52"/>
      <c r="I229" s="52"/>
      <c r="J229" s="52"/>
      <c r="K229" s="52"/>
      <c r="L229" s="69">
        <f>SUM(F229:K229)</f>
        <v>0</v>
      </c>
      <c r="M229" s="69">
        <f>L229/6</f>
        <v>0</v>
      </c>
      <c r="N229" s="52"/>
      <c r="O229" s="52"/>
      <c r="P229" s="52"/>
      <c r="Q229" s="52"/>
      <c r="R229" s="52"/>
      <c r="S229" s="52"/>
      <c r="T229" s="69">
        <f>SUM(N229:S229)</f>
        <v>0</v>
      </c>
      <c r="U229" s="69">
        <f>T229+L229</f>
        <v>0</v>
      </c>
      <c r="V229" s="70"/>
      <c r="W229" s="53">
        <f>V229-U229</f>
        <v>0</v>
      </c>
      <c r="X229" s="58"/>
    </row>
    <row r="230" spans="1:24" s="48" customFormat="1" ht="18" hidden="1" customHeight="1">
      <c r="A230" s="610"/>
      <c r="B230" s="581"/>
      <c r="C230" s="581"/>
      <c r="D230" s="178" t="str">
        <f>серпень!D230</f>
        <v>касові нат.п-ки 2025</v>
      </c>
      <c r="E230" s="11"/>
      <c r="F230" s="11"/>
      <c r="G230" s="11"/>
      <c r="H230" s="11"/>
      <c r="I230" s="11"/>
      <c r="J230" s="11"/>
      <c r="K230" s="11"/>
      <c r="L230" s="65">
        <f>SUM(F230:K230)</f>
        <v>0</v>
      </c>
      <c r="M230" s="65">
        <f>L230/6</f>
        <v>0</v>
      </c>
      <c r="N230" s="11"/>
      <c r="O230" s="11"/>
      <c r="P230" s="11"/>
      <c r="Q230" s="11"/>
      <c r="R230" s="11"/>
      <c r="S230" s="11">
        <f>S225+R225</f>
        <v>0</v>
      </c>
      <c r="T230" s="65">
        <f>SUM(N230:S230)</f>
        <v>0</v>
      </c>
      <c r="U230" s="65">
        <f>T230+L230</f>
        <v>0</v>
      </c>
      <c r="V230" s="11">
        <f>V225</f>
        <v>0</v>
      </c>
      <c r="W230" s="38">
        <f>V230-U230</f>
        <v>0</v>
      </c>
      <c r="X230" s="47">
        <f>U225-U230</f>
        <v>0</v>
      </c>
    </row>
    <row r="231" spans="1:24" s="51" customFormat="1" ht="18" hidden="1" customHeight="1">
      <c r="A231" s="610"/>
      <c r="B231" s="581"/>
      <c r="C231" s="581"/>
      <c r="D231" s="187" t="str">
        <f>серпень!D231</f>
        <v>тариф, грн.</v>
      </c>
      <c r="E231" s="49" t="e">
        <f>E232/E230*1000</f>
        <v>#DIV/0!</v>
      </c>
      <c r="F231" s="49">
        <v>3501.96</v>
      </c>
      <c r="G231" s="49">
        <v>3501.96</v>
      </c>
      <c r="H231" s="49">
        <v>3501.96</v>
      </c>
      <c r="I231" s="49">
        <v>3501.96</v>
      </c>
      <c r="J231" s="49">
        <v>3501.96</v>
      </c>
      <c r="K231" s="49">
        <v>3501.96</v>
      </c>
      <c r="L231" s="49" t="e">
        <f>L232/L230*1000</f>
        <v>#DIV/0!</v>
      </c>
      <c r="M231" s="49" t="e">
        <f>M232/M230*1000</f>
        <v>#DIV/0!</v>
      </c>
      <c r="N231" s="49">
        <v>3501.96</v>
      </c>
      <c r="O231" s="49">
        <v>3501.96</v>
      </c>
      <c r="P231" s="49">
        <v>3501.96</v>
      </c>
      <c r="Q231" s="49">
        <v>3501.96</v>
      </c>
      <c r="R231" s="49">
        <v>3501.96</v>
      </c>
      <c r="S231" s="49">
        <v>3501.96</v>
      </c>
      <c r="T231" s="49" t="e">
        <f>T232/T230*1000</f>
        <v>#DIV/0!</v>
      </c>
      <c r="U231" s="49" t="e">
        <f>U232/U230*1000</f>
        <v>#DIV/0!</v>
      </c>
      <c r="V231" s="68" t="e">
        <f>V232/V230*1000</f>
        <v>#DIV/0!</v>
      </c>
      <c r="W231" s="14" t="e">
        <f>W232/W230*1000</f>
        <v>#DIV/0!</v>
      </c>
      <c r="X231" s="59"/>
    </row>
    <row r="232" spans="1:24" s="63" customFormat="1" ht="18" hidden="1" customHeight="1">
      <c r="A232" s="610"/>
      <c r="B232" s="581"/>
      <c r="C232" s="581"/>
      <c r="D232" s="198" t="str">
        <f>серпень!D232</f>
        <v>касові видатки, тис.грн.</v>
      </c>
      <c r="E232" s="71"/>
      <c r="F232" s="61">
        <f t="shared" ref="F232:K232" si="236">F230*F231/1000</f>
        <v>0</v>
      </c>
      <c r="G232" s="61">
        <f t="shared" si="236"/>
        <v>0</v>
      </c>
      <c r="H232" s="61">
        <f t="shared" si="236"/>
        <v>0</v>
      </c>
      <c r="I232" s="61">
        <f t="shared" si="236"/>
        <v>0</v>
      </c>
      <c r="J232" s="61">
        <f t="shared" si="236"/>
        <v>0</v>
      </c>
      <c r="K232" s="61">
        <f t="shared" si="236"/>
        <v>0</v>
      </c>
      <c r="L232" s="61">
        <f>SUM(F232:K232)</f>
        <v>0</v>
      </c>
      <c r="M232" s="61">
        <f>L232/6</f>
        <v>0</v>
      </c>
      <c r="N232" s="61">
        <f t="shared" ref="N232:S232" si="237">N230*N231/1000</f>
        <v>0</v>
      </c>
      <c r="O232" s="61">
        <f t="shared" si="237"/>
        <v>0</v>
      </c>
      <c r="P232" s="61">
        <f t="shared" si="237"/>
        <v>0</v>
      </c>
      <c r="Q232" s="61">
        <f t="shared" si="237"/>
        <v>0</v>
      </c>
      <c r="R232" s="61">
        <f t="shared" si="237"/>
        <v>0</v>
      </c>
      <c r="S232" s="61">
        <f t="shared" si="237"/>
        <v>0</v>
      </c>
      <c r="T232" s="61">
        <f>SUM(N232:S232)</f>
        <v>0</v>
      </c>
      <c r="U232" s="61">
        <f>T232+L232</f>
        <v>0</v>
      </c>
      <c r="V232" s="61">
        <f>V227</f>
        <v>0</v>
      </c>
      <c r="W232" s="72">
        <f>V232-U232</f>
        <v>0</v>
      </c>
      <c r="X232" s="63">
        <f>U227-U232</f>
        <v>0</v>
      </c>
    </row>
    <row r="233" spans="1:24" s="63" customFormat="1" ht="18" hidden="1" customHeight="1">
      <c r="A233" s="610"/>
      <c r="B233" s="581"/>
      <c r="C233" s="581"/>
      <c r="D233" s="201" t="str">
        <f>серпень!D233</f>
        <v>дотація</v>
      </c>
      <c r="E233" s="71"/>
      <c r="F233" s="61"/>
      <c r="G233" s="61"/>
      <c r="H233" s="61"/>
      <c r="I233" s="61"/>
      <c r="J233" s="61"/>
      <c r="K233" s="61"/>
      <c r="L233" s="61">
        <f>SUM(F233:K233)</f>
        <v>0</v>
      </c>
      <c r="M233" s="61">
        <f>L233/6</f>
        <v>0</v>
      </c>
      <c r="N233" s="61"/>
      <c r="O233" s="61"/>
      <c r="P233" s="61"/>
      <c r="Q233" s="61"/>
      <c r="R233" s="61"/>
      <c r="S233" s="61"/>
      <c r="T233" s="61">
        <f>SUM(N233:S233)</f>
        <v>0</v>
      </c>
      <c r="U233" s="61">
        <f>T233+L233</f>
        <v>0</v>
      </c>
      <c r="V233" s="61">
        <f>V228</f>
        <v>0</v>
      </c>
      <c r="W233" s="72">
        <f>V233-U233</f>
        <v>0</v>
      </c>
      <c r="X233" s="63">
        <f>U228-U233</f>
        <v>0</v>
      </c>
    </row>
    <row r="234" spans="1:24" s="63" customFormat="1" ht="18" hidden="1" customHeight="1">
      <c r="A234" s="610"/>
      <c r="B234" s="581"/>
      <c r="C234" s="581"/>
      <c r="D234" s="201" t="str">
        <f>серпень!D234</f>
        <v xml:space="preserve">місцевий </v>
      </c>
      <c r="E234" s="71"/>
      <c r="F234" s="61">
        <f t="shared" ref="F234:K234" si="238">F232-F233</f>
        <v>0</v>
      </c>
      <c r="G234" s="61">
        <f t="shared" si="238"/>
        <v>0</v>
      </c>
      <c r="H234" s="61">
        <f t="shared" si="238"/>
        <v>0</v>
      </c>
      <c r="I234" s="61">
        <f t="shared" si="238"/>
        <v>0</v>
      </c>
      <c r="J234" s="61">
        <f t="shared" si="238"/>
        <v>0</v>
      </c>
      <c r="K234" s="61">
        <f t="shared" si="238"/>
        <v>0</v>
      </c>
      <c r="L234" s="61">
        <f>SUM(F234:K234)</f>
        <v>0</v>
      </c>
      <c r="M234" s="61">
        <f>L234/6</f>
        <v>0</v>
      </c>
      <c r="N234" s="61">
        <f t="shared" ref="N234:S234" si="239">N232-N233</f>
        <v>0</v>
      </c>
      <c r="O234" s="61">
        <f t="shared" si="239"/>
        <v>0</v>
      </c>
      <c r="P234" s="61">
        <f t="shared" si="239"/>
        <v>0</v>
      </c>
      <c r="Q234" s="61">
        <f t="shared" si="239"/>
        <v>0</v>
      </c>
      <c r="R234" s="61">
        <f t="shared" si="239"/>
        <v>0</v>
      </c>
      <c r="S234" s="61">
        <f t="shared" si="239"/>
        <v>0</v>
      </c>
      <c r="T234" s="61">
        <f>SUM(N234:S234)</f>
        <v>0</v>
      </c>
      <c r="U234" s="61">
        <f>T234+L234</f>
        <v>0</v>
      </c>
      <c r="V234" s="61">
        <f>V229</f>
        <v>0</v>
      </c>
      <c r="W234" s="72">
        <f>V234-U234</f>
        <v>0</v>
      </c>
      <c r="X234" s="63">
        <f>U229-U234</f>
        <v>0</v>
      </c>
    </row>
    <row r="235" spans="1:24" s="43" customFormat="1" ht="18" hidden="1" customHeight="1">
      <c r="A235" s="610"/>
      <c r="B235" s="581"/>
      <c r="C235" s="581"/>
      <c r="D235" s="202" t="str">
        <f>серпень!D235</f>
        <v>план</v>
      </c>
      <c r="E235" s="42"/>
      <c r="F235" s="42">
        <f t="shared" ref="F235:K235" si="240">F229</f>
        <v>0</v>
      </c>
      <c r="G235" s="42">
        <f t="shared" si="240"/>
        <v>0</v>
      </c>
      <c r="H235" s="42">
        <f t="shared" si="240"/>
        <v>0</v>
      </c>
      <c r="I235" s="42">
        <f t="shared" si="240"/>
        <v>0</v>
      </c>
      <c r="J235" s="42">
        <f t="shared" si="240"/>
        <v>0</v>
      </c>
      <c r="K235" s="42">
        <f t="shared" si="240"/>
        <v>0</v>
      </c>
      <c r="L235" s="42">
        <f>SUM(F235:K235)</f>
        <v>0</v>
      </c>
      <c r="M235" s="42">
        <f>L235/6</f>
        <v>0</v>
      </c>
      <c r="N235" s="42">
        <f t="shared" ref="N235:S235" si="241">N229+N228</f>
        <v>0</v>
      </c>
      <c r="O235" s="42">
        <f t="shared" si="241"/>
        <v>0</v>
      </c>
      <c r="P235" s="42">
        <f t="shared" si="241"/>
        <v>0</v>
      </c>
      <c r="Q235" s="42">
        <f t="shared" si="241"/>
        <v>0</v>
      </c>
      <c r="R235" s="42">
        <f t="shared" si="241"/>
        <v>0</v>
      </c>
      <c r="S235" s="42">
        <f t="shared" si="241"/>
        <v>0</v>
      </c>
      <c r="T235" s="42">
        <f>SUM(N235:S235)</f>
        <v>0</v>
      </c>
      <c r="U235" s="42">
        <f>T235+L235</f>
        <v>0</v>
      </c>
      <c r="V235" s="42">
        <f>V232</f>
        <v>0</v>
      </c>
      <c r="W235" s="42">
        <f>V235-U235</f>
        <v>0</v>
      </c>
    </row>
    <row r="236" spans="1:24" s="43" customFormat="1" ht="18" hidden="1" customHeight="1">
      <c r="A236" s="610"/>
      <c r="B236" s="581"/>
      <c r="C236" s="581"/>
      <c r="D236" s="202" t="str">
        <f>серпень!D236</f>
        <v xml:space="preserve">відхилення </v>
      </c>
      <c r="E236" s="42"/>
      <c r="F236" s="42">
        <f t="shared" ref="F236:K236" si="242">F232-F235</f>
        <v>0</v>
      </c>
      <c r="G236" s="42">
        <f t="shared" si="242"/>
        <v>0</v>
      </c>
      <c r="H236" s="42">
        <f t="shared" si="242"/>
        <v>0</v>
      </c>
      <c r="I236" s="42">
        <f t="shared" si="242"/>
        <v>0</v>
      </c>
      <c r="J236" s="42">
        <f t="shared" si="242"/>
        <v>0</v>
      </c>
      <c r="K236" s="42">
        <f t="shared" si="242"/>
        <v>0</v>
      </c>
      <c r="L236" s="42"/>
      <c r="M236" s="42"/>
      <c r="N236" s="42">
        <f t="shared" ref="N236:S236" si="243">N232-N235</f>
        <v>0</v>
      </c>
      <c r="O236" s="42">
        <f t="shared" si="243"/>
        <v>0</v>
      </c>
      <c r="P236" s="42">
        <f t="shared" si="243"/>
        <v>0</v>
      </c>
      <c r="Q236" s="42">
        <f t="shared" si="243"/>
        <v>0</v>
      </c>
      <c r="R236" s="42">
        <f t="shared" si="243"/>
        <v>0</v>
      </c>
      <c r="S236" s="42">
        <f t="shared" si="243"/>
        <v>0</v>
      </c>
      <c r="T236" s="42"/>
      <c r="U236" s="42"/>
      <c r="V236" s="42"/>
      <c r="W236" s="42"/>
    </row>
    <row r="237" spans="1:24" s="43" customFormat="1" ht="18" hidden="1" customHeight="1">
      <c r="A237" s="610"/>
      <c r="B237" s="581"/>
      <c r="C237" s="581"/>
      <c r="D237" s="202" t="str">
        <f>серпень!D237</f>
        <v>відхилення з наростаючим</v>
      </c>
      <c r="E237" s="42"/>
      <c r="F237" s="42">
        <f>F236</f>
        <v>0</v>
      </c>
      <c r="G237" s="42">
        <f>G236+F237</f>
        <v>0</v>
      </c>
      <c r="H237" s="42">
        <f>H236+G237</f>
        <v>0</v>
      </c>
      <c r="I237" s="42">
        <f>I236+H237</f>
        <v>0</v>
      </c>
      <c r="J237" s="42">
        <f>J236+I237</f>
        <v>0</v>
      </c>
      <c r="K237" s="42">
        <f>K236+J237</f>
        <v>0</v>
      </c>
      <c r="L237" s="42"/>
      <c r="M237" s="42"/>
      <c r="N237" s="42">
        <f>N236+K237</f>
        <v>0</v>
      </c>
      <c r="O237" s="42">
        <f>O236+N237</f>
        <v>0</v>
      </c>
      <c r="P237" s="42">
        <f>P236+O237</f>
        <v>0</v>
      </c>
      <c r="Q237" s="42">
        <f>Q236+P237</f>
        <v>0</v>
      </c>
      <c r="R237" s="42">
        <f>R236+Q237</f>
        <v>0</v>
      </c>
      <c r="S237" s="42">
        <f>S236+R237</f>
        <v>0</v>
      </c>
      <c r="T237" s="42"/>
      <c r="U237" s="42"/>
      <c r="V237" s="42"/>
      <c r="W237" s="42"/>
    </row>
    <row r="238" spans="1:24" s="48" customFormat="1" ht="18" hidden="1" customHeight="1">
      <c r="A238" s="610"/>
      <c r="B238" s="576" t="s">
        <v>56</v>
      </c>
      <c r="C238" s="577"/>
      <c r="D238" s="178" t="str">
        <f>серпень!D238</f>
        <v>факт. нат.п-ки 2023</v>
      </c>
      <c r="E238" s="11"/>
      <c r="F238" s="12"/>
      <c r="G238" s="12"/>
      <c r="H238" s="12"/>
      <c r="I238" s="12"/>
      <c r="J238" s="12"/>
      <c r="K238" s="12"/>
      <c r="L238" s="65">
        <f>SUM(F238:K238)</f>
        <v>0</v>
      </c>
      <c r="M238" s="65">
        <f>L238/6</f>
        <v>0</v>
      </c>
      <c r="N238" s="12"/>
      <c r="O238" s="12"/>
      <c r="P238" s="12"/>
      <c r="Q238" s="12"/>
      <c r="R238" s="12"/>
      <c r="S238" s="12"/>
      <c r="T238" s="65">
        <f>SUM(N238:S238)</f>
        <v>0</v>
      </c>
      <c r="U238" s="66">
        <f>T238+L238</f>
        <v>0</v>
      </c>
      <c r="V238" s="67"/>
      <c r="W238" s="38">
        <f>V238-U238</f>
        <v>0</v>
      </c>
      <c r="X238" s="47"/>
    </row>
    <row r="239" spans="1:24" s="48" customFormat="1" ht="18" hidden="1" customHeight="1">
      <c r="A239" s="610"/>
      <c r="B239" s="576"/>
      <c r="C239" s="577"/>
      <c r="D239" s="178" t="str">
        <f>серпень!D239</f>
        <v>факт. нат.п-ки 2024</v>
      </c>
      <c r="E239" s="11"/>
      <c r="F239" s="12"/>
      <c r="G239" s="12"/>
      <c r="H239" s="12"/>
      <c r="I239" s="12"/>
      <c r="J239" s="12"/>
      <c r="K239" s="12"/>
      <c r="L239" s="65">
        <f>SUM(F239:K239)</f>
        <v>0</v>
      </c>
      <c r="M239" s="65">
        <f>L239/6</f>
        <v>0</v>
      </c>
      <c r="N239" s="11"/>
      <c r="O239" s="11"/>
      <c r="P239" s="11"/>
      <c r="Q239" s="11"/>
      <c r="R239" s="11"/>
      <c r="S239" s="11"/>
      <c r="T239" s="65">
        <f>SUM(N239:S239)</f>
        <v>0</v>
      </c>
      <c r="U239" s="66">
        <f>T239+L239</f>
        <v>0</v>
      </c>
      <c r="V239" s="67"/>
      <c r="W239" s="38">
        <f>V239-U239</f>
        <v>0</v>
      </c>
      <c r="X239" s="47"/>
    </row>
    <row r="240" spans="1:24" s="48" customFormat="1" ht="18" hidden="1" customHeight="1">
      <c r="A240" s="610"/>
      <c r="B240" s="576"/>
      <c r="C240" s="577"/>
      <c r="D240" s="178" t="str">
        <f>серпень!D240</f>
        <v>факт. нат.п-ки 2025</v>
      </c>
      <c r="E240" s="11"/>
      <c r="F240" s="12"/>
      <c r="G240" s="12"/>
      <c r="H240" s="12"/>
      <c r="I240" s="12"/>
      <c r="J240" s="12"/>
      <c r="K240" s="12"/>
      <c r="L240" s="65">
        <f>SUM(F240:K240)</f>
        <v>0</v>
      </c>
      <c r="M240" s="65">
        <f>L240/6</f>
        <v>0</v>
      </c>
      <c r="N240" s="12"/>
      <c r="O240" s="12"/>
      <c r="P240" s="12"/>
      <c r="Q240" s="12"/>
      <c r="R240" s="12"/>
      <c r="S240" s="11"/>
      <c r="T240" s="65">
        <f>SUM(N240:S240)</f>
        <v>0</v>
      </c>
      <c r="U240" s="66">
        <f>T240+L240</f>
        <v>0</v>
      </c>
      <c r="V240" s="11"/>
      <c r="W240" s="38">
        <f>V240-U240</f>
        <v>0</v>
      </c>
      <c r="X240" s="47"/>
    </row>
    <row r="241" spans="1:24" s="51" customFormat="1" ht="18" hidden="1" customHeight="1">
      <c r="A241" s="610"/>
      <c r="B241" s="576"/>
      <c r="C241" s="577"/>
      <c r="D241" s="187" t="str">
        <f>серпень!D241</f>
        <v>тариф, грн.</v>
      </c>
      <c r="E241" s="49"/>
      <c r="F241" s="49">
        <v>1655.08</v>
      </c>
      <c r="G241" s="49">
        <v>1655.08</v>
      </c>
      <c r="H241" s="49">
        <v>1655.08</v>
      </c>
      <c r="I241" s="49">
        <v>1655.08</v>
      </c>
      <c r="J241" s="49">
        <v>1655.08</v>
      </c>
      <c r="K241" s="49">
        <v>1655.08</v>
      </c>
      <c r="L241" s="49" t="e">
        <f>L242/L240*1000</f>
        <v>#DIV/0!</v>
      </c>
      <c r="M241" s="49" t="e">
        <f>M242/M240*1000</f>
        <v>#DIV/0!</v>
      </c>
      <c r="N241" s="49">
        <v>1655.08</v>
      </c>
      <c r="O241" s="49">
        <v>1655.08</v>
      </c>
      <c r="P241" s="49">
        <v>1655.08</v>
      </c>
      <c r="Q241" s="49">
        <v>1655.08</v>
      </c>
      <c r="R241" s="49">
        <v>1655.08</v>
      </c>
      <c r="S241" s="49">
        <v>1655.08</v>
      </c>
      <c r="T241" s="49" t="e">
        <f>T242/T240*1000</f>
        <v>#DIV/0!</v>
      </c>
      <c r="U241" s="49" t="e">
        <f>U242/U240*1000</f>
        <v>#DIV/0!</v>
      </c>
      <c r="V241" s="68" t="e">
        <f>V242/V240*1000</f>
        <v>#DIV/0!</v>
      </c>
      <c r="W241" s="14" t="e">
        <f>W242/W240*1000</f>
        <v>#DIV/0!</v>
      </c>
      <c r="X241" s="59"/>
    </row>
    <row r="242" spans="1:24" s="55" customFormat="1" ht="18" hidden="1" customHeight="1">
      <c r="A242" s="610"/>
      <c r="B242" s="576"/>
      <c r="C242" s="577"/>
      <c r="D242" s="191" t="str">
        <f>серпень!D242</f>
        <v>сума, тис.грн.</v>
      </c>
      <c r="E242" s="52"/>
      <c r="F242" s="52">
        <f t="shared" ref="F242:K242" si="244">F240*F241/1000</f>
        <v>0</v>
      </c>
      <c r="G242" s="52">
        <f t="shared" si="244"/>
        <v>0</v>
      </c>
      <c r="H242" s="52">
        <f t="shared" si="244"/>
        <v>0</v>
      </c>
      <c r="I242" s="52">
        <f t="shared" si="244"/>
        <v>0</v>
      </c>
      <c r="J242" s="52">
        <f t="shared" si="244"/>
        <v>0</v>
      </c>
      <c r="K242" s="52">
        <f t="shared" si="244"/>
        <v>0</v>
      </c>
      <c r="L242" s="69">
        <f>SUM(F242:K242)</f>
        <v>0</v>
      </c>
      <c r="M242" s="69">
        <f>L242/6</f>
        <v>0</v>
      </c>
      <c r="N242" s="52">
        <f t="shared" ref="N242:S242" si="245">N240*N241/1000</f>
        <v>0</v>
      </c>
      <c r="O242" s="52">
        <f t="shared" si="245"/>
        <v>0</v>
      </c>
      <c r="P242" s="52">
        <f t="shared" si="245"/>
        <v>0</v>
      </c>
      <c r="Q242" s="52">
        <f t="shared" si="245"/>
        <v>0</v>
      </c>
      <c r="R242" s="52">
        <f t="shared" si="245"/>
        <v>0</v>
      </c>
      <c r="S242" s="52">
        <f t="shared" si="245"/>
        <v>0</v>
      </c>
      <c r="T242" s="69">
        <f>SUM(N242:S242)</f>
        <v>0</v>
      </c>
      <c r="U242" s="69">
        <f>T242+L242</f>
        <v>0</v>
      </c>
      <c r="V242" s="70">
        <f>V243+V244</f>
        <v>0</v>
      </c>
      <c r="W242" s="53">
        <f>V242-U242</f>
        <v>0</v>
      </c>
      <c r="X242" s="54">
        <f>2726951.723/1000</f>
        <v>2726.9520000000002</v>
      </c>
    </row>
    <row r="243" spans="1:24" s="55" customFormat="1" ht="18" hidden="1" customHeight="1">
      <c r="A243" s="610"/>
      <c r="B243" s="576"/>
      <c r="C243" s="577"/>
      <c r="D243" s="174" t="str">
        <f>серпень!D243</f>
        <v>дотація</v>
      </c>
      <c r="E243" s="56"/>
      <c r="F243" s="52"/>
      <c r="G243" s="52"/>
      <c r="H243" s="52"/>
      <c r="I243" s="52"/>
      <c r="J243" s="52"/>
      <c r="K243" s="52"/>
      <c r="L243" s="69">
        <f>SUM(F243:K243)</f>
        <v>0</v>
      </c>
      <c r="M243" s="69">
        <f>L243/6</f>
        <v>0</v>
      </c>
      <c r="N243" s="52"/>
      <c r="O243" s="52"/>
      <c r="P243" s="52"/>
      <c r="Q243" s="52"/>
      <c r="R243" s="52"/>
      <c r="S243" s="52"/>
      <c r="T243" s="69">
        <f>SUM(N243:S243)</f>
        <v>0</v>
      </c>
      <c r="U243" s="69">
        <f>T243+L243</f>
        <v>0</v>
      </c>
      <c r="V243" s="70">
        <v>0</v>
      </c>
      <c r="W243" s="53">
        <f>V243-U243</f>
        <v>0</v>
      </c>
      <c r="X243" s="58"/>
    </row>
    <row r="244" spans="1:24" s="55" customFormat="1" ht="18" hidden="1" customHeight="1">
      <c r="A244" s="610"/>
      <c r="B244" s="576"/>
      <c r="C244" s="577"/>
      <c r="D244" s="174" t="str">
        <f>серпень!D244</f>
        <v>місцевий (план), тис.грн</v>
      </c>
      <c r="E244" s="56"/>
      <c r="F244" s="52"/>
      <c r="G244" s="52"/>
      <c r="H244" s="52"/>
      <c r="I244" s="52"/>
      <c r="J244" s="52"/>
      <c r="K244" s="52"/>
      <c r="L244" s="69">
        <f>SUM(F244:K244)</f>
        <v>0</v>
      </c>
      <c r="M244" s="69">
        <f>L244/6</f>
        <v>0</v>
      </c>
      <c r="N244" s="52"/>
      <c r="O244" s="52"/>
      <c r="P244" s="52"/>
      <c r="Q244" s="52"/>
      <c r="R244" s="52"/>
      <c r="S244" s="52"/>
      <c r="T244" s="69">
        <f>SUM(N244:S244)</f>
        <v>0</v>
      </c>
      <c r="U244" s="69">
        <f>T244+L244</f>
        <v>0</v>
      </c>
      <c r="V244" s="70"/>
      <c r="W244" s="53">
        <f>V244-U244</f>
        <v>0</v>
      </c>
      <c r="X244" s="58"/>
    </row>
    <row r="245" spans="1:24" s="48" customFormat="1" ht="18" hidden="1" customHeight="1">
      <c r="A245" s="610"/>
      <c r="B245" s="576"/>
      <c r="C245" s="577"/>
      <c r="D245" s="178" t="str">
        <f>серпень!D245</f>
        <v>касові нат.п-ки 2025</v>
      </c>
      <c r="E245" s="11"/>
      <c r="F245" s="11"/>
      <c r="G245" s="11"/>
      <c r="H245" s="11"/>
      <c r="I245" s="11"/>
      <c r="J245" s="11"/>
      <c r="K245" s="11"/>
      <c r="L245" s="65">
        <f>SUM(F245:K245)</f>
        <v>0</v>
      </c>
      <c r="M245" s="65">
        <f>L245/6</f>
        <v>0</v>
      </c>
      <c r="N245" s="11"/>
      <c r="O245" s="11"/>
      <c r="P245" s="11"/>
      <c r="Q245" s="11"/>
      <c r="R245" s="11"/>
      <c r="S245" s="11">
        <f>S240+R240</f>
        <v>0</v>
      </c>
      <c r="T245" s="65">
        <f>SUM(N245:S245)</f>
        <v>0</v>
      </c>
      <c r="U245" s="65">
        <f>T245+L245</f>
        <v>0</v>
      </c>
      <c r="V245" s="11">
        <f>V240</f>
        <v>0</v>
      </c>
      <c r="W245" s="38">
        <f>V245-U245</f>
        <v>0</v>
      </c>
      <c r="X245" s="47">
        <f>U240-U245</f>
        <v>0</v>
      </c>
    </row>
    <row r="246" spans="1:24" s="51" customFormat="1" ht="18" hidden="1" customHeight="1">
      <c r="A246" s="610"/>
      <c r="B246" s="576"/>
      <c r="C246" s="577"/>
      <c r="D246" s="187" t="str">
        <f>серпень!D246</f>
        <v>тариф, грн.</v>
      </c>
      <c r="E246" s="49" t="e">
        <f>E247/E245*1000</f>
        <v>#DIV/0!</v>
      </c>
      <c r="F246" s="49">
        <v>1655.08</v>
      </c>
      <c r="G246" s="49">
        <v>1655.08</v>
      </c>
      <c r="H246" s="49">
        <v>1655.08</v>
      </c>
      <c r="I246" s="49">
        <v>1655.08</v>
      </c>
      <c r="J246" s="49">
        <v>1655.08</v>
      </c>
      <c r="K246" s="49">
        <v>1655.08</v>
      </c>
      <c r="L246" s="49" t="e">
        <f>L247/L245*1000</f>
        <v>#DIV/0!</v>
      </c>
      <c r="M246" s="49" t="e">
        <f>M247/M245*1000</f>
        <v>#DIV/0!</v>
      </c>
      <c r="N246" s="49">
        <v>1655.08</v>
      </c>
      <c r="O246" s="49">
        <v>1655.08</v>
      </c>
      <c r="P246" s="49">
        <v>1655.08</v>
      </c>
      <c r="Q246" s="49">
        <v>1655.08</v>
      </c>
      <c r="R246" s="49">
        <v>1655.08</v>
      </c>
      <c r="S246" s="49">
        <v>1655.08</v>
      </c>
      <c r="T246" s="49" t="e">
        <f>T247/T245*1000</f>
        <v>#DIV/0!</v>
      </c>
      <c r="U246" s="49" t="e">
        <f>U247/U245*1000</f>
        <v>#DIV/0!</v>
      </c>
      <c r="V246" s="68" t="e">
        <f>V247/V245*1000</f>
        <v>#DIV/0!</v>
      </c>
      <c r="W246" s="14" t="e">
        <f>W247/W245*1000</f>
        <v>#DIV/0!</v>
      </c>
      <c r="X246" s="59"/>
    </row>
    <row r="247" spans="1:24" s="63" customFormat="1" ht="18" hidden="1" customHeight="1">
      <c r="A247" s="610"/>
      <c r="B247" s="576"/>
      <c r="C247" s="577"/>
      <c r="D247" s="198" t="str">
        <f>серпень!D247</f>
        <v>касові видатки, тис.грн.</v>
      </c>
      <c r="E247" s="71"/>
      <c r="F247" s="61">
        <f t="shared" ref="F247:K247" si="246">F245*F246/1000</f>
        <v>0</v>
      </c>
      <c r="G247" s="61">
        <f t="shared" si="246"/>
        <v>0</v>
      </c>
      <c r="H247" s="61">
        <f t="shared" si="246"/>
        <v>0</v>
      </c>
      <c r="I247" s="61">
        <f t="shared" si="246"/>
        <v>0</v>
      </c>
      <c r="J247" s="61">
        <f t="shared" si="246"/>
        <v>0</v>
      </c>
      <c r="K247" s="61">
        <f t="shared" si="246"/>
        <v>0</v>
      </c>
      <c r="L247" s="61">
        <f>SUM(F247:K247)</f>
        <v>0</v>
      </c>
      <c r="M247" s="61">
        <f>L247/6</f>
        <v>0</v>
      </c>
      <c r="N247" s="61">
        <f t="shared" ref="N247:S247" si="247">N245*N246/1000</f>
        <v>0</v>
      </c>
      <c r="O247" s="61">
        <f t="shared" si="247"/>
        <v>0</v>
      </c>
      <c r="P247" s="61">
        <f t="shared" si="247"/>
        <v>0</v>
      </c>
      <c r="Q247" s="61">
        <f t="shared" si="247"/>
        <v>0</v>
      </c>
      <c r="R247" s="61">
        <f t="shared" si="247"/>
        <v>0</v>
      </c>
      <c r="S247" s="61">
        <f t="shared" si="247"/>
        <v>0</v>
      </c>
      <c r="T247" s="61">
        <f>SUM(N247:S247)</f>
        <v>0</v>
      </c>
      <c r="U247" s="61">
        <f>T247+L247</f>
        <v>0</v>
      </c>
      <c r="V247" s="61">
        <f>V242</f>
        <v>0</v>
      </c>
      <c r="W247" s="72">
        <f>V247-U247</f>
        <v>0</v>
      </c>
      <c r="X247" s="63">
        <f>U242-U247</f>
        <v>0</v>
      </c>
    </row>
    <row r="248" spans="1:24" s="63" customFormat="1" ht="18" hidden="1" customHeight="1">
      <c r="A248" s="610"/>
      <c r="B248" s="576"/>
      <c r="C248" s="577"/>
      <c r="D248" s="201" t="str">
        <f>серпень!D248</f>
        <v>дотація</v>
      </c>
      <c r="E248" s="71"/>
      <c r="F248" s="61"/>
      <c r="G248" s="61"/>
      <c r="H248" s="61"/>
      <c r="I248" s="61"/>
      <c r="J248" s="61"/>
      <c r="K248" s="61"/>
      <c r="L248" s="61">
        <f>SUM(F248:K248)</f>
        <v>0</v>
      </c>
      <c r="M248" s="61">
        <f>L248/6</f>
        <v>0</v>
      </c>
      <c r="N248" s="61"/>
      <c r="O248" s="61"/>
      <c r="P248" s="61"/>
      <c r="Q248" s="61"/>
      <c r="R248" s="61"/>
      <c r="S248" s="61"/>
      <c r="T248" s="61">
        <f>SUM(N248:S248)</f>
        <v>0</v>
      </c>
      <c r="U248" s="61">
        <f>T248+L248</f>
        <v>0</v>
      </c>
      <c r="V248" s="61">
        <f>V243</f>
        <v>0</v>
      </c>
      <c r="W248" s="72">
        <f>V248-U248</f>
        <v>0</v>
      </c>
      <c r="X248" s="63">
        <f>U243-U248</f>
        <v>0</v>
      </c>
    </row>
    <row r="249" spans="1:24" s="63" customFormat="1" ht="18" hidden="1" customHeight="1">
      <c r="A249" s="610"/>
      <c r="B249" s="576"/>
      <c r="C249" s="577"/>
      <c r="D249" s="201" t="str">
        <f>серпень!D249</f>
        <v xml:space="preserve">місцевий </v>
      </c>
      <c r="E249" s="71"/>
      <c r="F249" s="61">
        <f t="shared" ref="F249:K249" si="248">F247-F248</f>
        <v>0</v>
      </c>
      <c r="G249" s="61">
        <f t="shared" si="248"/>
        <v>0</v>
      </c>
      <c r="H249" s="61">
        <f t="shared" si="248"/>
        <v>0</v>
      </c>
      <c r="I249" s="61">
        <f t="shared" si="248"/>
        <v>0</v>
      </c>
      <c r="J249" s="61">
        <f t="shared" si="248"/>
        <v>0</v>
      </c>
      <c r="K249" s="61">
        <f t="shared" si="248"/>
        <v>0</v>
      </c>
      <c r="L249" s="61">
        <f>SUM(F249:K249)</f>
        <v>0</v>
      </c>
      <c r="M249" s="61">
        <f>L249/6</f>
        <v>0</v>
      </c>
      <c r="N249" s="61">
        <f t="shared" ref="N249:S249" si="249">N247-N248</f>
        <v>0</v>
      </c>
      <c r="O249" s="61">
        <f t="shared" si="249"/>
        <v>0</v>
      </c>
      <c r="P249" s="61">
        <f t="shared" si="249"/>
        <v>0</v>
      </c>
      <c r="Q249" s="61">
        <f t="shared" si="249"/>
        <v>0</v>
      </c>
      <c r="R249" s="61">
        <f t="shared" si="249"/>
        <v>0</v>
      </c>
      <c r="S249" s="61">
        <f t="shared" si="249"/>
        <v>0</v>
      </c>
      <c r="T249" s="61">
        <f>SUM(N249:S249)</f>
        <v>0</v>
      </c>
      <c r="U249" s="61">
        <f>T249+L249</f>
        <v>0</v>
      </c>
      <c r="V249" s="61">
        <f>V244</f>
        <v>0</v>
      </c>
      <c r="W249" s="72">
        <f>V249-U249</f>
        <v>0</v>
      </c>
      <c r="X249" s="63">
        <f>U244-U249</f>
        <v>0</v>
      </c>
    </row>
    <row r="250" spans="1:24" s="43" customFormat="1" ht="18" hidden="1" customHeight="1">
      <c r="A250" s="610"/>
      <c r="B250" s="576"/>
      <c r="C250" s="577"/>
      <c r="D250" s="202" t="str">
        <f>серпень!D250</f>
        <v>план</v>
      </c>
      <c r="E250" s="42"/>
      <c r="F250" s="42">
        <f t="shared" ref="F250:K250" si="250">F244</f>
        <v>0</v>
      </c>
      <c r="G250" s="42">
        <f t="shared" si="250"/>
        <v>0</v>
      </c>
      <c r="H250" s="42">
        <f t="shared" si="250"/>
        <v>0</v>
      </c>
      <c r="I250" s="42">
        <f t="shared" si="250"/>
        <v>0</v>
      </c>
      <c r="J250" s="42">
        <f t="shared" si="250"/>
        <v>0</v>
      </c>
      <c r="K250" s="42">
        <f t="shared" si="250"/>
        <v>0</v>
      </c>
      <c r="L250" s="42">
        <f>SUM(F250:K250)</f>
        <v>0</v>
      </c>
      <c r="M250" s="42">
        <f>L250/6</f>
        <v>0</v>
      </c>
      <c r="N250" s="42">
        <f t="shared" ref="N250:S250" si="251">N244+N243</f>
        <v>0</v>
      </c>
      <c r="O250" s="42">
        <f t="shared" si="251"/>
        <v>0</v>
      </c>
      <c r="P250" s="42">
        <f t="shared" si="251"/>
        <v>0</v>
      </c>
      <c r="Q250" s="42">
        <f t="shared" si="251"/>
        <v>0</v>
      </c>
      <c r="R250" s="42">
        <f t="shared" si="251"/>
        <v>0</v>
      </c>
      <c r="S250" s="42">
        <f t="shared" si="251"/>
        <v>0</v>
      </c>
      <c r="T250" s="42">
        <f>SUM(N250:S250)</f>
        <v>0</v>
      </c>
      <c r="U250" s="42">
        <f>T250+L250</f>
        <v>0</v>
      </c>
      <c r="V250" s="42">
        <f>V247</f>
        <v>0</v>
      </c>
      <c r="W250" s="42">
        <f>V250-U250</f>
        <v>0</v>
      </c>
    </row>
    <row r="251" spans="1:24" s="43" customFormat="1" ht="18" hidden="1" customHeight="1">
      <c r="A251" s="610"/>
      <c r="B251" s="576"/>
      <c r="C251" s="577"/>
      <c r="D251" s="202" t="str">
        <f>серпень!D251</f>
        <v xml:space="preserve">відхилення </v>
      </c>
      <c r="E251" s="42"/>
      <c r="F251" s="42">
        <f t="shared" ref="F251:K251" si="252">F247-F250</f>
        <v>0</v>
      </c>
      <c r="G251" s="42">
        <f t="shared" si="252"/>
        <v>0</v>
      </c>
      <c r="H251" s="42">
        <f t="shared" si="252"/>
        <v>0</v>
      </c>
      <c r="I251" s="42">
        <f t="shared" si="252"/>
        <v>0</v>
      </c>
      <c r="J251" s="42">
        <f t="shared" si="252"/>
        <v>0</v>
      </c>
      <c r="K251" s="42">
        <f t="shared" si="252"/>
        <v>0</v>
      </c>
      <c r="L251" s="42"/>
      <c r="M251" s="42"/>
      <c r="N251" s="42">
        <f t="shared" ref="N251:S251" si="253">N247-N250</f>
        <v>0</v>
      </c>
      <c r="O251" s="42">
        <f t="shared" si="253"/>
        <v>0</v>
      </c>
      <c r="P251" s="42">
        <f t="shared" si="253"/>
        <v>0</v>
      </c>
      <c r="Q251" s="42">
        <f t="shared" si="253"/>
        <v>0</v>
      </c>
      <c r="R251" s="42">
        <f t="shared" si="253"/>
        <v>0</v>
      </c>
      <c r="S251" s="42">
        <f t="shared" si="253"/>
        <v>0</v>
      </c>
      <c r="T251" s="42"/>
      <c r="U251" s="42"/>
      <c r="V251" s="42"/>
      <c r="W251" s="42"/>
    </row>
    <row r="252" spans="1:24" s="43" customFormat="1" ht="18" hidden="1" customHeight="1">
      <c r="A252" s="611"/>
      <c r="B252" s="578"/>
      <c r="C252" s="579"/>
      <c r="D252" s="202" t="str">
        <f>серпень!D252</f>
        <v>відхилення з наростаючим</v>
      </c>
      <c r="E252" s="42"/>
      <c r="F252" s="42">
        <f>F251</f>
        <v>0</v>
      </c>
      <c r="G252" s="42">
        <f>G251+F252</f>
        <v>0</v>
      </c>
      <c r="H252" s="42">
        <f>H251+G252</f>
        <v>0</v>
      </c>
      <c r="I252" s="42">
        <f>I251+H252</f>
        <v>0</v>
      </c>
      <c r="J252" s="42">
        <f>J251+I252</f>
        <v>0</v>
      </c>
      <c r="K252" s="42">
        <f>K251+J252</f>
        <v>0</v>
      </c>
      <c r="L252" s="42"/>
      <c r="M252" s="42"/>
      <c r="N252" s="42">
        <f>N251+K252</f>
        <v>0</v>
      </c>
      <c r="O252" s="42">
        <f>O251+N252</f>
        <v>0</v>
      </c>
      <c r="P252" s="42">
        <f>P251+O252</f>
        <v>0</v>
      </c>
      <c r="Q252" s="42">
        <f>Q251+P252</f>
        <v>0</v>
      </c>
      <c r="R252" s="42">
        <f>R251+Q252</f>
        <v>0</v>
      </c>
      <c r="S252" s="42">
        <f>S251+R252</f>
        <v>0</v>
      </c>
      <c r="T252" s="42"/>
      <c r="U252" s="42"/>
      <c r="V252" s="42"/>
      <c r="W252" s="42"/>
    </row>
    <row r="253" spans="1:24" s="186" customFormat="1" ht="18" hidden="1" customHeight="1">
      <c r="A253" s="609" t="s">
        <v>58</v>
      </c>
      <c r="B253" s="659" t="s">
        <v>62</v>
      </c>
      <c r="C253" s="660"/>
      <c r="D253" s="178" t="str">
        <f>серпень!D253</f>
        <v>факт. нат.п-ки 2023</v>
      </c>
      <c r="E253" s="179"/>
      <c r="F253" s="180">
        <f t="shared" ref="F253:K255" si="254">F270+F300</f>
        <v>0</v>
      </c>
      <c r="G253" s="180">
        <f t="shared" si="254"/>
        <v>0</v>
      </c>
      <c r="H253" s="180">
        <f t="shared" si="254"/>
        <v>0</v>
      </c>
      <c r="I253" s="180">
        <f t="shared" si="254"/>
        <v>0</v>
      </c>
      <c r="J253" s="180">
        <f t="shared" si="254"/>
        <v>0</v>
      </c>
      <c r="K253" s="180">
        <f t="shared" si="254"/>
        <v>0</v>
      </c>
      <c r="L253" s="207">
        <f>SUM(F253:K253)</f>
        <v>0</v>
      </c>
      <c r="M253" s="207">
        <f>L253/6</f>
        <v>0</v>
      </c>
      <c r="N253" s="180">
        <f t="shared" ref="N253:S255" si="255">N270+N300</f>
        <v>0</v>
      </c>
      <c r="O253" s="180">
        <f t="shared" si="255"/>
        <v>0</v>
      </c>
      <c r="P253" s="180">
        <f t="shared" si="255"/>
        <v>0</v>
      </c>
      <c r="Q253" s="180">
        <f t="shared" si="255"/>
        <v>0</v>
      </c>
      <c r="R253" s="180">
        <f t="shared" si="255"/>
        <v>0</v>
      </c>
      <c r="S253" s="180">
        <f t="shared" si="255"/>
        <v>0</v>
      </c>
      <c r="T253" s="207">
        <f>SUM(N253:S253)</f>
        <v>0</v>
      </c>
      <c r="U253" s="222">
        <f>T253+L253</f>
        <v>0</v>
      </c>
      <c r="V253" s="183">
        <f>V270+V300</f>
        <v>0</v>
      </c>
      <c r="W253" s="184"/>
      <c r="X253" s="185"/>
    </row>
    <row r="254" spans="1:24" s="186" customFormat="1" ht="18" hidden="1" customHeight="1">
      <c r="A254" s="610"/>
      <c r="B254" s="661"/>
      <c r="C254" s="662"/>
      <c r="D254" s="178" t="str">
        <f>серпень!D254</f>
        <v>факт. нат.п-ки 2024</v>
      </c>
      <c r="E254" s="179"/>
      <c r="F254" s="180">
        <f t="shared" si="254"/>
        <v>0</v>
      </c>
      <c r="G254" s="180">
        <f t="shared" si="254"/>
        <v>0</v>
      </c>
      <c r="H254" s="180">
        <f t="shared" si="254"/>
        <v>0</v>
      </c>
      <c r="I254" s="180">
        <f t="shared" si="254"/>
        <v>0</v>
      </c>
      <c r="J254" s="180">
        <f t="shared" si="254"/>
        <v>0</v>
      </c>
      <c r="K254" s="180">
        <f t="shared" si="254"/>
        <v>0</v>
      </c>
      <c r="L254" s="207">
        <f>SUM(F254:K254)</f>
        <v>0</v>
      </c>
      <c r="M254" s="207">
        <f>L254/6</f>
        <v>0</v>
      </c>
      <c r="N254" s="179">
        <f t="shared" si="255"/>
        <v>0</v>
      </c>
      <c r="O254" s="179">
        <f t="shared" si="255"/>
        <v>0</v>
      </c>
      <c r="P254" s="179">
        <f t="shared" si="255"/>
        <v>0</v>
      </c>
      <c r="Q254" s="179">
        <f t="shared" si="255"/>
        <v>0</v>
      </c>
      <c r="R254" s="179">
        <f t="shared" si="255"/>
        <v>0</v>
      </c>
      <c r="S254" s="179">
        <f t="shared" si="255"/>
        <v>0</v>
      </c>
      <c r="T254" s="207">
        <f>SUM(N254:S254)</f>
        <v>0</v>
      </c>
      <c r="U254" s="222">
        <f>T254+L254</f>
        <v>0</v>
      </c>
      <c r="V254" s="183">
        <f>V271+V301</f>
        <v>0</v>
      </c>
      <c r="W254" s="184"/>
      <c r="X254" s="185"/>
    </row>
    <row r="255" spans="1:24" s="186" customFormat="1" ht="18" hidden="1" customHeight="1">
      <c r="A255" s="610"/>
      <c r="B255" s="661"/>
      <c r="C255" s="662"/>
      <c r="D255" s="178" t="str">
        <f>серпень!D255</f>
        <v>факт. нат.п-ки 2025</v>
      </c>
      <c r="E255" s="179"/>
      <c r="F255" s="180">
        <f>F272+F302</f>
        <v>0</v>
      </c>
      <c r="G255" s="180">
        <f t="shared" si="254"/>
        <v>0</v>
      </c>
      <c r="H255" s="180">
        <f t="shared" si="254"/>
        <v>0</v>
      </c>
      <c r="I255" s="180">
        <f t="shared" si="254"/>
        <v>0</v>
      </c>
      <c r="J255" s="180">
        <f t="shared" si="254"/>
        <v>0</v>
      </c>
      <c r="K255" s="180">
        <f t="shared" si="254"/>
        <v>0</v>
      </c>
      <c r="L255" s="207">
        <f>SUM(F255:K255)</f>
        <v>0</v>
      </c>
      <c r="M255" s="207">
        <f>L255/6</f>
        <v>0</v>
      </c>
      <c r="N255" s="180">
        <f>N272+N302</f>
        <v>0</v>
      </c>
      <c r="O255" s="180">
        <f t="shared" si="255"/>
        <v>0</v>
      </c>
      <c r="P255" s="180">
        <f t="shared" si="255"/>
        <v>0</v>
      </c>
      <c r="Q255" s="180">
        <f t="shared" si="255"/>
        <v>0</v>
      </c>
      <c r="R255" s="180">
        <f t="shared" si="255"/>
        <v>0</v>
      </c>
      <c r="S255" s="180">
        <f t="shared" si="255"/>
        <v>0</v>
      </c>
      <c r="T255" s="207">
        <f>SUM(N255:S255)</f>
        <v>0</v>
      </c>
      <c r="U255" s="222">
        <f>T255+L255</f>
        <v>0</v>
      </c>
      <c r="V255" s="183">
        <f>V272+V287+V302+V317</f>
        <v>0</v>
      </c>
      <c r="W255" s="184">
        <f>V255-U255</f>
        <v>0</v>
      </c>
      <c r="X255" s="185"/>
    </row>
    <row r="256" spans="1:24" s="190" customFormat="1" ht="18" hidden="1" customHeight="1">
      <c r="A256" s="610"/>
      <c r="B256" s="661"/>
      <c r="C256" s="662"/>
      <c r="D256" s="187" t="str">
        <f>серпень!D256</f>
        <v>тариф, грн.</v>
      </c>
      <c r="E256" s="188"/>
      <c r="F256" s="188" t="e">
        <f>F257/F255*1000</f>
        <v>#DIV/0!</v>
      </c>
      <c r="G256" s="188" t="e">
        <f>G257/G255*1000</f>
        <v>#DIV/0!</v>
      </c>
      <c r="H256" s="188" t="e">
        <f>H257/H255*1000</f>
        <v>#DIV/0!</v>
      </c>
      <c r="I256" s="188" t="e">
        <f>I257/I255*1000</f>
        <v>#DIV/0!</v>
      </c>
      <c r="J256" s="188" t="e">
        <f>J257/J255*1000</f>
        <v>#DIV/0!</v>
      </c>
      <c r="K256" s="188" t="e">
        <f t="shared" ref="K256:S256" si="256">K257/K255*1000</f>
        <v>#DIV/0!</v>
      </c>
      <c r="L256" s="188" t="e">
        <f t="shared" si="256"/>
        <v>#DIV/0!</v>
      </c>
      <c r="M256" s="188" t="e">
        <f t="shared" si="256"/>
        <v>#DIV/0!</v>
      </c>
      <c r="N256" s="188" t="e">
        <f t="shared" si="256"/>
        <v>#DIV/0!</v>
      </c>
      <c r="O256" s="188" t="e">
        <f t="shared" si="256"/>
        <v>#DIV/0!</v>
      </c>
      <c r="P256" s="188" t="e">
        <f t="shared" si="256"/>
        <v>#DIV/0!</v>
      </c>
      <c r="Q256" s="188" t="e">
        <f t="shared" si="256"/>
        <v>#DIV/0!</v>
      </c>
      <c r="R256" s="188" t="e">
        <f t="shared" si="256"/>
        <v>#DIV/0!</v>
      </c>
      <c r="S256" s="188" t="e">
        <f t="shared" si="256"/>
        <v>#DIV/0!</v>
      </c>
      <c r="T256" s="188" t="e">
        <f>T257/T255*1000</f>
        <v>#DIV/0!</v>
      </c>
      <c r="U256" s="188" t="e">
        <f>U257/U255*1000</f>
        <v>#DIV/0!</v>
      </c>
      <c r="V256" s="188" t="e">
        <f>V257/V255*1000</f>
        <v>#DIV/0!</v>
      </c>
      <c r="W256" s="189" t="e">
        <f>W257/W255*1000</f>
        <v>#DIV/0!</v>
      </c>
      <c r="X256" s="225"/>
    </row>
    <row r="257" spans="1:28" s="228" customFormat="1" ht="18" hidden="1" customHeight="1">
      <c r="A257" s="610"/>
      <c r="B257" s="661"/>
      <c r="C257" s="662"/>
      <c r="D257" s="191" t="str">
        <f>серпень!D257</f>
        <v>сума, тис.грн.</v>
      </c>
      <c r="E257" s="192"/>
      <c r="F257" s="192">
        <f>F274+F304</f>
        <v>0</v>
      </c>
      <c r="G257" s="192">
        <f t="shared" ref="G257:K257" si="257">G274+G304</f>
        <v>0</v>
      </c>
      <c r="H257" s="192">
        <f t="shared" si="257"/>
        <v>0</v>
      </c>
      <c r="I257" s="192">
        <f t="shared" si="257"/>
        <v>0</v>
      </c>
      <c r="J257" s="192">
        <f t="shared" si="257"/>
        <v>0</v>
      </c>
      <c r="K257" s="192">
        <f t="shared" si="257"/>
        <v>0</v>
      </c>
      <c r="L257" s="192">
        <f t="shared" ref="L257:L262" si="258">SUM(F257:K257)</f>
        <v>0</v>
      </c>
      <c r="M257" s="192">
        <f t="shared" ref="M257:M262" si="259">L257/6</f>
        <v>0</v>
      </c>
      <c r="N257" s="192">
        <f>N274+N304</f>
        <v>0</v>
      </c>
      <c r="O257" s="192">
        <f t="shared" ref="O257:S257" si="260">O274+O304</f>
        <v>0</v>
      </c>
      <c r="P257" s="192">
        <f t="shared" si="260"/>
        <v>0</v>
      </c>
      <c r="Q257" s="192">
        <f t="shared" si="260"/>
        <v>0</v>
      </c>
      <c r="R257" s="192">
        <f t="shared" si="260"/>
        <v>0</v>
      </c>
      <c r="S257" s="192">
        <f t="shared" si="260"/>
        <v>0</v>
      </c>
      <c r="T257" s="192">
        <f t="shared" ref="T257:T262" si="261">SUM(N257:S257)</f>
        <v>0</v>
      </c>
      <c r="U257" s="192">
        <f t="shared" ref="U257:U262" si="262">T257+L257</f>
        <v>0</v>
      </c>
      <c r="V257" s="193">
        <f>V274+V289+V304+V319</f>
        <v>0</v>
      </c>
      <c r="W257" s="193">
        <f t="shared" ref="W257:W262" si="263">V257-U257</f>
        <v>0</v>
      </c>
      <c r="X257" s="209"/>
      <c r="Y257" s="209"/>
      <c r="Z257" s="209"/>
      <c r="AA257" s="209"/>
      <c r="AB257" s="209"/>
    </row>
    <row r="258" spans="1:28" s="228" customFormat="1" ht="18" hidden="1" customHeight="1">
      <c r="A258" s="610"/>
      <c r="B258" s="661"/>
      <c r="C258" s="662"/>
      <c r="D258" s="174" t="str">
        <f>серпень!D258</f>
        <v>абоненська плата, тис.грн.</v>
      </c>
      <c r="E258" s="192"/>
      <c r="F258" s="192">
        <f>F289+F319</f>
        <v>0</v>
      </c>
      <c r="G258" s="192">
        <f t="shared" ref="G258:K258" si="264">G289+G319</f>
        <v>0</v>
      </c>
      <c r="H258" s="192">
        <f t="shared" si="264"/>
        <v>0</v>
      </c>
      <c r="I258" s="192">
        <f t="shared" si="264"/>
        <v>0</v>
      </c>
      <c r="J258" s="192">
        <f t="shared" si="264"/>
        <v>0</v>
      </c>
      <c r="K258" s="192">
        <f t="shared" si="264"/>
        <v>0</v>
      </c>
      <c r="L258" s="192">
        <f t="shared" si="258"/>
        <v>0</v>
      </c>
      <c r="M258" s="192">
        <f t="shared" si="259"/>
        <v>0</v>
      </c>
      <c r="N258" s="192">
        <f>N289+N319</f>
        <v>0</v>
      </c>
      <c r="O258" s="192">
        <f t="shared" ref="O258:S258" si="265">O289+O319</f>
        <v>0</v>
      </c>
      <c r="P258" s="192">
        <f t="shared" si="265"/>
        <v>0</v>
      </c>
      <c r="Q258" s="192">
        <f t="shared" si="265"/>
        <v>0</v>
      </c>
      <c r="R258" s="192">
        <f t="shared" si="265"/>
        <v>0</v>
      </c>
      <c r="S258" s="192">
        <f t="shared" si="265"/>
        <v>0</v>
      </c>
      <c r="T258" s="192">
        <f t="shared" si="261"/>
        <v>0</v>
      </c>
      <c r="U258" s="192">
        <f t="shared" si="262"/>
        <v>0</v>
      </c>
      <c r="V258" s="193">
        <f>V289+V319</f>
        <v>0</v>
      </c>
      <c r="W258" s="193">
        <f t="shared" si="263"/>
        <v>0</v>
      </c>
      <c r="X258" s="209"/>
      <c r="Y258" s="209"/>
      <c r="Z258" s="209"/>
      <c r="AA258" s="209"/>
      <c r="AB258" s="209"/>
    </row>
    <row r="259" spans="1:28" s="228" customFormat="1" ht="18" hidden="1" customHeight="1">
      <c r="A259" s="610"/>
      <c r="B259" s="661"/>
      <c r="C259" s="662"/>
      <c r="D259" s="174" t="str">
        <f>серпень!D259</f>
        <v>разом сума тис. грн+абонплата</v>
      </c>
      <c r="E259" s="192"/>
      <c r="F259" s="192">
        <f>F257+F258</f>
        <v>0</v>
      </c>
      <c r="G259" s="192">
        <f t="shared" ref="G259:K259" si="266">G257+G258</f>
        <v>0</v>
      </c>
      <c r="H259" s="192">
        <f t="shared" si="266"/>
        <v>0</v>
      </c>
      <c r="I259" s="192">
        <f t="shared" si="266"/>
        <v>0</v>
      </c>
      <c r="J259" s="192">
        <f t="shared" si="266"/>
        <v>0</v>
      </c>
      <c r="K259" s="192">
        <f t="shared" si="266"/>
        <v>0</v>
      </c>
      <c r="L259" s="192">
        <f t="shared" si="258"/>
        <v>0</v>
      </c>
      <c r="M259" s="192">
        <f t="shared" si="259"/>
        <v>0</v>
      </c>
      <c r="N259" s="192">
        <f>N257+N258</f>
        <v>0</v>
      </c>
      <c r="O259" s="192">
        <f t="shared" ref="O259:S259" si="267">O257+O258</f>
        <v>0</v>
      </c>
      <c r="P259" s="192">
        <f t="shared" si="267"/>
        <v>0</v>
      </c>
      <c r="Q259" s="192">
        <f t="shared" si="267"/>
        <v>0</v>
      </c>
      <c r="R259" s="192">
        <f t="shared" si="267"/>
        <v>0</v>
      </c>
      <c r="S259" s="192">
        <f t="shared" si="267"/>
        <v>0</v>
      </c>
      <c r="T259" s="192">
        <f t="shared" si="261"/>
        <v>0</v>
      </c>
      <c r="U259" s="192">
        <f t="shared" si="262"/>
        <v>0</v>
      </c>
      <c r="V259" s="193">
        <f>V290+V320</f>
        <v>0</v>
      </c>
      <c r="W259" s="193">
        <f t="shared" si="263"/>
        <v>0</v>
      </c>
      <c r="X259" s="209"/>
      <c r="Y259" s="209"/>
      <c r="Z259" s="209"/>
      <c r="AA259" s="209"/>
      <c r="AB259" s="209"/>
    </row>
    <row r="260" spans="1:28" s="228" customFormat="1" ht="18" hidden="1" customHeight="1">
      <c r="A260" s="610"/>
      <c r="B260" s="661"/>
      <c r="C260" s="662"/>
      <c r="D260" s="174" t="str">
        <f>серпень!D260</f>
        <v>дотація</v>
      </c>
      <c r="E260" s="210"/>
      <c r="F260" s="192">
        <f t="shared" ref="F260:K261" si="268">F275+F290+F305+F320</f>
        <v>0</v>
      </c>
      <c r="G260" s="192">
        <f t="shared" si="268"/>
        <v>0</v>
      </c>
      <c r="H260" s="192">
        <f t="shared" si="268"/>
        <v>0</v>
      </c>
      <c r="I260" s="192">
        <f t="shared" si="268"/>
        <v>0</v>
      </c>
      <c r="J260" s="192">
        <f t="shared" si="268"/>
        <v>0</v>
      </c>
      <c r="K260" s="192">
        <f t="shared" si="268"/>
        <v>0</v>
      </c>
      <c r="L260" s="192">
        <f t="shared" si="258"/>
        <v>0</v>
      </c>
      <c r="M260" s="192">
        <f t="shared" si="259"/>
        <v>0</v>
      </c>
      <c r="N260" s="192">
        <f t="shared" ref="N260:S262" si="269">N275+N290+N305+N320</f>
        <v>0</v>
      </c>
      <c r="O260" s="192">
        <f t="shared" si="269"/>
        <v>0</v>
      </c>
      <c r="P260" s="192">
        <f t="shared" si="269"/>
        <v>0</v>
      </c>
      <c r="Q260" s="192">
        <f t="shared" si="269"/>
        <v>0</v>
      </c>
      <c r="R260" s="192">
        <f t="shared" si="269"/>
        <v>0</v>
      </c>
      <c r="S260" s="192">
        <f t="shared" si="269"/>
        <v>0</v>
      </c>
      <c r="T260" s="192">
        <f t="shared" si="261"/>
        <v>0</v>
      </c>
      <c r="U260" s="192">
        <f t="shared" si="262"/>
        <v>0</v>
      </c>
      <c r="V260" s="193">
        <f t="shared" ref="V260:V262" si="270">V275+V290+V305+V320</f>
        <v>0</v>
      </c>
      <c r="W260" s="211">
        <f t="shared" si="263"/>
        <v>0</v>
      </c>
      <c r="X260" s="209"/>
      <c r="Y260" s="209"/>
      <c r="Z260" s="209"/>
      <c r="AA260" s="209"/>
      <c r="AB260" s="209"/>
    </row>
    <row r="261" spans="1:28" s="228" customFormat="1" ht="18" hidden="1" customHeight="1">
      <c r="A261" s="610"/>
      <c r="B261" s="661"/>
      <c r="C261" s="662"/>
      <c r="D261" s="174" t="str">
        <f>серпень!D261</f>
        <v>місцевий (план), тис.грн</v>
      </c>
      <c r="E261" s="210"/>
      <c r="F261" s="192">
        <f t="shared" si="268"/>
        <v>0</v>
      </c>
      <c r="G261" s="192">
        <f t="shared" si="268"/>
        <v>0</v>
      </c>
      <c r="H261" s="192">
        <f t="shared" si="268"/>
        <v>0</v>
      </c>
      <c r="I261" s="192">
        <f t="shared" si="268"/>
        <v>0</v>
      </c>
      <c r="J261" s="192">
        <f t="shared" si="268"/>
        <v>0</v>
      </c>
      <c r="K261" s="192">
        <f t="shared" si="268"/>
        <v>0</v>
      </c>
      <c r="L261" s="192">
        <f t="shared" si="258"/>
        <v>0</v>
      </c>
      <c r="M261" s="192">
        <f t="shared" si="259"/>
        <v>0</v>
      </c>
      <c r="N261" s="192">
        <f t="shared" si="269"/>
        <v>0</v>
      </c>
      <c r="O261" s="192">
        <f t="shared" si="269"/>
        <v>0</v>
      </c>
      <c r="P261" s="192">
        <f t="shared" si="269"/>
        <v>0</v>
      </c>
      <c r="Q261" s="192">
        <f t="shared" si="269"/>
        <v>0</v>
      </c>
      <c r="R261" s="192">
        <f t="shared" si="269"/>
        <v>0</v>
      </c>
      <c r="S261" s="192">
        <f t="shared" si="269"/>
        <v>0</v>
      </c>
      <c r="T261" s="192">
        <f t="shared" si="261"/>
        <v>0</v>
      </c>
      <c r="U261" s="192">
        <f t="shared" si="262"/>
        <v>0</v>
      </c>
      <c r="V261" s="193">
        <f t="shared" si="270"/>
        <v>0</v>
      </c>
      <c r="W261" s="193">
        <f t="shared" si="263"/>
        <v>0</v>
      </c>
      <c r="X261" s="209"/>
      <c r="Y261" s="209"/>
      <c r="Z261" s="209"/>
      <c r="AA261" s="209"/>
      <c r="AB261" s="209"/>
    </row>
    <row r="262" spans="1:28" s="186" customFormat="1" ht="18" hidden="1" customHeight="1">
      <c r="A262" s="610"/>
      <c r="B262" s="661"/>
      <c r="C262" s="662"/>
      <c r="D262" s="178" t="str">
        <f>серпень!D262</f>
        <v>касові нат.п-ки 2025</v>
      </c>
      <c r="E262" s="179">
        <f>E277+E307</f>
        <v>0</v>
      </c>
      <c r="F262" s="179">
        <f>F277+F307</f>
        <v>0</v>
      </c>
      <c r="G262" s="179">
        <f t="shared" ref="G262:K262" si="271">G277+G307</f>
        <v>0</v>
      </c>
      <c r="H262" s="179">
        <f t="shared" si="271"/>
        <v>0</v>
      </c>
      <c r="I262" s="179">
        <f t="shared" si="271"/>
        <v>0</v>
      </c>
      <c r="J262" s="179">
        <f t="shared" si="271"/>
        <v>0</v>
      </c>
      <c r="K262" s="179">
        <f t="shared" si="271"/>
        <v>0</v>
      </c>
      <c r="L262" s="207">
        <f t="shared" si="258"/>
        <v>0</v>
      </c>
      <c r="M262" s="207">
        <f t="shared" si="259"/>
        <v>0</v>
      </c>
      <c r="N262" s="179">
        <f t="shared" si="269"/>
        <v>0</v>
      </c>
      <c r="O262" s="179">
        <f t="shared" si="269"/>
        <v>0</v>
      </c>
      <c r="P262" s="179">
        <f t="shared" si="269"/>
        <v>0</v>
      </c>
      <c r="Q262" s="179">
        <f t="shared" si="269"/>
        <v>0</v>
      </c>
      <c r="R262" s="179">
        <f t="shared" si="269"/>
        <v>0</v>
      </c>
      <c r="S262" s="179">
        <f t="shared" si="269"/>
        <v>0</v>
      </c>
      <c r="T262" s="207">
        <f t="shared" si="261"/>
        <v>0</v>
      </c>
      <c r="U262" s="207">
        <f t="shared" si="262"/>
        <v>0</v>
      </c>
      <c r="V262" s="184">
        <f t="shared" si="270"/>
        <v>0</v>
      </c>
      <c r="W262" s="184">
        <f t="shared" si="263"/>
        <v>0</v>
      </c>
      <c r="X262" s="185">
        <f>U255-U262</f>
        <v>0</v>
      </c>
    </row>
    <row r="263" spans="1:28" s="190" customFormat="1" ht="18" hidden="1" customHeight="1">
      <c r="A263" s="610"/>
      <c r="B263" s="661"/>
      <c r="C263" s="662"/>
      <c r="D263" s="187" t="str">
        <f>серпень!D263</f>
        <v>тариф, грн.</v>
      </c>
      <c r="E263" s="188" t="e">
        <f t="shared" ref="E263:S263" si="272">E264/E262*1000</f>
        <v>#DIV/0!</v>
      </c>
      <c r="F263" s="188" t="e">
        <f t="shared" si="272"/>
        <v>#DIV/0!</v>
      </c>
      <c r="G263" s="188" t="e">
        <f t="shared" si="272"/>
        <v>#DIV/0!</v>
      </c>
      <c r="H263" s="188" t="e">
        <f t="shared" si="272"/>
        <v>#DIV/0!</v>
      </c>
      <c r="I263" s="188" t="e">
        <f t="shared" si="272"/>
        <v>#DIV/0!</v>
      </c>
      <c r="J263" s="188" t="e">
        <f t="shared" si="272"/>
        <v>#DIV/0!</v>
      </c>
      <c r="K263" s="188" t="e">
        <f t="shared" si="272"/>
        <v>#DIV/0!</v>
      </c>
      <c r="L263" s="188" t="e">
        <f t="shared" si="272"/>
        <v>#DIV/0!</v>
      </c>
      <c r="M263" s="188" t="e">
        <f t="shared" si="272"/>
        <v>#DIV/0!</v>
      </c>
      <c r="N263" s="188" t="e">
        <f t="shared" si="272"/>
        <v>#DIV/0!</v>
      </c>
      <c r="O263" s="188" t="e">
        <f t="shared" si="272"/>
        <v>#DIV/0!</v>
      </c>
      <c r="P263" s="188" t="e">
        <f t="shared" si="272"/>
        <v>#DIV/0!</v>
      </c>
      <c r="Q263" s="188" t="e">
        <f t="shared" si="272"/>
        <v>#DIV/0!</v>
      </c>
      <c r="R263" s="188" t="e">
        <f t="shared" si="272"/>
        <v>#DIV/0!</v>
      </c>
      <c r="S263" s="188" t="e">
        <f t="shared" si="272"/>
        <v>#DIV/0!</v>
      </c>
      <c r="T263" s="188" t="e">
        <f>T264/T262*1000</f>
        <v>#DIV/0!</v>
      </c>
      <c r="U263" s="188" t="e">
        <f>U264/U262*1000</f>
        <v>#DIV/0!</v>
      </c>
      <c r="V263" s="188" t="e">
        <f>V264/V262*1000</f>
        <v>#DIV/0!</v>
      </c>
      <c r="W263" s="189" t="e">
        <f>W264/W262*1000</f>
        <v>#DIV/0!</v>
      </c>
      <c r="X263" s="225"/>
    </row>
    <row r="264" spans="1:28" s="213" customFormat="1" ht="18" hidden="1" customHeight="1">
      <c r="A264" s="610"/>
      <c r="B264" s="661"/>
      <c r="C264" s="662"/>
      <c r="D264" s="198" t="str">
        <f>серпень!D264</f>
        <v>касові видатки, тис.грн.</v>
      </c>
      <c r="E264" s="212">
        <f>E279+E309</f>
        <v>0</v>
      </c>
      <c r="F264" s="199">
        <f>F279+F294+F309+F324</f>
        <v>0</v>
      </c>
      <c r="G264" s="199">
        <f t="shared" ref="G264:K264" si="273">G279+G294+G309+G324</f>
        <v>0</v>
      </c>
      <c r="H264" s="199">
        <f t="shared" si="273"/>
        <v>0</v>
      </c>
      <c r="I264" s="199">
        <f t="shared" si="273"/>
        <v>0</v>
      </c>
      <c r="J264" s="199">
        <f t="shared" si="273"/>
        <v>0</v>
      </c>
      <c r="K264" s="199">
        <f t="shared" si="273"/>
        <v>0</v>
      </c>
      <c r="L264" s="199">
        <f>SUM(F264:K264)</f>
        <v>0</v>
      </c>
      <c r="M264" s="199">
        <f>L264/6</f>
        <v>0</v>
      </c>
      <c r="N264" s="199">
        <f t="shared" ref="N264:S266" si="274">N279+N294+N309+N324</f>
        <v>0</v>
      </c>
      <c r="O264" s="199">
        <f t="shared" si="274"/>
        <v>0</v>
      </c>
      <c r="P264" s="199">
        <f t="shared" si="274"/>
        <v>0</v>
      </c>
      <c r="Q264" s="199">
        <f t="shared" si="274"/>
        <v>0</v>
      </c>
      <c r="R264" s="199">
        <f t="shared" si="274"/>
        <v>0</v>
      </c>
      <c r="S264" s="199">
        <f t="shared" si="274"/>
        <v>0</v>
      </c>
      <c r="T264" s="199">
        <f>SUM(N264:S264)</f>
        <v>0</v>
      </c>
      <c r="U264" s="199">
        <f>T264+L264</f>
        <v>0</v>
      </c>
      <c r="V264" s="175">
        <f t="shared" ref="V264:V267" si="275">V279+V294+V309+V324</f>
        <v>0</v>
      </c>
      <c r="W264" s="175">
        <f>V264-U264</f>
        <v>0</v>
      </c>
      <c r="X264" s="176">
        <f>U259-U264</f>
        <v>0</v>
      </c>
    </row>
    <row r="265" spans="1:28" s="213" customFormat="1" ht="18" hidden="1" customHeight="1">
      <c r="A265" s="610"/>
      <c r="B265" s="661"/>
      <c r="C265" s="662"/>
      <c r="D265" s="201" t="str">
        <f>серпень!D265</f>
        <v>дотація</v>
      </c>
      <c r="E265" s="212"/>
      <c r="F265" s="199">
        <f t="shared" ref="F265:K266" si="276">F280+F295+F310+F325</f>
        <v>0</v>
      </c>
      <c r="G265" s="199">
        <f t="shared" si="276"/>
        <v>0</v>
      </c>
      <c r="H265" s="199">
        <f t="shared" si="276"/>
        <v>0</v>
      </c>
      <c r="I265" s="199">
        <f t="shared" si="276"/>
        <v>0</v>
      </c>
      <c r="J265" s="199">
        <f t="shared" si="276"/>
        <v>0</v>
      </c>
      <c r="K265" s="199">
        <f t="shared" si="276"/>
        <v>0</v>
      </c>
      <c r="L265" s="199">
        <f>SUM(F265:K265)</f>
        <v>0</v>
      </c>
      <c r="M265" s="199">
        <f>L265/6</f>
        <v>0</v>
      </c>
      <c r="N265" s="199">
        <f t="shared" si="274"/>
        <v>0</v>
      </c>
      <c r="O265" s="199">
        <f t="shared" si="274"/>
        <v>0</v>
      </c>
      <c r="P265" s="199">
        <f t="shared" si="274"/>
        <v>0</v>
      </c>
      <c r="Q265" s="199">
        <f t="shared" si="274"/>
        <v>0</v>
      </c>
      <c r="R265" s="199">
        <f t="shared" si="274"/>
        <v>0</v>
      </c>
      <c r="S265" s="199">
        <f t="shared" si="274"/>
        <v>0</v>
      </c>
      <c r="T265" s="199">
        <f>SUM(N265:S265)</f>
        <v>0</v>
      </c>
      <c r="U265" s="199">
        <f>T265+L265</f>
        <v>0</v>
      </c>
      <c r="V265" s="175">
        <f t="shared" si="275"/>
        <v>0</v>
      </c>
      <c r="W265" s="175">
        <f>V265-U265</f>
        <v>0</v>
      </c>
      <c r="X265" s="176">
        <f>U260-U265</f>
        <v>0</v>
      </c>
    </row>
    <row r="266" spans="1:28" s="213" customFormat="1" ht="18" hidden="1" customHeight="1">
      <c r="A266" s="610"/>
      <c r="B266" s="661"/>
      <c r="C266" s="662"/>
      <c r="D266" s="201" t="str">
        <f>серпень!D266</f>
        <v xml:space="preserve">місцевий </v>
      </c>
      <c r="E266" s="212"/>
      <c r="F266" s="199">
        <f t="shared" si="276"/>
        <v>0</v>
      </c>
      <c r="G266" s="199">
        <f t="shared" si="276"/>
        <v>0</v>
      </c>
      <c r="H266" s="199">
        <f t="shared" si="276"/>
        <v>0</v>
      </c>
      <c r="I266" s="199">
        <f t="shared" si="276"/>
        <v>0</v>
      </c>
      <c r="J266" s="199">
        <f t="shared" si="276"/>
        <v>0</v>
      </c>
      <c r="K266" s="199">
        <f t="shared" si="276"/>
        <v>0</v>
      </c>
      <c r="L266" s="199">
        <f>SUM(F266:K266)</f>
        <v>0</v>
      </c>
      <c r="M266" s="199">
        <f>L266/6</f>
        <v>0</v>
      </c>
      <c r="N266" s="199">
        <f t="shared" si="274"/>
        <v>0</v>
      </c>
      <c r="O266" s="199">
        <f t="shared" si="274"/>
        <v>0</v>
      </c>
      <c r="P266" s="199">
        <f t="shared" si="274"/>
        <v>0</v>
      </c>
      <c r="Q266" s="199">
        <f t="shared" si="274"/>
        <v>0</v>
      </c>
      <c r="R266" s="199">
        <f t="shared" si="274"/>
        <v>0</v>
      </c>
      <c r="S266" s="199">
        <f t="shared" si="274"/>
        <v>0</v>
      </c>
      <c r="T266" s="199">
        <f>SUM(N266:S266)</f>
        <v>0</v>
      </c>
      <c r="U266" s="199">
        <f>T266+L266</f>
        <v>0</v>
      </c>
      <c r="V266" s="175">
        <f t="shared" si="275"/>
        <v>0</v>
      </c>
      <c r="W266" s="175">
        <f>V266-U266</f>
        <v>0</v>
      </c>
      <c r="X266" s="176">
        <f>U261-U266</f>
        <v>0</v>
      </c>
    </row>
    <row r="267" spans="1:28" s="205" customFormat="1" ht="18" hidden="1" customHeight="1">
      <c r="A267" s="610"/>
      <c r="B267" s="661"/>
      <c r="C267" s="662"/>
      <c r="D267" s="202" t="str">
        <f>серпень!D267</f>
        <v>план</v>
      </c>
      <c r="E267" s="203"/>
      <c r="F267" s="203">
        <f>F261</f>
        <v>0</v>
      </c>
      <c r="G267" s="203">
        <f t="shared" ref="G267:K267" si="277">G261</f>
        <v>0</v>
      </c>
      <c r="H267" s="203">
        <f t="shared" si="277"/>
        <v>0</v>
      </c>
      <c r="I267" s="203">
        <f t="shared" si="277"/>
        <v>0</v>
      </c>
      <c r="J267" s="203">
        <f t="shared" si="277"/>
        <v>0</v>
      </c>
      <c r="K267" s="203">
        <f t="shared" si="277"/>
        <v>0</v>
      </c>
      <c r="L267" s="203">
        <f>SUM(F267:K267)</f>
        <v>0</v>
      </c>
      <c r="M267" s="203">
        <f>L267/6</f>
        <v>0</v>
      </c>
      <c r="N267" s="203">
        <f t="shared" ref="N267:S267" si="278">N261+N260</f>
        <v>0</v>
      </c>
      <c r="O267" s="203">
        <f t="shared" si="278"/>
        <v>0</v>
      </c>
      <c r="P267" s="203">
        <f t="shared" si="278"/>
        <v>0</v>
      </c>
      <c r="Q267" s="203">
        <f t="shared" si="278"/>
        <v>0</v>
      </c>
      <c r="R267" s="203">
        <f t="shared" si="278"/>
        <v>0</v>
      </c>
      <c r="S267" s="203">
        <f t="shared" si="278"/>
        <v>0</v>
      </c>
      <c r="T267" s="203">
        <f>SUM(N267:S267)</f>
        <v>0</v>
      </c>
      <c r="U267" s="203">
        <f>T267+L267</f>
        <v>0</v>
      </c>
      <c r="V267" s="204">
        <f t="shared" si="275"/>
        <v>0</v>
      </c>
      <c r="W267" s="204">
        <f>V267-U267</f>
        <v>0</v>
      </c>
    </row>
    <row r="268" spans="1:28" s="205" customFormat="1" ht="18" hidden="1" customHeight="1">
      <c r="A268" s="610"/>
      <c r="B268" s="661"/>
      <c r="C268" s="662"/>
      <c r="D268" s="202" t="str">
        <f>серпень!D268</f>
        <v xml:space="preserve">відхилення </v>
      </c>
      <c r="E268" s="203"/>
      <c r="F268" s="203">
        <f t="shared" ref="F268:K268" si="279">F264-F267</f>
        <v>0</v>
      </c>
      <c r="G268" s="203">
        <f t="shared" si="279"/>
        <v>0</v>
      </c>
      <c r="H268" s="203">
        <f t="shared" si="279"/>
        <v>0</v>
      </c>
      <c r="I268" s="203">
        <f t="shared" si="279"/>
        <v>0</v>
      </c>
      <c r="J268" s="203">
        <f t="shared" si="279"/>
        <v>0</v>
      </c>
      <c r="K268" s="203">
        <f t="shared" si="279"/>
        <v>0</v>
      </c>
      <c r="L268" s="203"/>
      <c r="M268" s="203"/>
      <c r="N268" s="203">
        <f t="shared" ref="N268:S268" si="280">N264-N267</f>
        <v>0</v>
      </c>
      <c r="O268" s="203">
        <f t="shared" si="280"/>
        <v>0</v>
      </c>
      <c r="P268" s="203">
        <f t="shared" si="280"/>
        <v>0</v>
      </c>
      <c r="Q268" s="203">
        <f t="shared" si="280"/>
        <v>0</v>
      </c>
      <c r="R268" s="203">
        <f t="shared" si="280"/>
        <v>0</v>
      </c>
      <c r="S268" s="203">
        <f t="shared" si="280"/>
        <v>0</v>
      </c>
      <c r="T268" s="203"/>
      <c r="U268" s="203"/>
      <c r="V268" s="203"/>
      <c r="W268" s="203"/>
    </row>
    <row r="269" spans="1:28" s="205" customFormat="1" ht="18" hidden="1" customHeight="1">
      <c r="A269" s="610"/>
      <c r="B269" s="663"/>
      <c r="C269" s="664"/>
      <c r="D269" s="202" t="str">
        <f>серпень!D269</f>
        <v>відхилення з наростаючим</v>
      </c>
      <c r="E269" s="203"/>
      <c r="F269" s="203">
        <f>F268</f>
        <v>0</v>
      </c>
      <c r="G269" s="203">
        <f>G268+F269</f>
        <v>0</v>
      </c>
      <c r="H269" s="203">
        <f>H268+G269</f>
        <v>0</v>
      </c>
      <c r="I269" s="203">
        <f>I268+H269</f>
        <v>0</v>
      </c>
      <c r="J269" s="203">
        <f>J268+I269</f>
        <v>0</v>
      </c>
      <c r="K269" s="203">
        <f>K268+J269</f>
        <v>0</v>
      </c>
      <c r="L269" s="203"/>
      <c r="M269" s="203"/>
      <c r="N269" s="203">
        <f>N268+K269</f>
        <v>0</v>
      </c>
      <c r="O269" s="203">
        <f>O268+N269</f>
        <v>0</v>
      </c>
      <c r="P269" s="203">
        <f>P268+O269</f>
        <v>0</v>
      </c>
      <c r="Q269" s="203">
        <f>Q268+P269</f>
        <v>0</v>
      </c>
      <c r="R269" s="203">
        <f>R268+Q269</f>
        <v>0</v>
      </c>
      <c r="S269" s="203">
        <f>S268+R269</f>
        <v>0</v>
      </c>
      <c r="T269" s="203"/>
      <c r="U269" s="203"/>
      <c r="V269" s="203"/>
      <c r="W269" s="203"/>
    </row>
    <row r="270" spans="1:28" s="48" customFormat="1" ht="18" hidden="1" customHeight="1">
      <c r="A270" s="610"/>
      <c r="B270" s="582" t="s">
        <v>60</v>
      </c>
      <c r="C270" s="582" t="s">
        <v>97</v>
      </c>
      <c r="D270" s="178" t="str">
        <f>серпень!D270</f>
        <v>факт. нат.п-ки 2023</v>
      </c>
      <c r="E270" s="11"/>
      <c r="F270" s="12"/>
      <c r="G270" s="12"/>
      <c r="H270" s="12"/>
      <c r="I270" s="12"/>
      <c r="J270" s="12"/>
      <c r="K270" s="12"/>
      <c r="L270" s="65">
        <f>SUM(F270:K270)</f>
        <v>0</v>
      </c>
      <c r="M270" s="65">
        <f>L270/6</f>
        <v>0</v>
      </c>
      <c r="N270" s="12"/>
      <c r="O270" s="12"/>
      <c r="P270" s="12"/>
      <c r="Q270" s="12"/>
      <c r="R270" s="12"/>
      <c r="S270" s="12"/>
      <c r="T270" s="65">
        <f>SUM(N270:S270)</f>
        <v>0</v>
      </c>
      <c r="U270" s="66">
        <f>T270+L270</f>
        <v>0</v>
      </c>
      <c r="V270" s="67"/>
      <c r="W270" s="38">
        <f>V270-U270</f>
        <v>0</v>
      </c>
      <c r="X270" s="47"/>
    </row>
    <row r="271" spans="1:28" s="48" customFormat="1" ht="18" hidden="1" customHeight="1">
      <c r="A271" s="610"/>
      <c r="B271" s="583"/>
      <c r="C271" s="583"/>
      <c r="D271" s="178" t="str">
        <f>серпень!D271</f>
        <v>факт. нат.п-ки 2024</v>
      </c>
      <c r="E271" s="11"/>
      <c r="F271" s="12"/>
      <c r="G271" s="12"/>
      <c r="H271" s="12"/>
      <c r="I271" s="12"/>
      <c r="J271" s="12"/>
      <c r="K271" s="12"/>
      <c r="L271" s="65">
        <f>SUM(F271:K271)</f>
        <v>0</v>
      </c>
      <c r="M271" s="65">
        <f>L271/6</f>
        <v>0</v>
      </c>
      <c r="N271" s="11"/>
      <c r="O271" s="11"/>
      <c r="P271" s="11"/>
      <c r="Q271" s="11"/>
      <c r="R271" s="11"/>
      <c r="S271" s="11"/>
      <c r="T271" s="65">
        <f>SUM(N271:S271)</f>
        <v>0</v>
      </c>
      <c r="U271" s="66">
        <f>T271+L271</f>
        <v>0</v>
      </c>
      <c r="V271" s="67"/>
      <c r="W271" s="38">
        <f>V271-U271</f>
        <v>0</v>
      </c>
      <c r="X271" s="47"/>
    </row>
    <row r="272" spans="1:28" s="48" customFormat="1" ht="18" hidden="1" customHeight="1">
      <c r="A272" s="610"/>
      <c r="B272" s="583"/>
      <c r="C272" s="583"/>
      <c r="D272" s="178" t="str">
        <f>серпень!D272</f>
        <v>факт. нат.п-ки 2025</v>
      </c>
      <c r="E272" s="11"/>
      <c r="F272" s="12"/>
      <c r="G272" s="12"/>
      <c r="H272" s="12"/>
      <c r="I272" s="12"/>
      <c r="J272" s="12"/>
      <c r="K272" s="12"/>
      <c r="L272" s="65">
        <f>SUM(F272:K272)</f>
        <v>0</v>
      </c>
      <c r="M272" s="65">
        <f>L272/6</f>
        <v>0</v>
      </c>
      <c r="N272" s="12"/>
      <c r="O272" s="12"/>
      <c r="P272" s="12"/>
      <c r="Q272" s="12"/>
      <c r="R272" s="12"/>
      <c r="S272" s="11"/>
      <c r="T272" s="65">
        <f>SUM(N272:S272)</f>
        <v>0</v>
      </c>
      <c r="U272" s="66">
        <f>T272+L272</f>
        <v>0</v>
      </c>
      <c r="V272" s="11"/>
      <c r="W272" s="38">
        <f>V272-U272</f>
        <v>0</v>
      </c>
      <c r="X272" s="47"/>
    </row>
    <row r="273" spans="1:24" s="51" customFormat="1" ht="18" hidden="1" customHeight="1">
      <c r="A273" s="610"/>
      <c r="B273" s="583"/>
      <c r="C273" s="583"/>
      <c r="D273" s="187" t="str">
        <f>серпень!D273</f>
        <v>тариф, грн.</v>
      </c>
      <c r="E273" s="49"/>
      <c r="F273" s="49"/>
      <c r="G273" s="49"/>
      <c r="H273" s="49"/>
      <c r="I273" s="49"/>
      <c r="J273" s="49"/>
      <c r="K273" s="49"/>
      <c r="L273" s="49" t="e">
        <f>L274/L272*1000</f>
        <v>#DIV/0!</v>
      </c>
      <c r="M273" s="49" t="e">
        <f>M274/M272*1000</f>
        <v>#DIV/0!</v>
      </c>
      <c r="N273" s="49"/>
      <c r="O273" s="49"/>
      <c r="P273" s="49"/>
      <c r="Q273" s="49"/>
      <c r="R273" s="49"/>
      <c r="S273" s="49"/>
      <c r="T273" s="49" t="e">
        <f>T274/T272*1000</f>
        <v>#DIV/0!</v>
      </c>
      <c r="U273" s="49" t="e">
        <f>U274/U272*1000</f>
        <v>#DIV/0!</v>
      </c>
      <c r="V273" s="68" t="e">
        <f>V274/V272*1000</f>
        <v>#DIV/0!</v>
      </c>
      <c r="W273" s="14" t="e">
        <f>W274/W272*1000</f>
        <v>#DIV/0!</v>
      </c>
      <c r="X273" s="50"/>
    </row>
    <row r="274" spans="1:24" s="55" customFormat="1" ht="18" hidden="1" customHeight="1">
      <c r="A274" s="610"/>
      <c r="B274" s="583"/>
      <c r="C274" s="583"/>
      <c r="D274" s="191" t="str">
        <f>серпень!D274</f>
        <v>сума, тис.грн.</v>
      </c>
      <c r="E274" s="52"/>
      <c r="F274" s="52">
        <f t="shared" ref="F274:K274" si="281">F272*F273/1000</f>
        <v>0</v>
      </c>
      <c r="G274" s="52">
        <f t="shared" si="281"/>
        <v>0</v>
      </c>
      <c r="H274" s="52">
        <f t="shared" si="281"/>
        <v>0</v>
      </c>
      <c r="I274" s="52">
        <f t="shared" si="281"/>
        <v>0</v>
      </c>
      <c r="J274" s="52">
        <f t="shared" si="281"/>
        <v>0</v>
      </c>
      <c r="K274" s="52">
        <f t="shared" si="281"/>
        <v>0</v>
      </c>
      <c r="L274" s="69">
        <f>SUM(F274:K274)</f>
        <v>0</v>
      </c>
      <c r="M274" s="69">
        <f>L274/6</f>
        <v>0</v>
      </c>
      <c r="N274" s="52">
        <f t="shared" ref="N274:S274" si="282">N272*N273/1000</f>
        <v>0</v>
      </c>
      <c r="O274" s="52">
        <f t="shared" si="282"/>
        <v>0</v>
      </c>
      <c r="P274" s="52">
        <f t="shared" si="282"/>
        <v>0</v>
      </c>
      <c r="Q274" s="52">
        <f t="shared" si="282"/>
        <v>0</v>
      </c>
      <c r="R274" s="52">
        <f t="shared" si="282"/>
        <v>0</v>
      </c>
      <c r="S274" s="52">
        <f t="shared" si="282"/>
        <v>0</v>
      </c>
      <c r="T274" s="69">
        <f>SUM(N274:S274)</f>
        <v>0</v>
      </c>
      <c r="U274" s="69">
        <f>T274+L274</f>
        <v>0</v>
      </c>
      <c r="V274" s="70">
        <f>V275+V276</f>
        <v>0</v>
      </c>
      <c r="W274" s="53">
        <f>V274-U274</f>
        <v>0</v>
      </c>
      <c r="X274" s="54">
        <f>9891253.845/1000</f>
        <v>9891.2540000000008</v>
      </c>
    </row>
    <row r="275" spans="1:24" s="55" customFormat="1" ht="18" hidden="1" customHeight="1">
      <c r="A275" s="610"/>
      <c r="B275" s="583"/>
      <c r="C275" s="583"/>
      <c r="D275" s="174" t="str">
        <f>серпень!D275</f>
        <v>абоненська плата, тис.грн.</v>
      </c>
      <c r="E275" s="56"/>
      <c r="F275" s="52"/>
      <c r="G275" s="52"/>
      <c r="H275" s="52"/>
      <c r="I275" s="52"/>
      <c r="J275" s="52"/>
      <c r="K275" s="52"/>
      <c r="L275" s="69">
        <f>SUM(F275:K275)</f>
        <v>0</v>
      </c>
      <c r="M275" s="69">
        <f>L275/6</f>
        <v>0</v>
      </c>
      <c r="N275" s="52"/>
      <c r="O275" s="52"/>
      <c r="P275" s="52"/>
      <c r="Q275" s="52"/>
      <c r="R275" s="52"/>
      <c r="S275" s="52"/>
      <c r="T275" s="69">
        <f>SUM(N275:S275)</f>
        <v>0</v>
      </c>
      <c r="U275" s="69">
        <f>T275+L275</f>
        <v>0</v>
      </c>
      <c r="V275" s="70"/>
      <c r="W275" s="53">
        <f>V275-U275</f>
        <v>0</v>
      </c>
      <c r="X275" s="58"/>
    </row>
    <row r="276" spans="1:24" s="55" customFormat="1" ht="18" hidden="1" customHeight="1">
      <c r="A276" s="610"/>
      <c r="B276" s="583"/>
      <c r="C276" s="583"/>
      <c r="D276" s="174" t="str">
        <f>серпень!D276</f>
        <v>разом сума тис. грн+абонплата</v>
      </c>
      <c r="E276" s="56"/>
      <c r="F276" s="52"/>
      <c r="G276" s="52"/>
      <c r="H276" s="52"/>
      <c r="I276" s="52"/>
      <c r="J276" s="52"/>
      <c r="K276" s="52"/>
      <c r="L276" s="69">
        <f>SUM(F276:K276)</f>
        <v>0</v>
      </c>
      <c r="M276" s="69">
        <f>L276/6</f>
        <v>0</v>
      </c>
      <c r="N276" s="52"/>
      <c r="O276" s="52"/>
      <c r="P276" s="52"/>
      <c r="Q276" s="52"/>
      <c r="R276" s="52"/>
      <c r="S276" s="52"/>
      <c r="T276" s="69">
        <f>SUM(N276:S276)</f>
        <v>0</v>
      </c>
      <c r="U276" s="69">
        <f>T276+L276</f>
        <v>0</v>
      </c>
      <c r="V276" s="70"/>
      <c r="W276" s="53">
        <f>V276-U276</f>
        <v>0</v>
      </c>
      <c r="X276" s="58"/>
    </row>
    <row r="277" spans="1:24" s="48" customFormat="1" ht="18" hidden="1" customHeight="1">
      <c r="A277" s="610"/>
      <c r="B277" s="583"/>
      <c r="C277" s="583"/>
      <c r="D277" s="178" t="str">
        <f>серпень!D277</f>
        <v>дотація</v>
      </c>
      <c r="E277" s="11"/>
      <c r="F277" s="11"/>
      <c r="G277" s="11"/>
      <c r="H277" s="11"/>
      <c r="I277" s="11"/>
      <c r="J277" s="11"/>
      <c r="K277" s="11"/>
      <c r="L277" s="65">
        <f>SUM(F277:K277)</f>
        <v>0</v>
      </c>
      <c r="M277" s="65">
        <f>L277/6</f>
        <v>0</v>
      </c>
      <c r="N277" s="11"/>
      <c r="O277" s="11"/>
      <c r="P277" s="11"/>
      <c r="Q277" s="11"/>
      <c r="R277" s="11"/>
      <c r="S277" s="11"/>
      <c r="T277" s="65">
        <f>SUM(N277:S277)</f>
        <v>0</v>
      </c>
      <c r="U277" s="65">
        <f>T277+L277</f>
        <v>0</v>
      </c>
      <c r="V277" s="11">
        <f>V272</f>
        <v>0</v>
      </c>
      <c r="W277" s="38">
        <f>V277-U277</f>
        <v>0</v>
      </c>
      <c r="X277" s="47">
        <f>U272-U277</f>
        <v>0</v>
      </c>
    </row>
    <row r="278" spans="1:24" s="51" customFormat="1" ht="18" hidden="1" customHeight="1">
      <c r="A278" s="610"/>
      <c r="B278" s="583"/>
      <c r="C278" s="583"/>
      <c r="D278" s="187" t="str">
        <f>серпень!D278</f>
        <v>місцевий (план), тис.грн</v>
      </c>
      <c r="E278" s="49" t="e">
        <f>E279/E277*1000</f>
        <v>#DIV/0!</v>
      </c>
      <c r="F278" s="49"/>
      <c r="G278" s="49"/>
      <c r="H278" s="49"/>
      <c r="I278" s="49"/>
      <c r="J278" s="49"/>
      <c r="K278" s="49"/>
      <c r="L278" s="49" t="e">
        <f>L279/L277*1000</f>
        <v>#DIV/0!</v>
      </c>
      <c r="M278" s="49" t="e">
        <f>M279/M277*1000</f>
        <v>#DIV/0!</v>
      </c>
      <c r="N278" s="49"/>
      <c r="O278" s="49"/>
      <c r="P278" s="49"/>
      <c r="Q278" s="49"/>
      <c r="R278" s="49"/>
      <c r="S278" s="49"/>
      <c r="T278" s="49" t="e">
        <f>T279/T277*1000</f>
        <v>#DIV/0!</v>
      </c>
      <c r="U278" s="49" t="e">
        <f>U279/U277*1000</f>
        <v>#DIV/0!</v>
      </c>
      <c r="V278" s="68" t="e">
        <f>V279/V277*1000</f>
        <v>#DIV/0!</v>
      </c>
      <c r="W278" s="14" t="e">
        <f>W279/W277*1000</f>
        <v>#DIV/0!</v>
      </c>
      <c r="X278" s="59"/>
    </row>
    <row r="279" spans="1:24" s="63" customFormat="1" ht="17.7" hidden="1" customHeight="1">
      <c r="A279" s="610"/>
      <c r="B279" s="583"/>
      <c r="C279" s="583"/>
      <c r="D279" s="198" t="str">
        <f>серпень!D279</f>
        <v>касові нат.п-ки 2025</v>
      </c>
      <c r="E279" s="71"/>
      <c r="F279" s="61">
        <f t="shared" ref="F279:K279" si="283">F277*F278/1000</f>
        <v>0</v>
      </c>
      <c r="G279" s="61">
        <f t="shared" si="283"/>
        <v>0</v>
      </c>
      <c r="H279" s="61">
        <f t="shared" si="283"/>
        <v>0</v>
      </c>
      <c r="I279" s="61">
        <f t="shared" si="283"/>
        <v>0</v>
      </c>
      <c r="J279" s="61">
        <f t="shared" si="283"/>
        <v>0</v>
      </c>
      <c r="K279" s="61">
        <f t="shared" si="283"/>
        <v>0</v>
      </c>
      <c r="L279" s="61">
        <f>SUM(F279:K279)</f>
        <v>0</v>
      </c>
      <c r="M279" s="61">
        <f>L279/6</f>
        <v>0</v>
      </c>
      <c r="N279" s="61">
        <f t="shared" ref="N279:S279" si="284">N277*N278/1000</f>
        <v>0</v>
      </c>
      <c r="O279" s="61">
        <f t="shared" si="284"/>
        <v>0</v>
      </c>
      <c r="P279" s="61">
        <f t="shared" si="284"/>
        <v>0</v>
      </c>
      <c r="Q279" s="61">
        <f t="shared" si="284"/>
        <v>0</v>
      </c>
      <c r="R279" s="61">
        <f t="shared" si="284"/>
        <v>0</v>
      </c>
      <c r="S279" s="61">
        <f t="shared" si="284"/>
        <v>0</v>
      </c>
      <c r="T279" s="61">
        <f>SUM(N279:S279)</f>
        <v>0</v>
      </c>
      <c r="U279" s="61">
        <f>T279+L279</f>
        <v>0</v>
      </c>
      <c r="V279" s="61">
        <f>V274</f>
        <v>0</v>
      </c>
      <c r="W279" s="72">
        <f>V279-U279</f>
        <v>0</v>
      </c>
      <c r="X279" s="63">
        <f>U274-U279</f>
        <v>0</v>
      </c>
    </row>
    <row r="280" spans="1:24" s="63" customFormat="1" ht="18" hidden="1" customHeight="1">
      <c r="A280" s="610"/>
      <c r="B280" s="583"/>
      <c r="C280" s="583"/>
      <c r="D280" s="201" t="str">
        <f>серпень!D280</f>
        <v>тариф, грн.</v>
      </c>
      <c r="E280" s="71"/>
      <c r="F280" s="61"/>
      <c r="G280" s="61"/>
      <c r="H280" s="61"/>
      <c r="I280" s="61"/>
      <c r="J280" s="61"/>
      <c r="K280" s="61"/>
      <c r="L280" s="61">
        <f>SUM(F280:K280)</f>
        <v>0</v>
      </c>
      <c r="M280" s="61">
        <f>L280/6</f>
        <v>0</v>
      </c>
      <c r="N280" s="61"/>
      <c r="O280" s="61"/>
      <c r="P280" s="61"/>
      <c r="Q280" s="61"/>
      <c r="R280" s="61"/>
      <c r="S280" s="61"/>
      <c r="T280" s="61">
        <f>SUM(N280:S280)</f>
        <v>0</v>
      </c>
      <c r="U280" s="61">
        <f>T280+L280</f>
        <v>0</v>
      </c>
      <c r="V280" s="61">
        <f>V275</f>
        <v>0</v>
      </c>
      <c r="W280" s="72">
        <f>V280-U280</f>
        <v>0</v>
      </c>
      <c r="X280" s="63">
        <f>U275-U280</f>
        <v>0</v>
      </c>
    </row>
    <row r="281" spans="1:24" s="63" customFormat="1" ht="18" hidden="1" customHeight="1">
      <c r="A281" s="610"/>
      <c r="B281" s="583"/>
      <c r="C281" s="583"/>
      <c r="D281" s="201" t="str">
        <f>серпень!D281</f>
        <v>касові видатки, тис.грн.</v>
      </c>
      <c r="E281" s="71"/>
      <c r="F281" s="61">
        <f t="shared" ref="F281:K281" si="285">F279-F280</f>
        <v>0</v>
      </c>
      <c r="G281" s="61">
        <f t="shared" si="285"/>
        <v>0</v>
      </c>
      <c r="H281" s="61">
        <f t="shared" si="285"/>
        <v>0</v>
      </c>
      <c r="I281" s="61">
        <f t="shared" si="285"/>
        <v>0</v>
      </c>
      <c r="J281" s="61">
        <f t="shared" si="285"/>
        <v>0</v>
      </c>
      <c r="K281" s="61">
        <f t="shared" si="285"/>
        <v>0</v>
      </c>
      <c r="L281" s="61">
        <f>SUM(F281:K281)</f>
        <v>0</v>
      </c>
      <c r="M281" s="61">
        <f>L281/6</f>
        <v>0</v>
      </c>
      <c r="N281" s="61">
        <f t="shared" ref="N281:S281" si="286">N279-N280</f>
        <v>0</v>
      </c>
      <c r="O281" s="61">
        <f t="shared" si="286"/>
        <v>0</v>
      </c>
      <c r="P281" s="61">
        <f t="shared" si="286"/>
        <v>0</v>
      </c>
      <c r="Q281" s="61">
        <f t="shared" si="286"/>
        <v>0</v>
      </c>
      <c r="R281" s="61">
        <f t="shared" si="286"/>
        <v>0</v>
      </c>
      <c r="S281" s="61">
        <f t="shared" si="286"/>
        <v>0</v>
      </c>
      <c r="T281" s="61">
        <f>SUM(N281:S281)</f>
        <v>0</v>
      </c>
      <c r="U281" s="61">
        <f>T281+L281</f>
        <v>0</v>
      </c>
      <c r="V281" s="61">
        <f>V276</f>
        <v>0</v>
      </c>
      <c r="W281" s="72">
        <f>V281-U281</f>
        <v>0</v>
      </c>
      <c r="X281" s="63">
        <f>U276-U281</f>
        <v>0</v>
      </c>
    </row>
    <row r="282" spans="1:24" s="43" customFormat="1" ht="18" hidden="1" customHeight="1">
      <c r="A282" s="610"/>
      <c r="B282" s="583"/>
      <c r="C282" s="583"/>
      <c r="D282" s="202" t="str">
        <f>серпень!D282</f>
        <v>дотація</v>
      </c>
      <c r="E282" s="42"/>
      <c r="F282" s="42">
        <f t="shared" ref="F282:K282" si="287">F276</f>
        <v>0</v>
      </c>
      <c r="G282" s="42">
        <f t="shared" si="287"/>
        <v>0</v>
      </c>
      <c r="H282" s="42">
        <f t="shared" si="287"/>
        <v>0</v>
      </c>
      <c r="I282" s="42">
        <f t="shared" si="287"/>
        <v>0</v>
      </c>
      <c r="J282" s="42">
        <f t="shared" si="287"/>
        <v>0</v>
      </c>
      <c r="K282" s="42">
        <f t="shared" si="287"/>
        <v>0</v>
      </c>
      <c r="L282" s="42">
        <f>SUM(F282:K282)</f>
        <v>0</v>
      </c>
      <c r="M282" s="42">
        <f>L282/6</f>
        <v>0</v>
      </c>
      <c r="N282" s="42">
        <f t="shared" ref="N282:S282" si="288">N276+N275</f>
        <v>0</v>
      </c>
      <c r="O282" s="42">
        <f t="shared" si="288"/>
        <v>0</v>
      </c>
      <c r="P282" s="42">
        <f t="shared" si="288"/>
        <v>0</v>
      </c>
      <c r="Q282" s="42">
        <f t="shared" si="288"/>
        <v>0</v>
      </c>
      <c r="R282" s="42">
        <f t="shared" si="288"/>
        <v>0</v>
      </c>
      <c r="S282" s="42">
        <f t="shared" si="288"/>
        <v>0</v>
      </c>
      <c r="T282" s="42">
        <f>SUM(N282:S282)</f>
        <v>0</v>
      </c>
      <c r="U282" s="42">
        <f>T282+L282</f>
        <v>0</v>
      </c>
      <c r="V282" s="42">
        <f>V279</f>
        <v>0</v>
      </c>
      <c r="W282" s="42">
        <f>V282-U282</f>
        <v>0</v>
      </c>
    </row>
    <row r="283" spans="1:24" s="43" customFormat="1" ht="18" hidden="1" customHeight="1">
      <c r="A283" s="610"/>
      <c r="B283" s="583"/>
      <c r="C283" s="583"/>
      <c r="D283" s="202" t="str">
        <f>серпень!D283</f>
        <v xml:space="preserve">місцевий </v>
      </c>
      <c r="E283" s="42"/>
      <c r="F283" s="42">
        <f t="shared" ref="F283:K283" si="289">F279-F282</f>
        <v>0</v>
      </c>
      <c r="G283" s="42">
        <f t="shared" si="289"/>
        <v>0</v>
      </c>
      <c r="H283" s="42">
        <f t="shared" si="289"/>
        <v>0</v>
      </c>
      <c r="I283" s="42">
        <f t="shared" si="289"/>
        <v>0</v>
      </c>
      <c r="J283" s="42">
        <f t="shared" si="289"/>
        <v>0</v>
      </c>
      <c r="K283" s="42">
        <f t="shared" si="289"/>
        <v>0</v>
      </c>
      <c r="L283" s="42"/>
      <c r="M283" s="42"/>
      <c r="N283" s="42">
        <f t="shared" ref="N283:S283" si="290">N279-N282</f>
        <v>0</v>
      </c>
      <c r="O283" s="42">
        <f t="shared" si="290"/>
        <v>0</v>
      </c>
      <c r="P283" s="42">
        <f t="shared" si="290"/>
        <v>0</v>
      </c>
      <c r="Q283" s="42">
        <f t="shared" si="290"/>
        <v>0</v>
      </c>
      <c r="R283" s="42">
        <f t="shared" si="290"/>
        <v>0</v>
      </c>
      <c r="S283" s="42">
        <f t="shared" si="290"/>
        <v>0</v>
      </c>
      <c r="T283" s="42"/>
      <c r="U283" s="42"/>
      <c r="V283" s="42"/>
      <c r="W283" s="42"/>
    </row>
    <row r="284" spans="1:24" s="43" customFormat="1" ht="18" hidden="1" customHeight="1">
      <c r="A284" s="610"/>
      <c r="B284" s="583"/>
      <c r="C284" s="584"/>
      <c r="D284" s="202" t="str">
        <f>серпень!D284</f>
        <v>план</v>
      </c>
      <c r="E284" s="42"/>
      <c r="F284" s="42">
        <f>F283</f>
        <v>0</v>
      </c>
      <c r="G284" s="42">
        <f>G283+F284</f>
        <v>0</v>
      </c>
      <c r="H284" s="42">
        <f>H283+G284</f>
        <v>0</v>
      </c>
      <c r="I284" s="42">
        <f>I283+H284</f>
        <v>0</v>
      </c>
      <c r="J284" s="42">
        <f>J283+I284</f>
        <v>0</v>
      </c>
      <c r="K284" s="42">
        <f>K283+J284</f>
        <v>0</v>
      </c>
      <c r="L284" s="42"/>
      <c r="M284" s="42"/>
      <c r="N284" s="42">
        <f>N283+K284</f>
        <v>0</v>
      </c>
      <c r="O284" s="42">
        <f>O283+N284</f>
        <v>0</v>
      </c>
      <c r="P284" s="42">
        <f>P283+O284</f>
        <v>0</v>
      </c>
      <c r="Q284" s="42">
        <f>Q283+P284</f>
        <v>0</v>
      </c>
      <c r="R284" s="42">
        <f>R283+Q284</f>
        <v>0</v>
      </c>
      <c r="S284" s="42">
        <f>S283+R284</f>
        <v>0</v>
      </c>
      <c r="T284" s="42"/>
      <c r="U284" s="42"/>
      <c r="V284" s="42"/>
      <c r="W284" s="42"/>
    </row>
    <row r="285" spans="1:24" s="48" customFormat="1" ht="18" hidden="1" customHeight="1">
      <c r="A285" s="610"/>
      <c r="B285" s="583"/>
      <c r="C285" s="582" t="s">
        <v>96</v>
      </c>
      <c r="D285" s="178" t="s">
        <v>93</v>
      </c>
      <c r="E285" s="11"/>
      <c r="F285" s="12"/>
      <c r="G285" s="12"/>
      <c r="H285" s="12"/>
      <c r="I285" s="12"/>
      <c r="J285" s="12"/>
      <c r="K285" s="12"/>
      <c r="L285" s="65">
        <f>SUM(F285:K285)</f>
        <v>0</v>
      </c>
      <c r="M285" s="65">
        <f>L285/6</f>
        <v>0</v>
      </c>
      <c r="N285" s="12"/>
      <c r="O285" s="12"/>
      <c r="P285" s="12"/>
      <c r="Q285" s="12"/>
      <c r="R285" s="12"/>
      <c r="S285" s="12"/>
      <c r="T285" s="65">
        <f>SUM(N285:S285)</f>
        <v>0</v>
      </c>
      <c r="U285" s="66">
        <f>T285+L285</f>
        <v>0</v>
      </c>
      <c r="V285" s="67"/>
      <c r="W285" s="38">
        <f>V285-U285</f>
        <v>0</v>
      </c>
      <c r="X285" s="47"/>
    </row>
    <row r="286" spans="1:24" s="48" customFormat="1" ht="18" hidden="1" customHeight="1">
      <c r="A286" s="610"/>
      <c r="B286" s="583"/>
      <c r="C286" s="583"/>
      <c r="D286" s="178" t="s">
        <v>95</v>
      </c>
      <c r="E286" s="11"/>
      <c r="F286" s="12"/>
      <c r="G286" s="12"/>
      <c r="H286" s="12"/>
      <c r="I286" s="12"/>
      <c r="J286" s="12"/>
      <c r="K286" s="12"/>
      <c r="L286" s="65">
        <f>SUM(F286:K286)</f>
        <v>0</v>
      </c>
      <c r="M286" s="65">
        <f>L286/6</f>
        <v>0</v>
      </c>
      <c r="N286" s="11"/>
      <c r="O286" s="11"/>
      <c r="P286" s="11"/>
      <c r="Q286" s="11"/>
      <c r="R286" s="11"/>
      <c r="S286" s="11"/>
      <c r="T286" s="65">
        <f>SUM(N286:S286)</f>
        <v>0</v>
      </c>
      <c r="U286" s="66">
        <f>T286+L286</f>
        <v>0</v>
      </c>
      <c r="V286" s="67"/>
      <c r="W286" s="38">
        <f>V286-U286</f>
        <v>0</v>
      </c>
      <c r="X286" s="47"/>
    </row>
    <row r="287" spans="1:24" s="48" customFormat="1" ht="18" hidden="1" customHeight="1">
      <c r="A287" s="610"/>
      <c r="B287" s="583"/>
      <c r="C287" s="583"/>
      <c r="D287" s="178" t="s">
        <v>105</v>
      </c>
      <c r="E287" s="11"/>
      <c r="F287" s="12"/>
      <c r="G287" s="12"/>
      <c r="H287" s="12"/>
      <c r="I287" s="12"/>
      <c r="J287" s="12"/>
      <c r="K287" s="12"/>
      <c r="L287" s="65">
        <f>SUM(F287:K287)</f>
        <v>0</v>
      </c>
      <c r="M287" s="65">
        <f>L287/6</f>
        <v>0</v>
      </c>
      <c r="N287" s="12"/>
      <c r="O287" s="12"/>
      <c r="P287" s="12"/>
      <c r="Q287" s="12"/>
      <c r="R287" s="12"/>
      <c r="S287" s="11"/>
      <c r="T287" s="65">
        <f>SUM(N287:S287)</f>
        <v>0</v>
      </c>
      <c r="U287" s="66">
        <f>T287+L287</f>
        <v>0</v>
      </c>
      <c r="V287" s="11"/>
      <c r="W287" s="38">
        <f>V287-U287</f>
        <v>0</v>
      </c>
      <c r="X287" s="47"/>
    </row>
    <row r="288" spans="1:24" s="51" customFormat="1" ht="18" hidden="1" customHeight="1">
      <c r="A288" s="610"/>
      <c r="B288" s="583"/>
      <c r="C288" s="583"/>
      <c r="D288" s="187" t="s">
        <v>27</v>
      </c>
      <c r="E288" s="49"/>
      <c r="F288" s="49"/>
      <c r="G288" s="49"/>
      <c r="H288" s="49"/>
      <c r="I288" s="49"/>
      <c r="J288" s="49"/>
      <c r="K288" s="49"/>
      <c r="L288" s="49" t="e">
        <f>L289/L287*1000</f>
        <v>#DIV/0!</v>
      </c>
      <c r="M288" s="49" t="e">
        <f>M289/M287*1000</f>
        <v>#DIV/0!</v>
      </c>
      <c r="N288" s="49"/>
      <c r="O288" s="49"/>
      <c r="P288" s="49"/>
      <c r="Q288" s="49"/>
      <c r="R288" s="49"/>
      <c r="S288" s="49"/>
      <c r="T288" s="49" t="e">
        <f>T289/T287*1000</f>
        <v>#DIV/0!</v>
      </c>
      <c r="U288" s="49" t="e">
        <f>U289/U287*1000</f>
        <v>#DIV/0!</v>
      </c>
      <c r="V288" s="68" t="e">
        <f>V289/V287*1000</f>
        <v>#DIV/0!</v>
      </c>
      <c r="W288" s="14" t="e">
        <f>W289/W287*1000</f>
        <v>#DIV/0!</v>
      </c>
      <c r="X288" s="50"/>
    </row>
    <row r="289" spans="1:24" s="55" customFormat="1" ht="18" hidden="1" customHeight="1">
      <c r="A289" s="610"/>
      <c r="B289" s="583"/>
      <c r="C289" s="583"/>
      <c r="D289" s="191" t="s">
        <v>0</v>
      </c>
      <c r="E289" s="52"/>
      <c r="F289" s="52">
        <f t="shared" ref="F289:K289" si="291">F287*F288/1000</f>
        <v>0</v>
      </c>
      <c r="G289" s="52">
        <f t="shared" si="291"/>
        <v>0</v>
      </c>
      <c r="H289" s="52">
        <f t="shared" si="291"/>
        <v>0</v>
      </c>
      <c r="I289" s="52">
        <f t="shared" si="291"/>
        <v>0</v>
      </c>
      <c r="J289" s="52">
        <f t="shared" si="291"/>
        <v>0</v>
      </c>
      <c r="K289" s="52">
        <f t="shared" si="291"/>
        <v>0</v>
      </c>
      <c r="L289" s="69">
        <f>SUM(F289:K289)</f>
        <v>0</v>
      </c>
      <c r="M289" s="69">
        <f>L289/6</f>
        <v>0</v>
      </c>
      <c r="N289" s="52">
        <f t="shared" ref="N289:S289" si="292">N287*N288/1000</f>
        <v>0</v>
      </c>
      <c r="O289" s="52">
        <f t="shared" si="292"/>
        <v>0</v>
      </c>
      <c r="P289" s="52">
        <f t="shared" si="292"/>
        <v>0</v>
      </c>
      <c r="Q289" s="52">
        <f t="shared" si="292"/>
        <v>0</v>
      </c>
      <c r="R289" s="52">
        <f t="shared" si="292"/>
        <v>0</v>
      </c>
      <c r="S289" s="52">
        <f t="shared" si="292"/>
        <v>0</v>
      </c>
      <c r="T289" s="69">
        <f>SUM(N289:S289)</f>
        <v>0</v>
      </c>
      <c r="U289" s="69">
        <f>T289+L289</f>
        <v>0</v>
      </c>
      <c r="V289" s="70">
        <f>V290+V291</f>
        <v>0</v>
      </c>
      <c r="W289" s="53">
        <f>V289-U289</f>
        <v>0</v>
      </c>
      <c r="X289" s="54">
        <f>9891253.845/1000</f>
        <v>9891.2540000000008</v>
      </c>
    </row>
    <row r="290" spans="1:24" s="55" customFormat="1" ht="18" hidden="1" customHeight="1">
      <c r="A290" s="610"/>
      <c r="B290" s="583"/>
      <c r="C290" s="583"/>
      <c r="D290" s="174" t="s">
        <v>55</v>
      </c>
      <c r="E290" s="56"/>
      <c r="F290" s="52"/>
      <c r="G290" s="52"/>
      <c r="H290" s="52"/>
      <c r="I290" s="52"/>
      <c r="J290" s="52"/>
      <c r="K290" s="52"/>
      <c r="L290" s="69">
        <f>SUM(F290:K290)</f>
        <v>0</v>
      </c>
      <c r="M290" s="69">
        <f>L290/6</f>
        <v>0</v>
      </c>
      <c r="N290" s="52"/>
      <c r="O290" s="52"/>
      <c r="P290" s="52"/>
      <c r="Q290" s="52"/>
      <c r="R290" s="52"/>
      <c r="S290" s="52"/>
      <c r="T290" s="69">
        <f>SUM(N290:S290)</f>
        <v>0</v>
      </c>
      <c r="U290" s="69">
        <f>T290+L290</f>
        <v>0</v>
      </c>
      <c r="V290" s="70"/>
      <c r="W290" s="53">
        <f>V290-U290</f>
        <v>0</v>
      </c>
      <c r="X290" s="58"/>
    </row>
    <row r="291" spans="1:24" s="55" customFormat="1" ht="18" hidden="1" customHeight="1">
      <c r="A291" s="610"/>
      <c r="B291" s="583"/>
      <c r="C291" s="583"/>
      <c r="D291" s="174" t="s">
        <v>28</v>
      </c>
      <c r="E291" s="56"/>
      <c r="F291" s="52"/>
      <c r="G291" s="52"/>
      <c r="H291" s="52"/>
      <c r="I291" s="52"/>
      <c r="J291" s="52"/>
      <c r="K291" s="52"/>
      <c r="L291" s="69">
        <f>SUM(F291:K291)</f>
        <v>0</v>
      </c>
      <c r="M291" s="69">
        <f>L291/6</f>
        <v>0</v>
      </c>
      <c r="N291" s="52"/>
      <c r="O291" s="52"/>
      <c r="P291" s="52"/>
      <c r="Q291" s="52"/>
      <c r="R291" s="52"/>
      <c r="S291" s="52"/>
      <c r="T291" s="69">
        <f>SUM(N291:S291)</f>
        <v>0</v>
      </c>
      <c r="U291" s="69">
        <f>T291+L291</f>
        <v>0</v>
      </c>
      <c r="V291" s="70"/>
      <c r="W291" s="53">
        <f>V291-U291</f>
        <v>0</v>
      </c>
      <c r="X291" s="58"/>
    </row>
    <row r="292" spans="1:24" s="48" customFormat="1" ht="18" hidden="1" customHeight="1">
      <c r="A292" s="610"/>
      <c r="B292" s="583"/>
      <c r="C292" s="583"/>
      <c r="D292" s="178" t="s">
        <v>106</v>
      </c>
      <c r="E292" s="11"/>
      <c r="F292" s="11"/>
      <c r="G292" s="11"/>
      <c r="H292" s="11"/>
      <c r="I292" s="11"/>
      <c r="J292" s="11"/>
      <c r="K292" s="11"/>
      <c r="L292" s="65">
        <f>SUM(F292:K292)</f>
        <v>0</v>
      </c>
      <c r="M292" s="65">
        <f>L292/6</f>
        <v>0</v>
      </c>
      <c r="N292" s="11"/>
      <c r="O292" s="11"/>
      <c r="P292" s="11"/>
      <c r="Q292" s="11"/>
      <c r="R292" s="11"/>
      <c r="S292" s="11"/>
      <c r="T292" s="65">
        <f>SUM(N292:S292)</f>
        <v>0</v>
      </c>
      <c r="U292" s="65">
        <f>T292+L292</f>
        <v>0</v>
      </c>
      <c r="V292" s="11">
        <f>V287</f>
        <v>0</v>
      </c>
      <c r="W292" s="38">
        <f>V292-U292</f>
        <v>0</v>
      </c>
      <c r="X292" s="47">
        <f>U287-U292</f>
        <v>0</v>
      </c>
    </row>
    <row r="293" spans="1:24" s="51" customFormat="1" ht="18" hidden="1" customHeight="1">
      <c r="A293" s="610"/>
      <c r="B293" s="583"/>
      <c r="C293" s="583"/>
      <c r="D293" s="187" t="s">
        <v>27</v>
      </c>
      <c r="E293" s="49" t="e">
        <f>E294/E292*1000</f>
        <v>#DIV/0!</v>
      </c>
      <c r="F293" s="49"/>
      <c r="G293" s="49"/>
      <c r="H293" s="49"/>
      <c r="I293" s="49"/>
      <c r="J293" s="49"/>
      <c r="K293" s="49"/>
      <c r="L293" s="49" t="e">
        <f>L294/L292*1000</f>
        <v>#DIV/0!</v>
      </c>
      <c r="M293" s="49" t="e">
        <f>M294/M292*1000</f>
        <v>#DIV/0!</v>
      </c>
      <c r="N293" s="49"/>
      <c r="O293" s="49"/>
      <c r="P293" s="49"/>
      <c r="Q293" s="49"/>
      <c r="R293" s="49"/>
      <c r="S293" s="49"/>
      <c r="T293" s="49" t="e">
        <f>T294/T292*1000</f>
        <v>#DIV/0!</v>
      </c>
      <c r="U293" s="49" t="e">
        <f>U294/U292*1000</f>
        <v>#DIV/0!</v>
      </c>
      <c r="V293" s="68" t="e">
        <f>V294/V292*1000</f>
        <v>#DIV/0!</v>
      </c>
      <c r="W293" s="14" t="e">
        <f>W294/W292*1000</f>
        <v>#DIV/0!</v>
      </c>
      <c r="X293" s="59"/>
    </row>
    <row r="294" spans="1:24" s="63" customFormat="1" ht="18" hidden="1" customHeight="1">
      <c r="A294" s="610"/>
      <c r="B294" s="583"/>
      <c r="C294" s="583"/>
      <c r="D294" s="198" t="s">
        <v>25</v>
      </c>
      <c r="E294" s="71"/>
      <c r="F294" s="61">
        <f t="shared" ref="F294:K294" si="293">F292*F293/1000</f>
        <v>0</v>
      </c>
      <c r="G294" s="61">
        <f t="shared" si="293"/>
        <v>0</v>
      </c>
      <c r="H294" s="61">
        <f t="shared" si="293"/>
        <v>0</v>
      </c>
      <c r="I294" s="61">
        <f t="shared" si="293"/>
        <v>0</v>
      </c>
      <c r="J294" s="61">
        <f t="shared" si="293"/>
        <v>0</v>
      </c>
      <c r="K294" s="61">
        <f t="shared" si="293"/>
        <v>0</v>
      </c>
      <c r="L294" s="61">
        <f>SUM(F294:K294)</f>
        <v>0</v>
      </c>
      <c r="M294" s="61">
        <f>L294/6</f>
        <v>0</v>
      </c>
      <c r="N294" s="61">
        <f t="shared" ref="N294:S294" si="294">N292*N293/1000</f>
        <v>0</v>
      </c>
      <c r="O294" s="61">
        <f t="shared" si="294"/>
        <v>0</v>
      </c>
      <c r="P294" s="61">
        <f t="shared" si="294"/>
        <v>0</v>
      </c>
      <c r="Q294" s="61">
        <f t="shared" si="294"/>
        <v>0</v>
      </c>
      <c r="R294" s="61">
        <f t="shared" si="294"/>
        <v>0</v>
      </c>
      <c r="S294" s="61">
        <f t="shared" si="294"/>
        <v>0</v>
      </c>
      <c r="T294" s="61">
        <f>SUM(N294:S294)</f>
        <v>0</v>
      </c>
      <c r="U294" s="61">
        <f>T294+L294</f>
        <v>0</v>
      </c>
      <c r="V294" s="61">
        <f>V289</f>
        <v>0</v>
      </c>
      <c r="W294" s="72">
        <f>V294-U294</f>
        <v>0</v>
      </c>
      <c r="X294" s="63">
        <f>U289-U294</f>
        <v>0</v>
      </c>
    </row>
    <row r="295" spans="1:24" s="63" customFormat="1" ht="18" hidden="1" customHeight="1">
      <c r="A295" s="610"/>
      <c r="B295" s="583"/>
      <c r="C295" s="583"/>
      <c r="D295" s="201" t="s">
        <v>55</v>
      </c>
      <c r="E295" s="71"/>
      <c r="F295" s="61"/>
      <c r="G295" s="61"/>
      <c r="H295" s="61"/>
      <c r="I295" s="61"/>
      <c r="J295" s="61"/>
      <c r="K295" s="61"/>
      <c r="L295" s="61">
        <f>SUM(F295:K295)</f>
        <v>0</v>
      </c>
      <c r="M295" s="61">
        <f>L295/6</f>
        <v>0</v>
      </c>
      <c r="N295" s="61"/>
      <c r="O295" s="61"/>
      <c r="P295" s="61"/>
      <c r="Q295" s="61"/>
      <c r="R295" s="61"/>
      <c r="S295" s="61"/>
      <c r="T295" s="61">
        <f>SUM(N295:S295)</f>
        <v>0</v>
      </c>
      <c r="U295" s="61">
        <f>T295+L295</f>
        <v>0</v>
      </c>
      <c r="V295" s="61">
        <f>V290</f>
        <v>0</v>
      </c>
      <c r="W295" s="72">
        <f>V295-U295</f>
        <v>0</v>
      </c>
      <c r="X295" s="63">
        <f>U290-U295</f>
        <v>0</v>
      </c>
    </row>
    <row r="296" spans="1:24" s="63" customFormat="1" ht="18" hidden="1" customHeight="1">
      <c r="A296" s="610"/>
      <c r="B296" s="583"/>
      <c r="C296" s="583"/>
      <c r="D296" s="201" t="s">
        <v>24</v>
      </c>
      <c r="E296" s="71"/>
      <c r="F296" s="61">
        <f t="shared" ref="F296:K296" si="295">F294-F295</f>
        <v>0</v>
      </c>
      <c r="G296" s="61">
        <f t="shared" si="295"/>
        <v>0</v>
      </c>
      <c r="H296" s="61">
        <f t="shared" si="295"/>
        <v>0</v>
      </c>
      <c r="I296" s="61">
        <f t="shared" si="295"/>
        <v>0</v>
      </c>
      <c r="J296" s="61">
        <f t="shared" si="295"/>
        <v>0</v>
      </c>
      <c r="K296" s="61">
        <f t="shared" si="295"/>
        <v>0</v>
      </c>
      <c r="L296" s="61">
        <f>SUM(F296:K296)</f>
        <v>0</v>
      </c>
      <c r="M296" s="61">
        <f>L296/6</f>
        <v>0</v>
      </c>
      <c r="N296" s="61">
        <f t="shared" ref="N296:S296" si="296">N294-N295</f>
        <v>0</v>
      </c>
      <c r="O296" s="61">
        <f t="shared" si="296"/>
        <v>0</v>
      </c>
      <c r="P296" s="61">
        <f t="shared" si="296"/>
        <v>0</v>
      </c>
      <c r="Q296" s="61">
        <f t="shared" si="296"/>
        <v>0</v>
      </c>
      <c r="R296" s="61">
        <f t="shared" si="296"/>
        <v>0</v>
      </c>
      <c r="S296" s="61">
        <f t="shared" si="296"/>
        <v>0</v>
      </c>
      <c r="T296" s="61">
        <f>SUM(N296:S296)</f>
        <v>0</v>
      </c>
      <c r="U296" s="61">
        <f>T296+L296</f>
        <v>0</v>
      </c>
      <c r="V296" s="61">
        <f>V291</f>
        <v>0</v>
      </c>
      <c r="W296" s="72">
        <f>V296-U296</f>
        <v>0</v>
      </c>
      <c r="X296" s="63">
        <f>U291-U296</f>
        <v>0</v>
      </c>
    </row>
    <row r="297" spans="1:24" s="43" customFormat="1" ht="18" hidden="1" customHeight="1">
      <c r="A297" s="610"/>
      <c r="B297" s="583"/>
      <c r="C297" s="583"/>
      <c r="D297" s="202" t="s">
        <v>29</v>
      </c>
      <c r="E297" s="42"/>
      <c r="F297" s="42">
        <f t="shared" ref="F297:K297" si="297">F291</f>
        <v>0</v>
      </c>
      <c r="G297" s="42">
        <f t="shared" si="297"/>
        <v>0</v>
      </c>
      <c r="H297" s="42">
        <f t="shared" si="297"/>
        <v>0</v>
      </c>
      <c r="I297" s="42">
        <f t="shared" si="297"/>
        <v>0</v>
      </c>
      <c r="J297" s="42">
        <f t="shared" si="297"/>
        <v>0</v>
      </c>
      <c r="K297" s="42">
        <f t="shared" si="297"/>
        <v>0</v>
      </c>
      <c r="L297" s="42">
        <f>SUM(F297:K297)</f>
        <v>0</v>
      </c>
      <c r="M297" s="42">
        <f>L297/6</f>
        <v>0</v>
      </c>
      <c r="N297" s="42">
        <f t="shared" ref="N297:S297" si="298">N291+N290</f>
        <v>0</v>
      </c>
      <c r="O297" s="42">
        <f t="shared" si="298"/>
        <v>0</v>
      </c>
      <c r="P297" s="42">
        <f t="shared" si="298"/>
        <v>0</v>
      </c>
      <c r="Q297" s="42">
        <f t="shared" si="298"/>
        <v>0</v>
      </c>
      <c r="R297" s="42">
        <f t="shared" si="298"/>
        <v>0</v>
      </c>
      <c r="S297" s="42">
        <f t="shared" si="298"/>
        <v>0</v>
      </c>
      <c r="T297" s="42">
        <f>SUM(N297:S297)</f>
        <v>0</v>
      </c>
      <c r="U297" s="42">
        <f>T297+L297</f>
        <v>0</v>
      </c>
      <c r="V297" s="42">
        <f>V294</f>
        <v>0</v>
      </c>
      <c r="W297" s="42">
        <f>V297-U297</f>
        <v>0</v>
      </c>
    </row>
    <row r="298" spans="1:24" s="43" customFormat="1" ht="18" hidden="1" customHeight="1">
      <c r="A298" s="610"/>
      <c r="B298" s="583"/>
      <c r="C298" s="583"/>
      <c r="D298" s="202" t="s">
        <v>30</v>
      </c>
      <c r="E298" s="42"/>
      <c r="F298" s="42">
        <f t="shared" ref="F298:K298" si="299">F294-F297</f>
        <v>0</v>
      </c>
      <c r="G298" s="42">
        <f t="shared" si="299"/>
        <v>0</v>
      </c>
      <c r="H298" s="42">
        <f t="shared" si="299"/>
        <v>0</v>
      </c>
      <c r="I298" s="42">
        <f t="shared" si="299"/>
        <v>0</v>
      </c>
      <c r="J298" s="42">
        <f t="shared" si="299"/>
        <v>0</v>
      </c>
      <c r="K298" s="42">
        <f t="shared" si="299"/>
        <v>0</v>
      </c>
      <c r="L298" s="42"/>
      <c r="M298" s="42"/>
      <c r="N298" s="42">
        <f t="shared" ref="N298:S298" si="300">N294-N297</f>
        <v>0</v>
      </c>
      <c r="O298" s="42">
        <f t="shared" si="300"/>
        <v>0</v>
      </c>
      <c r="P298" s="42">
        <f t="shared" si="300"/>
        <v>0</v>
      </c>
      <c r="Q298" s="42">
        <f t="shared" si="300"/>
        <v>0</v>
      </c>
      <c r="R298" s="42">
        <f t="shared" si="300"/>
        <v>0</v>
      </c>
      <c r="S298" s="42">
        <f t="shared" si="300"/>
        <v>0</v>
      </c>
      <c r="T298" s="42"/>
      <c r="U298" s="42"/>
      <c r="V298" s="42"/>
      <c r="W298" s="42"/>
    </row>
    <row r="299" spans="1:24" s="43" customFormat="1" ht="18" hidden="1" customHeight="1">
      <c r="A299" s="610"/>
      <c r="B299" s="583"/>
      <c r="C299" s="584"/>
      <c r="D299" s="202" t="s">
        <v>31</v>
      </c>
      <c r="E299" s="42"/>
      <c r="F299" s="42">
        <f>F298</f>
        <v>0</v>
      </c>
      <c r="G299" s="42">
        <f>G298+F299</f>
        <v>0</v>
      </c>
      <c r="H299" s="42">
        <f>H298+G299</f>
        <v>0</v>
      </c>
      <c r="I299" s="42">
        <f>I298+H299</f>
        <v>0</v>
      </c>
      <c r="J299" s="42">
        <f>J298+I299</f>
        <v>0</v>
      </c>
      <c r="K299" s="42">
        <f>K298+J299</f>
        <v>0</v>
      </c>
      <c r="L299" s="42"/>
      <c r="M299" s="42"/>
      <c r="N299" s="42">
        <f>N298+K299</f>
        <v>0</v>
      </c>
      <c r="O299" s="42">
        <f>O298+N299</f>
        <v>0</v>
      </c>
      <c r="P299" s="42">
        <f>P298+O299</f>
        <v>0</v>
      </c>
      <c r="Q299" s="42">
        <f>Q298+P299</f>
        <v>0</v>
      </c>
      <c r="R299" s="42">
        <f>R298+Q299</f>
        <v>0</v>
      </c>
      <c r="S299" s="42">
        <f>S298+R299</f>
        <v>0</v>
      </c>
      <c r="T299" s="42"/>
      <c r="U299" s="42"/>
      <c r="V299" s="42"/>
      <c r="W299" s="42"/>
    </row>
    <row r="300" spans="1:24" s="47" customFormat="1" ht="18" hidden="1" customHeight="1">
      <c r="A300" s="610"/>
      <c r="B300" s="581" t="s">
        <v>59</v>
      </c>
      <c r="C300" s="582" t="s">
        <v>97</v>
      </c>
      <c r="D300" s="178" t="s">
        <v>93</v>
      </c>
      <c r="E300" s="11"/>
      <c r="F300" s="12"/>
      <c r="G300" s="12"/>
      <c r="H300" s="12"/>
      <c r="I300" s="12"/>
      <c r="J300" s="12"/>
      <c r="K300" s="12"/>
      <c r="L300" s="65">
        <f>SUM(F300:K300)</f>
        <v>0</v>
      </c>
      <c r="M300" s="65">
        <f>L300/6</f>
        <v>0</v>
      </c>
      <c r="N300" s="12"/>
      <c r="O300" s="12"/>
      <c r="P300" s="12"/>
      <c r="Q300" s="12"/>
      <c r="R300" s="12"/>
      <c r="S300" s="12"/>
      <c r="T300" s="65">
        <f>SUM(N300:S300)</f>
        <v>0</v>
      </c>
      <c r="U300" s="66">
        <f>T300+L300</f>
        <v>0</v>
      </c>
      <c r="V300" s="67"/>
      <c r="W300" s="38">
        <f>V300-U300</f>
        <v>0</v>
      </c>
    </row>
    <row r="301" spans="1:24" s="47" customFormat="1" ht="18" hidden="1" customHeight="1">
      <c r="A301" s="610"/>
      <c r="B301" s="581"/>
      <c r="C301" s="583"/>
      <c r="D301" s="178" t="s">
        <v>95</v>
      </c>
      <c r="E301" s="11"/>
      <c r="F301" s="12"/>
      <c r="G301" s="12"/>
      <c r="H301" s="12"/>
      <c r="I301" s="12"/>
      <c r="J301" s="12"/>
      <c r="K301" s="12"/>
      <c r="L301" s="65">
        <f>SUM(F301:K301)</f>
        <v>0</v>
      </c>
      <c r="M301" s="65">
        <f>L301/6</f>
        <v>0</v>
      </c>
      <c r="N301" s="11"/>
      <c r="O301" s="11"/>
      <c r="P301" s="11"/>
      <c r="Q301" s="11"/>
      <c r="R301" s="11"/>
      <c r="S301" s="11"/>
      <c r="T301" s="65">
        <f>SUM(N301:S301)</f>
        <v>0</v>
      </c>
      <c r="U301" s="66">
        <f>T301+L301</f>
        <v>0</v>
      </c>
      <c r="V301" s="67"/>
      <c r="W301" s="38">
        <f>V301-U301</f>
        <v>0</v>
      </c>
    </row>
    <row r="302" spans="1:24" s="47" customFormat="1" ht="18" hidden="1" customHeight="1">
      <c r="A302" s="610"/>
      <c r="B302" s="581"/>
      <c r="C302" s="583"/>
      <c r="D302" s="178" t="s">
        <v>105</v>
      </c>
      <c r="E302" s="11"/>
      <c r="F302" s="12"/>
      <c r="G302" s="12"/>
      <c r="H302" s="12"/>
      <c r="I302" s="12"/>
      <c r="J302" s="12"/>
      <c r="K302" s="12"/>
      <c r="L302" s="65">
        <f>SUM(F302:K302)</f>
        <v>0</v>
      </c>
      <c r="M302" s="65">
        <f>L302/6</f>
        <v>0</v>
      </c>
      <c r="N302" s="12"/>
      <c r="O302" s="12"/>
      <c r="P302" s="12"/>
      <c r="Q302" s="12"/>
      <c r="R302" s="12"/>
      <c r="S302" s="11"/>
      <c r="T302" s="65">
        <f>SUM(N302:S302)</f>
        <v>0</v>
      </c>
      <c r="U302" s="66">
        <f>T302+L302</f>
        <v>0</v>
      </c>
      <c r="V302" s="11"/>
      <c r="W302" s="38">
        <f>V302-U302</f>
        <v>0</v>
      </c>
    </row>
    <row r="303" spans="1:24" s="47" customFormat="1" ht="18" hidden="1" customHeight="1">
      <c r="A303" s="610"/>
      <c r="B303" s="581"/>
      <c r="C303" s="583"/>
      <c r="D303" s="187" t="s">
        <v>27</v>
      </c>
      <c r="E303" s="49"/>
      <c r="F303" s="49"/>
      <c r="G303" s="49"/>
      <c r="H303" s="49"/>
      <c r="I303" s="49"/>
      <c r="J303" s="49"/>
      <c r="K303" s="49"/>
      <c r="L303" s="49" t="e">
        <f>L304/L302*1000</f>
        <v>#DIV/0!</v>
      </c>
      <c r="M303" s="49" t="e">
        <f>M304/M302*1000</f>
        <v>#DIV/0!</v>
      </c>
      <c r="N303" s="49"/>
      <c r="O303" s="49"/>
      <c r="P303" s="49"/>
      <c r="Q303" s="49"/>
      <c r="R303" s="49"/>
      <c r="S303" s="49"/>
      <c r="T303" s="49" t="e">
        <f>T304/T302*1000</f>
        <v>#DIV/0!</v>
      </c>
      <c r="U303" s="49" t="e">
        <f>U304/U302*1000</f>
        <v>#DIV/0!</v>
      </c>
      <c r="V303" s="68" t="e">
        <f>V304/V302*1000</f>
        <v>#DIV/0!</v>
      </c>
      <c r="W303" s="14" t="e">
        <f>W304/W302*1000</f>
        <v>#DIV/0!</v>
      </c>
    </row>
    <row r="304" spans="1:24" s="47" customFormat="1" ht="18" hidden="1" customHeight="1">
      <c r="A304" s="610"/>
      <c r="B304" s="581"/>
      <c r="C304" s="583"/>
      <c r="D304" s="191" t="s">
        <v>0</v>
      </c>
      <c r="E304" s="52"/>
      <c r="F304" s="52">
        <f t="shared" ref="F304:K304" si="301">F302*F303/1000</f>
        <v>0</v>
      </c>
      <c r="G304" s="52">
        <f t="shared" si="301"/>
        <v>0</v>
      </c>
      <c r="H304" s="52">
        <f t="shared" si="301"/>
        <v>0</v>
      </c>
      <c r="I304" s="52">
        <f t="shared" si="301"/>
        <v>0</v>
      </c>
      <c r="J304" s="52">
        <f t="shared" si="301"/>
        <v>0</v>
      </c>
      <c r="K304" s="52">
        <f t="shared" si="301"/>
        <v>0</v>
      </c>
      <c r="L304" s="69">
        <f>SUM(F304:K304)</f>
        <v>0</v>
      </c>
      <c r="M304" s="69">
        <f>L304/6</f>
        <v>0</v>
      </c>
      <c r="N304" s="52">
        <f t="shared" ref="N304:S304" si="302">N302*N303/1000</f>
        <v>0</v>
      </c>
      <c r="O304" s="52">
        <f t="shared" si="302"/>
        <v>0</v>
      </c>
      <c r="P304" s="52">
        <f t="shared" si="302"/>
        <v>0</v>
      </c>
      <c r="Q304" s="52">
        <f t="shared" si="302"/>
        <v>0</v>
      </c>
      <c r="R304" s="52">
        <f t="shared" si="302"/>
        <v>0</v>
      </c>
      <c r="S304" s="52">
        <f t="shared" si="302"/>
        <v>0</v>
      </c>
      <c r="T304" s="69">
        <f>SUM(N304:S304)</f>
        <v>0</v>
      </c>
      <c r="U304" s="69">
        <f>T304+L304</f>
        <v>0</v>
      </c>
      <c r="V304" s="70">
        <f>V305+V306</f>
        <v>0</v>
      </c>
      <c r="W304" s="53">
        <f>V304-U304</f>
        <v>0</v>
      </c>
    </row>
    <row r="305" spans="1:24" s="47" customFormat="1" ht="18" hidden="1" customHeight="1">
      <c r="A305" s="610"/>
      <c r="B305" s="581"/>
      <c r="C305" s="583"/>
      <c r="D305" s="174" t="s">
        <v>55</v>
      </c>
      <c r="E305" s="56"/>
      <c r="F305" s="52"/>
      <c r="G305" s="52"/>
      <c r="H305" s="52"/>
      <c r="I305" s="52"/>
      <c r="J305" s="52"/>
      <c r="K305" s="52"/>
      <c r="L305" s="69">
        <f>SUM(F305:K305)</f>
        <v>0</v>
      </c>
      <c r="M305" s="69">
        <f>L305/6</f>
        <v>0</v>
      </c>
      <c r="N305" s="52"/>
      <c r="O305" s="52"/>
      <c r="P305" s="52"/>
      <c r="Q305" s="52"/>
      <c r="R305" s="52"/>
      <c r="S305" s="52"/>
      <c r="T305" s="69">
        <f>SUM(N305:S305)</f>
        <v>0</v>
      </c>
      <c r="U305" s="69">
        <f>T305+L305</f>
        <v>0</v>
      </c>
      <c r="V305" s="70"/>
      <c r="W305" s="53">
        <f>V305-U305</f>
        <v>0</v>
      </c>
    </row>
    <row r="306" spans="1:24" s="47" customFormat="1" ht="18" hidden="1" customHeight="1">
      <c r="A306" s="610"/>
      <c r="B306" s="581"/>
      <c r="C306" s="583"/>
      <c r="D306" s="174" t="s">
        <v>28</v>
      </c>
      <c r="E306" s="56"/>
      <c r="F306" s="52"/>
      <c r="G306" s="52"/>
      <c r="H306" s="52"/>
      <c r="I306" s="52"/>
      <c r="J306" s="52"/>
      <c r="K306" s="52"/>
      <c r="L306" s="69">
        <f>SUM(F306:K306)</f>
        <v>0</v>
      </c>
      <c r="M306" s="69">
        <f>L306/6</f>
        <v>0</v>
      </c>
      <c r="N306" s="52"/>
      <c r="O306" s="52"/>
      <c r="P306" s="52"/>
      <c r="Q306" s="52"/>
      <c r="R306" s="52"/>
      <c r="S306" s="52"/>
      <c r="T306" s="69">
        <f>SUM(N306:S306)</f>
        <v>0</v>
      </c>
      <c r="U306" s="69">
        <f>T306+L306</f>
        <v>0</v>
      </c>
      <c r="V306" s="70"/>
      <c r="W306" s="53">
        <f>V306-U306</f>
        <v>0</v>
      </c>
    </row>
    <row r="307" spans="1:24" s="47" customFormat="1" ht="18" hidden="1" customHeight="1">
      <c r="A307" s="610"/>
      <c r="B307" s="581"/>
      <c r="C307" s="583"/>
      <c r="D307" s="178" t="s">
        <v>106</v>
      </c>
      <c r="E307" s="11"/>
      <c r="F307" s="11"/>
      <c r="G307" s="11"/>
      <c r="H307" s="11"/>
      <c r="I307" s="11"/>
      <c r="J307" s="11"/>
      <c r="K307" s="11"/>
      <c r="L307" s="65">
        <f>SUM(F307:K307)</f>
        <v>0</v>
      </c>
      <c r="M307" s="65">
        <f>L307/6</f>
        <v>0</v>
      </c>
      <c r="N307" s="11"/>
      <c r="O307" s="11"/>
      <c r="P307" s="11"/>
      <c r="Q307" s="11"/>
      <c r="R307" s="11"/>
      <c r="S307" s="11"/>
      <c r="T307" s="65">
        <f>SUM(N307:S307)</f>
        <v>0</v>
      </c>
      <c r="U307" s="65">
        <f>T307+L307</f>
        <v>0</v>
      </c>
      <c r="V307" s="11">
        <f>V302</f>
        <v>0</v>
      </c>
      <c r="W307" s="38">
        <f>V307-U307</f>
        <v>0</v>
      </c>
      <c r="X307" s="47">
        <f>U302-U307</f>
        <v>0</v>
      </c>
    </row>
    <row r="308" spans="1:24" s="47" customFormat="1" ht="18" hidden="1" customHeight="1">
      <c r="A308" s="610"/>
      <c r="B308" s="581"/>
      <c r="C308" s="583"/>
      <c r="D308" s="187" t="s">
        <v>27</v>
      </c>
      <c r="E308" s="49" t="e">
        <f>E309/E307*1000</f>
        <v>#DIV/0!</v>
      </c>
      <c r="F308" s="49"/>
      <c r="G308" s="49"/>
      <c r="H308" s="49"/>
      <c r="I308" s="49"/>
      <c r="J308" s="49"/>
      <c r="K308" s="49"/>
      <c r="L308" s="49" t="e">
        <f>L309/L307*1000</f>
        <v>#DIV/0!</v>
      </c>
      <c r="M308" s="49" t="e">
        <f>M309/M307*1000</f>
        <v>#DIV/0!</v>
      </c>
      <c r="N308" s="49"/>
      <c r="O308" s="49"/>
      <c r="P308" s="49"/>
      <c r="Q308" s="49"/>
      <c r="R308" s="49"/>
      <c r="S308" s="49"/>
      <c r="T308" s="49" t="e">
        <f>T309/T307*1000</f>
        <v>#DIV/0!</v>
      </c>
      <c r="U308" s="49" t="e">
        <f>U309/U307*1000</f>
        <v>#DIV/0!</v>
      </c>
      <c r="V308" s="68" t="e">
        <f>V309/V307*1000</f>
        <v>#DIV/0!</v>
      </c>
      <c r="W308" s="14" t="e">
        <f>W309/W307*1000</f>
        <v>#DIV/0!</v>
      </c>
    </row>
    <row r="309" spans="1:24" s="63" customFormat="1" ht="18" hidden="1" customHeight="1">
      <c r="A309" s="610"/>
      <c r="B309" s="581"/>
      <c r="C309" s="583"/>
      <c r="D309" s="198" t="s">
        <v>25</v>
      </c>
      <c r="E309" s="71"/>
      <c r="F309" s="61">
        <f t="shared" ref="F309:K309" si="303">F307*F308/1000</f>
        <v>0</v>
      </c>
      <c r="G309" s="61">
        <f t="shared" si="303"/>
        <v>0</v>
      </c>
      <c r="H309" s="61">
        <f t="shared" si="303"/>
        <v>0</v>
      </c>
      <c r="I309" s="61">
        <f t="shared" si="303"/>
        <v>0</v>
      </c>
      <c r="J309" s="61">
        <f t="shared" si="303"/>
        <v>0</v>
      </c>
      <c r="K309" s="61">
        <f t="shared" si="303"/>
        <v>0</v>
      </c>
      <c r="L309" s="61">
        <f>SUM(F309:K309)</f>
        <v>0</v>
      </c>
      <c r="M309" s="61">
        <f>L309/6</f>
        <v>0</v>
      </c>
      <c r="N309" s="61">
        <f t="shared" ref="N309:S309" si="304">N307*N308/1000</f>
        <v>0</v>
      </c>
      <c r="O309" s="61">
        <f t="shared" si="304"/>
        <v>0</v>
      </c>
      <c r="P309" s="61">
        <f t="shared" si="304"/>
        <v>0</v>
      </c>
      <c r="Q309" s="61">
        <f t="shared" si="304"/>
        <v>0</v>
      </c>
      <c r="R309" s="61">
        <f t="shared" si="304"/>
        <v>0</v>
      </c>
      <c r="S309" s="61">
        <f t="shared" si="304"/>
        <v>0</v>
      </c>
      <c r="T309" s="61">
        <f>SUM(N309:S309)</f>
        <v>0</v>
      </c>
      <c r="U309" s="61">
        <f>T309+L309</f>
        <v>0</v>
      </c>
      <c r="V309" s="61">
        <f>V304</f>
        <v>0</v>
      </c>
      <c r="W309" s="72">
        <f>V309-U309</f>
        <v>0</v>
      </c>
      <c r="X309" s="63">
        <f>U304-U309</f>
        <v>0</v>
      </c>
    </row>
    <row r="310" spans="1:24" s="63" customFormat="1" ht="18" hidden="1" customHeight="1">
      <c r="A310" s="610"/>
      <c r="B310" s="581"/>
      <c r="C310" s="583"/>
      <c r="D310" s="201" t="s">
        <v>55</v>
      </c>
      <c r="E310" s="71"/>
      <c r="F310" s="61"/>
      <c r="G310" s="61"/>
      <c r="H310" s="61"/>
      <c r="I310" s="61"/>
      <c r="J310" s="61"/>
      <c r="K310" s="61"/>
      <c r="L310" s="61">
        <f>SUM(F310:K310)</f>
        <v>0</v>
      </c>
      <c r="M310" s="61">
        <f>L310/6</f>
        <v>0</v>
      </c>
      <c r="N310" s="61"/>
      <c r="O310" s="61"/>
      <c r="P310" s="61"/>
      <c r="Q310" s="61"/>
      <c r="R310" s="61"/>
      <c r="S310" s="61"/>
      <c r="T310" s="61">
        <f>SUM(N310:S310)</f>
        <v>0</v>
      </c>
      <c r="U310" s="61">
        <f>T310+L310</f>
        <v>0</v>
      </c>
      <c r="V310" s="61">
        <f>V305</f>
        <v>0</v>
      </c>
      <c r="W310" s="72">
        <f>V310-U310</f>
        <v>0</v>
      </c>
      <c r="X310" s="63">
        <f>U305-U310</f>
        <v>0</v>
      </c>
    </row>
    <row r="311" spans="1:24" s="63" customFormat="1" ht="18" hidden="1" customHeight="1">
      <c r="A311" s="610"/>
      <c r="B311" s="581"/>
      <c r="C311" s="583"/>
      <c r="D311" s="201" t="s">
        <v>24</v>
      </c>
      <c r="E311" s="71"/>
      <c r="F311" s="61">
        <f t="shared" ref="F311:K311" si="305">F309-F310</f>
        <v>0</v>
      </c>
      <c r="G311" s="61">
        <f t="shared" si="305"/>
        <v>0</v>
      </c>
      <c r="H311" s="61">
        <f t="shared" si="305"/>
        <v>0</v>
      </c>
      <c r="I311" s="61">
        <f t="shared" si="305"/>
        <v>0</v>
      </c>
      <c r="J311" s="61">
        <f t="shared" si="305"/>
        <v>0</v>
      </c>
      <c r="K311" s="61">
        <f t="shared" si="305"/>
        <v>0</v>
      </c>
      <c r="L311" s="61">
        <f>SUM(F311:K311)</f>
        <v>0</v>
      </c>
      <c r="M311" s="61">
        <f>L311/6</f>
        <v>0</v>
      </c>
      <c r="N311" s="61">
        <f t="shared" ref="N311:S311" si="306">N309-N310</f>
        <v>0</v>
      </c>
      <c r="O311" s="61">
        <f t="shared" si="306"/>
        <v>0</v>
      </c>
      <c r="P311" s="61">
        <f t="shared" si="306"/>
        <v>0</v>
      </c>
      <c r="Q311" s="61">
        <f t="shared" si="306"/>
        <v>0</v>
      </c>
      <c r="R311" s="61">
        <f t="shared" si="306"/>
        <v>0</v>
      </c>
      <c r="S311" s="61">
        <f t="shared" si="306"/>
        <v>0</v>
      </c>
      <c r="T311" s="61">
        <f>SUM(N311:S311)</f>
        <v>0</v>
      </c>
      <c r="U311" s="61">
        <f>T311+L311</f>
        <v>0</v>
      </c>
      <c r="V311" s="61">
        <f>V306</f>
        <v>0</v>
      </c>
      <c r="W311" s="72">
        <f>V311-U311</f>
        <v>0</v>
      </c>
      <c r="X311" s="63">
        <f>U306-U311</f>
        <v>0</v>
      </c>
    </row>
    <row r="312" spans="1:24" s="43" customFormat="1" ht="18" hidden="1" customHeight="1">
      <c r="A312" s="610"/>
      <c r="B312" s="581"/>
      <c r="C312" s="583"/>
      <c r="D312" s="202" t="s">
        <v>29</v>
      </c>
      <c r="E312" s="42"/>
      <c r="F312" s="42">
        <f t="shared" ref="F312:K312" si="307">F306</f>
        <v>0</v>
      </c>
      <c r="G312" s="42">
        <f t="shared" si="307"/>
        <v>0</v>
      </c>
      <c r="H312" s="42">
        <f t="shared" si="307"/>
        <v>0</v>
      </c>
      <c r="I312" s="42">
        <f t="shared" si="307"/>
        <v>0</v>
      </c>
      <c r="J312" s="42">
        <f t="shared" si="307"/>
        <v>0</v>
      </c>
      <c r="K312" s="42">
        <f t="shared" si="307"/>
        <v>0</v>
      </c>
      <c r="L312" s="42">
        <f>SUM(F312:K312)</f>
        <v>0</v>
      </c>
      <c r="M312" s="42">
        <f>L312/6</f>
        <v>0</v>
      </c>
      <c r="N312" s="42">
        <f t="shared" ref="N312:S312" si="308">N306+N305</f>
        <v>0</v>
      </c>
      <c r="O312" s="42">
        <f t="shared" si="308"/>
        <v>0</v>
      </c>
      <c r="P312" s="42">
        <f t="shared" si="308"/>
        <v>0</v>
      </c>
      <c r="Q312" s="42">
        <f t="shared" si="308"/>
        <v>0</v>
      </c>
      <c r="R312" s="42">
        <f t="shared" si="308"/>
        <v>0</v>
      </c>
      <c r="S312" s="42">
        <f t="shared" si="308"/>
        <v>0</v>
      </c>
      <c r="T312" s="42">
        <f>SUM(N312:S312)</f>
        <v>0</v>
      </c>
      <c r="U312" s="42">
        <f>T312+L312</f>
        <v>0</v>
      </c>
      <c r="V312" s="42">
        <f>V309</f>
        <v>0</v>
      </c>
      <c r="W312" s="42">
        <f>V312-U312</f>
        <v>0</v>
      </c>
    </row>
    <row r="313" spans="1:24" s="43" customFormat="1" ht="18" hidden="1" customHeight="1">
      <c r="A313" s="610"/>
      <c r="B313" s="581"/>
      <c r="C313" s="583"/>
      <c r="D313" s="202" t="s">
        <v>30</v>
      </c>
      <c r="E313" s="42"/>
      <c r="F313" s="42">
        <f t="shared" ref="F313:K313" si="309">F309-F312</f>
        <v>0</v>
      </c>
      <c r="G313" s="42">
        <f t="shared" si="309"/>
        <v>0</v>
      </c>
      <c r="H313" s="42">
        <f t="shared" si="309"/>
        <v>0</v>
      </c>
      <c r="I313" s="42">
        <f t="shared" si="309"/>
        <v>0</v>
      </c>
      <c r="J313" s="42">
        <f t="shared" si="309"/>
        <v>0</v>
      </c>
      <c r="K313" s="42">
        <f t="shared" si="309"/>
        <v>0</v>
      </c>
      <c r="L313" s="42"/>
      <c r="M313" s="42"/>
      <c r="N313" s="42">
        <f t="shared" ref="N313:S313" si="310">N309-N312</f>
        <v>0</v>
      </c>
      <c r="O313" s="42">
        <f t="shared" si="310"/>
        <v>0</v>
      </c>
      <c r="P313" s="42">
        <f t="shared" si="310"/>
        <v>0</v>
      </c>
      <c r="Q313" s="42">
        <f t="shared" si="310"/>
        <v>0</v>
      </c>
      <c r="R313" s="42">
        <f t="shared" si="310"/>
        <v>0</v>
      </c>
      <c r="S313" s="42">
        <f t="shared" si="310"/>
        <v>0</v>
      </c>
      <c r="T313" s="42"/>
      <c r="U313" s="42"/>
      <c r="V313" s="42"/>
      <c r="W313" s="42"/>
    </row>
    <row r="314" spans="1:24" s="43" customFormat="1" ht="18" hidden="1" customHeight="1">
      <c r="A314" s="610"/>
      <c r="B314" s="581"/>
      <c r="C314" s="584"/>
      <c r="D314" s="202" t="s">
        <v>31</v>
      </c>
      <c r="E314" s="42"/>
      <c r="F314" s="42">
        <f>F313</f>
        <v>0</v>
      </c>
      <c r="G314" s="42">
        <f>G313+F314</f>
        <v>0</v>
      </c>
      <c r="H314" s="42">
        <f>H313+G314</f>
        <v>0</v>
      </c>
      <c r="I314" s="42">
        <f>I313+H314</f>
        <v>0</v>
      </c>
      <c r="J314" s="42">
        <f>J313+I314</f>
        <v>0</v>
      </c>
      <c r="K314" s="42">
        <f>K313+J314</f>
        <v>0</v>
      </c>
      <c r="L314" s="42"/>
      <c r="M314" s="42"/>
      <c r="N314" s="42">
        <f>N313+K314</f>
        <v>0</v>
      </c>
      <c r="O314" s="42">
        <f>O313+N314</f>
        <v>0</v>
      </c>
      <c r="P314" s="42">
        <f>P313+O314</f>
        <v>0</v>
      </c>
      <c r="Q314" s="42">
        <f>Q313+P314</f>
        <v>0</v>
      </c>
      <c r="R314" s="42">
        <f>R313+Q314</f>
        <v>0</v>
      </c>
      <c r="S314" s="42">
        <f>S313+R314</f>
        <v>0</v>
      </c>
      <c r="T314" s="42"/>
      <c r="U314" s="42"/>
      <c r="V314" s="42"/>
      <c r="W314" s="42"/>
    </row>
    <row r="315" spans="1:24" s="48" customFormat="1" ht="18" hidden="1" customHeight="1">
      <c r="A315" s="610"/>
      <c r="B315" s="581"/>
      <c r="C315" s="582" t="s">
        <v>96</v>
      </c>
      <c r="D315" s="178" t="s">
        <v>93</v>
      </c>
      <c r="E315" s="11"/>
      <c r="F315" s="12"/>
      <c r="G315" s="12"/>
      <c r="H315" s="12"/>
      <c r="I315" s="12"/>
      <c r="J315" s="12"/>
      <c r="K315" s="12"/>
      <c r="L315" s="65">
        <f>SUM(F315:K315)</f>
        <v>0</v>
      </c>
      <c r="M315" s="65">
        <f>L315/6</f>
        <v>0</v>
      </c>
      <c r="N315" s="12"/>
      <c r="O315" s="12"/>
      <c r="P315" s="12"/>
      <c r="Q315" s="12"/>
      <c r="R315" s="12"/>
      <c r="S315" s="12"/>
      <c r="T315" s="65">
        <f>SUM(N315:S315)</f>
        <v>0</v>
      </c>
      <c r="U315" s="66">
        <f>T315+L315</f>
        <v>0</v>
      </c>
      <c r="V315" s="67"/>
      <c r="W315" s="38">
        <f>V315-U315</f>
        <v>0</v>
      </c>
      <c r="X315" s="47"/>
    </row>
    <row r="316" spans="1:24" s="48" customFormat="1" ht="18" hidden="1" customHeight="1">
      <c r="A316" s="610"/>
      <c r="B316" s="581"/>
      <c r="C316" s="583"/>
      <c r="D316" s="178" t="s">
        <v>95</v>
      </c>
      <c r="E316" s="11"/>
      <c r="F316" s="12"/>
      <c r="G316" s="12"/>
      <c r="H316" s="12"/>
      <c r="I316" s="12"/>
      <c r="J316" s="12"/>
      <c r="K316" s="12"/>
      <c r="L316" s="65">
        <f>SUM(F316:K316)</f>
        <v>0</v>
      </c>
      <c r="M316" s="65">
        <f>L316/6</f>
        <v>0</v>
      </c>
      <c r="N316" s="11"/>
      <c r="O316" s="11"/>
      <c r="P316" s="11"/>
      <c r="Q316" s="11"/>
      <c r="R316" s="11"/>
      <c r="S316" s="11"/>
      <c r="T316" s="65">
        <f>SUM(N316:S316)</f>
        <v>0</v>
      </c>
      <c r="U316" s="66">
        <f>T316+L316</f>
        <v>0</v>
      </c>
      <c r="V316" s="67"/>
      <c r="W316" s="38">
        <f>V316-U316</f>
        <v>0</v>
      </c>
      <c r="X316" s="47"/>
    </row>
    <row r="317" spans="1:24" s="48" customFormat="1" ht="18" hidden="1" customHeight="1">
      <c r="A317" s="610"/>
      <c r="B317" s="581"/>
      <c r="C317" s="583"/>
      <c r="D317" s="178" t="s">
        <v>105</v>
      </c>
      <c r="E317" s="11"/>
      <c r="F317" s="12"/>
      <c r="G317" s="12"/>
      <c r="H317" s="12"/>
      <c r="I317" s="12"/>
      <c r="J317" s="12"/>
      <c r="K317" s="12"/>
      <c r="L317" s="65">
        <f>SUM(F317:K317)</f>
        <v>0</v>
      </c>
      <c r="M317" s="65">
        <f>L317/6</f>
        <v>0</v>
      </c>
      <c r="N317" s="12"/>
      <c r="O317" s="12"/>
      <c r="P317" s="12"/>
      <c r="Q317" s="12"/>
      <c r="R317" s="12"/>
      <c r="S317" s="11"/>
      <c r="T317" s="65">
        <f>SUM(N317:S317)</f>
        <v>0</v>
      </c>
      <c r="U317" s="66">
        <f>T317+L317</f>
        <v>0</v>
      </c>
      <c r="V317" s="11"/>
      <c r="W317" s="38">
        <f>V317-U317</f>
        <v>0</v>
      </c>
      <c r="X317" s="47"/>
    </row>
    <row r="318" spans="1:24" s="51" customFormat="1" ht="18" hidden="1" customHeight="1">
      <c r="A318" s="610"/>
      <c r="B318" s="581"/>
      <c r="C318" s="583"/>
      <c r="D318" s="187" t="s">
        <v>27</v>
      </c>
      <c r="E318" s="49"/>
      <c r="F318" s="49"/>
      <c r="G318" s="49"/>
      <c r="H318" s="49"/>
      <c r="I318" s="49"/>
      <c r="J318" s="49"/>
      <c r="K318" s="49"/>
      <c r="L318" s="49" t="e">
        <f>L319/L317*1000</f>
        <v>#DIV/0!</v>
      </c>
      <c r="M318" s="49" t="e">
        <f>M319/M317*1000</f>
        <v>#DIV/0!</v>
      </c>
      <c r="N318" s="49"/>
      <c r="O318" s="49"/>
      <c r="P318" s="49"/>
      <c r="Q318" s="49"/>
      <c r="R318" s="49"/>
      <c r="S318" s="49"/>
      <c r="T318" s="49" t="e">
        <f>T319/T317*1000</f>
        <v>#DIV/0!</v>
      </c>
      <c r="U318" s="49" t="e">
        <f>U319/U317*1000</f>
        <v>#DIV/0!</v>
      </c>
      <c r="V318" s="68" t="e">
        <f>V319/V317*1000</f>
        <v>#DIV/0!</v>
      </c>
      <c r="W318" s="14" t="e">
        <f>W319/W317*1000</f>
        <v>#DIV/0!</v>
      </c>
      <c r="X318" s="50"/>
    </row>
    <row r="319" spans="1:24" s="55" customFormat="1" ht="18" hidden="1" customHeight="1">
      <c r="A319" s="610"/>
      <c r="B319" s="581"/>
      <c r="C319" s="583"/>
      <c r="D319" s="191" t="s">
        <v>0</v>
      </c>
      <c r="E319" s="52"/>
      <c r="F319" s="52">
        <f t="shared" ref="F319:K319" si="311">F317*F318/1000</f>
        <v>0</v>
      </c>
      <c r="G319" s="52">
        <f t="shared" si="311"/>
        <v>0</v>
      </c>
      <c r="H319" s="52">
        <f t="shared" si="311"/>
        <v>0</v>
      </c>
      <c r="I319" s="52">
        <f t="shared" si="311"/>
        <v>0</v>
      </c>
      <c r="J319" s="52">
        <f t="shared" si="311"/>
        <v>0</v>
      </c>
      <c r="K319" s="52">
        <f t="shared" si="311"/>
        <v>0</v>
      </c>
      <c r="L319" s="69">
        <f>SUM(F319:K319)</f>
        <v>0</v>
      </c>
      <c r="M319" s="69">
        <f>L319/6</f>
        <v>0</v>
      </c>
      <c r="N319" s="52">
        <f t="shared" ref="N319:S319" si="312">N317*N318/1000</f>
        <v>0</v>
      </c>
      <c r="O319" s="52">
        <f t="shared" si="312"/>
        <v>0</v>
      </c>
      <c r="P319" s="52">
        <f t="shared" si="312"/>
        <v>0</v>
      </c>
      <c r="Q319" s="52">
        <f t="shared" si="312"/>
        <v>0</v>
      </c>
      <c r="R319" s="52">
        <f t="shared" si="312"/>
        <v>0</v>
      </c>
      <c r="S319" s="52">
        <f t="shared" si="312"/>
        <v>0</v>
      </c>
      <c r="T319" s="69">
        <f>SUM(N319:S319)</f>
        <v>0</v>
      </c>
      <c r="U319" s="69">
        <f>T319+L319</f>
        <v>0</v>
      </c>
      <c r="V319" s="70">
        <f>V320+V321</f>
        <v>0</v>
      </c>
      <c r="W319" s="53">
        <f>V319-U319</f>
        <v>0</v>
      </c>
      <c r="X319" s="54">
        <f>9891253.845/1000</f>
        <v>9891.2540000000008</v>
      </c>
    </row>
    <row r="320" spans="1:24" s="55" customFormat="1" ht="18" hidden="1" customHeight="1">
      <c r="A320" s="610"/>
      <c r="B320" s="581"/>
      <c r="C320" s="583"/>
      <c r="D320" s="174" t="s">
        <v>55</v>
      </c>
      <c r="E320" s="56"/>
      <c r="F320" s="52"/>
      <c r="G320" s="52"/>
      <c r="H320" s="52"/>
      <c r="I320" s="52"/>
      <c r="J320" s="52"/>
      <c r="K320" s="52"/>
      <c r="L320" s="69">
        <f>SUM(F320:K320)</f>
        <v>0</v>
      </c>
      <c r="M320" s="69">
        <f>L320/6</f>
        <v>0</v>
      </c>
      <c r="N320" s="52"/>
      <c r="O320" s="52"/>
      <c r="P320" s="52"/>
      <c r="Q320" s="52"/>
      <c r="R320" s="52"/>
      <c r="S320" s="52"/>
      <c r="T320" s="69">
        <f>SUM(N320:S320)</f>
        <v>0</v>
      </c>
      <c r="U320" s="69">
        <f>T320+L320</f>
        <v>0</v>
      </c>
      <c r="V320" s="70"/>
      <c r="W320" s="53">
        <f>V320-U320</f>
        <v>0</v>
      </c>
      <c r="X320" s="58"/>
    </row>
    <row r="321" spans="1:24" s="55" customFormat="1" ht="18" hidden="1" customHeight="1">
      <c r="A321" s="610"/>
      <c r="B321" s="581"/>
      <c r="C321" s="583"/>
      <c r="D321" s="174" t="s">
        <v>28</v>
      </c>
      <c r="E321" s="56"/>
      <c r="F321" s="52"/>
      <c r="G321" s="52"/>
      <c r="H321" s="52"/>
      <c r="I321" s="52"/>
      <c r="J321" s="52"/>
      <c r="K321" s="52"/>
      <c r="L321" s="69">
        <f>SUM(F321:K321)</f>
        <v>0</v>
      </c>
      <c r="M321" s="69">
        <f>L321/6</f>
        <v>0</v>
      </c>
      <c r="N321" s="52"/>
      <c r="O321" s="52"/>
      <c r="P321" s="52"/>
      <c r="Q321" s="52"/>
      <c r="R321" s="52"/>
      <c r="S321" s="52"/>
      <c r="T321" s="69">
        <f>SUM(N321:S321)</f>
        <v>0</v>
      </c>
      <c r="U321" s="69">
        <f>T321+L321</f>
        <v>0</v>
      </c>
      <c r="V321" s="70"/>
      <c r="W321" s="53">
        <f>V321-U321</f>
        <v>0</v>
      </c>
      <c r="X321" s="58"/>
    </row>
    <row r="322" spans="1:24" s="48" customFormat="1" ht="18" hidden="1" customHeight="1">
      <c r="A322" s="610"/>
      <c r="B322" s="581"/>
      <c r="C322" s="583"/>
      <c r="D322" s="178" t="s">
        <v>106</v>
      </c>
      <c r="E322" s="11"/>
      <c r="F322" s="11"/>
      <c r="G322" s="11"/>
      <c r="H322" s="11"/>
      <c r="I322" s="11"/>
      <c r="J322" s="11"/>
      <c r="K322" s="11"/>
      <c r="L322" s="65">
        <f>SUM(F322:K322)</f>
        <v>0</v>
      </c>
      <c r="M322" s="65">
        <f>L322/6</f>
        <v>0</v>
      </c>
      <c r="N322" s="11"/>
      <c r="O322" s="11"/>
      <c r="P322" s="11"/>
      <c r="Q322" s="11"/>
      <c r="R322" s="11"/>
      <c r="S322" s="11"/>
      <c r="T322" s="65">
        <f>SUM(N322:S322)</f>
        <v>0</v>
      </c>
      <c r="U322" s="65">
        <f>T322+L322</f>
        <v>0</v>
      </c>
      <c r="V322" s="11">
        <f>V317</f>
        <v>0</v>
      </c>
      <c r="W322" s="38">
        <f>V322-U322</f>
        <v>0</v>
      </c>
      <c r="X322" s="47">
        <f>U317-U322</f>
        <v>0</v>
      </c>
    </row>
    <row r="323" spans="1:24" s="51" customFormat="1" ht="18" hidden="1" customHeight="1">
      <c r="A323" s="610"/>
      <c r="B323" s="581"/>
      <c r="C323" s="583"/>
      <c r="D323" s="187" t="s">
        <v>27</v>
      </c>
      <c r="E323" s="49" t="e">
        <f>E324/E322*1000</f>
        <v>#DIV/0!</v>
      </c>
      <c r="F323" s="49"/>
      <c r="G323" s="49"/>
      <c r="H323" s="49"/>
      <c r="I323" s="49"/>
      <c r="J323" s="49"/>
      <c r="K323" s="49"/>
      <c r="L323" s="49" t="e">
        <f>L324/L322*1000</f>
        <v>#DIV/0!</v>
      </c>
      <c r="M323" s="49" t="e">
        <f>M324/M322*1000</f>
        <v>#DIV/0!</v>
      </c>
      <c r="N323" s="49"/>
      <c r="O323" s="49"/>
      <c r="P323" s="49"/>
      <c r="Q323" s="49"/>
      <c r="R323" s="49"/>
      <c r="S323" s="49"/>
      <c r="T323" s="49" t="e">
        <f>T324/T322*1000</f>
        <v>#DIV/0!</v>
      </c>
      <c r="U323" s="49" t="e">
        <f>U324/U322*1000</f>
        <v>#DIV/0!</v>
      </c>
      <c r="V323" s="68" t="e">
        <f>V324/V322*1000</f>
        <v>#DIV/0!</v>
      </c>
      <c r="W323" s="14" t="e">
        <f>W324/W322*1000</f>
        <v>#DIV/0!</v>
      </c>
      <c r="X323" s="59"/>
    </row>
    <row r="324" spans="1:24" s="63" customFormat="1" ht="17.7" hidden="1" customHeight="1">
      <c r="A324" s="610"/>
      <c r="B324" s="581"/>
      <c r="C324" s="583"/>
      <c r="D324" s="198" t="s">
        <v>25</v>
      </c>
      <c r="E324" s="71"/>
      <c r="F324" s="61">
        <f t="shared" ref="F324:K324" si="313">F322*F323/1000</f>
        <v>0</v>
      </c>
      <c r="G324" s="61">
        <f t="shared" si="313"/>
        <v>0</v>
      </c>
      <c r="H324" s="61">
        <f t="shared" si="313"/>
        <v>0</v>
      </c>
      <c r="I324" s="61">
        <f t="shared" si="313"/>
        <v>0</v>
      </c>
      <c r="J324" s="61">
        <f t="shared" si="313"/>
        <v>0</v>
      </c>
      <c r="K324" s="61">
        <f t="shared" si="313"/>
        <v>0</v>
      </c>
      <c r="L324" s="61">
        <f>SUM(F324:K324)</f>
        <v>0</v>
      </c>
      <c r="M324" s="61">
        <f>L324/6</f>
        <v>0</v>
      </c>
      <c r="N324" s="61">
        <f t="shared" ref="N324:S324" si="314">N322*N323/1000</f>
        <v>0</v>
      </c>
      <c r="O324" s="61">
        <f t="shared" si="314"/>
        <v>0</v>
      </c>
      <c r="P324" s="61">
        <f t="shared" si="314"/>
        <v>0</v>
      </c>
      <c r="Q324" s="61">
        <f t="shared" si="314"/>
        <v>0</v>
      </c>
      <c r="R324" s="61">
        <f t="shared" si="314"/>
        <v>0</v>
      </c>
      <c r="S324" s="61">
        <f t="shared" si="314"/>
        <v>0</v>
      </c>
      <c r="T324" s="61">
        <f>SUM(N324:S324)</f>
        <v>0</v>
      </c>
      <c r="U324" s="61">
        <f>T324+L324</f>
        <v>0</v>
      </c>
      <c r="V324" s="61">
        <f>V319</f>
        <v>0</v>
      </c>
      <c r="W324" s="72">
        <f>V324-U324</f>
        <v>0</v>
      </c>
      <c r="X324" s="63">
        <f>U319-U324</f>
        <v>0</v>
      </c>
    </row>
    <row r="325" spans="1:24" s="63" customFormat="1" ht="18" hidden="1" customHeight="1">
      <c r="A325" s="610"/>
      <c r="B325" s="581"/>
      <c r="C325" s="583"/>
      <c r="D325" s="201" t="s">
        <v>55</v>
      </c>
      <c r="E325" s="71"/>
      <c r="F325" s="61"/>
      <c r="G325" s="61"/>
      <c r="H325" s="61"/>
      <c r="I325" s="61"/>
      <c r="J325" s="61"/>
      <c r="K325" s="61"/>
      <c r="L325" s="61">
        <f>SUM(F325:K325)</f>
        <v>0</v>
      </c>
      <c r="M325" s="61">
        <f>L325/6</f>
        <v>0</v>
      </c>
      <c r="N325" s="61"/>
      <c r="O325" s="61"/>
      <c r="P325" s="61"/>
      <c r="Q325" s="61"/>
      <c r="R325" s="61"/>
      <c r="S325" s="61"/>
      <c r="T325" s="61">
        <f>SUM(N325:S325)</f>
        <v>0</v>
      </c>
      <c r="U325" s="61">
        <f>T325+L325</f>
        <v>0</v>
      </c>
      <c r="V325" s="61">
        <f>V320</f>
        <v>0</v>
      </c>
      <c r="W325" s="72">
        <f>V325-U325</f>
        <v>0</v>
      </c>
      <c r="X325" s="63">
        <f>U320-U325</f>
        <v>0</v>
      </c>
    </row>
    <row r="326" spans="1:24" s="63" customFormat="1" ht="18" hidden="1" customHeight="1">
      <c r="A326" s="610"/>
      <c r="B326" s="581"/>
      <c r="C326" s="583"/>
      <c r="D326" s="201" t="s">
        <v>24</v>
      </c>
      <c r="E326" s="71"/>
      <c r="F326" s="61">
        <f t="shared" ref="F326:K326" si="315">F324-F325</f>
        <v>0</v>
      </c>
      <c r="G326" s="61">
        <f t="shared" si="315"/>
        <v>0</v>
      </c>
      <c r="H326" s="61">
        <f t="shared" si="315"/>
        <v>0</v>
      </c>
      <c r="I326" s="61">
        <f t="shared" si="315"/>
        <v>0</v>
      </c>
      <c r="J326" s="61">
        <f t="shared" si="315"/>
        <v>0</v>
      </c>
      <c r="K326" s="61">
        <f t="shared" si="315"/>
        <v>0</v>
      </c>
      <c r="L326" s="61">
        <f>SUM(F326:K326)</f>
        <v>0</v>
      </c>
      <c r="M326" s="61">
        <f>L326/6</f>
        <v>0</v>
      </c>
      <c r="N326" s="61">
        <f t="shared" ref="N326:S326" si="316">N324-N325</f>
        <v>0</v>
      </c>
      <c r="O326" s="61">
        <f t="shared" si="316"/>
        <v>0</v>
      </c>
      <c r="P326" s="61">
        <f t="shared" si="316"/>
        <v>0</v>
      </c>
      <c r="Q326" s="61">
        <f t="shared" si="316"/>
        <v>0</v>
      </c>
      <c r="R326" s="61">
        <f t="shared" si="316"/>
        <v>0</v>
      </c>
      <c r="S326" s="61">
        <f t="shared" si="316"/>
        <v>0</v>
      </c>
      <c r="T326" s="61">
        <f>SUM(N326:S326)</f>
        <v>0</v>
      </c>
      <c r="U326" s="61">
        <f>T326+L326</f>
        <v>0</v>
      </c>
      <c r="V326" s="61">
        <f>V321</f>
        <v>0</v>
      </c>
      <c r="W326" s="72">
        <f>V326-U326</f>
        <v>0</v>
      </c>
      <c r="X326" s="63">
        <f>U321-U326</f>
        <v>0</v>
      </c>
    </row>
    <row r="327" spans="1:24" s="43" customFormat="1" ht="18" hidden="1" customHeight="1">
      <c r="A327" s="610"/>
      <c r="B327" s="581"/>
      <c r="C327" s="583"/>
      <c r="D327" s="202" t="s">
        <v>29</v>
      </c>
      <c r="E327" s="42"/>
      <c r="F327" s="42">
        <f t="shared" ref="F327:K327" si="317">F321</f>
        <v>0</v>
      </c>
      <c r="G327" s="42">
        <f t="shared" si="317"/>
        <v>0</v>
      </c>
      <c r="H327" s="42">
        <f t="shared" si="317"/>
        <v>0</v>
      </c>
      <c r="I327" s="42">
        <f t="shared" si="317"/>
        <v>0</v>
      </c>
      <c r="J327" s="42">
        <f t="shared" si="317"/>
        <v>0</v>
      </c>
      <c r="K327" s="42">
        <f t="shared" si="317"/>
        <v>0</v>
      </c>
      <c r="L327" s="42">
        <f>SUM(F327:K327)</f>
        <v>0</v>
      </c>
      <c r="M327" s="42">
        <f>L327/6</f>
        <v>0</v>
      </c>
      <c r="N327" s="42">
        <f t="shared" ref="N327:S327" si="318">N321+N320</f>
        <v>0</v>
      </c>
      <c r="O327" s="42">
        <f t="shared" si="318"/>
        <v>0</v>
      </c>
      <c r="P327" s="42">
        <f t="shared" si="318"/>
        <v>0</v>
      </c>
      <c r="Q327" s="42">
        <f t="shared" si="318"/>
        <v>0</v>
      </c>
      <c r="R327" s="42">
        <f t="shared" si="318"/>
        <v>0</v>
      </c>
      <c r="S327" s="42">
        <f t="shared" si="318"/>
        <v>0</v>
      </c>
      <c r="T327" s="42">
        <f>SUM(N327:S327)</f>
        <v>0</v>
      </c>
      <c r="U327" s="42">
        <f>T327+L327</f>
        <v>0</v>
      </c>
      <c r="V327" s="42">
        <f>V324</f>
        <v>0</v>
      </c>
      <c r="W327" s="42">
        <f>V327-U327</f>
        <v>0</v>
      </c>
    </row>
    <row r="328" spans="1:24" s="43" customFormat="1" ht="18" hidden="1" customHeight="1">
      <c r="A328" s="610"/>
      <c r="B328" s="581"/>
      <c r="C328" s="583"/>
      <c r="D328" s="202" t="s">
        <v>30</v>
      </c>
      <c r="E328" s="42"/>
      <c r="F328" s="42">
        <f t="shared" ref="F328:K328" si="319">F324-F327</f>
        <v>0</v>
      </c>
      <c r="G328" s="42">
        <f t="shared" si="319"/>
        <v>0</v>
      </c>
      <c r="H328" s="42">
        <f t="shared" si="319"/>
        <v>0</v>
      </c>
      <c r="I328" s="42">
        <f t="shared" si="319"/>
        <v>0</v>
      </c>
      <c r="J328" s="42">
        <f t="shared" si="319"/>
        <v>0</v>
      </c>
      <c r="K328" s="42">
        <f t="shared" si="319"/>
        <v>0</v>
      </c>
      <c r="L328" s="42"/>
      <c r="M328" s="42"/>
      <c r="N328" s="42">
        <f t="shared" ref="N328:S328" si="320">N324-N327</f>
        <v>0</v>
      </c>
      <c r="O328" s="42">
        <f t="shared" si="320"/>
        <v>0</v>
      </c>
      <c r="P328" s="42">
        <f t="shared" si="320"/>
        <v>0</v>
      </c>
      <c r="Q328" s="42">
        <f t="shared" si="320"/>
        <v>0</v>
      </c>
      <c r="R328" s="42">
        <f t="shared" si="320"/>
        <v>0</v>
      </c>
      <c r="S328" s="42">
        <f t="shared" si="320"/>
        <v>0</v>
      </c>
      <c r="T328" s="42"/>
      <c r="U328" s="42"/>
      <c r="V328" s="42"/>
      <c r="W328" s="42"/>
    </row>
    <row r="329" spans="1:24" s="43" customFormat="1" ht="18" hidden="1" customHeight="1">
      <c r="A329" s="611"/>
      <c r="B329" s="581"/>
      <c r="C329" s="584"/>
      <c r="D329" s="202" t="s">
        <v>31</v>
      </c>
      <c r="E329" s="42"/>
      <c r="F329" s="42">
        <f>F328</f>
        <v>0</v>
      </c>
      <c r="G329" s="42">
        <f>G328+F329</f>
        <v>0</v>
      </c>
      <c r="H329" s="42">
        <f>H328+G329</f>
        <v>0</v>
      </c>
      <c r="I329" s="42">
        <f>I328+H329</f>
        <v>0</v>
      </c>
      <c r="J329" s="42">
        <f>J328+I329</f>
        <v>0</v>
      </c>
      <c r="K329" s="42">
        <f>K328+J329</f>
        <v>0</v>
      </c>
      <c r="L329" s="42"/>
      <c r="M329" s="42"/>
      <c r="N329" s="42">
        <f>N328+K329</f>
        <v>0</v>
      </c>
      <c r="O329" s="42">
        <f>O328+N329</f>
        <v>0</v>
      </c>
      <c r="P329" s="42">
        <f>P328+O329</f>
        <v>0</v>
      </c>
      <c r="Q329" s="42">
        <f>Q328+P329</f>
        <v>0</v>
      </c>
      <c r="R329" s="42">
        <f>R328+Q329</f>
        <v>0</v>
      </c>
      <c r="S329" s="42">
        <f>S328+R329</f>
        <v>0</v>
      </c>
      <c r="T329" s="42"/>
      <c r="U329" s="42"/>
      <c r="V329" s="42"/>
      <c r="W329" s="42"/>
    </row>
    <row r="330" spans="1:24" s="48" customFormat="1" ht="23.35" customHeight="1">
      <c r="A330" s="591">
        <v>2272</v>
      </c>
      <c r="B330" s="659" t="s">
        <v>34</v>
      </c>
      <c r="C330" s="660"/>
      <c r="D330" s="178" t="str">
        <f>серпень!D253</f>
        <v>факт. нат.п-ки 2023</v>
      </c>
      <c r="E330" s="11"/>
      <c r="F330" s="12">
        <f t="shared" ref="F330:K332" si="321">F347+F409</f>
        <v>734.6</v>
      </c>
      <c r="G330" s="12">
        <f t="shared" si="321"/>
        <v>427.5</v>
      </c>
      <c r="H330" s="12">
        <f t="shared" si="321"/>
        <v>592.6</v>
      </c>
      <c r="I330" s="12">
        <f t="shared" si="321"/>
        <v>705.9</v>
      </c>
      <c r="J330" s="12">
        <f t="shared" si="321"/>
        <v>655.9</v>
      </c>
      <c r="K330" s="12">
        <f t="shared" si="321"/>
        <v>642</v>
      </c>
      <c r="L330" s="65">
        <f>SUM(F330:K330)</f>
        <v>3758.5</v>
      </c>
      <c r="M330" s="65">
        <f>L330/6</f>
        <v>626.4</v>
      </c>
      <c r="N330" s="12">
        <f t="shared" ref="N330:S332" si="322">N347+N409</f>
        <v>666.7</v>
      </c>
      <c r="O330" s="12">
        <f t="shared" si="322"/>
        <v>518.20000000000005</v>
      </c>
      <c r="P330" s="112">
        <f t="shared" si="322"/>
        <v>694.1</v>
      </c>
      <c r="Q330" s="12">
        <f t="shared" si="322"/>
        <v>752.8</v>
      </c>
      <c r="R330" s="12">
        <f t="shared" si="322"/>
        <v>704</v>
      </c>
      <c r="S330" s="12">
        <f t="shared" si="322"/>
        <v>545.6</v>
      </c>
      <c r="T330" s="65">
        <f>SUM(N330:S330)</f>
        <v>3881.4</v>
      </c>
      <c r="U330" s="65">
        <f>T330+L330</f>
        <v>7639.9</v>
      </c>
      <c r="V330" s="75">
        <f>V347+V409</f>
        <v>0</v>
      </c>
      <c r="W330" s="38"/>
      <c r="X330" s="47"/>
    </row>
    <row r="331" spans="1:24" s="48" customFormat="1" ht="23.35" customHeight="1">
      <c r="A331" s="592"/>
      <c r="B331" s="661"/>
      <c r="C331" s="662"/>
      <c r="D331" s="178" t="str">
        <f>серпень!D254</f>
        <v>факт. нат.п-ки 2024</v>
      </c>
      <c r="E331" s="11"/>
      <c r="F331" s="12">
        <f t="shared" si="321"/>
        <v>651.70000000000005</v>
      </c>
      <c r="G331" s="12">
        <f t="shared" si="321"/>
        <v>826</v>
      </c>
      <c r="H331" s="12">
        <f t="shared" si="321"/>
        <v>535.79999999999995</v>
      </c>
      <c r="I331" s="12">
        <f t="shared" si="321"/>
        <v>621.6</v>
      </c>
      <c r="J331" s="12">
        <f t="shared" si="321"/>
        <v>522.20000000000005</v>
      </c>
      <c r="K331" s="12">
        <f t="shared" si="321"/>
        <v>659.2</v>
      </c>
      <c r="L331" s="65">
        <f>SUM(F331:K331)</f>
        <v>3816.5</v>
      </c>
      <c r="M331" s="65">
        <f>L331/6</f>
        <v>636.1</v>
      </c>
      <c r="N331" s="12">
        <f t="shared" si="322"/>
        <v>494.9</v>
      </c>
      <c r="O331" s="12">
        <f t="shared" si="322"/>
        <v>559</v>
      </c>
      <c r="P331" s="112">
        <f t="shared" si="322"/>
        <v>940.8</v>
      </c>
      <c r="Q331" s="12">
        <f t="shared" si="322"/>
        <v>797.8</v>
      </c>
      <c r="R331" s="12">
        <f t="shared" si="322"/>
        <v>704</v>
      </c>
      <c r="S331" s="12">
        <f t="shared" si="322"/>
        <v>645.6</v>
      </c>
      <c r="T331" s="65">
        <f>SUM(N331:S331)</f>
        <v>4142.1000000000004</v>
      </c>
      <c r="U331" s="65">
        <f>T331+L331</f>
        <v>7958.6</v>
      </c>
      <c r="V331" s="75">
        <f>V348+V410</f>
        <v>7617.3</v>
      </c>
      <c r="W331" s="38"/>
      <c r="X331" s="47"/>
    </row>
    <row r="332" spans="1:24" s="48" customFormat="1" ht="23.35" customHeight="1">
      <c r="A332" s="592"/>
      <c r="B332" s="661"/>
      <c r="C332" s="662"/>
      <c r="D332" s="178" t="str">
        <f>серпень!D255</f>
        <v>факт. нат.п-ки 2025</v>
      </c>
      <c r="E332" s="11"/>
      <c r="F332" s="12">
        <f t="shared" si="321"/>
        <v>586.5</v>
      </c>
      <c r="G332" s="12">
        <f t="shared" si="321"/>
        <v>684.2</v>
      </c>
      <c r="H332" s="12">
        <f t="shared" si="321"/>
        <v>667.2</v>
      </c>
      <c r="I332" s="12">
        <f t="shared" si="321"/>
        <v>680.5</v>
      </c>
      <c r="J332" s="12">
        <f t="shared" si="321"/>
        <v>653.20000000000005</v>
      </c>
      <c r="K332" s="12">
        <f t="shared" si="321"/>
        <v>731.4</v>
      </c>
      <c r="L332" s="122">
        <f>SUM(F332:K332)</f>
        <v>4003</v>
      </c>
      <c r="M332" s="65">
        <f>L332/6</f>
        <v>667.2</v>
      </c>
      <c r="N332" s="12">
        <f t="shared" si="322"/>
        <v>382</v>
      </c>
      <c r="O332" s="12">
        <f t="shared" si="322"/>
        <v>600.6</v>
      </c>
      <c r="P332" s="12">
        <f t="shared" si="322"/>
        <v>800.8</v>
      </c>
      <c r="Q332" s="12">
        <f t="shared" si="322"/>
        <v>697.8</v>
      </c>
      <c r="R332" s="12">
        <f t="shared" si="322"/>
        <v>666.8</v>
      </c>
      <c r="S332" s="12">
        <f t="shared" si="322"/>
        <v>685.6</v>
      </c>
      <c r="T332" s="65">
        <f>SUM(N332:S332)</f>
        <v>3833.6</v>
      </c>
      <c r="U332" s="118">
        <f>T332+L332</f>
        <v>7836.6</v>
      </c>
      <c r="V332" s="75">
        <f>V349+V411</f>
        <v>7374.2</v>
      </c>
      <c r="W332" s="38">
        <f>V332-U332</f>
        <v>-462.4</v>
      </c>
      <c r="X332" s="47"/>
    </row>
    <row r="333" spans="1:24" s="51" customFormat="1" ht="23.35" customHeight="1">
      <c r="A333" s="592"/>
      <c r="B333" s="661"/>
      <c r="C333" s="662"/>
      <c r="D333" s="187" t="str">
        <f>серпень!D256</f>
        <v>тариф, грн.</v>
      </c>
      <c r="E333" s="49"/>
      <c r="F333" s="49">
        <f t="shared" ref="F333:S333" si="323">F334/F332*1000</f>
        <v>17.297999999999998</v>
      </c>
      <c r="G333" s="49">
        <f t="shared" si="323"/>
        <v>17.280999999999999</v>
      </c>
      <c r="H333" s="49">
        <f t="shared" si="323"/>
        <v>17.922999999999998</v>
      </c>
      <c r="I333" s="49">
        <f t="shared" si="323"/>
        <v>17.427</v>
      </c>
      <c r="J333" s="49">
        <f t="shared" si="323"/>
        <v>16.890999999999998</v>
      </c>
      <c r="K333" s="49">
        <f t="shared" si="323"/>
        <v>17.545999999999999</v>
      </c>
      <c r="L333" s="49">
        <f t="shared" si="323"/>
        <v>17.399999999999999</v>
      </c>
      <c r="M333" s="49">
        <f t="shared" si="323"/>
        <v>17.399999999999999</v>
      </c>
      <c r="N333" s="49">
        <f t="shared" si="323"/>
        <v>18.353000000000002</v>
      </c>
      <c r="O333" s="49">
        <f t="shared" si="323"/>
        <v>21.768000000000001</v>
      </c>
      <c r="P333" s="49">
        <f t="shared" si="323"/>
        <v>16.460999999999999</v>
      </c>
      <c r="Q333" s="49">
        <f t="shared" si="323"/>
        <v>16.260000000000002</v>
      </c>
      <c r="R333" s="49">
        <f t="shared" si="323"/>
        <v>15.595000000000001</v>
      </c>
      <c r="S333" s="49">
        <f t="shared" si="323"/>
        <v>14.88</v>
      </c>
      <c r="T333" s="49">
        <f>T334/T332*1000</f>
        <v>17.010999999999999</v>
      </c>
      <c r="U333" s="49">
        <f>U334/U332*1000</f>
        <v>17.21</v>
      </c>
      <c r="V333" s="49">
        <f>V334/V332*1000</f>
        <v>16.443999999999999</v>
      </c>
      <c r="W333" s="14">
        <f>W334/W332*1000</f>
        <v>29.427</v>
      </c>
      <c r="X333" s="59"/>
    </row>
    <row r="334" spans="1:24" s="113" customFormat="1" ht="18" customHeight="1">
      <c r="A334" s="670"/>
      <c r="B334" s="661"/>
      <c r="C334" s="662"/>
      <c r="D334" s="191" t="str">
        <f>серпень!D257</f>
        <v>сума, тис.грн.</v>
      </c>
      <c r="E334" s="52"/>
      <c r="F334" s="52">
        <f t="shared" ref="F334:K335" si="324">F351+F413</f>
        <v>10.145</v>
      </c>
      <c r="G334" s="52">
        <f t="shared" si="324"/>
        <v>11.824</v>
      </c>
      <c r="H334" s="52">
        <f t="shared" si="324"/>
        <v>11.958</v>
      </c>
      <c r="I334" s="52">
        <f t="shared" si="324"/>
        <v>11.859</v>
      </c>
      <c r="J334" s="52">
        <f t="shared" si="324"/>
        <v>11.032999999999999</v>
      </c>
      <c r="K334" s="52">
        <f t="shared" si="324"/>
        <v>12.833</v>
      </c>
      <c r="L334" s="69">
        <f>SUM(F334:K334)</f>
        <v>69.652000000000001</v>
      </c>
      <c r="M334" s="69">
        <f>L334/6</f>
        <v>11.609</v>
      </c>
      <c r="N334" s="52">
        <f t="shared" ref="N334:S335" si="325">N351+N413</f>
        <v>7.0110000000000001</v>
      </c>
      <c r="O334" s="52">
        <f t="shared" si="325"/>
        <v>13.074</v>
      </c>
      <c r="P334" s="52">
        <f t="shared" si="325"/>
        <v>13.182</v>
      </c>
      <c r="Q334" s="52">
        <f t="shared" si="325"/>
        <v>11.346</v>
      </c>
      <c r="R334" s="52">
        <f t="shared" si="325"/>
        <v>10.398999999999999</v>
      </c>
      <c r="S334" s="52">
        <f t="shared" si="325"/>
        <v>10.202</v>
      </c>
      <c r="T334" s="69">
        <f t="shared" ref="T334:T339" si="326">SUM(N334:S334)</f>
        <v>65.213999999999999</v>
      </c>
      <c r="U334" s="69">
        <f t="shared" ref="U334:U339" si="327">T334+L334</f>
        <v>134.86600000000001</v>
      </c>
      <c r="V334" s="69">
        <f>V351+V413</f>
        <v>121.259</v>
      </c>
      <c r="W334" s="52">
        <f>V334-U334</f>
        <v>-13.606999999999999</v>
      </c>
    </row>
    <row r="335" spans="1:24" s="113" customFormat="1" ht="18" customHeight="1">
      <c r="A335" s="670"/>
      <c r="B335" s="661"/>
      <c r="C335" s="662"/>
      <c r="D335" s="174" t="str">
        <f>серпень!D258</f>
        <v>абоненська плата, тис.грн.</v>
      </c>
      <c r="E335" s="52"/>
      <c r="F335" s="52">
        <f>F352+F414</f>
        <v>0</v>
      </c>
      <c r="G335" s="52">
        <f t="shared" si="324"/>
        <v>0</v>
      </c>
      <c r="H335" s="52">
        <f t="shared" si="324"/>
        <v>0</v>
      </c>
      <c r="I335" s="52">
        <f t="shared" si="324"/>
        <v>0</v>
      </c>
      <c r="J335" s="52">
        <f t="shared" si="324"/>
        <v>0</v>
      </c>
      <c r="K335" s="52">
        <f t="shared" si="324"/>
        <v>0</v>
      </c>
      <c r="L335" s="69">
        <f t="shared" ref="L335:L337" si="328">SUM(F335:K335)</f>
        <v>0</v>
      </c>
      <c r="M335" s="69">
        <f t="shared" ref="M335:M337" si="329">L335/6</f>
        <v>0</v>
      </c>
      <c r="N335" s="52">
        <f t="shared" si="325"/>
        <v>0</v>
      </c>
      <c r="O335" s="52">
        <f t="shared" si="325"/>
        <v>0</v>
      </c>
      <c r="P335" s="52">
        <f t="shared" si="325"/>
        <v>0</v>
      </c>
      <c r="Q335" s="52">
        <f t="shared" si="325"/>
        <v>0</v>
      </c>
      <c r="R335" s="52">
        <f t="shared" si="325"/>
        <v>0</v>
      </c>
      <c r="S335" s="52">
        <f t="shared" si="325"/>
        <v>0</v>
      </c>
      <c r="T335" s="69">
        <f t="shared" si="326"/>
        <v>0</v>
      </c>
      <c r="U335" s="69">
        <f t="shared" si="327"/>
        <v>0</v>
      </c>
      <c r="V335" s="69">
        <f t="shared" ref="V335:V337" si="330">V352+V414</f>
        <v>0</v>
      </c>
      <c r="W335" s="52">
        <f t="shared" ref="W335:W337" si="331">V335-U335</f>
        <v>0</v>
      </c>
    </row>
    <row r="336" spans="1:24" s="113" customFormat="1" ht="18" customHeight="1">
      <c r="A336" s="670"/>
      <c r="B336" s="661"/>
      <c r="C336" s="662"/>
      <c r="D336" s="174" t="str">
        <f>серпень!D259</f>
        <v>разом сума тис. грн+абонплата</v>
      </c>
      <c r="E336" s="52"/>
      <c r="F336" s="52">
        <f>F334+F335</f>
        <v>10.145</v>
      </c>
      <c r="G336" s="52">
        <f t="shared" ref="G336:K336" si="332">G334+G335</f>
        <v>11.824</v>
      </c>
      <c r="H336" s="52">
        <f t="shared" si="332"/>
        <v>11.958</v>
      </c>
      <c r="I336" s="52">
        <f t="shared" si="332"/>
        <v>11.859</v>
      </c>
      <c r="J336" s="52">
        <f t="shared" si="332"/>
        <v>11.032999999999999</v>
      </c>
      <c r="K336" s="52">
        <f t="shared" si="332"/>
        <v>12.833</v>
      </c>
      <c r="L336" s="69">
        <f t="shared" si="328"/>
        <v>69.652000000000001</v>
      </c>
      <c r="M336" s="69">
        <f t="shared" si="329"/>
        <v>11.609</v>
      </c>
      <c r="N336" s="52">
        <f>N334+N335</f>
        <v>7.0110000000000001</v>
      </c>
      <c r="O336" s="52">
        <f t="shared" ref="O336:S336" si="333">O334+O335</f>
        <v>13.074</v>
      </c>
      <c r="P336" s="52">
        <f t="shared" si="333"/>
        <v>13.182</v>
      </c>
      <c r="Q336" s="52">
        <f t="shared" si="333"/>
        <v>11.346</v>
      </c>
      <c r="R336" s="52">
        <f t="shared" si="333"/>
        <v>10.398999999999999</v>
      </c>
      <c r="S336" s="52">
        <f t="shared" si="333"/>
        <v>10.202</v>
      </c>
      <c r="T336" s="69">
        <f t="shared" si="326"/>
        <v>65.213999999999999</v>
      </c>
      <c r="U336" s="69">
        <f t="shared" si="327"/>
        <v>134.86600000000001</v>
      </c>
      <c r="V336" s="69">
        <f t="shared" si="330"/>
        <v>121.259</v>
      </c>
      <c r="W336" s="52">
        <f t="shared" si="331"/>
        <v>-13.606999999999999</v>
      </c>
    </row>
    <row r="337" spans="1:24" s="113" customFormat="1" ht="18" customHeight="1">
      <c r="A337" s="670"/>
      <c r="B337" s="661"/>
      <c r="C337" s="662"/>
      <c r="D337" s="174" t="str">
        <f>серпень!D260</f>
        <v>дотація</v>
      </c>
      <c r="E337" s="52"/>
      <c r="F337" s="52">
        <f t="shared" ref="F337:K339" si="334">F354+F416</f>
        <v>0</v>
      </c>
      <c r="G337" s="52">
        <f t="shared" si="334"/>
        <v>0</v>
      </c>
      <c r="H337" s="52">
        <f t="shared" si="334"/>
        <v>0</v>
      </c>
      <c r="I337" s="52">
        <f t="shared" si="334"/>
        <v>0</v>
      </c>
      <c r="J337" s="52">
        <f t="shared" si="334"/>
        <v>0</v>
      </c>
      <c r="K337" s="52">
        <f t="shared" si="334"/>
        <v>0</v>
      </c>
      <c r="L337" s="69">
        <f t="shared" si="328"/>
        <v>0</v>
      </c>
      <c r="M337" s="69">
        <f t="shared" si="329"/>
        <v>0</v>
      </c>
      <c r="N337" s="52">
        <f t="shared" ref="N337:S339" si="335">N354+N416</f>
        <v>0</v>
      </c>
      <c r="O337" s="52">
        <f t="shared" si="335"/>
        <v>0</v>
      </c>
      <c r="P337" s="52">
        <f t="shared" si="335"/>
        <v>0</v>
      </c>
      <c r="Q337" s="52">
        <f t="shared" si="335"/>
        <v>0</v>
      </c>
      <c r="R337" s="52">
        <f t="shared" si="335"/>
        <v>0</v>
      </c>
      <c r="S337" s="52">
        <f t="shared" si="335"/>
        <v>0</v>
      </c>
      <c r="T337" s="69">
        <f t="shared" si="326"/>
        <v>0</v>
      </c>
      <c r="U337" s="69">
        <f t="shared" si="327"/>
        <v>0</v>
      </c>
      <c r="V337" s="69">
        <f t="shared" si="330"/>
        <v>0</v>
      </c>
      <c r="W337" s="52">
        <f t="shared" si="331"/>
        <v>0</v>
      </c>
    </row>
    <row r="338" spans="1:24" s="113" customFormat="1" ht="18" customHeight="1">
      <c r="A338" s="670"/>
      <c r="B338" s="661"/>
      <c r="C338" s="662"/>
      <c r="D338" s="174" t="str">
        <f>серпень!D261</f>
        <v>місцевий (план), тис.грн</v>
      </c>
      <c r="E338" s="52"/>
      <c r="F338" s="52">
        <f t="shared" si="334"/>
        <v>11.129</v>
      </c>
      <c r="G338" s="52">
        <f t="shared" si="334"/>
        <v>8.9999999999999993E-3</v>
      </c>
      <c r="H338" s="52">
        <f t="shared" si="334"/>
        <v>10.831</v>
      </c>
      <c r="I338" s="52">
        <f t="shared" si="334"/>
        <v>13.321999999999999</v>
      </c>
      <c r="J338" s="52">
        <f t="shared" si="334"/>
        <v>12.196999999999999</v>
      </c>
      <c r="K338" s="52">
        <f t="shared" si="334"/>
        <v>9.3710000000000004</v>
      </c>
      <c r="L338" s="69">
        <f>SUM(F338:K338)</f>
        <v>56.859000000000002</v>
      </c>
      <c r="M338" s="69">
        <f>L338/6</f>
        <v>9.4770000000000003</v>
      </c>
      <c r="N338" s="52">
        <f t="shared" si="335"/>
        <v>12.794</v>
      </c>
      <c r="O338" s="52">
        <f t="shared" si="335"/>
        <v>7.0460000000000003</v>
      </c>
      <c r="P338" s="52">
        <f t="shared" si="335"/>
        <v>10.334</v>
      </c>
      <c r="Q338" s="52">
        <f t="shared" si="335"/>
        <v>13.922000000000001</v>
      </c>
      <c r="R338" s="52">
        <f t="shared" si="335"/>
        <v>10.202</v>
      </c>
      <c r="S338" s="52">
        <f t="shared" si="335"/>
        <v>10.102</v>
      </c>
      <c r="T338" s="69">
        <f t="shared" si="326"/>
        <v>64.400000000000006</v>
      </c>
      <c r="U338" s="69">
        <f t="shared" si="327"/>
        <v>121.259</v>
      </c>
      <c r="V338" s="69">
        <f>V355+V417</f>
        <v>121.259</v>
      </c>
      <c r="W338" s="52">
        <f>V338-U338</f>
        <v>0</v>
      </c>
    </row>
    <row r="339" spans="1:24" s="48" customFormat="1" ht="23.35" customHeight="1">
      <c r="A339" s="592"/>
      <c r="B339" s="661"/>
      <c r="C339" s="662"/>
      <c r="D339" s="178" t="str">
        <f>серпень!D262</f>
        <v>касові нат.п-ки 2025</v>
      </c>
      <c r="E339" s="11">
        <f>E371</f>
        <v>0</v>
      </c>
      <c r="F339" s="11">
        <f t="shared" si="334"/>
        <v>0</v>
      </c>
      <c r="G339" s="11">
        <f t="shared" si="334"/>
        <v>586.5</v>
      </c>
      <c r="H339" s="11">
        <f t="shared" si="334"/>
        <v>684.2</v>
      </c>
      <c r="I339" s="11">
        <f t="shared" si="334"/>
        <v>667.2</v>
      </c>
      <c r="J339" s="11">
        <f t="shared" si="334"/>
        <v>680.5</v>
      </c>
      <c r="K339" s="11">
        <f t="shared" si="334"/>
        <v>653.20000000000005</v>
      </c>
      <c r="L339" s="123">
        <f>SUM(F339:K339)</f>
        <v>3271.6</v>
      </c>
      <c r="M339" s="65">
        <f>L339/6</f>
        <v>545.29999999999995</v>
      </c>
      <c r="N339" s="11">
        <f t="shared" si="335"/>
        <v>731.4</v>
      </c>
      <c r="O339" s="11">
        <f t="shared" si="335"/>
        <v>382</v>
      </c>
      <c r="P339" s="11">
        <f t="shared" si="335"/>
        <v>1401.4</v>
      </c>
      <c r="Q339" s="11">
        <f t="shared" si="335"/>
        <v>697.8</v>
      </c>
      <c r="R339" s="11">
        <f t="shared" si="335"/>
        <v>666.8</v>
      </c>
      <c r="S339" s="11">
        <f t="shared" si="335"/>
        <v>685.6</v>
      </c>
      <c r="T339" s="65">
        <f t="shared" si="326"/>
        <v>4565</v>
      </c>
      <c r="U339" s="65">
        <f t="shared" si="327"/>
        <v>7836.6</v>
      </c>
      <c r="V339" s="124">
        <f>V356+V418</f>
        <v>7374.2</v>
      </c>
      <c r="W339" s="124">
        <f>V339-U339</f>
        <v>-462.4</v>
      </c>
      <c r="X339" s="47">
        <f>U332-U339</f>
        <v>0</v>
      </c>
    </row>
    <row r="340" spans="1:24" s="51" customFormat="1" ht="23.35" customHeight="1">
      <c r="A340" s="592"/>
      <c r="B340" s="661"/>
      <c r="C340" s="662"/>
      <c r="D340" s="187" t="str">
        <f>серпень!D263</f>
        <v>тариф, грн.</v>
      </c>
      <c r="E340" s="49" t="e">
        <f t="shared" ref="E340:S340" si="336">E341/E339*1000</f>
        <v>#DIV/0!</v>
      </c>
      <c r="F340" s="49" t="e">
        <f t="shared" si="336"/>
        <v>#DIV/0!</v>
      </c>
      <c r="G340" s="49">
        <f t="shared" si="336"/>
        <v>17.297999999999998</v>
      </c>
      <c r="H340" s="49">
        <f t="shared" si="336"/>
        <v>17.280999999999999</v>
      </c>
      <c r="I340" s="49">
        <f t="shared" si="336"/>
        <v>17.922999999999998</v>
      </c>
      <c r="J340" s="49">
        <f t="shared" si="336"/>
        <v>17.427</v>
      </c>
      <c r="K340" s="49">
        <f t="shared" si="336"/>
        <v>16.890999999999998</v>
      </c>
      <c r="L340" s="49">
        <f t="shared" si="336"/>
        <v>17.367000000000001</v>
      </c>
      <c r="M340" s="49">
        <f t="shared" si="336"/>
        <v>17.367000000000001</v>
      </c>
      <c r="N340" s="49">
        <f t="shared" si="336"/>
        <v>17.545999999999999</v>
      </c>
      <c r="O340" s="49">
        <f t="shared" si="336"/>
        <v>18.353000000000002</v>
      </c>
      <c r="P340" s="49">
        <f t="shared" si="336"/>
        <v>18.734999999999999</v>
      </c>
      <c r="Q340" s="49">
        <f t="shared" si="336"/>
        <v>16.260000000000002</v>
      </c>
      <c r="R340" s="49">
        <f t="shared" si="336"/>
        <v>15.595000000000001</v>
      </c>
      <c r="S340" s="49">
        <f t="shared" si="336"/>
        <v>14.882</v>
      </c>
      <c r="T340" s="49">
        <f>T341/T339*1000</f>
        <v>17.097000000000001</v>
      </c>
      <c r="U340" s="49">
        <f>U341/U339*1000</f>
        <v>17.21</v>
      </c>
      <c r="V340" s="49">
        <f>V341/V339*1000</f>
        <v>16.443999999999999</v>
      </c>
      <c r="W340" s="14">
        <f>W341/W339*1000</f>
        <v>29.427</v>
      </c>
      <c r="X340" s="47"/>
    </row>
    <row r="341" spans="1:24" s="74" customFormat="1" ht="23.35" customHeight="1">
      <c r="A341" s="592"/>
      <c r="B341" s="661"/>
      <c r="C341" s="662"/>
      <c r="D341" s="198" t="str">
        <f>серпень!D264</f>
        <v>касові видатки, тис.грн.</v>
      </c>
      <c r="E341" s="71">
        <f t="shared" ref="E341:K343" si="337">E358+E420</f>
        <v>0</v>
      </c>
      <c r="F341" s="61">
        <f t="shared" si="337"/>
        <v>0</v>
      </c>
      <c r="G341" s="61">
        <f t="shared" si="337"/>
        <v>10.145</v>
      </c>
      <c r="H341" s="61">
        <f t="shared" si="337"/>
        <v>11.824</v>
      </c>
      <c r="I341" s="61">
        <f t="shared" si="337"/>
        <v>11.958</v>
      </c>
      <c r="J341" s="61">
        <f t="shared" si="337"/>
        <v>11.859</v>
      </c>
      <c r="K341" s="61">
        <f t="shared" si="337"/>
        <v>11.032999999999999</v>
      </c>
      <c r="L341" s="61">
        <f>SUM(F341:K341)</f>
        <v>56.819000000000003</v>
      </c>
      <c r="M341" s="61">
        <f>L341/6</f>
        <v>9.4700000000000006</v>
      </c>
      <c r="N341" s="61">
        <f t="shared" ref="N341:S343" si="338">N358+N420</f>
        <v>12.833</v>
      </c>
      <c r="O341" s="61">
        <f t="shared" si="338"/>
        <v>7.0110000000000001</v>
      </c>
      <c r="P341" s="61">
        <f t="shared" si="338"/>
        <v>26.254999999999999</v>
      </c>
      <c r="Q341" s="61">
        <f t="shared" si="338"/>
        <v>11.346</v>
      </c>
      <c r="R341" s="61">
        <f t="shared" si="338"/>
        <v>10.398999999999999</v>
      </c>
      <c r="S341" s="61">
        <f t="shared" si="338"/>
        <v>10.202999999999999</v>
      </c>
      <c r="T341" s="61">
        <f>SUM(N341:S341)</f>
        <v>78.046999999999997</v>
      </c>
      <c r="U341" s="61">
        <f>T341+L341</f>
        <v>134.86600000000001</v>
      </c>
      <c r="V341" s="61">
        <f>V358+V420</f>
        <v>121.259</v>
      </c>
      <c r="W341" s="72">
        <f>V341-U341</f>
        <v>-13.606999999999999</v>
      </c>
      <c r="X341" s="63">
        <f>U334-U341</f>
        <v>0</v>
      </c>
    </row>
    <row r="342" spans="1:24" s="74" customFormat="1" ht="23.35" customHeight="1">
      <c r="A342" s="592"/>
      <c r="B342" s="661"/>
      <c r="C342" s="662"/>
      <c r="D342" s="201" t="str">
        <f>серпень!D265</f>
        <v>дотація</v>
      </c>
      <c r="E342" s="71"/>
      <c r="F342" s="61">
        <f t="shared" si="337"/>
        <v>0</v>
      </c>
      <c r="G342" s="61">
        <f t="shared" si="337"/>
        <v>0</v>
      </c>
      <c r="H342" s="61">
        <f t="shared" si="337"/>
        <v>0</v>
      </c>
      <c r="I342" s="61">
        <f t="shared" si="337"/>
        <v>0</v>
      </c>
      <c r="J342" s="61">
        <f t="shared" si="337"/>
        <v>0</v>
      </c>
      <c r="K342" s="61">
        <f t="shared" si="337"/>
        <v>0</v>
      </c>
      <c r="L342" s="61">
        <f>SUM(F342:K342)</f>
        <v>0</v>
      </c>
      <c r="M342" s="61">
        <f>L342/6</f>
        <v>0</v>
      </c>
      <c r="N342" s="61">
        <f t="shared" si="338"/>
        <v>0</v>
      </c>
      <c r="O342" s="61">
        <f t="shared" si="338"/>
        <v>0</v>
      </c>
      <c r="P342" s="61">
        <f t="shared" si="338"/>
        <v>0</v>
      </c>
      <c r="Q342" s="61">
        <f t="shared" si="338"/>
        <v>0</v>
      </c>
      <c r="R342" s="61">
        <f t="shared" si="338"/>
        <v>0</v>
      </c>
      <c r="S342" s="61">
        <f t="shared" si="338"/>
        <v>0</v>
      </c>
      <c r="T342" s="61">
        <f>SUM(N342:S342)</f>
        <v>0</v>
      </c>
      <c r="U342" s="61">
        <f>T342+L342</f>
        <v>0</v>
      </c>
      <c r="V342" s="61">
        <f>V359+V421</f>
        <v>0</v>
      </c>
      <c r="W342" s="72">
        <f>V342-U342</f>
        <v>0</v>
      </c>
      <c r="X342" s="63">
        <f>U337-U342</f>
        <v>0</v>
      </c>
    </row>
    <row r="343" spans="1:24" s="74" customFormat="1" ht="23.35" customHeight="1">
      <c r="A343" s="592"/>
      <c r="B343" s="661"/>
      <c r="C343" s="662"/>
      <c r="D343" s="201" t="str">
        <f>серпень!D266</f>
        <v xml:space="preserve">місцевий </v>
      </c>
      <c r="E343" s="61"/>
      <c r="F343" s="61">
        <f t="shared" si="337"/>
        <v>0</v>
      </c>
      <c r="G343" s="61">
        <f t="shared" si="337"/>
        <v>10.145</v>
      </c>
      <c r="H343" s="61">
        <f t="shared" si="337"/>
        <v>11.824</v>
      </c>
      <c r="I343" s="61">
        <f t="shared" si="337"/>
        <v>11.958</v>
      </c>
      <c r="J343" s="61">
        <f t="shared" si="337"/>
        <v>11.859</v>
      </c>
      <c r="K343" s="61">
        <f t="shared" si="337"/>
        <v>11.032999999999999</v>
      </c>
      <c r="L343" s="61">
        <f>SUM(F343:K343)</f>
        <v>56.819000000000003</v>
      </c>
      <c r="M343" s="61">
        <f>L343/6</f>
        <v>9.4700000000000006</v>
      </c>
      <c r="N343" s="61">
        <f t="shared" si="338"/>
        <v>12.833</v>
      </c>
      <c r="O343" s="61">
        <f t="shared" si="338"/>
        <v>7.0110000000000001</v>
      </c>
      <c r="P343" s="61">
        <f t="shared" si="338"/>
        <v>26.254999999999999</v>
      </c>
      <c r="Q343" s="61">
        <f t="shared" si="338"/>
        <v>11.346</v>
      </c>
      <c r="R343" s="61">
        <f t="shared" si="338"/>
        <v>10.398999999999999</v>
      </c>
      <c r="S343" s="61">
        <f t="shared" si="338"/>
        <v>10.202999999999999</v>
      </c>
      <c r="T343" s="61">
        <f>SUM(N343:S343)</f>
        <v>78.046999999999997</v>
      </c>
      <c r="U343" s="61">
        <f>T343+L343</f>
        <v>134.86600000000001</v>
      </c>
      <c r="V343" s="61">
        <f>V360+V422</f>
        <v>121.259</v>
      </c>
      <c r="W343" s="72">
        <f>V343-U343</f>
        <v>-13.606999999999999</v>
      </c>
      <c r="X343" s="63">
        <f>U338-U343</f>
        <v>-13.606999999999999</v>
      </c>
    </row>
    <row r="344" spans="1:24" s="43" customFormat="1" ht="23.35" customHeight="1">
      <c r="A344" s="592"/>
      <c r="B344" s="661"/>
      <c r="C344" s="662"/>
      <c r="D344" s="202" t="str">
        <f>серпень!D267</f>
        <v>план</v>
      </c>
      <c r="E344" s="42"/>
      <c r="F344" s="42">
        <f t="shared" ref="F344:K344" si="339">F338</f>
        <v>11.129</v>
      </c>
      <c r="G344" s="42">
        <f t="shared" si="339"/>
        <v>8.9999999999999993E-3</v>
      </c>
      <c r="H344" s="42">
        <f t="shared" si="339"/>
        <v>10.831</v>
      </c>
      <c r="I344" s="42">
        <f t="shared" si="339"/>
        <v>13.321999999999999</v>
      </c>
      <c r="J344" s="42">
        <f t="shared" si="339"/>
        <v>12.196999999999999</v>
      </c>
      <c r="K344" s="42">
        <f t="shared" si="339"/>
        <v>9.3710000000000004</v>
      </c>
      <c r="L344" s="42">
        <f>SUM(F344:K344)</f>
        <v>56.859000000000002</v>
      </c>
      <c r="M344" s="42">
        <f>L344/6</f>
        <v>9.4770000000000003</v>
      </c>
      <c r="N344" s="42">
        <f t="shared" ref="N344:S344" si="340">N338+N337</f>
        <v>12.794</v>
      </c>
      <c r="O344" s="42">
        <f t="shared" si="340"/>
        <v>7.0460000000000003</v>
      </c>
      <c r="P344" s="42">
        <f t="shared" si="340"/>
        <v>10.334</v>
      </c>
      <c r="Q344" s="42">
        <f t="shared" si="340"/>
        <v>13.922000000000001</v>
      </c>
      <c r="R344" s="42">
        <f t="shared" si="340"/>
        <v>10.202</v>
      </c>
      <c r="S344" s="42">
        <f t="shared" si="340"/>
        <v>10.102</v>
      </c>
      <c r="T344" s="42">
        <f>SUM(N344:S344)</f>
        <v>64.400000000000006</v>
      </c>
      <c r="U344" s="42">
        <f>T344+L344</f>
        <v>121.259</v>
      </c>
      <c r="V344" s="42">
        <f>V338+V337</f>
        <v>121.259</v>
      </c>
      <c r="W344" s="42">
        <f>V344-U344</f>
        <v>0</v>
      </c>
    </row>
    <row r="345" spans="1:24" s="43" customFormat="1" ht="23.35" customHeight="1">
      <c r="A345" s="592"/>
      <c r="B345" s="661"/>
      <c r="C345" s="662"/>
      <c r="D345" s="202" t="str">
        <f>серпень!D268</f>
        <v xml:space="preserve">відхилення </v>
      </c>
      <c r="E345" s="42"/>
      <c r="F345" s="42">
        <f t="shared" ref="F345:K345" si="341">F341-F344</f>
        <v>-11.129</v>
      </c>
      <c r="G345" s="42">
        <f t="shared" si="341"/>
        <v>10.135999999999999</v>
      </c>
      <c r="H345" s="42">
        <f t="shared" si="341"/>
        <v>0.99299999999999999</v>
      </c>
      <c r="I345" s="42">
        <f t="shared" si="341"/>
        <v>-1.3640000000000001</v>
      </c>
      <c r="J345" s="42">
        <f t="shared" si="341"/>
        <v>-0.33800000000000002</v>
      </c>
      <c r="K345" s="42">
        <f t="shared" si="341"/>
        <v>1.6619999999999999</v>
      </c>
      <c r="L345" s="42"/>
      <c r="M345" s="42"/>
      <c r="N345" s="42">
        <f t="shared" ref="N345:S345" si="342">N341-N344</f>
        <v>3.9E-2</v>
      </c>
      <c r="O345" s="42">
        <f t="shared" si="342"/>
        <v>-3.5000000000000003E-2</v>
      </c>
      <c r="P345" s="42">
        <f t="shared" si="342"/>
        <v>15.920999999999999</v>
      </c>
      <c r="Q345" s="42">
        <f t="shared" si="342"/>
        <v>-2.5760000000000001</v>
      </c>
      <c r="R345" s="42">
        <f t="shared" si="342"/>
        <v>0.19700000000000001</v>
      </c>
      <c r="S345" s="42">
        <f t="shared" si="342"/>
        <v>0.10100000000000001</v>
      </c>
      <c r="T345" s="42"/>
      <c r="U345" s="42"/>
      <c r="V345" s="42"/>
      <c r="W345" s="42"/>
    </row>
    <row r="346" spans="1:24" s="43" customFormat="1" ht="23.35" customHeight="1">
      <c r="A346" s="593"/>
      <c r="B346" s="663"/>
      <c r="C346" s="664"/>
      <c r="D346" s="202" t="str">
        <f>серпень!D269</f>
        <v>відхилення з наростаючим</v>
      </c>
      <c r="E346" s="42"/>
      <c r="F346" s="42">
        <f>F345</f>
        <v>-11.129</v>
      </c>
      <c r="G346" s="42">
        <f>G345+F346</f>
        <v>-0.99299999999999999</v>
      </c>
      <c r="H346" s="42">
        <f>H345+G346</f>
        <v>0</v>
      </c>
      <c r="I346" s="42">
        <f>I345+H346</f>
        <v>-1.3640000000000001</v>
      </c>
      <c r="J346" s="42">
        <f>J345+I346</f>
        <v>-1.702</v>
      </c>
      <c r="K346" s="42">
        <f>K345+J346</f>
        <v>-0.04</v>
      </c>
      <c r="L346" s="42"/>
      <c r="M346" s="42"/>
      <c r="N346" s="42">
        <f>N345+K346</f>
        <v>-1E-3</v>
      </c>
      <c r="O346" s="42">
        <f>O345+N346</f>
        <v>-3.5999999999999997E-2</v>
      </c>
      <c r="P346" s="42">
        <f>P345+O346</f>
        <v>15.885</v>
      </c>
      <c r="Q346" s="42">
        <f>Q345+P346</f>
        <v>13.308999999999999</v>
      </c>
      <c r="R346" s="42">
        <f>R345+Q346</f>
        <v>13.506</v>
      </c>
      <c r="S346" s="42">
        <f>S345+R346</f>
        <v>13.606999999999999</v>
      </c>
      <c r="T346" s="42"/>
      <c r="U346" s="42"/>
      <c r="V346" s="42"/>
      <c r="W346" s="42"/>
    </row>
    <row r="347" spans="1:24" s="186" customFormat="1" ht="18" customHeight="1">
      <c r="A347" s="595" t="s">
        <v>35</v>
      </c>
      <c r="B347" s="665" t="s">
        <v>36</v>
      </c>
      <c r="C347" s="665"/>
      <c r="D347" s="178" t="str">
        <f>серпень!D270</f>
        <v>факт. нат.п-ки 2023</v>
      </c>
      <c r="E347" s="179"/>
      <c r="F347" s="180">
        <f t="shared" ref="F347:K349" si="343">F364+F379+F394</f>
        <v>195.7</v>
      </c>
      <c r="G347" s="180">
        <f t="shared" si="343"/>
        <v>125</v>
      </c>
      <c r="H347" s="180">
        <f t="shared" si="343"/>
        <v>209</v>
      </c>
      <c r="I347" s="180">
        <f t="shared" si="343"/>
        <v>229</v>
      </c>
      <c r="J347" s="180">
        <f t="shared" si="343"/>
        <v>151</v>
      </c>
      <c r="K347" s="180">
        <f t="shared" si="343"/>
        <v>147.80000000000001</v>
      </c>
      <c r="L347" s="215">
        <f>SUM(F347:K347)</f>
        <v>1057.5</v>
      </c>
      <c r="M347" s="215">
        <f>L347/6</f>
        <v>176.3</v>
      </c>
      <c r="N347" s="180">
        <f t="shared" ref="N347:S349" si="344">N364+N379+N394</f>
        <v>238.3</v>
      </c>
      <c r="O347" s="180">
        <f t="shared" si="344"/>
        <v>135</v>
      </c>
      <c r="P347" s="180">
        <f t="shared" si="344"/>
        <v>158.30000000000001</v>
      </c>
      <c r="Q347" s="180">
        <f t="shared" si="344"/>
        <v>223.7</v>
      </c>
      <c r="R347" s="180">
        <f t="shared" si="344"/>
        <v>215.7</v>
      </c>
      <c r="S347" s="180">
        <f t="shared" si="344"/>
        <v>0</v>
      </c>
      <c r="T347" s="215">
        <f>SUM(N347:S347)</f>
        <v>971</v>
      </c>
      <c r="U347" s="215">
        <f>T347+L347</f>
        <v>2028.5</v>
      </c>
      <c r="V347" s="233">
        <f>V364+V394</f>
        <v>0</v>
      </c>
      <c r="W347" s="184"/>
      <c r="X347" s="185"/>
    </row>
    <row r="348" spans="1:24" s="186" customFormat="1" ht="18" customHeight="1">
      <c r="A348" s="595"/>
      <c r="B348" s="665"/>
      <c r="C348" s="665"/>
      <c r="D348" s="178" t="str">
        <f>серпень!D271</f>
        <v>факт. нат.п-ки 2024</v>
      </c>
      <c r="E348" s="179"/>
      <c r="F348" s="180">
        <f t="shared" si="343"/>
        <v>199</v>
      </c>
      <c r="G348" s="180">
        <f t="shared" si="343"/>
        <v>298.3</v>
      </c>
      <c r="H348" s="180">
        <f t="shared" si="343"/>
        <v>216.3</v>
      </c>
      <c r="I348" s="180">
        <f t="shared" si="343"/>
        <v>217.3</v>
      </c>
      <c r="J348" s="180">
        <f t="shared" si="343"/>
        <v>175</v>
      </c>
      <c r="K348" s="180">
        <f t="shared" si="343"/>
        <v>248.9</v>
      </c>
      <c r="L348" s="215">
        <f>SUM(F348:K348)</f>
        <v>1354.8</v>
      </c>
      <c r="M348" s="215">
        <f>L348/6</f>
        <v>225.8</v>
      </c>
      <c r="N348" s="180">
        <f t="shared" si="344"/>
        <v>183</v>
      </c>
      <c r="O348" s="180">
        <f t="shared" si="344"/>
        <v>195.8</v>
      </c>
      <c r="P348" s="180">
        <f t="shared" si="344"/>
        <v>292.3</v>
      </c>
      <c r="Q348" s="180">
        <f t="shared" si="344"/>
        <v>221</v>
      </c>
      <c r="R348" s="180">
        <f t="shared" si="344"/>
        <v>115.7</v>
      </c>
      <c r="S348" s="180">
        <f t="shared" si="344"/>
        <v>0</v>
      </c>
      <c r="T348" s="215">
        <f>SUM(N348:S348)</f>
        <v>1007.8</v>
      </c>
      <c r="U348" s="215">
        <f>T348+L348</f>
        <v>2362.6</v>
      </c>
      <c r="V348" s="233">
        <f>V365+V395</f>
        <v>1758.9</v>
      </c>
      <c r="W348" s="184"/>
      <c r="X348" s="185"/>
    </row>
    <row r="349" spans="1:24" s="186" customFormat="1" ht="18" customHeight="1">
      <c r="A349" s="595"/>
      <c r="B349" s="665"/>
      <c r="C349" s="665"/>
      <c r="D349" s="178" t="str">
        <f>серпень!D272</f>
        <v>факт. нат.п-ки 2025</v>
      </c>
      <c r="E349" s="179"/>
      <c r="F349" s="180">
        <f>F366+F381+F396</f>
        <v>169</v>
      </c>
      <c r="G349" s="180">
        <f t="shared" si="343"/>
        <v>177</v>
      </c>
      <c r="H349" s="180">
        <f t="shared" si="343"/>
        <v>208.3</v>
      </c>
      <c r="I349" s="180">
        <f t="shared" si="343"/>
        <v>184.3</v>
      </c>
      <c r="J349" s="180">
        <f t="shared" si="343"/>
        <v>147.69999999999999</v>
      </c>
      <c r="K349" s="180">
        <f t="shared" si="343"/>
        <v>205.3</v>
      </c>
      <c r="L349" s="234">
        <f>SUM(F349:K349)</f>
        <v>1091.5999999999999</v>
      </c>
      <c r="M349" s="215">
        <f>L349/6</f>
        <v>181.9</v>
      </c>
      <c r="N349" s="180">
        <f t="shared" si="344"/>
        <v>133</v>
      </c>
      <c r="O349" s="180">
        <f t="shared" si="344"/>
        <v>380.3</v>
      </c>
      <c r="P349" s="180">
        <f t="shared" si="344"/>
        <v>152.30000000000001</v>
      </c>
      <c r="Q349" s="180">
        <f t="shared" si="344"/>
        <v>121</v>
      </c>
      <c r="R349" s="180">
        <f t="shared" si="344"/>
        <v>78.5</v>
      </c>
      <c r="S349" s="180">
        <f t="shared" si="344"/>
        <v>40</v>
      </c>
      <c r="T349" s="215">
        <f>SUM(N349:S349)</f>
        <v>905.1</v>
      </c>
      <c r="U349" s="215">
        <f>T349+L349</f>
        <v>1996.7</v>
      </c>
      <c r="V349" s="233">
        <f>V366+V381+V396</f>
        <v>1758.9</v>
      </c>
      <c r="W349" s="184">
        <f>V349-U349</f>
        <v>-237.8</v>
      </c>
      <c r="X349" s="185"/>
    </row>
    <row r="350" spans="1:24" s="190" customFormat="1" ht="18" customHeight="1">
      <c r="A350" s="595"/>
      <c r="B350" s="665"/>
      <c r="C350" s="665"/>
      <c r="D350" s="187" t="str">
        <f>серпень!D273</f>
        <v>тариф, грн.</v>
      </c>
      <c r="E350" s="188"/>
      <c r="F350" s="188">
        <f t="shared" ref="F350:S350" si="345">F351/F349*1000</f>
        <v>24.988</v>
      </c>
      <c r="G350" s="188">
        <f t="shared" si="345"/>
        <v>26.152999999999999</v>
      </c>
      <c r="H350" s="188">
        <f t="shared" si="345"/>
        <v>26.158999999999999</v>
      </c>
      <c r="I350" s="188">
        <f t="shared" si="345"/>
        <v>26.152999999999999</v>
      </c>
      <c r="J350" s="188">
        <f t="shared" si="345"/>
        <v>26.148</v>
      </c>
      <c r="K350" s="188">
        <f t="shared" si="345"/>
        <v>26.161999999999999</v>
      </c>
      <c r="L350" s="188">
        <f t="shared" si="345"/>
        <v>25.975000000000001</v>
      </c>
      <c r="M350" s="188">
        <f t="shared" si="345"/>
        <v>25.981000000000002</v>
      </c>
      <c r="N350" s="188">
        <f t="shared" si="345"/>
        <v>26.158000000000001</v>
      </c>
      <c r="O350" s="188">
        <f t="shared" si="345"/>
        <v>26.161000000000001</v>
      </c>
      <c r="P350" s="188">
        <f t="shared" si="345"/>
        <v>26.158999999999999</v>
      </c>
      <c r="Q350" s="188">
        <f t="shared" si="345"/>
        <v>26.157</v>
      </c>
      <c r="R350" s="188">
        <f t="shared" si="345"/>
        <v>26.178000000000001</v>
      </c>
      <c r="S350" s="188">
        <f t="shared" si="345"/>
        <v>26.15</v>
      </c>
      <c r="T350" s="188">
        <f>T351/T349*1000</f>
        <v>26.161000000000001</v>
      </c>
      <c r="U350" s="188">
        <f>U351/U349*1000</f>
        <v>26.059000000000001</v>
      </c>
      <c r="V350" s="188">
        <f>V351/V349*1000</f>
        <v>23.658000000000001</v>
      </c>
      <c r="W350" s="189">
        <f>W351/W349*1000</f>
        <v>43.817999999999998</v>
      </c>
      <c r="X350" s="225"/>
    </row>
    <row r="351" spans="1:24" s="172" customFormat="1" ht="18" customHeight="1">
      <c r="A351" s="671"/>
      <c r="B351" s="665"/>
      <c r="C351" s="665"/>
      <c r="D351" s="191" t="str">
        <f>серпень!D274</f>
        <v>сума, тис.грн.</v>
      </c>
      <c r="E351" s="192"/>
      <c r="F351" s="192">
        <f t="shared" ref="F351:K351" si="346">F368+F383+F398</f>
        <v>4.2229999999999999</v>
      </c>
      <c r="G351" s="192">
        <f t="shared" si="346"/>
        <v>4.6289999999999996</v>
      </c>
      <c r="H351" s="192">
        <f t="shared" si="346"/>
        <v>5.4489999999999998</v>
      </c>
      <c r="I351" s="192">
        <f t="shared" si="346"/>
        <v>4.82</v>
      </c>
      <c r="J351" s="192">
        <f t="shared" si="346"/>
        <v>3.8620000000000001</v>
      </c>
      <c r="K351" s="192">
        <f t="shared" si="346"/>
        <v>5.3710000000000004</v>
      </c>
      <c r="L351" s="194">
        <f t="shared" ref="L351:L356" si="347">SUM(F351:K351)</f>
        <v>28.353999999999999</v>
      </c>
      <c r="M351" s="194">
        <f t="shared" ref="M351:M356" si="348">L351/6</f>
        <v>4.726</v>
      </c>
      <c r="N351" s="192">
        <f t="shared" ref="N351:S351" si="349">N368+N383+N398</f>
        <v>3.4790000000000001</v>
      </c>
      <c r="O351" s="192">
        <f t="shared" si="349"/>
        <v>9.9489999999999998</v>
      </c>
      <c r="P351" s="192">
        <f t="shared" si="349"/>
        <v>3.984</v>
      </c>
      <c r="Q351" s="192">
        <f t="shared" si="349"/>
        <v>3.165</v>
      </c>
      <c r="R351" s="192">
        <f t="shared" si="349"/>
        <v>2.0550000000000002</v>
      </c>
      <c r="S351" s="192">
        <f t="shared" si="349"/>
        <v>1.046</v>
      </c>
      <c r="T351" s="194">
        <f t="shared" ref="T351:T356" si="350">SUM(N351:S351)</f>
        <v>23.678000000000001</v>
      </c>
      <c r="U351" s="194">
        <f t="shared" ref="U351:U356" si="351">T351+L351</f>
        <v>52.031999999999996</v>
      </c>
      <c r="V351" s="192">
        <f t="shared" ref="V351" si="352">V368+V383+V398</f>
        <v>41.612000000000002</v>
      </c>
      <c r="W351" s="192">
        <f>V351-U351</f>
        <v>-10.42</v>
      </c>
    </row>
    <row r="352" spans="1:24" s="172" customFormat="1" ht="18" customHeight="1">
      <c r="A352" s="671"/>
      <c r="B352" s="665"/>
      <c r="C352" s="665"/>
      <c r="D352" s="174" t="str">
        <f>серпень!D275</f>
        <v>абоненська плата, тис.грн.</v>
      </c>
      <c r="E352" s="192"/>
      <c r="F352" s="192">
        <f>F383</f>
        <v>0</v>
      </c>
      <c r="G352" s="192">
        <f t="shared" ref="G352:K352" si="353">G383</f>
        <v>0</v>
      </c>
      <c r="H352" s="192">
        <f t="shared" si="353"/>
        <v>0</v>
      </c>
      <c r="I352" s="192">
        <f t="shared" si="353"/>
        <v>0</v>
      </c>
      <c r="J352" s="192">
        <f t="shared" si="353"/>
        <v>0</v>
      </c>
      <c r="K352" s="192">
        <f t="shared" si="353"/>
        <v>0</v>
      </c>
      <c r="L352" s="194">
        <f t="shared" si="347"/>
        <v>0</v>
      </c>
      <c r="M352" s="194">
        <f t="shared" si="348"/>
        <v>0</v>
      </c>
      <c r="N352" s="192">
        <f>N383</f>
        <v>0</v>
      </c>
      <c r="O352" s="192">
        <f t="shared" ref="O352:S352" si="354">O383</f>
        <v>0</v>
      </c>
      <c r="P352" s="192">
        <f t="shared" si="354"/>
        <v>0</v>
      </c>
      <c r="Q352" s="192">
        <f t="shared" si="354"/>
        <v>0</v>
      </c>
      <c r="R352" s="192">
        <f t="shared" si="354"/>
        <v>0</v>
      </c>
      <c r="S352" s="192">
        <f t="shared" si="354"/>
        <v>0</v>
      </c>
      <c r="T352" s="194">
        <f t="shared" si="350"/>
        <v>0</v>
      </c>
      <c r="U352" s="194">
        <f t="shared" si="351"/>
        <v>0</v>
      </c>
      <c r="V352" s="192">
        <f t="shared" ref="V352" si="355">V383</f>
        <v>0</v>
      </c>
      <c r="W352" s="192">
        <f t="shared" ref="W352:W353" si="356">V352-U352</f>
        <v>0</v>
      </c>
    </row>
    <row r="353" spans="1:28" s="172" customFormat="1" ht="18" customHeight="1">
      <c r="A353" s="671"/>
      <c r="B353" s="665"/>
      <c r="C353" s="665"/>
      <c r="D353" s="174" t="str">
        <f>серпень!D276</f>
        <v>разом сума тис. грн+абонплата</v>
      </c>
      <c r="E353" s="192"/>
      <c r="F353" s="192">
        <f>F351+F352</f>
        <v>4.2229999999999999</v>
      </c>
      <c r="G353" s="192">
        <f t="shared" ref="G353:K353" si="357">G351+G352</f>
        <v>4.6289999999999996</v>
      </c>
      <c r="H353" s="192">
        <f t="shared" si="357"/>
        <v>5.4489999999999998</v>
      </c>
      <c r="I353" s="192">
        <f t="shared" si="357"/>
        <v>4.82</v>
      </c>
      <c r="J353" s="192">
        <f t="shared" si="357"/>
        <v>3.8620000000000001</v>
      </c>
      <c r="K353" s="192">
        <f t="shared" si="357"/>
        <v>5.3710000000000004</v>
      </c>
      <c r="L353" s="194">
        <f t="shared" si="347"/>
        <v>28.353999999999999</v>
      </c>
      <c r="M353" s="194">
        <f t="shared" si="348"/>
        <v>4.726</v>
      </c>
      <c r="N353" s="192">
        <f>N351+N352</f>
        <v>3.4790000000000001</v>
      </c>
      <c r="O353" s="192">
        <f t="shared" ref="O353:S353" si="358">O351+O352</f>
        <v>9.9489999999999998</v>
      </c>
      <c r="P353" s="192">
        <f t="shared" si="358"/>
        <v>3.984</v>
      </c>
      <c r="Q353" s="192">
        <f t="shared" si="358"/>
        <v>3.165</v>
      </c>
      <c r="R353" s="192">
        <f t="shared" si="358"/>
        <v>2.0550000000000002</v>
      </c>
      <c r="S353" s="192">
        <f t="shared" si="358"/>
        <v>1.046</v>
      </c>
      <c r="T353" s="194">
        <f t="shared" si="350"/>
        <v>23.678000000000001</v>
      </c>
      <c r="U353" s="194">
        <f t="shared" si="351"/>
        <v>52.031999999999996</v>
      </c>
      <c r="V353" s="192">
        <f t="shared" ref="V353" si="359">V351+V352</f>
        <v>41.612000000000002</v>
      </c>
      <c r="W353" s="192">
        <f t="shared" si="356"/>
        <v>-10.42</v>
      </c>
    </row>
    <row r="354" spans="1:28" s="172" customFormat="1" ht="18" customHeight="1">
      <c r="A354" s="671"/>
      <c r="B354" s="665"/>
      <c r="C354" s="665"/>
      <c r="D354" s="174" t="str">
        <f>серпень!D277</f>
        <v>дотація</v>
      </c>
      <c r="E354" s="192"/>
      <c r="F354" s="192">
        <f t="shared" ref="F354:K356" si="360">F369+F384+F399</f>
        <v>0</v>
      </c>
      <c r="G354" s="192">
        <f t="shared" si="360"/>
        <v>0</v>
      </c>
      <c r="H354" s="192">
        <f t="shared" si="360"/>
        <v>0</v>
      </c>
      <c r="I354" s="192">
        <f t="shared" si="360"/>
        <v>0</v>
      </c>
      <c r="J354" s="192">
        <f t="shared" si="360"/>
        <v>0</v>
      </c>
      <c r="K354" s="192">
        <f t="shared" si="360"/>
        <v>0</v>
      </c>
      <c r="L354" s="194">
        <f t="shared" si="347"/>
        <v>0</v>
      </c>
      <c r="M354" s="194">
        <f t="shared" si="348"/>
        <v>0</v>
      </c>
      <c r="N354" s="192">
        <f t="shared" ref="N354:S356" si="361">N369+N384+N399</f>
        <v>0</v>
      </c>
      <c r="O354" s="192">
        <f t="shared" si="361"/>
        <v>0</v>
      </c>
      <c r="P354" s="192">
        <f t="shared" si="361"/>
        <v>0</v>
      </c>
      <c r="Q354" s="192">
        <f t="shared" si="361"/>
        <v>0</v>
      </c>
      <c r="R354" s="192">
        <f t="shared" si="361"/>
        <v>0</v>
      </c>
      <c r="S354" s="192">
        <f t="shared" si="361"/>
        <v>0</v>
      </c>
      <c r="T354" s="194">
        <f t="shared" si="350"/>
        <v>0</v>
      </c>
      <c r="U354" s="194">
        <f t="shared" si="351"/>
        <v>0</v>
      </c>
      <c r="V354" s="192">
        <f t="shared" ref="V354:V355" si="362">V369+V384+V399</f>
        <v>0</v>
      </c>
      <c r="W354" s="192">
        <f>V354-U354</f>
        <v>0</v>
      </c>
    </row>
    <row r="355" spans="1:28" s="172" customFormat="1" ht="18" customHeight="1">
      <c r="A355" s="671"/>
      <c r="B355" s="665"/>
      <c r="C355" s="665"/>
      <c r="D355" s="174" t="str">
        <f>серпень!D278</f>
        <v>місцевий (план), тис.грн</v>
      </c>
      <c r="E355" s="192"/>
      <c r="F355" s="192">
        <f t="shared" si="360"/>
        <v>4.7080000000000002</v>
      </c>
      <c r="G355" s="192">
        <f t="shared" si="360"/>
        <v>8.9999999999999993E-3</v>
      </c>
      <c r="H355" s="192">
        <f t="shared" si="360"/>
        <v>6.2990000000000004</v>
      </c>
      <c r="I355" s="192">
        <f t="shared" si="360"/>
        <v>6.5339999999999998</v>
      </c>
      <c r="J355" s="192">
        <f t="shared" si="360"/>
        <v>3.7719999999999998</v>
      </c>
      <c r="K355" s="192">
        <f t="shared" si="360"/>
        <v>0.61899999999999999</v>
      </c>
      <c r="L355" s="194">
        <f t="shared" si="347"/>
        <v>21.940999999999999</v>
      </c>
      <c r="M355" s="194">
        <f t="shared" si="348"/>
        <v>3.657</v>
      </c>
      <c r="N355" s="192">
        <f t="shared" si="361"/>
        <v>8.0960000000000001</v>
      </c>
      <c r="O355" s="192">
        <f t="shared" si="361"/>
        <v>1.8939999999999999</v>
      </c>
      <c r="P355" s="192">
        <f t="shared" si="361"/>
        <v>1.1359999999999999</v>
      </c>
      <c r="Q355" s="192">
        <f t="shared" si="361"/>
        <v>5.7409999999999997</v>
      </c>
      <c r="R355" s="192">
        <f t="shared" si="361"/>
        <v>1.8580000000000001</v>
      </c>
      <c r="S355" s="192">
        <f t="shared" si="361"/>
        <v>0.94599999999999995</v>
      </c>
      <c r="T355" s="194">
        <f t="shared" si="350"/>
        <v>19.670999999999999</v>
      </c>
      <c r="U355" s="194">
        <f t="shared" si="351"/>
        <v>41.612000000000002</v>
      </c>
      <c r="V355" s="192">
        <f t="shared" si="362"/>
        <v>41.612000000000002</v>
      </c>
      <c r="W355" s="192">
        <f>V355-U355</f>
        <v>0</v>
      </c>
    </row>
    <row r="356" spans="1:28" s="186" customFormat="1" ht="18" customHeight="1">
      <c r="A356" s="595"/>
      <c r="B356" s="665"/>
      <c r="C356" s="665"/>
      <c r="D356" s="178" t="str">
        <f>серпень!D279</f>
        <v>касові нат.п-ки 2025</v>
      </c>
      <c r="E356" s="179">
        <f>E371</f>
        <v>0</v>
      </c>
      <c r="F356" s="179">
        <f t="shared" si="360"/>
        <v>0</v>
      </c>
      <c r="G356" s="179">
        <f t="shared" si="360"/>
        <v>169</v>
      </c>
      <c r="H356" s="179">
        <f t="shared" si="360"/>
        <v>177</v>
      </c>
      <c r="I356" s="179">
        <f t="shared" si="360"/>
        <v>208.3</v>
      </c>
      <c r="J356" s="179">
        <f t="shared" si="360"/>
        <v>184.3</v>
      </c>
      <c r="K356" s="179">
        <f t="shared" si="360"/>
        <v>147.69999999999999</v>
      </c>
      <c r="L356" s="215">
        <f t="shared" si="347"/>
        <v>886.3</v>
      </c>
      <c r="M356" s="215">
        <f t="shared" si="348"/>
        <v>147.69999999999999</v>
      </c>
      <c r="N356" s="179">
        <f t="shared" si="361"/>
        <v>205.3</v>
      </c>
      <c r="O356" s="179">
        <f t="shared" si="361"/>
        <v>133</v>
      </c>
      <c r="P356" s="179">
        <f t="shared" si="361"/>
        <v>532.6</v>
      </c>
      <c r="Q356" s="179">
        <f t="shared" si="361"/>
        <v>121</v>
      </c>
      <c r="R356" s="179">
        <f t="shared" si="361"/>
        <v>78.5</v>
      </c>
      <c r="S356" s="179">
        <f t="shared" si="361"/>
        <v>40</v>
      </c>
      <c r="T356" s="215">
        <f t="shared" si="350"/>
        <v>1110.4000000000001</v>
      </c>
      <c r="U356" s="215">
        <f t="shared" si="351"/>
        <v>1996.7</v>
      </c>
      <c r="V356" s="179">
        <f>V371+V401</f>
        <v>1758.9</v>
      </c>
      <c r="W356" s="184">
        <f>V356-U356</f>
        <v>-237.8</v>
      </c>
      <c r="X356" s="185">
        <f>U349-U356</f>
        <v>0</v>
      </c>
    </row>
    <row r="357" spans="1:28" s="190" customFormat="1" ht="18" customHeight="1">
      <c r="A357" s="595"/>
      <c r="B357" s="665"/>
      <c r="C357" s="665"/>
      <c r="D357" s="187" t="str">
        <f>серпень!D280</f>
        <v>тариф, грн.</v>
      </c>
      <c r="E357" s="188" t="e">
        <f t="shared" ref="E357:S357" si="363">E358/E356*1000</f>
        <v>#DIV/0!</v>
      </c>
      <c r="F357" s="188" t="e">
        <f t="shared" si="363"/>
        <v>#DIV/0!</v>
      </c>
      <c r="G357" s="188">
        <f t="shared" si="363"/>
        <v>24.988</v>
      </c>
      <c r="H357" s="188">
        <f t="shared" si="363"/>
        <v>26.152999999999999</v>
      </c>
      <c r="I357" s="188">
        <f t="shared" si="363"/>
        <v>26.158999999999999</v>
      </c>
      <c r="J357" s="188">
        <f t="shared" si="363"/>
        <v>26.152999999999999</v>
      </c>
      <c r="K357" s="188">
        <f t="shared" si="363"/>
        <v>26.148</v>
      </c>
      <c r="L357" s="188">
        <f t="shared" si="363"/>
        <v>25.931000000000001</v>
      </c>
      <c r="M357" s="188">
        <f t="shared" si="363"/>
        <v>25.937999999999999</v>
      </c>
      <c r="N357" s="188">
        <f t="shared" si="363"/>
        <v>26.161999999999999</v>
      </c>
      <c r="O357" s="188">
        <f t="shared" si="363"/>
        <v>26.158000000000001</v>
      </c>
      <c r="P357" s="188">
        <f t="shared" si="363"/>
        <v>26.16</v>
      </c>
      <c r="Q357" s="188">
        <f t="shared" si="363"/>
        <v>26.157</v>
      </c>
      <c r="R357" s="188">
        <f t="shared" si="363"/>
        <v>26.178000000000001</v>
      </c>
      <c r="S357" s="188">
        <f t="shared" si="363"/>
        <v>26.15</v>
      </c>
      <c r="T357" s="188">
        <f>T358/T356*1000</f>
        <v>26.161000000000001</v>
      </c>
      <c r="U357" s="188">
        <f>U358/U356*1000</f>
        <v>26.059000000000001</v>
      </c>
      <c r="V357" s="188">
        <f>V358/V356*1000</f>
        <v>23.658000000000001</v>
      </c>
      <c r="W357" s="189">
        <f>W358/W356*1000</f>
        <v>43.817999999999998</v>
      </c>
      <c r="X357" s="225"/>
    </row>
    <row r="358" spans="1:28" s="213" customFormat="1" ht="18" customHeight="1">
      <c r="A358" s="595"/>
      <c r="B358" s="665"/>
      <c r="C358" s="665"/>
      <c r="D358" s="198" t="str">
        <f>серпень!D281</f>
        <v>касові видатки, тис.грн.</v>
      </c>
      <c r="E358" s="220">
        <f>E373+E403</f>
        <v>0</v>
      </c>
      <c r="F358" s="199">
        <f t="shared" ref="F358:K360" si="364">F373+F388+F403</f>
        <v>0</v>
      </c>
      <c r="G358" s="199">
        <f t="shared" si="364"/>
        <v>4.2229999999999999</v>
      </c>
      <c r="H358" s="199">
        <f t="shared" si="364"/>
        <v>4.6289999999999996</v>
      </c>
      <c r="I358" s="199">
        <f t="shared" si="364"/>
        <v>5.4489999999999998</v>
      </c>
      <c r="J358" s="199">
        <f t="shared" si="364"/>
        <v>4.82</v>
      </c>
      <c r="K358" s="199">
        <f t="shared" si="364"/>
        <v>3.8620000000000001</v>
      </c>
      <c r="L358" s="199">
        <f>SUM(F358:K358)</f>
        <v>22.983000000000001</v>
      </c>
      <c r="M358" s="199">
        <f>L358/6</f>
        <v>3.831</v>
      </c>
      <c r="N358" s="199">
        <f t="shared" ref="N358:S360" si="365">N373+N388+N403</f>
        <v>5.3710000000000004</v>
      </c>
      <c r="O358" s="199">
        <f t="shared" si="365"/>
        <v>3.4790000000000001</v>
      </c>
      <c r="P358" s="199">
        <f t="shared" si="365"/>
        <v>13.933</v>
      </c>
      <c r="Q358" s="199">
        <f t="shared" si="365"/>
        <v>3.165</v>
      </c>
      <c r="R358" s="199">
        <f t="shared" si="365"/>
        <v>2.0550000000000002</v>
      </c>
      <c r="S358" s="199">
        <f t="shared" si="365"/>
        <v>1.046</v>
      </c>
      <c r="T358" s="199">
        <f>SUM(N358:S358)</f>
        <v>29.048999999999999</v>
      </c>
      <c r="U358" s="199">
        <f>T358+L358</f>
        <v>52.031999999999996</v>
      </c>
      <c r="V358" s="199">
        <f>V373+V403</f>
        <v>41.612000000000002</v>
      </c>
      <c r="W358" s="221">
        <f>V358-U358</f>
        <v>-10.42</v>
      </c>
      <c r="X358" s="176">
        <f>U351-U358</f>
        <v>0</v>
      </c>
    </row>
    <row r="359" spans="1:28" s="213" customFormat="1" ht="18" customHeight="1">
      <c r="A359" s="595"/>
      <c r="B359" s="665"/>
      <c r="C359" s="665"/>
      <c r="D359" s="201" t="str">
        <f>серпень!D282</f>
        <v>дотація</v>
      </c>
      <c r="E359" s="220"/>
      <c r="F359" s="199">
        <f t="shared" si="364"/>
        <v>0</v>
      </c>
      <c r="G359" s="199">
        <f t="shared" si="364"/>
        <v>0</v>
      </c>
      <c r="H359" s="199">
        <f t="shared" si="364"/>
        <v>0</v>
      </c>
      <c r="I359" s="199">
        <f t="shared" si="364"/>
        <v>0</v>
      </c>
      <c r="J359" s="199">
        <f t="shared" si="364"/>
        <v>0</v>
      </c>
      <c r="K359" s="199">
        <f t="shared" si="364"/>
        <v>0</v>
      </c>
      <c r="L359" s="199">
        <f>SUM(F359:K359)</f>
        <v>0</v>
      </c>
      <c r="M359" s="199">
        <f>L359/6</f>
        <v>0</v>
      </c>
      <c r="N359" s="199">
        <f t="shared" si="365"/>
        <v>0</v>
      </c>
      <c r="O359" s="199">
        <f t="shared" si="365"/>
        <v>0</v>
      </c>
      <c r="P359" s="199">
        <f t="shared" si="365"/>
        <v>0</v>
      </c>
      <c r="Q359" s="199">
        <f t="shared" si="365"/>
        <v>0</v>
      </c>
      <c r="R359" s="199">
        <f t="shared" si="365"/>
        <v>0</v>
      </c>
      <c r="S359" s="199">
        <f t="shared" si="365"/>
        <v>0</v>
      </c>
      <c r="T359" s="199">
        <f>SUM(N359:S359)</f>
        <v>0</v>
      </c>
      <c r="U359" s="199">
        <f>T359+L359</f>
        <v>0</v>
      </c>
      <c r="V359" s="199">
        <f>V374+V404</f>
        <v>0</v>
      </c>
      <c r="W359" s="221">
        <f>V359-U359</f>
        <v>0</v>
      </c>
      <c r="X359" s="176">
        <f>U354-U359</f>
        <v>0</v>
      </c>
    </row>
    <row r="360" spans="1:28" s="213" customFormat="1" ht="18" customHeight="1">
      <c r="A360" s="595"/>
      <c r="B360" s="665"/>
      <c r="C360" s="665"/>
      <c r="D360" s="201" t="str">
        <f>серпень!D283</f>
        <v xml:space="preserve">місцевий </v>
      </c>
      <c r="E360" s="220"/>
      <c r="F360" s="199">
        <f t="shared" si="364"/>
        <v>0</v>
      </c>
      <c r="G360" s="199">
        <f t="shared" si="364"/>
        <v>4.2229999999999999</v>
      </c>
      <c r="H360" s="199">
        <f t="shared" si="364"/>
        <v>4.6289999999999996</v>
      </c>
      <c r="I360" s="199">
        <f t="shared" si="364"/>
        <v>5.4489999999999998</v>
      </c>
      <c r="J360" s="199">
        <f t="shared" si="364"/>
        <v>4.82</v>
      </c>
      <c r="K360" s="199">
        <f t="shared" si="364"/>
        <v>3.8620000000000001</v>
      </c>
      <c r="L360" s="199">
        <f>SUM(F360:K360)</f>
        <v>22.983000000000001</v>
      </c>
      <c r="M360" s="199">
        <f>L360/6</f>
        <v>3.831</v>
      </c>
      <c r="N360" s="199">
        <f t="shared" si="365"/>
        <v>5.3710000000000004</v>
      </c>
      <c r="O360" s="199">
        <f t="shared" si="365"/>
        <v>3.4790000000000001</v>
      </c>
      <c r="P360" s="199">
        <f t="shared" si="365"/>
        <v>13.933</v>
      </c>
      <c r="Q360" s="199">
        <f t="shared" si="365"/>
        <v>3.165</v>
      </c>
      <c r="R360" s="199">
        <f t="shared" si="365"/>
        <v>2.0550000000000002</v>
      </c>
      <c r="S360" s="199">
        <f t="shared" si="365"/>
        <v>1.046</v>
      </c>
      <c r="T360" s="199">
        <f>SUM(N360:S360)</f>
        <v>29.048999999999999</v>
      </c>
      <c r="U360" s="199">
        <f>T360+L360</f>
        <v>52.031999999999996</v>
      </c>
      <c r="V360" s="199">
        <f>V375+V405</f>
        <v>41.612000000000002</v>
      </c>
      <c r="W360" s="221">
        <f>V360-U360</f>
        <v>-10.42</v>
      </c>
      <c r="X360" s="176">
        <f>U355-U360</f>
        <v>-10.42</v>
      </c>
    </row>
    <row r="361" spans="1:28" s="205" customFormat="1" ht="18" customHeight="1">
      <c r="A361" s="595"/>
      <c r="B361" s="665"/>
      <c r="C361" s="665"/>
      <c r="D361" s="202" t="str">
        <f>серпень!D284</f>
        <v>план</v>
      </c>
      <c r="E361" s="203"/>
      <c r="F361" s="203">
        <f t="shared" ref="F361:K361" si="366">F355</f>
        <v>4.7080000000000002</v>
      </c>
      <c r="G361" s="203">
        <f t="shared" si="366"/>
        <v>8.9999999999999993E-3</v>
      </c>
      <c r="H361" s="203">
        <f t="shared" si="366"/>
        <v>6.2990000000000004</v>
      </c>
      <c r="I361" s="203">
        <f t="shared" si="366"/>
        <v>6.5339999999999998</v>
      </c>
      <c r="J361" s="203">
        <f t="shared" si="366"/>
        <v>3.7719999999999998</v>
      </c>
      <c r="K361" s="203">
        <f t="shared" si="366"/>
        <v>0.61899999999999999</v>
      </c>
      <c r="L361" s="203">
        <f>SUM(F361:K361)</f>
        <v>21.940999999999999</v>
      </c>
      <c r="M361" s="203">
        <f>L361/6</f>
        <v>3.657</v>
      </c>
      <c r="N361" s="203">
        <f t="shared" ref="N361:S361" si="367">N376+N406</f>
        <v>8.0960000000000001</v>
      </c>
      <c r="O361" s="203">
        <f t="shared" si="367"/>
        <v>1.8939999999999999</v>
      </c>
      <c r="P361" s="203">
        <f t="shared" si="367"/>
        <v>1.1359999999999999</v>
      </c>
      <c r="Q361" s="203">
        <f t="shared" si="367"/>
        <v>5.7409999999999997</v>
      </c>
      <c r="R361" s="203">
        <f t="shared" si="367"/>
        <v>1.8580000000000001</v>
      </c>
      <c r="S361" s="203">
        <f t="shared" si="367"/>
        <v>0.94599999999999995</v>
      </c>
      <c r="T361" s="203">
        <f>SUM(N361:S361)</f>
        <v>19.670999999999999</v>
      </c>
      <c r="U361" s="203">
        <f>T361+L361</f>
        <v>41.612000000000002</v>
      </c>
      <c r="V361" s="203">
        <f>V355+V354</f>
        <v>41.612000000000002</v>
      </c>
      <c r="W361" s="203">
        <f>V361-U361</f>
        <v>0</v>
      </c>
    </row>
    <row r="362" spans="1:28" s="205" customFormat="1" ht="18" customHeight="1">
      <c r="A362" s="595"/>
      <c r="B362" s="665"/>
      <c r="C362" s="665"/>
      <c r="D362" s="202" t="str">
        <f>серпень!D285</f>
        <v xml:space="preserve">відхилення </v>
      </c>
      <c r="E362" s="203"/>
      <c r="F362" s="203">
        <f t="shared" ref="F362:K362" si="368">F358-F361</f>
        <v>-4.7080000000000002</v>
      </c>
      <c r="G362" s="203">
        <f t="shared" si="368"/>
        <v>4.2140000000000004</v>
      </c>
      <c r="H362" s="203">
        <f t="shared" si="368"/>
        <v>-1.67</v>
      </c>
      <c r="I362" s="203">
        <f t="shared" si="368"/>
        <v>-1.085</v>
      </c>
      <c r="J362" s="203">
        <f t="shared" si="368"/>
        <v>1.048</v>
      </c>
      <c r="K362" s="203">
        <f t="shared" si="368"/>
        <v>3.2429999999999999</v>
      </c>
      <c r="L362" s="203"/>
      <c r="M362" s="203"/>
      <c r="N362" s="203">
        <f t="shared" ref="N362:S362" si="369">N358-N361</f>
        <v>-2.7250000000000001</v>
      </c>
      <c r="O362" s="203">
        <f t="shared" si="369"/>
        <v>1.585</v>
      </c>
      <c r="P362" s="203">
        <f t="shared" si="369"/>
        <v>12.797000000000001</v>
      </c>
      <c r="Q362" s="203">
        <f t="shared" si="369"/>
        <v>-2.5760000000000001</v>
      </c>
      <c r="R362" s="203">
        <f t="shared" si="369"/>
        <v>0.19700000000000001</v>
      </c>
      <c r="S362" s="203">
        <f t="shared" si="369"/>
        <v>0.1</v>
      </c>
      <c r="T362" s="203"/>
      <c r="U362" s="203"/>
      <c r="V362" s="203"/>
      <c r="W362" s="203"/>
    </row>
    <row r="363" spans="1:28" s="205" customFormat="1" ht="23.5" customHeight="1">
      <c r="A363" s="595"/>
      <c r="B363" s="665"/>
      <c r="C363" s="665"/>
      <c r="D363" s="202" t="str">
        <f>серпень!D286</f>
        <v>відхилення з наростаючим</v>
      </c>
      <c r="E363" s="203"/>
      <c r="F363" s="203">
        <f>F362</f>
        <v>-4.7080000000000002</v>
      </c>
      <c r="G363" s="203">
        <f>G362+F363</f>
        <v>-0.49399999999999999</v>
      </c>
      <c r="H363" s="203">
        <f>H362+G363</f>
        <v>-2.1640000000000001</v>
      </c>
      <c r="I363" s="203">
        <f>I362+H363</f>
        <v>-3.2490000000000001</v>
      </c>
      <c r="J363" s="203">
        <f>J362+I363</f>
        <v>-2.2010000000000001</v>
      </c>
      <c r="K363" s="203">
        <f>K362+J363</f>
        <v>1.042</v>
      </c>
      <c r="L363" s="203"/>
      <c r="M363" s="203"/>
      <c r="N363" s="203">
        <f>N362+K363</f>
        <v>-1.6830000000000001</v>
      </c>
      <c r="O363" s="203">
        <f>O362+N363</f>
        <v>-9.8000000000000004E-2</v>
      </c>
      <c r="P363" s="203">
        <f>P362+O363</f>
        <v>12.699</v>
      </c>
      <c r="Q363" s="203">
        <f>Q362+P363</f>
        <v>10.122999999999999</v>
      </c>
      <c r="R363" s="203">
        <f>R362+Q363</f>
        <v>10.32</v>
      </c>
      <c r="S363" s="203">
        <f>S362+R363</f>
        <v>10.42</v>
      </c>
      <c r="T363" s="203"/>
      <c r="U363" s="203"/>
      <c r="V363" s="203"/>
      <c r="W363" s="203"/>
    </row>
    <row r="364" spans="1:28" s="10" customFormat="1" ht="18" customHeight="1">
      <c r="A364" s="595"/>
      <c r="B364" s="580" t="s">
        <v>37</v>
      </c>
      <c r="C364" s="575"/>
      <c r="D364" s="178" t="str">
        <f>серпень!D287</f>
        <v>факт. нат.п-ки 2023</v>
      </c>
      <c r="E364" s="11"/>
      <c r="F364" s="82">
        <v>195.66</v>
      </c>
      <c r="G364" s="82">
        <v>124.96</v>
      </c>
      <c r="H364" s="82">
        <v>209</v>
      </c>
      <c r="I364" s="82">
        <v>228.96</v>
      </c>
      <c r="J364" s="82">
        <v>151</v>
      </c>
      <c r="K364" s="82">
        <v>147.80000000000001</v>
      </c>
      <c r="L364" s="530">
        <f>SUM(F364:K364)</f>
        <v>1057.3800000000001</v>
      </c>
      <c r="M364" s="530">
        <f>L364/6</f>
        <v>176.23</v>
      </c>
      <c r="N364" s="348">
        <v>238.3</v>
      </c>
      <c r="O364" s="348">
        <v>135</v>
      </c>
      <c r="P364" s="348">
        <v>158.30000000000001</v>
      </c>
      <c r="Q364" s="348">
        <v>223.7</v>
      </c>
      <c r="R364" s="348">
        <v>215.7</v>
      </c>
      <c r="S364" s="348">
        <v>0</v>
      </c>
      <c r="T364" s="530">
        <f>SUM(N364:S364)</f>
        <v>971</v>
      </c>
      <c r="U364" s="530">
        <f>T364+L364</f>
        <v>2028.38</v>
      </c>
      <c r="V364" s="505"/>
      <c r="W364" s="505"/>
      <c r="X364" s="36"/>
    </row>
    <row r="365" spans="1:28" s="48" customFormat="1" ht="18" customHeight="1">
      <c r="A365" s="595"/>
      <c r="B365" s="576"/>
      <c r="C365" s="577"/>
      <c r="D365" s="178" t="str">
        <f>серпень!D288</f>
        <v>факт. нат.п-ки 2024</v>
      </c>
      <c r="E365" s="11"/>
      <c r="F365" s="82">
        <v>199</v>
      </c>
      <c r="G365" s="82">
        <v>298.3</v>
      </c>
      <c r="H365" s="82">
        <v>216.3</v>
      </c>
      <c r="I365" s="82">
        <v>217.3</v>
      </c>
      <c r="J365" s="82">
        <v>175</v>
      </c>
      <c r="K365" s="82">
        <v>248.88</v>
      </c>
      <c r="L365" s="530">
        <f>SUM(F365:K365)</f>
        <v>1354.78</v>
      </c>
      <c r="M365" s="530">
        <f>L365/6</f>
        <v>225.797</v>
      </c>
      <c r="N365" s="348">
        <v>183</v>
      </c>
      <c r="O365" s="348">
        <v>195.84</v>
      </c>
      <c r="P365" s="348">
        <v>292.3</v>
      </c>
      <c r="Q365" s="348">
        <v>221</v>
      </c>
      <c r="R365" s="348">
        <v>115.7</v>
      </c>
      <c r="S365" s="348">
        <v>0</v>
      </c>
      <c r="T365" s="530">
        <f>SUM(N365:S365)</f>
        <v>1007.84</v>
      </c>
      <c r="U365" s="530">
        <f>T365+L365</f>
        <v>2362.62</v>
      </c>
      <c r="V365" s="505">
        <v>1758.9</v>
      </c>
      <c r="W365" s="505"/>
      <c r="X365" s="47"/>
    </row>
    <row r="366" spans="1:28" s="10" customFormat="1" ht="18" customHeight="1">
      <c r="A366" s="595"/>
      <c r="B366" s="576"/>
      <c r="C366" s="577"/>
      <c r="D366" s="178" t="str">
        <f>серпень!D289</f>
        <v>факт. нат.п-ки 2025</v>
      </c>
      <c r="E366" s="11"/>
      <c r="F366" s="82">
        <v>169.00399999999999</v>
      </c>
      <c r="G366" s="82">
        <v>176.96</v>
      </c>
      <c r="H366" s="82">
        <v>208.30799999999999</v>
      </c>
      <c r="I366" s="82">
        <v>184.25800000000001</v>
      </c>
      <c r="J366" s="82">
        <v>147.65600000000001</v>
      </c>
      <c r="K366" s="82">
        <v>205.328</v>
      </c>
      <c r="L366" s="530">
        <f>SUM(F366:K366)</f>
        <v>1091.5139999999999</v>
      </c>
      <c r="M366" s="530">
        <f>L366/6</f>
        <v>181.91900000000001</v>
      </c>
      <c r="N366" s="348">
        <v>133.00399999999999</v>
      </c>
      <c r="O366" s="348">
        <v>380.30799999999999</v>
      </c>
      <c r="P366" s="348">
        <v>152.30000000000001</v>
      </c>
      <c r="Q366" s="348">
        <v>121</v>
      </c>
      <c r="R366" s="348">
        <v>78.540000000000006</v>
      </c>
      <c r="S366" s="348">
        <v>40</v>
      </c>
      <c r="T366" s="530">
        <f>SUM(N366:S366)</f>
        <v>905.15200000000004</v>
      </c>
      <c r="U366" s="530">
        <f>T366+L366</f>
        <v>1996.6659999999999</v>
      </c>
      <c r="V366" s="349">
        <v>1758.9</v>
      </c>
      <c r="W366" s="505">
        <f>V366-U366</f>
        <v>-237.76599999999999</v>
      </c>
      <c r="X366" s="36"/>
      <c r="Y366" s="3"/>
      <c r="Z366" s="3"/>
      <c r="AA366" s="3"/>
      <c r="AB366" s="3"/>
    </row>
    <row r="367" spans="1:28" s="114" customFormat="1" ht="18" customHeight="1">
      <c r="A367" s="595"/>
      <c r="B367" s="576"/>
      <c r="C367" s="577"/>
      <c r="D367" s="187" t="str">
        <f>серпень!D290</f>
        <v>тариф, грн.</v>
      </c>
      <c r="E367" s="49" t="e">
        <f>E368/E366*1000</f>
        <v>#DIV/0!</v>
      </c>
      <c r="F367" s="49">
        <f t="shared" ref="F367:K367" si="370">F368/F366*1000</f>
        <v>24.988</v>
      </c>
      <c r="G367" s="49">
        <f t="shared" si="370"/>
        <v>26.158000000000001</v>
      </c>
      <c r="H367" s="49">
        <f t="shared" si="370"/>
        <v>26.158000000000001</v>
      </c>
      <c r="I367" s="49">
        <f t="shared" si="370"/>
        <v>26.158999999999999</v>
      </c>
      <c r="J367" s="49">
        <f t="shared" si="370"/>
        <v>26.155000000000001</v>
      </c>
      <c r="K367" s="49">
        <f t="shared" si="370"/>
        <v>26.158000000000001</v>
      </c>
      <c r="L367" s="68">
        <f>L368/L366*1000</f>
        <v>25.977</v>
      </c>
      <c r="M367" s="68">
        <f>M368/M366*1000</f>
        <v>25.978999999999999</v>
      </c>
      <c r="N367" s="68">
        <f t="shared" ref="N367:O367" si="371">N368/N366*1000</f>
        <v>26.157</v>
      </c>
      <c r="O367" s="68">
        <f t="shared" si="371"/>
        <v>26.16</v>
      </c>
      <c r="P367" s="49">
        <v>26.16</v>
      </c>
      <c r="Q367" s="49">
        <v>26.16</v>
      </c>
      <c r="R367" s="49">
        <v>26.16</v>
      </c>
      <c r="S367" s="49">
        <v>26.16</v>
      </c>
      <c r="T367" s="68">
        <f>T368/T366*1000</f>
        <v>26.158999999999999</v>
      </c>
      <c r="U367" s="68">
        <f>U368/U366*1000</f>
        <v>26.059000000000001</v>
      </c>
      <c r="V367" s="68">
        <f>V368/V366*1000</f>
        <v>23.658000000000001</v>
      </c>
      <c r="W367" s="14">
        <f>W368/W366*1000</f>
        <v>43.825000000000003</v>
      </c>
      <c r="X367" s="36"/>
      <c r="Y367" s="3"/>
      <c r="Z367" s="3"/>
      <c r="AA367" s="3"/>
      <c r="AB367" s="3"/>
    </row>
    <row r="368" spans="1:28" s="114" customFormat="1" ht="18" customHeight="1">
      <c r="A368" s="595"/>
      <c r="B368" s="576"/>
      <c r="C368" s="577"/>
      <c r="D368" s="191" t="str">
        <f>серпень!D291</f>
        <v>сума, тис.грн.</v>
      </c>
      <c r="E368" s="52"/>
      <c r="F368" s="52">
        <v>4.2229999999999999</v>
      </c>
      <c r="G368" s="52">
        <v>4.6289999999999996</v>
      </c>
      <c r="H368" s="52">
        <v>5.4489999999999998</v>
      </c>
      <c r="I368" s="52">
        <v>4.82</v>
      </c>
      <c r="J368" s="52">
        <f>3.863-0.001</f>
        <v>3.8620000000000001</v>
      </c>
      <c r="K368" s="52">
        <v>5.3710000000000004</v>
      </c>
      <c r="L368" s="69">
        <f>SUM(F368:K368)</f>
        <v>28.353999999999999</v>
      </c>
      <c r="M368" s="69">
        <f>L368/6</f>
        <v>4.726</v>
      </c>
      <c r="N368" s="52">
        <v>3.4790000000000001</v>
      </c>
      <c r="O368" s="52">
        <v>9.9489999999999998</v>
      </c>
      <c r="P368" s="52">
        <f t="shared" ref="P368" si="372">P366*P367/1000</f>
        <v>3.984</v>
      </c>
      <c r="Q368" s="52">
        <f t="shared" ref="Q368" si="373">Q366*Q367/1000</f>
        <v>3.165</v>
      </c>
      <c r="R368" s="52">
        <f t="shared" ref="R368" si="374">R366*R367/1000</f>
        <v>2.0550000000000002</v>
      </c>
      <c r="S368" s="52">
        <f t="shared" ref="S368" si="375">S366*S367/1000</f>
        <v>1.046</v>
      </c>
      <c r="T368" s="69">
        <f>SUM(N368:S368)</f>
        <v>23.678000000000001</v>
      </c>
      <c r="U368" s="69">
        <f>T368+L368</f>
        <v>52.031999999999996</v>
      </c>
      <c r="V368" s="70">
        <f>V370+V369</f>
        <v>41.612000000000002</v>
      </c>
      <c r="W368" s="53">
        <f>V368-U368</f>
        <v>-10.42</v>
      </c>
      <c r="X368" s="113"/>
    </row>
    <row r="369" spans="1:28" s="114" customFormat="1" ht="18" customHeight="1">
      <c r="A369" s="595"/>
      <c r="B369" s="576"/>
      <c r="C369" s="577"/>
      <c r="D369" s="174" t="str">
        <f>серпень!D292</f>
        <v>дотація</v>
      </c>
      <c r="E369" s="56"/>
      <c r="F369" s="52"/>
      <c r="G369" s="52"/>
      <c r="H369" s="52"/>
      <c r="I369" s="52"/>
      <c r="J369" s="52"/>
      <c r="K369" s="52"/>
      <c r="L369" s="69">
        <f>SUM(F369:K369)</f>
        <v>0</v>
      </c>
      <c r="M369" s="69">
        <f>L369/6</f>
        <v>0</v>
      </c>
      <c r="N369" s="52"/>
      <c r="O369" s="52"/>
      <c r="P369" s="52"/>
      <c r="Q369" s="52"/>
      <c r="R369" s="52"/>
      <c r="S369" s="52"/>
      <c r="T369" s="69">
        <f>SUM(N369:S369)</f>
        <v>0</v>
      </c>
      <c r="U369" s="69">
        <f>T369+L369</f>
        <v>0</v>
      </c>
      <c r="V369" s="70">
        <v>0</v>
      </c>
      <c r="W369" s="53">
        <f>V369-U369</f>
        <v>0</v>
      </c>
      <c r="X369" s="113"/>
    </row>
    <row r="370" spans="1:28" s="114" customFormat="1" ht="18" customHeight="1">
      <c r="A370" s="595"/>
      <c r="B370" s="576"/>
      <c r="C370" s="577"/>
      <c r="D370" s="174" t="str">
        <f>серпень!D293</f>
        <v>місцевий (план), тис.грн</v>
      </c>
      <c r="E370" s="56"/>
      <c r="F370" s="52">
        <v>4.7080000000000002</v>
      </c>
      <c r="G370" s="52">
        <f>2.956-2.947</f>
        <v>8.9999999999999993E-3</v>
      </c>
      <c r="H370" s="52">
        <f>4.945+0.5+0.854</f>
        <v>6.2990000000000004</v>
      </c>
      <c r="I370" s="52">
        <f>5.141+2.447-0.2-0.854</f>
        <v>6.5339999999999998</v>
      </c>
      <c r="J370" s="52">
        <f>3.572+0.2</f>
        <v>3.7719999999999998</v>
      </c>
      <c r="K370" s="52">
        <f>3.497-2.878</f>
        <v>0.61899999999999999</v>
      </c>
      <c r="L370" s="69">
        <f>SUM(F370:K370)</f>
        <v>21.940999999999999</v>
      </c>
      <c r="M370" s="69">
        <f>L370/6</f>
        <v>3.657</v>
      </c>
      <c r="N370" s="52">
        <f>4.329+1.3+2.467</f>
        <v>8.0960000000000001</v>
      </c>
      <c r="O370" s="52">
        <f>3.194-1.3</f>
        <v>1.8939999999999999</v>
      </c>
      <c r="P370" s="52">
        <f>3.603-2.467</f>
        <v>1.1359999999999999</v>
      </c>
      <c r="Q370" s="52">
        <f>2.863+1.578+1.3</f>
        <v>5.7409999999999997</v>
      </c>
      <c r="R370" s="52">
        <v>1.8580000000000001</v>
      </c>
      <c r="S370" s="52">
        <v>0.94599999999999995</v>
      </c>
      <c r="T370" s="69">
        <f>SUM(N370:S370)</f>
        <v>19.670999999999999</v>
      </c>
      <c r="U370" s="69">
        <f>T370+L370</f>
        <v>41.612000000000002</v>
      </c>
      <c r="V370" s="70">
        <v>41.612000000000002</v>
      </c>
      <c r="W370" s="53">
        <f>V370-U370</f>
        <v>0</v>
      </c>
      <c r="X370" s="113"/>
    </row>
    <row r="371" spans="1:28" s="3" customFormat="1" ht="18" customHeight="1">
      <c r="A371" s="595"/>
      <c r="B371" s="576"/>
      <c r="C371" s="577"/>
      <c r="D371" s="178" t="str">
        <f>серпень!D294</f>
        <v>касові нат.п-ки 2025</v>
      </c>
      <c r="E371" s="11"/>
      <c r="F371" s="12"/>
      <c r="G371" s="82">
        <v>169.00399999999999</v>
      </c>
      <c r="H371" s="82">
        <v>176.96</v>
      </c>
      <c r="I371" s="82">
        <v>208.30799999999999</v>
      </c>
      <c r="J371" s="82">
        <v>184.25800000000001</v>
      </c>
      <c r="K371" s="82">
        <v>147.65600000000001</v>
      </c>
      <c r="L371" s="465">
        <f>SUM(F371:K371)</f>
        <v>886.18600000000004</v>
      </c>
      <c r="M371" s="465">
        <f>L371/6</f>
        <v>147.69800000000001</v>
      </c>
      <c r="N371" s="348">
        <v>205.328</v>
      </c>
      <c r="O371" s="348">
        <v>133.00399999999999</v>
      </c>
      <c r="P371" s="348">
        <f>380.308+152.3</f>
        <v>532.60799999999995</v>
      </c>
      <c r="Q371" s="348">
        <v>121</v>
      </c>
      <c r="R371" s="348">
        <v>78.540000000000006</v>
      </c>
      <c r="S371" s="348">
        <v>40</v>
      </c>
      <c r="T371" s="465">
        <f>SUM(N371:S371)</f>
        <v>1110.48</v>
      </c>
      <c r="U371" s="465">
        <f>T371+L371</f>
        <v>1996.6659999999999</v>
      </c>
      <c r="V371" s="11">
        <f>V366</f>
        <v>1758.9</v>
      </c>
      <c r="W371" s="38">
        <f>V371-U371</f>
        <v>-237.8</v>
      </c>
      <c r="X371" s="47">
        <f>U366-U371</f>
        <v>0</v>
      </c>
    </row>
    <row r="372" spans="1:28" s="73" customFormat="1" ht="18" customHeight="1">
      <c r="A372" s="595"/>
      <c r="B372" s="576"/>
      <c r="C372" s="577"/>
      <c r="D372" s="187" t="str">
        <f>серпень!D295</f>
        <v>тариф, грн.</v>
      </c>
      <c r="E372" s="49" t="e">
        <f>E373/E371*1000</f>
        <v>#DIV/0!</v>
      </c>
      <c r="F372" s="49" t="e">
        <f t="shared" ref="F372:I372" si="376">F373/F371*1000</f>
        <v>#DIV/0!</v>
      </c>
      <c r="G372" s="49">
        <f t="shared" si="376"/>
        <v>24.988</v>
      </c>
      <c r="H372" s="49">
        <f t="shared" si="376"/>
        <v>26.158000000000001</v>
      </c>
      <c r="I372" s="49">
        <f t="shared" si="376"/>
        <v>26.158000000000001</v>
      </c>
      <c r="J372" s="49">
        <v>26.16</v>
      </c>
      <c r="K372" s="49">
        <v>26.16</v>
      </c>
      <c r="L372" s="68">
        <f>L373/L371*1000</f>
        <v>25.934999999999999</v>
      </c>
      <c r="M372" s="68">
        <f>M373/M371*1000</f>
        <v>25.937999999999999</v>
      </c>
      <c r="N372" s="68">
        <f t="shared" ref="N372:P372" si="377">N373/N371*1000</f>
        <v>26.158000000000001</v>
      </c>
      <c r="O372" s="68">
        <f t="shared" si="377"/>
        <v>26.157</v>
      </c>
      <c r="P372" s="68">
        <f t="shared" si="377"/>
        <v>26.16</v>
      </c>
      <c r="Q372" s="68">
        <v>26.16</v>
      </c>
      <c r="R372" s="68">
        <v>26.16</v>
      </c>
      <c r="S372" s="68">
        <v>26.16</v>
      </c>
      <c r="T372" s="68">
        <f>T373/T371*1000</f>
        <v>26.158999999999999</v>
      </c>
      <c r="U372" s="68">
        <f>U373/U371*1000</f>
        <v>26.059000000000001</v>
      </c>
      <c r="V372" s="68">
        <f>V373/V371*1000</f>
        <v>23.658000000000001</v>
      </c>
      <c r="W372" s="14">
        <f>W373/W371*1000</f>
        <v>43.817999999999998</v>
      </c>
      <c r="X372" s="59"/>
      <c r="Y372" s="36"/>
      <c r="Z372" s="36"/>
      <c r="AA372" s="36"/>
      <c r="AB372" s="36"/>
    </row>
    <row r="373" spans="1:28" s="126" customFormat="1" ht="18" customHeight="1">
      <c r="A373" s="595"/>
      <c r="B373" s="576"/>
      <c r="C373" s="577"/>
      <c r="D373" s="198" t="str">
        <f>серпень!D296</f>
        <v>касові видатки, тис.грн.</v>
      </c>
      <c r="E373" s="71"/>
      <c r="F373" s="61">
        <v>0</v>
      </c>
      <c r="G373" s="61">
        <v>4.2229999999999999</v>
      </c>
      <c r="H373" s="61">
        <v>4.6289999999999996</v>
      </c>
      <c r="I373" s="61">
        <v>5.4489999999999998</v>
      </c>
      <c r="J373" s="61">
        <v>4.82</v>
      </c>
      <c r="K373" s="61">
        <f>3.863-0.001</f>
        <v>3.8620000000000001</v>
      </c>
      <c r="L373" s="61">
        <f>SUM(F373:K373)</f>
        <v>22.983000000000001</v>
      </c>
      <c r="M373" s="61">
        <f>L373/6</f>
        <v>3.831</v>
      </c>
      <c r="N373" s="61">
        <v>5.3710000000000004</v>
      </c>
      <c r="O373" s="61">
        <v>3.4790000000000001</v>
      </c>
      <c r="P373" s="61">
        <f>9.949+3.984</f>
        <v>13.933</v>
      </c>
      <c r="Q373" s="61">
        <f t="shared" ref="Q373:S373" si="378">Q371*Q372/1000</f>
        <v>3.165</v>
      </c>
      <c r="R373" s="61">
        <f t="shared" si="378"/>
        <v>2.0550000000000002</v>
      </c>
      <c r="S373" s="61">
        <f t="shared" si="378"/>
        <v>1.046</v>
      </c>
      <c r="T373" s="61">
        <f>SUM(N373:S373)</f>
        <v>29.048999999999999</v>
      </c>
      <c r="U373" s="61">
        <f>T373+L373</f>
        <v>52.031999999999996</v>
      </c>
      <c r="V373" s="61">
        <f>V368</f>
        <v>41.612000000000002</v>
      </c>
      <c r="W373" s="72">
        <f>V373-U373</f>
        <v>-10.42</v>
      </c>
      <c r="X373" s="63">
        <f>U368-U373</f>
        <v>0</v>
      </c>
    </row>
    <row r="374" spans="1:28" s="126" customFormat="1" ht="18" customHeight="1">
      <c r="A374" s="595"/>
      <c r="B374" s="576"/>
      <c r="C374" s="577"/>
      <c r="D374" s="201" t="str">
        <f>серпень!D297</f>
        <v>дотація</v>
      </c>
      <c r="E374" s="71"/>
      <c r="F374" s="61">
        <v>0</v>
      </c>
      <c r="G374" s="61">
        <v>0</v>
      </c>
      <c r="H374" s="61">
        <v>0</v>
      </c>
      <c r="I374" s="61">
        <v>0</v>
      </c>
      <c r="J374" s="61">
        <v>0</v>
      </c>
      <c r="K374" s="61">
        <v>0</v>
      </c>
      <c r="L374" s="61">
        <f>SUM(F374:K374)</f>
        <v>0</v>
      </c>
      <c r="M374" s="61">
        <f>L374/6</f>
        <v>0</v>
      </c>
      <c r="N374" s="61">
        <v>0</v>
      </c>
      <c r="O374" s="61">
        <v>0</v>
      </c>
      <c r="P374" s="61">
        <v>0</v>
      </c>
      <c r="Q374" s="61">
        <v>0</v>
      </c>
      <c r="R374" s="61">
        <v>0</v>
      </c>
      <c r="S374" s="61">
        <v>0</v>
      </c>
      <c r="T374" s="61">
        <f>SUM(N374:S374)</f>
        <v>0</v>
      </c>
      <c r="U374" s="61">
        <f>T374+L374</f>
        <v>0</v>
      </c>
      <c r="V374" s="61">
        <f>V369</f>
        <v>0</v>
      </c>
      <c r="W374" s="72">
        <f>V374-U374</f>
        <v>0</v>
      </c>
      <c r="X374" s="63">
        <f>U369-U374</f>
        <v>0</v>
      </c>
    </row>
    <row r="375" spans="1:28" s="126" customFormat="1" ht="18" customHeight="1">
      <c r="A375" s="595"/>
      <c r="B375" s="576"/>
      <c r="C375" s="577"/>
      <c r="D375" s="201" t="str">
        <f>серпень!D298</f>
        <v xml:space="preserve">місцевий </v>
      </c>
      <c r="E375" s="71"/>
      <c r="F375" s="61">
        <f t="shared" ref="F375:K375" si="379">F373-F374</f>
        <v>0</v>
      </c>
      <c r="G375" s="61">
        <f t="shared" si="379"/>
        <v>4.2229999999999999</v>
      </c>
      <c r="H375" s="61">
        <f t="shared" si="379"/>
        <v>4.6289999999999996</v>
      </c>
      <c r="I375" s="61">
        <f t="shared" si="379"/>
        <v>5.4489999999999998</v>
      </c>
      <c r="J375" s="61">
        <f t="shared" si="379"/>
        <v>4.82</v>
      </c>
      <c r="K375" s="61">
        <f t="shared" si="379"/>
        <v>3.8620000000000001</v>
      </c>
      <c r="L375" s="61">
        <f>SUM(F375:K375)</f>
        <v>22.983000000000001</v>
      </c>
      <c r="M375" s="61">
        <f>L375/6</f>
        <v>3.831</v>
      </c>
      <c r="N375" s="61">
        <f t="shared" ref="N375:S375" si="380">N373-N374</f>
        <v>5.3710000000000004</v>
      </c>
      <c r="O375" s="61">
        <f t="shared" si="380"/>
        <v>3.4790000000000001</v>
      </c>
      <c r="P375" s="61">
        <f t="shared" si="380"/>
        <v>13.933</v>
      </c>
      <c r="Q375" s="61">
        <f t="shared" si="380"/>
        <v>3.165</v>
      </c>
      <c r="R375" s="61">
        <f t="shared" si="380"/>
        <v>2.0550000000000002</v>
      </c>
      <c r="S375" s="61">
        <f t="shared" si="380"/>
        <v>1.046</v>
      </c>
      <c r="T375" s="61">
        <f>SUM(N375:S375)</f>
        <v>29.048999999999999</v>
      </c>
      <c r="U375" s="61">
        <f>T375+L375</f>
        <v>52.031999999999996</v>
      </c>
      <c r="V375" s="61">
        <f>V370</f>
        <v>41.612000000000002</v>
      </c>
      <c r="W375" s="72">
        <f>V375-U375</f>
        <v>-10.42</v>
      </c>
      <c r="X375" s="63">
        <f>U370-U375</f>
        <v>-10.42</v>
      </c>
    </row>
    <row r="376" spans="1:28" s="43" customFormat="1" ht="18" customHeight="1">
      <c r="A376" s="595"/>
      <c r="B376" s="576"/>
      <c r="C376" s="577"/>
      <c r="D376" s="202" t="str">
        <f>серпень!D299</f>
        <v>план</v>
      </c>
      <c r="E376" s="42"/>
      <c r="F376" s="42">
        <f t="shared" ref="F376:K376" si="381">F369+F370</f>
        <v>4.7080000000000002</v>
      </c>
      <c r="G376" s="42">
        <f t="shared" si="381"/>
        <v>8.9999999999999993E-3</v>
      </c>
      <c r="H376" s="42">
        <f t="shared" si="381"/>
        <v>6.2990000000000004</v>
      </c>
      <c r="I376" s="42">
        <f t="shared" si="381"/>
        <v>6.5339999999999998</v>
      </c>
      <c r="J376" s="42">
        <f t="shared" si="381"/>
        <v>3.7719999999999998</v>
      </c>
      <c r="K376" s="42">
        <f t="shared" si="381"/>
        <v>0.61899999999999999</v>
      </c>
      <c r="L376" s="42">
        <f>SUM(F376:K376)</f>
        <v>21.940999999999999</v>
      </c>
      <c r="M376" s="42">
        <f>L376/6</f>
        <v>3.657</v>
      </c>
      <c r="N376" s="42">
        <f t="shared" ref="N376:S376" si="382">N370+N369</f>
        <v>8.0960000000000001</v>
      </c>
      <c r="O376" s="42">
        <f t="shared" si="382"/>
        <v>1.8939999999999999</v>
      </c>
      <c r="P376" s="42">
        <f t="shared" si="382"/>
        <v>1.1359999999999999</v>
      </c>
      <c r="Q376" s="42">
        <f t="shared" si="382"/>
        <v>5.7409999999999997</v>
      </c>
      <c r="R376" s="42">
        <f t="shared" si="382"/>
        <v>1.8580000000000001</v>
      </c>
      <c r="S376" s="42">
        <f t="shared" si="382"/>
        <v>0.94599999999999995</v>
      </c>
      <c r="T376" s="42">
        <f>SUM(N376:S376)</f>
        <v>19.670999999999999</v>
      </c>
      <c r="U376" s="42">
        <f>T376+L376</f>
        <v>41.612000000000002</v>
      </c>
      <c r="V376" s="42">
        <f>V373</f>
        <v>41.612000000000002</v>
      </c>
      <c r="W376" s="42">
        <f>V376-U376</f>
        <v>0</v>
      </c>
    </row>
    <row r="377" spans="1:28" s="43" customFormat="1" ht="18" customHeight="1">
      <c r="A377" s="595"/>
      <c r="B377" s="576"/>
      <c r="C377" s="577"/>
      <c r="D377" s="202" t="str">
        <f>серпень!D300</f>
        <v xml:space="preserve">відхилення </v>
      </c>
      <c r="E377" s="42"/>
      <c r="F377" s="42">
        <f t="shared" ref="F377:K377" si="383">F373-F376</f>
        <v>-4.7080000000000002</v>
      </c>
      <c r="G377" s="42">
        <f t="shared" si="383"/>
        <v>4.2140000000000004</v>
      </c>
      <c r="H377" s="42">
        <f t="shared" si="383"/>
        <v>-1.67</v>
      </c>
      <c r="I377" s="42">
        <f t="shared" si="383"/>
        <v>-1.085</v>
      </c>
      <c r="J377" s="42">
        <f t="shared" si="383"/>
        <v>1.048</v>
      </c>
      <c r="K377" s="42">
        <f t="shared" si="383"/>
        <v>3.2429999999999999</v>
      </c>
      <c r="L377" s="42"/>
      <c r="M377" s="42"/>
      <c r="N377" s="42">
        <f t="shared" ref="N377:S377" si="384">N373-N376</f>
        <v>-2.7250000000000001</v>
      </c>
      <c r="O377" s="42">
        <f t="shared" si="384"/>
        <v>1.585</v>
      </c>
      <c r="P377" s="42">
        <f t="shared" si="384"/>
        <v>12.797000000000001</v>
      </c>
      <c r="Q377" s="42">
        <f t="shared" si="384"/>
        <v>-2.5760000000000001</v>
      </c>
      <c r="R377" s="42">
        <f t="shared" si="384"/>
        <v>0.19700000000000001</v>
      </c>
      <c r="S377" s="42">
        <f t="shared" si="384"/>
        <v>0.1</v>
      </c>
      <c r="T377" s="42"/>
      <c r="U377" s="42"/>
      <c r="V377" s="42"/>
      <c r="W377" s="42"/>
    </row>
    <row r="378" spans="1:28" s="43" customFormat="1" ht="18" customHeight="1">
      <c r="A378" s="595"/>
      <c r="B378" s="576"/>
      <c r="C378" s="577"/>
      <c r="D378" s="202" t="str">
        <f>серпень!D301</f>
        <v>відхилення з наростаючим</v>
      </c>
      <c r="E378" s="42"/>
      <c r="F378" s="42">
        <f>F377</f>
        <v>-4.7080000000000002</v>
      </c>
      <c r="G378" s="42">
        <f>G377+F378</f>
        <v>-0.49399999999999999</v>
      </c>
      <c r="H378" s="42">
        <f>H377+G378</f>
        <v>-2.1640000000000001</v>
      </c>
      <c r="I378" s="42">
        <f>I377+H378</f>
        <v>-3.2490000000000001</v>
      </c>
      <c r="J378" s="42">
        <f>J377+I378</f>
        <v>-2.2010000000000001</v>
      </c>
      <c r="K378" s="42">
        <f>K377+J378</f>
        <v>1.042</v>
      </c>
      <c r="L378" s="42"/>
      <c r="M378" s="42"/>
      <c r="N378" s="42">
        <f>N377+K378</f>
        <v>-1.6830000000000001</v>
      </c>
      <c r="O378" s="42">
        <f>O377+N378</f>
        <v>-9.8000000000000004E-2</v>
      </c>
      <c r="P378" s="42">
        <f>P377+O378</f>
        <v>12.699</v>
      </c>
      <c r="Q378" s="42">
        <f>Q377+P378</f>
        <v>10.122999999999999</v>
      </c>
      <c r="R378" s="42">
        <f>R377+Q378</f>
        <v>10.32</v>
      </c>
      <c r="S378" s="42">
        <f>S377+R378</f>
        <v>10.42</v>
      </c>
      <c r="T378" s="42"/>
      <c r="U378" s="42"/>
      <c r="V378" s="42"/>
      <c r="W378" s="42"/>
    </row>
    <row r="379" spans="1:28" s="48" customFormat="1" ht="18" hidden="1" customHeight="1">
      <c r="A379" s="595"/>
      <c r="B379" s="580" t="s">
        <v>96</v>
      </c>
      <c r="C379" s="575"/>
      <c r="D379" s="178" t="str">
        <f>серпень!D302</f>
        <v>факт. нат.п-ки 2023</v>
      </c>
      <c r="E379" s="11"/>
      <c r="F379" s="12"/>
      <c r="G379" s="12"/>
      <c r="H379" s="12"/>
      <c r="I379" s="12"/>
      <c r="J379" s="12"/>
      <c r="K379" s="12"/>
      <c r="L379" s="65">
        <f>SUM(F379:K379)</f>
        <v>0</v>
      </c>
      <c r="M379" s="65">
        <f>L379/6</f>
        <v>0</v>
      </c>
      <c r="N379" s="12"/>
      <c r="O379" s="12"/>
      <c r="P379" s="12"/>
      <c r="Q379" s="12"/>
      <c r="R379" s="12"/>
      <c r="S379" s="12"/>
      <c r="T379" s="65">
        <f>SUM(N379:S379)</f>
        <v>0</v>
      </c>
      <c r="U379" s="66">
        <f>T379+L379</f>
        <v>0</v>
      </c>
      <c r="V379" s="67"/>
      <c r="W379" s="38">
        <f>V379-U379</f>
        <v>0</v>
      </c>
      <c r="X379" s="47"/>
    </row>
    <row r="380" spans="1:28" s="48" customFormat="1" ht="18" hidden="1" customHeight="1">
      <c r="A380" s="595"/>
      <c r="B380" s="576"/>
      <c r="C380" s="577"/>
      <c r="D380" s="178" t="str">
        <f>серпень!D303</f>
        <v>факт. нат.п-ки 2024</v>
      </c>
      <c r="E380" s="11"/>
      <c r="F380" s="12"/>
      <c r="G380" s="12"/>
      <c r="H380" s="12"/>
      <c r="I380" s="12"/>
      <c r="J380" s="12"/>
      <c r="K380" s="12"/>
      <c r="L380" s="65">
        <f>SUM(F380:K380)</f>
        <v>0</v>
      </c>
      <c r="M380" s="65">
        <f>L380/6</f>
        <v>0</v>
      </c>
      <c r="N380" s="11"/>
      <c r="O380" s="11"/>
      <c r="P380" s="11"/>
      <c r="Q380" s="11"/>
      <c r="R380" s="11"/>
      <c r="S380" s="11"/>
      <c r="T380" s="65">
        <f>SUM(N380:S380)</f>
        <v>0</v>
      </c>
      <c r="U380" s="66">
        <f>T380+L380</f>
        <v>0</v>
      </c>
      <c r="V380" s="67"/>
      <c r="W380" s="38">
        <f>V380-U380</f>
        <v>0</v>
      </c>
      <c r="X380" s="47"/>
    </row>
    <row r="381" spans="1:28" s="48" customFormat="1" ht="18" hidden="1" customHeight="1">
      <c r="A381" s="595"/>
      <c r="B381" s="576"/>
      <c r="C381" s="577"/>
      <c r="D381" s="178" t="str">
        <f>серпень!D304</f>
        <v>факт. нат.п-ки 2025</v>
      </c>
      <c r="E381" s="11"/>
      <c r="F381" s="12"/>
      <c r="G381" s="12"/>
      <c r="H381" s="12"/>
      <c r="I381" s="12"/>
      <c r="J381" s="12"/>
      <c r="K381" s="12"/>
      <c r="L381" s="65">
        <f>SUM(F381:K381)</f>
        <v>0</v>
      </c>
      <c r="M381" s="65">
        <f>L381/6</f>
        <v>0</v>
      </c>
      <c r="N381" s="12"/>
      <c r="O381" s="12"/>
      <c r="P381" s="12"/>
      <c r="Q381" s="12"/>
      <c r="R381" s="12"/>
      <c r="S381" s="11"/>
      <c r="T381" s="65">
        <f>SUM(N381:S381)</f>
        <v>0</v>
      </c>
      <c r="U381" s="66">
        <f>T381+L381</f>
        <v>0</v>
      </c>
      <c r="V381" s="11"/>
      <c r="W381" s="38">
        <f>V381-U381</f>
        <v>0</v>
      </c>
      <c r="X381" s="47"/>
    </row>
    <row r="382" spans="1:28" s="51" customFormat="1" ht="18" hidden="1" customHeight="1">
      <c r="A382" s="595"/>
      <c r="B382" s="576"/>
      <c r="C382" s="577"/>
      <c r="D382" s="187" t="str">
        <f>серпень!D305</f>
        <v>тариф, грн.</v>
      </c>
      <c r="E382" s="49"/>
      <c r="F382" s="49"/>
      <c r="G382" s="49"/>
      <c r="H382" s="49"/>
      <c r="I382" s="49"/>
      <c r="J382" s="49"/>
      <c r="K382" s="49"/>
      <c r="L382" s="49" t="e">
        <f>L383/L381*1000</f>
        <v>#DIV/0!</v>
      </c>
      <c r="M382" s="49" t="e">
        <f>M383/M381*1000</f>
        <v>#DIV/0!</v>
      </c>
      <c r="N382" s="49"/>
      <c r="O382" s="49"/>
      <c r="P382" s="49"/>
      <c r="Q382" s="49"/>
      <c r="R382" s="49"/>
      <c r="S382" s="49"/>
      <c r="T382" s="49" t="e">
        <f>T383/T381*1000</f>
        <v>#DIV/0!</v>
      </c>
      <c r="U382" s="49" t="e">
        <f>U383/U381*1000</f>
        <v>#DIV/0!</v>
      </c>
      <c r="V382" s="68" t="e">
        <f>V383/V381*1000</f>
        <v>#DIV/0!</v>
      </c>
      <c r="W382" s="14" t="e">
        <f>W383/W381*1000</f>
        <v>#DIV/0!</v>
      </c>
      <c r="X382" s="50"/>
    </row>
    <row r="383" spans="1:28" s="55" customFormat="1" ht="18" hidden="1" customHeight="1">
      <c r="A383" s="595"/>
      <c r="B383" s="576"/>
      <c r="C383" s="577"/>
      <c r="D383" s="191" t="str">
        <f>серпень!D306</f>
        <v>сума, тис.грн.</v>
      </c>
      <c r="E383" s="52"/>
      <c r="F383" s="52">
        <f t="shared" ref="F383:K383" si="385">F381*F382/1000</f>
        <v>0</v>
      </c>
      <c r="G383" s="52">
        <f t="shared" si="385"/>
        <v>0</v>
      </c>
      <c r="H383" s="52">
        <f t="shared" si="385"/>
        <v>0</v>
      </c>
      <c r="I383" s="52">
        <f t="shared" si="385"/>
        <v>0</v>
      </c>
      <c r="J383" s="52">
        <f t="shared" si="385"/>
        <v>0</v>
      </c>
      <c r="K383" s="52">
        <f t="shared" si="385"/>
        <v>0</v>
      </c>
      <c r="L383" s="69">
        <f>SUM(F383:K383)</f>
        <v>0</v>
      </c>
      <c r="M383" s="69">
        <f>L383/6</f>
        <v>0</v>
      </c>
      <c r="N383" s="52">
        <f t="shared" ref="N383:S383" si="386">N381*N382/1000</f>
        <v>0</v>
      </c>
      <c r="O383" s="52">
        <f t="shared" si="386"/>
        <v>0</v>
      </c>
      <c r="P383" s="52">
        <f t="shared" si="386"/>
        <v>0</v>
      </c>
      <c r="Q383" s="52">
        <f t="shared" si="386"/>
        <v>0</v>
      </c>
      <c r="R383" s="52">
        <f t="shared" si="386"/>
        <v>0</v>
      </c>
      <c r="S383" s="52">
        <f t="shared" si="386"/>
        <v>0</v>
      </c>
      <c r="T383" s="69">
        <f>SUM(N383:S383)</f>
        <v>0</v>
      </c>
      <c r="U383" s="69">
        <f>T383+L383</f>
        <v>0</v>
      </c>
      <c r="V383" s="70">
        <f>V384+V385</f>
        <v>0</v>
      </c>
      <c r="W383" s="53">
        <f>V383-U383</f>
        <v>0</v>
      </c>
      <c r="X383" s="54">
        <f>9891253.845/1000</f>
        <v>9891.2540000000008</v>
      </c>
    </row>
    <row r="384" spans="1:28" s="55" customFormat="1" ht="18" hidden="1" customHeight="1">
      <c r="A384" s="595"/>
      <c r="B384" s="576"/>
      <c r="C384" s="577"/>
      <c r="D384" s="174" t="str">
        <f>серпень!D307</f>
        <v>дотація</v>
      </c>
      <c r="E384" s="56"/>
      <c r="F384" s="52"/>
      <c r="G384" s="52"/>
      <c r="H384" s="52"/>
      <c r="I384" s="52"/>
      <c r="J384" s="52"/>
      <c r="K384" s="52"/>
      <c r="L384" s="69">
        <f>SUM(F384:K384)</f>
        <v>0</v>
      </c>
      <c r="M384" s="69">
        <f>L384/6</f>
        <v>0</v>
      </c>
      <c r="N384" s="52"/>
      <c r="O384" s="52"/>
      <c r="P384" s="52"/>
      <c r="Q384" s="52"/>
      <c r="R384" s="52"/>
      <c r="S384" s="52"/>
      <c r="T384" s="69">
        <f>SUM(N384:S384)</f>
        <v>0</v>
      </c>
      <c r="U384" s="69">
        <f>T384+L384</f>
        <v>0</v>
      </c>
      <c r="V384" s="70"/>
      <c r="W384" s="53">
        <f>V384-U384</f>
        <v>0</v>
      </c>
      <c r="X384" s="58"/>
    </row>
    <row r="385" spans="1:28" s="55" customFormat="1" ht="18" hidden="1" customHeight="1">
      <c r="A385" s="595"/>
      <c r="B385" s="576"/>
      <c r="C385" s="577"/>
      <c r="D385" s="174" t="str">
        <f>серпень!D308</f>
        <v>місцевий (план), тис.грн</v>
      </c>
      <c r="E385" s="56"/>
      <c r="F385" s="52"/>
      <c r="G385" s="52"/>
      <c r="H385" s="52"/>
      <c r="I385" s="52"/>
      <c r="J385" s="52"/>
      <c r="K385" s="52"/>
      <c r="L385" s="69">
        <f>SUM(F385:K385)</f>
        <v>0</v>
      </c>
      <c r="M385" s="69">
        <f>L385/6</f>
        <v>0</v>
      </c>
      <c r="N385" s="52"/>
      <c r="O385" s="52"/>
      <c r="P385" s="52"/>
      <c r="Q385" s="52"/>
      <c r="R385" s="52"/>
      <c r="S385" s="52"/>
      <c r="T385" s="69">
        <f>SUM(N385:S385)</f>
        <v>0</v>
      </c>
      <c r="U385" s="69">
        <f>T385+L385</f>
        <v>0</v>
      </c>
      <c r="V385" s="70"/>
      <c r="W385" s="53">
        <f>V385-U385</f>
        <v>0</v>
      </c>
      <c r="X385" s="58"/>
    </row>
    <row r="386" spans="1:28" s="48" customFormat="1" ht="18" hidden="1" customHeight="1">
      <c r="A386" s="595"/>
      <c r="B386" s="576"/>
      <c r="C386" s="577"/>
      <c r="D386" s="178" t="str">
        <f>серпень!D309</f>
        <v>касові нат.п-ки 2025</v>
      </c>
      <c r="E386" s="11"/>
      <c r="F386" s="11"/>
      <c r="G386" s="11"/>
      <c r="H386" s="11"/>
      <c r="I386" s="11"/>
      <c r="J386" s="11"/>
      <c r="K386" s="11"/>
      <c r="L386" s="65">
        <f>SUM(F386:K386)</f>
        <v>0</v>
      </c>
      <c r="M386" s="65">
        <f>L386/6</f>
        <v>0</v>
      </c>
      <c r="N386" s="11"/>
      <c r="O386" s="11"/>
      <c r="P386" s="11"/>
      <c r="Q386" s="11"/>
      <c r="R386" s="11"/>
      <c r="S386" s="11">
        <f>S381+R381</f>
        <v>0</v>
      </c>
      <c r="T386" s="65">
        <f>SUM(N386:S386)</f>
        <v>0</v>
      </c>
      <c r="U386" s="65">
        <f>T386+L386</f>
        <v>0</v>
      </c>
      <c r="V386" s="11">
        <f>V381</f>
        <v>0</v>
      </c>
      <c r="W386" s="38">
        <f>V386-U386</f>
        <v>0</v>
      </c>
      <c r="X386" s="47">
        <f>U381-U386</f>
        <v>0</v>
      </c>
    </row>
    <row r="387" spans="1:28" s="51" customFormat="1" ht="18" hidden="1" customHeight="1">
      <c r="A387" s="595"/>
      <c r="B387" s="576"/>
      <c r="C387" s="577"/>
      <c r="D387" s="187" t="str">
        <f>серпень!D310</f>
        <v>тариф, грн.</v>
      </c>
      <c r="E387" s="49" t="e">
        <f>E388/E386*1000</f>
        <v>#DIV/0!</v>
      </c>
      <c r="F387" s="49"/>
      <c r="G387" s="49"/>
      <c r="H387" s="49"/>
      <c r="I387" s="49"/>
      <c r="J387" s="49"/>
      <c r="K387" s="49"/>
      <c r="L387" s="49" t="e">
        <f>L388/L386*1000</f>
        <v>#DIV/0!</v>
      </c>
      <c r="M387" s="49" t="e">
        <f>M388/M386*1000</f>
        <v>#DIV/0!</v>
      </c>
      <c r="N387" s="49"/>
      <c r="O387" s="49"/>
      <c r="P387" s="49"/>
      <c r="Q387" s="49"/>
      <c r="R387" s="49"/>
      <c r="S387" s="49"/>
      <c r="T387" s="49" t="e">
        <f>T388/T386*1000</f>
        <v>#DIV/0!</v>
      </c>
      <c r="U387" s="49" t="e">
        <f>U388/U386*1000</f>
        <v>#DIV/0!</v>
      </c>
      <c r="V387" s="68" t="e">
        <f>V388/V386*1000</f>
        <v>#DIV/0!</v>
      </c>
      <c r="W387" s="14" t="e">
        <f>W388/W386*1000</f>
        <v>#DIV/0!</v>
      </c>
      <c r="X387" s="59"/>
    </row>
    <row r="388" spans="1:28" s="63" customFormat="1" ht="17.7" hidden="1" customHeight="1">
      <c r="A388" s="595"/>
      <c r="B388" s="576"/>
      <c r="C388" s="577"/>
      <c r="D388" s="198" t="str">
        <f>серпень!D311</f>
        <v>касові видатки, тис.грн.</v>
      </c>
      <c r="E388" s="71"/>
      <c r="F388" s="61">
        <f t="shared" ref="F388:K388" si="387">F386*F387/1000</f>
        <v>0</v>
      </c>
      <c r="G388" s="61">
        <f t="shared" si="387"/>
        <v>0</v>
      </c>
      <c r="H388" s="61">
        <f t="shared" si="387"/>
        <v>0</v>
      </c>
      <c r="I388" s="61">
        <f t="shared" si="387"/>
        <v>0</v>
      </c>
      <c r="J388" s="61">
        <f t="shared" si="387"/>
        <v>0</v>
      </c>
      <c r="K388" s="61">
        <f t="shared" si="387"/>
        <v>0</v>
      </c>
      <c r="L388" s="61">
        <f>SUM(F388:K388)</f>
        <v>0</v>
      </c>
      <c r="M388" s="61">
        <f>L388/6</f>
        <v>0</v>
      </c>
      <c r="N388" s="61">
        <f t="shared" ref="N388:S388" si="388">N386*N387/1000</f>
        <v>0</v>
      </c>
      <c r="O388" s="61">
        <f t="shared" si="388"/>
        <v>0</v>
      </c>
      <c r="P388" s="61">
        <f t="shared" si="388"/>
        <v>0</v>
      </c>
      <c r="Q388" s="61">
        <f t="shared" si="388"/>
        <v>0</v>
      </c>
      <c r="R388" s="61">
        <f t="shared" si="388"/>
        <v>0</v>
      </c>
      <c r="S388" s="61">
        <f t="shared" si="388"/>
        <v>0</v>
      </c>
      <c r="T388" s="61">
        <f>SUM(N388:S388)</f>
        <v>0</v>
      </c>
      <c r="U388" s="61">
        <f>T388+L388</f>
        <v>0</v>
      </c>
      <c r="V388" s="61">
        <f>V383</f>
        <v>0</v>
      </c>
      <c r="W388" s="72">
        <f>V388-U388</f>
        <v>0</v>
      </c>
      <c r="X388" s="63">
        <f>U383-U388</f>
        <v>0</v>
      </c>
    </row>
    <row r="389" spans="1:28" s="63" customFormat="1" ht="18" hidden="1" customHeight="1">
      <c r="A389" s="595"/>
      <c r="B389" s="576"/>
      <c r="C389" s="577"/>
      <c r="D389" s="201" t="str">
        <f>серпень!D312</f>
        <v>дотація</v>
      </c>
      <c r="E389" s="71"/>
      <c r="F389" s="61"/>
      <c r="G389" s="61"/>
      <c r="H389" s="61"/>
      <c r="I389" s="61"/>
      <c r="J389" s="61"/>
      <c r="K389" s="61"/>
      <c r="L389" s="61">
        <f>SUM(F389:K389)</f>
        <v>0</v>
      </c>
      <c r="M389" s="61">
        <f>L389/6</f>
        <v>0</v>
      </c>
      <c r="N389" s="61"/>
      <c r="O389" s="61"/>
      <c r="P389" s="61"/>
      <c r="Q389" s="61"/>
      <c r="R389" s="61"/>
      <c r="S389" s="61"/>
      <c r="T389" s="61">
        <f>SUM(N389:S389)</f>
        <v>0</v>
      </c>
      <c r="U389" s="61">
        <f>T389+L389</f>
        <v>0</v>
      </c>
      <c r="V389" s="61">
        <f>V384</f>
        <v>0</v>
      </c>
      <c r="W389" s="72">
        <f>V389-U389</f>
        <v>0</v>
      </c>
      <c r="X389" s="63">
        <f>U384-U389</f>
        <v>0</v>
      </c>
    </row>
    <row r="390" spans="1:28" s="63" customFormat="1" ht="18" hidden="1" customHeight="1">
      <c r="A390" s="595"/>
      <c r="B390" s="576"/>
      <c r="C390" s="577"/>
      <c r="D390" s="201" t="str">
        <f>серпень!D313</f>
        <v xml:space="preserve">місцевий </v>
      </c>
      <c r="E390" s="71"/>
      <c r="F390" s="61">
        <f t="shared" ref="F390:K390" si="389">F388-F389</f>
        <v>0</v>
      </c>
      <c r="G390" s="61">
        <f t="shared" si="389"/>
        <v>0</v>
      </c>
      <c r="H390" s="61">
        <f t="shared" si="389"/>
        <v>0</v>
      </c>
      <c r="I390" s="61">
        <f t="shared" si="389"/>
        <v>0</v>
      </c>
      <c r="J390" s="61">
        <f t="shared" si="389"/>
        <v>0</v>
      </c>
      <c r="K390" s="61">
        <f t="shared" si="389"/>
        <v>0</v>
      </c>
      <c r="L390" s="61">
        <f>SUM(F390:K390)</f>
        <v>0</v>
      </c>
      <c r="M390" s="61">
        <f>L390/6</f>
        <v>0</v>
      </c>
      <c r="N390" s="61">
        <f t="shared" ref="N390:S390" si="390">N388-N389</f>
        <v>0</v>
      </c>
      <c r="O390" s="61">
        <f t="shared" si="390"/>
        <v>0</v>
      </c>
      <c r="P390" s="61">
        <f t="shared" si="390"/>
        <v>0</v>
      </c>
      <c r="Q390" s="61">
        <f t="shared" si="390"/>
        <v>0</v>
      </c>
      <c r="R390" s="61">
        <f t="shared" si="390"/>
        <v>0</v>
      </c>
      <c r="S390" s="61">
        <f t="shared" si="390"/>
        <v>0</v>
      </c>
      <c r="T390" s="61">
        <f>SUM(N390:S390)</f>
        <v>0</v>
      </c>
      <c r="U390" s="61">
        <f>T390+L390</f>
        <v>0</v>
      </c>
      <c r="V390" s="61">
        <f>V385</f>
        <v>0</v>
      </c>
      <c r="W390" s="72">
        <f>V390-U390</f>
        <v>0</v>
      </c>
      <c r="X390" s="63">
        <f>U385-U390</f>
        <v>0</v>
      </c>
    </row>
    <row r="391" spans="1:28" s="43" customFormat="1" ht="18" hidden="1" customHeight="1">
      <c r="A391" s="595"/>
      <c r="B391" s="576"/>
      <c r="C391" s="577"/>
      <c r="D391" s="202" t="str">
        <f>серпень!D314</f>
        <v>план</v>
      </c>
      <c r="E391" s="42"/>
      <c r="F391" s="42">
        <f t="shared" ref="F391:K391" si="391">F385</f>
        <v>0</v>
      </c>
      <c r="G391" s="42">
        <f t="shared" si="391"/>
        <v>0</v>
      </c>
      <c r="H391" s="42">
        <f t="shared" si="391"/>
        <v>0</v>
      </c>
      <c r="I391" s="42">
        <f t="shared" si="391"/>
        <v>0</v>
      </c>
      <c r="J391" s="42">
        <f t="shared" si="391"/>
        <v>0</v>
      </c>
      <c r="K391" s="42">
        <f t="shared" si="391"/>
        <v>0</v>
      </c>
      <c r="L391" s="42">
        <f>SUM(F391:K391)</f>
        <v>0</v>
      </c>
      <c r="M391" s="42">
        <f>L391/6</f>
        <v>0</v>
      </c>
      <c r="N391" s="42">
        <f t="shared" ref="N391:S391" si="392">N385+N384</f>
        <v>0</v>
      </c>
      <c r="O391" s="42">
        <f t="shared" si="392"/>
        <v>0</v>
      </c>
      <c r="P391" s="42">
        <f t="shared" si="392"/>
        <v>0</v>
      </c>
      <c r="Q391" s="42">
        <f t="shared" si="392"/>
        <v>0</v>
      </c>
      <c r="R391" s="42">
        <f t="shared" si="392"/>
        <v>0</v>
      </c>
      <c r="S391" s="42">
        <f t="shared" si="392"/>
        <v>0</v>
      </c>
      <c r="T391" s="42">
        <f>SUM(N391:S391)</f>
        <v>0</v>
      </c>
      <c r="U391" s="42">
        <f>T391+L391</f>
        <v>0</v>
      </c>
      <c r="V391" s="42">
        <f>V388</f>
        <v>0</v>
      </c>
      <c r="W391" s="42">
        <f>V391-U391</f>
        <v>0</v>
      </c>
    </row>
    <row r="392" spans="1:28" s="43" customFormat="1" ht="18" hidden="1" customHeight="1">
      <c r="A392" s="595"/>
      <c r="B392" s="576"/>
      <c r="C392" s="577"/>
      <c r="D392" s="202" t="str">
        <f>серпень!D315</f>
        <v xml:space="preserve">відхилення </v>
      </c>
      <c r="E392" s="42"/>
      <c r="F392" s="42">
        <f t="shared" ref="F392:K392" si="393">F388-F391</f>
        <v>0</v>
      </c>
      <c r="G392" s="42">
        <f t="shared" si="393"/>
        <v>0</v>
      </c>
      <c r="H392" s="42">
        <f t="shared" si="393"/>
        <v>0</v>
      </c>
      <c r="I392" s="42">
        <f t="shared" si="393"/>
        <v>0</v>
      </c>
      <c r="J392" s="42">
        <f t="shared" si="393"/>
        <v>0</v>
      </c>
      <c r="K392" s="42">
        <f t="shared" si="393"/>
        <v>0</v>
      </c>
      <c r="L392" s="42"/>
      <c r="M392" s="42"/>
      <c r="N392" s="42">
        <f t="shared" ref="N392:S392" si="394">N388-N391</f>
        <v>0</v>
      </c>
      <c r="O392" s="42">
        <f t="shared" si="394"/>
        <v>0</v>
      </c>
      <c r="P392" s="42">
        <f t="shared" si="394"/>
        <v>0</v>
      </c>
      <c r="Q392" s="42">
        <f t="shared" si="394"/>
        <v>0</v>
      </c>
      <c r="R392" s="42">
        <f t="shared" si="394"/>
        <v>0</v>
      </c>
      <c r="S392" s="42">
        <f t="shared" si="394"/>
        <v>0</v>
      </c>
      <c r="T392" s="42"/>
      <c r="U392" s="42"/>
      <c r="V392" s="42"/>
      <c r="W392" s="42"/>
    </row>
    <row r="393" spans="1:28" s="43" customFormat="1" ht="18" hidden="1" customHeight="1">
      <c r="A393" s="595"/>
      <c r="B393" s="578"/>
      <c r="C393" s="579"/>
      <c r="D393" s="202" t="str">
        <f>серпень!D316</f>
        <v>відхилення з наростаючим</v>
      </c>
      <c r="E393" s="42"/>
      <c r="F393" s="42">
        <f>F392</f>
        <v>0</v>
      </c>
      <c r="G393" s="42">
        <f>G392+F393</f>
        <v>0</v>
      </c>
      <c r="H393" s="42">
        <f>H392+G393</f>
        <v>0</v>
      </c>
      <c r="I393" s="42">
        <f>I392+H393</f>
        <v>0</v>
      </c>
      <c r="J393" s="42">
        <f>J392+I393</f>
        <v>0</v>
      </c>
      <c r="K393" s="42">
        <f>K392+J393</f>
        <v>0</v>
      </c>
      <c r="L393" s="42"/>
      <c r="M393" s="42"/>
      <c r="N393" s="42">
        <f>N392+K393</f>
        <v>0</v>
      </c>
      <c r="O393" s="42">
        <f>O392+N393</f>
        <v>0</v>
      </c>
      <c r="P393" s="42">
        <f>P392+O393</f>
        <v>0</v>
      </c>
      <c r="Q393" s="42">
        <f>Q392+P393</f>
        <v>0</v>
      </c>
      <c r="R393" s="42">
        <f>R392+Q393</f>
        <v>0</v>
      </c>
      <c r="S393" s="42">
        <f>S392+R393</f>
        <v>0</v>
      </c>
      <c r="T393" s="42"/>
      <c r="U393" s="42"/>
      <c r="V393" s="42"/>
      <c r="W393" s="42"/>
    </row>
    <row r="394" spans="1:28" s="10" customFormat="1" ht="18" hidden="1" customHeight="1">
      <c r="A394" s="595"/>
      <c r="B394" s="580" t="s">
        <v>38</v>
      </c>
      <c r="C394" s="575"/>
      <c r="D394" s="178" t="str">
        <f>серпень!D317</f>
        <v>факт. нат.п-ки 2023</v>
      </c>
      <c r="E394" s="11"/>
      <c r="F394" s="12"/>
      <c r="G394" s="12"/>
      <c r="H394" s="12"/>
      <c r="I394" s="12"/>
      <c r="J394" s="12"/>
      <c r="K394" s="12"/>
      <c r="L394" s="65">
        <f>SUM(F394:K394)</f>
        <v>0</v>
      </c>
      <c r="M394" s="65">
        <f>L394/6</f>
        <v>0</v>
      </c>
      <c r="N394" s="12"/>
      <c r="O394" s="12"/>
      <c r="P394" s="12"/>
      <c r="Q394" s="12"/>
      <c r="R394" s="12"/>
      <c r="S394" s="12"/>
      <c r="T394" s="65">
        <f>SUM(N394:S394)</f>
        <v>0</v>
      </c>
      <c r="U394" s="118">
        <f>T394+L394</f>
        <v>0</v>
      </c>
      <c r="V394" s="67"/>
      <c r="W394" s="38">
        <f>V394-U394</f>
        <v>0</v>
      </c>
      <c r="X394" s="36"/>
      <c r="Y394" s="3"/>
      <c r="Z394" s="3"/>
      <c r="AA394" s="3"/>
      <c r="AB394" s="3"/>
    </row>
    <row r="395" spans="1:28" s="48" customFormat="1" ht="18" hidden="1" customHeight="1">
      <c r="A395" s="595"/>
      <c r="B395" s="576"/>
      <c r="C395" s="577"/>
      <c r="D395" s="178" t="str">
        <f>серпень!D318</f>
        <v>факт. нат.п-ки 2024</v>
      </c>
      <c r="E395" s="11"/>
      <c r="F395" s="12"/>
      <c r="G395" s="12"/>
      <c r="H395" s="12"/>
      <c r="I395" s="12"/>
      <c r="J395" s="12"/>
      <c r="K395" s="12"/>
      <c r="L395" s="65">
        <f>SUM(F395:K395)</f>
        <v>0</v>
      </c>
      <c r="M395" s="65">
        <f>L395/6</f>
        <v>0</v>
      </c>
      <c r="N395" s="11"/>
      <c r="O395" s="11"/>
      <c r="P395" s="11"/>
      <c r="Q395" s="11"/>
      <c r="R395" s="11"/>
      <c r="S395" s="11"/>
      <c r="T395" s="65">
        <f>SUM(N395:S395)</f>
        <v>0</v>
      </c>
      <c r="U395" s="118">
        <f>T395+L395</f>
        <v>0</v>
      </c>
      <c r="V395" s="67"/>
      <c r="W395" s="38">
        <f>V395-U395</f>
        <v>0</v>
      </c>
      <c r="X395" s="47"/>
    </row>
    <row r="396" spans="1:28" s="10" customFormat="1" ht="18" hidden="1" customHeight="1">
      <c r="A396" s="595"/>
      <c r="B396" s="576"/>
      <c r="C396" s="577"/>
      <c r="D396" s="178" t="str">
        <f>серпень!D319</f>
        <v>факт. нат.п-ки 2025</v>
      </c>
      <c r="E396" s="11"/>
      <c r="F396" s="12"/>
      <c r="G396" s="12"/>
      <c r="H396" s="12"/>
      <c r="I396" s="12"/>
      <c r="J396" s="12"/>
      <c r="K396" s="12"/>
      <c r="L396" s="65">
        <f>SUM(F396:K396)</f>
        <v>0</v>
      </c>
      <c r="M396" s="65">
        <f>L396/6</f>
        <v>0</v>
      </c>
      <c r="N396" s="12"/>
      <c r="O396" s="12"/>
      <c r="P396" s="12"/>
      <c r="Q396" s="12"/>
      <c r="R396" s="12"/>
      <c r="S396" s="11"/>
      <c r="T396" s="65">
        <f>SUM(N396:S396)</f>
        <v>0</v>
      </c>
      <c r="U396" s="118">
        <f>T396+L396</f>
        <v>0</v>
      </c>
      <c r="V396" s="11"/>
      <c r="W396" s="38">
        <f>V396-U396</f>
        <v>0</v>
      </c>
      <c r="X396" s="36"/>
      <c r="Y396" s="3"/>
      <c r="Z396" s="3"/>
      <c r="AA396" s="3"/>
      <c r="AB396" s="3"/>
    </row>
    <row r="397" spans="1:28" s="114" customFormat="1" ht="18" hidden="1" customHeight="1">
      <c r="A397" s="595"/>
      <c r="B397" s="576"/>
      <c r="C397" s="577"/>
      <c r="D397" s="187" t="str">
        <f>серпень!D320</f>
        <v>тариф, грн.</v>
      </c>
      <c r="E397" s="49"/>
      <c r="F397" s="49">
        <v>10.56</v>
      </c>
      <c r="G397" s="49">
        <v>10.56</v>
      </c>
      <c r="H397" s="49">
        <v>10.56</v>
      </c>
      <c r="I397" s="49">
        <v>10.56</v>
      </c>
      <c r="J397" s="49">
        <v>10.56</v>
      </c>
      <c r="K397" s="49">
        <v>10.56</v>
      </c>
      <c r="L397" s="49" t="e">
        <f>L398/L396*1000</f>
        <v>#DIV/0!</v>
      </c>
      <c r="M397" s="49" t="e">
        <f>M398/M396*1000</f>
        <v>#DIV/0!</v>
      </c>
      <c r="N397" s="49">
        <v>10.56</v>
      </c>
      <c r="O397" s="49">
        <v>10.56</v>
      </c>
      <c r="P397" s="49">
        <v>10.56</v>
      </c>
      <c r="Q397" s="49">
        <v>10.56</v>
      </c>
      <c r="R397" s="49">
        <v>10.56</v>
      </c>
      <c r="S397" s="49">
        <v>10.56</v>
      </c>
      <c r="T397" s="49" t="e">
        <f>T398/T396*1000</f>
        <v>#DIV/0!</v>
      </c>
      <c r="U397" s="49" t="e">
        <f>U398/U396*1000</f>
        <v>#DIV/0!</v>
      </c>
      <c r="V397" s="68" t="e">
        <f>V398/V396*1000</f>
        <v>#DIV/0!</v>
      </c>
      <c r="W397" s="14" t="e">
        <f>W398/W396*1000</f>
        <v>#DIV/0!</v>
      </c>
      <c r="X397" s="47"/>
      <c r="Y397" s="3"/>
      <c r="Z397" s="3"/>
      <c r="AA397" s="3"/>
      <c r="AB397" s="3"/>
    </row>
    <row r="398" spans="1:28" s="114" customFormat="1" ht="18" hidden="1" customHeight="1">
      <c r="A398" s="595"/>
      <c r="B398" s="576"/>
      <c r="C398" s="577"/>
      <c r="D398" s="191" t="str">
        <f>серпень!D321</f>
        <v>сума, тис.грн.</v>
      </c>
      <c r="E398" s="52"/>
      <c r="F398" s="52">
        <f t="shared" ref="F398:K398" si="395">F396*F397/1000</f>
        <v>0</v>
      </c>
      <c r="G398" s="52">
        <f t="shared" si="395"/>
        <v>0</v>
      </c>
      <c r="H398" s="52">
        <f t="shared" si="395"/>
        <v>0</v>
      </c>
      <c r="I398" s="52">
        <f t="shared" si="395"/>
        <v>0</v>
      </c>
      <c r="J398" s="52">
        <f t="shared" si="395"/>
        <v>0</v>
      </c>
      <c r="K398" s="52">
        <f t="shared" si="395"/>
        <v>0</v>
      </c>
      <c r="L398" s="69">
        <f>SUM(F398:K398)</f>
        <v>0</v>
      </c>
      <c r="M398" s="69">
        <f>L398/6</f>
        <v>0</v>
      </c>
      <c r="N398" s="52">
        <f t="shared" ref="N398:S398" si="396">N396*N397/1000</f>
        <v>0</v>
      </c>
      <c r="O398" s="52">
        <f t="shared" si="396"/>
        <v>0</v>
      </c>
      <c r="P398" s="52">
        <f t="shared" si="396"/>
        <v>0</v>
      </c>
      <c r="Q398" s="52">
        <f t="shared" si="396"/>
        <v>0</v>
      </c>
      <c r="R398" s="52">
        <f t="shared" si="396"/>
        <v>0</v>
      </c>
      <c r="S398" s="52">
        <f t="shared" si="396"/>
        <v>0</v>
      </c>
      <c r="T398" s="69">
        <f>SUM(N398:S398)</f>
        <v>0</v>
      </c>
      <c r="U398" s="69">
        <f>T398+L398</f>
        <v>0</v>
      </c>
      <c r="V398" s="70">
        <f>V399+V400</f>
        <v>0</v>
      </c>
      <c r="W398" s="53">
        <f>V398-U398</f>
        <v>0</v>
      </c>
      <c r="X398" s="113"/>
    </row>
    <row r="399" spans="1:28" s="114" customFormat="1" ht="18" hidden="1" customHeight="1">
      <c r="A399" s="595"/>
      <c r="B399" s="576"/>
      <c r="C399" s="577"/>
      <c r="D399" s="174" t="str">
        <f>серпень!D322</f>
        <v>дотація</v>
      </c>
      <c r="E399" s="56"/>
      <c r="F399" s="52"/>
      <c r="G399" s="52"/>
      <c r="H399" s="52"/>
      <c r="I399" s="52"/>
      <c r="J399" s="52"/>
      <c r="K399" s="52"/>
      <c r="L399" s="69">
        <f>SUM(F399:K399)</f>
        <v>0</v>
      </c>
      <c r="M399" s="69">
        <f>L399/6</f>
        <v>0</v>
      </c>
      <c r="N399" s="52"/>
      <c r="O399" s="52"/>
      <c r="P399" s="52"/>
      <c r="Q399" s="52"/>
      <c r="R399" s="52"/>
      <c r="S399" s="52"/>
      <c r="T399" s="69">
        <f>SUM(N399:S399)</f>
        <v>0</v>
      </c>
      <c r="U399" s="69">
        <f>T399+L399</f>
        <v>0</v>
      </c>
      <c r="V399" s="70">
        <v>0</v>
      </c>
      <c r="W399" s="53">
        <f>V399-U399</f>
        <v>0</v>
      </c>
      <c r="X399" s="113"/>
    </row>
    <row r="400" spans="1:28" s="114" customFormat="1" ht="18" hidden="1" customHeight="1">
      <c r="A400" s="595"/>
      <c r="B400" s="576"/>
      <c r="C400" s="577"/>
      <c r="D400" s="174" t="str">
        <f>серпень!D323</f>
        <v>місцевий (план), тис.грн</v>
      </c>
      <c r="E400" s="56"/>
      <c r="F400" s="52"/>
      <c r="G400" s="52"/>
      <c r="H400" s="52"/>
      <c r="I400" s="52"/>
      <c r="J400" s="52"/>
      <c r="K400" s="52"/>
      <c r="L400" s="69">
        <f>SUM(F400:K400)</f>
        <v>0</v>
      </c>
      <c r="M400" s="69">
        <f>L400/6</f>
        <v>0</v>
      </c>
      <c r="N400" s="52"/>
      <c r="O400" s="52"/>
      <c r="P400" s="52"/>
      <c r="Q400" s="52"/>
      <c r="R400" s="52"/>
      <c r="S400" s="52"/>
      <c r="T400" s="69">
        <f>SUM(N400:S400)</f>
        <v>0</v>
      </c>
      <c r="U400" s="69">
        <f>T400+L400</f>
        <v>0</v>
      </c>
      <c r="V400" s="70"/>
      <c r="W400" s="53">
        <f>V400-U400</f>
        <v>0</v>
      </c>
      <c r="X400" s="113"/>
    </row>
    <row r="401" spans="1:28" s="3" customFormat="1" ht="18" hidden="1" customHeight="1">
      <c r="A401" s="595"/>
      <c r="B401" s="576"/>
      <c r="C401" s="577"/>
      <c r="D401" s="178" t="str">
        <f>серпень!D324</f>
        <v>касові нат.п-ки 2025</v>
      </c>
      <c r="E401" s="11"/>
      <c r="F401" s="11"/>
      <c r="G401" s="11"/>
      <c r="H401" s="11"/>
      <c r="I401" s="11"/>
      <c r="J401" s="11"/>
      <c r="K401" s="11"/>
      <c r="L401" s="65">
        <f>SUM(F401:K401)</f>
        <v>0</v>
      </c>
      <c r="M401" s="65">
        <f>L401/6</f>
        <v>0</v>
      </c>
      <c r="N401" s="11"/>
      <c r="O401" s="11"/>
      <c r="P401" s="11"/>
      <c r="Q401" s="11"/>
      <c r="R401" s="11"/>
      <c r="S401" s="11">
        <f>S396+R396</f>
        <v>0</v>
      </c>
      <c r="T401" s="65">
        <f>SUM(N401:S401)</f>
        <v>0</v>
      </c>
      <c r="U401" s="65">
        <f>T401+L401</f>
        <v>0</v>
      </c>
      <c r="V401" s="11">
        <f>V396</f>
        <v>0</v>
      </c>
      <c r="W401" s="38">
        <f>V401-U401</f>
        <v>0</v>
      </c>
      <c r="X401" s="47">
        <f>U396-U401</f>
        <v>0</v>
      </c>
    </row>
    <row r="402" spans="1:28" s="73" customFormat="1" ht="18" hidden="1" customHeight="1">
      <c r="A402" s="595"/>
      <c r="B402" s="576"/>
      <c r="C402" s="577"/>
      <c r="D402" s="187" t="str">
        <f>серпень!D325</f>
        <v>тариф, грн.</v>
      </c>
      <c r="E402" s="49" t="e">
        <f>E403/E401*1000</f>
        <v>#DIV/0!</v>
      </c>
      <c r="F402" s="49">
        <v>10.56</v>
      </c>
      <c r="G402" s="49">
        <v>10.56</v>
      </c>
      <c r="H402" s="49">
        <v>10.56</v>
      </c>
      <c r="I402" s="49">
        <v>10.56</v>
      </c>
      <c r="J402" s="49">
        <v>10.56</v>
      </c>
      <c r="K402" s="49">
        <v>10.56</v>
      </c>
      <c r="L402" s="49" t="e">
        <f>L403/L401*1000</f>
        <v>#DIV/0!</v>
      </c>
      <c r="M402" s="49" t="e">
        <f>M403/M401*1000</f>
        <v>#DIV/0!</v>
      </c>
      <c r="N402" s="49">
        <v>10.56</v>
      </c>
      <c r="O402" s="49">
        <v>10.56</v>
      </c>
      <c r="P402" s="49">
        <v>10.56</v>
      </c>
      <c r="Q402" s="49">
        <v>10.56</v>
      </c>
      <c r="R402" s="49">
        <v>10.56</v>
      </c>
      <c r="S402" s="49">
        <v>10.56</v>
      </c>
      <c r="T402" s="49" t="e">
        <f>T403/T401*1000</f>
        <v>#DIV/0!</v>
      </c>
      <c r="U402" s="49" t="e">
        <f>U403/U401*1000</f>
        <v>#DIV/0!</v>
      </c>
      <c r="V402" s="68" t="e">
        <f>V403/V401*1000</f>
        <v>#DIV/0!</v>
      </c>
      <c r="W402" s="14" t="e">
        <f>W403/W401*1000</f>
        <v>#DIV/0!</v>
      </c>
      <c r="X402" s="59"/>
      <c r="Y402" s="36"/>
      <c r="Z402" s="36"/>
      <c r="AA402" s="36"/>
      <c r="AB402" s="36"/>
    </row>
    <row r="403" spans="1:28" s="126" customFormat="1" ht="18" hidden="1" customHeight="1">
      <c r="A403" s="595"/>
      <c r="B403" s="576"/>
      <c r="C403" s="577"/>
      <c r="D403" s="198" t="str">
        <f>серпень!D326</f>
        <v>касові видатки, тис.грн.</v>
      </c>
      <c r="E403" s="71"/>
      <c r="F403" s="61">
        <f t="shared" ref="F403:K403" si="397">F401*F402/1000</f>
        <v>0</v>
      </c>
      <c r="G403" s="61">
        <f t="shared" si="397"/>
        <v>0</v>
      </c>
      <c r="H403" s="61">
        <f t="shared" si="397"/>
        <v>0</v>
      </c>
      <c r="I403" s="61">
        <f t="shared" si="397"/>
        <v>0</v>
      </c>
      <c r="J403" s="61">
        <f t="shared" si="397"/>
        <v>0</v>
      </c>
      <c r="K403" s="61">
        <f t="shared" si="397"/>
        <v>0</v>
      </c>
      <c r="L403" s="61">
        <f>SUM(F403:K403)</f>
        <v>0</v>
      </c>
      <c r="M403" s="61">
        <f>L403/6</f>
        <v>0</v>
      </c>
      <c r="N403" s="61">
        <f t="shared" ref="N403:S403" si="398">N401*N402/1000</f>
        <v>0</v>
      </c>
      <c r="O403" s="61">
        <f t="shared" si="398"/>
        <v>0</v>
      </c>
      <c r="P403" s="61">
        <f t="shared" si="398"/>
        <v>0</v>
      </c>
      <c r="Q403" s="61">
        <f t="shared" si="398"/>
        <v>0</v>
      </c>
      <c r="R403" s="61">
        <f t="shared" si="398"/>
        <v>0</v>
      </c>
      <c r="S403" s="61">
        <f t="shared" si="398"/>
        <v>0</v>
      </c>
      <c r="T403" s="61">
        <f>SUM(N403:S403)</f>
        <v>0</v>
      </c>
      <c r="U403" s="61">
        <f>T403+L403</f>
        <v>0</v>
      </c>
      <c r="V403" s="61">
        <f>V398</f>
        <v>0</v>
      </c>
      <c r="W403" s="72">
        <f>V403-U403</f>
        <v>0</v>
      </c>
      <c r="X403" s="63">
        <f>U398-U403</f>
        <v>0</v>
      </c>
    </row>
    <row r="404" spans="1:28" s="126" customFormat="1" ht="18" hidden="1" customHeight="1">
      <c r="A404" s="595"/>
      <c r="B404" s="576"/>
      <c r="C404" s="577"/>
      <c r="D404" s="201" t="str">
        <f>серпень!D327</f>
        <v>дотація</v>
      </c>
      <c r="E404" s="71"/>
      <c r="F404" s="61"/>
      <c r="G404" s="61"/>
      <c r="H404" s="61"/>
      <c r="I404" s="61"/>
      <c r="J404" s="61"/>
      <c r="K404" s="61"/>
      <c r="L404" s="61">
        <f>SUM(F404:K404)</f>
        <v>0</v>
      </c>
      <c r="M404" s="61">
        <f>L404/6</f>
        <v>0</v>
      </c>
      <c r="N404" s="61"/>
      <c r="O404" s="61"/>
      <c r="P404" s="61"/>
      <c r="Q404" s="61"/>
      <c r="R404" s="61"/>
      <c r="S404" s="61"/>
      <c r="T404" s="61">
        <f>SUM(N404:S404)</f>
        <v>0</v>
      </c>
      <c r="U404" s="61">
        <f>T404+L404</f>
        <v>0</v>
      </c>
      <c r="V404" s="61">
        <f>V399</f>
        <v>0</v>
      </c>
      <c r="W404" s="72">
        <f>V404-U404</f>
        <v>0</v>
      </c>
      <c r="X404" s="63">
        <f>U399-U404</f>
        <v>0</v>
      </c>
    </row>
    <row r="405" spans="1:28" s="126" customFormat="1" ht="18" hidden="1" customHeight="1">
      <c r="A405" s="595"/>
      <c r="B405" s="576"/>
      <c r="C405" s="577"/>
      <c r="D405" s="201" t="str">
        <f>серпень!D328</f>
        <v xml:space="preserve">місцевий </v>
      </c>
      <c r="E405" s="71"/>
      <c r="F405" s="61">
        <f t="shared" ref="F405:K405" si="399">F403-F404</f>
        <v>0</v>
      </c>
      <c r="G405" s="61">
        <f t="shared" si="399"/>
        <v>0</v>
      </c>
      <c r="H405" s="61">
        <f t="shared" si="399"/>
        <v>0</v>
      </c>
      <c r="I405" s="61">
        <f t="shared" si="399"/>
        <v>0</v>
      </c>
      <c r="J405" s="61">
        <f t="shared" si="399"/>
        <v>0</v>
      </c>
      <c r="K405" s="61">
        <f t="shared" si="399"/>
        <v>0</v>
      </c>
      <c r="L405" s="61">
        <f>SUM(F405:K405)</f>
        <v>0</v>
      </c>
      <c r="M405" s="61">
        <f>L405/6</f>
        <v>0</v>
      </c>
      <c r="N405" s="61">
        <f t="shared" ref="N405:S405" si="400">N403-N404</f>
        <v>0</v>
      </c>
      <c r="O405" s="61">
        <f t="shared" si="400"/>
        <v>0</v>
      </c>
      <c r="P405" s="61">
        <f t="shared" si="400"/>
        <v>0</v>
      </c>
      <c r="Q405" s="61">
        <f t="shared" si="400"/>
        <v>0</v>
      </c>
      <c r="R405" s="61">
        <f t="shared" si="400"/>
        <v>0</v>
      </c>
      <c r="S405" s="61">
        <f t="shared" si="400"/>
        <v>0</v>
      </c>
      <c r="T405" s="61">
        <f>SUM(N405:S405)</f>
        <v>0</v>
      </c>
      <c r="U405" s="61">
        <f>T405+L405</f>
        <v>0</v>
      </c>
      <c r="V405" s="61">
        <f>V400</f>
        <v>0</v>
      </c>
      <c r="W405" s="72">
        <f>V405-U405</f>
        <v>0</v>
      </c>
      <c r="X405" s="63">
        <f>U400-U405</f>
        <v>0</v>
      </c>
    </row>
    <row r="406" spans="1:28" s="43" customFormat="1" ht="18" hidden="1" customHeight="1">
      <c r="A406" s="595"/>
      <c r="B406" s="576"/>
      <c r="C406" s="577"/>
      <c r="D406" s="202" t="str">
        <f>серпень!D329</f>
        <v>план</v>
      </c>
      <c r="E406" s="42"/>
      <c r="F406" s="42">
        <f t="shared" ref="F406:K406" si="401">F400</f>
        <v>0</v>
      </c>
      <c r="G406" s="42">
        <f t="shared" si="401"/>
        <v>0</v>
      </c>
      <c r="H406" s="42">
        <f t="shared" si="401"/>
        <v>0</v>
      </c>
      <c r="I406" s="42">
        <f t="shared" si="401"/>
        <v>0</v>
      </c>
      <c r="J406" s="42">
        <f t="shared" si="401"/>
        <v>0</v>
      </c>
      <c r="K406" s="42">
        <f t="shared" si="401"/>
        <v>0</v>
      </c>
      <c r="L406" s="42">
        <f>SUM(F406:K406)</f>
        <v>0</v>
      </c>
      <c r="M406" s="42">
        <f>L406/6</f>
        <v>0</v>
      </c>
      <c r="N406" s="42">
        <f t="shared" ref="N406:S406" si="402">N400+N399</f>
        <v>0</v>
      </c>
      <c r="O406" s="42">
        <f t="shared" si="402"/>
        <v>0</v>
      </c>
      <c r="P406" s="42">
        <f t="shared" si="402"/>
        <v>0</v>
      </c>
      <c r="Q406" s="42">
        <f t="shared" si="402"/>
        <v>0</v>
      </c>
      <c r="R406" s="42">
        <f t="shared" si="402"/>
        <v>0</v>
      </c>
      <c r="S406" s="42">
        <f t="shared" si="402"/>
        <v>0</v>
      </c>
      <c r="T406" s="42">
        <f>SUM(N406:S406)</f>
        <v>0</v>
      </c>
      <c r="U406" s="42">
        <f>T406+L406</f>
        <v>0</v>
      </c>
      <c r="V406" s="42">
        <f>V403</f>
        <v>0</v>
      </c>
      <c r="W406" s="42">
        <f>V406-U406</f>
        <v>0</v>
      </c>
    </row>
    <row r="407" spans="1:28" s="43" customFormat="1" ht="18" hidden="1" customHeight="1">
      <c r="A407" s="595"/>
      <c r="B407" s="576"/>
      <c r="C407" s="577"/>
      <c r="D407" s="202" t="str">
        <f>серпень!D330</f>
        <v xml:space="preserve">відхилення </v>
      </c>
      <c r="E407" s="42"/>
      <c r="F407" s="42">
        <f t="shared" ref="F407:K407" si="403">F403-F406</f>
        <v>0</v>
      </c>
      <c r="G407" s="42">
        <f t="shared" si="403"/>
        <v>0</v>
      </c>
      <c r="H407" s="42">
        <f t="shared" si="403"/>
        <v>0</v>
      </c>
      <c r="I407" s="42">
        <f t="shared" si="403"/>
        <v>0</v>
      </c>
      <c r="J407" s="42">
        <f t="shared" si="403"/>
        <v>0</v>
      </c>
      <c r="K407" s="42">
        <f t="shared" si="403"/>
        <v>0</v>
      </c>
      <c r="L407" s="42"/>
      <c r="M407" s="42"/>
      <c r="N407" s="42">
        <f t="shared" ref="N407:S407" si="404">N403-N406</f>
        <v>0</v>
      </c>
      <c r="O407" s="42">
        <f t="shared" si="404"/>
        <v>0</v>
      </c>
      <c r="P407" s="42">
        <f t="shared" si="404"/>
        <v>0</v>
      </c>
      <c r="Q407" s="42">
        <f t="shared" si="404"/>
        <v>0</v>
      </c>
      <c r="R407" s="42">
        <f t="shared" si="404"/>
        <v>0</v>
      </c>
      <c r="S407" s="42">
        <f t="shared" si="404"/>
        <v>0</v>
      </c>
      <c r="T407" s="42"/>
      <c r="U407" s="42"/>
      <c r="V407" s="42"/>
      <c r="W407" s="42"/>
    </row>
    <row r="408" spans="1:28" s="43" customFormat="1" ht="18" hidden="1" customHeight="1">
      <c r="A408" s="596"/>
      <c r="B408" s="578"/>
      <c r="C408" s="579"/>
      <c r="D408" s="202" t="str">
        <f>серпень!D331</f>
        <v>відхилення з наростаючим</v>
      </c>
      <c r="E408" s="42"/>
      <c r="F408" s="42">
        <f>F407</f>
        <v>0</v>
      </c>
      <c r="G408" s="42">
        <f>G407+F408</f>
        <v>0</v>
      </c>
      <c r="H408" s="42">
        <f>H407+G408</f>
        <v>0</v>
      </c>
      <c r="I408" s="42">
        <f>I407+H408</f>
        <v>0</v>
      </c>
      <c r="J408" s="42">
        <f>J407+I408</f>
        <v>0</v>
      </c>
      <c r="K408" s="42">
        <f>K407+J408</f>
        <v>0</v>
      </c>
      <c r="L408" s="42"/>
      <c r="M408" s="42"/>
      <c r="N408" s="42">
        <f>N407+K408</f>
        <v>0</v>
      </c>
      <c r="O408" s="42">
        <f>O407+N408</f>
        <v>0</v>
      </c>
      <c r="P408" s="42">
        <f>P407+O408</f>
        <v>0</v>
      </c>
      <c r="Q408" s="42">
        <f>Q407+P408</f>
        <v>0</v>
      </c>
      <c r="R408" s="42">
        <f>R407+Q408</f>
        <v>0</v>
      </c>
      <c r="S408" s="42">
        <f>S407+R408</f>
        <v>0</v>
      </c>
      <c r="T408" s="42"/>
      <c r="U408" s="42"/>
      <c r="V408" s="42"/>
      <c r="W408" s="42"/>
    </row>
    <row r="409" spans="1:28" s="157" customFormat="1" ht="18" customHeight="1">
      <c r="A409" s="582" t="s">
        <v>39</v>
      </c>
      <c r="B409" s="655" t="s">
        <v>40</v>
      </c>
      <c r="C409" s="656"/>
      <c r="D409" s="178" t="str">
        <f>серпень!D332</f>
        <v>факт. нат.п-ки 2023</v>
      </c>
      <c r="E409" s="179"/>
      <c r="F409" s="180">
        <f t="shared" ref="F409:K411" si="405">F426+F441+F456</f>
        <v>538.9</v>
      </c>
      <c r="G409" s="180">
        <f t="shared" si="405"/>
        <v>302.5</v>
      </c>
      <c r="H409" s="180">
        <f t="shared" si="405"/>
        <v>383.6</v>
      </c>
      <c r="I409" s="180">
        <f t="shared" si="405"/>
        <v>476.9</v>
      </c>
      <c r="J409" s="180">
        <f t="shared" si="405"/>
        <v>504.9</v>
      </c>
      <c r="K409" s="180">
        <f t="shared" si="405"/>
        <v>494.2</v>
      </c>
      <c r="L409" s="215">
        <f>SUM(F409:K409)</f>
        <v>2701</v>
      </c>
      <c r="M409" s="215">
        <f>L409/6</f>
        <v>450.2</v>
      </c>
      <c r="N409" s="180">
        <f t="shared" ref="N409:S411" si="406">N426+N441+N456</f>
        <v>428.4</v>
      </c>
      <c r="O409" s="180">
        <f t="shared" si="406"/>
        <v>383.2</v>
      </c>
      <c r="P409" s="180">
        <f t="shared" si="406"/>
        <v>535.79999999999995</v>
      </c>
      <c r="Q409" s="180">
        <f t="shared" si="406"/>
        <v>529.1</v>
      </c>
      <c r="R409" s="180">
        <f t="shared" si="406"/>
        <v>488.3</v>
      </c>
      <c r="S409" s="180">
        <f t="shared" si="406"/>
        <v>545.6</v>
      </c>
      <c r="T409" s="215">
        <f>SUM(N409:S409)</f>
        <v>2910.4</v>
      </c>
      <c r="U409" s="215">
        <f>T409+L409</f>
        <v>5611.4</v>
      </c>
      <c r="V409" s="233">
        <f>V426+V456</f>
        <v>0</v>
      </c>
      <c r="W409" s="184"/>
      <c r="X409" s="209"/>
    </row>
    <row r="410" spans="1:28" s="157" customFormat="1" ht="18" customHeight="1">
      <c r="A410" s="583"/>
      <c r="B410" s="657"/>
      <c r="C410" s="658"/>
      <c r="D410" s="178" t="str">
        <f>серпень!D333</f>
        <v>факт. нат.п-ки 2024</v>
      </c>
      <c r="E410" s="179"/>
      <c r="F410" s="180">
        <f t="shared" si="405"/>
        <v>452.7</v>
      </c>
      <c r="G410" s="180">
        <f t="shared" si="405"/>
        <v>527.70000000000005</v>
      </c>
      <c r="H410" s="180">
        <f t="shared" si="405"/>
        <v>319.5</v>
      </c>
      <c r="I410" s="180">
        <f t="shared" si="405"/>
        <v>404.3</v>
      </c>
      <c r="J410" s="180">
        <f t="shared" si="405"/>
        <v>347.2</v>
      </c>
      <c r="K410" s="180">
        <f t="shared" si="405"/>
        <v>410.3</v>
      </c>
      <c r="L410" s="215">
        <f>SUM(F410:K410)</f>
        <v>2461.6999999999998</v>
      </c>
      <c r="M410" s="215">
        <f>L410/6</f>
        <v>410.3</v>
      </c>
      <c r="N410" s="180">
        <f t="shared" si="406"/>
        <v>311.89999999999998</v>
      </c>
      <c r="O410" s="180">
        <f t="shared" si="406"/>
        <v>363.2</v>
      </c>
      <c r="P410" s="180">
        <f t="shared" si="406"/>
        <v>648.5</v>
      </c>
      <c r="Q410" s="180">
        <f t="shared" si="406"/>
        <v>576.79999999999995</v>
      </c>
      <c r="R410" s="180">
        <f t="shared" si="406"/>
        <v>588.29999999999995</v>
      </c>
      <c r="S410" s="180">
        <f t="shared" si="406"/>
        <v>645.6</v>
      </c>
      <c r="T410" s="215">
        <f>SUM(N410:S410)</f>
        <v>3134.3</v>
      </c>
      <c r="U410" s="215">
        <f>T410+L410</f>
        <v>5596</v>
      </c>
      <c r="V410" s="233">
        <f>V427+V457</f>
        <v>5858.4</v>
      </c>
      <c r="W410" s="184"/>
      <c r="X410" s="209"/>
    </row>
    <row r="411" spans="1:28" s="157" customFormat="1" ht="18" customHeight="1">
      <c r="A411" s="583"/>
      <c r="B411" s="657"/>
      <c r="C411" s="658"/>
      <c r="D411" s="178" t="str">
        <f>серпень!D334</f>
        <v>факт. нат.п-ки 2025</v>
      </c>
      <c r="E411" s="179"/>
      <c r="F411" s="180">
        <f>F428+F443+F458</f>
        <v>417.5</v>
      </c>
      <c r="G411" s="180">
        <f t="shared" si="405"/>
        <v>507.2</v>
      </c>
      <c r="H411" s="180">
        <f t="shared" si="405"/>
        <v>458.9</v>
      </c>
      <c r="I411" s="180">
        <f t="shared" si="405"/>
        <v>496.2</v>
      </c>
      <c r="J411" s="180">
        <f t="shared" si="405"/>
        <v>505.5</v>
      </c>
      <c r="K411" s="180">
        <f t="shared" si="405"/>
        <v>526.1</v>
      </c>
      <c r="L411" s="234">
        <f>SUM(F411:K411)</f>
        <v>2911.4</v>
      </c>
      <c r="M411" s="215">
        <f>L411/6</f>
        <v>485.2</v>
      </c>
      <c r="N411" s="180">
        <f t="shared" si="406"/>
        <v>249</v>
      </c>
      <c r="O411" s="180">
        <f t="shared" si="406"/>
        <v>220.3</v>
      </c>
      <c r="P411" s="180">
        <f t="shared" si="406"/>
        <v>648.5</v>
      </c>
      <c r="Q411" s="180">
        <f t="shared" si="406"/>
        <v>576.79999999999995</v>
      </c>
      <c r="R411" s="180">
        <f t="shared" si="406"/>
        <v>588.29999999999995</v>
      </c>
      <c r="S411" s="180">
        <f t="shared" si="406"/>
        <v>645.6</v>
      </c>
      <c r="T411" s="215">
        <f>SUM(N411:S411)</f>
        <v>2928.5</v>
      </c>
      <c r="U411" s="215">
        <f>T411+L411</f>
        <v>5839.9</v>
      </c>
      <c r="V411" s="233">
        <f>V428+V443+V458</f>
        <v>5615.3</v>
      </c>
      <c r="W411" s="184">
        <f>V411-U411</f>
        <v>-224.6</v>
      </c>
      <c r="X411" s="209"/>
    </row>
    <row r="412" spans="1:28" s="241" customFormat="1" ht="18" customHeight="1">
      <c r="A412" s="583"/>
      <c r="B412" s="657"/>
      <c r="C412" s="658"/>
      <c r="D412" s="187" t="str">
        <f>серпень!D335</f>
        <v>тариф, грн.</v>
      </c>
      <c r="E412" s="188"/>
      <c r="F412" s="188">
        <f t="shared" ref="F412:S412" si="407">F413/F411*1000</f>
        <v>14.183999999999999</v>
      </c>
      <c r="G412" s="188">
        <f t="shared" si="407"/>
        <v>14.186</v>
      </c>
      <c r="H412" s="188">
        <f t="shared" si="407"/>
        <v>14.183999999999999</v>
      </c>
      <c r="I412" s="188">
        <f t="shared" si="407"/>
        <v>14.186</v>
      </c>
      <c r="J412" s="188">
        <f t="shared" si="407"/>
        <v>14.186</v>
      </c>
      <c r="K412" s="188">
        <f t="shared" si="407"/>
        <v>14.183999999999999</v>
      </c>
      <c r="L412" s="188">
        <f t="shared" si="407"/>
        <v>14.185</v>
      </c>
      <c r="M412" s="188">
        <f t="shared" si="407"/>
        <v>14.186</v>
      </c>
      <c r="N412" s="188">
        <f t="shared" si="407"/>
        <v>14.185</v>
      </c>
      <c r="O412" s="188">
        <f t="shared" si="407"/>
        <v>14.185</v>
      </c>
      <c r="P412" s="188">
        <f t="shared" si="407"/>
        <v>14.183999999999999</v>
      </c>
      <c r="Q412" s="188">
        <f t="shared" si="407"/>
        <v>14.183</v>
      </c>
      <c r="R412" s="188">
        <f t="shared" si="407"/>
        <v>14.183</v>
      </c>
      <c r="S412" s="188">
        <f t="shared" si="407"/>
        <v>14.182</v>
      </c>
      <c r="T412" s="188">
        <f>T413/T411*1000</f>
        <v>14.183</v>
      </c>
      <c r="U412" s="188">
        <f>U413/U411*1000</f>
        <v>14.183999999999999</v>
      </c>
      <c r="V412" s="188">
        <f>V413/V411*1000</f>
        <v>14.183999999999999</v>
      </c>
      <c r="W412" s="189">
        <f>W413/W411*1000</f>
        <v>14.19</v>
      </c>
      <c r="X412" s="240"/>
    </row>
    <row r="413" spans="1:28" s="172" customFormat="1" ht="18" customHeight="1">
      <c r="A413" s="583"/>
      <c r="B413" s="657"/>
      <c r="C413" s="658"/>
      <c r="D413" s="191" t="str">
        <f>серпень!D336</f>
        <v>сума, тис.грн.</v>
      </c>
      <c r="E413" s="192"/>
      <c r="F413" s="192">
        <f t="shared" ref="F413:K413" si="408">F430+F445+F460</f>
        <v>5.9219999999999997</v>
      </c>
      <c r="G413" s="192">
        <f t="shared" si="408"/>
        <v>7.1950000000000003</v>
      </c>
      <c r="H413" s="192">
        <f t="shared" si="408"/>
        <v>6.5090000000000003</v>
      </c>
      <c r="I413" s="192">
        <f t="shared" si="408"/>
        <v>7.0389999999999997</v>
      </c>
      <c r="J413" s="192">
        <f t="shared" si="408"/>
        <v>7.1710000000000003</v>
      </c>
      <c r="K413" s="192">
        <f t="shared" si="408"/>
        <v>7.4619999999999997</v>
      </c>
      <c r="L413" s="194">
        <f t="shared" ref="L413:L418" si="409">SUM(F413:K413)</f>
        <v>41.298000000000002</v>
      </c>
      <c r="M413" s="194">
        <f t="shared" ref="M413:M418" si="410">L413/6</f>
        <v>6.883</v>
      </c>
      <c r="N413" s="192">
        <f t="shared" ref="N413:S413" si="411">N430+N445+N460</f>
        <v>3.532</v>
      </c>
      <c r="O413" s="192">
        <f t="shared" si="411"/>
        <v>3.125</v>
      </c>
      <c r="P413" s="192">
        <f t="shared" si="411"/>
        <v>9.1980000000000004</v>
      </c>
      <c r="Q413" s="192">
        <f t="shared" si="411"/>
        <v>8.1809999999999992</v>
      </c>
      <c r="R413" s="192">
        <f t="shared" si="411"/>
        <v>8.3439999999999994</v>
      </c>
      <c r="S413" s="192">
        <f t="shared" si="411"/>
        <v>9.1560000000000006</v>
      </c>
      <c r="T413" s="194">
        <f t="shared" ref="T413:T418" si="412">SUM(N413:S413)</f>
        <v>41.536000000000001</v>
      </c>
      <c r="U413" s="194">
        <f t="shared" ref="U413:U418" si="413">T413+L413</f>
        <v>82.834000000000003</v>
      </c>
      <c r="V413" s="192">
        <f t="shared" ref="V413" si="414">V430+V445+V460</f>
        <v>79.647000000000006</v>
      </c>
      <c r="W413" s="192">
        <f>V413-U413</f>
        <v>-3.1869999999999998</v>
      </c>
    </row>
    <row r="414" spans="1:28" s="172" customFormat="1" ht="18" customHeight="1">
      <c r="A414" s="583"/>
      <c r="B414" s="657"/>
      <c r="C414" s="658"/>
      <c r="D414" s="174" t="str">
        <f>серпень!D337</f>
        <v>абоненська плата, тис.грн.</v>
      </c>
      <c r="E414" s="192"/>
      <c r="F414" s="192">
        <f>F445</f>
        <v>0</v>
      </c>
      <c r="G414" s="192">
        <f t="shared" ref="G414:K414" si="415">G445</f>
        <v>0</v>
      </c>
      <c r="H414" s="192">
        <f t="shared" si="415"/>
        <v>0</v>
      </c>
      <c r="I414" s="192">
        <f t="shared" si="415"/>
        <v>0</v>
      </c>
      <c r="J414" s="192">
        <f t="shared" si="415"/>
        <v>0</v>
      </c>
      <c r="K414" s="192">
        <f t="shared" si="415"/>
        <v>0</v>
      </c>
      <c r="L414" s="194">
        <f t="shared" si="409"/>
        <v>0</v>
      </c>
      <c r="M414" s="194">
        <f t="shared" si="410"/>
        <v>0</v>
      </c>
      <c r="N414" s="192">
        <f>N445</f>
        <v>0</v>
      </c>
      <c r="O414" s="192">
        <f t="shared" ref="O414:S414" si="416">O445</f>
        <v>0</v>
      </c>
      <c r="P414" s="192">
        <f t="shared" si="416"/>
        <v>0</v>
      </c>
      <c r="Q414" s="192">
        <f t="shared" si="416"/>
        <v>0</v>
      </c>
      <c r="R414" s="192">
        <f t="shared" si="416"/>
        <v>0</v>
      </c>
      <c r="S414" s="192">
        <f t="shared" si="416"/>
        <v>0</v>
      </c>
      <c r="T414" s="194">
        <f t="shared" si="412"/>
        <v>0</v>
      </c>
      <c r="U414" s="194">
        <f t="shared" si="413"/>
        <v>0</v>
      </c>
      <c r="V414" s="192">
        <f t="shared" ref="V414" si="417">V445</f>
        <v>0</v>
      </c>
      <c r="W414" s="192">
        <f t="shared" ref="W414:W415" si="418">V414-U414</f>
        <v>0</v>
      </c>
    </row>
    <row r="415" spans="1:28" s="172" customFormat="1" ht="18" customHeight="1">
      <c r="A415" s="583"/>
      <c r="B415" s="657"/>
      <c r="C415" s="658"/>
      <c r="D415" s="174" t="str">
        <f>серпень!D338</f>
        <v>разом сума тис. грн+абонплата</v>
      </c>
      <c r="E415" s="192"/>
      <c r="F415" s="192">
        <f>F413+F414</f>
        <v>5.9219999999999997</v>
      </c>
      <c r="G415" s="192">
        <f t="shared" ref="G415:K415" si="419">G413+G414</f>
        <v>7.1950000000000003</v>
      </c>
      <c r="H415" s="192">
        <f t="shared" si="419"/>
        <v>6.5090000000000003</v>
      </c>
      <c r="I415" s="192">
        <f t="shared" si="419"/>
        <v>7.0389999999999997</v>
      </c>
      <c r="J415" s="192">
        <f t="shared" si="419"/>
        <v>7.1710000000000003</v>
      </c>
      <c r="K415" s="192">
        <f t="shared" si="419"/>
        <v>7.4619999999999997</v>
      </c>
      <c r="L415" s="194">
        <f t="shared" si="409"/>
        <v>41.298000000000002</v>
      </c>
      <c r="M415" s="194">
        <f t="shared" si="410"/>
        <v>6.883</v>
      </c>
      <c r="N415" s="192">
        <f>N413+N414</f>
        <v>3.532</v>
      </c>
      <c r="O415" s="192">
        <f t="shared" ref="O415:S415" si="420">O413+O414</f>
        <v>3.125</v>
      </c>
      <c r="P415" s="192">
        <f t="shared" si="420"/>
        <v>9.1980000000000004</v>
      </c>
      <c r="Q415" s="192">
        <f t="shared" si="420"/>
        <v>8.1809999999999992</v>
      </c>
      <c r="R415" s="192">
        <f t="shared" si="420"/>
        <v>8.3439999999999994</v>
      </c>
      <c r="S415" s="192">
        <f t="shared" si="420"/>
        <v>9.1560000000000006</v>
      </c>
      <c r="T415" s="194">
        <f t="shared" si="412"/>
        <v>41.536000000000001</v>
      </c>
      <c r="U415" s="194">
        <f t="shared" si="413"/>
        <v>82.834000000000003</v>
      </c>
      <c r="V415" s="192">
        <f t="shared" ref="V415" si="421">V413+V414</f>
        <v>79.647000000000006</v>
      </c>
      <c r="W415" s="192">
        <f t="shared" si="418"/>
        <v>-3.1869999999999998</v>
      </c>
    </row>
    <row r="416" spans="1:28" s="172" customFormat="1" ht="18" customHeight="1">
      <c r="A416" s="583"/>
      <c r="B416" s="657"/>
      <c r="C416" s="658"/>
      <c r="D416" s="174" t="str">
        <f>серпень!D339</f>
        <v>дотація</v>
      </c>
      <c r="E416" s="192"/>
      <c r="F416" s="192">
        <f t="shared" ref="F416:K418" si="422">F431+F446+F461</f>
        <v>0</v>
      </c>
      <c r="G416" s="192">
        <f t="shared" si="422"/>
        <v>0</v>
      </c>
      <c r="H416" s="192">
        <f t="shared" si="422"/>
        <v>0</v>
      </c>
      <c r="I416" s="192">
        <f t="shared" si="422"/>
        <v>0</v>
      </c>
      <c r="J416" s="192">
        <f t="shared" si="422"/>
        <v>0</v>
      </c>
      <c r="K416" s="192">
        <f t="shared" si="422"/>
        <v>0</v>
      </c>
      <c r="L416" s="194">
        <f t="shared" si="409"/>
        <v>0</v>
      </c>
      <c r="M416" s="194">
        <f t="shared" si="410"/>
        <v>0</v>
      </c>
      <c r="N416" s="192">
        <f t="shared" ref="N416:S418" si="423">N431+N446+N461</f>
        <v>0</v>
      </c>
      <c r="O416" s="192">
        <f t="shared" si="423"/>
        <v>0</v>
      </c>
      <c r="P416" s="192">
        <f t="shared" si="423"/>
        <v>0</v>
      </c>
      <c r="Q416" s="192">
        <f t="shared" si="423"/>
        <v>0</v>
      </c>
      <c r="R416" s="192">
        <f t="shared" si="423"/>
        <v>0</v>
      </c>
      <c r="S416" s="192">
        <f t="shared" si="423"/>
        <v>0</v>
      </c>
      <c r="T416" s="194">
        <f t="shared" si="412"/>
        <v>0</v>
      </c>
      <c r="U416" s="194">
        <f t="shared" si="413"/>
        <v>0</v>
      </c>
      <c r="V416" s="192">
        <f t="shared" ref="V416:V417" si="424">V431+V446+V461</f>
        <v>0</v>
      </c>
      <c r="W416" s="192">
        <f>V416-U416</f>
        <v>0</v>
      </c>
    </row>
    <row r="417" spans="1:28" s="172" customFormat="1" ht="18" customHeight="1">
      <c r="A417" s="583"/>
      <c r="B417" s="657"/>
      <c r="C417" s="658"/>
      <c r="D417" s="174" t="str">
        <f>серпень!D340</f>
        <v>місцевий (план), тис.грн</v>
      </c>
      <c r="E417" s="192"/>
      <c r="F417" s="192">
        <f t="shared" si="422"/>
        <v>6.4210000000000003</v>
      </c>
      <c r="G417" s="192">
        <f t="shared" si="422"/>
        <v>0</v>
      </c>
      <c r="H417" s="192">
        <f t="shared" si="422"/>
        <v>4.532</v>
      </c>
      <c r="I417" s="192">
        <f t="shared" si="422"/>
        <v>6.7880000000000003</v>
      </c>
      <c r="J417" s="192">
        <f t="shared" si="422"/>
        <v>8.4250000000000007</v>
      </c>
      <c r="K417" s="192">
        <f t="shared" si="422"/>
        <v>8.7520000000000007</v>
      </c>
      <c r="L417" s="194">
        <f t="shared" si="409"/>
        <v>34.917999999999999</v>
      </c>
      <c r="M417" s="194">
        <f t="shared" si="410"/>
        <v>5.82</v>
      </c>
      <c r="N417" s="192">
        <f t="shared" si="423"/>
        <v>4.6980000000000004</v>
      </c>
      <c r="O417" s="192">
        <f t="shared" si="423"/>
        <v>5.1520000000000001</v>
      </c>
      <c r="P417" s="192">
        <f t="shared" si="423"/>
        <v>9.1980000000000004</v>
      </c>
      <c r="Q417" s="192">
        <f t="shared" si="423"/>
        <v>8.1809999999999992</v>
      </c>
      <c r="R417" s="192">
        <f t="shared" si="423"/>
        <v>8.3439999999999994</v>
      </c>
      <c r="S417" s="192">
        <f t="shared" si="423"/>
        <v>9.1560000000000006</v>
      </c>
      <c r="T417" s="194">
        <f t="shared" si="412"/>
        <v>44.728999999999999</v>
      </c>
      <c r="U417" s="194">
        <f t="shared" si="413"/>
        <v>79.647000000000006</v>
      </c>
      <c r="V417" s="192">
        <f t="shared" si="424"/>
        <v>79.647000000000006</v>
      </c>
      <c r="W417" s="192">
        <f>V417-U417</f>
        <v>0</v>
      </c>
    </row>
    <row r="418" spans="1:28" s="157" customFormat="1" ht="18" customHeight="1">
      <c r="A418" s="583"/>
      <c r="B418" s="657"/>
      <c r="C418" s="658"/>
      <c r="D418" s="178" t="str">
        <f>серпень!D341</f>
        <v>касові нат.п-ки 2025</v>
      </c>
      <c r="E418" s="179">
        <f>E433</f>
        <v>0</v>
      </c>
      <c r="F418" s="179">
        <f t="shared" si="422"/>
        <v>0</v>
      </c>
      <c r="G418" s="179">
        <f t="shared" si="422"/>
        <v>417.5</v>
      </c>
      <c r="H418" s="179">
        <f t="shared" si="422"/>
        <v>507.2</v>
      </c>
      <c r="I418" s="179">
        <f t="shared" si="422"/>
        <v>458.9</v>
      </c>
      <c r="J418" s="179">
        <f t="shared" si="422"/>
        <v>496.2</v>
      </c>
      <c r="K418" s="179">
        <f t="shared" si="422"/>
        <v>505.5</v>
      </c>
      <c r="L418" s="215">
        <f t="shared" si="409"/>
        <v>2385.3000000000002</v>
      </c>
      <c r="M418" s="215">
        <f t="shared" si="410"/>
        <v>397.6</v>
      </c>
      <c r="N418" s="179">
        <f t="shared" si="423"/>
        <v>526.1</v>
      </c>
      <c r="O418" s="179">
        <f t="shared" si="423"/>
        <v>249</v>
      </c>
      <c r="P418" s="179">
        <f t="shared" si="423"/>
        <v>868.8</v>
      </c>
      <c r="Q418" s="179">
        <f t="shared" si="423"/>
        <v>576.79999999999995</v>
      </c>
      <c r="R418" s="179">
        <f t="shared" si="423"/>
        <v>588.29999999999995</v>
      </c>
      <c r="S418" s="179">
        <f t="shared" si="423"/>
        <v>645.6</v>
      </c>
      <c r="T418" s="215">
        <f t="shared" si="412"/>
        <v>3454.6</v>
      </c>
      <c r="U418" s="215">
        <f t="shared" si="413"/>
        <v>5839.9</v>
      </c>
      <c r="V418" s="179">
        <f>V433+V463</f>
        <v>5615.3</v>
      </c>
      <c r="W418" s="184">
        <f>V418-U418</f>
        <v>-224.6</v>
      </c>
      <c r="X418" s="209">
        <f>U411-U418</f>
        <v>0</v>
      </c>
    </row>
    <row r="419" spans="1:28" s="241" customFormat="1" ht="18" customHeight="1">
      <c r="A419" s="583"/>
      <c r="B419" s="657"/>
      <c r="C419" s="658"/>
      <c r="D419" s="187" t="str">
        <f>серпень!D342</f>
        <v>тариф, грн.</v>
      </c>
      <c r="E419" s="188" t="e">
        <f t="shared" ref="E419:S419" si="425">E420/E418*1000</f>
        <v>#DIV/0!</v>
      </c>
      <c r="F419" s="188" t="e">
        <f t="shared" si="425"/>
        <v>#DIV/0!</v>
      </c>
      <c r="G419" s="188">
        <f t="shared" si="425"/>
        <v>14.183999999999999</v>
      </c>
      <c r="H419" s="188">
        <f t="shared" si="425"/>
        <v>14.186</v>
      </c>
      <c r="I419" s="188">
        <f t="shared" si="425"/>
        <v>14.183999999999999</v>
      </c>
      <c r="J419" s="188">
        <f t="shared" si="425"/>
        <v>14.186</v>
      </c>
      <c r="K419" s="188">
        <f t="shared" si="425"/>
        <v>14.186</v>
      </c>
      <c r="L419" s="188">
        <f t="shared" si="425"/>
        <v>14.185</v>
      </c>
      <c r="M419" s="188">
        <f t="shared" si="425"/>
        <v>14.183</v>
      </c>
      <c r="N419" s="188">
        <f t="shared" si="425"/>
        <v>14.183999999999999</v>
      </c>
      <c r="O419" s="188">
        <f t="shared" si="425"/>
        <v>14.185</v>
      </c>
      <c r="P419" s="188">
        <f t="shared" si="425"/>
        <v>14.183</v>
      </c>
      <c r="Q419" s="188">
        <f t="shared" si="425"/>
        <v>14.183</v>
      </c>
      <c r="R419" s="188">
        <f t="shared" si="425"/>
        <v>14.183</v>
      </c>
      <c r="S419" s="188">
        <f t="shared" si="425"/>
        <v>14.183999999999999</v>
      </c>
      <c r="T419" s="188">
        <f>T420/T418*1000</f>
        <v>14.183</v>
      </c>
      <c r="U419" s="188">
        <f>U420/U418*1000</f>
        <v>14.183999999999999</v>
      </c>
      <c r="V419" s="188">
        <f>V420/V418*1000</f>
        <v>14.183999999999999</v>
      </c>
      <c r="W419" s="189">
        <f>W420/W418*1000</f>
        <v>14.19</v>
      </c>
      <c r="X419" s="240"/>
    </row>
    <row r="420" spans="1:28" s="213" customFormat="1" ht="18" customHeight="1">
      <c r="A420" s="583"/>
      <c r="B420" s="657"/>
      <c r="C420" s="658"/>
      <c r="D420" s="198" t="str">
        <f>серпень!D343</f>
        <v>касові видатки, тис.грн.</v>
      </c>
      <c r="E420" s="220">
        <f>E435+E465</f>
        <v>0</v>
      </c>
      <c r="F420" s="199">
        <f t="shared" ref="F420:K422" si="426">F435+F450+F465</f>
        <v>0</v>
      </c>
      <c r="G420" s="199">
        <f t="shared" si="426"/>
        <v>5.9219999999999997</v>
      </c>
      <c r="H420" s="199">
        <f t="shared" si="426"/>
        <v>7.1950000000000003</v>
      </c>
      <c r="I420" s="199">
        <f t="shared" si="426"/>
        <v>6.5090000000000003</v>
      </c>
      <c r="J420" s="199">
        <f t="shared" si="426"/>
        <v>7.0389999999999997</v>
      </c>
      <c r="K420" s="199">
        <f t="shared" si="426"/>
        <v>7.1710000000000003</v>
      </c>
      <c r="L420" s="199">
        <f>SUM(F420:K420)</f>
        <v>33.835999999999999</v>
      </c>
      <c r="M420" s="199">
        <f>L420/6</f>
        <v>5.6390000000000002</v>
      </c>
      <c r="N420" s="199">
        <f t="shared" ref="N420:S422" si="427">N435+N450+N465</f>
        <v>7.4619999999999997</v>
      </c>
      <c r="O420" s="199">
        <f t="shared" si="427"/>
        <v>3.532</v>
      </c>
      <c r="P420" s="199">
        <f t="shared" si="427"/>
        <v>12.321999999999999</v>
      </c>
      <c r="Q420" s="199">
        <f t="shared" si="427"/>
        <v>8.1809999999999992</v>
      </c>
      <c r="R420" s="199">
        <f t="shared" si="427"/>
        <v>8.3439999999999994</v>
      </c>
      <c r="S420" s="199">
        <f t="shared" si="427"/>
        <v>9.157</v>
      </c>
      <c r="T420" s="199">
        <f>SUM(N420:S420)</f>
        <v>48.997999999999998</v>
      </c>
      <c r="U420" s="199">
        <f>T420+L420</f>
        <v>82.834000000000003</v>
      </c>
      <c r="V420" s="199">
        <f>V435+V465</f>
        <v>79.647000000000006</v>
      </c>
      <c r="W420" s="221">
        <f>V420-U420</f>
        <v>-3.1869999999999998</v>
      </c>
      <c r="X420" s="213">
        <f>U413-U420</f>
        <v>0</v>
      </c>
    </row>
    <row r="421" spans="1:28" s="213" customFormat="1" ht="18" customHeight="1">
      <c r="A421" s="583"/>
      <c r="B421" s="657"/>
      <c r="C421" s="658"/>
      <c r="D421" s="201" t="str">
        <f>серпень!D344</f>
        <v>дотація</v>
      </c>
      <c r="E421" s="220"/>
      <c r="F421" s="199">
        <f t="shared" si="426"/>
        <v>0</v>
      </c>
      <c r="G421" s="199">
        <f t="shared" si="426"/>
        <v>0</v>
      </c>
      <c r="H421" s="199">
        <f t="shared" si="426"/>
        <v>0</v>
      </c>
      <c r="I421" s="199">
        <f t="shared" si="426"/>
        <v>0</v>
      </c>
      <c r="J421" s="199">
        <f t="shared" si="426"/>
        <v>0</v>
      </c>
      <c r="K421" s="199">
        <f t="shared" si="426"/>
        <v>0</v>
      </c>
      <c r="L421" s="199">
        <f>SUM(F421:K421)</f>
        <v>0</v>
      </c>
      <c r="M421" s="199">
        <f>L421/6</f>
        <v>0</v>
      </c>
      <c r="N421" s="199">
        <f t="shared" si="427"/>
        <v>0</v>
      </c>
      <c r="O421" s="199">
        <f t="shared" si="427"/>
        <v>0</v>
      </c>
      <c r="P421" s="199">
        <f t="shared" si="427"/>
        <v>0</v>
      </c>
      <c r="Q421" s="199">
        <f t="shared" si="427"/>
        <v>0</v>
      </c>
      <c r="R421" s="199">
        <f t="shared" si="427"/>
        <v>0</v>
      </c>
      <c r="S421" s="199">
        <f t="shared" si="427"/>
        <v>0</v>
      </c>
      <c r="T421" s="199">
        <f>SUM(N421:S421)</f>
        <v>0</v>
      </c>
      <c r="U421" s="199">
        <f>T421+L421</f>
        <v>0</v>
      </c>
      <c r="V421" s="199">
        <f>V436+V466</f>
        <v>0</v>
      </c>
      <c r="W421" s="221">
        <f>V421-U421</f>
        <v>0</v>
      </c>
      <c r="X421" s="213">
        <f>U416-U421</f>
        <v>0</v>
      </c>
    </row>
    <row r="422" spans="1:28" s="213" customFormat="1" ht="18" customHeight="1">
      <c r="A422" s="583"/>
      <c r="B422" s="657"/>
      <c r="C422" s="658"/>
      <c r="D422" s="201" t="str">
        <f>серпень!D345</f>
        <v xml:space="preserve">місцевий </v>
      </c>
      <c r="E422" s="220"/>
      <c r="F422" s="199">
        <f t="shared" si="426"/>
        <v>0</v>
      </c>
      <c r="G422" s="199">
        <f t="shared" si="426"/>
        <v>5.9219999999999997</v>
      </c>
      <c r="H422" s="199">
        <f t="shared" si="426"/>
        <v>7.1950000000000003</v>
      </c>
      <c r="I422" s="199">
        <f t="shared" si="426"/>
        <v>6.5090000000000003</v>
      </c>
      <c r="J422" s="199">
        <f t="shared" si="426"/>
        <v>7.0389999999999997</v>
      </c>
      <c r="K422" s="199">
        <f t="shared" si="426"/>
        <v>7.1710000000000003</v>
      </c>
      <c r="L422" s="199">
        <f>SUM(F422:K422)</f>
        <v>33.835999999999999</v>
      </c>
      <c r="M422" s="199">
        <f>L422/6</f>
        <v>5.6390000000000002</v>
      </c>
      <c r="N422" s="199">
        <f t="shared" si="427"/>
        <v>7.4619999999999997</v>
      </c>
      <c r="O422" s="199">
        <f t="shared" si="427"/>
        <v>3.532</v>
      </c>
      <c r="P422" s="199">
        <f t="shared" si="427"/>
        <v>12.321999999999999</v>
      </c>
      <c r="Q422" s="199">
        <f t="shared" si="427"/>
        <v>8.1809999999999992</v>
      </c>
      <c r="R422" s="199">
        <f t="shared" si="427"/>
        <v>8.3439999999999994</v>
      </c>
      <c r="S422" s="199">
        <f t="shared" si="427"/>
        <v>9.157</v>
      </c>
      <c r="T422" s="199">
        <f>SUM(N422:S422)</f>
        <v>48.997999999999998</v>
      </c>
      <c r="U422" s="199">
        <f>T422+L422</f>
        <v>82.834000000000003</v>
      </c>
      <c r="V422" s="199">
        <f>V437+V467</f>
        <v>79.647000000000006</v>
      </c>
      <c r="W422" s="221">
        <f>V422-U422</f>
        <v>-3.1869999999999998</v>
      </c>
      <c r="X422" s="213">
        <f>U417-U422</f>
        <v>-3.1869999999999998</v>
      </c>
    </row>
    <row r="423" spans="1:28" s="214" customFormat="1" ht="18" customHeight="1">
      <c r="A423" s="583"/>
      <c r="B423" s="657"/>
      <c r="C423" s="658"/>
      <c r="D423" s="202" t="str">
        <f>серпень!D346</f>
        <v>план</v>
      </c>
      <c r="E423" s="203"/>
      <c r="F423" s="203">
        <f t="shared" ref="F423:K423" si="428">F417</f>
        <v>6.4210000000000003</v>
      </c>
      <c r="G423" s="203">
        <f t="shared" si="428"/>
        <v>0</v>
      </c>
      <c r="H423" s="203">
        <f t="shared" si="428"/>
        <v>4.532</v>
      </c>
      <c r="I423" s="203">
        <f t="shared" si="428"/>
        <v>6.7880000000000003</v>
      </c>
      <c r="J423" s="203">
        <f t="shared" si="428"/>
        <v>8.4250000000000007</v>
      </c>
      <c r="K423" s="203">
        <f t="shared" si="428"/>
        <v>8.7520000000000007</v>
      </c>
      <c r="L423" s="203">
        <f>SUM(F423:K423)</f>
        <v>34.917999999999999</v>
      </c>
      <c r="M423" s="203">
        <f>L423/6</f>
        <v>5.82</v>
      </c>
      <c r="N423" s="203">
        <f t="shared" ref="N423:S423" si="429">N438+N468</f>
        <v>4.6980000000000004</v>
      </c>
      <c r="O423" s="203">
        <f t="shared" si="429"/>
        <v>5.1520000000000001</v>
      </c>
      <c r="P423" s="203">
        <f t="shared" si="429"/>
        <v>9.1980000000000004</v>
      </c>
      <c r="Q423" s="203">
        <f t="shared" si="429"/>
        <v>8.1809999999999992</v>
      </c>
      <c r="R423" s="203">
        <f t="shared" si="429"/>
        <v>8.3439999999999994</v>
      </c>
      <c r="S423" s="203">
        <f t="shared" si="429"/>
        <v>9.1560000000000006</v>
      </c>
      <c r="T423" s="203">
        <f>SUM(N423:S423)</f>
        <v>44.728999999999999</v>
      </c>
      <c r="U423" s="203">
        <f>T423+L423</f>
        <v>79.647000000000006</v>
      </c>
      <c r="V423" s="203">
        <f>V417+V416</f>
        <v>79.647000000000006</v>
      </c>
      <c r="W423" s="203">
        <f>V423-U423</f>
        <v>0</v>
      </c>
    </row>
    <row r="424" spans="1:28" s="214" customFormat="1" ht="18" customHeight="1">
      <c r="A424" s="583"/>
      <c r="B424" s="657"/>
      <c r="C424" s="658"/>
      <c r="D424" s="202" t="str">
        <f>серпень!D347</f>
        <v xml:space="preserve">відхилення </v>
      </c>
      <c r="E424" s="203"/>
      <c r="F424" s="203">
        <f t="shared" ref="F424:K424" si="430">F420-F423</f>
        <v>-6.4210000000000003</v>
      </c>
      <c r="G424" s="203">
        <f t="shared" si="430"/>
        <v>5.9219999999999997</v>
      </c>
      <c r="H424" s="203">
        <f t="shared" si="430"/>
        <v>2.6629999999999998</v>
      </c>
      <c r="I424" s="203">
        <f t="shared" si="430"/>
        <v>-0.27900000000000003</v>
      </c>
      <c r="J424" s="203">
        <f t="shared" si="430"/>
        <v>-1.3859999999999999</v>
      </c>
      <c r="K424" s="203">
        <f t="shared" si="430"/>
        <v>-1.581</v>
      </c>
      <c r="L424" s="203"/>
      <c r="M424" s="203"/>
      <c r="N424" s="203">
        <f t="shared" ref="N424:S424" si="431">N420-N423</f>
        <v>2.7639999999999998</v>
      </c>
      <c r="O424" s="203">
        <f t="shared" si="431"/>
        <v>-1.62</v>
      </c>
      <c r="P424" s="203">
        <f t="shared" si="431"/>
        <v>3.1240000000000001</v>
      </c>
      <c r="Q424" s="203">
        <f t="shared" si="431"/>
        <v>0</v>
      </c>
      <c r="R424" s="203">
        <f t="shared" si="431"/>
        <v>0</v>
      </c>
      <c r="S424" s="203">
        <f t="shared" si="431"/>
        <v>1E-3</v>
      </c>
      <c r="T424" s="203"/>
      <c r="U424" s="203"/>
      <c r="V424" s="203"/>
      <c r="W424" s="203"/>
    </row>
    <row r="425" spans="1:28" s="214" customFormat="1" ht="18" customHeight="1">
      <c r="A425" s="583"/>
      <c r="B425" s="657"/>
      <c r="C425" s="658"/>
      <c r="D425" s="202" t="str">
        <f>серпень!D348</f>
        <v>відхилення з наростаючим</v>
      </c>
      <c r="E425" s="203"/>
      <c r="F425" s="203">
        <f>F424</f>
        <v>-6.4210000000000003</v>
      </c>
      <c r="G425" s="203">
        <f>G424+F425</f>
        <v>-0.499</v>
      </c>
      <c r="H425" s="203">
        <f>H424+G425</f>
        <v>2.1640000000000001</v>
      </c>
      <c r="I425" s="203">
        <f>I424+H425</f>
        <v>1.885</v>
      </c>
      <c r="J425" s="203">
        <f>J424+I425</f>
        <v>0.499</v>
      </c>
      <c r="K425" s="203">
        <f>K424+J425</f>
        <v>-1.0820000000000001</v>
      </c>
      <c r="L425" s="203"/>
      <c r="M425" s="203"/>
      <c r="N425" s="203">
        <f>N424+K425</f>
        <v>1.6819999999999999</v>
      </c>
      <c r="O425" s="203">
        <f>O424+N425</f>
        <v>6.2E-2</v>
      </c>
      <c r="P425" s="203">
        <f>P424+O425</f>
        <v>3.1859999999999999</v>
      </c>
      <c r="Q425" s="203">
        <f>Q424+P425</f>
        <v>3.1859999999999999</v>
      </c>
      <c r="R425" s="203">
        <f>R424+Q425</f>
        <v>3.1859999999999999</v>
      </c>
      <c r="S425" s="203">
        <f>S424+R425</f>
        <v>3.1869999999999998</v>
      </c>
      <c r="T425" s="203"/>
      <c r="U425" s="203"/>
      <c r="V425" s="203"/>
      <c r="W425" s="203"/>
    </row>
    <row r="426" spans="1:28" s="10" customFormat="1" ht="18" customHeight="1">
      <c r="A426" s="583"/>
      <c r="B426" s="581" t="s">
        <v>37</v>
      </c>
      <c r="C426" s="581"/>
      <c r="D426" s="178" t="str">
        <f>серпень!D349</f>
        <v>факт. нат.п-ки 2023</v>
      </c>
      <c r="E426" s="11"/>
      <c r="F426" s="12">
        <v>538.9</v>
      </c>
      <c r="G426" s="12">
        <v>302.5</v>
      </c>
      <c r="H426" s="12">
        <v>383.6</v>
      </c>
      <c r="I426" s="12">
        <v>476.9</v>
      </c>
      <c r="J426" s="12">
        <v>504.91</v>
      </c>
      <c r="K426" s="12">
        <v>494.2</v>
      </c>
      <c r="L426" s="65">
        <f>SUM(F426:K426)</f>
        <v>2701</v>
      </c>
      <c r="M426" s="65">
        <f>L426/6</f>
        <v>450.2</v>
      </c>
      <c r="N426" s="83">
        <v>428.4</v>
      </c>
      <c r="O426" s="83">
        <v>383.2</v>
      </c>
      <c r="P426" s="83">
        <v>535.76</v>
      </c>
      <c r="Q426" s="83">
        <v>529.1</v>
      </c>
      <c r="R426" s="83">
        <v>488.3</v>
      </c>
      <c r="S426" s="83">
        <v>545.6</v>
      </c>
      <c r="T426" s="65">
        <f>SUM(N426:S426)</f>
        <v>2910.4</v>
      </c>
      <c r="U426" s="65">
        <f>T426+L426</f>
        <v>5611.4</v>
      </c>
      <c r="V426" s="46"/>
      <c r="W426" s="38"/>
      <c r="X426" s="36"/>
    </row>
    <row r="427" spans="1:28" s="48" customFormat="1" ht="18" customHeight="1">
      <c r="A427" s="583"/>
      <c r="B427" s="581"/>
      <c r="C427" s="581"/>
      <c r="D427" s="178" t="str">
        <f>серпень!D350</f>
        <v>факт. нат.п-ки 2024</v>
      </c>
      <c r="E427" s="11"/>
      <c r="F427" s="12">
        <v>452.7</v>
      </c>
      <c r="G427" s="12">
        <v>527.70000000000005</v>
      </c>
      <c r="H427" s="12">
        <v>319.48</v>
      </c>
      <c r="I427" s="12">
        <v>404.3</v>
      </c>
      <c r="J427" s="12">
        <v>347.2</v>
      </c>
      <c r="K427" s="12">
        <v>410.3</v>
      </c>
      <c r="L427" s="65">
        <f>SUM(F427:K427)</f>
        <v>2461.6999999999998</v>
      </c>
      <c r="M427" s="65">
        <f>L427/6</f>
        <v>410.3</v>
      </c>
      <c r="N427" s="83">
        <v>311.89999999999998</v>
      </c>
      <c r="O427" s="83">
        <v>363.2</v>
      </c>
      <c r="P427" s="83">
        <v>648.5</v>
      </c>
      <c r="Q427" s="83">
        <v>576.79999999999995</v>
      </c>
      <c r="R427" s="83">
        <v>588.29999999999995</v>
      </c>
      <c r="S427" s="83">
        <v>645.6</v>
      </c>
      <c r="T427" s="65">
        <f>SUM(N427:S427)</f>
        <v>3134.3</v>
      </c>
      <c r="U427" s="65">
        <f>T427+L427</f>
        <v>5596</v>
      </c>
      <c r="V427" s="46">
        <v>5858.4</v>
      </c>
      <c r="W427" s="38"/>
      <c r="X427" s="47"/>
    </row>
    <row r="428" spans="1:28" s="10" customFormat="1" ht="18" customHeight="1">
      <c r="A428" s="583"/>
      <c r="B428" s="581"/>
      <c r="C428" s="581"/>
      <c r="D428" s="178" t="str">
        <f>серпень!D351</f>
        <v>факт. нат.п-ки 2025</v>
      </c>
      <c r="E428" s="11"/>
      <c r="F428" s="82">
        <v>417.53</v>
      </c>
      <c r="G428" s="82">
        <v>507.21499999999997</v>
      </c>
      <c r="H428" s="12">
        <v>458.9</v>
      </c>
      <c r="I428" s="12">
        <v>496.24</v>
      </c>
      <c r="J428" s="12">
        <v>505.5</v>
      </c>
      <c r="K428" s="12">
        <v>526.1</v>
      </c>
      <c r="L428" s="65">
        <f>SUM(F428:K428)</f>
        <v>2911.5</v>
      </c>
      <c r="M428" s="65">
        <f>L428/6</f>
        <v>485.3</v>
      </c>
      <c r="N428" s="83">
        <v>249</v>
      </c>
      <c r="O428" s="83">
        <v>220.32</v>
      </c>
      <c r="P428" s="83">
        <v>648.5</v>
      </c>
      <c r="Q428" s="83">
        <v>576.79999999999995</v>
      </c>
      <c r="R428" s="83">
        <v>588.29999999999995</v>
      </c>
      <c r="S428" s="83">
        <v>645.6</v>
      </c>
      <c r="T428" s="65">
        <f>SUM(N428:S428)</f>
        <v>2928.5</v>
      </c>
      <c r="U428" s="65">
        <f>T428+L428</f>
        <v>5840</v>
      </c>
      <c r="V428" s="11">
        <v>5615.3</v>
      </c>
      <c r="W428" s="38">
        <f>V428-U428</f>
        <v>-224.7</v>
      </c>
      <c r="X428" s="36"/>
      <c r="Y428" s="3"/>
      <c r="Z428" s="3"/>
      <c r="AA428" s="3"/>
      <c r="AB428" s="3"/>
    </row>
    <row r="429" spans="1:28" s="114" customFormat="1" ht="18" customHeight="1">
      <c r="A429" s="583"/>
      <c r="B429" s="581"/>
      <c r="C429" s="581"/>
      <c r="D429" s="187" t="str">
        <f>серпень!D352</f>
        <v>тариф, грн.</v>
      </c>
      <c r="E429" s="49" t="e">
        <f>E430/E428*1000</f>
        <v>#DIV/0!</v>
      </c>
      <c r="F429" s="49">
        <f t="shared" ref="F429:K429" si="432">F430/F428*1000</f>
        <v>14.183</v>
      </c>
      <c r="G429" s="49">
        <f t="shared" si="432"/>
        <v>14.185</v>
      </c>
      <c r="H429" s="49">
        <f t="shared" si="432"/>
        <v>14.183999999999999</v>
      </c>
      <c r="I429" s="49">
        <f t="shared" si="432"/>
        <v>14.185</v>
      </c>
      <c r="J429" s="49">
        <f t="shared" si="432"/>
        <v>14.186</v>
      </c>
      <c r="K429" s="49">
        <f t="shared" si="432"/>
        <v>14.183999999999999</v>
      </c>
      <c r="L429" s="68">
        <f>L430/L428*1000</f>
        <v>14.183999999999999</v>
      </c>
      <c r="M429" s="68">
        <f>M430/M428*1000</f>
        <v>14.183</v>
      </c>
      <c r="N429" s="68">
        <f t="shared" ref="N429:O429" si="433">N430/N428*1000</f>
        <v>14.185</v>
      </c>
      <c r="O429" s="68">
        <f t="shared" si="433"/>
        <v>14.183999999999999</v>
      </c>
      <c r="P429" s="68">
        <v>14.183999999999999</v>
      </c>
      <c r="Q429" s="68">
        <v>14.183999999999999</v>
      </c>
      <c r="R429" s="68">
        <v>14.183999999999999</v>
      </c>
      <c r="S429" s="49">
        <v>14.183999999999999</v>
      </c>
      <c r="T429" s="68">
        <f>T430/T428*1000</f>
        <v>14.183</v>
      </c>
      <c r="U429" s="68">
        <f>U430/U428*1000</f>
        <v>14.183999999999999</v>
      </c>
      <c r="V429" s="68">
        <f>V430/V428*1000</f>
        <v>14.183999999999999</v>
      </c>
      <c r="W429" s="14">
        <f>W430/W428*1000</f>
        <v>14.183</v>
      </c>
      <c r="X429" s="36"/>
      <c r="Y429" s="3"/>
      <c r="Z429" s="3"/>
      <c r="AA429" s="3"/>
      <c r="AB429" s="3"/>
    </row>
    <row r="430" spans="1:28" s="114" customFormat="1" ht="18" customHeight="1">
      <c r="A430" s="583"/>
      <c r="B430" s="581"/>
      <c r="C430" s="581"/>
      <c r="D430" s="191" t="str">
        <f>серпень!D353</f>
        <v>сума, тис.грн.</v>
      </c>
      <c r="E430" s="52"/>
      <c r="F430" s="52">
        <v>5.9219999999999997</v>
      </c>
      <c r="G430" s="52">
        <v>7.1950000000000003</v>
      </c>
      <c r="H430" s="52">
        <v>6.5090000000000003</v>
      </c>
      <c r="I430" s="52">
        <v>7.0389999999999997</v>
      </c>
      <c r="J430" s="52">
        <v>7.1710000000000003</v>
      </c>
      <c r="K430" s="52">
        <v>7.4619999999999997</v>
      </c>
      <c r="L430" s="69">
        <f>SUM(F430:K430)</f>
        <v>41.298000000000002</v>
      </c>
      <c r="M430" s="69">
        <f>L430/6</f>
        <v>6.883</v>
      </c>
      <c r="N430" s="52">
        <v>3.532</v>
      </c>
      <c r="O430" s="52">
        <v>3.125</v>
      </c>
      <c r="P430" s="52">
        <f t="shared" ref="P430" si="434">P428*P429/1000</f>
        <v>9.1980000000000004</v>
      </c>
      <c r="Q430" s="52">
        <f t="shared" ref="Q430" si="435">Q428*Q429/1000</f>
        <v>8.1809999999999992</v>
      </c>
      <c r="R430" s="52">
        <f t="shared" ref="R430" si="436">R428*R429/1000</f>
        <v>8.3439999999999994</v>
      </c>
      <c r="S430" s="52">
        <f>S428*S429/1000-0.001</f>
        <v>9.1560000000000006</v>
      </c>
      <c r="T430" s="69">
        <f>SUM(N430:S430)</f>
        <v>41.536000000000001</v>
      </c>
      <c r="U430" s="69">
        <f>T430+L430</f>
        <v>82.834000000000003</v>
      </c>
      <c r="V430" s="70">
        <f>V432+V431</f>
        <v>79.647000000000006</v>
      </c>
      <c r="W430" s="53">
        <f>V430-U430</f>
        <v>-3.1869999999999998</v>
      </c>
      <c r="X430" s="113"/>
    </row>
    <row r="431" spans="1:28" s="114" customFormat="1" ht="18" customHeight="1">
      <c r="A431" s="583"/>
      <c r="B431" s="581"/>
      <c r="C431" s="581"/>
      <c r="D431" s="174" t="str">
        <f>серпень!D354</f>
        <v>дотація</v>
      </c>
      <c r="E431" s="56"/>
      <c r="F431" s="52"/>
      <c r="G431" s="52"/>
      <c r="H431" s="52"/>
      <c r="I431" s="52"/>
      <c r="J431" s="52"/>
      <c r="K431" s="52"/>
      <c r="L431" s="69">
        <f>SUM(F431:K431)</f>
        <v>0</v>
      </c>
      <c r="M431" s="69">
        <f>L431/6</f>
        <v>0</v>
      </c>
      <c r="N431" s="52"/>
      <c r="O431" s="52"/>
      <c r="P431" s="52"/>
      <c r="Q431" s="52"/>
      <c r="R431" s="52"/>
      <c r="S431" s="52"/>
      <c r="T431" s="69">
        <f>SUM(N431:S431)</f>
        <v>0</v>
      </c>
      <c r="U431" s="69">
        <f>T431+L431</f>
        <v>0</v>
      </c>
      <c r="V431" s="70">
        <v>0</v>
      </c>
      <c r="W431" s="53">
        <f>V431-U431</f>
        <v>0</v>
      </c>
      <c r="X431" s="113"/>
    </row>
    <row r="432" spans="1:28" s="114" customFormat="1" ht="18" customHeight="1">
      <c r="A432" s="583"/>
      <c r="B432" s="581"/>
      <c r="C432" s="581"/>
      <c r="D432" s="174" t="str">
        <f>серпень!D355</f>
        <v>місцевий (план), тис.грн</v>
      </c>
      <c r="E432" s="56"/>
      <c r="F432" s="52">
        <v>6.4210000000000003</v>
      </c>
      <c r="G432" s="52">
        <f>7.485-7.485</f>
        <v>0</v>
      </c>
      <c r="H432" s="52">
        <v>4.532</v>
      </c>
      <c r="I432" s="52">
        <f>5.735+1.053</f>
        <v>6.7880000000000003</v>
      </c>
      <c r="J432" s="52">
        <f>4.925+3.5</f>
        <v>8.4250000000000007</v>
      </c>
      <c r="K432" s="52">
        <f>5.82+2.932</f>
        <v>8.7520000000000007</v>
      </c>
      <c r="L432" s="69">
        <f>SUM(F432:K432)</f>
        <v>34.917999999999999</v>
      </c>
      <c r="M432" s="69">
        <f>L432/6</f>
        <v>5.82</v>
      </c>
      <c r="N432" s="52">
        <v>4.6980000000000004</v>
      </c>
      <c r="O432" s="52">
        <v>5.1520000000000001</v>
      </c>
      <c r="P432" s="52">
        <v>9.1980000000000004</v>
      </c>
      <c r="Q432" s="52">
        <v>8.1809999999999992</v>
      </c>
      <c r="R432" s="52">
        <v>8.3439999999999994</v>
      </c>
      <c r="S432" s="52">
        <v>9.1560000000000006</v>
      </c>
      <c r="T432" s="69">
        <f>SUM(N432:S432)</f>
        <v>44.728999999999999</v>
      </c>
      <c r="U432" s="69">
        <f>T432+L432</f>
        <v>79.647000000000006</v>
      </c>
      <c r="V432" s="70">
        <v>79.647000000000006</v>
      </c>
      <c r="W432" s="53">
        <f>V432-U432</f>
        <v>0</v>
      </c>
      <c r="X432" s="113"/>
    </row>
    <row r="433" spans="1:28" s="3" customFormat="1" ht="18" customHeight="1">
      <c r="A433" s="583"/>
      <c r="B433" s="581"/>
      <c r="C433" s="581"/>
      <c r="D433" s="178" t="str">
        <f>серпень!D356</f>
        <v>касові нат.п-ки 2025</v>
      </c>
      <c r="E433" s="11"/>
      <c r="F433" s="12"/>
      <c r="G433" s="82">
        <v>417.53</v>
      </c>
      <c r="H433" s="82">
        <v>507.21499999999997</v>
      </c>
      <c r="I433" s="82">
        <v>458.88600000000002</v>
      </c>
      <c r="J433" s="82">
        <v>496.24</v>
      </c>
      <c r="K433" s="82">
        <v>505.548</v>
      </c>
      <c r="L433" s="65">
        <f>SUM(F433:K433)</f>
        <v>2385.4</v>
      </c>
      <c r="M433" s="65">
        <f>L433/6</f>
        <v>397.6</v>
      </c>
      <c r="N433" s="83">
        <v>526.1</v>
      </c>
      <c r="O433" s="83">
        <v>249</v>
      </c>
      <c r="P433" s="83">
        <f>220.32+648.5</f>
        <v>868.8</v>
      </c>
      <c r="Q433" s="83">
        <v>576.79999999999995</v>
      </c>
      <c r="R433" s="83">
        <v>588.29999999999995</v>
      </c>
      <c r="S433" s="83">
        <v>645.6</v>
      </c>
      <c r="T433" s="65">
        <f>SUM(N433:S433)</f>
        <v>3454.6</v>
      </c>
      <c r="U433" s="65">
        <f>T433+L433</f>
        <v>5840</v>
      </c>
      <c r="V433" s="11">
        <f>V428</f>
        <v>5615.3</v>
      </c>
      <c r="W433" s="38">
        <f>V433-U433</f>
        <v>-224.7</v>
      </c>
      <c r="X433" s="47">
        <f>U428-U433</f>
        <v>0</v>
      </c>
    </row>
    <row r="434" spans="1:28" s="73" customFormat="1" ht="18" customHeight="1">
      <c r="A434" s="583"/>
      <c r="B434" s="581"/>
      <c r="C434" s="581"/>
      <c r="D434" s="187" t="str">
        <f>серпень!D357</f>
        <v>тариф, грн.</v>
      </c>
      <c r="E434" s="49" t="e">
        <f>E435/E433*1000</f>
        <v>#DIV/0!</v>
      </c>
      <c r="F434" s="49" t="e">
        <f t="shared" ref="F434:K434" si="437">F435/F433*1000</f>
        <v>#DIV/0!</v>
      </c>
      <c r="G434" s="49">
        <f t="shared" si="437"/>
        <v>14.183</v>
      </c>
      <c r="H434" s="49">
        <f t="shared" si="437"/>
        <v>14.185</v>
      </c>
      <c r="I434" s="49">
        <f t="shared" si="437"/>
        <v>14.183999999999999</v>
      </c>
      <c r="J434" s="49">
        <f t="shared" si="437"/>
        <v>14.185</v>
      </c>
      <c r="K434" s="49">
        <f t="shared" si="437"/>
        <v>14.185</v>
      </c>
      <c r="L434" s="68">
        <f>L435/L433*1000</f>
        <v>14.185</v>
      </c>
      <c r="M434" s="68">
        <f>M435/M433*1000</f>
        <v>14.183</v>
      </c>
      <c r="N434" s="68">
        <f t="shared" ref="N434:P434" si="438">N435/N433*1000</f>
        <v>14.183999999999999</v>
      </c>
      <c r="O434" s="68">
        <f t="shared" si="438"/>
        <v>14.185</v>
      </c>
      <c r="P434" s="68">
        <f t="shared" si="438"/>
        <v>14.183</v>
      </c>
      <c r="Q434" s="68">
        <v>14.183999999999999</v>
      </c>
      <c r="R434" s="68">
        <v>14.183999999999999</v>
      </c>
      <c r="S434" s="49">
        <v>14.183999999999999</v>
      </c>
      <c r="T434" s="68">
        <f>T435/T433*1000</f>
        <v>14.183</v>
      </c>
      <c r="U434" s="68">
        <f>U435/U433*1000</f>
        <v>14.183999999999999</v>
      </c>
      <c r="V434" s="68">
        <f>V435/V433*1000</f>
        <v>14.183999999999999</v>
      </c>
      <c r="W434" s="14">
        <f>W435/W433*1000</f>
        <v>14.183</v>
      </c>
      <c r="X434" s="59"/>
      <c r="Y434" s="36"/>
      <c r="Z434" s="36"/>
      <c r="AA434" s="36"/>
      <c r="AB434" s="36"/>
    </row>
    <row r="435" spans="1:28" s="126" customFormat="1" ht="18" customHeight="1">
      <c r="A435" s="583"/>
      <c r="B435" s="581"/>
      <c r="C435" s="581"/>
      <c r="D435" s="198" t="str">
        <f>серпень!D358</f>
        <v>касові видатки, тис.грн.</v>
      </c>
      <c r="E435" s="71"/>
      <c r="F435" s="61">
        <v>0</v>
      </c>
      <c r="G435" s="61">
        <v>5.9219999999999997</v>
      </c>
      <c r="H435" s="61">
        <v>7.1950000000000003</v>
      </c>
      <c r="I435" s="61">
        <v>6.5090000000000003</v>
      </c>
      <c r="J435" s="61">
        <v>7.0389999999999997</v>
      </c>
      <c r="K435" s="61">
        <v>7.1710000000000003</v>
      </c>
      <c r="L435" s="61">
        <f>SUM(F435:K435)</f>
        <v>33.835999999999999</v>
      </c>
      <c r="M435" s="61">
        <f>L435/6</f>
        <v>5.6390000000000002</v>
      </c>
      <c r="N435" s="61">
        <v>7.4619999999999997</v>
      </c>
      <c r="O435" s="61">
        <v>3.532</v>
      </c>
      <c r="P435" s="61">
        <f>3.125+9.197</f>
        <v>12.321999999999999</v>
      </c>
      <c r="Q435" s="61">
        <f t="shared" ref="Q435" si="439">Q433*Q434/1000</f>
        <v>8.1809999999999992</v>
      </c>
      <c r="R435" s="61">
        <f t="shared" ref="R435" si="440">R433*R434/1000</f>
        <v>8.3439999999999994</v>
      </c>
      <c r="S435" s="61">
        <f>S433*S434/1000</f>
        <v>9.157</v>
      </c>
      <c r="T435" s="61">
        <f>SUM(N435:S435)</f>
        <v>48.997999999999998</v>
      </c>
      <c r="U435" s="61">
        <f>T435+L435</f>
        <v>82.834000000000003</v>
      </c>
      <c r="V435" s="61">
        <f>V430</f>
        <v>79.647000000000006</v>
      </c>
      <c r="W435" s="72">
        <f>V435-U435</f>
        <v>-3.1869999999999998</v>
      </c>
      <c r="X435" s="63">
        <f>U430-U435</f>
        <v>0</v>
      </c>
    </row>
    <row r="436" spans="1:28" s="126" customFormat="1" ht="18" customHeight="1">
      <c r="A436" s="583"/>
      <c r="B436" s="581"/>
      <c r="C436" s="581"/>
      <c r="D436" s="201" t="str">
        <f>серпень!D359</f>
        <v>дотація</v>
      </c>
      <c r="E436" s="71"/>
      <c r="F436" s="61">
        <v>0</v>
      </c>
      <c r="G436" s="61">
        <v>0</v>
      </c>
      <c r="H436" s="61">
        <v>0</v>
      </c>
      <c r="I436" s="61">
        <v>0</v>
      </c>
      <c r="J436" s="61">
        <v>0</v>
      </c>
      <c r="K436" s="61">
        <v>0</v>
      </c>
      <c r="L436" s="61">
        <f>SUM(F436:K436)</f>
        <v>0</v>
      </c>
      <c r="M436" s="61">
        <f>L436/6</f>
        <v>0</v>
      </c>
      <c r="N436" s="61">
        <v>0</v>
      </c>
      <c r="O436" s="61">
        <v>0</v>
      </c>
      <c r="P436" s="61">
        <v>0</v>
      </c>
      <c r="Q436" s="61">
        <v>0</v>
      </c>
      <c r="R436" s="61">
        <v>0</v>
      </c>
      <c r="S436" s="61">
        <v>0</v>
      </c>
      <c r="T436" s="61">
        <f>SUM(N436:S436)</f>
        <v>0</v>
      </c>
      <c r="U436" s="61">
        <f>T436+L436</f>
        <v>0</v>
      </c>
      <c r="V436" s="61">
        <f>V431</f>
        <v>0</v>
      </c>
      <c r="W436" s="72">
        <f>V436-U436</f>
        <v>0</v>
      </c>
      <c r="X436" s="63">
        <f>U431-U436</f>
        <v>0</v>
      </c>
    </row>
    <row r="437" spans="1:28" s="126" customFormat="1" ht="18" customHeight="1">
      <c r="A437" s="583"/>
      <c r="B437" s="581"/>
      <c r="C437" s="581"/>
      <c r="D437" s="201" t="str">
        <f>серпень!D360</f>
        <v xml:space="preserve">місцевий </v>
      </c>
      <c r="E437" s="71"/>
      <c r="F437" s="61">
        <f t="shared" ref="F437:K437" si="441">F435-F436</f>
        <v>0</v>
      </c>
      <c r="G437" s="61">
        <f t="shared" si="441"/>
        <v>5.9219999999999997</v>
      </c>
      <c r="H437" s="61">
        <f t="shared" si="441"/>
        <v>7.1950000000000003</v>
      </c>
      <c r="I437" s="61">
        <f t="shared" si="441"/>
        <v>6.5090000000000003</v>
      </c>
      <c r="J437" s="61">
        <f t="shared" si="441"/>
        <v>7.0389999999999997</v>
      </c>
      <c r="K437" s="61">
        <f t="shared" si="441"/>
        <v>7.1710000000000003</v>
      </c>
      <c r="L437" s="61">
        <f>SUM(F437:K437)</f>
        <v>33.835999999999999</v>
      </c>
      <c r="M437" s="61">
        <f>L437/6</f>
        <v>5.6390000000000002</v>
      </c>
      <c r="N437" s="61">
        <f t="shared" ref="N437:S437" si="442">N435-N436</f>
        <v>7.4619999999999997</v>
      </c>
      <c r="O437" s="61">
        <f t="shared" si="442"/>
        <v>3.532</v>
      </c>
      <c r="P437" s="61">
        <f t="shared" si="442"/>
        <v>12.321999999999999</v>
      </c>
      <c r="Q437" s="61">
        <f t="shared" si="442"/>
        <v>8.1809999999999992</v>
      </c>
      <c r="R437" s="61">
        <f t="shared" si="442"/>
        <v>8.3439999999999994</v>
      </c>
      <c r="S437" s="61">
        <f t="shared" si="442"/>
        <v>9.157</v>
      </c>
      <c r="T437" s="61">
        <f>SUM(N437:S437)</f>
        <v>48.997999999999998</v>
      </c>
      <c r="U437" s="61">
        <f>T437+L437</f>
        <v>82.834000000000003</v>
      </c>
      <c r="V437" s="61">
        <f>V432</f>
        <v>79.647000000000006</v>
      </c>
      <c r="W437" s="72">
        <f>V437-U437</f>
        <v>-3.1869999999999998</v>
      </c>
      <c r="X437" s="63">
        <f>U432-U437</f>
        <v>-3.1869999999999998</v>
      </c>
    </row>
    <row r="438" spans="1:28" s="43" customFormat="1" ht="18" customHeight="1">
      <c r="A438" s="583"/>
      <c r="B438" s="581"/>
      <c r="C438" s="581"/>
      <c r="D438" s="202" t="str">
        <f>серпень!D361</f>
        <v>план</v>
      </c>
      <c r="E438" s="42"/>
      <c r="F438" s="42">
        <f t="shared" ref="F438:K438" si="443">F431+F432</f>
        <v>6.4210000000000003</v>
      </c>
      <c r="G438" s="42">
        <f t="shared" si="443"/>
        <v>0</v>
      </c>
      <c r="H438" s="42">
        <f t="shared" si="443"/>
        <v>4.532</v>
      </c>
      <c r="I438" s="42">
        <f t="shared" si="443"/>
        <v>6.7880000000000003</v>
      </c>
      <c r="J438" s="42">
        <f t="shared" si="443"/>
        <v>8.4250000000000007</v>
      </c>
      <c r="K438" s="42">
        <f t="shared" si="443"/>
        <v>8.7520000000000007</v>
      </c>
      <c r="L438" s="42">
        <f>SUM(F438:K438)</f>
        <v>34.917999999999999</v>
      </c>
      <c r="M438" s="42">
        <f>L438/6</f>
        <v>5.82</v>
      </c>
      <c r="N438" s="42">
        <f t="shared" ref="N438:S438" si="444">N432+N431</f>
        <v>4.6980000000000004</v>
      </c>
      <c r="O438" s="42">
        <f t="shared" si="444"/>
        <v>5.1520000000000001</v>
      </c>
      <c r="P438" s="42">
        <f t="shared" si="444"/>
        <v>9.1980000000000004</v>
      </c>
      <c r="Q438" s="42">
        <f t="shared" si="444"/>
        <v>8.1809999999999992</v>
      </c>
      <c r="R438" s="42">
        <f t="shared" si="444"/>
        <v>8.3439999999999994</v>
      </c>
      <c r="S438" s="42">
        <f t="shared" si="444"/>
        <v>9.1560000000000006</v>
      </c>
      <c r="T438" s="42">
        <f>SUM(N438:S438)</f>
        <v>44.728999999999999</v>
      </c>
      <c r="U438" s="42">
        <f>T438+L438</f>
        <v>79.647000000000006</v>
      </c>
      <c r="V438" s="42">
        <f>V435</f>
        <v>79.647000000000006</v>
      </c>
      <c r="W438" s="42">
        <f>V438-U438</f>
        <v>0</v>
      </c>
    </row>
    <row r="439" spans="1:28" s="43" customFormat="1" ht="18" customHeight="1">
      <c r="A439" s="583"/>
      <c r="B439" s="581"/>
      <c r="C439" s="581"/>
      <c r="D439" s="202" t="str">
        <f>серпень!D362</f>
        <v xml:space="preserve">відхилення </v>
      </c>
      <c r="E439" s="42"/>
      <c r="F439" s="42">
        <f t="shared" ref="F439:K439" si="445">F435-F438</f>
        <v>-6.4210000000000003</v>
      </c>
      <c r="G439" s="42">
        <f t="shared" si="445"/>
        <v>5.9219999999999997</v>
      </c>
      <c r="H439" s="42">
        <f t="shared" si="445"/>
        <v>2.6629999999999998</v>
      </c>
      <c r="I439" s="42">
        <f t="shared" si="445"/>
        <v>-0.27900000000000003</v>
      </c>
      <c r="J439" s="42">
        <f t="shared" si="445"/>
        <v>-1.3859999999999999</v>
      </c>
      <c r="K439" s="42">
        <f t="shared" si="445"/>
        <v>-1.581</v>
      </c>
      <c r="L439" s="42"/>
      <c r="M439" s="42"/>
      <c r="N439" s="42">
        <f t="shared" ref="N439:S439" si="446">N435-N438</f>
        <v>2.7639999999999998</v>
      </c>
      <c r="O439" s="42">
        <f t="shared" si="446"/>
        <v>-1.62</v>
      </c>
      <c r="P439" s="42">
        <f t="shared" si="446"/>
        <v>3.1240000000000001</v>
      </c>
      <c r="Q439" s="42">
        <f t="shared" si="446"/>
        <v>0</v>
      </c>
      <c r="R439" s="42">
        <f t="shared" si="446"/>
        <v>0</v>
      </c>
      <c r="S439" s="42">
        <f t="shared" si="446"/>
        <v>1E-3</v>
      </c>
      <c r="T439" s="42"/>
      <c r="U439" s="42"/>
      <c r="V439" s="42"/>
      <c r="W439" s="42"/>
    </row>
    <row r="440" spans="1:28" s="43" customFormat="1" ht="18" customHeight="1">
      <c r="A440" s="583"/>
      <c r="B440" s="581"/>
      <c r="C440" s="581"/>
      <c r="D440" s="202" t="str">
        <f>серпень!D363</f>
        <v>відхилення з наростаючим</v>
      </c>
      <c r="E440" s="42"/>
      <c r="F440" s="42">
        <f>F439</f>
        <v>-6.4210000000000003</v>
      </c>
      <c r="G440" s="42">
        <f>G439+F440</f>
        <v>-0.499</v>
      </c>
      <c r="H440" s="42">
        <f>H439+G440</f>
        <v>2.1640000000000001</v>
      </c>
      <c r="I440" s="42">
        <f>I439+H440</f>
        <v>1.885</v>
      </c>
      <c r="J440" s="42">
        <f>J439+I440</f>
        <v>0.499</v>
      </c>
      <c r="K440" s="42">
        <f>K439+J440</f>
        <v>-1.0820000000000001</v>
      </c>
      <c r="L440" s="42"/>
      <c r="M440" s="42"/>
      <c r="N440" s="42">
        <f>N439+K440</f>
        <v>1.6819999999999999</v>
      </c>
      <c r="O440" s="42">
        <f>O439+N440</f>
        <v>6.2E-2</v>
      </c>
      <c r="P440" s="42">
        <f>P439+O440</f>
        <v>3.1859999999999999</v>
      </c>
      <c r="Q440" s="42">
        <f>Q439+P440</f>
        <v>3.1859999999999999</v>
      </c>
      <c r="R440" s="42">
        <f>R439+Q440</f>
        <v>3.1859999999999999</v>
      </c>
      <c r="S440" s="42">
        <f>S439+R440</f>
        <v>3.1869999999999998</v>
      </c>
      <c r="T440" s="42"/>
      <c r="U440" s="42"/>
      <c r="V440" s="42"/>
      <c r="W440" s="42"/>
    </row>
    <row r="441" spans="1:28" s="48" customFormat="1" ht="18" hidden="1" customHeight="1">
      <c r="A441" s="583"/>
      <c r="B441" s="580" t="s">
        <v>96</v>
      </c>
      <c r="C441" s="575"/>
      <c r="D441" s="178" t="str">
        <f>серпень!D364</f>
        <v>факт. нат.п-ки 2023</v>
      </c>
      <c r="E441" s="11"/>
      <c r="F441" s="12"/>
      <c r="G441" s="12"/>
      <c r="H441" s="12"/>
      <c r="I441" s="12"/>
      <c r="J441" s="12"/>
      <c r="K441" s="12"/>
      <c r="L441" s="65">
        <f>SUM(F441:K441)</f>
        <v>0</v>
      </c>
      <c r="M441" s="65">
        <f>L441/6</f>
        <v>0</v>
      </c>
      <c r="N441" s="12"/>
      <c r="O441" s="12"/>
      <c r="P441" s="12"/>
      <c r="Q441" s="12"/>
      <c r="R441" s="12"/>
      <c r="S441" s="12"/>
      <c r="T441" s="65">
        <f>SUM(N441:S441)</f>
        <v>0</v>
      </c>
      <c r="U441" s="66">
        <f>T441+L441</f>
        <v>0</v>
      </c>
      <c r="V441" s="67"/>
      <c r="W441" s="38">
        <f>V441-U441</f>
        <v>0</v>
      </c>
      <c r="X441" s="47"/>
    </row>
    <row r="442" spans="1:28" s="48" customFormat="1" ht="18" hidden="1" customHeight="1">
      <c r="A442" s="583"/>
      <c r="B442" s="576"/>
      <c r="C442" s="577"/>
      <c r="D442" s="178" t="str">
        <f>серпень!D365</f>
        <v>факт. нат.п-ки 2024</v>
      </c>
      <c r="E442" s="11"/>
      <c r="F442" s="12"/>
      <c r="G442" s="12"/>
      <c r="H442" s="12"/>
      <c r="I442" s="12"/>
      <c r="J442" s="12"/>
      <c r="K442" s="12"/>
      <c r="L442" s="65">
        <f>SUM(F442:K442)</f>
        <v>0</v>
      </c>
      <c r="M442" s="65">
        <f>L442/6</f>
        <v>0</v>
      </c>
      <c r="N442" s="11"/>
      <c r="O442" s="11"/>
      <c r="P442" s="11"/>
      <c r="Q442" s="11"/>
      <c r="R442" s="11"/>
      <c r="S442" s="11"/>
      <c r="T442" s="65">
        <f>SUM(N442:S442)</f>
        <v>0</v>
      </c>
      <c r="U442" s="66">
        <f>T442+L442</f>
        <v>0</v>
      </c>
      <c r="V442" s="67"/>
      <c r="W442" s="38">
        <f>V442-U442</f>
        <v>0</v>
      </c>
      <c r="X442" s="47"/>
    </row>
    <row r="443" spans="1:28" s="48" customFormat="1" ht="18" hidden="1" customHeight="1">
      <c r="A443" s="583"/>
      <c r="B443" s="576"/>
      <c r="C443" s="577"/>
      <c r="D443" s="178" t="str">
        <f>серпень!D366</f>
        <v>факт. нат.п-ки 2025</v>
      </c>
      <c r="E443" s="11"/>
      <c r="F443" s="12"/>
      <c r="G443" s="12"/>
      <c r="H443" s="12"/>
      <c r="I443" s="12"/>
      <c r="J443" s="12"/>
      <c r="K443" s="12"/>
      <c r="L443" s="65">
        <f>SUM(F443:K443)</f>
        <v>0</v>
      </c>
      <c r="M443" s="65">
        <f>L443/6</f>
        <v>0</v>
      </c>
      <c r="N443" s="12"/>
      <c r="O443" s="12"/>
      <c r="P443" s="12"/>
      <c r="Q443" s="12"/>
      <c r="R443" s="12"/>
      <c r="S443" s="11"/>
      <c r="T443" s="65">
        <f>SUM(N443:S443)</f>
        <v>0</v>
      </c>
      <c r="U443" s="66">
        <f>T443+L443</f>
        <v>0</v>
      </c>
      <c r="V443" s="11"/>
      <c r="W443" s="38">
        <f>V443-U443</f>
        <v>0</v>
      </c>
      <c r="X443" s="47"/>
    </row>
    <row r="444" spans="1:28" s="51" customFormat="1" ht="18" hidden="1" customHeight="1">
      <c r="A444" s="583"/>
      <c r="B444" s="576"/>
      <c r="C444" s="577"/>
      <c r="D444" s="187" t="str">
        <f>серпень!D367</f>
        <v>тариф, грн.</v>
      </c>
      <c r="E444" s="49"/>
      <c r="F444" s="49"/>
      <c r="G444" s="49"/>
      <c r="H444" s="49"/>
      <c r="I444" s="49"/>
      <c r="J444" s="49"/>
      <c r="K444" s="49"/>
      <c r="L444" s="49" t="e">
        <f>L445/L443*1000</f>
        <v>#DIV/0!</v>
      </c>
      <c r="M444" s="49" t="e">
        <f>M445/M443*1000</f>
        <v>#DIV/0!</v>
      </c>
      <c r="N444" s="49"/>
      <c r="O444" s="49"/>
      <c r="P444" s="49"/>
      <c r="Q444" s="49"/>
      <c r="R444" s="49"/>
      <c r="S444" s="49"/>
      <c r="T444" s="49" t="e">
        <f>T445/T443*1000</f>
        <v>#DIV/0!</v>
      </c>
      <c r="U444" s="49" t="e">
        <f>U445/U443*1000</f>
        <v>#DIV/0!</v>
      </c>
      <c r="V444" s="68" t="e">
        <f>V445/V443*1000</f>
        <v>#DIV/0!</v>
      </c>
      <c r="W444" s="14" t="e">
        <f>W445/W443*1000</f>
        <v>#DIV/0!</v>
      </c>
      <c r="X444" s="50"/>
    </row>
    <row r="445" spans="1:28" s="55" customFormat="1" ht="18" hidden="1" customHeight="1">
      <c r="A445" s="583"/>
      <c r="B445" s="576"/>
      <c r="C445" s="577"/>
      <c r="D445" s="191" t="str">
        <f>серпень!D368</f>
        <v>сума, тис.грн.</v>
      </c>
      <c r="E445" s="52"/>
      <c r="F445" s="52">
        <f t="shared" ref="F445:K445" si="447">F443*F444/1000</f>
        <v>0</v>
      </c>
      <c r="G445" s="52">
        <f t="shared" si="447"/>
        <v>0</v>
      </c>
      <c r="H445" s="52">
        <f t="shared" si="447"/>
        <v>0</v>
      </c>
      <c r="I445" s="52">
        <f t="shared" si="447"/>
        <v>0</v>
      </c>
      <c r="J445" s="52">
        <f t="shared" si="447"/>
        <v>0</v>
      </c>
      <c r="K445" s="52">
        <f t="shared" si="447"/>
        <v>0</v>
      </c>
      <c r="L445" s="69">
        <f>SUM(F445:K445)</f>
        <v>0</v>
      </c>
      <c r="M445" s="69">
        <f>L445/6</f>
        <v>0</v>
      </c>
      <c r="N445" s="52">
        <f t="shared" ref="N445:S445" si="448">N443*N444/1000</f>
        <v>0</v>
      </c>
      <c r="O445" s="52">
        <f t="shared" si="448"/>
        <v>0</v>
      </c>
      <c r="P445" s="52">
        <f t="shared" si="448"/>
        <v>0</v>
      </c>
      <c r="Q445" s="52">
        <f t="shared" si="448"/>
        <v>0</v>
      </c>
      <c r="R445" s="52">
        <f t="shared" si="448"/>
        <v>0</v>
      </c>
      <c r="S445" s="52">
        <f t="shared" si="448"/>
        <v>0</v>
      </c>
      <c r="T445" s="69">
        <f>SUM(N445:S445)</f>
        <v>0</v>
      </c>
      <c r="U445" s="69">
        <f>T445+L445</f>
        <v>0</v>
      </c>
      <c r="V445" s="70">
        <f>V446+V447</f>
        <v>0</v>
      </c>
      <c r="W445" s="53">
        <f>V445-U445</f>
        <v>0</v>
      </c>
      <c r="X445" s="54">
        <f>9891253.845/1000</f>
        <v>9891.2540000000008</v>
      </c>
    </row>
    <row r="446" spans="1:28" s="55" customFormat="1" ht="18" hidden="1" customHeight="1">
      <c r="A446" s="583"/>
      <c r="B446" s="576"/>
      <c r="C446" s="577"/>
      <c r="D446" s="174" t="str">
        <f>серпень!D369</f>
        <v>дотація</v>
      </c>
      <c r="E446" s="56"/>
      <c r="F446" s="52"/>
      <c r="G446" s="52"/>
      <c r="H446" s="52"/>
      <c r="I446" s="52"/>
      <c r="J446" s="52"/>
      <c r="K446" s="52"/>
      <c r="L446" s="69">
        <f>SUM(F446:K446)</f>
        <v>0</v>
      </c>
      <c r="M446" s="69">
        <f>L446/6</f>
        <v>0</v>
      </c>
      <c r="N446" s="52"/>
      <c r="O446" s="52"/>
      <c r="P446" s="52"/>
      <c r="Q446" s="52"/>
      <c r="R446" s="52"/>
      <c r="S446" s="52"/>
      <c r="T446" s="69">
        <f>SUM(N446:S446)</f>
        <v>0</v>
      </c>
      <c r="U446" s="69">
        <f>T446+L446</f>
        <v>0</v>
      </c>
      <c r="V446" s="70"/>
      <c r="W446" s="53">
        <f>V446-U446</f>
        <v>0</v>
      </c>
      <c r="X446" s="58"/>
    </row>
    <row r="447" spans="1:28" s="55" customFormat="1" ht="18" hidden="1" customHeight="1">
      <c r="A447" s="583"/>
      <c r="B447" s="576"/>
      <c r="C447" s="577"/>
      <c r="D447" s="174" t="str">
        <f>серпень!D370</f>
        <v>місцевий (план), тис.грн</v>
      </c>
      <c r="E447" s="56"/>
      <c r="F447" s="52"/>
      <c r="G447" s="52"/>
      <c r="H447" s="52"/>
      <c r="I447" s="52"/>
      <c r="J447" s="52"/>
      <c r="K447" s="52"/>
      <c r="L447" s="69">
        <f>SUM(F447:K447)</f>
        <v>0</v>
      </c>
      <c r="M447" s="69">
        <f>L447/6</f>
        <v>0</v>
      </c>
      <c r="N447" s="52"/>
      <c r="O447" s="52"/>
      <c r="P447" s="52"/>
      <c r="Q447" s="52"/>
      <c r="R447" s="52"/>
      <c r="S447" s="52"/>
      <c r="T447" s="69">
        <f>SUM(N447:S447)</f>
        <v>0</v>
      </c>
      <c r="U447" s="69">
        <f>T447+L447</f>
        <v>0</v>
      </c>
      <c r="V447" s="70"/>
      <c r="W447" s="53">
        <f>V447-U447</f>
        <v>0</v>
      </c>
      <c r="X447" s="58"/>
    </row>
    <row r="448" spans="1:28" s="48" customFormat="1" ht="18" hidden="1" customHeight="1">
      <c r="A448" s="583"/>
      <c r="B448" s="576"/>
      <c r="C448" s="577"/>
      <c r="D448" s="178" t="str">
        <f>серпень!D371</f>
        <v>касові нат.п-ки 2025</v>
      </c>
      <c r="E448" s="11"/>
      <c r="F448" s="11"/>
      <c r="G448" s="11"/>
      <c r="H448" s="11"/>
      <c r="I448" s="11"/>
      <c r="J448" s="11"/>
      <c r="K448" s="11"/>
      <c r="L448" s="65">
        <f>SUM(F448:K448)</f>
        <v>0</v>
      </c>
      <c r="M448" s="65">
        <f>L448/6</f>
        <v>0</v>
      </c>
      <c r="N448" s="11"/>
      <c r="O448" s="11"/>
      <c r="P448" s="11"/>
      <c r="Q448" s="11"/>
      <c r="R448" s="11"/>
      <c r="S448" s="11"/>
      <c r="T448" s="65">
        <f>SUM(N448:S448)</f>
        <v>0</v>
      </c>
      <c r="U448" s="65">
        <f>T448+L448</f>
        <v>0</v>
      </c>
      <c r="V448" s="11">
        <f>V443</f>
        <v>0</v>
      </c>
      <c r="W448" s="38">
        <f>V448-U448</f>
        <v>0</v>
      </c>
      <c r="X448" s="47">
        <f>U443-U448</f>
        <v>0</v>
      </c>
    </row>
    <row r="449" spans="1:28" s="51" customFormat="1" ht="18" hidden="1" customHeight="1">
      <c r="A449" s="583"/>
      <c r="B449" s="576"/>
      <c r="C449" s="577"/>
      <c r="D449" s="187" t="str">
        <f>серпень!D372</f>
        <v>тариф, грн.</v>
      </c>
      <c r="E449" s="49" t="e">
        <f>E450/E448*1000</f>
        <v>#DIV/0!</v>
      </c>
      <c r="F449" s="49"/>
      <c r="G449" s="49"/>
      <c r="H449" s="49"/>
      <c r="I449" s="49"/>
      <c r="J449" s="49"/>
      <c r="K449" s="49"/>
      <c r="L449" s="49" t="e">
        <f>L450/L448*1000</f>
        <v>#DIV/0!</v>
      </c>
      <c r="M449" s="49" t="e">
        <f>M450/M448*1000</f>
        <v>#DIV/0!</v>
      </c>
      <c r="N449" s="49"/>
      <c r="O449" s="49"/>
      <c r="P449" s="49"/>
      <c r="Q449" s="49"/>
      <c r="R449" s="49"/>
      <c r="S449" s="49"/>
      <c r="T449" s="49" t="e">
        <f>T450/T448*1000</f>
        <v>#DIV/0!</v>
      </c>
      <c r="U449" s="49" t="e">
        <f>U450/U448*1000</f>
        <v>#DIV/0!</v>
      </c>
      <c r="V449" s="68" t="e">
        <f>V450/V448*1000</f>
        <v>#DIV/0!</v>
      </c>
      <c r="W449" s="14" t="e">
        <f>W450/W448*1000</f>
        <v>#DIV/0!</v>
      </c>
      <c r="X449" s="59"/>
    </row>
    <row r="450" spans="1:28" s="63" customFormat="1" ht="17.7" hidden="1" customHeight="1">
      <c r="A450" s="583"/>
      <c r="B450" s="576"/>
      <c r="C450" s="577"/>
      <c r="D450" s="198" t="str">
        <f>серпень!D373</f>
        <v>касові видатки, тис.грн.</v>
      </c>
      <c r="E450" s="71"/>
      <c r="F450" s="61">
        <f t="shared" ref="F450:K450" si="449">F448*F449/1000</f>
        <v>0</v>
      </c>
      <c r="G450" s="61">
        <f t="shared" si="449"/>
        <v>0</v>
      </c>
      <c r="H450" s="61">
        <f t="shared" si="449"/>
        <v>0</v>
      </c>
      <c r="I450" s="61">
        <f t="shared" si="449"/>
        <v>0</v>
      </c>
      <c r="J450" s="61">
        <f t="shared" si="449"/>
        <v>0</v>
      </c>
      <c r="K450" s="61">
        <f t="shared" si="449"/>
        <v>0</v>
      </c>
      <c r="L450" s="61">
        <f>SUM(F450:K450)</f>
        <v>0</v>
      </c>
      <c r="M450" s="61">
        <f>L450/6</f>
        <v>0</v>
      </c>
      <c r="N450" s="61">
        <f t="shared" ref="N450:S450" si="450">N448*N449/1000</f>
        <v>0</v>
      </c>
      <c r="O450" s="61">
        <f t="shared" si="450"/>
        <v>0</v>
      </c>
      <c r="P450" s="61">
        <f t="shared" si="450"/>
        <v>0</v>
      </c>
      <c r="Q450" s="61">
        <f t="shared" si="450"/>
        <v>0</v>
      </c>
      <c r="R450" s="61">
        <f t="shared" si="450"/>
        <v>0</v>
      </c>
      <c r="S450" s="61">
        <f t="shared" si="450"/>
        <v>0</v>
      </c>
      <c r="T450" s="61">
        <f>SUM(N450:S450)</f>
        <v>0</v>
      </c>
      <c r="U450" s="61">
        <f>T450+L450</f>
        <v>0</v>
      </c>
      <c r="V450" s="61">
        <f>V445</f>
        <v>0</v>
      </c>
      <c r="W450" s="72">
        <f>V450-U450</f>
        <v>0</v>
      </c>
      <c r="X450" s="63">
        <f>U445-U450</f>
        <v>0</v>
      </c>
    </row>
    <row r="451" spans="1:28" s="63" customFormat="1" ht="18" hidden="1" customHeight="1">
      <c r="A451" s="583"/>
      <c r="B451" s="576"/>
      <c r="C451" s="577"/>
      <c r="D451" s="201" t="str">
        <f>серпень!D374</f>
        <v>дотація</v>
      </c>
      <c r="E451" s="71"/>
      <c r="F451" s="61"/>
      <c r="G451" s="61"/>
      <c r="H451" s="61"/>
      <c r="I451" s="61"/>
      <c r="J451" s="61"/>
      <c r="K451" s="61"/>
      <c r="L451" s="61">
        <f>SUM(F451:K451)</f>
        <v>0</v>
      </c>
      <c r="M451" s="61">
        <f>L451/6</f>
        <v>0</v>
      </c>
      <c r="N451" s="61"/>
      <c r="O451" s="61"/>
      <c r="P451" s="61"/>
      <c r="Q451" s="61"/>
      <c r="R451" s="61"/>
      <c r="S451" s="61"/>
      <c r="T451" s="61">
        <f>SUM(N451:S451)</f>
        <v>0</v>
      </c>
      <c r="U451" s="61">
        <f>T451+L451</f>
        <v>0</v>
      </c>
      <c r="V451" s="61">
        <f>V446</f>
        <v>0</v>
      </c>
      <c r="W451" s="72">
        <f>V451-U451</f>
        <v>0</v>
      </c>
      <c r="X451" s="63">
        <f>U446-U451</f>
        <v>0</v>
      </c>
    </row>
    <row r="452" spans="1:28" s="63" customFormat="1" ht="18" hidden="1" customHeight="1">
      <c r="A452" s="583"/>
      <c r="B452" s="576"/>
      <c r="C452" s="577"/>
      <c r="D452" s="201" t="str">
        <f>серпень!D375</f>
        <v xml:space="preserve">місцевий </v>
      </c>
      <c r="E452" s="71"/>
      <c r="F452" s="61">
        <f t="shared" ref="F452:K452" si="451">F450-F451</f>
        <v>0</v>
      </c>
      <c r="G452" s="61">
        <f t="shared" si="451"/>
        <v>0</v>
      </c>
      <c r="H452" s="61">
        <f t="shared" si="451"/>
        <v>0</v>
      </c>
      <c r="I452" s="61">
        <f t="shared" si="451"/>
        <v>0</v>
      </c>
      <c r="J452" s="61">
        <f t="shared" si="451"/>
        <v>0</v>
      </c>
      <c r="K452" s="61">
        <f t="shared" si="451"/>
        <v>0</v>
      </c>
      <c r="L452" s="61">
        <f>SUM(F452:K452)</f>
        <v>0</v>
      </c>
      <c r="M452" s="61">
        <f>L452/6</f>
        <v>0</v>
      </c>
      <c r="N452" s="61">
        <f t="shared" ref="N452:S452" si="452">N450-N451</f>
        <v>0</v>
      </c>
      <c r="O452" s="61">
        <f t="shared" si="452"/>
        <v>0</v>
      </c>
      <c r="P452" s="61">
        <f t="shared" si="452"/>
        <v>0</v>
      </c>
      <c r="Q452" s="61">
        <f t="shared" si="452"/>
        <v>0</v>
      </c>
      <c r="R452" s="61">
        <f t="shared" si="452"/>
        <v>0</v>
      </c>
      <c r="S452" s="61">
        <f t="shared" si="452"/>
        <v>0</v>
      </c>
      <c r="T452" s="61">
        <f>SUM(N452:S452)</f>
        <v>0</v>
      </c>
      <c r="U452" s="61">
        <f>T452+L452</f>
        <v>0</v>
      </c>
      <c r="V452" s="61">
        <f>V447</f>
        <v>0</v>
      </c>
      <c r="W452" s="72">
        <f>V452-U452</f>
        <v>0</v>
      </c>
      <c r="X452" s="63">
        <f>U447-U452</f>
        <v>0</v>
      </c>
    </row>
    <row r="453" spans="1:28" s="43" customFormat="1" ht="18" hidden="1" customHeight="1">
      <c r="A453" s="583"/>
      <c r="B453" s="576"/>
      <c r="C453" s="577"/>
      <c r="D453" s="202" t="str">
        <f>серпень!D376</f>
        <v>план</v>
      </c>
      <c r="E453" s="42"/>
      <c r="F453" s="42">
        <f t="shared" ref="F453:K453" si="453">F447</f>
        <v>0</v>
      </c>
      <c r="G453" s="42">
        <f t="shared" si="453"/>
        <v>0</v>
      </c>
      <c r="H453" s="42">
        <f t="shared" si="453"/>
        <v>0</v>
      </c>
      <c r="I453" s="42">
        <f t="shared" si="453"/>
        <v>0</v>
      </c>
      <c r="J453" s="42">
        <f t="shared" si="453"/>
        <v>0</v>
      </c>
      <c r="K453" s="42">
        <f t="shared" si="453"/>
        <v>0</v>
      </c>
      <c r="L453" s="42">
        <f>SUM(F453:K453)</f>
        <v>0</v>
      </c>
      <c r="M453" s="42">
        <f>L453/6</f>
        <v>0</v>
      </c>
      <c r="N453" s="42">
        <f t="shared" ref="N453:S453" si="454">N447+N446</f>
        <v>0</v>
      </c>
      <c r="O453" s="42">
        <f t="shared" si="454"/>
        <v>0</v>
      </c>
      <c r="P453" s="42">
        <f t="shared" si="454"/>
        <v>0</v>
      </c>
      <c r="Q453" s="42">
        <f t="shared" si="454"/>
        <v>0</v>
      </c>
      <c r="R453" s="42">
        <f t="shared" si="454"/>
        <v>0</v>
      </c>
      <c r="S453" s="42">
        <f t="shared" si="454"/>
        <v>0</v>
      </c>
      <c r="T453" s="42">
        <f>SUM(N453:S453)</f>
        <v>0</v>
      </c>
      <c r="U453" s="42">
        <f>T453+L453</f>
        <v>0</v>
      </c>
      <c r="V453" s="42">
        <f>V450</f>
        <v>0</v>
      </c>
      <c r="W453" s="42">
        <f>V453-U453</f>
        <v>0</v>
      </c>
    </row>
    <row r="454" spans="1:28" s="43" customFormat="1" ht="18" hidden="1" customHeight="1">
      <c r="A454" s="583"/>
      <c r="B454" s="576"/>
      <c r="C454" s="577"/>
      <c r="D454" s="202" t="str">
        <f>серпень!D377</f>
        <v xml:space="preserve">відхилення </v>
      </c>
      <c r="E454" s="42"/>
      <c r="F454" s="42">
        <f t="shared" ref="F454:K454" si="455">F450-F453</f>
        <v>0</v>
      </c>
      <c r="G454" s="42">
        <f t="shared" si="455"/>
        <v>0</v>
      </c>
      <c r="H454" s="42">
        <f t="shared" si="455"/>
        <v>0</v>
      </c>
      <c r="I454" s="42">
        <f t="shared" si="455"/>
        <v>0</v>
      </c>
      <c r="J454" s="42">
        <f t="shared" si="455"/>
        <v>0</v>
      </c>
      <c r="K454" s="42">
        <f t="shared" si="455"/>
        <v>0</v>
      </c>
      <c r="L454" s="42"/>
      <c r="M454" s="42"/>
      <c r="N454" s="42">
        <f t="shared" ref="N454:S454" si="456">N450-N453</f>
        <v>0</v>
      </c>
      <c r="O454" s="42">
        <f t="shared" si="456"/>
        <v>0</v>
      </c>
      <c r="P454" s="42">
        <f t="shared" si="456"/>
        <v>0</v>
      </c>
      <c r="Q454" s="42">
        <f t="shared" si="456"/>
        <v>0</v>
      </c>
      <c r="R454" s="42">
        <f t="shared" si="456"/>
        <v>0</v>
      </c>
      <c r="S454" s="42">
        <f t="shared" si="456"/>
        <v>0</v>
      </c>
      <c r="T454" s="42"/>
      <c r="U454" s="42"/>
      <c r="V454" s="42"/>
      <c r="W454" s="42"/>
    </row>
    <row r="455" spans="1:28" s="43" customFormat="1" ht="18" hidden="1" customHeight="1">
      <c r="A455" s="583"/>
      <c r="B455" s="578"/>
      <c r="C455" s="579"/>
      <c r="D455" s="202" t="str">
        <f>серпень!D378</f>
        <v>відхилення з наростаючим</v>
      </c>
      <c r="E455" s="42"/>
      <c r="F455" s="42">
        <f>F454</f>
        <v>0</v>
      </c>
      <c r="G455" s="42">
        <f>G454+F455</f>
        <v>0</v>
      </c>
      <c r="H455" s="42">
        <f>H454+G455</f>
        <v>0</v>
      </c>
      <c r="I455" s="42">
        <f>I454+H455</f>
        <v>0</v>
      </c>
      <c r="J455" s="42">
        <f>J454+I455</f>
        <v>0</v>
      </c>
      <c r="K455" s="42">
        <f>K454+J455</f>
        <v>0</v>
      </c>
      <c r="L455" s="42"/>
      <c r="M455" s="42"/>
      <c r="N455" s="42">
        <f>N454+K455</f>
        <v>0</v>
      </c>
      <c r="O455" s="42">
        <f>O454+N455</f>
        <v>0</v>
      </c>
      <c r="P455" s="42">
        <f>P454+O455</f>
        <v>0</v>
      </c>
      <c r="Q455" s="42">
        <f>Q454+P455</f>
        <v>0</v>
      </c>
      <c r="R455" s="42">
        <f>R454+Q455</f>
        <v>0</v>
      </c>
      <c r="S455" s="42">
        <f>S454+R455</f>
        <v>0</v>
      </c>
      <c r="T455" s="42"/>
      <c r="U455" s="42"/>
      <c r="V455" s="42"/>
      <c r="W455" s="42"/>
    </row>
    <row r="456" spans="1:28" s="10" customFormat="1" ht="18" hidden="1" customHeight="1">
      <c r="A456" s="583"/>
      <c r="B456" s="580" t="s">
        <v>38</v>
      </c>
      <c r="C456" s="575"/>
      <c r="D456" s="178" t="str">
        <f>серпень!D379</f>
        <v>факт. нат.п-ки 2023</v>
      </c>
      <c r="E456" s="11"/>
      <c r="F456" s="12"/>
      <c r="G456" s="12"/>
      <c r="H456" s="12"/>
      <c r="I456" s="12"/>
      <c r="J456" s="12"/>
      <c r="K456" s="12"/>
      <c r="L456" s="65">
        <f>SUM(F456:K456)</f>
        <v>0</v>
      </c>
      <c r="M456" s="65">
        <f>L456/6</f>
        <v>0</v>
      </c>
      <c r="N456" s="12"/>
      <c r="O456" s="12"/>
      <c r="P456" s="12"/>
      <c r="Q456" s="12"/>
      <c r="R456" s="12"/>
      <c r="S456" s="12"/>
      <c r="T456" s="65">
        <f>SUM(N456:S456)</f>
        <v>0</v>
      </c>
      <c r="U456" s="66">
        <f>T456+L456</f>
        <v>0</v>
      </c>
      <c r="V456" s="67"/>
      <c r="W456" s="38">
        <f>V456-U456</f>
        <v>0</v>
      </c>
      <c r="X456" s="36"/>
      <c r="Y456" s="3"/>
      <c r="Z456" s="3"/>
      <c r="AA456" s="3"/>
      <c r="AB456" s="3"/>
    </row>
    <row r="457" spans="1:28" s="48" customFormat="1" ht="18" hidden="1" customHeight="1">
      <c r="A457" s="583"/>
      <c r="B457" s="576"/>
      <c r="C457" s="577"/>
      <c r="D457" s="178" t="str">
        <f>серпень!D380</f>
        <v>факт. нат.п-ки 2024</v>
      </c>
      <c r="E457" s="11"/>
      <c r="F457" s="12"/>
      <c r="G457" s="12"/>
      <c r="H457" s="12"/>
      <c r="I457" s="12"/>
      <c r="J457" s="12"/>
      <c r="K457" s="12"/>
      <c r="L457" s="65">
        <f>SUM(F457:K457)</f>
        <v>0</v>
      </c>
      <c r="M457" s="65">
        <f>L457/6</f>
        <v>0</v>
      </c>
      <c r="N457" s="11"/>
      <c r="O457" s="11"/>
      <c r="P457" s="11"/>
      <c r="Q457" s="11"/>
      <c r="R457" s="11"/>
      <c r="S457" s="11"/>
      <c r="T457" s="65">
        <f>SUM(N457:S457)</f>
        <v>0</v>
      </c>
      <c r="U457" s="66">
        <f>T457+L457</f>
        <v>0</v>
      </c>
      <c r="V457" s="67"/>
      <c r="W457" s="38">
        <f>V457-U457</f>
        <v>0</v>
      </c>
      <c r="X457" s="47"/>
    </row>
    <row r="458" spans="1:28" s="10" customFormat="1" ht="18" hidden="1" customHeight="1">
      <c r="A458" s="583"/>
      <c r="B458" s="576"/>
      <c r="C458" s="577"/>
      <c r="D458" s="178" t="str">
        <f>серпень!D381</f>
        <v>факт. нат.п-ки 2025</v>
      </c>
      <c r="E458" s="11"/>
      <c r="F458" s="12"/>
      <c r="G458" s="12"/>
      <c r="H458" s="12"/>
      <c r="I458" s="12"/>
      <c r="J458" s="12"/>
      <c r="K458" s="12"/>
      <c r="L458" s="65">
        <f>SUM(F458:K458)</f>
        <v>0</v>
      </c>
      <c r="M458" s="65">
        <f>L458/6</f>
        <v>0</v>
      </c>
      <c r="N458" s="12"/>
      <c r="O458" s="12"/>
      <c r="P458" s="12"/>
      <c r="Q458" s="12"/>
      <c r="R458" s="12"/>
      <c r="S458" s="11"/>
      <c r="T458" s="65">
        <f>SUM(N458:S458)</f>
        <v>0</v>
      </c>
      <c r="U458" s="66">
        <f>T458+L458</f>
        <v>0</v>
      </c>
      <c r="V458" s="11"/>
      <c r="W458" s="38">
        <f>V458-U458</f>
        <v>0</v>
      </c>
      <c r="X458" s="36"/>
      <c r="Y458" s="3"/>
      <c r="Z458" s="3"/>
      <c r="AA458" s="3"/>
      <c r="AB458" s="3"/>
    </row>
    <row r="459" spans="1:28" s="114" customFormat="1" ht="18" hidden="1" customHeight="1">
      <c r="A459" s="583"/>
      <c r="B459" s="576"/>
      <c r="C459" s="577"/>
      <c r="D459" s="187" t="str">
        <f>серпень!D382</f>
        <v>тариф, грн.</v>
      </c>
      <c r="E459" s="49"/>
      <c r="F459" s="49">
        <v>10.56</v>
      </c>
      <c r="G459" s="49">
        <v>10.56</v>
      </c>
      <c r="H459" s="49">
        <v>10.56</v>
      </c>
      <c r="I459" s="49">
        <v>10.56</v>
      </c>
      <c r="J459" s="49">
        <v>10.56</v>
      </c>
      <c r="K459" s="49">
        <v>10.56</v>
      </c>
      <c r="L459" s="49" t="e">
        <f>L460/L458*1000</f>
        <v>#DIV/0!</v>
      </c>
      <c r="M459" s="49" t="e">
        <f>M460/M458*1000</f>
        <v>#DIV/0!</v>
      </c>
      <c r="N459" s="49">
        <v>10.56</v>
      </c>
      <c r="O459" s="49">
        <v>10.56</v>
      </c>
      <c r="P459" s="49">
        <v>10.56</v>
      </c>
      <c r="Q459" s="49">
        <v>10.56</v>
      </c>
      <c r="R459" s="49">
        <v>10.56</v>
      </c>
      <c r="S459" s="49">
        <v>10.56</v>
      </c>
      <c r="T459" s="49" t="e">
        <f>T460/T458*1000</f>
        <v>#DIV/0!</v>
      </c>
      <c r="U459" s="49" t="e">
        <f>U460/U458*1000</f>
        <v>#DIV/0!</v>
      </c>
      <c r="V459" s="68" t="e">
        <f>V460/V458*1000</f>
        <v>#DIV/0!</v>
      </c>
      <c r="W459" s="14" t="e">
        <f>W460/W458*1000</f>
        <v>#DIV/0!</v>
      </c>
      <c r="X459" s="36"/>
      <c r="Y459" s="3"/>
      <c r="Z459" s="3"/>
      <c r="AA459" s="3"/>
      <c r="AB459" s="3"/>
    </row>
    <row r="460" spans="1:28" s="114" customFormat="1" ht="18" hidden="1" customHeight="1">
      <c r="A460" s="583"/>
      <c r="B460" s="576"/>
      <c r="C460" s="577"/>
      <c r="D460" s="191" t="str">
        <f>серпень!D383</f>
        <v>сума, тис.грн.</v>
      </c>
      <c r="E460" s="52"/>
      <c r="F460" s="52">
        <f t="shared" ref="F460:K460" si="457">F458*F459/1000</f>
        <v>0</v>
      </c>
      <c r="G460" s="52">
        <f t="shared" si="457"/>
        <v>0</v>
      </c>
      <c r="H460" s="52">
        <f t="shared" si="457"/>
        <v>0</v>
      </c>
      <c r="I460" s="52">
        <f t="shared" si="457"/>
        <v>0</v>
      </c>
      <c r="J460" s="52">
        <f t="shared" si="457"/>
        <v>0</v>
      </c>
      <c r="K460" s="52">
        <f t="shared" si="457"/>
        <v>0</v>
      </c>
      <c r="L460" s="69">
        <f>SUM(F460:K460)</f>
        <v>0</v>
      </c>
      <c r="M460" s="69">
        <f>L460/6</f>
        <v>0</v>
      </c>
      <c r="N460" s="52">
        <f t="shared" ref="N460:S460" si="458">N458*N459/1000</f>
        <v>0</v>
      </c>
      <c r="O460" s="52">
        <f t="shared" si="458"/>
        <v>0</v>
      </c>
      <c r="P460" s="52">
        <f t="shared" si="458"/>
        <v>0</v>
      </c>
      <c r="Q460" s="52">
        <f t="shared" si="458"/>
        <v>0</v>
      </c>
      <c r="R460" s="52">
        <f t="shared" si="458"/>
        <v>0</v>
      </c>
      <c r="S460" s="52">
        <f t="shared" si="458"/>
        <v>0</v>
      </c>
      <c r="T460" s="69">
        <f>SUM(N460:S460)</f>
        <v>0</v>
      </c>
      <c r="U460" s="69">
        <f>T460+L460</f>
        <v>0</v>
      </c>
      <c r="V460" s="70">
        <f>V461+V462</f>
        <v>0</v>
      </c>
      <c r="W460" s="53">
        <f>V460-U460</f>
        <v>0</v>
      </c>
      <c r="X460" s="113"/>
    </row>
    <row r="461" spans="1:28" s="114" customFormat="1" ht="18" hidden="1" customHeight="1">
      <c r="A461" s="583"/>
      <c r="B461" s="576"/>
      <c r="C461" s="577"/>
      <c r="D461" s="174" t="str">
        <f>серпень!D384</f>
        <v>дотація</v>
      </c>
      <c r="E461" s="56"/>
      <c r="F461" s="52"/>
      <c r="G461" s="52"/>
      <c r="H461" s="52"/>
      <c r="I461" s="52"/>
      <c r="J461" s="52"/>
      <c r="K461" s="52"/>
      <c r="L461" s="69">
        <f>SUM(F461:K461)</f>
        <v>0</v>
      </c>
      <c r="M461" s="69">
        <f>L461/6</f>
        <v>0</v>
      </c>
      <c r="N461" s="52"/>
      <c r="O461" s="52"/>
      <c r="P461" s="52"/>
      <c r="Q461" s="52"/>
      <c r="R461" s="52"/>
      <c r="S461" s="52"/>
      <c r="T461" s="69">
        <f>SUM(N461:S461)</f>
        <v>0</v>
      </c>
      <c r="U461" s="69">
        <f>T461+L461</f>
        <v>0</v>
      </c>
      <c r="V461" s="70">
        <v>0</v>
      </c>
      <c r="W461" s="53">
        <f>V461-U461</f>
        <v>0</v>
      </c>
      <c r="X461" s="113"/>
    </row>
    <row r="462" spans="1:28" s="114" customFormat="1" ht="18" hidden="1" customHeight="1">
      <c r="A462" s="583"/>
      <c r="B462" s="576"/>
      <c r="C462" s="577"/>
      <c r="D462" s="174" t="str">
        <f>серпень!D385</f>
        <v>місцевий (план), тис.грн</v>
      </c>
      <c r="E462" s="56"/>
      <c r="F462" s="52"/>
      <c r="G462" s="52"/>
      <c r="H462" s="52"/>
      <c r="I462" s="52"/>
      <c r="J462" s="52"/>
      <c r="K462" s="52"/>
      <c r="L462" s="69">
        <f>SUM(F462:K462)</f>
        <v>0</v>
      </c>
      <c r="M462" s="69">
        <f>L462/6</f>
        <v>0</v>
      </c>
      <c r="N462" s="52"/>
      <c r="O462" s="52"/>
      <c r="P462" s="52"/>
      <c r="Q462" s="52"/>
      <c r="R462" s="52"/>
      <c r="S462" s="52"/>
      <c r="T462" s="69">
        <f>SUM(N462:S462)</f>
        <v>0</v>
      </c>
      <c r="U462" s="69">
        <f>T462+L462</f>
        <v>0</v>
      </c>
      <c r="V462" s="70"/>
      <c r="W462" s="53">
        <f>V462-U462</f>
        <v>0</v>
      </c>
      <c r="X462" s="113"/>
    </row>
    <row r="463" spans="1:28" s="3" customFormat="1" ht="18" hidden="1" customHeight="1">
      <c r="A463" s="583"/>
      <c r="B463" s="576"/>
      <c r="C463" s="577"/>
      <c r="D463" s="178" t="str">
        <f>серпень!D386</f>
        <v>касові нат.п-ки 2025</v>
      </c>
      <c r="E463" s="11"/>
      <c r="F463" s="11"/>
      <c r="G463" s="11"/>
      <c r="H463" s="11"/>
      <c r="I463" s="11"/>
      <c r="J463" s="11"/>
      <c r="K463" s="11"/>
      <c r="L463" s="65">
        <f>SUM(F463:K463)</f>
        <v>0</v>
      </c>
      <c r="M463" s="65">
        <f>L463/6</f>
        <v>0</v>
      </c>
      <c r="N463" s="11"/>
      <c r="O463" s="11"/>
      <c r="P463" s="11"/>
      <c r="Q463" s="11"/>
      <c r="R463" s="11"/>
      <c r="S463" s="11">
        <f>S458+R458</f>
        <v>0</v>
      </c>
      <c r="T463" s="65">
        <f>SUM(N463:S463)</f>
        <v>0</v>
      </c>
      <c r="U463" s="65">
        <f>T463+L463</f>
        <v>0</v>
      </c>
      <c r="V463" s="11">
        <f>V458</f>
        <v>0</v>
      </c>
      <c r="W463" s="38">
        <f>V463-U463</f>
        <v>0</v>
      </c>
      <c r="X463" s="47">
        <f>U458-U463</f>
        <v>0</v>
      </c>
    </row>
    <row r="464" spans="1:28" s="73" customFormat="1" ht="18" hidden="1" customHeight="1">
      <c r="A464" s="583"/>
      <c r="B464" s="576"/>
      <c r="C464" s="577"/>
      <c r="D464" s="187" t="str">
        <f>серпень!D387</f>
        <v>тариф, грн.</v>
      </c>
      <c r="E464" s="49" t="e">
        <f>E465/E463*1000</f>
        <v>#DIV/0!</v>
      </c>
      <c r="F464" s="49">
        <v>10.56</v>
      </c>
      <c r="G464" s="49">
        <v>10.56</v>
      </c>
      <c r="H464" s="49">
        <v>10.56</v>
      </c>
      <c r="I464" s="49">
        <v>10.56</v>
      </c>
      <c r="J464" s="49">
        <v>10.56</v>
      </c>
      <c r="K464" s="49">
        <v>10.56</v>
      </c>
      <c r="L464" s="49" t="e">
        <f>L465/L463*1000</f>
        <v>#DIV/0!</v>
      </c>
      <c r="M464" s="49" t="e">
        <f>M465/M463*1000</f>
        <v>#DIV/0!</v>
      </c>
      <c r="N464" s="49">
        <v>10.56</v>
      </c>
      <c r="O464" s="49">
        <v>10.56</v>
      </c>
      <c r="P464" s="49">
        <v>10.56</v>
      </c>
      <c r="Q464" s="49">
        <v>10.56</v>
      </c>
      <c r="R464" s="49">
        <v>10.56</v>
      </c>
      <c r="S464" s="49">
        <v>10.56</v>
      </c>
      <c r="T464" s="49" t="e">
        <f>T465/T463*1000</f>
        <v>#DIV/0!</v>
      </c>
      <c r="U464" s="49" t="e">
        <f>U465/U463*1000</f>
        <v>#DIV/0!</v>
      </c>
      <c r="V464" s="68" t="e">
        <f>V465/V463*1000</f>
        <v>#DIV/0!</v>
      </c>
      <c r="W464" s="14" t="e">
        <f>W465/W463*1000</f>
        <v>#DIV/0!</v>
      </c>
      <c r="X464" s="59"/>
      <c r="Y464" s="36"/>
      <c r="Z464" s="36"/>
      <c r="AA464" s="36"/>
      <c r="AB464" s="36"/>
    </row>
    <row r="465" spans="1:24" s="126" customFormat="1" ht="18" hidden="1" customHeight="1">
      <c r="A465" s="583"/>
      <c r="B465" s="576"/>
      <c r="C465" s="577"/>
      <c r="D465" s="198" t="str">
        <f>серпень!D388</f>
        <v>касові видатки, тис.грн.</v>
      </c>
      <c r="E465" s="71"/>
      <c r="F465" s="61">
        <f t="shared" ref="F465:K465" si="459">F463*F464/1000</f>
        <v>0</v>
      </c>
      <c r="G465" s="61">
        <f t="shared" si="459"/>
        <v>0</v>
      </c>
      <c r="H465" s="61">
        <f t="shared" si="459"/>
        <v>0</v>
      </c>
      <c r="I465" s="61">
        <f t="shared" si="459"/>
        <v>0</v>
      </c>
      <c r="J465" s="61">
        <f t="shared" si="459"/>
        <v>0</v>
      </c>
      <c r="K465" s="61">
        <f t="shared" si="459"/>
        <v>0</v>
      </c>
      <c r="L465" s="61">
        <f>SUM(F465:K465)</f>
        <v>0</v>
      </c>
      <c r="M465" s="61">
        <f>L465/6</f>
        <v>0</v>
      </c>
      <c r="N465" s="61">
        <f t="shared" ref="N465:S465" si="460">N463*N464/1000</f>
        <v>0</v>
      </c>
      <c r="O465" s="61">
        <f t="shared" si="460"/>
        <v>0</v>
      </c>
      <c r="P465" s="61">
        <f t="shared" si="460"/>
        <v>0</v>
      </c>
      <c r="Q465" s="61">
        <f t="shared" si="460"/>
        <v>0</v>
      </c>
      <c r="R465" s="61">
        <f t="shared" si="460"/>
        <v>0</v>
      </c>
      <c r="S465" s="61">
        <f t="shared" si="460"/>
        <v>0</v>
      </c>
      <c r="T465" s="61">
        <f>SUM(N465:S465)</f>
        <v>0</v>
      </c>
      <c r="U465" s="61">
        <f>T465+L465</f>
        <v>0</v>
      </c>
      <c r="V465" s="61">
        <f>V460</f>
        <v>0</v>
      </c>
      <c r="W465" s="72">
        <f>V465-U465</f>
        <v>0</v>
      </c>
      <c r="X465" s="63">
        <f>U460-U465</f>
        <v>0</v>
      </c>
    </row>
    <row r="466" spans="1:24" s="126" customFormat="1" ht="18" hidden="1" customHeight="1">
      <c r="A466" s="583"/>
      <c r="B466" s="576"/>
      <c r="C466" s="577"/>
      <c r="D466" s="201" t="str">
        <f>серпень!D389</f>
        <v>дотація</v>
      </c>
      <c r="E466" s="71"/>
      <c r="F466" s="61"/>
      <c r="G466" s="61"/>
      <c r="H466" s="61"/>
      <c r="I466" s="61"/>
      <c r="J466" s="61"/>
      <c r="K466" s="61"/>
      <c r="L466" s="61">
        <f>SUM(F466:K466)</f>
        <v>0</v>
      </c>
      <c r="M466" s="61">
        <f>L466/6</f>
        <v>0</v>
      </c>
      <c r="N466" s="61"/>
      <c r="O466" s="61"/>
      <c r="P466" s="61"/>
      <c r="Q466" s="61"/>
      <c r="R466" s="61"/>
      <c r="S466" s="61"/>
      <c r="T466" s="61">
        <f>SUM(N466:S466)</f>
        <v>0</v>
      </c>
      <c r="U466" s="61">
        <f>T466+L466</f>
        <v>0</v>
      </c>
      <c r="V466" s="61">
        <f>V461</f>
        <v>0</v>
      </c>
      <c r="W466" s="72">
        <f>V466-U466</f>
        <v>0</v>
      </c>
      <c r="X466" s="63">
        <f>U461-U466</f>
        <v>0</v>
      </c>
    </row>
    <row r="467" spans="1:24" s="126" customFormat="1" ht="18" hidden="1" customHeight="1">
      <c r="A467" s="583"/>
      <c r="B467" s="576"/>
      <c r="C467" s="577"/>
      <c r="D467" s="201" t="str">
        <f>серпень!D390</f>
        <v xml:space="preserve">місцевий </v>
      </c>
      <c r="E467" s="71"/>
      <c r="F467" s="61">
        <f t="shared" ref="F467:K467" si="461">F465-F466</f>
        <v>0</v>
      </c>
      <c r="G467" s="61">
        <f t="shared" si="461"/>
        <v>0</v>
      </c>
      <c r="H467" s="61">
        <f t="shared" si="461"/>
        <v>0</v>
      </c>
      <c r="I467" s="61">
        <f t="shared" si="461"/>
        <v>0</v>
      </c>
      <c r="J467" s="61">
        <f t="shared" si="461"/>
        <v>0</v>
      </c>
      <c r="K467" s="61">
        <f t="shared" si="461"/>
        <v>0</v>
      </c>
      <c r="L467" s="61">
        <f>SUM(F467:K467)</f>
        <v>0</v>
      </c>
      <c r="M467" s="61">
        <f>L467/6</f>
        <v>0</v>
      </c>
      <c r="N467" s="61">
        <f t="shared" ref="N467:S467" si="462">N465-N466</f>
        <v>0</v>
      </c>
      <c r="O467" s="61">
        <f t="shared" si="462"/>
        <v>0</v>
      </c>
      <c r="P467" s="61">
        <f t="shared" si="462"/>
        <v>0</v>
      </c>
      <c r="Q467" s="61">
        <f t="shared" si="462"/>
        <v>0</v>
      </c>
      <c r="R467" s="61">
        <f t="shared" si="462"/>
        <v>0</v>
      </c>
      <c r="S467" s="61">
        <f t="shared" si="462"/>
        <v>0</v>
      </c>
      <c r="T467" s="61">
        <f>SUM(N467:S467)</f>
        <v>0</v>
      </c>
      <c r="U467" s="61">
        <f>T467+L467</f>
        <v>0</v>
      </c>
      <c r="V467" s="61">
        <f>V462</f>
        <v>0</v>
      </c>
      <c r="W467" s="72">
        <f>V467-U467</f>
        <v>0</v>
      </c>
      <c r="X467" s="63">
        <f>U462-U467</f>
        <v>0</v>
      </c>
    </row>
    <row r="468" spans="1:24" s="43" customFormat="1" ht="18" hidden="1" customHeight="1">
      <c r="A468" s="583"/>
      <c r="B468" s="576"/>
      <c r="C468" s="577"/>
      <c r="D468" s="202" t="str">
        <f>серпень!D391</f>
        <v>план</v>
      </c>
      <c r="E468" s="42"/>
      <c r="F468" s="42">
        <f t="shared" ref="F468:K468" si="463">F462</f>
        <v>0</v>
      </c>
      <c r="G468" s="42">
        <f t="shared" si="463"/>
        <v>0</v>
      </c>
      <c r="H468" s="42">
        <f t="shared" si="463"/>
        <v>0</v>
      </c>
      <c r="I468" s="42">
        <f t="shared" si="463"/>
        <v>0</v>
      </c>
      <c r="J468" s="42">
        <f t="shared" si="463"/>
        <v>0</v>
      </c>
      <c r="K468" s="42">
        <f t="shared" si="463"/>
        <v>0</v>
      </c>
      <c r="L468" s="42">
        <f>SUM(F468:K468)</f>
        <v>0</v>
      </c>
      <c r="M468" s="42">
        <f>L468/6</f>
        <v>0</v>
      </c>
      <c r="N468" s="42">
        <f t="shared" ref="N468:S468" si="464">N462+N461</f>
        <v>0</v>
      </c>
      <c r="O468" s="42">
        <f t="shared" si="464"/>
        <v>0</v>
      </c>
      <c r="P468" s="42">
        <f t="shared" si="464"/>
        <v>0</v>
      </c>
      <c r="Q468" s="42">
        <f t="shared" si="464"/>
        <v>0</v>
      </c>
      <c r="R468" s="42">
        <f t="shared" si="464"/>
        <v>0</v>
      </c>
      <c r="S468" s="42">
        <f t="shared" si="464"/>
        <v>0</v>
      </c>
      <c r="T468" s="42">
        <f>SUM(N468:S468)</f>
        <v>0</v>
      </c>
      <c r="U468" s="42">
        <f>T468+L468</f>
        <v>0</v>
      </c>
      <c r="V468" s="42">
        <f>V465</f>
        <v>0</v>
      </c>
      <c r="W468" s="42">
        <f>V468-U468</f>
        <v>0</v>
      </c>
    </row>
    <row r="469" spans="1:24" s="43" customFormat="1" ht="18" hidden="1" customHeight="1">
      <c r="A469" s="583"/>
      <c r="B469" s="576"/>
      <c r="C469" s="577"/>
      <c r="D469" s="202" t="str">
        <f>серпень!D392</f>
        <v xml:space="preserve">відхилення </v>
      </c>
      <c r="E469" s="42"/>
      <c r="F469" s="42">
        <f t="shared" ref="F469:K469" si="465">F465-F468</f>
        <v>0</v>
      </c>
      <c r="G469" s="42">
        <f t="shared" si="465"/>
        <v>0</v>
      </c>
      <c r="H469" s="42">
        <f t="shared" si="465"/>
        <v>0</v>
      </c>
      <c r="I469" s="42">
        <f t="shared" si="465"/>
        <v>0</v>
      </c>
      <c r="J469" s="42">
        <f t="shared" si="465"/>
        <v>0</v>
      </c>
      <c r="K469" s="42">
        <f t="shared" si="465"/>
        <v>0</v>
      </c>
      <c r="L469" s="42"/>
      <c r="M469" s="42"/>
      <c r="N469" s="42">
        <f t="shared" ref="N469:S469" si="466">N465-N468</f>
        <v>0</v>
      </c>
      <c r="O469" s="42">
        <f t="shared" si="466"/>
        <v>0</v>
      </c>
      <c r="P469" s="42">
        <f t="shared" si="466"/>
        <v>0</v>
      </c>
      <c r="Q469" s="42">
        <f t="shared" si="466"/>
        <v>0</v>
      </c>
      <c r="R469" s="42">
        <f t="shared" si="466"/>
        <v>0</v>
      </c>
      <c r="S469" s="42">
        <f t="shared" si="466"/>
        <v>0</v>
      </c>
      <c r="T469" s="42"/>
      <c r="U469" s="42"/>
      <c r="V469" s="42"/>
      <c r="W469" s="42"/>
    </row>
    <row r="470" spans="1:24" s="43" customFormat="1" ht="18" hidden="1" customHeight="1">
      <c r="A470" s="584"/>
      <c r="B470" s="578"/>
      <c r="C470" s="579"/>
      <c r="D470" s="202" t="str">
        <f>серпень!D393</f>
        <v>відхилення з наростаючим</v>
      </c>
      <c r="E470" s="42"/>
      <c r="F470" s="42">
        <f>F469</f>
        <v>0</v>
      </c>
      <c r="G470" s="42">
        <f>G469+F470</f>
        <v>0</v>
      </c>
      <c r="H470" s="42">
        <f>H469+G470</f>
        <v>0</v>
      </c>
      <c r="I470" s="42">
        <f>I469+H470</f>
        <v>0</v>
      </c>
      <c r="J470" s="42">
        <f>J469+I470</f>
        <v>0</v>
      </c>
      <c r="K470" s="42">
        <f>K469+J470</f>
        <v>0</v>
      </c>
      <c r="L470" s="42"/>
      <c r="M470" s="42"/>
      <c r="N470" s="42">
        <f>N469+K470</f>
        <v>0</v>
      </c>
      <c r="O470" s="42">
        <f>O469+N470</f>
        <v>0</v>
      </c>
      <c r="P470" s="42">
        <f>P469+O470</f>
        <v>0</v>
      </c>
      <c r="Q470" s="42">
        <f>Q469+P470</f>
        <v>0</v>
      </c>
      <c r="R470" s="42">
        <f>R469+Q470</f>
        <v>0</v>
      </c>
      <c r="S470" s="42">
        <f>S469+R470</f>
        <v>0</v>
      </c>
      <c r="T470" s="42"/>
      <c r="U470" s="42"/>
      <c r="V470" s="42"/>
      <c r="W470" s="42"/>
    </row>
    <row r="471" spans="1:24" s="55" customFormat="1" ht="18" customHeight="1">
      <c r="A471" s="591">
        <v>2273</v>
      </c>
      <c r="B471" s="580" t="s">
        <v>26</v>
      </c>
      <c r="C471" s="575"/>
      <c r="D471" s="178" t="str">
        <f>серпень!D394</f>
        <v>факт. нат.п-ки 2023</v>
      </c>
      <c r="E471" s="11"/>
      <c r="F471" s="12">
        <f t="shared" ref="F471:K473" si="467">F486+F501</f>
        <v>31441.3</v>
      </c>
      <c r="G471" s="12">
        <f t="shared" si="467"/>
        <v>25925.9</v>
      </c>
      <c r="H471" s="12">
        <f t="shared" si="467"/>
        <v>13855.4</v>
      </c>
      <c r="I471" s="12">
        <f t="shared" si="467"/>
        <v>15119.5</v>
      </c>
      <c r="J471" s="12">
        <f t="shared" si="467"/>
        <v>8412.7000000000007</v>
      </c>
      <c r="K471" s="12">
        <f t="shared" si="467"/>
        <v>5386</v>
      </c>
      <c r="L471" s="65">
        <f>SUM(F471:K471)</f>
        <v>100140.8</v>
      </c>
      <c r="M471" s="65">
        <f>L471/6</f>
        <v>16690.099999999999</v>
      </c>
      <c r="N471" s="12">
        <f t="shared" ref="N471:S473" si="468">N486+N501</f>
        <v>4003.2</v>
      </c>
      <c r="O471" s="12">
        <f t="shared" si="468"/>
        <v>4243.7</v>
      </c>
      <c r="P471" s="12">
        <f t="shared" si="468"/>
        <v>3948.8</v>
      </c>
      <c r="Q471" s="12">
        <f t="shared" si="468"/>
        <v>12272.4</v>
      </c>
      <c r="R471" s="12">
        <f t="shared" si="468"/>
        <v>17339.599999999999</v>
      </c>
      <c r="S471" s="12">
        <f t="shared" si="468"/>
        <v>11827.5</v>
      </c>
      <c r="T471" s="65">
        <f>SUM(N471:S471)</f>
        <v>53635.199999999997</v>
      </c>
      <c r="U471" s="65">
        <f>T471+L471</f>
        <v>153776</v>
      </c>
      <c r="V471" s="76">
        <f>V486+V501</f>
        <v>0</v>
      </c>
      <c r="W471" s="38"/>
      <c r="X471" s="47"/>
    </row>
    <row r="472" spans="1:24" s="48" customFormat="1" ht="18" customHeight="1">
      <c r="A472" s="592"/>
      <c r="B472" s="576"/>
      <c r="C472" s="577"/>
      <c r="D472" s="178" t="str">
        <f>серпень!D395</f>
        <v>факт. нат.п-ки 2024</v>
      </c>
      <c r="E472" s="11"/>
      <c r="F472" s="12">
        <f t="shared" si="467"/>
        <v>17910.7</v>
      </c>
      <c r="G472" s="12">
        <f t="shared" si="467"/>
        <v>16532.400000000001</v>
      </c>
      <c r="H472" s="12">
        <f t="shared" si="467"/>
        <v>13403.4</v>
      </c>
      <c r="I472" s="12">
        <f t="shared" si="467"/>
        <v>5101.3999999999996</v>
      </c>
      <c r="J472" s="12">
        <f>J487+J502</f>
        <v>5150.8999999999996</v>
      </c>
      <c r="K472" s="12">
        <f t="shared" si="467"/>
        <v>3415.7</v>
      </c>
      <c r="L472" s="65">
        <f>SUM(F472:K472)</f>
        <v>61514.5</v>
      </c>
      <c r="M472" s="65">
        <f>L472/6</f>
        <v>10252.4</v>
      </c>
      <c r="N472" s="12">
        <f t="shared" si="468"/>
        <v>2499.1</v>
      </c>
      <c r="O472" s="12">
        <f t="shared" si="468"/>
        <v>3435.2</v>
      </c>
      <c r="P472" s="12">
        <f t="shared" si="468"/>
        <v>4878.3</v>
      </c>
      <c r="Q472" s="12">
        <f t="shared" si="468"/>
        <v>10220.799999999999</v>
      </c>
      <c r="R472" s="12">
        <f t="shared" si="468"/>
        <v>17339.599999999999</v>
      </c>
      <c r="S472" s="12">
        <f t="shared" si="468"/>
        <v>15852</v>
      </c>
      <c r="T472" s="65">
        <f>SUM(N472:S472)</f>
        <v>54225</v>
      </c>
      <c r="U472" s="65">
        <f>T472+L472</f>
        <v>115739.5</v>
      </c>
      <c r="V472" s="76">
        <f>V487+V502</f>
        <v>153671.20000000001</v>
      </c>
      <c r="W472" s="38"/>
      <c r="X472" s="47"/>
    </row>
    <row r="473" spans="1:24" s="48" customFormat="1" ht="18" customHeight="1">
      <c r="A473" s="592"/>
      <c r="B473" s="576"/>
      <c r="C473" s="577"/>
      <c r="D473" s="178" t="str">
        <f>серпень!D396</f>
        <v>факт. нат.п-ки 2025</v>
      </c>
      <c r="E473" s="11"/>
      <c r="F473" s="12">
        <f t="shared" si="467"/>
        <v>17388.8</v>
      </c>
      <c r="G473" s="12">
        <f t="shared" si="467"/>
        <v>15353.8</v>
      </c>
      <c r="H473" s="12">
        <f t="shared" si="467"/>
        <v>19502.3</v>
      </c>
      <c r="I473" s="12">
        <f t="shared" si="467"/>
        <v>15700</v>
      </c>
      <c r="J473" s="12">
        <f>J488+J503</f>
        <v>17440.2</v>
      </c>
      <c r="K473" s="12">
        <f t="shared" si="467"/>
        <v>5809.1</v>
      </c>
      <c r="L473" s="125">
        <f>SUM(F473:K473)</f>
        <v>91194.2</v>
      </c>
      <c r="M473" s="65">
        <f>L473/6</f>
        <v>15199</v>
      </c>
      <c r="N473" s="12">
        <f t="shared" si="468"/>
        <v>4103.8999999999996</v>
      </c>
      <c r="O473" s="12">
        <f t="shared" si="468"/>
        <v>3780.7</v>
      </c>
      <c r="P473" s="12">
        <f t="shared" si="468"/>
        <v>4878.3</v>
      </c>
      <c r="Q473" s="12">
        <f t="shared" si="468"/>
        <v>11422.4</v>
      </c>
      <c r="R473" s="12">
        <f t="shared" si="468"/>
        <v>17339.599999999999</v>
      </c>
      <c r="S473" s="12">
        <f t="shared" si="468"/>
        <v>17633.099999999999</v>
      </c>
      <c r="T473" s="65">
        <f>SUM(N473:S473)</f>
        <v>59158</v>
      </c>
      <c r="U473" s="65">
        <f>T473+L473</f>
        <v>150352.20000000001</v>
      </c>
      <c r="V473" s="76">
        <f>V488+V503</f>
        <v>145912.5</v>
      </c>
      <c r="W473" s="38">
        <f>V473-U473</f>
        <v>-4439.7</v>
      </c>
      <c r="X473" s="47"/>
    </row>
    <row r="474" spans="1:24" s="51" customFormat="1" ht="18" customHeight="1">
      <c r="A474" s="592"/>
      <c r="B474" s="576"/>
      <c r="C474" s="577"/>
      <c r="D474" s="187" t="str">
        <f>серпень!D397</f>
        <v>тариф, грн.</v>
      </c>
      <c r="E474" s="49" t="e">
        <f>E475/E473*1000</f>
        <v>#DIV/0!</v>
      </c>
      <c r="F474" s="131">
        <f t="shared" ref="F474:S474" si="469">F475/F473*1000</f>
        <v>7.1888800000000002</v>
      </c>
      <c r="G474" s="131">
        <f t="shared" si="469"/>
        <v>7.7959199999999997</v>
      </c>
      <c r="H474" s="131">
        <f t="shared" si="469"/>
        <v>6.2741829999999998</v>
      </c>
      <c r="I474" s="131">
        <f t="shared" si="469"/>
        <v>5.907006</v>
      </c>
      <c r="J474" s="131">
        <f t="shared" si="469"/>
        <v>5.1854339999999999</v>
      </c>
      <c r="K474" s="131">
        <f t="shared" si="469"/>
        <v>6.3935890000000004</v>
      </c>
      <c r="L474" s="129">
        <f t="shared" si="469"/>
        <v>6.4409799999999997</v>
      </c>
      <c r="M474" s="129">
        <f t="shared" si="469"/>
        <v>6.44102</v>
      </c>
      <c r="N474" s="131">
        <f t="shared" si="469"/>
        <v>6.300592</v>
      </c>
      <c r="O474" s="131">
        <f t="shared" si="469"/>
        <v>6.2303280000000001</v>
      </c>
      <c r="P474" s="131">
        <f t="shared" si="469"/>
        <v>6.364922</v>
      </c>
      <c r="Q474" s="131">
        <f t="shared" si="469"/>
        <v>6.3372849999999996</v>
      </c>
      <c r="R474" s="131">
        <f t="shared" si="469"/>
        <v>6.0469679999999997</v>
      </c>
      <c r="S474" s="131">
        <f t="shared" si="469"/>
        <v>5.7587719999999996</v>
      </c>
      <c r="T474" s="129">
        <f>T475/T473*1000</f>
        <v>6.0726500000000003</v>
      </c>
      <c r="U474" s="129">
        <f>U475/U473*1000</f>
        <v>6.2960599999999998</v>
      </c>
      <c r="V474" s="49">
        <f>V475/V473*1000</f>
        <v>6.5629999999999997</v>
      </c>
      <c r="W474" s="14">
        <f>W475/W473*1000</f>
        <v>-2.4609999999999999</v>
      </c>
      <c r="X474" s="59"/>
    </row>
    <row r="475" spans="1:24" s="130" customFormat="1" ht="18" customHeight="1">
      <c r="A475" s="592"/>
      <c r="B475" s="576"/>
      <c r="C475" s="577"/>
      <c r="D475" s="191" t="str">
        <f>серпень!D398</f>
        <v>сума, тис.грн.</v>
      </c>
      <c r="E475" s="52"/>
      <c r="F475" s="52">
        <f t="shared" ref="F475:K478" si="470">F490+F505</f>
        <v>125.006</v>
      </c>
      <c r="G475" s="52">
        <f t="shared" si="470"/>
        <v>119.697</v>
      </c>
      <c r="H475" s="52">
        <f t="shared" si="470"/>
        <v>122.361</v>
      </c>
      <c r="I475" s="52">
        <f t="shared" si="470"/>
        <v>92.74</v>
      </c>
      <c r="J475" s="52">
        <f t="shared" si="470"/>
        <v>90.435000000000002</v>
      </c>
      <c r="K475" s="52">
        <f t="shared" si="470"/>
        <v>37.140999999999998</v>
      </c>
      <c r="L475" s="69">
        <f>SUM(F475:K475)</f>
        <v>587.38</v>
      </c>
      <c r="M475" s="69">
        <f>L475/6</f>
        <v>97.897000000000006</v>
      </c>
      <c r="N475" s="52">
        <f t="shared" ref="N475:S478" si="471">N490+N505</f>
        <v>25.856999999999999</v>
      </c>
      <c r="O475" s="52">
        <f t="shared" si="471"/>
        <v>23.555</v>
      </c>
      <c r="P475" s="52">
        <f t="shared" si="471"/>
        <v>31.05</v>
      </c>
      <c r="Q475" s="52">
        <f t="shared" si="471"/>
        <v>72.387</v>
      </c>
      <c r="R475" s="52">
        <f t="shared" si="471"/>
        <v>104.852</v>
      </c>
      <c r="S475" s="52">
        <f t="shared" si="471"/>
        <v>101.545</v>
      </c>
      <c r="T475" s="69">
        <f>SUM(N475:S475)</f>
        <v>359.24599999999998</v>
      </c>
      <c r="U475" s="69">
        <f>T475+L475</f>
        <v>946.62599999999998</v>
      </c>
      <c r="V475" s="52">
        <f>V490+V505</f>
        <v>957.55100000000004</v>
      </c>
      <c r="W475" s="52">
        <f>V475-U475</f>
        <v>10.925000000000001</v>
      </c>
    </row>
    <row r="476" spans="1:24" s="130" customFormat="1" ht="18" customHeight="1">
      <c r="A476" s="592"/>
      <c r="B476" s="576"/>
      <c r="C476" s="577"/>
      <c r="D476" s="174" t="str">
        <f>серпень!D399</f>
        <v>дотація</v>
      </c>
      <c r="E476" s="52"/>
      <c r="F476" s="52">
        <f t="shared" si="470"/>
        <v>0</v>
      </c>
      <c r="G476" s="52">
        <f t="shared" si="470"/>
        <v>0</v>
      </c>
      <c r="H476" s="52">
        <f t="shared" si="470"/>
        <v>0</v>
      </c>
      <c r="I476" s="52">
        <f t="shared" si="470"/>
        <v>0</v>
      </c>
      <c r="J476" s="52">
        <f>J491+J506</f>
        <v>0</v>
      </c>
      <c r="K476" s="52">
        <f t="shared" si="470"/>
        <v>0</v>
      </c>
      <c r="L476" s="69">
        <f>SUM(F476:K476)</f>
        <v>0</v>
      </c>
      <c r="M476" s="69">
        <f>L476/6</f>
        <v>0</v>
      </c>
      <c r="N476" s="52">
        <f t="shared" si="471"/>
        <v>0</v>
      </c>
      <c r="O476" s="52">
        <f t="shared" si="471"/>
        <v>0</v>
      </c>
      <c r="P476" s="52">
        <f t="shared" si="471"/>
        <v>0</v>
      </c>
      <c r="Q476" s="52">
        <f t="shared" si="471"/>
        <v>0</v>
      </c>
      <c r="R476" s="52">
        <f t="shared" si="471"/>
        <v>0</v>
      </c>
      <c r="S476" s="52">
        <f t="shared" si="471"/>
        <v>0</v>
      </c>
      <c r="T476" s="69">
        <f>SUM(N476:S476)</f>
        <v>0</v>
      </c>
      <c r="U476" s="69">
        <f>T476+L476</f>
        <v>0</v>
      </c>
      <c r="V476" s="52">
        <f>V491+V506</f>
        <v>0</v>
      </c>
      <c r="W476" s="52">
        <f>V476-U476</f>
        <v>0</v>
      </c>
    </row>
    <row r="477" spans="1:24" s="130" customFormat="1" ht="18" customHeight="1">
      <c r="A477" s="592"/>
      <c r="B477" s="576"/>
      <c r="C477" s="577"/>
      <c r="D477" s="174" t="str">
        <f>серпень!D400</f>
        <v>місцевий (план), тис.грн</v>
      </c>
      <c r="E477" s="52"/>
      <c r="F477" s="52">
        <f t="shared" si="470"/>
        <v>0</v>
      </c>
      <c r="G477" s="52">
        <f t="shared" si="470"/>
        <v>125.02</v>
      </c>
      <c r="H477" s="52">
        <f t="shared" si="470"/>
        <v>119.71</v>
      </c>
      <c r="I477" s="52">
        <f t="shared" si="470"/>
        <v>122.333</v>
      </c>
      <c r="J477" s="52">
        <f>J492+J507</f>
        <v>92.741</v>
      </c>
      <c r="K477" s="52">
        <f t="shared" si="470"/>
        <v>90.662000000000006</v>
      </c>
      <c r="L477" s="69">
        <f>SUM(F477:K477)</f>
        <v>550.46600000000001</v>
      </c>
      <c r="M477" s="69">
        <f>L477/6</f>
        <v>91.744</v>
      </c>
      <c r="N477" s="52">
        <f t="shared" si="471"/>
        <v>36.914000000000001</v>
      </c>
      <c r="O477" s="52">
        <f t="shared" si="471"/>
        <v>25.934000000000001</v>
      </c>
      <c r="P477" s="52">
        <f t="shared" si="471"/>
        <v>23.238</v>
      </c>
      <c r="Q477" s="52">
        <f t="shared" si="471"/>
        <v>44.798999999999999</v>
      </c>
      <c r="R477" s="52">
        <f t="shared" si="471"/>
        <v>67.867999999999995</v>
      </c>
      <c r="S477" s="52">
        <f t="shared" si="471"/>
        <v>208.33199999999999</v>
      </c>
      <c r="T477" s="69">
        <f>SUM(N477:S477)</f>
        <v>407.08499999999998</v>
      </c>
      <c r="U477" s="69">
        <f>T477+L477</f>
        <v>957.55100000000004</v>
      </c>
      <c r="V477" s="52">
        <f>V492+V507</f>
        <v>957.55100000000004</v>
      </c>
      <c r="W477" s="52">
        <f>V477-U477</f>
        <v>0</v>
      </c>
    </row>
    <row r="478" spans="1:24" s="48" customFormat="1" ht="18" customHeight="1">
      <c r="A478" s="592"/>
      <c r="B478" s="576"/>
      <c r="C478" s="577"/>
      <c r="D478" s="178" t="str">
        <f>серпень!D401</f>
        <v>касові нат.п-ки 2025</v>
      </c>
      <c r="E478" s="11">
        <f>E493</f>
        <v>0</v>
      </c>
      <c r="F478" s="11">
        <f t="shared" si="470"/>
        <v>0</v>
      </c>
      <c r="G478" s="11">
        <f t="shared" si="470"/>
        <v>12540.7</v>
      </c>
      <c r="H478" s="11">
        <f t="shared" si="470"/>
        <v>20201.900000000001</v>
      </c>
      <c r="I478" s="11">
        <f t="shared" si="470"/>
        <v>19502.3</v>
      </c>
      <c r="J478" s="11">
        <f>J493+J508</f>
        <v>15700</v>
      </c>
      <c r="K478" s="11">
        <f t="shared" si="470"/>
        <v>14424.5</v>
      </c>
      <c r="L478" s="65">
        <f>SUM(F478:K478)</f>
        <v>82369.399999999994</v>
      </c>
      <c r="M478" s="65">
        <f>L478/6</f>
        <v>13728.2</v>
      </c>
      <c r="N478" s="11">
        <f t="shared" si="471"/>
        <v>8824.7999999999993</v>
      </c>
      <c r="O478" s="11">
        <f t="shared" si="471"/>
        <v>4103.8999999999996</v>
      </c>
      <c r="P478" s="11">
        <f t="shared" si="471"/>
        <v>3780.7</v>
      </c>
      <c r="Q478" s="11">
        <f t="shared" si="471"/>
        <v>4878.3</v>
      </c>
      <c r="R478" s="11">
        <f t="shared" si="471"/>
        <v>11422.4</v>
      </c>
      <c r="S478" s="11">
        <f t="shared" si="471"/>
        <v>34972.699999999997</v>
      </c>
      <c r="T478" s="65">
        <f>SUM(N478:S478)</f>
        <v>67982.8</v>
      </c>
      <c r="U478" s="65">
        <f>T478+L478</f>
        <v>150352.20000000001</v>
      </c>
      <c r="V478" s="11">
        <f>V493+V508</f>
        <v>145912.5</v>
      </c>
      <c r="W478" s="38">
        <f>V478-U478</f>
        <v>-4439.7</v>
      </c>
      <c r="X478" s="47">
        <f>U473-U478</f>
        <v>0</v>
      </c>
    </row>
    <row r="479" spans="1:24" s="51" customFormat="1" ht="18" customHeight="1">
      <c r="A479" s="592"/>
      <c r="B479" s="576"/>
      <c r="C479" s="577"/>
      <c r="D479" s="187" t="str">
        <f>серпень!D402</f>
        <v>тариф, грн.</v>
      </c>
      <c r="E479" s="49" t="e">
        <f t="shared" ref="E479:S479" si="472">E480/E478*1000</f>
        <v>#DIV/0!</v>
      </c>
      <c r="F479" s="131" t="e">
        <f t="shared" si="472"/>
        <v>#DIV/0!</v>
      </c>
      <c r="G479" s="131">
        <f t="shared" si="472"/>
        <v>5.1597600000000003</v>
      </c>
      <c r="H479" s="131">
        <f t="shared" si="472"/>
        <v>8.9098550000000003</v>
      </c>
      <c r="I479" s="131">
        <f t="shared" si="472"/>
        <v>6.2741829999999998</v>
      </c>
      <c r="J479" s="131">
        <f t="shared" si="472"/>
        <v>5.907006</v>
      </c>
      <c r="K479" s="131">
        <f t="shared" si="472"/>
        <v>4.320011</v>
      </c>
      <c r="L479" s="129">
        <f t="shared" si="472"/>
        <v>6.3387399999999996</v>
      </c>
      <c r="M479" s="129">
        <f t="shared" si="472"/>
        <v>6.3387799999999999</v>
      </c>
      <c r="N479" s="131">
        <f t="shared" si="472"/>
        <v>7.395295</v>
      </c>
      <c r="O479" s="131">
        <f t="shared" si="472"/>
        <v>6.300592</v>
      </c>
      <c r="P479" s="131">
        <f t="shared" si="472"/>
        <v>6.2303280000000001</v>
      </c>
      <c r="Q479" s="131">
        <f t="shared" si="472"/>
        <v>6.364922</v>
      </c>
      <c r="R479" s="131">
        <f t="shared" si="472"/>
        <v>6.3372849999999996</v>
      </c>
      <c r="S479" s="131">
        <f t="shared" si="472"/>
        <v>5.9016599999999997</v>
      </c>
      <c r="T479" s="129">
        <f>T480/T478*1000</f>
        <v>6.2443400000000002</v>
      </c>
      <c r="U479" s="129">
        <f>U480/U478*1000</f>
        <v>6.2960599999999998</v>
      </c>
      <c r="V479" s="49">
        <f>V480/V478*1000</f>
        <v>6.5629999999999997</v>
      </c>
      <c r="W479" s="14">
        <f>W480/W478*1000</f>
        <v>-2.4609999999999999</v>
      </c>
      <c r="X479" s="59"/>
    </row>
    <row r="480" spans="1:24" s="126" customFormat="1" ht="18" customHeight="1">
      <c r="A480" s="592"/>
      <c r="B480" s="576"/>
      <c r="C480" s="577"/>
      <c r="D480" s="198" t="str">
        <f>серпень!D403</f>
        <v>касові видатки, тис.грн.</v>
      </c>
      <c r="E480" s="71">
        <f t="shared" ref="E480:K482" si="473">E495+E510</f>
        <v>0</v>
      </c>
      <c r="F480" s="61">
        <f t="shared" si="473"/>
        <v>0</v>
      </c>
      <c r="G480" s="61">
        <f t="shared" si="473"/>
        <v>64.706999999999994</v>
      </c>
      <c r="H480" s="61">
        <f t="shared" si="473"/>
        <v>179.99600000000001</v>
      </c>
      <c r="I480" s="61">
        <f t="shared" si="473"/>
        <v>122.361</v>
      </c>
      <c r="J480" s="61">
        <f t="shared" si="473"/>
        <v>92.74</v>
      </c>
      <c r="K480" s="61">
        <f t="shared" si="473"/>
        <v>62.314</v>
      </c>
      <c r="L480" s="61">
        <f>SUM(F480:K480)</f>
        <v>522.11800000000005</v>
      </c>
      <c r="M480" s="61">
        <f>L480/6</f>
        <v>87.02</v>
      </c>
      <c r="N480" s="61">
        <f t="shared" ref="N480:S483" si="474">N495+N510</f>
        <v>65.262</v>
      </c>
      <c r="O480" s="61">
        <f t="shared" si="474"/>
        <v>25.856999999999999</v>
      </c>
      <c r="P480" s="61">
        <f t="shared" si="474"/>
        <v>23.555</v>
      </c>
      <c r="Q480" s="61">
        <f t="shared" si="474"/>
        <v>31.05</v>
      </c>
      <c r="R480" s="61">
        <f t="shared" si="474"/>
        <v>72.387</v>
      </c>
      <c r="S480" s="61">
        <f t="shared" si="474"/>
        <v>206.39699999999999</v>
      </c>
      <c r="T480" s="61">
        <f>SUM(N480:S480)</f>
        <v>424.50799999999998</v>
      </c>
      <c r="U480" s="61">
        <f>T480+L480</f>
        <v>946.62599999999998</v>
      </c>
      <c r="V480" s="61">
        <f>V495+V510</f>
        <v>957.55100000000004</v>
      </c>
      <c r="W480" s="72">
        <f>V480-U480</f>
        <v>10.925000000000001</v>
      </c>
      <c r="X480" s="63">
        <f>U475-U480</f>
        <v>0</v>
      </c>
    </row>
    <row r="481" spans="1:24" s="126" customFormat="1" ht="18" customHeight="1">
      <c r="A481" s="592"/>
      <c r="B481" s="576"/>
      <c r="C481" s="577"/>
      <c r="D481" s="201" t="str">
        <f>серпень!D404</f>
        <v>дотація</v>
      </c>
      <c r="E481" s="71"/>
      <c r="F481" s="61">
        <f t="shared" si="473"/>
        <v>0</v>
      </c>
      <c r="G481" s="61">
        <f t="shared" si="473"/>
        <v>0</v>
      </c>
      <c r="H481" s="61">
        <f t="shared" si="473"/>
        <v>0</v>
      </c>
      <c r="I481" s="61">
        <f t="shared" si="473"/>
        <v>0</v>
      </c>
      <c r="J481" s="61">
        <f>J496+J511</f>
        <v>0</v>
      </c>
      <c r="K481" s="61">
        <f t="shared" si="473"/>
        <v>0</v>
      </c>
      <c r="L481" s="61">
        <f>SUM(F481:K481)</f>
        <v>0</v>
      </c>
      <c r="M481" s="61">
        <f>L481/6</f>
        <v>0</v>
      </c>
      <c r="N481" s="61">
        <f t="shared" si="474"/>
        <v>0</v>
      </c>
      <c r="O481" s="61">
        <f t="shared" si="474"/>
        <v>0</v>
      </c>
      <c r="P481" s="61">
        <f t="shared" si="474"/>
        <v>0</v>
      </c>
      <c r="Q481" s="61">
        <f t="shared" si="474"/>
        <v>0</v>
      </c>
      <c r="R481" s="61">
        <f t="shared" si="474"/>
        <v>0</v>
      </c>
      <c r="S481" s="61">
        <f t="shared" si="474"/>
        <v>0</v>
      </c>
      <c r="T481" s="61">
        <f>SUM(N481:S481)</f>
        <v>0</v>
      </c>
      <c r="U481" s="61">
        <f>T481+L481</f>
        <v>0</v>
      </c>
      <c r="V481" s="61">
        <f>V496+V511</f>
        <v>0</v>
      </c>
      <c r="W481" s="72">
        <f>V481-U481</f>
        <v>0</v>
      </c>
      <c r="X481" s="63">
        <f>U476-U481</f>
        <v>0</v>
      </c>
    </row>
    <row r="482" spans="1:24" s="126" customFormat="1" ht="18" customHeight="1">
      <c r="A482" s="592"/>
      <c r="B482" s="576"/>
      <c r="C482" s="577"/>
      <c r="D482" s="201" t="str">
        <f>серпень!D405</f>
        <v xml:space="preserve">місцевий </v>
      </c>
      <c r="E482" s="71"/>
      <c r="F482" s="61">
        <f t="shared" si="473"/>
        <v>0</v>
      </c>
      <c r="G482" s="61">
        <f t="shared" si="473"/>
        <v>64.706999999999994</v>
      </c>
      <c r="H482" s="61">
        <f t="shared" si="473"/>
        <v>179.99600000000001</v>
      </c>
      <c r="I482" s="61">
        <f t="shared" si="473"/>
        <v>122.361</v>
      </c>
      <c r="J482" s="61">
        <f>J497+J512</f>
        <v>92.74</v>
      </c>
      <c r="K482" s="61">
        <f t="shared" si="473"/>
        <v>62.314</v>
      </c>
      <c r="L482" s="61">
        <f>SUM(F482:K482)</f>
        <v>522.11800000000005</v>
      </c>
      <c r="M482" s="61">
        <f>L482/6</f>
        <v>87.02</v>
      </c>
      <c r="N482" s="61">
        <f t="shared" si="474"/>
        <v>65.262</v>
      </c>
      <c r="O482" s="61">
        <f t="shared" si="474"/>
        <v>25.856999999999999</v>
      </c>
      <c r="P482" s="61">
        <f t="shared" si="474"/>
        <v>23.555</v>
      </c>
      <c r="Q482" s="61">
        <f t="shared" si="474"/>
        <v>31.05</v>
      </c>
      <c r="R482" s="61">
        <f t="shared" si="474"/>
        <v>72.387</v>
      </c>
      <c r="S482" s="61">
        <f t="shared" si="474"/>
        <v>206.39699999999999</v>
      </c>
      <c r="T482" s="61">
        <f>SUM(N482:S482)</f>
        <v>424.50799999999998</v>
      </c>
      <c r="U482" s="61">
        <f>T482+L482</f>
        <v>946.62599999999998</v>
      </c>
      <c r="V482" s="61">
        <f>V497+V512</f>
        <v>957.55100000000004</v>
      </c>
      <c r="W482" s="72">
        <f>V482-U482</f>
        <v>10.925000000000001</v>
      </c>
      <c r="X482" s="63">
        <f>U477-U482</f>
        <v>10.925000000000001</v>
      </c>
    </row>
    <row r="483" spans="1:24" s="43" customFormat="1" ht="18" customHeight="1">
      <c r="A483" s="592"/>
      <c r="B483" s="576"/>
      <c r="C483" s="577"/>
      <c r="D483" s="202" t="str">
        <f>серпень!D406</f>
        <v>план</v>
      </c>
      <c r="E483" s="42"/>
      <c r="F483" s="42">
        <f t="shared" ref="F483:K483" si="475">F477</f>
        <v>0</v>
      </c>
      <c r="G483" s="42">
        <f t="shared" si="475"/>
        <v>125.02</v>
      </c>
      <c r="H483" s="42">
        <f t="shared" si="475"/>
        <v>119.71</v>
      </c>
      <c r="I483" s="42">
        <f t="shared" si="475"/>
        <v>122.333</v>
      </c>
      <c r="J483" s="42">
        <f t="shared" si="475"/>
        <v>92.741</v>
      </c>
      <c r="K483" s="42">
        <f t="shared" si="475"/>
        <v>90.662000000000006</v>
      </c>
      <c r="L483" s="42">
        <f>SUM(F483:K483)</f>
        <v>550.46600000000001</v>
      </c>
      <c r="M483" s="42">
        <f>L483/6</f>
        <v>91.744</v>
      </c>
      <c r="N483" s="42">
        <f t="shared" si="474"/>
        <v>36.914000000000001</v>
      </c>
      <c r="O483" s="42">
        <f t="shared" si="474"/>
        <v>25.934000000000001</v>
      </c>
      <c r="P483" s="42">
        <f t="shared" si="474"/>
        <v>23.238</v>
      </c>
      <c r="Q483" s="42">
        <f t="shared" si="474"/>
        <v>44.798999999999999</v>
      </c>
      <c r="R483" s="42">
        <f t="shared" si="474"/>
        <v>67.867999999999995</v>
      </c>
      <c r="S483" s="42">
        <f t="shared" si="474"/>
        <v>208.33199999999999</v>
      </c>
      <c r="T483" s="42">
        <f>SUM(N483:S483)</f>
        <v>407.08499999999998</v>
      </c>
      <c r="U483" s="42">
        <f>T483+L483</f>
        <v>957.55100000000004</v>
      </c>
      <c r="V483" s="42">
        <f>V477+V476</f>
        <v>957.55100000000004</v>
      </c>
      <c r="W483" s="42">
        <f>V483-U483</f>
        <v>0</v>
      </c>
    </row>
    <row r="484" spans="1:24" s="43" customFormat="1" ht="18" customHeight="1">
      <c r="A484" s="592"/>
      <c r="B484" s="576"/>
      <c r="C484" s="577"/>
      <c r="D484" s="202" t="str">
        <f>серпень!D407</f>
        <v xml:space="preserve">відхилення </v>
      </c>
      <c r="E484" s="42"/>
      <c r="F484" s="42">
        <f t="shared" ref="F484:K484" si="476">F480-F483</f>
        <v>0</v>
      </c>
      <c r="G484" s="42">
        <f t="shared" si="476"/>
        <v>-60.313000000000002</v>
      </c>
      <c r="H484" s="42">
        <f t="shared" si="476"/>
        <v>60.286000000000001</v>
      </c>
      <c r="I484" s="42">
        <f t="shared" si="476"/>
        <v>2.8000000000000001E-2</v>
      </c>
      <c r="J484" s="42">
        <f t="shared" si="476"/>
        <v>-1E-3</v>
      </c>
      <c r="K484" s="42">
        <f t="shared" si="476"/>
        <v>-28.347999999999999</v>
      </c>
      <c r="L484" s="42"/>
      <c r="M484" s="42"/>
      <c r="N484" s="42">
        <f t="shared" ref="N484:S484" si="477">N480-N483</f>
        <v>28.347999999999999</v>
      </c>
      <c r="O484" s="42">
        <f t="shared" si="477"/>
        <v>-7.6999999999999999E-2</v>
      </c>
      <c r="P484" s="42">
        <f t="shared" si="477"/>
        <v>0.317</v>
      </c>
      <c r="Q484" s="42">
        <f t="shared" si="477"/>
        <v>-13.749000000000001</v>
      </c>
      <c r="R484" s="42">
        <f t="shared" si="477"/>
        <v>4.5190000000000001</v>
      </c>
      <c r="S484" s="42">
        <f t="shared" si="477"/>
        <v>-1.9350000000000001</v>
      </c>
      <c r="T484" s="42"/>
      <c r="U484" s="42"/>
      <c r="V484" s="42"/>
      <c r="W484" s="42"/>
    </row>
    <row r="485" spans="1:24" s="43" customFormat="1" ht="18" customHeight="1">
      <c r="A485" s="592"/>
      <c r="B485" s="576"/>
      <c r="C485" s="577"/>
      <c r="D485" s="202" t="str">
        <f>серпень!D408</f>
        <v>відхилення з наростаючим</v>
      </c>
      <c r="E485" s="42"/>
      <c r="F485" s="42">
        <f>F484</f>
        <v>0</v>
      </c>
      <c r="G485" s="42">
        <f>G484+F485</f>
        <v>-60.313000000000002</v>
      </c>
      <c r="H485" s="42">
        <f>H484+G485</f>
        <v>-2.7E-2</v>
      </c>
      <c r="I485" s="42">
        <f>I484+H485</f>
        <v>1E-3</v>
      </c>
      <c r="J485" s="42">
        <f>J484+I485</f>
        <v>0</v>
      </c>
      <c r="K485" s="42">
        <f>K484+J485</f>
        <v>-28.347999999999999</v>
      </c>
      <c r="L485" s="42"/>
      <c r="M485" s="42"/>
      <c r="N485" s="42">
        <f>N484+K485</f>
        <v>0</v>
      </c>
      <c r="O485" s="42">
        <f>O484+N485</f>
        <v>-7.6999999999999999E-2</v>
      </c>
      <c r="P485" s="42">
        <f>P484+O485</f>
        <v>0.24</v>
      </c>
      <c r="Q485" s="42">
        <f>Q484+P485</f>
        <v>-13.509</v>
      </c>
      <c r="R485" s="42">
        <f>R484+Q485</f>
        <v>-8.99</v>
      </c>
      <c r="S485" s="42">
        <f>S484+R485</f>
        <v>-10.925000000000001</v>
      </c>
      <c r="T485" s="42"/>
      <c r="U485" s="42"/>
      <c r="V485" s="42"/>
      <c r="W485" s="42"/>
    </row>
    <row r="486" spans="1:24" s="55" customFormat="1" ht="18" customHeight="1">
      <c r="A486" s="592"/>
      <c r="B486" s="581" t="s">
        <v>32</v>
      </c>
      <c r="C486" s="581"/>
      <c r="D486" s="178" t="str">
        <f>серпень!D409</f>
        <v>факт. нат.п-ки 2023</v>
      </c>
      <c r="E486" s="11"/>
      <c r="F486" s="12">
        <v>15042.8</v>
      </c>
      <c r="G486" s="12">
        <v>17386.7</v>
      </c>
      <c r="H486" s="12">
        <v>6730.3</v>
      </c>
      <c r="I486" s="12">
        <v>7073.7</v>
      </c>
      <c r="J486" s="12">
        <v>3898.73</v>
      </c>
      <c r="K486" s="12">
        <v>2246</v>
      </c>
      <c r="L486" s="65">
        <f>SUM(F486:K486)</f>
        <v>52378.2</v>
      </c>
      <c r="M486" s="65">
        <f>L486/6</f>
        <v>8729.7000000000007</v>
      </c>
      <c r="N486" s="83">
        <v>1362</v>
      </c>
      <c r="O486" s="83">
        <v>1443</v>
      </c>
      <c r="P486" s="83">
        <v>1556</v>
      </c>
      <c r="Q486" s="83">
        <v>4603.8999999999996</v>
      </c>
      <c r="R486" s="83">
        <v>5983</v>
      </c>
      <c r="S486" s="83">
        <v>3288.3</v>
      </c>
      <c r="T486" s="65">
        <f>SUM(N486:S486)</f>
        <v>18236.2</v>
      </c>
      <c r="U486" s="65">
        <f>T486+L486</f>
        <v>70614.399999999994</v>
      </c>
      <c r="V486" s="46"/>
      <c r="W486" s="38"/>
      <c r="X486" s="47"/>
    </row>
    <row r="487" spans="1:24" s="48" customFormat="1" ht="18" customHeight="1">
      <c r="A487" s="592"/>
      <c r="B487" s="581"/>
      <c r="C487" s="581"/>
      <c r="D487" s="178" t="str">
        <f>серпень!D410</f>
        <v>факт. нат.п-ки 2024</v>
      </c>
      <c r="E487" s="11"/>
      <c r="F487" s="12">
        <v>5008.8</v>
      </c>
      <c r="G487" s="12">
        <v>5384.2</v>
      </c>
      <c r="H487" s="12">
        <v>4729</v>
      </c>
      <c r="I487" s="12">
        <v>1200</v>
      </c>
      <c r="J487" s="12">
        <v>2012</v>
      </c>
      <c r="K487" s="12">
        <v>1619</v>
      </c>
      <c r="L487" s="65">
        <f>SUM(F487:K487)</f>
        <v>19953</v>
      </c>
      <c r="M487" s="65">
        <f>L487/6</f>
        <v>3325.5</v>
      </c>
      <c r="N487" s="83">
        <v>899</v>
      </c>
      <c r="O487" s="83">
        <v>1229.25</v>
      </c>
      <c r="P487" s="83">
        <v>1993</v>
      </c>
      <c r="Q487" s="83">
        <v>3402.3</v>
      </c>
      <c r="R487" s="83">
        <v>5983</v>
      </c>
      <c r="S487" s="83">
        <v>3288.3</v>
      </c>
      <c r="T487" s="65">
        <f>SUM(N487:S487)</f>
        <v>16794.900000000001</v>
      </c>
      <c r="U487" s="65">
        <f>T487+L487</f>
        <v>36747.9</v>
      </c>
      <c r="V487" s="11">
        <v>63167.7</v>
      </c>
      <c r="W487" s="38"/>
      <c r="X487" s="47"/>
    </row>
    <row r="488" spans="1:24" s="48" customFormat="1" ht="18" customHeight="1">
      <c r="A488" s="592"/>
      <c r="B488" s="581"/>
      <c r="C488" s="581"/>
      <c r="D488" s="178" t="str">
        <f>серпень!D411</f>
        <v>факт. нат.п-ки 2025</v>
      </c>
      <c r="E488" s="11"/>
      <c r="F488" s="12">
        <v>6145.36</v>
      </c>
      <c r="G488" s="12">
        <v>7117.21</v>
      </c>
      <c r="H488" s="12">
        <v>6343.8</v>
      </c>
      <c r="I488" s="12">
        <v>5011</v>
      </c>
      <c r="J488" s="12">
        <v>3015.7</v>
      </c>
      <c r="K488" s="12">
        <v>2326</v>
      </c>
      <c r="L488" s="65">
        <f>SUM(F488:K488)</f>
        <v>29959.1</v>
      </c>
      <c r="M488" s="65">
        <f>L488/6</f>
        <v>4993.2</v>
      </c>
      <c r="N488" s="83">
        <v>1417</v>
      </c>
      <c r="O488" s="83">
        <v>1443</v>
      </c>
      <c r="P488" s="83">
        <v>1993</v>
      </c>
      <c r="Q488" s="83">
        <v>4603.8999999999996</v>
      </c>
      <c r="R488" s="83">
        <v>5983</v>
      </c>
      <c r="S488" s="83">
        <v>5069.3999999999996</v>
      </c>
      <c r="T488" s="65">
        <f>SUM(N488:S488)</f>
        <v>20509.3</v>
      </c>
      <c r="U488" s="65">
        <f>T488+L488</f>
        <v>50468.4</v>
      </c>
      <c r="V488" s="11">
        <v>63167.7</v>
      </c>
      <c r="W488" s="38">
        <f>V488-U488</f>
        <v>12699.3</v>
      </c>
      <c r="X488" s="47"/>
    </row>
    <row r="489" spans="1:24" s="51" customFormat="1" ht="18" customHeight="1">
      <c r="A489" s="592"/>
      <c r="B489" s="581"/>
      <c r="C489" s="581"/>
      <c r="D489" s="187" t="str">
        <f>серпень!D412</f>
        <v>тариф, грн.</v>
      </c>
      <c r="E489" s="129" t="e">
        <f>E490/E488*1000</f>
        <v>#DIV/0!</v>
      </c>
      <c r="F489" s="129">
        <f t="shared" ref="F489:K489" si="478">F490/F488*1000</f>
        <v>12.43768</v>
      </c>
      <c r="G489" s="129">
        <f t="shared" si="478"/>
        <v>11.81854</v>
      </c>
      <c r="H489" s="129">
        <f t="shared" si="478"/>
        <v>10.32756</v>
      </c>
      <c r="I489" s="129">
        <f t="shared" si="478"/>
        <v>9.2923600000000004</v>
      </c>
      <c r="J489" s="129">
        <f t="shared" si="478"/>
        <v>9.3248700000000007</v>
      </c>
      <c r="K489" s="129">
        <f t="shared" si="478"/>
        <v>9.4987100000000009</v>
      </c>
      <c r="L489" s="132">
        <f>L490/L488*1000</f>
        <v>10.776160000000001</v>
      </c>
      <c r="M489" s="132">
        <f>M490/M488*1000</f>
        <v>10.776059999999999</v>
      </c>
      <c r="N489" s="132">
        <f>N490/N488*1000</f>
        <v>10.05575</v>
      </c>
      <c r="O489" s="132">
        <v>9.3248899999999999</v>
      </c>
      <c r="P489" s="132">
        <v>9.3248899999999999</v>
      </c>
      <c r="Q489" s="132">
        <v>9.3248899999999999</v>
      </c>
      <c r="R489" s="132">
        <v>9.3248899999999999</v>
      </c>
      <c r="S489" s="131">
        <v>9.3248899999999999</v>
      </c>
      <c r="T489" s="132">
        <f>T490/T488*1000</f>
        <v>9.3753100000000007</v>
      </c>
      <c r="U489" s="132">
        <f>U490/U488*1000</f>
        <v>10.20688</v>
      </c>
      <c r="V489" s="138">
        <f>V490/V488*1000</f>
        <v>9.4999979999999997</v>
      </c>
      <c r="W489" s="40">
        <f>W490/W488*1000</f>
        <v>6.69076</v>
      </c>
      <c r="X489" s="59"/>
    </row>
    <row r="490" spans="1:24" s="130" customFormat="1" ht="18" customHeight="1">
      <c r="A490" s="592"/>
      <c r="B490" s="581"/>
      <c r="C490" s="581"/>
      <c r="D490" s="191" t="str">
        <f>серпень!D413</f>
        <v>сума, тис.грн.</v>
      </c>
      <c r="E490" s="52"/>
      <c r="F490" s="52">
        <v>76.433999999999997</v>
      </c>
      <c r="G490" s="52">
        <v>84.114999999999995</v>
      </c>
      <c r="H490" s="52">
        <v>65.516000000000005</v>
      </c>
      <c r="I490" s="52">
        <v>46.564</v>
      </c>
      <c r="J490" s="52">
        <v>28.120999999999999</v>
      </c>
      <c r="K490" s="52">
        <v>22.094000000000001</v>
      </c>
      <c r="L490" s="69">
        <f>SUM(F490:K490)</f>
        <v>322.84399999999999</v>
      </c>
      <c r="M490" s="69">
        <f>L490/6</f>
        <v>53.807000000000002</v>
      </c>
      <c r="N490" s="52">
        <v>14.249000000000001</v>
      </c>
      <c r="O490" s="52">
        <f t="shared" ref="O490" si="479">O488*O489/1000</f>
        <v>13.456</v>
      </c>
      <c r="P490" s="52">
        <f t="shared" ref="P490" si="480">P488*P489/1000</f>
        <v>18.585000000000001</v>
      </c>
      <c r="Q490" s="52">
        <f t="shared" ref="Q490" si="481">Q488*Q489/1000</f>
        <v>42.930999999999997</v>
      </c>
      <c r="R490" s="52">
        <f t="shared" ref="R490" si="482">R488*R489/1000</f>
        <v>55.790999999999997</v>
      </c>
      <c r="S490" s="52">
        <f>S488*S489/1000-0.003</f>
        <v>47.268999999999998</v>
      </c>
      <c r="T490" s="69">
        <f>SUM(N490:S490)</f>
        <v>192.28100000000001</v>
      </c>
      <c r="U490" s="69">
        <f>T490+L490</f>
        <v>515.125</v>
      </c>
      <c r="V490" s="70">
        <f>V491+V492</f>
        <v>600.09299999999996</v>
      </c>
      <c r="W490" s="53">
        <f>V490-U490</f>
        <v>84.968000000000004</v>
      </c>
      <c r="X490" s="133"/>
    </row>
    <row r="491" spans="1:24" s="130" customFormat="1" ht="18" customHeight="1">
      <c r="A491" s="592"/>
      <c r="B491" s="581"/>
      <c r="C491" s="581"/>
      <c r="D491" s="174" t="str">
        <f>серпень!D414</f>
        <v>дотація</v>
      </c>
      <c r="E491" s="56"/>
      <c r="F491" s="52"/>
      <c r="G491" s="52"/>
      <c r="H491" s="52"/>
      <c r="I491" s="52"/>
      <c r="J491" s="52"/>
      <c r="K491" s="52"/>
      <c r="L491" s="69">
        <f>SUM(F491:K491)</f>
        <v>0</v>
      </c>
      <c r="M491" s="69">
        <f>L491/6</f>
        <v>0</v>
      </c>
      <c r="N491" s="52"/>
      <c r="O491" s="52"/>
      <c r="P491" s="52"/>
      <c r="Q491" s="52"/>
      <c r="R491" s="52"/>
      <c r="S491" s="52"/>
      <c r="T491" s="69">
        <f>SUM(N491:S491)</f>
        <v>0</v>
      </c>
      <c r="U491" s="69">
        <f>T491+L491</f>
        <v>0</v>
      </c>
      <c r="V491" s="70">
        <v>0</v>
      </c>
      <c r="W491" s="53">
        <f>V491-U491</f>
        <v>0</v>
      </c>
    </row>
    <row r="492" spans="1:24" s="130" customFormat="1" ht="18" customHeight="1">
      <c r="A492" s="592"/>
      <c r="B492" s="581"/>
      <c r="C492" s="581"/>
      <c r="D492" s="174" t="str">
        <f>серпень!D415</f>
        <v>місцевий (план), тис.грн</v>
      </c>
      <c r="E492" s="56"/>
      <c r="F492" s="52">
        <f>25.308-25.308</f>
        <v>0</v>
      </c>
      <c r="G492" s="52">
        <v>76.084000000000003</v>
      </c>
      <c r="H492" s="52">
        <f>146.15-81.4</f>
        <v>64.75</v>
      </c>
      <c r="I492" s="52">
        <f>63.926+20.934</f>
        <v>84.86</v>
      </c>
      <c r="J492" s="52">
        <f>67.2-10.434</f>
        <v>56.765999999999998</v>
      </c>
      <c r="K492" s="52">
        <f>37.038+2.731-10.5+24.538</f>
        <v>53.807000000000002</v>
      </c>
      <c r="L492" s="69">
        <f>SUM(F492:K492)</f>
        <v>336.267</v>
      </c>
      <c r="M492" s="69">
        <f>L492/6</f>
        <v>56.045000000000002</v>
      </c>
      <c r="N492" s="52">
        <f>15.381+10.517</f>
        <v>25.898</v>
      </c>
      <c r="O492" s="52">
        <f>12.939+30-10.517-13.4</f>
        <v>19.021999999999998</v>
      </c>
      <c r="P492" s="52">
        <v>13.709</v>
      </c>
      <c r="Q492" s="52">
        <f>18.934+13.4</f>
        <v>32.334000000000003</v>
      </c>
      <c r="R492" s="52">
        <f>43.737+48.669-24.538</f>
        <v>67.867999999999995</v>
      </c>
      <c r="S492" s="52">
        <v>104.995</v>
      </c>
      <c r="T492" s="69">
        <f>SUM(N492:S492)</f>
        <v>263.82600000000002</v>
      </c>
      <c r="U492" s="69">
        <f>T492+L492</f>
        <v>600.09299999999996</v>
      </c>
      <c r="V492" s="70">
        <v>600.09299999999996</v>
      </c>
      <c r="W492" s="53">
        <f>V492-U492</f>
        <v>0</v>
      </c>
    </row>
    <row r="493" spans="1:24" s="48" customFormat="1" ht="18" customHeight="1">
      <c r="A493" s="592"/>
      <c r="B493" s="581"/>
      <c r="C493" s="581"/>
      <c r="D493" s="178" t="str">
        <f>серпень!D416</f>
        <v>касові нат.п-ки 2025</v>
      </c>
      <c r="E493" s="11"/>
      <c r="F493" s="12">
        <v>0</v>
      </c>
      <c r="G493" s="12">
        <v>1297.28</v>
      </c>
      <c r="H493" s="12">
        <v>11965.29</v>
      </c>
      <c r="I493" s="12">
        <v>6343.8</v>
      </c>
      <c r="J493" s="12">
        <v>5011</v>
      </c>
      <c r="K493" s="12">
        <v>0</v>
      </c>
      <c r="L493" s="65">
        <f>SUM(F493:K493)</f>
        <v>24617.4</v>
      </c>
      <c r="M493" s="65">
        <f>L493/6</f>
        <v>4102.8999999999996</v>
      </c>
      <c r="N493" s="76">
        <v>5341.7</v>
      </c>
      <c r="O493" s="84">
        <v>1417</v>
      </c>
      <c r="P493" s="84">
        <v>1443</v>
      </c>
      <c r="Q493" s="83">
        <v>1993</v>
      </c>
      <c r="R493" s="83">
        <v>4603.8999999999996</v>
      </c>
      <c r="S493" s="83">
        <f>R488+S488</f>
        <v>11052.4</v>
      </c>
      <c r="T493" s="65">
        <f>SUM(N493:S493)</f>
        <v>25851</v>
      </c>
      <c r="U493" s="65">
        <f>T493+L493</f>
        <v>50468.4</v>
      </c>
      <c r="V493" s="11">
        <f>V488</f>
        <v>63167.7</v>
      </c>
      <c r="W493" s="38">
        <f>V493-U493</f>
        <v>12699.3</v>
      </c>
      <c r="X493" s="47">
        <f>U488-U493</f>
        <v>0</v>
      </c>
    </row>
    <row r="494" spans="1:24" s="51" customFormat="1" ht="18" customHeight="1">
      <c r="A494" s="592"/>
      <c r="B494" s="581"/>
      <c r="C494" s="581"/>
      <c r="D494" s="187" t="str">
        <f>серпень!D417</f>
        <v>тариф, грн.</v>
      </c>
      <c r="E494" s="129" t="e">
        <f>E495/E493*1000</f>
        <v>#DIV/0!</v>
      </c>
      <c r="F494" s="129" t="e">
        <f t="shared" ref="F494:K494" si="483">F495/F493*1000</f>
        <v>#DIV/0!</v>
      </c>
      <c r="G494" s="129">
        <f t="shared" si="483"/>
        <v>12.43756</v>
      </c>
      <c r="H494" s="129">
        <f t="shared" si="483"/>
        <v>12.06941</v>
      </c>
      <c r="I494" s="129">
        <f t="shared" si="483"/>
        <v>10.32756</v>
      </c>
      <c r="J494" s="129">
        <f t="shared" si="483"/>
        <v>9.2923600000000004</v>
      </c>
      <c r="K494" s="129" t="e">
        <f t="shared" si="483"/>
        <v>#DIV/0!</v>
      </c>
      <c r="L494" s="132">
        <f>L495/L493*1000</f>
        <v>11.07465</v>
      </c>
      <c r="M494" s="132">
        <f>M495/M493*1000</f>
        <v>11.07461</v>
      </c>
      <c r="N494" s="132">
        <f t="shared" ref="N494:P494" si="484">N495/N493*1000</f>
        <v>9.4005700000000001</v>
      </c>
      <c r="O494" s="132">
        <f t="shared" si="484"/>
        <v>10.05575</v>
      </c>
      <c r="P494" s="132">
        <f t="shared" si="484"/>
        <v>9.3250200000000003</v>
      </c>
      <c r="Q494" s="132">
        <v>9.3248899999999999</v>
      </c>
      <c r="R494" s="132">
        <v>9.3248899999999999</v>
      </c>
      <c r="S494" s="131">
        <v>9.3248899999999999</v>
      </c>
      <c r="T494" s="132">
        <f>T495/T493*1000</f>
        <v>9.3805300000000003</v>
      </c>
      <c r="U494" s="132">
        <f>U495/U493*1000</f>
        <v>10.20688</v>
      </c>
      <c r="V494" s="132">
        <f>V495/V493*1000</f>
        <v>9.5</v>
      </c>
      <c r="W494" s="14">
        <f>W495/W493*1000</f>
        <v>6.6909999999999998</v>
      </c>
      <c r="X494" s="59"/>
    </row>
    <row r="495" spans="1:24" s="126" customFormat="1" ht="18" customHeight="1">
      <c r="A495" s="592"/>
      <c r="B495" s="581"/>
      <c r="C495" s="581"/>
      <c r="D495" s="198" t="str">
        <f>серпень!D418</f>
        <v>касові видатки, тис.грн.</v>
      </c>
      <c r="E495" s="71"/>
      <c r="F495" s="61">
        <v>0</v>
      </c>
      <c r="G495" s="61">
        <v>16.135000000000002</v>
      </c>
      <c r="H495" s="61">
        <v>144.41399999999999</v>
      </c>
      <c r="I495" s="61">
        <v>65.516000000000005</v>
      </c>
      <c r="J495" s="61">
        <v>46.564</v>
      </c>
      <c r="K495" s="61">
        <v>0</v>
      </c>
      <c r="L495" s="61">
        <f>SUM(F495:K495)</f>
        <v>272.62900000000002</v>
      </c>
      <c r="M495" s="61">
        <f>L495/6</f>
        <v>45.438000000000002</v>
      </c>
      <c r="N495" s="61">
        <v>50.215000000000003</v>
      </c>
      <c r="O495" s="61">
        <v>14.249000000000001</v>
      </c>
      <c r="P495" s="61">
        <f>13.709-0.253</f>
        <v>13.456</v>
      </c>
      <c r="Q495" s="61">
        <f t="shared" ref="Q495" si="485">Q493*Q494/1000</f>
        <v>18.585000000000001</v>
      </c>
      <c r="R495" s="61">
        <f t="shared" ref="R495" si="486">R493*R494/1000</f>
        <v>42.930999999999997</v>
      </c>
      <c r="S495" s="61">
        <f>S493*S494/1000-0.002</f>
        <v>103.06</v>
      </c>
      <c r="T495" s="61">
        <f>SUM(N495:S495)</f>
        <v>242.49600000000001</v>
      </c>
      <c r="U495" s="61">
        <f>T495+L495</f>
        <v>515.125</v>
      </c>
      <c r="V495" s="61">
        <f>V490</f>
        <v>600.09299999999996</v>
      </c>
      <c r="W495" s="72">
        <f>V495-U495</f>
        <v>84.968000000000004</v>
      </c>
      <c r="X495" s="63">
        <f>U490-U495</f>
        <v>0</v>
      </c>
    </row>
    <row r="496" spans="1:24" s="126" customFormat="1" ht="18" customHeight="1">
      <c r="A496" s="592"/>
      <c r="B496" s="581"/>
      <c r="C496" s="581"/>
      <c r="D496" s="201" t="str">
        <f>серпень!D419</f>
        <v>дотація</v>
      </c>
      <c r="E496" s="71"/>
      <c r="F496" s="61">
        <v>0</v>
      </c>
      <c r="G496" s="61">
        <v>0</v>
      </c>
      <c r="H496" s="61">
        <v>0</v>
      </c>
      <c r="I496" s="61">
        <v>0</v>
      </c>
      <c r="J496" s="61">
        <v>0</v>
      </c>
      <c r="K496" s="61">
        <v>0</v>
      </c>
      <c r="L496" s="61">
        <f>SUM(F496:K496)</f>
        <v>0</v>
      </c>
      <c r="M496" s="61">
        <f>L496/6</f>
        <v>0</v>
      </c>
      <c r="N496" s="61">
        <v>0</v>
      </c>
      <c r="O496" s="61">
        <v>0</v>
      </c>
      <c r="P496" s="61">
        <v>0</v>
      </c>
      <c r="Q496" s="61">
        <v>0</v>
      </c>
      <c r="R496" s="61">
        <v>0</v>
      </c>
      <c r="S496" s="61">
        <v>0</v>
      </c>
      <c r="T496" s="61">
        <f>SUM(N496:S496)</f>
        <v>0</v>
      </c>
      <c r="U496" s="61">
        <f>T496+L496</f>
        <v>0</v>
      </c>
      <c r="V496" s="61">
        <f>V491</f>
        <v>0</v>
      </c>
      <c r="W496" s="72">
        <f>V496-U496</f>
        <v>0</v>
      </c>
      <c r="X496" s="63">
        <f>U491-U496</f>
        <v>0</v>
      </c>
    </row>
    <row r="497" spans="1:24" s="126" customFormat="1" ht="18" customHeight="1">
      <c r="A497" s="592"/>
      <c r="B497" s="581"/>
      <c r="C497" s="581"/>
      <c r="D497" s="201" t="str">
        <f>серпень!D420</f>
        <v xml:space="preserve">місцевий </v>
      </c>
      <c r="E497" s="71"/>
      <c r="F497" s="61">
        <f t="shared" ref="F497:K497" si="487">F495-F496</f>
        <v>0</v>
      </c>
      <c r="G497" s="61">
        <f t="shared" si="487"/>
        <v>16.135000000000002</v>
      </c>
      <c r="H497" s="61">
        <f t="shared" si="487"/>
        <v>144.41399999999999</v>
      </c>
      <c r="I497" s="61">
        <f t="shared" si="487"/>
        <v>65.516000000000005</v>
      </c>
      <c r="J497" s="61">
        <f t="shared" si="487"/>
        <v>46.564</v>
      </c>
      <c r="K497" s="61">
        <f t="shared" si="487"/>
        <v>0</v>
      </c>
      <c r="L497" s="61">
        <f>SUM(F497:K497)</f>
        <v>272.62900000000002</v>
      </c>
      <c r="M497" s="61">
        <f>L497/6</f>
        <v>45.438000000000002</v>
      </c>
      <c r="N497" s="61">
        <f t="shared" ref="N497:S497" si="488">N495-N496</f>
        <v>50.215000000000003</v>
      </c>
      <c r="O497" s="61">
        <f t="shared" si="488"/>
        <v>14.249000000000001</v>
      </c>
      <c r="P497" s="61">
        <f t="shared" si="488"/>
        <v>13.456</v>
      </c>
      <c r="Q497" s="61">
        <f t="shared" si="488"/>
        <v>18.585000000000001</v>
      </c>
      <c r="R497" s="61">
        <f t="shared" si="488"/>
        <v>42.930999999999997</v>
      </c>
      <c r="S497" s="61">
        <f t="shared" si="488"/>
        <v>103.06</v>
      </c>
      <c r="T497" s="61">
        <f>SUM(N497:S497)</f>
        <v>242.49600000000001</v>
      </c>
      <c r="U497" s="61">
        <f>T497+L497</f>
        <v>515.125</v>
      </c>
      <c r="V497" s="61">
        <f>V492</f>
        <v>600.09299999999996</v>
      </c>
      <c r="W497" s="72">
        <f>V497-U497</f>
        <v>84.968000000000004</v>
      </c>
      <c r="X497" s="63">
        <f>U492-U497</f>
        <v>84.968000000000004</v>
      </c>
    </row>
    <row r="498" spans="1:24" s="43" customFormat="1" ht="18" customHeight="1">
      <c r="A498" s="592"/>
      <c r="B498" s="581"/>
      <c r="C498" s="581"/>
      <c r="D498" s="202" t="str">
        <f>серпень!D421</f>
        <v>план</v>
      </c>
      <c r="E498" s="42"/>
      <c r="F498" s="42">
        <f t="shared" ref="F498:K498" si="489">F492</f>
        <v>0</v>
      </c>
      <c r="G498" s="42">
        <f t="shared" si="489"/>
        <v>76.084000000000003</v>
      </c>
      <c r="H498" s="42">
        <f t="shared" si="489"/>
        <v>64.75</v>
      </c>
      <c r="I498" s="42">
        <f t="shared" si="489"/>
        <v>84.86</v>
      </c>
      <c r="J498" s="42">
        <f t="shared" si="489"/>
        <v>56.765999999999998</v>
      </c>
      <c r="K498" s="42">
        <f t="shared" si="489"/>
        <v>53.807000000000002</v>
      </c>
      <c r="L498" s="42">
        <f>SUM(F498:K498)</f>
        <v>336.267</v>
      </c>
      <c r="M498" s="42">
        <f>L498/6</f>
        <v>56.045000000000002</v>
      </c>
      <c r="N498" s="42">
        <f t="shared" ref="N498:S498" si="490">N492+N491</f>
        <v>25.898</v>
      </c>
      <c r="O498" s="42">
        <f t="shared" si="490"/>
        <v>19.021999999999998</v>
      </c>
      <c r="P498" s="42">
        <f t="shared" si="490"/>
        <v>13.709</v>
      </c>
      <c r="Q498" s="42">
        <f t="shared" si="490"/>
        <v>32.334000000000003</v>
      </c>
      <c r="R498" s="42">
        <f t="shared" si="490"/>
        <v>67.867999999999995</v>
      </c>
      <c r="S498" s="42">
        <f t="shared" si="490"/>
        <v>104.995</v>
      </c>
      <c r="T498" s="42">
        <f>SUM(N498:S498)</f>
        <v>263.82600000000002</v>
      </c>
      <c r="U498" s="42">
        <f>T498+L498</f>
        <v>600.09299999999996</v>
      </c>
      <c r="V498" s="42">
        <f>V495</f>
        <v>600.09299999999996</v>
      </c>
      <c r="W498" s="42">
        <f>V498-U498</f>
        <v>0</v>
      </c>
    </row>
    <row r="499" spans="1:24" s="43" customFormat="1" ht="18" customHeight="1">
      <c r="A499" s="592"/>
      <c r="B499" s="581"/>
      <c r="C499" s="581"/>
      <c r="D499" s="202" t="str">
        <f>серпень!D422</f>
        <v xml:space="preserve">відхилення </v>
      </c>
      <c r="E499" s="42"/>
      <c r="F499" s="42">
        <f t="shared" ref="F499:K499" si="491">F495-F498</f>
        <v>0</v>
      </c>
      <c r="G499" s="42">
        <f t="shared" si="491"/>
        <v>-59.948999999999998</v>
      </c>
      <c r="H499" s="42">
        <f t="shared" si="491"/>
        <v>79.664000000000001</v>
      </c>
      <c r="I499" s="42">
        <f t="shared" si="491"/>
        <v>-19.344000000000001</v>
      </c>
      <c r="J499" s="42">
        <f t="shared" si="491"/>
        <v>-10.202</v>
      </c>
      <c r="K499" s="42">
        <f t="shared" si="491"/>
        <v>-53.807000000000002</v>
      </c>
      <c r="L499" s="42"/>
      <c r="M499" s="42"/>
      <c r="N499" s="42">
        <f t="shared" ref="N499:S499" si="492">N495-N498</f>
        <v>24.317</v>
      </c>
      <c r="O499" s="42">
        <f t="shared" si="492"/>
        <v>-4.7729999999999997</v>
      </c>
      <c r="P499" s="42">
        <f t="shared" si="492"/>
        <v>-0.253</v>
      </c>
      <c r="Q499" s="42">
        <f t="shared" si="492"/>
        <v>-13.749000000000001</v>
      </c>
      <c r="R499" s="42">
        <f t="shared" si="492"/>
        <v>-24.937000000000001</v>
      </c>
      <c r="S499" s="42">
        <f t="shared" si="492"/>
        <v>-1.9350000000000001</v>
      </c>
      <c r="T499" s="42"/>
      <c r="U499" s="42"/>
      <c r="V499" s="42"/>
      <c r="W499" s="42"/>
    </row>
    <row r="500" spans="1:24" s="43" customFormat="1" ht="18" customHeight="1">
      <c r="A500" s="592"/>
      <c r="B500" s="581"/>
      <c r="C500" s="581"/>
      <c r="D500" s="202" t="str">
        <f>серпень!D423</f>
        <v>відхилення з наростаючим</v>
      </c>
      <c r="E500" s="42"/>
      <c r="F500" s="42">
        <f>F499</f>
        <v>0</v>
      </c>
      <c r="G500" s="42">
        <f>G499+F500</f>
        <v>-59.948999999999998</v>
      </c>
      <c r="H500" s="42">
        <f>H499+G500</f>
        <v>19.715</v>
      </c>
      <c r="I500" s="42">
        <f>I499+H500</f>
        <v>0.371</v>
      </c>
      <c r="J500" s="42">
        <f>J499+I500</f>
        <v>-9.8309999999999995</v>
      </c>
      <c r="K500" s="42">
        <f>K499+J500</f>
        <v>-63.637999999999998</v>
      </c>
      <c r="L500" s="42"/>
      <c r="M500" s="42"/>
      <c r="N500" s="42">
        <f>N499+K500</f>
        <v>-39.320999999999998</v>
      </c>
      <c r="O500" s="42">
        <f>O499+N500</f>
        <v>-44.094000000000001</v>
      </c>
      <c r="P500" s="42">
        <f>P499+O500</f>
        <v>-44.347000000000001</v>
      </c>
      <c r="Q500" s="42">
        <f>Q499+P500</f>
        <v>-58.095999999999997</v>
      </c>
      <c r="R500" s="42">
        <f>R499+Q500</f>
        <v>-83.033000000000001</v>
      </c>
      <c r="S500" s="42">
        <f>S499+R500</f>
        <v>-84.968000000000004</v>
      </c>
      <c r="T500" s="42"/>
      <c r="U500" s="42"/>
      <c r="V500" s="42"/>
      <c r="W500" s="42"/>
    </row>
    <row r="501" spans="1:24" s="55" customFormat="1" ht="18" customHeight="1">
      <c r="A501" s="592"/>
      <c r="B501" s="576" t="s">
        <v>33</v>
      </c>
      <c r="C501" s="577"/>
      <c r="D501" s="178" t="str">
        <f>серпень!D424</f>
        <v>факт. нат.п-ки 2023</v>
      </c>
      <c r="E501" s="11"/>
      <c r="F501" s="76">
        <v>16398.5</v>
      </c>
      <c r="G501" s="76">
        <v>8539.2000000000007</v>
      </c>
      <c r="H501" s="76">
        <v>7125.12</v>
      </c>
      <c r="I501" s="76">
        <v>8045.8</v>
      </c>
      <c r="J501" s="76">
        <v>4514</v>
      </c>
      <c r="K501" s="76">
        <v>3140</v>
      </c>
      <c r="L501" s="65">
        <f>SUM(F501:K501)</f>
        <v>47762.6</v>
      </c>
      <c r="M501" s="65">
        <f t="shared" ref="M501:M503" si="493">L501/6</f>
        <v>7960.4</v>
      </c>
      <c r="N501" s="11">
        <v>2641.22</v>
      </c>
      <c r="O501" s="11">
        <v>2800.66</v>
      </c>
      <c r="P501" s="11">
        <v>2392.8000000000002</v>
      </c>
      <c r="Q501" s="11">
        <v>7668.5</v>
      </c>
      <c r="R501" s="11">
        <v>11356.6</v>
      </c>
      <c r="S501" s="11">
        <v>8539.2000000000007</v>
      </c>
      <c r="T501" s="65">
        <f>SUM(N501:S501)</f>
        <v>35399</v>
      </c>
      <c r="U501" s="65">
        <f>T501+L501</f>
        <v>83161.600000000006</v>
      </c>
      <c r="V501" s="46"/>
      <c r="W501" s="38"/>
      <c r="X501" s="47"/>
    </row>
    <row r="502" spans="1:24" s="48" customFormat="1" ht="18" customHeight="1">
      <c r="A502" s="592"/>
      <c r="B502" s="576"/>
      <c r="C502" s="577"/>
      <c r="D502" s="178" t="str">
        <f>серпень!D425</f>
        <v>факт. нат.п-ки 2024</v>
      </c>
      <c r="E502" s="11"/>
      <c r="F502" s="76">
        <v>12901.9</v>
      </c>
      <c r="G502" s="76">
        <v>11148.15</v>
      </c>
      <c r="H502" s="76">
        <v>8674.4</v>
      </c>
      <c r="I502" s="76">
        <v>3901.4</v>
      </c>
      <c r="J502" s="76">
        <v>3138.9</v>
      </c>
      <c r="K502" s="76">
        <v>1796.7</v>
      </c>
      <c r="L502" s="65">
        <f>SUM(F502:K502)</f>
        <v>41561.5</v>
      </c>
      <c r="M502" s="65">
        <f t="shared" si="493"/>
        <v>6926.9</v>
      </c>
      <c r="N502" s="11">
        <v>1600.1</v>
      </c>
      <c r="O502" s="11">
        <v>2205.9</v>
      </c>
      <c r="P502" s="11">
        <v>2885.34</v>
      </c>
      <c r="Q502" s="11">
        <v>6818.48</v>
      </c>
      <c r="R502" s="11">
        <v>11356.6</v>
      </c>
      <c r="S502" s="11">
        <v>12563.7</v>
      </c>
      <c r="T502" s="65">
        <f>SUM(N502:S502)</f>
        <v>37430.1</v>
      </c>
      <c r="U502" s="65">
        <f>T502+L502</f>
        <v>78991.600000000006</v>
      </c>
      <c r="V502" s="46">
        <v>90503.5</v>
      </c>
      <c r="W502" s="38"/>
      <c r="X502" s="47"/>
    </row>
    <row r="503" spans="1:24" s="48" customFormat="1" ht="18" customHeight="1">
      <c r="A503" s="592"/>
      <c r="B503" s="576"/>
      <c r="C503" s="577"/>
      <c r="D503" s="178" t="str">
        <f>серпень!D426</f>
        <v>факт. нат.п-ки 2025</v>
      </c>
      <c r="E503" s="11"/>
      <c r="F503" s="76">
        <v>11243.43</v>
      </c>
      <c r="G503" s="76">
        <v>8236.57</v>
      </c>
      <c r="H503" s="76">
        <v>13158.5</v>
      </c>
      <c r="I503" s="76">
        <v>10689</v>
      </c>
      <c r="J503" s="76">
        <v>14424.5</v>
      </c>
      <c r="K503" s="76">
        <v>3483.1</v>
      </c>
      <c r="L503" s="65">
        <f>SUM(F503:K503)</f>
        <v>61235.1</v>
      </c>
      <c r="M503" s="65">
        <f t="shared" si="493"/>
        <v>10205.9</v>
      </c>
      <c r="N503" s="11">
        <v>2686.93</v>
      </c>
      <c r="O503" s="11">
        <v>2337.6999999999998</v>
      </c>
      <c r="P503" s="11">
        <v>2885.34</v>
      </c>
      <c r="Q503" s="11">
        <v>6818.48</v>
      </c>
      <c r="R503" s="11">
        <v>11356.6</v>
      </c>
      <c r="S503" s="11">
        <v>12563.7</v>
      </c>
      <c r="T503" s="65">
        <f>SUM(N503:S503)</f>
        <v>38648.800000000003</v>
      </c>
      <c r="U503" s="65">
        <f>T503+L503</f>
        <v>99883.9</v>
      </c>
      <c r="V503" s="11">
        <v>82744.800000000003</v>
      </c>
      <c r="W503" s="38">
        <f>V503-U503</f>
        <v>-17139.099999999999</v>
      </c>
      <c r="X503" s="47"/>
    </row>
    <row r="504" spans="1:24" s="51" customFormat="1" ht="18" customHeight="1">
      <c r="A504" s="592"/>
      <c r="B504" s="576"/>
      <c r="C504" s="577"/>
      <c r="D504" s="187" t="str">
        <f>серпень!D427</f>
        <v>тариф, грн.</v>
      </c>
      <c r="E504" s="129" t="e">
        <f>E505/E503*1000</f>
        <v>#DIV/0!</v>
      </c>
      <c r="F504" s="129">
        <f t="shared" ref="F504:K504" si="494">F505/F503*1000</f>
        <v>4.32003</v>
      </c>
      <c r="G504" s="129">
        <f t="shared" si="494"/>
        <v>4.32</v>
      </c>
      <c r="H504" s="129">
        <f t="shared" si="494"/>
        <v>4.3200200000000004</v>
      </c>
      <c r="I504" s="129">
        <f t="shared" si="494"/>
        <v>4.31996</v>
      </c>
      <c r="J504" s="129">
        <f t="shared" si="494"/>
        <v>4.3200099999999999</v>
      </c>
      <c r="K504" s="129">
        <f t="shared" si="494"/>
        <v>4.32</v>
      </c>
      <c r="L504" s="132">
        <f>L505/L503*1000</f>
        <v>4.3200099999999999</v>
      </c>
      <c r="M504" s="132">
        <f>M505/M503*1000</f>
        <v>4.3199500000000004</v>
      </c>
      <c r="N504" s="132">
        <f t="shared" ref="N504:O504" si="495">N505/N503*1000</f>
        <v>4.3201700000000001</v>
      </c>
      <c r="O504" s="132">
        <f t="shared" si="495"/>
        <v>4.3200599999999998</v>
      </c>
      <c r="P504" s="132">
        <v>4.32</v>
      </c>
      <c r="Q504" s="132">
        <v>4.32</v>
      </c>
      <c r="R504" s="132">
        <v>4.32</v>
      </c>
      <c r="S504" s="132">
        <v>4.32</v>
      </c>
      <c r="T504" s="132">
        <f>T505/T503*1000</f>
        <v>4.3200599999999998</v>
      </c>
      <c r="U504" s="132">
        <f>U505/U503*1000</f>
        <v>4.32003</v>
      </c>
      <c r="V504" s="132">
        <f>V505/V503*1000</f>
        <v>4.3200099999999999</v>
      </c>
      <c r="W504" s="40">
        <f>W505/W503*1000</f>
        <v>4.3201200000000002</v>
      </c>
      <c r="X504" s="59"/>
    </row>
    <row r="505" spans="1:24" s="130" customFormat="1" ht="18" customHeight="1">
      <c r="A505" s="592"/>
      <c r="B505" s="576"/>
      <c r="C505" s="577"/>
      <c r="D505" s="191" t="str">
        <f>серпень!D428</f>
        <v>сума, тис.грн.</v>
      </c>
      <c r="E505" s="52"/>
      <c r="F505" s="52">
        <v>48.572000000000003</v>
      </c>
      <c r="G505" s="52">
        <v>35.582000000000001</v>
      </c>
      <c r="H505" s="52">
        <v>56.844999999999999</v>
      </c>
      <c r="I505" s="52">
        <v>46.176000000000002</v>
      </c>
      <c r="J505" s="52">
        <v>62.314</v>
      </c>
      <c r="K505" s="52">
        <v>15.047000000000001</v>
      </c>
      <c r="L505" s="69">
        <f>SUM(F505:K505)</f>
        <v>264.536</v>
      </c>
      <c r="M505" s="69">
        <f>L505/6</f>
        <v>44.088999999999999</v>
      </c>
      <c r="N505" s="52">
        <v>11.608000000000001</v>
      </c>
      <c r="O505" s="52">
        <v>10.099</v>
      </c>
      <c r="P505" s="52">
        <f t="shared" ref="P505" si="496">P503*P504/1000</f>
        <v>12.465</v>
      </c>
      <c r="Q505" s="52">
        <f t="shared" ref="Q505" si="497">Q503*Q504/1000</f>
        <v>29.456</v>
      </c>
      <c r="R505" s="52">
        <f t="shared" ref="R505" si="498">R503*R504/1000</f>
        <v>49.061</v>
      </c>
      <c r="S505" s="52">
        <f>S503*S504/1000+0.001</f>
        <v>54.276000000000003</v>
      </c>
      <c r="T505" s="69">
        <f>SUM(N505:S505)</f>
        <v>166.965</v>
      </c>
      <c r="U505" s="69">
        <f>T505+L505</f>
        <v>431.50099999999998</v>
      </c>
      <c r="V505" s="70">
        <f>V506+V507</f>
        <v>357.45800000000003</v>
      </c>
      <c r="W505" s="53">
        <f>V505-U505</f>
        <v>-74.043000000000006</v>
      </c>
      <c r="X505" s="133"/>
    </row>
    <row r="506" spans="1:24" s="130" customFormat="1" ht="18" customHeight="1">
      <c r="A506" s="592"/>
      <c r="B506" s="576"/>
      <c r="C506" s="577"/>
      <c r="D506" s="174" t="str">
        <f>серпень!D429</f>
        <v>дотація</v>
      </c>
      <c r="E506" s="56"/>
      <c r="F506" s="52"/>
      <c r="G506" s="52"/>
      <c r="H506" s="52"/>
      <c r="I506" s="52"/>
      <c r="J506" s="52"/>
      <c r="K506" s="52"/>
      <c r="L506" s="69">
        <f>SUM(F506:K506)</f>
        <v>0</v>
      </c>
      <c r="M506" s="69">
        <f>L506/6</f>
        <v>0</v>
      </c>
      <c r="N506" s="52"/>
      <c r="O506" s="52"/>
      <c r="P506" s="52"/>
      <c r="Q506" s="52"/>
      <c r="R506" s="52"/>
      <c r="S506" s="52"/>
      <c r="T506" s="69">
        <f>SUM(N506:S506)</f>
        <v>0</v>
      </c>
      <c r="U506" s="69">
        <f>T506+L506</f>
        <v>0</v>
      </c>
      <c r="V506" s="70">
        <v>0</v>
      </c>
      <c r="W506" s="53">
        <f>V506-U506</f>
        <v>0</v>
      </c>
    </row>
    <row r="507" spans="1:24" s="130" customFormat="1" ht="18" customHeight="1">
      <c r="A507" s="592"/>
      <c r="B507" s="576"/>
      <c r="C507" s="577"/>
      <c r="D507" s="174" t="str">
        <f>серпень!D430</f>
        <v>місцевий (план), тис.грн</v>
      </c>
      <c r="E507" s="56"/>
      <c r="F507" s="52">
        <f>12.195-12.195</f>
        <v>0</v>
      </c>
      <c r="G507" s="52">
        <f>55.736-6.71-0.009-0.081</f>
        <v>48.936</v>
      </c>
      <c r="H507" s="52">
        <f>48.16+6.8</f>
        <v>54.96</v>
      </c>
      <c r="I507" s="52">
        <v>37.472999999999999</v>
      </c>
      <c r="J507" s="52">
        <f>29.814+6.161</f>
        <v>35.975000000000001</v>
      </c>
      <c r="K507" s="52">
        <f>13.56-6.161+29.456</f>
        <v>36.854999999999997</v>
      </c>
      <c r="L507" s="69">
        <f>SUM(F507:K507)</f>
        <v>214.19900000000001</v>
      </c>
      <c r="M507" s="69">
        <f>L507/6</f>
        <v>35.700000000000003</v>
      </c>
      <c r="N507" s="52">
        <v>11.016</v>
      </c>
      <c r="O507" s="52">
        <v>6.9119999999999999</v>
      </c>
      <c r="P507" s="52">
        <v>9.5289999999999999</v>
      </c>
      <c r="Q507" s="52">
        <v>12.465</v>
      </c>
      <c r="R507" s="52">
        <f>29.456-29.456</f>
        <v>0</v>
      </c>
      <c r="S507" s="52">
        <v>103.337</v>
      </c>
      <c r="T507" s="69">
        <f>SUM(N507:S507)</f>
        <v>143.25899999999999</v>
      </c>
      <c r="U507" s="69">
        <f>T507+L507</f>
        <v>357.45800000000003</v>
      </c>
      <c r="V507" s="70">
        <v>357.45800000000003</v>
      </c>
      <c r="W507" s="53">
        <f>V507-U507</f>
        <v>0</v>
      </c>
    </row>
    <row r="508" spans="1:24" s="48" customFormat="1" ht="18" customHeight="1">
      <c r="A508" s="592"/>
      <c r="B508" s="576"/>
      <c r="C508" s="577"/>
      <c r="D508" s="178" t="str">
        <f>серпень!D431</f>
        <v>касові нат.п-ки 2025</v>
      </c>
      <c r="E508" s="11"/>
      <c r="F508" s="76">
        <v>0</v>
      </c>
      <c r="G508" s="76">
        <v>11243.43</v>
      </c>
      <c r="H508" s="76">
        <v>8236.57</v>
      </c>
      <c r="I508" s="76">
        <v>13158.5</v>
      </c>
      <c r="J508" s="76">
        <v>10689</v>
      </c>
      <c r="K508" s="76">
        <v>14424.5</v>
      </c>
      <c r="L508" s="65">
        <f>SUM(F508:K508)</f>
        <v>57752</v>
      </c>
      <c r="M508" s="65">
        <f>L508/6</f>
        <v>9625.2999999999993</v>
      </c>
      <c r="N508" s="76">
        <v>3483.1</v>
      </c>
      <c r="O508" s="11">
        <v>2686.93</v>
      </c>
      <c r="P508" s="11">
        <v>2337.6999999999998</v>
      </c>
      <c r="Q508" s="11">
        <v>2885.34</v>
      </c>
      <c r="R508" s="11">
        <v>6818.48</v>
      </c>
      <c r="S508" s="11">
        <f>R503+S503</f>
        <v>23920.3</v>
      </c>
      <c r="T508" s="65">
        <f>SUM(N508:S508)</f>
        <v>42131.9</v>
      </c>
      <c r="U508" s="65">
        <f>T508+L508</f>
        <v>99883.9</v>
      </c>
      <c r="V508" s="11">
        <f>V503</f>
        <v>82744.800000000003</v>
      </c>
      <c r="W508" s="38">
        <f>V508-U508</f>
        <v>-17139.099999999999</v>
      </c>
      <c r="X508" s="47">
        <f>U503-U508</f>
        <v>0</v>
      </c>
    </row>
    <row r="509" spans="1:24" s="51" customFormat="1" ht="18" customHeight="1">
      <c r="A509" s="592"/>
      <c r="B509" s="576"/>
      <c r="C509" s="577"/>
      <c r="D509" s="187" t="str">
        <f>серпень!D432</f>
        <v>тариф, грн.</v>
      </c>
      <c r="E509" s="131" t="e">
        <f>E510/E508*1000</f>
        <v>#DIV/0!</v>
      </c>
      <c r="F509" s="131" t="e">
        <f t="shared" ref="F509:K509" si="499">F510/F508*1000</f>
        <v>#DIV/0!</v>
      </c>
      <c r="G509" s="131">
        <f t="shared" si="499"/>
        <v>4.3200339999999997</v>
      </c>
      <c r="H509" s="131">
        <f t="shared" si="499"/>
        <v>4.3200019999999997</v>
      </c>
      <c r="I509" s="131">
        <f t="shared" si="499"/>
        <v>4.3200209999999997</v>
      </c>
      <c r="J509" s="131">
        <f t="shared" si="499"/>
        <v>4.3199550000000002</v>
      </c>
      <c r="K509" s="131">
        <f t="shared" si="499"/>
        <v>4.320011</v>
      </c>
      <c r="L509" s="132">
        <f>L510/L508*1000</f>
        <v>4.3200099999999999</v>
      </c>
      <c r="M509" s="132">
        <f>M510/M508*1000</f>
        <v>4.3200700000000003</v>
      </c>
      <c r="N509" s="132">
        <f t="shared" ref="N509:P509" si="500">N510/N508*1000</f>
        <v>4.32</v>
      </c>
      <c r="O509" s="132">
        <f t="shared" si="500"/>
        <v>4.3201700000000001</v>
      </c>
      <c r="P509" s="132">
        <f t="shared" si="500"/>
        <v>4.3200599999999998</v>
      </c>
      <c r="Q509" s="132">
        <v>4.32</v>
      </c>
      <c r="R509" s="132">
        <v>4.32</v>
      </c>
      <c r="S509" s="132">
        <v>4.32</v>
      </c>
      <c r="T509" s="132">
        <f>T510/T508*1000</f>
        <v>4.3200500000000002</v>
      </c>
      <c r="U509" s="132">
        <f>U510/U508*1000</f>
        <v>4.32003</v>
      </c>
      <c r="V509" s="132">
        <f>V510/V508*1000</f>
        <v>4.3200099999999999</v>
      </c>
      <c r="W509" s="40">
        <f>W510/W508*1000</f>
        <v>4.3201200000000002</v>
      </c>
      <c r="X509" s="59"/>
    </row>
    <row r="510" spans="1:24" s="126" customFormat="1" ht="18" customHeight="1">
      <c r="A510" s="592"/>
      <c r="B510" s="576"/>
      <c r="C510" s="577"/>
      <c r="D510" s="198" t="str">
        <f>серпень!D433</f>
        <v>касові видатки, тис.грн.</v>
      </c>
      <c r="E510" s="71"/>
      <c r="F510" s="61">
        <v>0</v>
      </c>
      <c r="G510" s="61">
        <v>48.572000000000003</v>
      </c>
      <c r="H510" s="61">
        <v>35.582000000000001</v>
      </c>
      <c r="I510" s="61">
        <v>56.844999999999999</v>
      </c>
      <c r="J510" s="61">
        <v>46.176000000000002</v>
      </c>
      <c r="K510" s="61">
        <v>62.314</v>
      </c>
      <c r="L510" s="61">
        <f>SUM(F510:K510)</f>
        <v>249.489</v>
      </c>
      <c r="M510" s="61">
        <f>L510/6</f>
        <v>41.582000000000001</v>
      </c>
      <c r="N510" s="61">
        <v>15.047000000000001</v>
      </c>
      <c r="O510" s="61">
        <v>11.608000000000001</v>
      </c>
      <c r="P510" s="61">
        <v>10.099</v>
      </c>
      <c r="Q510" s="61">
        <f t="shared" ref="Q510" si="501">Q508*Q509/1000</f>
        <v>12.465</v>
      </c>
      <c r="R510" s="61">
        <f t="shared" ref="R510" si="502">R508*R509/1000</f>
        <v>29.456</v>
      </c>
      <c r="S510" s="61">
        <f>S508*S509/1000+0.001</f>
        <v>103.337</v>
      </c>
      <c r="T510" s="61">
        <f>SUM(N510:S510)</f>
        <v>182.012</v>
      </c>
      <c r="U510" s="61">
        <f>T510+L510</f>
        <v>431.50099999999998</v>
      </c>
      <c r="V510" s="61">
        <f>V505</f>
        <v>357.45800000000003</v>
      </c>
      <c r="W510" s="72">
        <f>V510-U510</f>
        <v>-74.043000000000006</v>
      </c>
      <c r="X510" s="63">
        <f>U505-U510</f>
        <v>0</v>
      </c>
    </row>
    <row r="511" spans="1:24" s="126" customFormat="1" ht="18" customHeight="1">
      <c r="A511" s="592"/>
      <c r="B511" s="576"/>
      <c r="C511" s="577"/>
      <c r="D511" s="201" t="str">
        <f>серпень!D434</f>
        <v>дотація</v>
      </c>
      <c r="E511" s="71"/>
      <c r="F511" s="61">
        <v>0</v>
      </c>
      <c r="G511" s="61">
        <v>0</v>
      </c>
      <c r="H511" s="61">
        <v>0</v>
      </c>
      <c r="I511" s="61">
        <v>0</v>
      </c>
      <c r="J511" s="61">
        <v>0</v>
      </c>
      <c r="K511" s="61">
        <v>0</v>
      </c>
      <c r="L511" s="61">
        <f>SUM(F511:K511)</f>
        <v>0</v>
      </c>
      <c r="M511" s="61">
        <f>L511/6</f>
        <v>0</v>
      </c>
      <c r="N511" s="61">
        <v>0</v>
      </c>
      <c r="O511" s="61">
        <v>0</v>
      </c>
      <c r="P511" s="61">
        <v>0</v>
      </c>
      <c r="Q511" s="61">
        <v>0</v>
      </c>
      <c r="R511" s="61">
        <v>0</v>
      </c>
      <c r="S511" s="61">
        <v>0</v>
      </c>
      <c r="T511" s="61">
        <f>SUM(N511:S511)</f>
        <v>0</v>
      </c>
      <c r="U511" s="61">
        <f>T511+L511</f>
        <v>0</v>
      </c>
      <c r="V511" s="61">
        <f>V506</f>
        <v>0</v>
      </c>
      <c r="W511" s="72">
        <f>V511-U511</f>
        <v>0</v>
      </c>
      <c r="X511" s="63">
        <f>U506-U511</f>
        <v>0</v>
      </c>
    </row>
    <row r="512" spans="1:24" s="126" customFormat="1" ht="18" customHeight="1">
      <c r="A512" s="592"/>
      <c r="B512" s="576"/>
      <c r="C512" s="577"/>
      <c r="D512" s="201" t="str">
        <f>серпень!D435</f>
        <v xml:space="preserve">місцевий </v>
      </c>
      <c r="E512" s="71"/>
      <c r="F512" s="61">
        <f t="shared" ref="F512:K512" si="503">F510-F511</f>
        <v>0</v>
      </c>
      <c r="G512" s="61">
        <f t="shared" si="503"/>
        <v>48.572000000000003</v>
      </c>
      <c r="H512" s="61">
        <f t="shared" si="503"/>
        <v>35.582000000000001</v>
      </c>
      <c r="I512" s="61">
        <f t="shared" si="503"/>
        <v>56.844999999999999</v>
      </c>
      <c r="J512" s="61">
        <f t="shared" si="503"/>
        <v>46.176000000000002</v>
      </c>
      <c r="K512" s="61">
        <f t="shared" si="503"/>
        <v>62.314</v>
      </c>
      <c r="L512" s="61">
        <f>SUM(F512:K512)</f>
        <v>249.489</v>
      </c>
      <c r="M512" s="61">
        <f>L512/6</f>
        <v>41.582000000000001</v>
      </c>
      <c r="N512" s="61">
        <f t="shared" ref="N512:S512" si="504">N510-N511</f>
        <v>15.047000000000001</v>
      </c>
      <c r="O512" s="61">
        <f t="shared" si="504"/>
        <v>11.608000000000001</v>
      </c>
      <c r="P512" s="61">
        <f t="shared" si="504"/>
        <v>10.099</v>
      </c>
      <c r="Q512" s="61">
        <f t="shared" si="504"/>
        <v>12.465</v>
      </c>
      <c r="R512" s="61">
        <f t="shared" si="504"/>
        <v>29.456</v>
      </c>
      <c r="S512" s="61">
        <f t="shared" si="504"/>
        <v>103.337</v>
      </c>
      <c r="T512" s="61">
        <f>SUM(N512:S512)</f>
        <v>182.012</v>
      </c>
      <c r="U512" s="61">
        <f>T512+L512</f>
        <v>431.50099999999998</v>
      </c>
      <c r="V512" s="61">
        <f>V507</f>
        <v>357.45800000000003</v>
      </c>
      <c r="W512" s="72">
        <f>V512-U512</f>
        <v>-74.043000000000006</v>
      </c>
      <c r="X512" s="63">
        <f>U507-U512</f>
        <v>-74.043000000000006</v>
      </c>
    </row>
    <row r="513" spans="1:28" s="43" customFormat="1" ht="18" customHeight="1">
      <c r="A513" s="592"/>
      <c r="B513" s="576"/>
      <c r="C513" s="577"/>
      <c r="D513" s="202" t="str">
        <f>серпень!D436</f>
        <v>план</v>
      </c>
      <c r="E513" s="42"/>
      <c r="F513" s="42">
        <f t="shared" ref="F513:K513" si="505">F507</f>
        <v>0</v>
      </c>
      <c r="G513" s="42">
        <f t="shared" si="505"/>
        <v>48.936</v>
      </c>
      <c r="H513" s="42">
        <f t="shared" si="505"/>
        <v>54.96</v>
      </c>
      <c r="I513" s="42">
        <f t="shared" si="505"/>
        <v>37.472999999999999</v>
      </c>
      <c r="J513" s="42">
        <f t="shared" si="505"/>
        <v>35.975000000000001</v>
      </c>
      <c r="K513" s="42">
        <f t="shared" si="505"/>
        <v>36.854999999999997</v>
      </c>
      <c r="L513" s="42">
        <f>SUM(F513:K513)</f>
        <v>214.19900000000001</v>
      </c>
      <c r="M513" s="42">
        <f>L513/6</f>
        <v>35.700000000000003</v>
      </c>
      <c r="N513" s="42">
        <f t="shared" ref="N513:S513" si="506">N507+N506</f>
        <v>11.016</v>
      </c>
      <c r="O513" s="42">
        <f t="shared" si="506"/>
        <v>6.9119999999999999</v>
      </c>
      <c r="P513" s="42">
        <f t="shared" si="506"/>
        <v>9.5289999999999999</v>
      </c>
      <c r="Q513" s="42">
        <f t="shared" si="506"/>
        <v>12.465</v>
      </c>
      <c r="R513" s="42">
        <f t="shared" si="506"/>
        <v>0</v>
      </c>
      <c r="S513" s="42">
        <f t="shared" si="506"/>
        <v>103.337</v>
      </c>
      <c r="T513" s="42">
        <f>SUM(N513:S513)</f>
        <v>143.25899999999999</v>
      </c>
      <c r="U513" s="42">
        <f>T513+L513</f>
        <v>357.45800000000003</v>
      </c>
      <c r="V513" s="42">
        <f>V510</f>
        <v>357.45800000000003</v>
      </c>
      <c r="W513" s="42">
        <f>V513-U513</f>
        <v>0</v>
      </c>
    </row>
    <row r="514" spans="1:28" s="43" customFormat="1" ht="18" customHeight="1">
      <c r="A514" s="592"/>
      <c r="B514" s="576"/>
      <c r="C514" s="577"/>
      <c r="D514" s="202" t="str">
        <f>серпень!D437</f>
        <v xml:space="preserve">відхилення </v>
      </c>
      <c r="E514" s="42"/>
      <c r="F514" s="42">
        <f t="shared" ref="F514:K514" si="507">F510-F513</f>
        <v>0</v>
      </c>
      <c r="G514" s="42">
        <f t="shared" si="507"/>
        <v>-0.36399999999999999</v>
      </c>
      <c r="H514" s="42">
        <f t="shared" si="507"/>
        <v>-19.378</v>
      </c>
      <c r="I514" s="42">
        <f t="shared" si="507"/>
        <v>19.372</v>
      </c>
      <c r="J514" s="42">
        <f t="shared" si="507"/>
        <v>10.201000000000001</v>
      </c>
      <c r="K514" s="42">
        <f t="shared" si="507"/>
        <v>25.459</v>
      </c>
      <c r="L514" s="42"/>
      <c r="M514" s="42"/>
      <c r="N514" s="42">
        <f t="shared" ref="N514:S514" si="508">N510-N513</f>
        <v>4.0309999999999997</v>
      </c>
      <c r="O514" s="42">
        <f t="shared" si="508"/>
        <v>4.6959999999999997</v>
      </c>
      <c r="P514" s="42">
        <f t="shared" si="508"/>
        <v>0.56999999999999995</v>
      </c>
      <c r="Q514" s="42">
        <f t="shared" si="508"/>
        <v>0</v>
      </c>
      <c r="R514" s="42">
        <f t="shared" si="508"/>
        <v>29.456</v>
      </c>
      <c r="S514" s="42">
        <f t="shared" si="508"/>
        <v>0</v>
      </c>
      <c r="T514" s="42"/>
      <c r="U514" s="42"/>
      <c r="V514" s="42"/>
      <c r="W514" s="42"/>
    </row>
    <row r="515" spans="1:28" s="43" customFormat="1" ht="18" customHeight="1">
      <c r="A515" s="593"/>
      <c r="B515" s="578"/>
      <c r="C515" s="579"/>
      <c r="D515" s="202" t="str">
        <f>серпень!D438</f>
        <v>відхилення з наростаючим</v>
      </c>
      <c r="E515" s="42"/>
      <c r="F515" s="42">
        <f>F514</f>
        <v>0</v>
      </c>
      <c r="G515" s="42">
        <f>G514+F515</f>
        <v>-0.36399999999999999</v>
      </c>
      <c r="H515" s="42">
        <f>H514+G515</f>
        <v>-19.742000000000001</v>
      </c>
      <c r="I515" s="42">
        <f>I514+H515</f>
        <v>-0.37</v>
      </c>
      <c r="J515" s="42">
        <f>J514+I515</f>
        <v>9.8309999999999995</v>
      </c>
      <c r="K515" s="42">
        <f>K514+J515</f>
        <v>35.29</v>
      </c>
      <c r="L515" s="42"/>
      <c r="M515" s="42"/>
      <c r="N515" s="42">
        <f>N514+K515</f>
        <v>39.320999999999998</v>
      </c>
      <c r="O515" s="42">
        <f>O514+N515</f>
        <v>44.017000000000003</v>
      </c>
      <c r="P515" s="42">
        <f>P514+O515</f>
        <v>44.587000000000003</v>
      </c>
      <c r="Q515" s="42">
        <f>Q514+P515</f>
        <v>44.587000000000003</v>
      </c>
      <c r="R515" s="42">
        <f>R514+Q515</f>
        <v>74.043000000000006</v>
      </c>
      <c r="S515" s="42">
        <f>S514+R515</f>
        <v>74.043000000000006</v>
      </c>
      <c r="T515" s="42"/>
      <c r="U515" s="42"/>
      <c r="V515" s="42"/>
      <c r="W515" s="42"/>
      <c r="AB515" s="58">
        <f>Z515-Z520</f>
        <v>0</v>
      </c>
    </row>
    <row r="516" spans="1:28" s="47" customFormat="1" ht="18" customHeight="1">
      <c r="A516" s="650">
        <v>2275</v>
      </c>
      <c r="B516" s="581" t="s">
        <v>70</v>
      </c>
      <c r="C516" s="581"/>
      <c r="D516" s="178" t="str">
        <f>серпень!D439</f>
        <v>факт. нат.п-ки 2023</v>
      </c>
      <c r="E516" s="11"/>
      <c r="F516" s="12">
        <f t="shared" ref="F516:K517" si="509">F533+F704</f>
        <v>9.1</v>
      </c>
      <c r="G516" s="12">
        <f t="shared" si="509"/>
        <v>9.1</v>
      </c>
      <c r="H516" s="12">
        <f t="shared" si="509"/>
        <v>9.3000000000000007</v>
      </c>
      <c r="I516" s="12">
        <f t="shared" si="509"/>
        <v>10.199999999999999</v>
      </c>
      <c r="J516" s="12">
        <f t="shared" si="509"/>
        <v>10.199999999999999</v>
      </c>
      <c r="K516" s="12">
        <f t="shared" si="509"/>
        <v>10.3</v>
      </c>
      <c r="L516" s="117">
        <f>SUM(F516:K516)</f>
        <v>58.2</v>
      </c>
      <c r="M516" s="117">
        <f>L516/6</f>
        <v>9.6999999999999993</v>
      </c>
      <c r="N516" s="12">
        <f t="shared" ref="N516:S518" si="510">N533+N704</f>
        <v>9.3000000000000007</v>
      </c>
      <c r="O516" s="12">
        <f t="shared" si="510"/>
        <v>9.3000000000000007</v>
      </c>
      <c r="P516" s="12">
        <f t="shared" si="510"/>
        <v>11.4</v>
      </c>
      <c r="Q516" s="12">
        <f t="shared" si="510"/>
        <v>11.2</v>
      </c>
      <c r="R516" s="12">
        <f t="shared" si="510"/>
        <v>11.1</v>
      </c>
      <c r="S516" s="12">
        <f t="shared" si="510"/>
        <v>11.6</v>
      </c>
      <c r="T516" s="117">
        <f>SUM(N516:S516)</f>
        <v>63.9</v>
      </c>
      <c r="U516" s="117">
        <f>T516+L516</f>
        <v>122.1</v>
      </c>
      <c r="V516" s="76">
        <f>V533+V704</f>
        <v>0</v>
      </c>
      <c r="W516" s="38"/>
    </row>
    <row r="517" spans="1:28" s="47" customFormat="1" ht="18" customHeight="1">
      <c r="A517" s="614"/>
      <c r="B517" s="581"/>
      <c r="C517" s="581"/>
      <c r="D517" s="178" t="str">
        <f>серпень!D440</f>
        <v>факт. нат.п-ки 2024</v>
      </c>
      <c r="E517" s="11"/>
      <c r="F517" s="12">
        <f t="shared" si="509"/>
        <v>10.199999999999999</v>
      </c>
      <c r="G517" s="12">
        <f t="shared" si="509"/>
        <v>11.9</v>
      </c>
      <c r="H517" s="12">
        <f t="shared" si="509"/>
        <v>9.6999999999999993</v>
      </c>
      <c r="I517" s="12">
        <f t="shared" si="509"/>
        <v>9.5</v>
      </c>
      <c r="J517" s="12">
        <f t="shared" si="509"/>
        <v>9.3000000000000007</v>
      </c>
      <c r="K517" s="12">
        <f t="shared" si="509"/>
        <v>9</v>
      </c>
      <c r="L517" s="117">
        <f>SUM(F517:K517)</f>
        <v>59.6</v>
      </c>
      <c r="M517" s="117">
        <f>L517/6</f>
        <v>9.9</v>
      </c>
      <c r="N517" s="12">
        <f t="shared" si="510"/>
        <v>9.1</v>
      </c>
      <c r="O517" s="12">
        <f t="shared" si="510"/>
        <v>9.6999999999999993</v>
      </c>
      <c r="P517" s="12">
        <f t="shared" si="510"/>
        <v>12.4</v>
      </c>
      <c r="Q517" s="12">
        <f t="shared" si="510"/>
        <v>8.1</v>
      </c>
      <c r="R517" s="12">
        <f t="shared" si="510"/>
        <v>8.1</v>
      </c>
      <c r="S517" s="12">
        <f t="shared" si="510"/>
        <v>8.6999999999999993</v>
      </c>
      <c r="T517" s="117">
        <f>SUM(N517:S517)</f>
        <v>56.1</v>
      </c>
      <c r="U517" s="117">
        <f>T517+L517</f>
        <v>115.7</v>
      </c>
      <c r="V517" s="76">
        <f>V534+V705</f>
        <v>108</v>
      </c>
      <c r="W517" s="38"/>
    </row>
    <row r="518" spans="1:28" s="47" customFormat="1" ht="18" customHeight="1">
      <c r="A518" s="614"/>
      <c r="B518" s="581"/>
      <c r="C518" s="581"/>
      <c r="D518" s="178" t="str">
        <f>серпень!D441</f>
        <v>факт. нат.п-ки 2025</v>
      </c>
      <c r="E518" s="11"/>
      <c r="F518" s="82">
        <f>F535</f>
        <v>11.736000000000001</v>
      </c>
      <c r="G518" s="82">
        <f>G535+G706</f>
        <v>13.31</v>
      </c>
      <c r="H518" s="82">
        <f>H535+H706</f>
        <v>12.916</v>
      </c>
      <c r="I518" s="82">
        <f>I535+I706</f>
        <v>13.295</v>
      </c>
      <c r="J518" s="82">
        <f>J535+J706</f>
        <v>13.493</v>
      </c>
      <c r="K518" s="82">
        <f>K535+K706</f>
        <v>13.507</v>
      </c>
      <c r="L518" s="467">
        <f>SUM(F518:K518)</f>
        <v>78.257000000000005</v>
      </c>
      <c r="M518" s="467">
        <f>L518/6</f>
        <v>13.042999999999999</v>
      </c>
      <c r="N518" s="82">
        <f t="shared" si="510"/>
        <v>9.5489999999999995</v>
      </c>
      <c r="O518" s="82">
        <f t="shared" si="510"/>
        <v>9.5749999999999993</v>
      </c>
      <c r="P518" s="82">
        <f t="shared" si="510"/>
        <v>12.35</v>
      </c>
      <c r="Q518" s="82">
        <f t="shared" si="510"/>
        <v>8.0500000000000007</v>
      </c>
      <c r="R518" s="82">
        <f t="shared" si="510"/>
        <v>8.0500000000000007</v>
      </c>
      <c r="S518" s="82">
        <f t="shared" si="510"/>
        <v>9.75</v>
      </c>
      <c r="T518" s="467">
        <f>SUM(N518:S518)</f>
        <v>57.323999999999998</v>
      </c>
      <c r="U518" s="467">
        <f>T518+L518</f>
        <v>135.58099999999999</v>
      </c>
      <c r="V518" s="76">
        <f>V535+V706</f>
        <v>116.2</v>
      </c>
      <c r="W518" s="38">
        <f>V518-U518</f>
        <v>-19.399999999999999</v>
      </c>
    </row>
    <row r="519" spans="1:28" s="47" customFormat="1" ht="18" customHeight="1">
      <c r="A519" s="614"/>
      <c r="B519" s="581"/>
      <c r="C519" s="581"/>
      <c r="D519" s="187" t="str">
        <f>серпень!D442</f>
        <v>тариф, грн.</v>
      </c>
      <c r="E519" s="49" t="e">
        <f>E520/E518*1000</f>
        <v>#DIV/0!</v>
      </c>
      <c r="F519" s="49">
        <f t="shared" ref="F519:S519" si="511">F520/F518*1000</f>
        <v>188.90600000000001</v>
      </c>
      <c r="G519" s="49">
        <f t="shared" si="511"/>
        <v>190.38300000000001</v>
      </c>
      <c r="H519" s="49">
        <f t="shared" si="511"/>
        <v>190.07400000000001</v>
      </c>
      <c r="I519" s="49">
        <f t="shared" si="511"/>
        <v>190.44800000000001</v>
      </c>
      <c r="J519" s="49">
        <f t="shared" si="511"/>
        <v>190.39500000000001</v>
      </c>
      <c r="K519" s="49">
        <f t="shared" si="511"/>
        <v>190.56800000000001</v>
      </c>
      <c r="L519" s="49">
        <f t="shared" si="511"/>
        <v>190.15600000000001</v>
      </c>
      <c r="M519" s="49">
        <f t="shared" si="511"/>
        <v>190.14</v>
      </c>
      <c r="N519" s="49">
        <f t="shared" si="511"/>
        <v>185.36</v>
      </c>
      <c r="O519" s="49">
        <f t="shared" si="511"/>
        <v>185.90100000000001</v>
      </c>
      <c r="P519" s="49">
        <f t="shared" si="511"/>
        <v>205.83</v>
      </c>
      <c r="Q519" s="49">
        <f t="shared" si="511"/>
        <v>194.41</v>
      </c>
      <c r="R519" s="49">
        <f t="shared" si="511"/>
        <v>194.41</v>
      </c>
      <c r="S519" s="49">
        <f t="shared" si="511"/>
        <v>199.69200000000001</v>
      </c>
      <c r="T519" s="49">
        <f>T520/T518*1000</f>
        <v>194.84</v>
      </c>
      <c r="U519" s="49">
        <f>U520/U518*1000</f>
        <v>192.136</v>
      </c>
      <c r="V519" s="49">
        <f>V520/V518*1000</f>
        <v>199.91399999999999</v>
      </c>
      <c r="W519" s="49">
        <f>W520/W518*1000</f>
        <v>145.36099999999999</v>
      </c>
    </row>
    <row r="520" spans="1:28" s="130" customFormat="1" ht="18" customHeight="1">
      <c r="A520" s="614"/>
      <c r="B520" s="581"/>
      <c r="C520" s="581"/>
      <c r="D520" s="191" t="str">
        <f>серпень!D443</f>
        <v>сума, тис.грн.</v>
      </c>
      <c r="E520" s="52"/>
      <c r="F520" s="52">
        <f>F537+F708</f>
        <v>2.2170000000000001</v>
      </c>
      <c r="G520" s="52">
        <f t="shared" ref="G520:K520" si="512">G537+G708</f>
        <v>2.5339999999999998</v>
      </c>
      <c r="H520" s="52">
        <f t="shared" si="512"/>
        <v>2.4550000000000001</v>
      </c>
      <c r="I520" s="52">
        <f t="shared" si="512"/>
        <v>2.532</v>
      </c>
      <c r="J520" s="52">
        <f t="shared" si="512"/>
        <v>2.569</v>
      </c>
      <c r="K520" s="52">
        <f t="shared" si="512"/>
        <v>2.5739999999999998</v>
      </c>
      <c r="L520" s="69">
        <f>SUM(F520:K520)</f>
        <v>14.881</v>
      </c>
      <c r="M520" s="69">
        <f>L520/6</f>
        <v>2.48</v>
      </c>
      <c r="N520" s="52">
        <f>N537+N708</f>
        <v>1.77</v>
      </c>
      <c r="O520" s="52">
        <f t="shared" ref="O520:S520" si="513">O537+O708</f>
        <v>1.78</v>
      </c>
      <c r="P520" s="52">
        <f t="shared" si="513"/>
        <v>2.5419999999999998</v>
      </c>
      <c r="Q520" s="52">
        <f t="shared" si="513"/>
        <v>1.5649999999999999</v>
      </c>
      <c r="R520" s="52">
        <f t="shared" si="513"/>
        <v>1.5649999999999999</v>
      </c>
      <c r="S520" s="52">
        <f t="shared" si="513"/>
        <v>1.9470000000000001</v>
      </c>
      <c r="T520" s="69">
        <f>SUM(N520:S520)</f>
        <v>11.169</v>
      </c>
      <c r="U520" s="69">
        <f>T520+L520</f>
        <v>26.05</v>
      </c>
      <c r="V520" s="69">
        <f t="shared" ref="V520" si="514">V537+V708</f>
        <v>23.23</v>
      </c>
      <c r="W520" s="52">
        <f>V520-U520</f>
        <v>-2.82</v>
      </c>
    </row>
    <row r="521" spans="1:28" s="130" customFormat="1" ht="18" customHeight="1">
      <c r="A521" s="614"/>
      <c r="B521" s="581"/>
      <c r="C521" s="581"/>
      <c r="D521" s="174" t="str">
        <f>серпень!D444</f>
        <v>абоненська плата, тис.грн.</v>
      </c>
      <c r="E521" s="52"/>
      <c r="F521" s="52">
        <f>F538</f>
        <v>4.0000000000000001E-3</v>
      </c>
      <c r="G521" s="52">
        <f t="shared" ref="G521:K521" si="515">G538</f>
        <v>4.0000000000000001E-3</v>
      </c>
      <c r="H521" s="52">
        <f t="shared" si="515"/>
        <v>4.0000000000000001E-3</v>
      </c>
      <c r="I521" s="52">
        <f t="shared" si="515"/>
        <v>4.0000000000000001E-3</v>
      </c>
      <c r="J521" s="52">
        <f t="shared" si="515"/>
        <v>4.0000000000000001E-3</v>
      </c>
      <c r="K521" s="52">
        <f t="shared" si="515"/>
        <v>4.0000000000000001E-3</v>
      </c>
      <c r="L521" s="69">
        <f t="shared" ref="L521:L523" si="516">SUM(F521:K521)</f>
        <v>2.4E-2</v>
      </c>
      <c r="M521" s="69">
        <f t="shared" ref="M521:M523" si="517">L521/6</f>
        <v>4.0000000000000001E-3</v>
      </c>
      <c r="N521" s="52">
        <f>N538</f>
        <v>4.0000000000000001E-3</v>
      </c>
      <c r="O521" s="52">
        <f t="shared" ref="O521:S521" si="518">O538</f>
        <v>4.0000000000000001E-3</v>
      </c>
      <c r="P521" s="52">
        <f t="shared" si="518"/>
        <v>4.0000000000000001E-3</v>
      </c>
      <c r="Q521" s="52">
        <f t="shared" si="518"/>
        <v>4.0000000000000001E-3</v>
      </c>
      <c r="R521" s="52">
        <f t="shared" si="518"/>
        <v>4.0000000000000001E-3</v>
      </c>
      <c r="S521" s="52">
        <f t="shared" si="518"/>
        <v>6.0000000000000001E-3</v>
      </c>
      <c r="T521" s="69">
        <f t="shared" ref="T521:T523" si="519">SUM(N521:S521)</f>
        <v>2.5999999999999999E-2</v>
      </c>
      <c r="U521" s="69">
        <f t="shared" ref="U521:U523" si="520">T521+L521</f>
        <v>0.05</v>
      </c>
      <c r="V521" s="69">
        <f t="shared" ref="V521" si="521">V538</f>
        <v>5.0999999999999997E-2</v>
      </c>
      <c r="W521" s="52">
        <f t="shared" ref="W521:W523" si="522">V521-U521</f>
        <v>1E-3</v>
      </c>
    </row>
    <row r="522" spans="1:28" s="130" customFormat="1" ht="18" customHeight="1">
      <c r="A522" s="614"/>
      <c r="B522" s="581"/>
      <c r="C522" s="581"/>
      <c r="D522" s="174" t="str">
        <f>серпень!D445</f>
        <v>разом сума тис. грн+абонплата</v>
      </c>
      <c r="E522" s="52"/>
      <c r="F522" s="52">
        <f>F520+F521</f>
        <v>2.2210000000000001</v>
      </c>
      <c r="G522" s="52">
        <f t="shared" ref="G522:K522" si="523">G520+G521</f>
        <v>2.5379999999999998</v>
      </c>
      <c r="H522" s="52">
        <f t="shared" si="523"/>
        <v>2.4590000000000001</v>
      </c>
      <c r="I522" s="52">
        <f t="shared" si="523"/>
        <v>2.536</v>
      </c>
      <c r="J522" s="52">
        <f t="shared" si="523"/>
        <v>2.573</v>
      </c>
      <c r="K522" s="52">
        <f t="shared" si="523"/>
        <v>2.5779999999999998</v>
      </c>
      <c r="L522" s="69">
        <f t="shared" si="516"/>
        <v>14.904999999999999</v>
      </c>
      <c r="M522" s="69">
        <f t="shared" si="517"/>
        <v>2.484</v>
      </c>
      <c r="N522" s="52">
        <f>N520+N521</f>
        <v>1.774</v>
      </c>
      <c r="O522" s="52">
        <f t="shared" ref="O522" si="524">O520+O521</f>
        <v>1.784</v>
      </c>
      <c r="P522" s="52">
        <f t="shared" ref="P522" si="525">P520+P521</f>
        <v>2.5459999999999998</v>
      </c>
      <c r="Q522" s="52">
        <f t="shared" ref="Q522" si="526">Q520+Q521</f>
        <v>1.569</v>
      </c>
      <c r="R522" s="52">
        <f t="shared" ref="R522" si="527">R520+R521</f>
        <v>1.569</v>
      </c>
      <c r="S522" s="52">
        <f t="shared" ref="S522" si="528">S520+S521</f>
        <v>1.9530000000000001</v>
      </c>
      <c r="T522" s="69">
        <f t="shared" si="519"/>
        <v>11.195</v>
      </c>
      <c r="U522" s="69">
        <f t="shared" si="520"/>
        <v>26.1</v>
      </c>
      <c r="V522" s="69">
        <f t="shared" ref="V522" si="529">V520+V521</f>
        <v>23.280999999999999</v>
      </c>
      <c r="W522" s="52">
        <f t="shared" si="522"/>
        <v>-2.819</v>
      </c>
    </row>
    <row r="523" spans="1:28" s="130" customFormat="1" ht="18" customHeight="1">
      <c r="A523" s="614"/>
      <c r="B523" s="581"/>
      <c r="C523" s="581"/>
      <c r="D523" s="174" t="str">
        <f>серпень!D446</f>
        <v>дотація</v>
      </c>
      <c r="E523" s="56"/>
      <c r="F523" s="52">
        <f>F540+F709</f>
        <v>0</v>
      </c>
      <c r="G523" s="52">
        <f t="shared" ref="G523:K523" si="530">G540+G709</f>
        <v>0</v>
      </c>
      <c r="H523" s="52">
        <f t="shared" si="530"/>
        <v>0</v>
      </c>
      <c r="I523" s="52">
        <f t="shared" si="530"/>
        <v>0</v>
      </c>
      <c r="J523" s="52">
        <f t="shared" si="530"/>
        <v>0</v>
      </c>
      <c r="K523" s="52">
        <f t="shared" si="530"/>
        <v>0</v>
      </c>
      <c r="L523" s="69">
        <f t="shared" si="516"/>
        <v>0</v>
      </c>
      <c r="M523" s="69">
        <f t="shared" si="517"/>
        <v>0</v>
      </c>
      <c r="N523" s="52">
        <f>N540+N709</f>
        <v>0</v>
      </c>
      <c r="O523" s="52">
        <f t="shared" ref="O523:S523" si="531">O540+O709</f>
        <v>0</v>
      </c>
      <c r="P523" s="52">
        <f t="shared" si="531"/>
        <v>0</v>
      </c>
      <c r="Q523" s="52">
        <f t="shared" si="531"/>
        <v>0</v>
      </c>
      <c r="R523" s="52">
        <f t="shared" si="531"/>
        <v>0</v>
      </c>
      <c r="S523" s="52">
        <f t="shared" si="531"/>
        <v>0</v>
      </c>
      <c r="T523" s="69">
        <f t="shared" si="519"/>
        <v>0</v>
      </c>
      <c r="U523" s="69">
        <f t="shared" si="520"/>
        <v>0</v>
      </c>
      <c r="V523" s="69">
        <f t="shared" ref="V523" si="532">V540+V709</f>
        <v>0</v>
      </c>
      <c r="W523" s="52">
        <f t="shared" si="522"/>
        <v>0</v>
      </c>
      <c r="X523" s="134"/>
    </row>
    <row r="524" spans="1:28" s="130" customFormat="1" ht="18" customHeight="1">
      <c r="A524" s="614"/>
      <c r="B524" s="581"/>
      <c r="C524" s="581"/>
      <c r="D524" s="174" t="str">
        <f>серпень!D447</f>
        <v>місцевий (план), тис.грн</v>
      </c>
      <c r="E524" s="56"/>
      <c r="F524" s="52">
        <f>F541+F710</f>
        <v>0</v>
      </c>
      <c r="G524" s="52">
        <f t="shared" ref="G524:K524" si="533">G541+G710</f>
        <v>2.2189999999999999</v>
      </c>
      <c r="H524" s="52">
        <f t="shared" si="533"/>
        <v>2.1110000000000002</v>
      </c>
      <c r="I524" s="52">
        <f t="shared" si="533"/>
        <v>2.8820000000000001</v>
      </c>
      <c r="J524" s="52">
        <f t="shared" si="533"/>
        <v>2.5339999999999998</v>
      </c>
      <c r="K524" s="52">
        <f t="shared" si="533"/>
        <v>2.573</v>
      </c>
      <c r="L524" s="69">
        <f>SUM(F524:K524)</f>
        <v>12.319000000000001</v>
      </c>
      <c r="M524" s="69">
        <f>L524/6</f>
        <v>2.0529999999999999</v>
      </c>
      <c r="N524" s="52">
        <f>N541+N710</f>
        <v>2.577</v>
      </c>
      <c r="O524" s="52">
        <f t="shared" ref="O524:S524" si="534">O541+O710</f>
        <v>1.776</v>
      </c>
      <c r="P524" s="52">
        <f t="shared" si="534"/>
        <v>1.129</v>
      </c>
      <c r="Q524" s="52">
        <f t="shared" si="534"/>
        <v>1.34</v>
      </c>
      <c r="R524" s="52">
        <f t="shared" si="534"/>
        <v>1.569</v>
      </c>
      <c r="S524" s="52">
        <f t="shared" si="534"/>
        <v>2.5710000000000002</v>
      </c>
      <c r="T524" s="69">
        <f>SUM(N524:S524)</f>
        <v>10.962</v>
      </c>
      <c r="U524" s="69">
        <f>T524+L524</f>
        <v>23.280999999999999</v>
      </c>
      <c r="V524" s="69">
        <f>V541+V710</f>
        <v>23.280999999999999</v>
      </c>
      <c r="W524" s="52">
        <f>V524-U524</f>
        <v>0</v>
      </c>
    </row>
    <row r="525" spans="1:28" s="47" customFormat="1" ht="18" customHeight="1">
      <c r="A525" s="614"/>
      <c r="B525" s="581"/>
      <c r="C525" s="581"/>
      <c r="D525" s="178" t="str">
        <f>серпень!D448</f>
        <v>касові нат.п-ки 2025</v>
      </c>
      <c r="E525" s="12">
        <f>E542+E711</f>
        <v>0</v>
      </c>
      <c r="F525" s="82">
        <f>F542+F711</f>
        <v>0</v>
      </c>
      <c r="G525" s="82">
        <f>G542+G711</f>
        <v>0</v>
      </c>
      <c r="H525" s="82">
        <f>H542+H711</f>
        <v>11.736000000000001</v>
      </c>
      <c r="I525" s="82">
        <f>I542+I711</f>
        <v>26.225999999999999</v>
      </c>
      <c r="J525" s="82">
        <f>J542+J711</f>
        <v>13.295</v>
      </c>
      <c r="K525" s="82">
        <f>K542+K711</f>
        <v>13.493</v>
      </c>
      <c r="L525" s="464">
        <f>SUM(F525:K525)</f>
        <v>64.75</v>
      </c>
      <c r="M525" s="464">
        <f>L525/6</f>
        <v>10.792</v>
      </c>
      <c r="N525" s="466">
        <f>N542+N711</f>
        <v>13.507</v>
      </c>
      <c r="O525" s="466">
        <f>O542+O711</f>
        <v>9.5489999999999995</v>
      </c>
      <c r="P525" s="466">
        <f>P542+P711</f>
        <v>9.5749999999999993</v>
      </c>
      <c r="Q525" s="466">
        <f>Q542+Q711</f>
        <v>12.35</v>
      </c>
      <c r="R525" s="466">
        <f>R542+R711</f>
        <v>8.0500000000000007</v>
      </c>
      <c r="S525" s="466">
        <f>S542+S711</f>
        <v>17.8</v>
      </c>
      <c r="T525" s="464">
        <f>SUM(N525:S525)</f>
        <v>70.831000000000003</v>
      </c>
      <c r="U525" s="464">
        <f>T525+L525</f>
        <v>135.58099999999999</v>
      </c>
      <c r="V525" s="76">
        <f>V542+V711</f>
        <v>116.2</v>
      </c>
      <c r="W525" s="38">
        <f>V525-U525</f>
        <v>-19.399999999999999</v>
      </c>
      <c r="X525" s="47">
        <f>U518-U525</f>
        <v>0</v>
      </c>
    </row>
    <row r="526" spans="1:28" s="47" customFormat="1" ht="18" customHeight="1">
      <c r="A526" s="614"/>
      <c r="B526" s="581"/>
      <c r="C526" s="581"/>
      <c r="D526" s="187" t="str">
        <f>серпень!D449</f>
        <v>тариф, грн.</v>
      </c>
      <c r="E526" s="49" t="e">
        <f>E527/E525*1000</f>
        <v>#DIV/0!</v>
      </c>
      <c r="F526" s="49" t="e">
        <f t="shared" ref="F526:S526" si="535">F527/F525*1000</f>
        <v>#DIV/0!</v>
      </c>
      <c r="G526" s="49" t="e">
        <f t="shared" si="535"/>
        <v>#DIV/0!</v>
      </c>
      <c r="H526" s="49">
        <f t="shared" si="535"/>
        <v>188.99100000000001</v>
      </c>
      <c r="I526" s="49">
        <f t="shared" si="535"/>
        <v>190.345</v>
      </c>
      <c r="J526" s="49">
        <f t="shared" si="535"/>
        <v>190.59800000000001</v>
      </c>
      <c r="K526" s="49">
        <f t="shared" si="535"/>
        <v>190.691</v>
      </c>
      <c r="L526" s="49">
        <f t="shared" si="535"/>
        <v>190.22399999999999</v>
      </c>
      <c r="M526" s="49">
        <f t="shared" si="535"/>
        <v>190.23400000000001</v>
      </c>
      <c r="N526" s="49">
        <f t="shared" si="535"/>
        <v>190.71600000000001</v>
      </c>
      <c r="O526" s="49">
        <f t="shared" si="535"/>
        <v>185.988</v>
      </c>
      <c r="P526" s="49">
        <f t="shared" si="535"/>
        <v>186.31899999999999</v>
      </c>
      <c r="Q526" s="49">
        <f t="shared" si="535"/>
        <v>206.154</v>
      </c>
      <c r="R526" s="49">
        <f t="shared" si="535"/>
        <v>194.90700000000001</v>
      </c>
      <c r="S526" s="49">
        <f t="shared" si="535"/>
        <v>198.42699999999999</v>
      </c>
      <c r="T526" s="49">
        <f>T527/T525*1000</f>
        <v>194.59</v>
      </c>
      <c r="U526" s="49">
        <f>U527/U525*1000</f>
        <v>192.505</v>
      </c>
      <c r="V526" s="49">
        <f>V527/V525*1000</f>
        <v>200.35300000000001</v>
      </c>
      <c r="W526" s="49">
        <f>W527/W525*1000</f>
        <v>145.309</v>
      </c>
      <c r="X526" s="59"/>
    </row>
    <row r="527" spans="1:28" s="63" customFormat="1" ht="18" customHeight="1">
      <c r="A527" s="614"/>
      <c r="B527" s="581"/>
      <c r="C527" s="581"/>
      <c r="D527" s="198" t="str">
        <f>серпень!D450</f>
        <v>касові видатки, тис.грн.</v>
      </c>
      <c r="E527" s="72">
        <f t="shared" ref="E527:K527" si="536">E544+E713</f>
        <v>0</v>
      </c>
      <c r="F527" s="61">
        <f t="shared" si="536"/>
        <v>0</v>
      </c>
      <c r="G527" s="61">
        <f t="shared" si="536"/>
        <v>0</v>
      </c>
      <c r="H527" s="61">
        <f t="shared" si="536"/>
        <v>2.218</v>
      </c>
      <c r="I527" s="61">
        <f t="shared" si="536"/>
        <v>4.992</v>
      </c>
      <c r="J527" s="61">
        <f t="shared" si="536"/>
        <v>2.5339999999999998</v>
      </c>
      <c r="K527" s="61">
        <f t="shared" si="536"/>
        <v>2.573</v>
      </c>
      <c r="L527" s="61">
        <f>SUM(F527:K527)</f>
        <v>12.317</v>
      </c>
      <c r="M527" s="61">
        <f>L527/6</f>
        <v>2.0529999999999999</v>
      </c>
      <c r="N527" s="61">
        <f t="shared" ref="N527:S529" si="537">N544+N713</f>
        <v>2.5760000000000001</v>
      </c>
      <c r="O527" s="61">
        <f t="shared" si="537"/>
        <v>1.776</v>
      </c>
      <c r="P527" s="61">
        <f t="shared" si="537"/>
        <v>1.784</v>
      </c>
      <c r="Q527" s="61">
        <f t="shared" si="537"/>
        <v>2.5459999999999998</v>
      </c>
      <c r="R527" s="61">
        <f t="shared" si="537"/>
        <v>1.569</v>
      </c>
      <c r="S527" s="61">
        <f t="shared" si="537"/>
        <v>3.532</v>
      </c>
      <c r="T527" s="61">
        <f>SUM(N527:S527)</f>
        <v>13.782999999999999</v>
      </c>
      <c r="U527" s="61">
        <f>T527+L527</f>
        <v>26.1</v>
      </c>
      <c r="V527" s="61">
        <f>V544+V713</f>
        <v>23.280999999999999</v>
      </c>
      <c r="W527" s="72">
        <f>V527-U527</f>
        <v>-2.819</v>
      </c>
      <c r="X527" s="63">
        <f>U522-U527</f>
        <v>0</v>
      </c>
    </row>
    <row r="528" spans="1:28" s="63" customFormat="1" ht="18" customHeight="1">
      <c r="A528" s="614"/>
      <c r="B528" s="581"/>
      <c r="C528" s="581"/>
      <c r="D528" s="201" t="str">
        <f>серпень!D451</f>
        <v>дотація</v>
      </c>
      <c r="E528" s="71"/>
      <c r="F528" s="61">
        <f t="shared" ref="F528:K529" si="538">F545+F714</f>
        <v>0</v>
      </c>
      <c r="G528" s="61">
        <f t="shared" si="538"/>
        <v>0</v>
      </c>
      <c r="H528" s="61">
        <f t="shared" si="538"/>
        <v>0</v>
      </c>
      <c r="I528" s="61">
        <f t="shared" si="538"/>
        <v>0</v>
      </c>
      <c r="J528" s="61">
        <f t="shared" si="538"/>
        <v>0</v>
      </c>
      <c r="K528" s="61">
        <f t="shared" si="538"/>
        <v>0</v>
      </c>
      <c r="L528" s="61">
        <f>SUM(F528:K528)</f>
        <v>0</v>
      </c>
      <c r="M528" s="61">
        <f>L528/6</f>
        <v>0</v>
      </c>
      <c r="N528" s="61">
        <f t="shared" si="537"/>
        <v>0</v>
      </c>
      <c r="O528" s="61">
        <f t="shared" si="537"/>
        <v>0</v>
      </c>
      <c r="P528" s="61">
        <f t="shared" si="537"/>
        <v>0</v>
      </c>
      <c r="Q528" s="61">
        <f t="shared" si="537"/>
        <v>0</v>
      </c>
      <c r="R528" s="61">
        <f t="shared" si="537"/>
        <v>0</v>
      </c>
      <c r="S528" s="61">
        <f t="shared" si="537"/>
        <v>0</v>
      </c>
      <c r="T528" s="61">
        <f>SUM(N528:S528)</f>
        <v>0</v>
      </c>
      <c r="U528" s="61">
        <f>T528+L528</f>
        <v>0</v>
      </c>
      <c r="V528" s="61">
        <f>V545+V714</f>
        <v>0</v>
      </c>
      <c r="W528" s="72">
        <f>V528-U528</f>
        <v>0</v>
      </c>
      <c r="X528" s="63">
        <f>U523-U528</f>
        <v>0</v>
      </c>
    </row>
    <row r="529" spans="1:24" s="63" customFormat="1" ht="18" customHeight="1">
      <c r="A529" s="614"/>
      <c r="B529" s="581"/>
      <c r="C529" s="581"/>
      <c r="D529" s="201" t="str">
        <f>серпень!D452</f>
        <v xml:space="preserve">місцевий </v>
      </c>
      <c r="E529" s="71"/>
      <c r="F529" s="61">
        <f t="shared" si="538"/>
        <v>0</v>
      </c>
      <c r="G529" s="61">
        <f t="shared" si="538"/>
        <v>0</v>
      </c>
      <c r="H529" s="61">
        <f t="shared" si="538"/>
        <v>2.218</v>
      </c>
      <c r="I529" s="61">
        <f t="shared" si="538"/>
        <v>4.992</v>
      </c>
      <c r="J529" s="61">
        <f t="shared" si="538"/>
        <v>2.5339999999999998</v>
      </c>
      <c r="K529" s="61">
        <f t="shared" si="538"/>
        <v>2.573</v>
      </c>
      <c r="L529" s="61">
        <f>SUM(F529:K529)</f>
        <v>12.317</v>
      </c>
      <c r="M529" s="61">
        <f>L529/6</f>
        <v>2.0529999999999999</v>
      </c>
      <c r="N529" s="61">
        <f t="shared" si="537"/>
        <v>2.5760000000000001</v>
      </c>
      <c r="O529" s="61">
        <f t="shared" si="537"/>
        <v>1.776</v>
      </c>
      <c r="P529" s="61">
        <f t="shared" si="537"/>
        <v>1.784</v>
      </c>
      <c r="Q529" s="61">
        <f t="shared" si="537"/>
        <v>2.5459999999999998</v>
      </c>
      <c r="R529" s="61">
        <f t="shared" si="537"/>
        <v>1.569</v>
      </c>
      <c r="S529" s="61">
        <f t="shared" si="537"/>
        <v>3.532</v>
      </c>
      <c r="T529" s="61">
        <f>SUM(N529:S529)</f>
        <v>13.782999999999999</v>
      </c>
      <c r="U529" s="61">
        <f>T529+L529</f>
        <v>26.1</v>
      </c>
      <c r="V529" s="61">
        <f>V546+V715</f>
        <v>23.280999999999999</v>
      </c>
      <c r="W529" s="72">
        <f>V529-U529</f>
        <v>-2.819</v>
      </c>
      <c r="X529" s="63">
        <f>U524-U529</f>
        <v>-2.819</v>
      </c>
    </row>
    <row r="530" spans="1:24" s="43" customFormat="1" ht="18" customHeight="1">
      <c r="A530" s="614"/>
      <c r="B530" s="581"/>
      <c r="C530" s="581"/>
      <c r="D530" s="202" t="str">
        <f>серпень!D453</f>
        <v>план</v>
      </c>
      <c r="E530" s="42"/>
      <c r="F530" s="42">
        <f t="shared" ref="F530:K530" si="539">F524</f>
        <v>0</v>
      </c>
      <c r="G530" s="42">
        <f t="shared" si="539"/>
        <v>2.2189999999999999</v>
      </c>
      <c r="H530" s="42">
        <f t="shared" si="539"/>
        <v>2.1110000000000002</v>
      </c>
      <c r="I530" s="42">
        <f t="shared" si="539"/>
        <v>2.8820000000000001</v>
      </c>
      <c r="J530" s="42">
        <f t="shared" si="539"/>
        <v>2.5339999999999998</v>
      </c>
      <c r="K530" s="42">
        <f t="shared" si="539"/>
        <v>2.573</v>
      </c>
      <c r="L530" s="42">
        <f>SUM(F530:K530)</f>
        <v>12.319000000000001</v>
      </c>
      <c r="M530" s="42">
        <f>L530/6</f>
        <v>2.0529999999999999</v>
      </c>
      <c r="N530" s="42">
        <f t="shared" ref="N530:S530" si="540">N524</f>
        <v>2.577</v>
      </c>
      <c r="O530" s="42">
        <f t="shared" si="540"/>
        <v>1.776</v>
      </c>
      <c r="P530" s="42">
        <f t="shared" si="540"/>
        <v>1.129</v>
      </c>
      <c r="Q530" s="42">
        <f t="shared" si="540"/>
        <v>1.34</v>
      </c>
      <c r="R530" s="42">
        <f t="shared" si="540"/>
        <v>1.569</v>
      </c>
      <c r="S530" s="42">
        <f t="shared" si="540"/>
        <v>2.5710000000000002</v>
      </c>
      <c r="T530" s="42">
        <f>SUM(N530:S530)</f>
        <v>10.962</v>
      </c>
      <c r="U530" s="42">
        <f>T530+L530</f>
        <v>23.280999999999999</v>
      </c>
      <c r="V530" s="42">
        <f>V524</f>
        <v>23.280999999999999</v>
      </c>
      <c r="W530" s="42">
        <f>V530-U530</f>
        <v>0</v>
      </c>
    </row>
    <row r="531" spans="1:24" s="43" customFormat="1" ht="18" customHeight="1">
      <c r="A531" s="614"/>
      <c r="B531" s="581"/>
      <c r="C531" s="581"/>
      <c r="D531" s="202" t="str">
        <f>серпень!D454</f>
        <v xml:space="preserve">відхилення </v>
      </c>
      <c r="E531" s="42"/>
      <c r="F531" s="42">
        <f t="shared" ref="F531:K531" si="541">F527-F530</f>
        <v>0</v>
      </c>
      <c r="G531" s="42">
        <f t="shared" si="541"/>
        <v>-2.2189999999999999</v>
      </c>
      <c r="H531" s="42">
        <f t="shared" si="541"/>
        <v>0.107</v>
      </c>
      <c r="I531" s="42">
        <f t="shared" si="541"/>
        <v>2.11</v>
      </c>
      <c r="J531" s="42">
        <f t="shared" si="541"/>
        <v>0</v>
      </c>
      <c r="K531" s="42">
        <f t="shared" si="541"/>
        <v>0</v>
      </c>
      <c r="L531" s="42"/>
      <c r="M531" s="42"/>
      <c r="N531" s="42">
        <f t="shared" ref="N531:S531" si="542">N527-N530</f>
        <v>-1E-3</v>
      </c>
      <c r="O531" s="42">
        <f t="shared" si="542"/>
        <v>0</v>
      </c>
      <c r="P531" s="42">
        <f t="shared" si="542"/>
        <v>0.65500000000000003</v>
      </c>
      <c r="Q531" s="42">
        <f t="shared" si="542"/>
        <v>1.206</v>
      </c>
      <c r="R531" s="42">
        <f t="shared" si="542"/>
        <v>0</v>
      </c>
      <c r="S531" s="42">
        <f t="shared" si="542"/>
        <v>0.96099999999999997</v>
      </c>
      <c r="T531" s="42"/>
      <c r="U531" s="42"/>
      <c r="V531" s="42"/>
      <c r="W531" s="42"/>
    </row>
    <row r="532" spans="1:24" s="43" customFormat="1" ht="18" customHeight="1">
      <c r="A532" s="614"/>
      <c r="B532" s="581"/>
      <c r="C532" s="581"/>
      <c r="D532" s="202" t="str">
        <f>серпень!D455</f>
        <v>відхилення з наростаючим</v>
      </c>
      <c r="E532" s="42"/>
      <c r="F532" s="42">
        <f>F531</f>
        <v>0</v>
      </c>
      <c r="G532" s="42">
        <f>G531+F532</f>
        <v>-2.2189999999999999</v>
      </c>
      <c r="H532" s="42">
        <f>H531+G532</f>
        <v>-2.1120000000000001</v>
      </c>
      <c r="I532" s="42">
        <f>I531+H532</f>
        <v>-2E-3</v>
      </c>
      <c r="J532" s="42">
        <f>J531+I532</f>
        <v>-2E-3</v>
      </c>
      <c r="K532" s="42">
        <f>K531+J532</f>
        <v>-2E-3</v>
      </c>
      <c r="L532" s="42"/>
      <c r="M532" s="42"/>
      <c r="N532" s="42">
        <f>N531+K532</f>
        <v>-3.0000000000000001E-3</v>
      </c>
      <c r="O532" s="42">
        <f>O531+N532</f>
        <v>-3.0000000000000001E-3</v>
      </c>
      <c r="P532" s="42">
        <f>P531+O532</f>
        <v>0.65200000000000002</v>
      </c>
      <c r="Q532" s="42">
        <f>Q531+P532</f>
        <v>1.8580000000000001</v>
      </c>
      <c r="R532" s="42">
        <f>R531+Q532</f>
        <v>1.8580000000000001</v>
      </c>
      <c r="S532" s="42">
        <f>S531+R532</f>
        <v>2.819</v>
      </c>
      <c r="T532" s="42"/>
      <c r="U532" s="42"/>
      <c r="V532" s="42"/>
      <c r="W532" s="42"/>
    </row>
    <row r="533" spans="1:24" s="47" customFormat="1" ht="18" customHeight="1">
      <c r="A533" s="614"/>
      <c r="B533" s="576" t="s">
        <v>90</v>
      </c>
      <c r="C533" s="577"/>
      <c r="D533" s="178" t="str">
        <f>серпень!D456</f>
        <v>факт. нат.п-ки 2023</v>
      </c>
      <c r="E533" s="11"/>
      <c r="F533" s="12">
        <f t="shared" ref="F533:K534" si="543">F550+F627</f>
        <v>9.1</v>
      </c>
      <c r="G533" s="12">
        <f t="shared" si="543"/>
        <v>9.1</v>
      </c>
      <c r="H533" s="12">
        <f t="shared" si="543"/>
        <v>9.3000000000000007</v>
      </c>
      <c r="I533" s="12">
        <f t="shared" si="543"/>
        <v>10.199999999999999</v>
      </c>
      <c r="J533" s="12">
        <f t="shared" si="543"/>
        <v>10.199999999999999</v>
      </c>
      <c r="K533" s="12">
        <f t="shared" si="543"/>
        <v>10.3</v>
      </c>
      <c r="L533" s="117">
        <f>SUM(F533:K533)</f>
        <v>58.2</v>
      </c>
      <c r="M533" s="117">
        <f>L533/6</f>
        <v>9.6999999999999993</v>
      </c>
      <c r="N533" s="12">
        <f t="shared" ref="N533:S535" si="544">N550+N627</f>
        <v>9.3000000000000007</v>
      </c>
      <c r="O533" s="12">
        <f t="shared" si="544"/>
        <v>9.3000000000000007</v>
      </c>
      <c r="P533" s="12">
        <f t="shared" si="544"/>
        <v>11.4</v>
      </c>
      <c r="Q533" s="12">
        <f t="shared" si="544"/>
        <v>11.2</v>
      </c>
      <c r="R533" s="12">
        <f t="shared" si="544"/>
        <v>11.1</v>
      </c>
      <c r="S533" s="12">
        <f t="shared" si="544"/>
        <v>11.6</v>
      </c>
      <c r="T533" s="117">
        <f>SUM(N533:S533)</f>
        <v>63.9</v>
      </c>
      <c r="U533" s="117">
        <f>T533+L533</f>
        <v>122.1</v>
      </c>
      <c r="V533" s="76">
        <f>V550+V627</f>
        <v>0</v>
      </c>
      <c r="W533" s="38"/>
    </row>
    <row r="534" spans="1:24" s="47" customFormat="1" ht="18" customHeight="1">
      <c r="A534" s="614"/>
      <c r="B534" s="576"/>
      <c r="C534" s="577"/>
      <c r="D534" s="178" t="str">
        <f>серпень!D457</f>
        <v>факт. нат.п-ки 2024</v>
      </c>
      <c r="E534" s="11"/>
      <c r="F534" s="12">
        <f t="shared" si="543"/>
        <v>10.199999999999999</v>
      </c>
      <c r="G534" s="12">
        <f t="shared" si="543"/>
        <v>11.9</v>
      </c>
      <c r="H534" s="12">
        <f t="shared" si="543"/>
        <v>9.6999999999999993</v>
      </c>
      <c r="I534" s="12">
        <f t="shared" si="543"/>
        <v>9.5</v>
      </c>
      <c r="J534" s="12">
        <f t="shared" si="543"/>
        <v>9.3000000000000007</v>
      </c>
      <c r="K534" s="12">
        <f t="shared" si="543"/>
        <v>9</v>
      </c>
      <c r="L534" s="117">
        <f>SUM(F534:K534)</f>
        <v>59.6</v>
      </c>
      <c r="M534" s="117">
        <f>L534/6</f>
        <v>9.9</v>
      </c>
      <c r="N534" s="12">
        <f t="shared" si="544"/>
        <v>9.1</v>
      </c>
      <c r="O534" s="12">
        <f t="shared" si="544"/>
        <v>9.6999999999999993</v>
      </c>
      <c r="P534" s="12">
        <f t="shared" si="544"/>
        <v>12.4</v>
      </c>
      <c r="Q534" s="12">
        <f t="shared" si="544"/>
        <v>8.1</v>
      </c>
      <c r="R534" s="12">
        <f t="shared" si="544"/>
        <v>8.1</v>
      </c>
      <c r="S534" s="12">
        <f t="shared" si="544"/>
        <v>8.6999999999999993</v>
      </c>
      <c r="T534" s="117">
        <f>SUM(N534:S534)</f>
        <v>56.1</v>
      </c>
      <c r="U534" s="117">
        <f>T534+L534</f>
        <v>115.7</v>
      </c>
      <c r="V534" s="76">
        <f>V551+V628</f>
        <v>108</v>
      </c>
      <c r="W534" s="38"/>
    </row>
    <row r="535" spans="1:24" s="47" customFormat="1" ht="18" customHeight="1">
      <c r="A535" s="614"/>
      <c r="B535" s="576"/>
      <c r="C535" s="577"/>
      <c r="D535" s="178" t="str">
        <f>серпень!D458</f>
        <v>факт. нат.п-ки 2025</v>
      </c>
      <c r="E535" s="11"/>
      <c r="F535" s="82">
        <f>F552</f>
        <v>11.736000000000001</v>
      </c>
      <c r="G535" s="82">
        <f>G552+G629</f>
        <v>13.31</v>
      </c>
      <c r="H535" s="82">
        <f>H552+H629</f>
        <v>12.916</v>
      </c>
      <c r="I535" s="82">
        <f>I552+I629</f>
        <v>13.295</v>
      </c>
      <c r="J535" s="82">
        <f>J552+J629</f>
        <v>13.493</v>
      </c>
      <c r="K535" s="82">
        <f>K552+K629</f>
        <v>13.507</v>
      </c>
      <c r="L535" s="464">
        <f>SUM(F535:K535)</f>
        <v>78.257000000000005</v>
      </c>
      <c r="M535" s="464">
        <f>L535/6</f>
        <v>13.042999999999999</v>
      </c>
      <c r="N535" s="82">
        <f t="shared" si="544"/>
        <v>9.5489999999999995</v>
      </c>
      <c r="O535" s="82">
        <f t="shared" si="544"/>
        <v>9.5749999999999993</v>
      </c>
      <c r="P535" s="82">
        <f t="shared" si="544"/>
        <v>12.35</v>
      </c>
      <c r="Q535" s="82">
        <f t="shared" si="544"/>
        <v>8.0500000000000007</v>
      </c>
      <c r="R535" s="82">
        <f t="shared" si="544"/>
        <v>8.0500000000000007</v>
      </c>
      <c r="S535" s="82">
        <f t="shared" si="544"/>
        <v>9.75</v>
      </c>
      <c r="T535" s="464">
        <f>SUM(N535:S535)</f>
        <v>57.323999999999998</v>
      </c>
      <c r="U535" s="464">
        <f>T535+L535</f>
        <v>135.58099999999999</v>
      </c>
      <c r="V535" s="76">
        <f>V552+V629</f>
        <v>116.2</v>
      </c>
      <c r="W535" s="38">
        <f>V535-U535</f>
        <v>-19.399999999999999</v>
      </c>
    </row>
    <row r="536" spans="1:24" s="47" customFormat="1" ht="18" customHeight="1">
      <c r="A536" s="614"/>
      <c r="B536" s="576"/>
      <c r="C536" s="577"/>
      <c r="D536" s="187" t="str">
        <f>серпень!D459</f>
        <v>тариф, грн.</v>
      </c>
      <c r="E536" s="49" t="e">
        <f>E537/E535*1000</f>
        <v>#DIV/0!</v>
      </c>
      <c r="F536" s="49">
        <f t="shared" ref="F536:S536" si="545">F537/F535*1000</f>
        <v>188.90600000000001</v>
      </c>
      <c r="G536" s="49">
        <f t="shared" si="545"/>
        <v>190.38300000000001</v>
      </c>
      <c r="H536" s="49">
        <f t="shared" si="545"/>
        <v>190.07400000000001</v>
      </c>
      <c r="I536" s="49">
        <f t="shared" si="545"/>
        <v>190.44800000000001</v>
      </c>
      <c r="J536" s="49">
        <f t="shared" si="545"/>
        <v>190.39500000000001</v>
      </c>
      <c r="K536" s="49">
        <f t="shared" si="545"/>
        <v>190.56800000000001</v>
      </c>
      <c r="L536" s="49">
        <f t="shared" si="545"/>
        <v>190.15600000000001</v>
      </c>
      <c r="M536" s="49">
        <f t="shared" si="545"/>
        <v>190.14</v>
      </c>
      <c r="N536" s="49">
        <f t="shared" si="545"/>
        <v>185.36</v>
      </c>
      <c r="O536" s="49">
        <f t="shared" si="545"/>
        <v>185.90100000000001</v>
      </c>
      <c r="P536" s="49">
        <f t="shared" si="545"/>
        <v>205.83</v>
      </c>
      <c r="Q536" s="49">
        <f t="shared" si="545"/>
        <v>194.41</v>
      </c>
      <c r="R536" s="49">
        <f t="shared" si="545"/>
        <v>194.41</v>
      </c>
      <c r="S536" s="49">
        <f t="shared" si="545"/>
        <v>199.69200000000001</v>
      </c>
      <c r="T536" s="49">
        <f>T537/T535*1000</f>
        <v>194.84</v>
      </c>
      <c r="U536" s="49">
        <f>U537/U535*1000</f>
        <v>192.136</v>
      </c>
      <c r="V536" s="49">
        <f>V537/V535*1000</f>
        <v>199.91399999999999</v>
      </c>
      <c r="W536" s="49">
        <f>W537/W535*1000</f>
        <v>145.36099999999999</v>
      </c>
    </row>
    <row r="537" spans="1:24" s="130" customFormat="1" ht="18" customHeight="1">
      <c r="A537" s="614"/>
      <c r="B537" s="576"/>
      <c r="C537" s="577"/>
      <c r="D537" s="191" t="str">
        <f>серпень!D460</f>
        <v>сума, тис.грн.</v>
      </c>
      <c r="E537" s="52"/>
      <c r="F537" s="52">
        <f>F554+F631</f>
        <v>2.2170000000000001</v>
      </c>
      <c r="G537" s="52">
        <f t="shared" ref="G537:K537" si="546">G554+G631</f>
        <v>2.5339999999999998</v>
      </c>
      <c r="H537" s="52">
        <f t="shared" si="546"/>
        <v>2.4550000000000001</v>
      </c>
      <c r="I537" s="52">
        <f t="shared" si="546"/>
        <v>2.532</v>
      </c>
      <c r="J537" s="52">
        <f t="shared" si="546"/>
        <v>2.569</v>
      </c>
      <c r="K537" s="52">
        <f t="shared" si="546"/>
        <v>2.5739999999999998</v>
      </c>
      <c r="L537" s="69">
        <f>SUM(F537:K537)</f>
        <v>14.881</v>
      </c>
      <c r="M537" s="69">
        <f>L537/6</f>
        <v>2.48</v>
      </c>
      <c r="N537" s="52">
        <f>N554+N631</f>
        <v>1.77</v>
      </c>
      <c r="O537" s="52">
        <f t="shared" ref="O537:S537" si="547">O554+O631</f>
        <v>1.78</v>
      </c>
      <c r="P537" s="52">
        <f t="shared" si="547"/>
        <v>2.5419999999999998</v>
      </c>
      <c r="Q537" s="52">
        <f t="shared" si="547"/>
        <v>1.5649999999999999</v>
      </c>
      <c r="R537" s="52">
        <f t="shared" si="547"/>
        <v>1.5649999999999999</v>
      </c>
      <c r="S537" s="52">
        <f t="shared" si="547"/>
        <v>1.9470000000000001</v>
      </c>
      <c r="T537" s="69">
        <f>SUM(N537:S537)</f>
        <v>11.169</v>
      </c>
      <c r="U537" s="69">
        <f>T537+L537</f>
        <v>26.05</v>
      </c>
      <c r="V537" s="69">
        <f t="shared" ref="V537" si="548">V554+V631</f>
        <v>23.23</v>
      </c>
      <c r="W537" s="52">
        <f>V537-U537</f>
        <v>-2.82</v>
      </c>
    </row>
    <row r="538" spans="1:24" s="130" customFormat="1" ht="18" customHeight="1">
      <c r="A538" s="614"/>
      <c r="B538" s="576"/>
      <c r="C538" s="577"/>
      <c r="D538" s="174" t="str">
        <f>серпень!D461</f>
        <v>абоненська плата, тис.грн.</v>
      </c>
      <c r="E538" s="52"/>
      <c r="F538" s="52">
        <f>F555+F632</f>
        <v>4.0000000000000001E-3</v>
      </c>
      <c r="G538" s="52">
        <f t="shared" ref="G538:K538" si="549">G555+G632</f>
        <v>4.0000000000000001E-3</v>
      </c>
      <c r="H538" s="52">
        <f t="shared" si="549"/>
        <v>4.0000000000000001E-3</v>
      </c>
      <c r="I538" s="52">
        <f t="shared" si="549"/>
        <v>4.0000000000000001E-3</v>
      </c>
      <c r="J538" s="52">
        <f t="shared" si="549"/>
        <v>4.0000000000000001E-3</v>
      </c>
      <c r="K538" s="52">
        <f t="shared" si="549"/>
        <v>4.0000000000000001E-3</v>
      </c>
      <c r="L538" s="69">
        <f t="shared" ref="L538:L541" si="550">SUM(F538:K538)</f>
        <v>2.4E-2</v>
      </c>
      <c r="M538" s="69">
        <f t="shared" ref="M538:M541" si="551">L538/6</f>
        <v>4.0000000000000001E-3</v>
      </c>
      <c r="N538" s="52">
        <f>N555+N632</f>
        <v>4.0000000000000001E-3</v>
      </c>
      <c r="O538" s="52">
        <f t="shared" ref="O538:S538" si="552">O555+O632</f>
        <v>4.0000000000000001E-3</v>
      </c>
      <c r="P538" s="52">
        <f t="shared" si="552"/>
        <v>4.0000000000000001E-3</v>
      </c>
      <c r="Q538" s="52">
        <f t="shared" si="552"/>
        <v>4.0000000000000001E-3</v>
      </c>
      <c r="R538" s="52">
        <f t="shared" si="552"/>
        <v>4.0000000000000001E-3</v>
      </c>
      <c r="S538" s="52">
        <f t="shared" si="552"/>
        <v>6.0000000000000001E-3</v>
      </c>
      <c r="T538" s="69">
        <f t="shared" ref="T538:T541" si="553">SUM(N538:S538)</f>
        <v>2.5999999999999999E-2</v>
      </c>
      <c r="U538" s="69">
        <f t="shared" ref="U538:U541" si="554">T538+L538</f>
        <v>0.05</v>
      </c>
      <c r="V538" s="69">
        <f t="shared" ref="V538" si="555">V555+V632</f>
        <v>5.0999999999999997E-2</v>
      </c>
      <c r="W538" s="52">
        <f t="shared" ref="W538:W541" si="556">V538-U538</f>
        <v>1E-3</v>
      </c>
    </row>
    <row r="539" spans="1:24" s="130" customFormat="1" ht="18" customHeight="1">
      <c r="A539" s="614"/>
      <c r="B539" s="576"/>
      <c r="C539" s="577"/>
      <c r="D539" s="174" t="str">
        <f>серпень!D462</f>
        <v>разом сума тис. грн+абонплата</v>
      </c>
      <c r="E539" s="52"/>
      <c r="F539" s="52">
        <f>F537+F538</f>
        <v>2.2210000000000001</v>
      </c>
      <c r="G539" s="52">
        <f t="shared" ref="G539:K539" si="557">G537+G538</f>
        <v>2.5379999999999998</v>
      </c>
      <c r="H539" s="52">
        <f t="shared" si="557"/>
        <v>2.4590000000000001</v>
      </c>
      <c r="I539" s="52">
        <f t="shared" si="557"/>
        <v>2.536</v>
      </c>
      <c r="J539" s="52">
        <f t="shared" si="557"/>
        <v>2.573</v>
      </c>
      <c r="K539" s="52">
        <f t="shared" si="557"/>
        <v>2.5779999999999998</v>
      </c>
      <c r="L539" s="69">
        <f t="shared" si="550"/>
        <v>14.904999999999999</v>
      </c>
      <c r="M539" s="69">
        <f t="shared" si="551"/>
        <v>2.484</v>
      </c>
      <c r="N539" s="52">
        <f>N537+N538</f>
        <v>1.774</v>
      </c>
      <c r="O539" s="52">
        <f t="shared" ref="O539" si="558">O537+O538</f>
        <v>1.784</v>
      </c>
      <c r="P539" s="52">
        <f t="shared" ref="P539" si="559">P537+P538</f>
        <v>2.5459999999999998</v>
      </c>
      <c r="Q539" s="52">
        <f t="shared" ref="Q539" si="560">Q537+Q538</f>
        <v>1.569</v>
      </c>
      <c r="R539" s="52">
        <f t="shared" ref="R539" si="561">R537+R538</f>
        <v>1.569</v>
      </c>
      <c r="S539" s="52">
        <f t="shared" ref="S539" si="562">S537+S538</f>
        <v>1.9530000000000001</v>
      </c>
      <c r="T539" s="69">
        <f t="shared" si="553"/>
        <v>11.195</v>
      </c>
      <c r="U539" s="69">
        <f t="shared" si="554"/>
        <v>26.1</v>
      </c>
      <c r="V539" s="69">
        <f t="shared" ref="V539" si="563">V537+V538</f>
        <v>23.280999999999999</v>
      </c>
      <c r="W539" s="52">
        <f t="shared" si="556"/>
        <v>-2.819</v>
      </c>
    </row>
    <row r="540" spans="1:24" s="130" customFormat="1" ht="18" customHeight="1">
      <c r="A540" s="614"/>
      <c r="B540" s="576"/>
      <c r="C540" s="577"/>
      <c r="D540" s="174" t="str">
        <f>серпень!D463</f>
        <v>дотація</v>
      </c>
      <c r="E540" s="56"/>
      <c r="F540" s="52">
        <f>F557+F634</f>
        <v>0</v>
      </c>
      <c r="G540" s="52">
        <f t="shared" ref="G540:K540" si="564">G557+G634</f>
        <v>0</v>
      </c>
      <c r="H540" s="52">
        <f t="shared" si="564"/>
        <v>0</v>
      </c>
      <c r="I540" s="52">
        <f t="shared" si="564"/>
        <v>0</v>
      </c>
      <c r="J540" s="52">
        <f t="shared" si="564"/>
        <v>0</v>
      </c>
      <c r="K540" s="52">
        <f t="shared" si="564"/>
        <v>0</v>
      </c>
      <c r="L540" s="69">
        <f t="shared" si="550"/>
        <v>0</v>
      </c>
      <c r="M540" s="69">
        <f t="shared" si="551"/>
        <v>0</v>
      </c>
      <c r="N540" s="52">
        <f>N557+N634</f>
        <v>0</v>
      </c>
      <c r="O540" s="52">
        <f t="shared" ref="O540:S540" si="565">O557+O634</f>
        <v>0</v>
      </c>
      <c r="P540" s="52">
        <f t="shared" si="565"/>
        <v>0</v>
      </c>
      <c r="Q540" s="52">
        <f t="shared" si="565"/>
        <v>0</v>
      </c>
      <c r="R540" s="52">
        <f t="shared" si="565"/>
        <v>0</v>
      </c>
      <c r="S540" s="52">
        <f t="shared" si="565"/>
        <v>0</v>
      </c>
      <c r="T540" s="69">
        <f t="shared" si="553"/>
        <v>0</v>
      </c>
      <c r="U540" s="69">
        <f t="shared" si="554"/>
        <v>0</v>
      </c>
      <c r="V540" s="69">
        <f t="shared" ref="V540" si="566">V557+V634</f>
        <v>0</v>
      </c>
      <c r="W540" s="52">
        <f t="shared" si="556"/>
        <v>0</v>
      </c>
      <c r="X540" s="134"/>
    </row>
    <row r="541" spans="1:24" s="130" customFormat="1" ht="18" customHeight="1">
      <c r="A541" s="614"/>
      <c r="B541" s="576"/>
      <c r="C541" s="577"/>
      <c r="D541" s="174" t="str">
        <f>серпень!D464</f>
        <v>місцевий (план), тис.грн</v>
      </c>
      <c r="E541" s="56"/>
      <c r="F541" s="52">
        <f>F558+F635</f>
        <v>0</v>
      </c>
      <c r="G541" s="52">
        <f t="shared" ref="G541:K541" si="567">G558+G635</f>
        <v>2.2189999999999999</v>
      </c>
      <c r="H541" s="52">
        <f t="shared" si="567"/>
        <v>2.1110000000000002</v>
      </c>
      <c r="I541" s="52">
        <f t="shared" si="567"/>
        <v>2.8820000000000001</v>
      </c>
      <c r="J541" s="52">
        <f t="shared" si="567"/>
        <v>2.5339999999999998</v>
      </c>
      <c r="K541" s="52">
        <f t="shared" si="567"/>
        <v>2.573</v>
      </c>
      <c r="L541" s="69">
        <f t="shared" si="550"/>
        <v>12.319000000000001</v>
      </c>
      <c r="M541" s="69">
        <f t="shared" si="551"/>
        <v>2.0529999999999999</v>
      </c>
      <c r="N541" s="52">
        <f>N558+N635</f>
        <v>2.577</v>
      </c>
      <c r="O541" s="52">
        <f t="shared" ref="O541:S541" si="568">O558+O635</f>
        <v>1.776</v>
      </c>
      <c r="P541" s="52">
        <f t="shared" si="568"/>
        <v>1.129</v>
      </c>
      <c r="Q541" s="52">
        <f t="shared" si="568"/>
        <v>1.34</v>
      </c>
      <c r="R541" s="52">
        <f t="shared" si="568"/>
        <v>1.569</v>
      </c>
      <c r="S541" s="52">
        <f t="shared" si="568"/>
        <v>2.5710000000000002</v>
      </c>
      <c r="T541" s="69">
        <f t="shared" si="553"/>
        <v>10.962</v>
      </c>
      <c r="U541" s="69">
        <f t="shared" si="554"/>
        <v>23.280999999999999</v>
      </c>
      <c r="V541" s="69">
        <f t="shared" ref="V541" si="569">V558+V635</f>
        <v>23.280999999999999</v>
      </c>
      <c r="W541" s="52">
        <f t="shared" si="556"/>
        <v>0</v>
      </c>
    </row>
    <row r="542" spans="1:24" s="47" customFormat="1" ht="18" customHeight="1">
      <c r="A542" s="614"/>
      <c r="B542" s="576"/>
      <c r="C542" s="577"/>
      <c r="D542" s="178" t="str">
        <f>серпень!D465</f>
        <v>касові нат.п-ки 2025</v>
      </c>
      <c r="E542" s="12">
        <f>E559+E636</f>
        <v>0</v>
      </c>
      <c r="F542" s="82">
        <f>F559+F636</f>
        <v>0</v>
      </c>
      <c r="G542" s="82">
        <f>G559+G636</f>
        <v>0</v>
      </c>
      <c r="H542" s="82">
        <f>H559+H636</f>
        <v>11.736000000000001</v>
      </c>
      <c r="I542" s="82">
        <f>I559+I636</f>
        <v>26.225999999999999</v>
      </c>
      <c r="J542" s="82">
        <f>J559+J636</f>
        <v>13.295</v>
      </c>
      <c r="K542" s="82">
        <f>K559+K636</f>
        <v>13.493</v>
      </c>
      <c r="L542" s="464">
        <f>SUM(F542:K542)</f>
        <v>64.75</v>
      </c>
      <c r="M542" s="464">
        <f>L542/6</f>
        <v>10.792</v>
      </c>
      <c r="N542" s="82">
        <f>N559+N636</f>
        <v>13.507</v>
      </c>
      <c r="O542" s="82">
        <f>O559+O636</f>
        <v>9.5489999999999995</v>
      </c>
      <c r="P542" s="82">
        <f>P559+P636</f>
        <v>9.5749999999999993</v>
      </c>
      <c r="Q542" s="82">
        <f>Q559+Q636</f>
        <v>12.35</v>
      </c>
      <c r="R542" s="82">
        <f>R559+R636</f>
        <v>8.0500000000000007</v>
      </c>
      <c r="S542" s="82">
        <f>S559+S636</f>
        <v>17.8</v>
      </c>
      <c r="T542" s="464">
        <f>SUM(N542:S542)</f>
        <v>70.831000000000003</v>
      </c>
      <c r="U542" s="464">
        <f>T542+L542</f>
        <v>135.58099999999999</v>
      </c>
      <c r="V542" s="76">
        <f>V559+V636</f>
        <v>116.2</v>
      </c>
      <c r="W542" s="38">
        <f>V542-U542</f>
        <v>-19.399999999999999</v>
      </c>
      <c r="X542" s="47">
        <f>U535-U542</f>
        <v>0</v>
      </c>
    </row>
    <row r="543" spans="1:24" s="47" customFormat="1" ht="18" customHeight="1">
      <c r="A543" s="614"/>
      <c r="B543" s="576"/>
      <c r="C543" s="577"/>
      <c r="D543" s="187" t="str">
        <f>серпень!D466</f>
        <v>тариф, грн.</v>
      </c>
      <c r="E543" s="49" t="e">
        <f>E544/E542*1000</f>
        <v>#DIV/0!</v>
      </c>
      <c r="F543" s="49" t="e">
        <f t="shared" ref="F543:S543" si="570">F544/F542*1000</f>
        <v>#DIV/0!</v>
      </c>
      <c r="G543" s="49" t="e">
        <f t="shared" si="570"/>
        <v>#DIV/0!</v>
      </c>
      <c r="H543" s="49">
        <f t="shared" si="570"/>
        <v>188.99100000000001</v>
      </c>
      <c r="I543" s="49">
        <f t="shared" si="570"/>
        <v>190.345</v>
      </c>
      <c r="J543" s="49">
        <f t="shared" si="570"/>
        <v>190.59800000000001</v>
      </c>
      <c r="K543" s="49">
        <f t="shared" si="570"/>
        <v>190.691</v>
      </c>
      <c r="L543" s="49">
        <f t="shared" si="570"/>
        <v>190.22399999999999</v>
      </c>
      <c r="M543" s="49">
        <f t="shared" si="570"/>
        <v>190.23400000000001</v>
      </c>
      <c r="N543" s="49">
        <f t="shared" si="570"/>
        <v>190.71600000000001</v>
      </c>
      <c r="O543" s="49">
        <f t="shared" si="570"/>
        <v>185.988</v>
      </c>
      <c r="P543" s="49">
        <f t="shared" si="570"/>
        <v>186.31899999999999</v>
      </c>
      <c r="Q543" s="49">
        <f t="shared" si="570"/>
        <v>206.154</v>
      </c>
      <c r="R543" s="49">
        <f t="shared" si="570"/>
        <v>194.90700000000001</v>
      </c>
      <c r="S543" s="49">
        <f t="shared" si="570"/>
        <v>198.42699999999999</v>
      </c>
      <c r="T543" s="49">
        <f>T544/T542*1000</f>
        <v>194.59</v>
      </c>
      <c r="U543" s="49">
        <f>U544/U542*1000</f>
        <v>192.505</v>
      </c>
      <c r="V543" s="49">
        <f>V544/V542*1000</f>
        <v>200.35300000000001</v>
      </c>
      <c r="W543" s="49">
        <f>W544/W542*1000</f>
        <v>145.309</v>
      </c>
      <c r="X543" s="59"/>
    </row>
    <row r="544" spans="1:24" s="63" customFormat="1" ht="18" customHeight="1">
      <c r="A544" s="614"/>
      <c r="B544" s="576"/>
      <c r="C544" s="577"/>
      <c r="D544" s="198" t="str">
        <f>серпень!D467</f>
        <v>касові видатки, тис.грн.</v>
      </c>
      <c r="E544" s="72">
        <f t="shared" ref="E544:K544" si="571">E561+E638</f>
        <v>0</v>
      </c>
      <c r="F544" s="61">
        <f t="shared" si="571"/>
        <v>0</v>
      </c>
      <c r="G544" s="61">
        <f t="shared" si="571"/>
        <v>0</v>
      </c>
      <c r="H544" s="61">
        <f t="shared" si="571"/>
        <v>2.218</v>
      </c>
      <c r="I544" s="61">
        <f t="shared" si="571"/>
        <v>4.992</v>
      </c>
      <c r="J544" s="61">
        <f t="shared" si="571"/>
        <v>2.5339999999999998</v>
      </c>
      <c r="K544" s="61">
        <f t="shared" si="571"/>
        <v>2.573</v>
      </c>
      <c r="L544" s="61">
        <f>SUM(F544:K544)</f>
        <v>12.317</v>
      </c>
      <c r="M544" s="61">
        <f>L544/6</f>
        <v>2.0529999999999999</v>
      </c>
      <c r="N544" s="61">
        <f t="shared" ref="N544:S546" si="572">N561+N638</f>
        <v>2.5760000000000001</v>
      </c>
      <c r="O544" s="61">
        <f t="shared" si="572"/>
        <v>1.776</v>
      </c>
      <c r="P544" s="61">
        <f t="shared" si="572"/>
        <v>1.784</v>
      </c>
      <c r="Q544" s="61">
        <f t="shared" si="572"/>
        <v>2.5459999999999998</v>
      </c>
      <c r="R544" s="61">
        <f t="shared" si="572"/>
        <v>1.569</v>
      </c>
      <c r="S544" s="61">
        <f t="shared" si="572"/>
        <v>3.532</v>
      </c>
      <c r="T544" s="61">
        <f>SUM(N544:S544)</f>
        <v>13.782999999999999</v>
      </c>
      <c r="U544" s="61">
        <f>T544+L544</f>
        <v>26.1</v>
      </c>
      <c r="V544" s="61">
        <f>V561+V638</f>
        <v>23.280999999999999</v>
      </c>
      <c r="W544" s="72">
        <f>V544-U544</f>
        <v>-2.819</v>
      </c>
      <c r="X544" s="63">
        <f>U539-U544</f>
        <v>0</v>
      </c>
    </row>
    <row r="545" spans="1:28" s="63" customFormat="1" ht="18" customHeight="1">
      <c r="A545" s="614"/>
      <c r="B545" s="576"/>
      <c r="C545" s="577"/>
      <c r="D545" s="201" t="str">
        <f>серпень!D468</f>
        <v>дотація</v>
      </c>
      <c r="E545" s="71"/>
      <c r="F545" s="61">
        <f t="shared" ref="F545:K546" si="573">F562+F639</f>
        <v>0</v>
      </c>
      <c r="G545" s="61">
        <f t="shared" si="573"/>
        <v>0</v>
      </c>
      <c r="H545" s="61">
        <f t="shared" si="573"/>
        <v>0</v>
      </c>
      <c r="I545" s="61">
        <f t="shared" si="573"/>
        <v>0</v>
      </c>
      <c r="J545" s="61">
        <f t="shared" si="573"/>
        <v>0</v>
      </c>
      <c r="K545" s="61">
        <f t="shared" si="573"/>
        <v>0</v>
      </c>
      <c r="L545" s="61">
        <f>SUM(F545:K545)</f>
        <v>0</v>
      </c>
      <c r="M545" s="61">
        <f>L545/6</f>
        <v>0</v>
      </c>
      <c r="N545" s="61">
        <f t="shared" si="572"/>
        <v>0</v>
      </c>
      <c r="O545" s="61">
        <f t="shared" si="572"/>
        <v>0</v>
      </c>
      <c r="P545" s="61">
        <f t="shared" si="572"/>
        <v>0</v>
      </c>
      <c r="Q545" s="61">
        <f t="shared" si="572"/>
        <v>0</v>
      </c>
      <c r="R545" s="61">
        <f t="shared" si="572"/>
        <v>0</v>
      </c>
      <c r="S545" s="61">
        <f t="shared" si="572"/>
        <v>0</v>
      </c>
      <c r="T545" s="61">
        <f>SUM(N545:S545)</f>
        <v>0</v>
      </c>
      <c r="U545" s="61">
        <f>T545+L545</f>
        <v>0</v>
      </c>
      <c r="V545" s="61">
        <f>V562+V639</f>
        <v>0</v>
      </c>
      <c r="W545" s="72">
        <f>V545-U545</f>
        <v>0</v>
      </c>
      <c r="X545" s="63">
        <f>U540-U545</f>
        <v>0</v>
      </c>
    </row>
    <row r="546" spans="1:28" s="63" customFormat="1" ht="18" customHeight="1">
      <c r="A546" s="614"/>
      <c r="B546" s="576"/>
      <c r="C546" s="577"/>
      <c r="D546" s="201" t="str">
        <f>серпень!D469</f>
        <v xml:space="preserve">місцевий </v>
      </c>
      <c r="E546" s="71"/>
      <c r="F546" s="61">
        <f t="shared" si="573"/>
        <v>0</v>
      </c>
      <c r="G546" s="61">
        <f t="shared" si="573"/>
        <v>0</v>
      </c>
      <c r="H546" s="61">
        <f t="shared" si="573"/>
        <v>2.218</v>
      </c>
      <c r="I546" s="61">
        <f t="shared" si="573"/>
        <v>4.992</v>
      </c>
      <c r="J546" s="61">
        <f t="shared" si="573"/>
        <v>2.5339999999999998</v>
      </c>
      <c r="K546" s="61">
        <f t="shared" si="573"/>
        <v>2.573</v>
      </c>
      <c r="L546" s="61">
        <f>SUM(F546:K546)</f>
        <v>12.317</v>
      </c>
      <c r="M546" s="61">
        <f>L546/6</f>
        <v>2.0529999999999999</v>
      </c>
      <c r="N546" s="61">
        <f t="shared" si="572"/>
        <v>2.5760000000000001</v>
      </c>
      <c r="O546" s="61">
        <f t="shared" si="572"/>
        <v>1.776</v>
      </c>
      <c r="P546" s="61">
        <f t="shared" si="572"/>
        <v>1.784</v>
      </c>
      <c r="Q546" s="61">
        <f t="shared" si="572"/>
        <v>2.5459999999999998</v>
      </c>
      <c r="R546" s="61">
        <f t="shared" si="572"/>
        <v>1.569</v>
      </c>
      <c r="S546" s="61">
        <f t="shared" si="572"/>
        <v>3.532</v>
      </c>
      <c r="T546" s="61">
        <f>SUM(N546:S546)</f>
        <v>13.782999999999999</v>
      </c>
      <c r="U546" s="61">
        <f>T546+L546</f>
        <v>26.1</v>
      </c>
      <c r="V546" s="61">
        <f>V563+V640</f>
        <v>23.280999999999999</v>
      </c>
      <c r="W546" s="72">
        <f>V546-U546</f>
        <v>-2.819</v>
      </c>
      <c r="X546" s="63">
        <f>U541-U546</f>
        <v>-2.819</v>
      </c>
    </row>
    <row r="547" spans="1:28" s="43" customFormat="1" ht="18" customHeight="1">
      <c r="A547" s="614"/>
      <c r="B547" s="576"/>
      <c r="C547" s="577"/>
      <c r="D547" s="202" t="str">
        <f>серпень!D470</f>
        <v>план</v>
      </c>
      <c r="E547" s="42"/>
      <c r="F547" s="42">
        <f t="shared" ref="F547:K547" si="574">F541</f>
        <v>0</v>
      </c>
      <c r="G547" s="42">
        <f t="shared" si="574"/>
        <v>2.2189999999999999</v>
      </c>
      <c r="H547" s="42">
        <f t="shared" si="574"/>
        <v>2.1110000000000002</v>
      </c>
      <c r="I547" s="42">
        <f t="shared" si="574"/>
        <v>2.8820000000000001</v>
      </c>
      <c r="J547" s="42">
        <f t="shared" si="574"/>
        <v>2.5339999999999998</v>
      </c>
      <c r="K547" s="42">
        <f t="shared" si="574"/>
        <v>2.573</v>
      </c>
      <c r="L547" s="42">
        <f>SUM(F547:K547)</f>
        <v>12.319000000000001</v>
      </c>
      <c r="M547" s="42">
        <f>L547/6</f>
        <v>2.0529999999999999</v>
      </c>
      <c r="N547" s="42">
        <f t="shared" ref="N547:S547" si="575">N541</f>
        <v>2.577</v>
      </c>
      <c r="O547" s="42">
        <f t="shared" si="575"/>
        <v>1.776</v>
      </c>
      <c r="P547" s="42">
        <f t="shared" si="575"/>
        <v>1.129</v>
      </c>
      <c r="Q547" s="42">
        <f t="shared" si="575"/>
        <v>1.34</v>
      </c>
      <c r="R547" s="42">
        <f t="shared" si="575"/>
        <v>1.569</v>
      </c>
      <c r="S547" s="42">
        <f t="shared" si="575"/>
        <v>2.5710000000000002</v>
      </c>
      <c r="T547" s="42">
        <f>SUM(N547:S547)</f>
        <v>10.962</v>
      </c>
      <c r="U547" s="42">
        <f>T547+L547</f>
        <v>23.280999999999999</v>
      </c>
      <c r="V547" s="42">
        <f>V541</f>
        <v>23.280999999999999</v>
      </c>
      <c r="W547" s="42">
        <f>V547-U547</f>
        <v>0</v>
      </c>
    </row>
    <row r="548" spans="1:28" s="43" customFormat="1" ht="18" customHeight="1">
      <c r="A548" s="614"/>
      <c r="B548" s="576"/>
      <c r="C548" s="577"/>
      <c r="D548" s="202" t="str">
        <f>серпень!D471</f>
        <v xml:space="preserve">відхилення </v>
      </c>
      <c r="E548" s="42"/>
      <c r="F548" s="42">
        <f t="shared" ref="F548:K548" si="576">F544-F547</f>
        <v>0</v>
      </c>
      <c r="G548" s="42">
        <f t="shared" si="576"/>
        <v>-2.2189999999999999</v>
      </c>
      <c r="H548" s="42">
        <f t="shared" si="576"/>
        <v>0.107</v>
      </c>
      <c r="I548" s="42">
        <f t="shared" si="576"/>
        <v>2.11</v>
      </c>
      <c r="J548" s="42">
        <f t="shared" si="576"/>
        <v>0</v>
      </c>
      <c r="K548" s="42">
        <f t="shared" si="576"/>
        <v>0</v>
      </c>
      <c r="L548" s="42"/>
      <c r="M548" s="42"/>
      <c r="N548" s="42">
        <f t="shared" ref="N548:S548" si="577">N544-N547</f>
        <v>-1E-3</v>
      </c>
      <c r="O548" s="42">
        <f t="shared" si="577"/>
        <v>0</v>
      </c>
      <c r="P548" s="42">
        <f t="shared" si="577"/>
        <v>0.65500000000000003</v>
      </c>
      <c r="Q548" s="42">
        <f t="shared" si="577"/>
        <v>1.206</v>
      </c>
      <c r="R548" s="42">
        <f t="shared" si="577"/>
        <v>0</v>
      </c>
      <c r="S548" s="42">
        <f t="shared" si="577"/>
        <v>0.96099999999999997</v>
      </c>
      <c r="T548" s="42"/>
      <c r="U548" s="42"/>
      <c r="V548" s="42"/>
      <c r="W548" s="42"/>
    </row>
    <row r="549" spans="1:28" s="43" customFormat="1" ht="18" customHeight="1">
      <c r="A549" s="614"/>
      <c r="B549" s="576"/>
      <c r="C549" s="577"/>
      <c r="D549" s="202" t="str">
        <f>серпень!D472</f>
        <v>відхилення з наростаючим</v>
      </c>
      <c r="E549" s="42"/>
      <c r="F549" s="42">
        <f>F548</f>
        <v>0</v>
      </c>
      <c r="G549" s="42">
        <f>G548+F549</f>
        <v>-2.2189999999999999</v>
      </c>
      <c r="H549" s="42">
        <f>H548+G549</f>
        <v>-2.1120000000000001</v>
      </c>
      <c r="I549" s="42">
        <f>I548+H549</f>
        <v>-2E-3</v>
      </c>
      <c r="J549" s="42">
        <f>J548+I549</f>
        <v>-2E-3</v>
      </c>
      <c r="K549" s="42">
        <f>K548+J549</f>
        <v>-2E-3</v>
      </c>
      <c r="L549" s="42"/>
      <c r="M549" s="42"/>
      <c r="N549" s="42">
        <f>N548+K549</f>
        <v>-3.0000000000000001E-3</v>
      </c>
      <c r="O549" s="42">
        <f>O548+N549</f>
        <v>-3.0000000000000001E-3</v>
      </c>
      <c r="P549" s="42">
        <f>P548+O549</f>
        <v>0.65200000000000002</v>
      </c>
      <c r="Q549" s="42">
        <f>Q548+P549</f>
        <v>1.8580000000000001</v>
      </c>
      <c r="R549" s="42">
        <f>R548+Q549</f>
        <v>1.8580000000000001</v>
      </c>
      <c r="S549" s="42">
        <f>S548+R549</f>
        <v>2.819</v>
      </c>
      <c r="T549" s="42"/>
      <c r="U549" s="42"/>
      <c r="V549" s="42"/>
      <c r="W549" s="42"/>
    </row>
    <row r="550" spans="1:28" s="55" customFormat="1" ht="18" customHeight="1">
      <c r="A550" s="614"/>
      <c r="B550" s="581" t="s">
        <v>65</v>
      </c>
      <c r="C550" s="581"/>
      <c r="D550" s="178" t="str">
        <f>серпень!D473</f>
        <v>факт. нат.п-ки 2023</v>
      </c>
      <c r="E550" s="11"/>
      <c r="F550" s="82">
        <f t="shared" ref="F550:K551" si="578">F567+F597</f>
        <v>9.1</v>
      </c>
      <c r="G550" s="82">
        <f t="shared" si="578"/>
        <v>9.1</v>
      </c>
      <c r="H550" s="82">
        <f t="shared" si="578"/>
        <v>9.3000000000000007</v>
      </c>
      <c r="I550" s="82">
        <f t="shared" si="578"/>
        <v>10.15</v>
      </c>
      <c r="J550" s="82">
        <f t="shared" si="578"/>
        <v>10.15</v>
      </c>
      <c r="K550" s="82">
        <f t="shared" si="578"/>
        <v>10.25</v>
      </c>
      <c r="L550" s="125">
        <f>SUM(F550:K550)</f>
        <v>58.05</v>
      </c>
      <c r="M550" s="125">
        <f>L550/6</f>
        <v>9.6750000000000007</v>
      </c>
      <c r="N550" s="82">
        <f t="shared" ref="N550:S552" si="579">N567+N597</f>
        <v>9.25</v>
      </c>
      <c r="O550" s="82">
        <f t="shared" si="579"/>
        <v>9.25</v>
      </c>
      <c r="P550" s="82">
        <f t="shared" si="579"/>
        <v>11.36</v>
      </c>
      <c r="Q550" s="82">
        <f t="shared" si="579"/>
        <v>11.15</v>
      </c>
      <c r="R550" s="82">
        <f t="shared" si="579"/>
        <v>11.06</v>
      </c>
      <c r="S550" s="82">
        <f t="shared" si="579"/>
        <v>11.6</v>
      </c>
      <c r="T550" s="125">
        <f>SUM(N550:S550)</f>
        <v>63.67</v>
      </c>
      <c r="U550" s="125">
        <f>T550+L550</f>
        <v>121.72</v>
      </c>
      <c r="V550" s="349">
        <f>V567+V597</f>
        <v>0</v>
      </c>
      <c r="W550" s="505"/>
      <c r="X550" s="47"/>
      <c r="Y550" s="48"/>
      <c r="Z550" s="48"/>
      <c r="AA550" s="48"/>
      <c r="AB550" s="48"/>
    </row>
    <row r="551" spans="1:28" s="48" customFormat="1" ht="18" customHeight="1">
      <c r="A551" s="614"/>
      <c r="B551" s="581"/>
      <c r="C551" s="581"/>
      <c r="D551" s="178" t="str">
        <f>серпень!D474</f>
        <v>факт. нат.п-ки 2024</v>
      </c>
      <c r="E551" s="11"/>
      <c r="F551" s="82">
        <f t="shared" si="578"/>
        <v>10.15</v>
      </c>
      <c r="G551" s="82">
        <f t="shared" si="578"/>
        <v>11.85</v>
      </c>
      <c r="H551" s="82">
        <f t="shared" si="578"/>
        <v>9.65</v>
      </c>
      <c r="I551" s="82">
        <f t="shared" si="578"/>
        <v>9.4499999999999993</v>
      </c>
      <c r="J551" s="82">
        <f t="shared" si="578"/>
        <v>9.25</v>
      </c>
      <c r="K551" s="82">
        <f t="shared" si="578"/>
        <v>8.9499999999999993</v>
      </c>
      <c r="L551" s="125">
        <f>SUM(F551:K551)</f>
        <v>59.3</v>
      </c>
      <c r="M551" s="125">
        <f>L551/6</f>
        <v>9.8829999999999991</v>
      </c>
      <c r="N551" s="82">
        <f t="shared" si="579"/>
        <v>9.0500000000000007</v>
      </c>
      <c r="O551" s="82">
        <f t="shared" si="579"/>
        <v>9.65</v>
      </c>
      <c r="P551" s="82">
        <f t="shared" si="579"/>
        <v>12.35</v>
      </c>
      <c r="Q551" s="82">
        <f t="shared" si="579"/>
        <v>8.0500000000000007</v>
      </c>
      <c r="R551" s="82">
        <f t="shared" si="579"/>
        <v>8.0500000000000007</v>
      </c>
      <c r="S551" s="82">
        <f t="shared" si="579"/>
        <v>8.6999999999999993</v>
      </c>
      <c r="T551" s="125">
        <f>SUM(N551:S551)</f>
        <v>55.85</v>
      </c>
      <c r="U551" s="125">
        <f>T551+L551</f>
        <v>115.15</v>
      </c>
      <c r="V551" s="349">
        <f>V568+V598</f>
        <v>108</v>
      </c>
      <c r="W551" s="505"/>
      <c r="X551" s="47"/>
    </row>
    <row r="552" spans="1:28" s="48" customFormat="1" ht="18" customHeight="1">
      <c r="A552" s="614"/>
      <c r="B552" s="581"/>
      <c r="C552" s="581"/>
      <c r="D552" s="178" t="str">
        <f>серпень!D475</f>
        <v>факт. нат.п-ки 2025</v>
      </c>
      <c r="E552" s="11"/>
      <c r="F552" s="82">
        <f>F569+F599</f>
        <v>11.736000000000001</v>
      </c>
      <c r="G552" s="82">
        <f t="shared" ref="G552:K552" si="580">G569+G599</f>
        <v>13.31</v>
      </c>
      <c r="H552" s="82">
        <f t="shared" si="580"/>
        <v>12.916</v>
      </c>
      <c r="I552" s="82">
        <f t="shared" si="580"/>
        <v>13.295</v>
      </c>
      <c r="J552" s="82">
        <f t="shared" si="580"/>
        <v>13.493</v>
      </c>
      <c r="K552" s="82">
        <f t="shared" si="580"/>
        <v>13.507</v>
      </c>
      <c r="L552" s="125">
        <f>SUM(F552:K552)</f>
        <v>78.257000000000005</v>
      </c>
      <c r="M552" s="125">
        <f>L552/6</f>
        <v>13.042999999999999</v>
      </c>
      <c r="N552" s="82">
        <f t="shared" si="579"/>
        <v>9.5489999999999995</v>
      </c>
      <c r="O552" s="82">
        <f t="shared" si="579"/>
        <v>9.5749999999999993</v>
      </c>
      <c r="P552" s="82">
        <f t="shared" si="579"/>
        <v>12.35</v>
      </c>
      <c r="Q552" s="82">
        <f t="shared" si="579"/>
        <v>8.0500000000000007</v>
      </c>
      <c r="R552" s="82">
        <f t="shared" si="579"/>
        <v>8.0500000000000007</v>
      </c>
      <c r="S552" s="82">
        <f t="shared" si="579"/>
        <v>9.75</v>
      </c>
      <c r="T552" s="125">
        <f>SUM(N552:S552)</f>
        <v>57.323999999999998</v>
      </c>
      <c r="U552" s="125">
        <f>T552+L552</f>
        <v>135.58099999999999</v>
      </c>
      <c r="V552" s="349">
        <f>V569+V599</f>
        <v>116.2</v>
      </c>
      <c r="W552" s="505">
        <f>V552-U552</f>
        <v>-19.381</v>
      </c>
      <c r="X552" s="47"/>
    </row>
    <row r="553" spans="1:28" s="51" customFormat="1" ht="18" customHeight="1">
      <c r="A553" s="614"/>
      <c r="B553" s="581"/>
      <c r="C553" s="581"/>
      <c r="D553" s="187" t="str">
        <f>серпень!D476</f>
        <v>тариф, грн.</v>
      </c>
      <c r="E553" s="49" t="e">
        <f>E554/E552*1000</f>
        <v>#DIV/0!</v>
      </c>
      <c r="F553" s="49">
        <f t="shared" ref="F553:W553" si="581">F554/F552*1000</f>
        <v>188.90600000000001</v>
      </c>
      <c r="G553" s="49">
        <f t="shared" si="581"/>
        <v>190.38300000000001</v>
      </c>
      <c r="H553" s="49">
        <f t="shared" si="581"/>
        <v>190.07400000000001</v>
      </c>
      <c r="I553" s="49">
        <f t="shared" si="581"/>
        <v>190.44800000000001</v>
      </c>
      <c r="J553" s="49">
        <f t="shared" si="581"/>
        <v>190.39500000000001</v>
      </c>
      <c r="K553" s="49">
        <f t="shared" si="581"/>
        <v>190.56800000000001</v>
      </c>
      <c r="L553" s="49">
        <f t="shared" si="581"/>
        <v>190.15600000000001</v>
      </c>
      <c r="M553" s="49">
        <f t="shared" si="581"/>
        <v>190.14</v>
      </c>
      <c r="N553" s="49">
        <f t="shared" si="581"/>
        <v>185.36</v>
      </c>
      <c r="O553" s="49">
        <f t="shared" si="581"/>
        <v>185.90100000000001</v>
      </c>
      <c r="P553" s="49">
        <f t="shared" si="581"/>
        <v>205.83</v>
      </c>
      <c r="Q553" s="49">
        <f t="shared" si="581"/>
        <v>194.41</v>
      </c>
      <c r="R553" s="49">
        <f t="shared" si="581"/>
        <v>194.41</v>
      </c>
      <c r="S553" s="49">
        <f t="shared" si="581"/>
        <v>199.69200000000001</v>
      </c>
      <c r="T553" s="49">
        <f t="shared" si="581"/>
        <v>194.84</v>
      </c>
      <c r="U553" s="49">
        <f t="shared" si="581"/>
        <v>192.136</v>
      </c>
      <c r="V553" s="49">
        <f t="shared" si="581"/>
        <v>199.91399999999999</v>
      </c>
      <c r="W553" s="49">
        <f t="shared" si="581"/>
        <v>145.50299999999999</v>
      </c>
      <c r="X553" s="59"/>
    </row>
    <row r="554" spans="1:28" s="130" customFormat="1" ht="18" customHeight="1">
      <c r="A554" s="614"/>
      <c r="B554" s="581"/>
      <c r="C554" s="581"/>
      <c r="D554" s="191" t="str">
        <f>серпень!D477</f>
        <v>сума, тис.грн.</v>
      </c>
      <c r="E554" s="52"/>
      <c r="F554" s="52">
        <f>F571+F601</f>
        <v>2.2170000000000001</v>
      </c>
      <c r="G554" s="52">
        <f t="shared" ref="G554:K554" si="582">G571+G601</f>
        <v>2.5339999999999998</v>
      </c>
      <c r="H554" s="52">
        <f t="shared" si="582"/>
        <v>2.4550000000000001</v>
      </c>
      <c r="I554" s="52">
        <f t="shared" si="582"/>
        <v>2.532</v>
      </c>
      <c r="J554" s="52">
        <f t="shared" si="582"/>
        <v>2.569</v>
      </c>
      <c r="K554" s="52">
        <f t="shared" si="582"/>
        <v>2.5739999999999998</v>
      </c>
      <c r="L554" s="69">
        <f>SUM(F554:K554)</f>
        <v>14.881</v>
      </c>
      <c r="M554" s="69">
        <f>L554/6</f>
        <v>2.48</v>
      </c>
      <c r="N554" s="52">
        <f>N571+N601</f>
        <v>1.77</v>
      </c>
      <c r="O554" s="52">
        <f t="shared" ref="O554:S554" si="583">O571+O601</f>
        <v>1.78</v>
      </c>
      <c r="P554" s="52">
        <f t="shared" si="583"/>
        <v>2.5419999999999998</v>
      </c>
      <c r="Q554" s="52">
        <f t="shared" si="583"/>
        <v>1.5649999999999999</v>
      </c>
      <c r="R554" s="52">
        <f t="shared" si="583"/>
        <v>1.5649999999999999</v>
      </c>
      <c r="S554" s="52">
        <f t="shared" si="583"/>
        <v>1.9470000000000001</v>
      </c>
      <c r="T554" s="69">
        <f>SUM(N554:S554)</f>
        <v>11.169</v>
      </c>
      <c r="U554" s="69">
        <f>T554+L554</f>
        <v>26.05</v>
      </c>
      <c r="V554" s="69">
        <f t="shared" ref="V554" si="584">V571+V601</f>
        <v>23.23</v>
      </c>
      <c r="W554" s="52">
        <f>V554-U554</f>
        <v>-2.82</v>
      </c>
    </row>
    <row r="555" spans="1:28" s="130" customFormat="1" ht="18" customHeight="1">
      <c r="A555" s="614"/>
      <c r="B555" s="581"/>
      <c r="C555" s="581"/>
      <c r="D555" s="174" t="str">
        <f>серпень!D478</f>
        <v>абоненська плата, тис.грн.</v>
      </c>
      <c r="E555" s="52"/>
      <c r="F555" s="52">
        <f>F586+F616</f>
        <v>4.0000000000000001E-3</v>
      </c>
      <c r="G555" s="52">
        <f t="shared" ref="G555:K555" si="585">G586+G616</f>
        <v>4.0000000000000001E-3</v>
      </c>
      <c r="H555" s="52">
        <f t="shared" si="585"/>
        <v>4.0000000000000001E-3</v>
      </c>
      <c r="I555" s="52">
        <f t="shared" si="585"/>
        <v>4.0000000000000001E-3</v>
      </c>
      <c r="J555" s="52">
        <f t="shared" si="585"/>
        <v>4.0000000000000001E-3</v>
      </c>
      <c r="K555" s="52">
        <f t="shared" si="585"/>
        <v>4.0000000000000001E-3</v>
      </c>
      <c r="L555" s="69">
        <f t="shared" ref="L555:L558" si="586">SUM(F555:K555)</f>
        <v>2.4E-2</v>
      </c>
      <c r="M555" s="69">
        <f t="shared" ref="M555:M558" si="587">L555/6</f>
        <v>4.0000000000000001E-3</v>
      </c>
      <c r="N555" s="52">
        <f>N586+N616</f>
        <v>4.0000000000000001E-3</v>
      </c>
      <c r="O555" s="52">
        <f t="shared" ref="O555:S555" si="588">O586+O616</f>
        <v>4.0000000000000001E-3</v>
      </c>
      <c r="P555" s="52">
        <f t="shared" si="588"/>
        <v>4.0000000000000001E-3</v>
      </c>
      <c r="Q555" s="52">
        <f t="shared" si="588"/>
        <v>4.0000000000000001E-3</v>
      </c>
      <c r="R555" s="52">
        <f t="shared" si="588"/>
        <v>4.0000000000000001E-3</v>
      </c>
      <c r="S555" s="52">
        <f t="shared" si="588"/>
        <v>6.0000000000000001E-3</v>
      </c>
      <c r="T555" s="69">
        <f t="shared" ref="T555:T558" si="589">SUM(N555:S555)</f>
        <v>2.5999999999999999E-2</v>
      </c>
      <c r="U555" s="69">
        <f t="shared" ref="U555:U558" si="590">T555+L555</f>
        <v>0.05</v>
      </c>
      <c r="V555" s="69">
        <f t="shared" ref="V555" si="591">V586+V616</f>
        <v>5.0999999999999997E-2</v>
      </c>
      <c r="W555" s="52">
        <f t="shared" ref="W555:W557" si="592">V555-U555</f>
        <v>1E-3</v>
      </c>
    </row>
    <row r="556" spans="1:28" s="130" customFormat="1" ht="18" customHeight="1">
      <c r="A556" s="614"/>
      <c r="B556" s="581"/>
      <c r="C556" s="581"/>
      <c r="D556" s="174" t="str">
        <f>серпень!D479</f>
        <v>разом сума тис. грн+абонплата</v>
      </c>
      <c r="E556" s="52"/>
      <c r="F556" s="52">
        <f>F554+F555</f>
        <v>2.2210000000000001</v>
      </c>
      <c r="G556" s="52">
        <f t="shared" ref="G556:K556" si="593">G554+G555</f>
        <v>2.5379999999999998</v>
      </c>
      <c r="H556" s="52">
        <f t="shared" si="593"/>
        <v>2.4590000000000001</v>
      </c>
      <c r="I556" s="52">
        <f t="shared" si="593"/>
        <v>2.536</v>
      </c>
      <c r="J556" s="52">
        <f t="shared" si="593"/>
        <v>2.573</v>
      </c>
      <c r="K556" s="52">
        <f t="shared" si="593"/>
        <v>2.5779999999999998</v>
      </c>
      <c r="L556" s="69">
        <f t="shared" si="586"/>
        <v>14.904999999999999</v>
      </c>
      <c r="M556" s="69">
        <f t="shared" si="587"/>
        <v>2.484</v>
      </c>
      <c r="N556" s="52">
        <f>N554+N555</f>
        <v>1.774</v>
      </c>
      <c r="O556" s="52">
        <f t="shared" ref="O556" si="594">O554+O555</f>
        <v>1.784</v>
      </c>
      <c r="P556" s="52">
        <f t="shared" ref="P556" si="595">P554+P555</f>
        <v>2.5459999999999998</v>
      </c>
      <c r="Q556" s="52">
        <f t="shared" ref="Q556" si="596">Q554+Q555</f>
        <v>1.569</v>
      </c>
      <c r="R556" s="52">
        <f t="shared" ref="R556" si="597">R554+R555</f>
        <v>1.569</v>
      </c>
      <c r="S556" s="52">
        <f t="shared" ref="S556" si="598">S554+S555</f>
        <v>1.9530000000000001</v>
      </c>
      <c r="T556" s="69">
        <f t="shared" si="589"/>
        <v>11.195</v>
      </c>
      <c r="U556" s="69">
        <f t="shared" si="590"/>
        <v>26.1</v>
      </c>
      <c r="V556" s="69">
        <f t="shared" ref="V556" si="599">V554+V555</f>
        <v>23.280999999999999</v>
      </c>
      <c r="W556" s="52">
        <f t="shared" si="592"/>
        <v>-2.819</v>
      </c>
    </row>
    <row r="557" spans="1:28" s="130" customFormat="1" ht="18" customHeight="1">
      <c r="A557" s="614"/>
      <c r="B557" s="581"/>
      <c r="C557" s="581"/>
      <c r="D557" s="174" t="str">
        <f>серпень!D480</f>
        <v>дотація</v>
      </c>
      <c r="E557" s="56"/>
      <c r="F557" s="52">
        <f>F572+F602</f>
        <v>0</v>
      </c>
      <c r="G557" s="52">
        <f t="shared" ref="G557:K557" si="600">G572+G602</f>
        <v>0</v>
      </c>
      <c r="H557" s="52">
        <f t="shared" si="600"/>
        <v>0</v>
      </c>
      <c r="I557" s="52">
        <f t="shared" si="600"/>
        <v>0</v>
      </c>
      <c r="J557" s="52">
        <f t="shared" si="600"/>
        <v>0</v>
      </c>
      <c r="K557" s="52">
        <f t="shared" si="600"/>
        <v>0</v>
      </c>
      <c r="L557" s="69">
        <f t="shared" si="586"/>
        <v>0</v>
      </c>
      <c r="M557" s="69">
        <f t="shared" si="587"/>
        <v>0</v>
      </c>
      <c r="N557" s="52">
        <f>N572+N602</f>
        <v>0</v>
      </c>
      <c r="O557" s="52">
        <f t="shared" ref="O557:S557" si="601">O572+O602</f>
        <v>0</v>
      </c>
      <c r="P557" s="52">
        <f t="shared" si="601"/>
        <v>0</v>
      </c>
      <c r="Q557" s="52">
        <f t="shared" si="601"/>
        <v>0</v>
      </c>
      <c r="R557" s="52">
        <f t="shared" si="601"/>
        <v>0</v>
      </c>
      <c r="S557" s="52">
        <f t="shared" si="601"/>
        <v>0</v>
      </c>
      <c r="T557" s="69">
        <f t="shared" si="589"/>
        <v>0</v>
      </c>
      <c r="U557" s="69">
        <f t="shared" si="590"/>
        <v>0</v>
      </c>
      <c r="V557" s="69">
        <f t="shared" ref="V557" si="602">V572+V602</f>
        <v>0</v>
      </c>
      <c r="W557" s="52">
        <f t="shared" si="592"/>
        <v>0</v>
      </c>
    </row>
    <row r="558" spans="1:28" s="130" customFormat="1" ht="18" customHeight="1">
      <c r="A558" s="614"/>
      <c r="B558" s="581"/>
      <c r="C558" s="581"/>
      <c r="D558" s="174" t="str">
        <f>серпень!D481</f>
        <v>місцевий (план), тис.грн</v>
      </c>
      <c r="E558" s="56"/>
      <c r="F558" s="52">
        <f>F573+F588+F603+F618</f>
        <v>0</v>
      </c>
      <c r="G558" s="52">
        <f t="shared" ref="G558:K558" si="603">G573+G588+G603+G618</f>
        <v>2.2189999999999999</v>
      </c>
      <c r="H558" s="52">
        <f t="shared" si="603"/>
        <v>2.1110000000000002</v>
      </c>
      <c r="I558" s="52">
        <f t="shared" si="603"/>
        <v>2.8820000000000001</v>
      </c>
      <c r="J558" s="52">
        <f t="shared" si="603"/>
        <v>2.5339999999999998</v>
      </c>
      <c r="K558" s="52">
        <f t="shared" si="603"/>
        <v>2.573</v>
      </c>
      <c r="L558" s="69">
        <f t="shared" si="586"/>
        <v>12.319000000000001</v>
      </c>
      <c r="M558" s="69">
        <f t="shared" si="587"/>
        <v>2.0529999999999999</v>
      </c>
      <c r="N558" s="52">
        <f>N573+N588+N603+N618</f>
        <v>2.577</v>
      </c>
      <c r="O558" s="52">
        <f t="shared" ref="O558:S558" si="604">O573+O588+O603+O618</f>
        <v>1.776</v>
      </c>
      <c r="P558" s="52">
        <f t="shared" si="604"/>
        <v>1.129</v>
      </c>
      <c r="Q558" s="52">
        <f t="shared" si="604"/>
        <v>1.34</v>
      </c>
      <c r="R558" s="52">
        <f t="shared" si="604"/>
        <v>1.569</v>
      </c>
      <c r="S558" s="52">
        <f t="shared" si="604"/>
        <v>2.5710000000000002</v>
      </c>
      <c r="T558" s="69">
        <f t="shared" si="589"/>
        <v>10.962</v>
      </c>
      <c r="U558" s="69">
        <f t="shared" si="590"/>
        <v>23.280999999999999</v>
      </c>
      <c r="V558" s="69">
        <f t="shared" ref="V558" si="605">V573+V588+V603+V618</f>
        <v>23.280999999999999</v>
      </c>
      <c r="W558" s="52">
        <f>V558-U558</f>
        <v>0</v>
      </c>
    </row>
    <row r="559" spans="1:28" s="48" customFormat="1" ht="18" customHeight="1">
      <c r="A559" s="614"/>
      <c r="B559" s="581"/>
      <c r="C559" s="581"/>
      <c r="D559" s="178" t="str">
        <f>серпень!D482</f>
        <v>касові нат.п-ки 2025</v>
      </c>
      <c r="E559" s="11"/>
      <c r="F559" s="349">
        <f t="shared" ref="F559:K559" si="606">F574+F604</f>
        <v>0</v>
      </c>
      <c r="G559" s="349">
        <f t="shared" si="606"/>
        <v>0</v>
      </c>
      <c r="H559" s="349">
        <f t="shared" si="606"/>
        <v>11.736000000000001</v>
      </c>
      <c r="I559" s="349">
        <f t="shared" si="606"/>
        <v>26.225999999999999</v>
      </c>
      <c r="J559" s="349">
        <f t="shared" si="606"/>
        <v>13.295</v>
      </c>
      <c r="K559" s="349">
        <f t="shared" si="606"/>
        <v>13.493</v>
      </c>
      <c r="L559" s="125">
        <f>SUM(F559:K559)</f>
        <v>64.75</v>
      </c>
      <c r="M559" s="125">
        <f>L559/6</f>
        <v>10.792</v>
      </c>
      <c r="N559" s="349">
        <f t="shared" ref="N559:S559" si="607">N574+N604</f>
        <v>13.507</v>
      </c>
      <c r="O559" s="349">
        <f t="shared" si="607"/>
        <v>9.5489999999999995</v>
      </c>
      <c r="P559" s="349">
        <f t="shared" si="607"/>
        <v>9.5749999999999993</v>
      </c>
      <c r="Q559" s="349">
        <f t="shared" si="607"/>
        <v>12.35</v>
      </c>
      <c r="R559" s="349">
        <f t="shared" si="607"/>
        <v>8.0500000000000007</v>
      </c>
      <c r="S559" s="349">
        <f t="shared" si="607"/>
        <v>17.8</v>
      </c>
      <c r="T559" s="125">
        <f>SUM(N559:S559)</f>
        <v>70.831000000000003</v>
      </c>
      <c r="U559" s="125">
        <f>T559+L559</f>
        <v>135.58099999999999</v>
      </c>
      <c r="V559" s="505">
        <f>V574+V604</f>
        <v>116.2</v>
      </c>
      <c r="W559" s="505">
        <f>V559-U559</f>
        <v>-19.381</v>
      </c>
      <c r="X559" s="47">
        <f>U552-U559</f>
        <v>0</v>
      </c>
    </row>
    <row r="560" spans="1:28" s="51" customFormat="1" ht="18" customHeight="1">
      <c r="A560" s="614"/>
      <c r="B560" s="581"/>
      <c r="C560" s="581"/>
      <c r="D560" s="187" t="str">
        <f>серпень!D483</f>
        <v>тариф, грн.</v>
      </c>
      <c r="E560" s="49" t="e">
        <f t="shared" ref="E560:W560" si="608">E561/E559*1000</f>
        <v>#DIV/0!</v>
      </c>
      <c r="F560" s="49" t="e">
        <f t="shared" si="608"/>
        <v>#DIV/0!</v>
      </c>
      <c r="G560" s="49" t="e">
        <f t="shared" si="608"/>
        <v>#DIV/0!</v>
      </c>
      <c r="H560" s="49">
        <f t="shared" si="608"/>
        <v>188.99100000000001</v>
      </c>
      <c r="I560" s="49">
        <f t="shared" si="608"/>
        <v>190.345</v>
      </c>
      <c r="J560" s="49">
        <f t="shared" si="608"/>
        <v>190.59800000000001</v>
      </c>
      <c r="K560" s="49">
        <f t="shared" si="608"/>
        <v>190.691</v>
      </c>
      <c r="L560" s="49">
        <f t="shared" si="608"/>
        <v>190.22399999999999</v>
      </c>
      <c r="M560" s="49">
        <f t="shared" si="608"/>
        <v>190.23400000000001</v>
      </c>
      <c r="N560" s="49">
        <f t="shared" si="608"/>
        <v>190.71600000000001</v>
      </c>
      <c r="O560" s="49">
        <f t="shared" si="608"/>
        <v>185.988</v>
      </c>
      <c r="P560" s="49">
        <f t="shared" si="608"/>
        <v>186.31899999999999</v>
      </c>
      <c r="Q560" s="49">
        <f t="shared" si="608"/>
        <v>206.154</v>
      </c>
      <c r="R560" s="49">
        <f t="shared" si="608"/>
        <v>194.90700000000001</v>
      </c>
      <c r="S560" s="49">
        <f t="shared" si="608"/>
        <v>198.42699999999999</v>
      </c>
      <c r="T560" s="49">
        <f t="shared" si="608"/>
        <v>194.59</v>
      </c>
      <c r="U560" s="49">
        <f t="shared" si="608"/>
        <v>192.505</v>
      </c>
      <c r="V560" s="49">
        <f t="shared" si="608"/>
        <v>200.35300000000001</v>
      </c>
      <c r="W560" s="49">
        <f t="shared" si="608"/>
        <v>145.452</v>
      </c>
      <c r="X560" s="59"/>
    </row>
    <row r="561" spans="1:28" s="126" customFormat="1" ht="18" customHeight="1">
      <c r="A561" s="614"/>
      <c r="B561" s="581"/>
      <c r="C561" s="581"/>
      <c r="D561" s="198" t="str">
        <f>серпень!D484</f>
        <v>касові видатки, тис.грн.</v>
      </c>
      <c r="E561" s="71"/>
      <c r="F561" s="61">
        <f>F576+F591+F606+F621</f>
        <v>0</v>
      </c>
      <c r="G561" s="61">
        <f t="shared" ref="G561:K561" si="609">G576+G591+G606+G621</f>
        <v>0</v>
      </c>
      <c r="H561" s="61">
        <f t="shared" si="609"/>
        <v>2.218</v>
      </c>
      <c r="I561" s="61">
        <f t="shared" si="609"/>
        <v>4.992</v>
      </c>
      <c r="J561" s="61">
        <f t="shared" si="609"/>
        <v>2.5339999999999998</v>
      </c>
      <c r="K561" s="61">
        <f t="shared" si="609"/>
        <v>2.573</v>
      </c>
      <c r="L561" s="61">
        <f>SUM(F561:K561)</f>
        <v>12.317</v>
      </c>
      <c r="M561" s="61">
        <f>L561/6</f>
        <v>2.0529999999999999</v>
      </c>
      <c r="N561" s="61">
        <f>N576+N591+N606+N621</f>
        <v>2.5760000000000001</v>
      </c>
      <c r="O561" s="61">
        <f t="shared" ref="O561:S561" si="610">O576+O591+O606+O621</f>
        <v>1.776</v>
      </c>
      <c r="P561" s="61">
        <f t="shared" si="610"/>
        <v>1.784</v>
      </c>
      <c r="Q561" s="61">
        <f t="shared" si="610"/>
        <v>2.5459999999999998</v>
      </c>
      <c r="R561" s="61">
        <f t="shared" si="610"/>
        <v>1.569</v>
      </c>
      <c r="S561" s="61">
        <f t="shared" si="610"/>
        <v>3.532</v>
      </c>
      <c r="T561" s="61">
        <f>SUM(N561:S561)</f>
        <v>13.782999999999999</v>
      </c>
      <c r="U561" s="61">
        <f>T561+L561</f>
        <v>26.1</v>
      </c>
      <c r="V561" s="61">
        <f t="shared" ref="V561" si="611">V576+V591+V606+V621</f>
        <v>23.280999999999999</v>
      </c>
      <c r="W561" s="72">
        <f>V561-U561</f>
        <v>-2.819</v>
      </c>
      <c r="X561" s="63">
        <f>U556-U561</f>
        <v>0</v>
      </c>
    </row>
    <row r="562" spans="1:28" s="126" customFormat="1" ht="18" customHeight="1">
      <c r="A562" s="614"/>
      <c r="B562" s="581"/>
      <c r="C562" s="581"/>
      <c r="D562" s="201" t="str">
        <f>серпень!D485</f>
        <v>дотація</v>
      </c>
      <c r="E562" s="71"/>
      <c r="F562" s="61">
        <f>F577+F592+F607+F622</f>
        <v>0</v>
      </c>
      <c r="G562" s="61">
        <f t="shared" ref="G562:K562" si="612">G577+G592+G607+G622</f>
        <v>0</v>
      </c>
      <c r="H562" s="61">
        <f t="shared" si="612"/>
        <v>0</v>
      </c>
      <c r="I562" s="61">
        <f t="shared" si="612"/>
        <v>0</v>
      </c>
      <c r="J562" s="61">
        <f t="shared" si="612"/>
        <v>0</v>
      </c>
      <c r="K562" s="61">
        <f t="shared" si="612"/>
        <v>0</v>
      </c>
      <c r="L562" s="61">
        <f>SUM(F562:K562)</f>
        <v>0</v>
      </c>
      <c r="M562" s="61">
        <f>L562/6</f>
        <v>0</v>
      </c>
      <c r="N562" s="61">
        <f>N577+N592+N607+N622</f>
        <v>0</v>
      </c>
      <c r="O562" s="61">
        <f t="shared" ref="O562:S562" si="613">O577+O592+O607+O622</f>
        <v>0</v>
      </c>
      <c r="P562" s="61">
        <f t="shared" si="613"/>
        <v>0</v>
      </c>
      <c r="Q562" s="61">
        <f t="shared" si="613"/>
        <v>0</v>
      </c>
      <c r="R562" s="61">
        <f t="shared" si="613"/>
        <v>0</v>
      </c>
      <c r="S562" s="61">
        <f t="shared" si="613"/>
        <v>0</v>
      </c>
      <c r="T562" s="61">
        <f>SUM(N562:S562)</f>
        <v>0</v>
      </c>
      <c r="U562" s="61">
        <f>T562+L562</f>
        <v>0</v>
      </c>
      <c r="V562" s="61">
        <f t="shared" ref="V562" si="614">V577+V592+V607+V622</f>
        <v>0</v>
      </c>
      <c r="W562" s="72">
        <f>V562-U562</f>
        <v>0</v>
      </c>
      <c r="X562" s="63">
        <f>U557-U562</f>
        <v>0</v>
      </c>
    </row>
    <row r="563" spans="1:28" s="126" customFormat="1" ht="18" customHeight="1">
      <c r="A563" s="614"/>
      <c r="B563" s="581"/>
      <c r="C563" s="581"/>
      <c r="D563" s="201" t="str">
        <f>серпень!D486</f>
        <v xml:space="preserve">місцевий </v>
      </c>
      <c r="E563" s="71"/>
      <c r="F563" s="61">
        <f>F578+F593+F608+F623</f>
        <v>0</v>
      </c>
      <c r="G563" s="61">
        <f t="shared" ref="G563:K563" si="615">G578+G593+G608+G623</f>
        <v>0</v>
      </c>
      <c r="H563" s="61">
        <f t="shared" si="615"/>
        <v>2.218</v>
      </c>
      <c r="I563" s="61">
        <f t="shared" si="615"/>
        <v>4.992</v>
      </c>
      <c r="J563" s="61">
        <f t="shared" si="615"/>
        <v>2.5339999999999998</v>
      </c>
      <c r="K563" s="61">
        <f t="shared" si="615"/>
        <v>2.573</v>
      </c>
      <c r="L563" s="61">
        <f>SUM(F563:K563)</f>
        <v>12.317</v>
      </c>
      <c r="M563" s="61">
        <f>L563/6</f>
        <v>2.0529999999999999</v>
      </c>
      <c r="N563" s="61">
        <f>N578+N593+N608+N623</f>
        <v>2.5760000000000001</v>
      </c>
      <c r="O563" s="61">
        <f t="shared" ref="O563:S563" si="616">O578+O593+O608+O623</f>
        <v>1.776</v>
      </c>
      <c r="P563" s="61">
        <f t="shared" si="616"/>
        <v>1.784</v>
      </c>
      <c r="Q563" s="61">
        <f t="shared" si="616"/>
        <v>2.5459999999999998</v>
      </c>
      <c r="R563" s="61">
        <f t="shared" si="616"/>
        <v>1.569</v>
      </c>
      <c r="S563" s="61">
        <f t="shared" si="616"/>
        <v>3.532</v>
      </c>
      <c r="T563" s="61">
        <f>SUM(N563:S563)</f>
        <v>13.782999999999999</v>
      </c>
      <c r="U563" s="61">
        <f>T563+L563</f>
        <v>26.1</v>
      </c>
      <c r="V563" s="61">
        <f t="shared" ref="V563" si="617">V578+V593+V608+V623</f>
        <v>23.280999999999999</v>
      </c>
      <c r="W563" s="72">
        <f>V563-U563</f>
        <v>-2.819</v>
      </c>
      <c r="X563" s="63">
        <f>U558-U563</f>
        <v>-2.819</v>
      </c>
    </row>
    <row r="564" spans="1:28" s="43" customFormat="1" ht="18" customHeight="1">
      <c r="A564" s="614"/>
      <c r="B564" s="581"/>
      <c r="C564" s="581"/>
      <c r="D564" s="202" t="str">
        <f>серпень!D487</f>
        <v>план</v>
      </c>
      <c r="E564" s="42"/>
      <c r="F564" s="42">
        <f t="shared" ref="F564:K566" si="618">F579+F609</f>
        <v>0</v>
      </c>
      <c r="G564" s="42">
        <f t="shared" si="618"/>
        <v>2.214</v>
      </c>
      <c r="H564" s="42">
        <f t="shared" si="618"/>
        <v>2.1070000000000002</v>
      </c>
      <c r="I564" s="42">
        <f t="shared" si="618"/>
        <v>2.8780000000000001</v>
      </c>
      <c r="J564" s="42">
        <f t="shared" si="618"/>
        <v>2.5299999999999998</v>
      </c>
      <c r="K564" s="42">
        <f t="shared" si="618"/>
        <v>2.569</v>
      </c>
      <c r="L564" s="42">
        <f>SUM(F564:K564)</f>
        <v>12.298</v>
      </c>
      <c r="M564" s="42">
        <f>L564/6</f>
        <v>2.0499999999999998</v>
      </c>
      <c r="N564" s="42">
        <f t="shared" ref="N564:S566" si="619">N579+N609</f>
        <v>2.573</v>
      </c>
      <c r="O564" s="42">
        <f t="shared" si="619"/>
        <v>1.772</v>
      </c>
      <c r="P564" s="42">
        <f t="shared" si="619"/>
        <v>1.125</v>
      </c>
      <c r="Q564" s="42">
        <f t="shared" si="619"/>
        <v>1.3360000000000001</v>
      </c>
      <c r="R564" s="42">
        <f t="shared" si="619"/>
        <v>1.5649999999999999</v>
      </c>
      <c r="S564" s="42">
        <f t="shared" si="619"/>
        <v>2.5609999999999999</v>
      </c>
      <c r="T564" s="42">
        <f>SUM(N564:S564)</f>
        <v>10.932</v>
      </c>
      <c r="U564" s="42">
        <f>T564+L564</f>
        <v>23.23</v>
      </c>
      <c r="V564" s="42">
        <f>V579+V609</f>
        <v>23.23</v>
      </c>
      <c r="W564" s="42">
        <f>V564-U564</f>
        <v>0</v>
      </c>
    </row>
    <row r="565" spans="1:28" s="43" customFormat="1" ht="18" customHeight="1">
      <c r="A565" s="614"/>
      <c r="B565" s="581"/>
      <c r="C565" s="581"/>
      <c r="D565" s="202" t="str">
        <f>серпень!D488</f>
        <v xml:space="preserve">відхилення </v>
      </c>
      <c r="E565" s="42"/>
      <c r="F565" s="42">
        <f t="shared" si="618"/>
        <v>0</v>
      </c>
      <c r="G565" s="42">
        <f t="shared" si="618"/>
        <v>-2.214</v>
      </c>
      <c r="H565" s="42">
        <f t="shared" si="618"/>
        <v>0.10299999999999999</v>
      </c>
      <c r="I565" s="42">
        <f t="shared" si="618"/>
        <v>2.11</v>
      </c>
      <c r="J565" s="42">
        <f t="shared" si="618"/>
        <v>0</v>
      </c>
      <c r="K565" s="42">
        <f t="shared" si="618"/>
        <v>0</v>
      </c>
      <c r="L565" s="42"/>
      <c r="M565" s="42"/>
      <c r="N565" s="42">
        <f t="shared" si="619"/>
        <v>-1E-3</v>
      </c>
      <c r="O565" s="42">
        <f t="shared" si="619"/>
        <v>0</v>
      </c>
      <c r="P565" s="42">
        <f t="shared" si="619"/>
        <v>0.65500000000000003</v>
      </c>
      <c r="Q565" s="42">
        <f t="shared" si="619"/>
        <v>1.206</v>
      </c>
      <c r="R565" s="42">
        <f t="shared" si="619"/>
        <v>0</v>
      </c>
      <c r="S565" s="42">
        <f t="shared" si="619"/>
        <v>0.96099999999999997</v>
      </c>
      <c r="T565" s="42"/>
      <c r="U565" s="42"/>
      <c r="V565" s="42"/>
      <c r="W565" s="42"/>
    </row>
    <row r="566" spans="1:28" s="43" customFormat="1" ht="18" customHeight="1">
      <c r="A566" s="614"/>
      <c r="B566" s="581"/>
      <c r="C566" s="581"/>
      <c r="D566" s="202" t="str">
        <f>серпень!D489</f>
        <v>відхилення з наростаючим</v>
      </c>
      <c r="E566" s="42"/>
      <c r="F566" s="42">
        <f t="shared" si="618"/>
        <v>0</v>
      </c>
      <c r="G566" s="42">
        <f t="shared" si="618"/>
        <v>-2.214</v>
      </c>
      <c r="H566" s="42">
        <f t="shared" si="618"/>
        <v>-2.1110000000000002</v>
      </c>
      <c r="I566" s="42">
        <f t="shared" si="618"/>
        <v>-1E-3</v>
      </c>
      <c r="J566" s="42">
        <f t="shared" si="618"/>
        <v>-1E-3</v>
      </c>
      <c r="K566" s="42">
        <f t="shared" si="618"/>
        <v>-1E-3</v>
      </c>
      <c r="L566" s="42"/>
      <c r="M566" s="42"/>
      <c r="N566" s="42">
        <f t="shared" si="619"/>
        <v>-2E-3</v>
      </c>
      <c r="O566" s="42">
        <f t="shared" si="619"/>
        <v>-2E-3</v>
      </c>
      <c r="P566" s="42">
        <f t="shared" si="619"/>
        <v>0.65300000000000002</v>
      </c>
      <c r="Q566" s="42">
        <f t="shared" si="619"/>
        <v>1.859</v>
      </c>
      <c r="R566" s="42">
        <f t="shared" si="619"/>
        <v>1.859</v>
      </c>
      <c r="S566" s="42">
        <f t="shared" si="619"/>
        <v>2.82</v>
      </c>
      <c r="T566" s="42"/>
      <c r="U566" s="42"/>
      <c r="V566" s="42"/>
      <c r="W566" s="42"/>
    </row>
    <row r="567" spans="1:28" s="55" customFormat="1" ht="18" customHeight="1">
      <c r="A567" s="614"/>
      <c r="B567" s="581" t="s">
        <v>63</v>
      </c>
      <c r="C567" s="581"/>
      <c r="D567" s="178" t="str">
        <f>серпень!D490</f>
        <v>факт. нат.п-ки 2023</v>
      </c>
      <c r="E567" s="11"/>
      <c r="F567" s="82">
        <v>4.5</v>
      </c>
      <c r="G567" s="82">
        <v>4.5</v>
      </c>
      <c r="H567" s="82">
        <v>4.5</v>
      </c>
      <c r="I567" s="82">
        <v>4.55</v>
      </c>
      <c r="J567" s="82">
        <v>4.55</v>
      </c>
      <c r="K567" s="82">
        <v>4.55</v>
      </c>
      <c r="L567" s="125">
        <f>SUM(F567:K567)</f>
        <v>27.15</v>
      </c>
      <c r="M567" s="125">
        <f>L567/6</f>
        <v>4.5250000000000004</v>
      </c>
      <c r="N567" s="349">
        <v>4.55</v>
      </c>
      <c r="O567" s="349">
        <v>4.55</v>
      </c>
      <c r="P567" s="349">
        <v>4.55</v>
      </c>
      <c r="Q567" s="349">
        <v>4.55</v>
      </c>
      <c r="R567" s="349">
        <v>4.55</v>
      </c>
      <c r="S567" s="349">
        <v>4.5999999999999996</v>
      </c>
      <c r="T567" s="125">
        <f>SUM(N567:S567)</f>
        <v>27.35</v>
      </c>
      <c r="U567" s="125">
        <f>T567+L567</f>
        <v>54.5</v>
      </c>
      <c r="V567" s="505"/>
      <c r="W567" s="505"/>
      <c r="X567" s="47"/>
      <c r="Y567" s="48"/>
      <c r="Z567" s="48"/>
      <c r="AA567" s="48"/>
      <c r="AB567" s="48"/>
    </row>
    <row r="568" spans="1:28" s="48" customFormat="1" ht="18" customHeight="1">
      <c r="A568" s="614"/>
      <c r="B568" s="581"/>
      <c r="C568" s="581"/>
      <c r="D568" s="178" t="str">
        <f>серпень!D491</f>
        <v>факт. нат.п-ки 2024</v>
      </c>
      <c r="E568" s="11"/>
      <c r="F568" s="82">
        <v>4.55</v>
      </c>
      <c r="G568" s="82">
        <v>4.55</v>
      </c>
      <c r="H568" s="82">
        <v>4.55</v>
      </c>
      <c r="I568" s="82">
        <v>4.55</v>
      </c>
      <c r="J568" s="82">
        <v>4.55</v>
      </c>
      <c r="K568" s="82">
        <v>4.55</v>
      </c>
      <c r="L568" s="125">
        <f>SUM(F568:K568)</f>
        <v>27.3</v>
      </c>
      <c r="M568" s="125">
        <f>L568/6</f>
        <v>4.55</v>
      </c>
      <c r="N568" s="349">
        <v>4.55</v>
      </c>
      <c r="O568" s="349">
        <v>4.55</v>
      </c>
      <c r="P568" s="349">
        <v>4.55</v>
      </c>
      <c r="Q568" s="349">
        <v>4.55</v>
      </c>
      <c r="R568" s="349">
        <v>4.55</v>
      </c>
      <c r="S568" s="349">
        <v>4.5</v>
      </c>
      <c r="T568" s="125">
        <f>SUM(N568:S568)</f>
        <v>27.25</v>
      </c>
      <c r="U568" s="125">
        <f>T568+L568</f>
        <v>54.55</v>
      </c>
      <c r="V568" s="349">
        <v>54.5</v>
      </c>
      <c r="W568" s="505"/>
      <c r="X568" s="47"/>
    </row>
    <row r="569" spans="1:28" s="48" customFormat="1" ht="18" customHeight="1">
      <c r="A569" s="614"/>
      <c r="B569" s="581"/>
      <c r="C569" s="581"/>
      <c r="D569" s="178" t="str">
        <f>серпень!D492</f>
        <v>факт. нат.п-ки 2025</v>
      </c>
      <c r="E569" s="11"/>
      <c r="F569" s="82">
        <v>4.55</v>
      </c>
      <c r="G569" s="82">
        <v>4.55</v>
      </c>
      <c r="H569" s="82">
        <v>4.55</v>
      </c>
      <c r="I569" s="82">
        <v>4.55</v>
      </c>
      <c r="J569" s="82">
        <v>4.55</v>
      </c>
      <c r="K569" s="82">
        <v>4.55</v>
      </c>
      <c r="L569" s="125">
        <f>SUM(F569:K569)</f>
        <v>27.3</v>
      </c>
      <c r="M569" s="125">
        <f>L569/6</f>
        <v>4.55</v>
      </c>
      <c r="N569" s="349">
        <v>4.55</v>
      </c>
      <c r="O569" s="349">
        <v>4.55</v>
      </c>
      <c r="P569" s="349">
        <v>4.55</v>
      </c>
      <c r="Q569" s="349">
        <v>4.55</v>
      </c>
      <c r="R569" s="349">
        <v>4.55</v>
      </c>
      <c r="S569" s="349">
        <v>4.55</v>
      </c>
      <c r="T569" s="125">
        <f>SUM(N569:S569)</f>
        <v>27.3</v>
      </c>
      <c r="U569" s="125">
        <f>T569+L569</f>
        <v>54.6</v>
      </c>
      <c r="V569" s="349">
        <v>54.6</v>
      </c>
      <c r="W569" s="505">
        <f>V569-U569</f>
        <v>0</v>
      </c>
      <c r="X569" s="47"/>
    </row>
    <row r="570" spans="1:28" s="51" customFormat="1" ht="18" customHeight="1">
      <c r="A570" s="614"/>
      <c r="B570" s="581"/>
      <c r="C570" s="581"/>
      <c r="D570" s="187" t="str">
        <f>серпень!D493</f>
        <v>тариф, грн.</v>
      </c>
      <c r="E570" s="49" t="e">
        <f>E571/E569*1000</f>
        <v>#DIV/0!</v>
      </c>
      <c r="F570" s="49">
        <f t="shared" ref="F570:K570" si="620">F571/F569*1000</f>
        <v>167.91200000000001</v>
      </c>
      <c r="G570" s="49">
        <f t="shared" si="620"/>
        <v>167.91200000000001</v>
      </c>
      <c r="H570" s="49">
        <f t="shared" si="620"/>
        <v>167.91200000000001</v>
      </c>
      <c r="I570" s="49">
        <f t="shared" si="620"/>
        <v>167.91200000000001</v>
      </c>
      <c r="J570" s="49">
        <f t="shared" si="620"/>
        <v>167.91200000000001</v>
      </c>
      <c r="K570" s="49">
        <f t="shared" si="620"/>
        <v>167.91200000000001</v>
      </c>
      <c r="L570" s="68">
        <f>L571/L569*1000</f>
        <v>167.91200000000001</v>
      </c>
      <c r="M570" s="68">
        <f>M571/M569*1000</f>
        <v>167.91200000000001</v>
      </c>
      <c r="N570" s="68">
        <f t="shared" ref="N570:O570" si="621">N571/N569*1000</f>
        <v>167.91200000000001</v>
      </c>
      <c r="O570" s="68">
        <f t="shared" si="621"/>
        <v>167.91200000000001</v>
      </c>
      <c r="P570" s="68">
        <v>169.88</v>
      </c>
      <c r="Q570" s="68">
        <v>169.88</v>
      </c>
      <c r="R570" s="68">
        <v>169.88</v>
      </c>
      <c r="S570" s="49">
        <v>169.88</v>
      </c>
      <c r="T570" s="68">
        <f>T571/T569*1000</f>
        <v>168.864</v>
      </c>
      <c r="U570" s="68">
        <f>U571/U569*1000</f>
        <v>168.38800000000001</v>
      </c>
      <c r="V570" s="68">
        <f>V571/V569*1000</f>
        <v>169.41399999999999</v>
      </c>
      <c r="W570" s="14" t="e">
        <f>W571/W569*1000</f>
        <v>#DIV/0!</v>
      </c>
      <c r="X570" s="59"/>
    </row>
    <row r="571" spans="1:28" s="130" customFormat="1" ht="18" customHeight="1">
      <c r="A571" s="614"/>
      <c r="B571" s="581"/>
      <c r="C571" s="581"/>
      <c r="D571" s="191" t="str">
        <f>серпень!D494</f>
        <v>сума, тис.грн.</v>
      </c>
      <c r="E571" s="52"/>
      <c r="F571" s="52">
        <v>0.76400000000000001</v>
      </c>
      <c r="G571" s="52">
        <v>0.76400000000000001</v>
      </c>
      <c r="H571" s="52">
        <v>0.76400000000000001</v>
      </c>
      <c r="I571" s="52">
        <v>0.76400000000000001</v>
      </c>
      <c r="J571" s="52">
        <v>0.76400000000000001</v>
      </c>
      <c r="K571" s="52">
        <v>0.76400000000000001</v>
      </c>
      <c r="L571" s="69">
        <f>SUM(F571:K571)</f>
        <v>4.5839999999999996</v>
      </c>
      <c r="M571" s="69">
        <f>L571/6</f>
        <v>0.76400000000000001</v>
      </c>
      <c r="N571" s="52">
        <v>0.76400000000000001</v>
      </c>
      <c r="O571" s="52">
        <v>0.76400000000000001</v>
      </c>
      <c r="P571" s="52">
        <f t="shared" ref="P571" si="622">P569*P570/1000-0.002</f>
        <v>0.77100000000000002</v>
      </c>
      <c r="Q571" s="52">
        <f t="shared" ref="Q571" si="623">Q569*Q570/1000-0.002</f>
        <v>0.77100000000000002</v>
      </c>
      <c r="R571" s="52">
        <f t="shared" ref="R571" si="624">R569*R570/1000-0.002</f>
        <v>0.77100000000000002</v>
      </c>
      <c r="S571" s="52">
        <f>S569*S570/1000-0.004</f>
        <v>0.76900000000000002</v>
      </c>
      <c r="T571" s="69">
        <f>SUM(N571:S571)</f>
        <v>4.6100000000000003</v>
      </c>
      <c r="U571" s="69">
        <f>T571+L571</f>
        <v>9.1940000000000008</v>
      </c>
      <c r="V571" s="70">
        <f>V572+V573</f>
        <v>9.25</v>
      </c>
      <c r="W571" s="53">
        <f>V571-U571</f>
        <v>5.6000000000000001E-2</v>
      </c>
    </row>
    <row r="572" spans="1:28" s="130" customFormat="1" ht="18" customHeight="1">
      <c r="A572" s="614"/>
      <c r="B572" s="581"/>
      <c r="C572" s="581"/>
      <c r="D572" s="174" t="str">
        <f>серпень!D495</f>
        <v>дотація</v>
      </c>
      <c r="E572" s="56"/>
      <c r="F572" s="52"/>
      <c r="G572" s="52"/>
      <c r="H572" s="52"/>
      <c r="I572" s="52"/>
      <c r="J572" s="52"/>
      <c r="K572" s="52"/>
      <c r="L572" s="69">
        <f>SUM(F572:K572)</f>
        <v>0</v>
      </c>
      <c r="M572" s="69">
        <f>L572/6</f>
        <v>0</v>
      </c>
      <c r="N572" s="52"/>
      <c r="O572" s="52"/>
      <c r="P572" s="52"/>
      <c r="Q572" s="52"/>
      <c r="R572" s="52"/>
      <c r="S572" s="52"/>
      <c r="T572" s="69">
        <f>SUM(N572:S572)</f>
        <v>0</v>
      </c>
      <c r="U572" s="69">
        <f>T572+L572</f>
        <v>0</v>
      </c>
      <c r="V572" s="70">
        <v>0</v>
      </c>
      <c r="W572" s="53">
        <f>V572-U572</f>
        <v>0</v>
      </c>
    </row>
    <row r="573" spans="1:28" s="130" customFormat="1" ht="18" customHeight="1">
      <c r="A573" s="614"/>
      <c r="B573" s="581"/>
      <c r="C573" s="581"/>
      <c r="D573" s="174" t="str">
        <f>серпень!D496</f>
        <v>місцевий (план), тис.грн</v>
      </c>
      <c r="E573" s="56"/>
      <c r="F573" s="52">
        <f>0.246-0.246</f>
        <v>0</v>
      </c>
      <c r="G573" s="52">
        <v>0.77100000000000002</v>
      </c>
      <c r="H573" s="52">
        <v>0.77100000000000002</v>
      </c>
      <c r="I573" s="52">
        <v>0.77100000000000002</v>
      </c>
      <c r="J573" s="52">
        <v>0.77100000000000002</v>
      </c>
      <c r="K573" s="52">
        <v>0.77100000000000002</v>
      </c>
      <c r="L573" s="69">
        <f>SUM(F573:K573)</f>
        <v>3.855</v>
      </c>
      <c r="M573" s="69">
        <f>L573/6</f>
        <v>0.64300000000000002</v>
      </c>
      <c r="N573" s="52">
        <v>0.77100000000000002</v>
      </c>
      <c r="O573" s="52">
        <v>0.77100000000000002</v>
      </c>
      <c r="P573" s="52">
        <v>0.77100000000000002</v>
      </c>
      <c r="Q573" s="52">
        <v>0.77100000000000002</v>
      </c>
      <c r="R573" s="52">
        <v>0.77100000000000002</v>
      </c>
      <c r="S573" s="52">
        <f>1.541-0.001</f>
        <v>1.54</v>
      </c>
      <c r="T573" s="69">
        <f>SUM(N573:S573)</f>
        <v>5.3949999999999996</v>
      </c>
      <c r="U573" s="69">
        <f>T573+L573</f>
        <v>9.25</v>
      </c>
      <c r="V573" s="70">
        <f>9.275-0.025</f>
        <v>9.25</v>
      </c>
      <c r="W573" s="53">
        <f>V573-U573</f>
        <v>0</v>
      </c>
    </row>
    <row r="574" spans="1:28" s="48" customFormat="1" ht="18" customHeight="1">
      <c r="A574" s="614"/>
      <c r="B574" s="581"/>
      <c r="C574" s="581"/>
      <c r="D574" s="178" t="str">
        <f>серпень!D497</f>
        <v>касові нат.п-ки 2025</v>
      </c>
      <c r="E574" s="11"/>
      <c r="F574" s="82">
        <v>0</v>
      </c>
      <c r="G574" s="82">
        <v>0</v>
      </c>
      <c r="H574" s="82">
        <v>4.55</v>
      </c>
      <c r="I574" s="82">
        <v>9.1</v>
      </c>
      <c r="J574" s="82">
        <v>4.55</v>
      </c>
      <c r="K574" s="82">
        <v>4.55</v>
      </c>
      <c r="L574" s="465">
        <f>SUM(F574:K574)</f>
        <v>22.75</v>
      </c>
      <c r="M574" s="465">
        <f>L574/6</f>
        <v>3.7919999999999998</v>
      </c>
      <c r="N574" s="349">
        <v>4.55</v>
      </c>
      <c r="O574" s="349">
        <v>4.55</v>
      </c>
      <c r="P574" s="349">
        <v>4.55</v>
      </c>
      <c r="Q574" s="349">
        <v>4.55</v>
      </c>
      <c r="R574" s="349">
        <v>4.55</v>
      </c>
      <c r="S574" s="349">
        <f>R569+S569</f>
        <v>9.1</v>
      </c>
      <c r="T574" s="125">
        <f>SUM(N574:S574)</f>
        <v>31.85</v>
      </c>
      <c r="U574" s="125">
        <f>T574+L574</f>
        <v>54.6</v>
      </c>
      <c r="V574" s="349">
        <f>V569</f>
        <v>54.6</v>
      </c>
      <c r="W574" s="505">
        <f>V574-U574</f>
        <v>0</v>
      </c>
      <c r="X574" s="47">
        <f>U569-U574</f>
        <v>0</v>
      </c>
    </row>
    <row r="575" spans="1:28" s="51" customFormat="1" ht="18" customHeight="1">
      <c r="A575" s="614"/>
      <c r="B575" s="581"/>
      <c r="C575" s="581"/>
      <c r="D575" s="187" t="str">
        <f>серпень!D498</f>
        <v>тариф, грн.</v>
      </c>
      <c r="E575" s="49" t="e">
        <f t="shared" ref="E575:K575" si="625">E576/E574*1000</f>
        <v>#DIV/0!</v>
      </c>
      <c r="F575" s="49" t="e">
        <f t="shared" si="625"/>
        <v>#DIV/0!</v>
      </c>
      <c r="G575" s="49" t="e">
        <f t="shared" si="625"/>
        <v>#DIV/0!</v>
      </c>
      <c r="H575" s="49">
        <f t="shared" si="625"/>
        <v>166.374</v>
      </c>
      <c r="I575" s="49">
        <f t="shared" si="625"/>
        <v>167.91200000000001</v>
      </c>
      <c r="J575" s="49">
        <f t="shared" si="625"/>
        <v>167.47300000000001</v>
      </c>
      <c r="K575" s="49">
        <f t="shared" si="625"/>
        <v>167.91200000000001</v>
      </c>
      <c r="L575" s="68">
        <f>L576/L574*1000</f>
        <v>167.51599999999999</v>
      </c>
      <c r="M575" s="68">
        <f>M576/M574*1000</f>
        <v>167.458</v>
      </c>
      <c r="N575" s="68">
        <f t="shared" ref="N575:P575" si="626">N576/N574*1000</f>
        <v>167.47300000000001</v>
      </c>
      <c r="O575" s="68">
        <f t="shared" si="626"/>
        <v>168.352</v>
      </c>
      <c r="P575" s="68">
        <f t="shared" si="626"/>
        <v>167.91200000000001</v>
      </c>
      <c r="Q575" s="68">
        <v>169.88</v>
      </c>
      <c r="R575" s="68">
        <v>169.88</v>
      </c>
      <c r="S575" s="49">
        <v>169.88</v>
      </c>
      <c r="T575" s="68">
        <v>169.98</v>
      </c>
      <c r="U575" s="68">
        <f>U576/U574*1000</f>
        <v>168.38800000000001</v>
      </c>
      <c r="V575" s="68">
        <f>V576/V574*1000</f>
        <v>169.41399999999999</v>
      </c>
      <c r="W575" s="14" t="e">
        <f>W576/W574*1000</f>
        <v>#DIV/0!</v>
      </c>
      <c r="X575" s="59"/>
    </row>
    <row r="576" spans="1:28" s="126" customFormat="1" ht="18" customHeight="1">
      <c r="A576" s="614"/>
      <c r="B576" s="581"/>
      <c r="C576" s="581"/>
      <c r="D576" s="198" t="str">
        <f>серпень!D499</f>
        <v>касові видатки, тис.грн.</v>
      </c>
      <c r="E576" s="71"/>
      <c r="F576" s="61">
        <v>0</v>
      </c>
      <c r="G576" s="61">
        <v>0</v>
      </c>
      <c r="H576" s="61">
        <f>0.764-0.007</f>
        <v>0.75700000000000001</v>
      </c>
      <c r="I576" s="61">
        <v>1.528</v>
      </c>
      <c r="J576" s="61">
        <f>0.764-0.002</f>
        <v>0.76200000000000001</v>
      </c>
      <c r="K576" s="61">
        <v>0.76400000000000001</v>
      </c>
      <c r="L576" s="61">
        <f>SUM(F576:K576)</f>
        <v>3.8109999999999999</v>
      </c>
      <c r="M576" s="61">
        <f>L576/6</f>
        <v>0.63500000000000001</v>
      </c>
      <c r="N576" s="61">
        <f>0.764-0.002</f>
        <v>0.76200000000000001</v>
      </c>
      <c r="O576" s="61">
        <f>0.764+0.002</f>
        <v>0.76600000000000001</v>
      </c>
      <c r="P576" s="61">
        <v>0.76400000000000001</v>
      </c>
      <c r="Q576" s="61">
        <f t="shared" ref="Q576" si="627">Q574*Q575/1000-0.002</f>
        <v>0.77100000000000002</v>
      </c>
      <c r="R576" s="61">
        <f t="shared" ref="R576" si="628">R574*R575/1000-0.002</f>
        <v>0.77100000000000002</v>
      </c>
      <c r="S576" s="61">
        <f>S574*S575/1000+0.003</f>
        <v>1.5489999999999999</v>
      </c>
      <c r="T576" s="61">
        <f>SUM(N576:S576)</f>
        <v>5.383</v>
      </c>
      <c r="U576" s="61">
        <f>T576+L576</f>
        <v>9.1940000000000008</v>
      </c>
      <c r="V576" s="61">
        <f>V571</f>
        <v>9.25</v>
      </c>
      <c r="W576" s="72">
        <f>V576-U576</f>
        <v>5.6000000000000001E-2</v>
      </c>
      <c r="X576" s="63">
        <f>U571-U576</f>
        <v>0</v>
      </c>
    </row>
    <row r="577" spans="1:28" s="126" customFormat="1" ht="18" customHeight="1">
      <c r="A577" s="614"/>
      <c r="B577" s="581"/>
      <c r="C577" s="581"/>
      <c r="D577" s="201" t="str">
        <f>серпень!D500</f>
        <v>дотація</v>
      </c>
      <c r="E577" s="71"/>
      <c r="F577" s="61">
        <v>0</v>
      </c>
      <c r="G577" s="61">
        <v>0</v>
      </c>
      <c r="H577" s="61">
        <v>0</v>
      </c>
      <c r="I577" s="61">
        <v>0</v>
      </c>
      <c r="J577" s="61">
        <v>0</v>
      </c>
      <c r="K577" s="61">
        <v>0</v>
      </c>
      <c r="L577" s="61">
        <f>SUM(F577:K577)</f>
        <v>0</v>
      </c>
      <c r="M577" s="61">
        <f>L577/6</f>
        <v>0</v>
      </c>
      <c r="N577" s="61">
        <v>0</v>
      </c>
      <c r="O577" s="61">
        <v>0</v>
      </c>
      <c r="P577" s="61">
        <v>0</v>
      </c>
      <c r="Q577" s="61">
        <v>0</v>
      </c>
      <c r="R577" s="61">
        <v>0</v>
      </c>
      <c r="S577" s="61">
        <v>0</v>
      </c>
      <c r="T577" s="61">
        <f>SUM(N577:S577)</f>
        <v>0</v>
      </c>
      <c r="U577" s="61">
        <f>T577+L577</f>
        <v>0</v>
      </c>
      <c r="V577" s="61">
        <f>V572</f>
        <v>0</v>
      </c>
      <c r="W577" s="72">
        <f>V577-U577</f>
        <v>0</v>
      </c>
      <c r="X577" s="63">
        <f>U572-U577</f>
        <v>0</v>
      </c>
    </row>
    <row r="578" spans="1:28" s="126" customFormat="1" ht="18" customHeight="1">
      <c r="A578" s="614"/>
      <c r="B578" s="581"/>
      <c r="C578" s="581"/>
      <c r="D578" s="201" t="str">
        <f>серпень!D501</f>
        <v xml:space="preserve">місцевий </v>
      </c>
      <c r="E578" s="71"/>
      <c r="F578" s="61">
        <f t="shared" ref="F578:K578" si="629">F576-F577</f>
        <v>0</v>
      </c>
      <c r="G578" s="61">
        <f t="shared" si="629"/>
        <v>0</v>
      </c>
      <c r="H578" s="61">
        <f t="shared" si="629"/>
        <v>0.75700000000000001</v>
      </c>
      <c r="I578" s="61">
        <f t="shared" si="629"/>
        <v>1.528</v>
      </c>
      <c r="J578" s="61">
        <f t="shared" si="629"/>
        <v>0.76200000000000001</v>
      </c>
      <c r="K578" s="61">
        <f t="shared" si="629"/>
        <v>0.76400000000000001</v>
      </c>
      <c r="L578" s="61">
        <f>SUM(F578:K578)</f>
        <v>3.8109999999999999</v>
      </c>
      <c r="M578" s="61">
        <f>L578/6</f>
        <v>0.63500000000000001</v>
      </c>
      <c r="N578" s="61">
        <f t="shared" ref="N578:S578" si="630">N576-N577</f>
        <v>0.76200000000000001</v>
      </c>
      <c r="O578" s="61">
        <f t="shared" si="630"/>
        <v>0.76600000000000001</v>
      </c>
      <c r="P578" s="61">
        <f t="shared" si="630"/>
        <v>0.76400000000000001</v>
      </c>
      <c r="Q578" s="61">
        <f t="shared" si="630"/>
        <v>0.77100000000000002</v>
      </c>
      <c r="R578" s="61">
        <f t="shared" si="630"/>
        <v>0.77100000000000002</v>
      </c>
      <c r="S578" s="61">
        <f t="shared" si="630"/>
        <v>1.5489999999999999</v>
      </c>
      <c r="T578" s="61">
        <f>SUM(N578:S578)</f>
        <v>5.383</v>
      </c>
      <c r="U578" s="61">
        <f>T578+L578</f>
        <v>9.1940000000000008</v>
      </c>
      <c r="V578" s="61">
        <f>V573</f>
        <v>9.25</v>
      </c>
      <c r="W578" s="72">
        <f>V578-U578</f>
        <v>5.6000000000000001E-2</v>
      </c>
      <c r="X578" s="63">
        <f>U573-U578</f>
        <v>5.6000000000000001E-2</v>
      </c>
    </row>
    <row r="579" spans="1:28" s="43" customFormat="1" ht="18" customHeight="1">
      <c r="A579" s="614"/>
      <c r="B579" s="581"/>
      <c r="C579" s="581"/>
      <c r="D579" s="202" t="str">
        <f>серпень!D502</f>
        <v>план</v>
      </c>
      <c r="E579" s="42"/>
      <c r="F579" s="42">
        <f t="shared" ref="F579:K579" si="631">F573</f>
        <v>0</v>
      </c>
      <c r="G579" s="42">
        <f t="shared" si="631"/>
        <v>0.77100000000000002</v>
      </c>
      <c r="H579" s="42">
        <f t="shared" si="631"/>
        <v>0.77100000000000002</v>
      </c>
      <c r="I579" s="42">
        <f t="shared" si="631"/>
        <v>0.77100000000000002</v>
      </c>
      <c r="J579" s="42">
        <f t="shared" si="631"/>
        <v>0.77100000000000002</v>
      </c>
      <c r="K579" s="42">
        <f t="shared" si="631"/>
        <v>0.77100000000000002</v>
      </c>
      <c r="L579" s="42">
        <f>SUM(F579:K579)</f>
        <v>3.855</v>
      </c>
      <c r="M579" s="42">
        <f>L579/6</f>
        <v>0.64300000000000002</v>
      </c>
      <c r="N579" s="42">
        <f t="shared" ref="N579:S579" si="632">N573+N572</f>
        <v>0.77100000000000002</v>
      </c>
      <c r="O579" s="42">
        <f t="shared" si="632"/>
        <v>0.77100000000000002</v>
      </c>
      <c r="P579" s="42">
        <f t="shared" si="632"/>
        <v>0.77100000000000002</v>
      </c>
      <c r="Q579" s="42">
        <f t="shared" si="632"/>
        <v>0.77100000000000002</v>
      </c>
      <c r="R579" s="42">
        <f t="shared" si="632"/>
        <v>0.77100000000000002</v>
      </c>
      <c r="S579" s="42">
        <f t="shared" si="632"/>
        <v>1.54</v>
      </c>
      <c r="T579" s="42">
        <f>SUM(N579:S579)</f>
        <v>5.3949999999999996</v>
      </c>
      <c r="U579" s="42">
        <f>T579+L579</f>
        <v>9.25</v>
      </c>
      <c r="V579" s="42">
        <f>V576</f>
        <v>9.25</v>
      </c>
      <c r="W579" s="42">
        <f>V579-U579</f>
        <v>0</v>
      </c>
    </row>
    <row r="580" spans="1:28" s="43" customFormat="1" ht="18" customHeight="1">
      <c r="A580" s="614"/>
      <c r="B580" s="581"/>
      <c r="C580" s="581"/>
      <c r="D580" s="202" t="str">
        <f>серпень!D503</f>
        <v xml:space="preserve">відхилення </v>
      </c>
      <c r="E580" s="42"/>
      <c r="F580" s="42">
        <f t="shared" ref="F580:K580" si="633">F576-F579</f>
        <v>0</v>
      </c>
      <c r="G580" s="42">
        <f t="shared" si="633"/>
        <v>-0.77100000000000002</v>
      </c>
      <c r="H580" s="42">
        <f t="shared" si="633"/>
        <v>-1.4E-2</v>
      </c>
      <c r="I580" s="42">
        <f t="shared" si="633"/>
        <v>0.75700000000000001</v>
      </c>
      <c r="J580" s="42">
        <f t="shared" si="633"/>
        <v>-8.9999999999999993E-3</v>
      </c>
      <c r="K580" s="42">
        <f t="shared" si="633"/>
        <v>-7.0000000000000001E-3</v>
      </c>
      <c r="L580" s="42"/>
      <c r="M580" s="42"/>
      <c r="N580" s="42">
        <f t="shared" ref="N580:S580" si="634">N576-N579</f>
        <v>-8.9999999999999993E-3</v>
      </c>
      <c r="O580" s="42">
        <f t="shared" si="634"/>
        <v>-5.0000000000000001E-3</v>
      </c>
      <c r="P580" s="42">
        <f t="shared" si="634"/>
        <v>-7.0000000000000001E-3</v>
      </c>
      <c r="Q580" s="42">
        <f t="shared" si="634"/>
        <v>0</v>
      </c>
      <c r="R580" s="42">
        <f t="shared" si="634"/>
        <v>0</v>
      </c>
      <c r="S580" s="42">
        <f t="shared" si="634"/>
        <v>8.9999999999999993E-3</v>
      </c>
      <c r="T580" s="42"/>
      <c r="U580" s="42"/>
      <c r="V580" s="42"/>
      <c r="W580" s="42"/>
    </row>
    <row r="581" spans="1:28" s="43" customFormat="1" ht="18" customHeight="1">
      <c r="A581" s="614"/>
      <c r="B581" s="581"/>
      <c r="C581" s="581"/>
      <c r="D581" s="202" t="str">
        <f>серпень!D504</f>
        <v>відхилення з наростаючим</v>
      </c>
      <c r="E581" s="42"/>
      <c r="F581" s="42">
        <f>F580</f>
        <v>0</v>
      </c>
      <c r="G581" s="42">
        <f>G580+F581</f>
        <v>-0.77100000000000002</v>
      </c>
      <c r="H581" s="42">
        <f>H580+G581</f>
        <v>-0.78500000000000003</v>
      </c>
      <c r="I581" s="42">
        <f>I580+H581</f>
        <v>-2.8000000000000001E-2</v>
      </c>
      <c r="J581" s="42">
        <f>J580+I581</f>
        <v>-3.6999999999999998E-2</v>
      </c>
      <c r="K581" s="42">
        <f>K580+J581</f>
        <v>-4.3999999999999997E-2</v>
      </c>
      <c r="L581" s="42"/>
      <c r="M581" s="42"/>
      <c r="N581" s="42">
        <f>N580+K581</f>
        <v>-5.2999999999999999E-2</v>
      </c>
      <c r="O581" s="42">
        <f>O580+N581</f>
        <v>-5.8000000000000003E-2</v>
      </c>
      <c r="P581" s="42">
        <f>P580+O581</f>
        <v>-6.5000000000000002E-2</v>
      </c>
      <c r="Q581" s="42">
        <f>Q580+P581</f>
        <v>-6.5000000000000002E-2</v>
      </c>
      <c r="R581" s="42">
        <f>R580+Q581</f>
        <v>-6.5000000000000002E-2</v>
      </c>
      <c r="S581" s="42">
        <f>S580+R581</f>
        <v>-5.6000000000000001E-2</v>
      </c>
      <c r="T581" s="42"/>
      <c r="U581" s="42"/>
      <c r="V581" s="42"/>
      <c r="W581" s="42"/>
    </row>
    <row r="582" spans="1:28" s="55" customFormat="1" ht="18" customHeight="1">
      <c r="A582" s="614"/>
      <c r="B582" s="692" t="s">
        <v>142</v>
      </c>
      <c r="C582" s="577"/>
      <c r="D582" s="178" t="str">
        <f>серпень!D505</f>
        <v>факт. нат.п-ки 2023</v>
      </c>
      <c r="E582" s="11"/>
      <c r="F582" s="12"/>
      <c r="G582" s="12"/>
      <c r="H582" s="12"/>
      <c r="I582" s="12"/>
      <c r="J582" s="12"/>
      <c r="K582" s="12"/>
      <c r="L582" s="65">
        <f>SUM(F582:K582)</f>
        <v>0</v>
      </c>
      <c r="M582" s="65">
        <f>L582/6</f>
        <v>0</v>
      </c>
      <c r="N582" s="11"/>
      <c r="O582" s="11"/>
      <c r="P582" s="11"/>
      <c r="Q582" s="11"/>
      <c r="R582" s="11"/>
      <c r="S582" s="11"/>
      <c r="T582" s="65">
        <f>SUM(N582:S582)</f>
        <v>0</v>
      </c>
      <c r="U582" s="65">
        <f>T582+L582</f>
        <v>0</v>
      </c>
      <c r="V582" s="46"/>
      <c r="W582" s="38"/>
      <c r="X582" s="47"/>
      <c r="Y582" s="48"/>
      <c r="Z582" s="48"/>
      <c r="AA582" s="48"/>
      <c r="AB582" s="48"/>
    </row>
    <row r="583" spans="1:28" s="48" customFormat="1" ht="18" customHeight="1">
      <c r="A583" s="614"/>
      <c r="B583" s="576"/>
      <c r="C583" s="577"/>
      <c r="D583" s="178" t="str">
        <f>серпень!D506</f>
        <v>факт. нат.п-ки 2024</v>
      </c>
      <c r="E583" s="11"/>
      <c r="F583" s="12"/>
      <c r="G583" s="12"/>
      <c r="H583" s="12"/>
      <c r="I583" s="12"/>
      <c r="J583" s="12"/>
      <c r="K583" s="12"/>
      <c r="L583" s="65">
        <f>SUM(F583:K583)</f>
        <v>0</v>
      </c>
      <c r="M583" s="65">
        <f>L583/6</f>
        <v>0</v>
      </c>
      <c r="N583" s="11"/>
      <c r="O583" s="11"/>
      <c r="P583" s="11"/>
      <c r="Q583" s="11"/>
      <c r="R583" s="11"/>
      <c r="S583" s="11"/>
      <c r="T583" s="65">
        <f>SUM(N583:S583)</f>
        <v>0</v>
      </c>
      <c r="U583" s="65">
        <f>T583+L583</f>
        <v>0</v>
      </c>
      <c r="V583" s="46"/>
      <c r="W583" s="38"/>
      <c r="X583" s="47"/>
    </row>
    <row r="584" spans="1:28" s="48" customFormat="1" ht="18" customHeight="1">
      <c r="A584" s="614"/>
      <c r="B584" s="576"/>
      <c r="C584" s="577"/>
      <c r="D584" s="178" t="str">
        <f>серпень!D507</f>
        <v>факт. нат.п-ки 2025</v>
      </c>
      <c r="E584" s="11"/>
      <c r="F584" s="82">
        <v>1</v>
      </c>
      <c r="G584" s="82">
        <v>1</v>
      </c>
      <c r="H584" s="82">
        <v>1</v>
      </c>
      <c r="I584" s="82">
        <v>1</v>
      </c>
      <c r="J584" s="12">
        <v>1</v>
      </c>
      <c r="K584" s="12">
        <v>1</v>
      </c>
      <c r="L584" s="65">
        <f>SUM(F584:K584)</f>
        <v>6</v>
      </c>
      <c r="M584" s="65">
        <f>L584/6</f>
        <v>1</v>
      </c>
      <c r="N584" s="11">
        <v>1</v>
      </c>
      <c r="O584" s="11">
        <v>1</v>
      </c>
      <c r="P584" s="11">
        <v>1</v>
      </c>
      <c r="Q584" s="11">
        <v>1</v>
      </c>
      <c r="R584" s="11">
        <v>1</v>
      </c>
      <c r="S584" s="11">
        <v>1</v>
      </c>
      <c r="T584" s="65">
        <f>SUM(N584:S584)</f>
        <v>6</v>
      </c>
      <c r="U584" s="65">
        <f>T584+L584</f>
        <v>12</v>
      </c>
      <c r="V584" s="11">
        <v>12</v>
      </c>
      <c r="W584" s="38">
        <f>V584-U584</f>
        <v>0</v>
      </c>
      <c r="X584" s="47"/>
    </row>
    <row r="585" spans="1:28" s="51" customFormat="1" ht="18" customHeight="1">
      <c r="A585" s="614"/>
      <c r="B585" s="576"/>
      <c r="C585" s="577"/>
      <c r="D585" s="187" t="str">
        <f>серпень!D508</f>
        <v>тариф, грн.</v>
      </c>
      <c r="E585" s="49" t="e">
        <f>E586/E584*1000</f>
        <v>#DIV/0!</v>
      </c>
      <c r="F585" s="49">
        <v>2.1</v>
      </c>
      <c r="G585" s="49">
        <v>2.1</v>
      </c>
      <c r="H585" s="49">
        <v>2.1</v>
      </c>
      <c r="I585" s="49">
        <v>2.1</v>
      </c>
      <c r="J585" s="49">
        <v>2.1</v>
      </c>
      <c r="K585" s="49">
        <v>2.1</v>
      </c>
      <c r="L585" s="68">
        <f>L586/L584*1000</f>
        <v>2</v>
      </c>
      <c r="M585" s="68">
        <f>M586/M584*1000</f>
        <v>2</v>
      </c>
      <c r="N585" s="68">
        <v>2.1</v>
      </c>
      <c r="O585" s="68">
        <v>2.1</v>
      </c>
      <c r="P585" s="68">
        <v>2.1</v>
      </c>
      <c r="Q585" s="68">
        <v>2.1</v>
      </c>
      <c r="R585" s="68">
        <v>2.1</v>
      </c>
      <c r="S585" s="49">
        <v>2.1</v>
      </c>
      <c r="T585" s="68">
        <f>T586/T584*1000</f>
        <v>2</v>
      </c>
      <c r="U585" s="68">
        <f>U586/U584*1000</f>
        <v>2</v>
      </c>
      <c r="V585" s="68">
        <f>V586/V584*1000</f>
        <v>2.0830000000000002</v>
      </c>
      <c r="W585" s="14" t="e">
        <f>W586/W584*1000</f>
        <v>#DIV/0!</v>
      </c>
      <c r="X585" s="59"/>
    </row>
    <row r="586" spans="1:28" s="130" customFormat="1" ht="18" customHeight="1">
      <c r="A586" s="614"/>
      <c r="B586" s="576"/>
      <c r="C586" s="577"/>
      <c r="D586" s="191" t="str">
        <f>серпень!D509</f>
        <v>сума, тис.грн.</v>
      </c>
      <c r="E586" s="52"/>
      <c r="F586" s="52">
        <v>2E-3</v>
      </c>
      <c r="G586" s="52">
        <f t="shared" ref="G586" si="635">G584*G585/1000</f>
        <v>2E-3</v>
      </c>
      <c r="H586" s="52">
        <f t="shared" ref="H586" si="636">H584*H585/1000</f>
        <v>2E-3</v>
      </c>
      <c r="I586" s="52">
        <f t="shared" ref="I586" si="637">I584*I585/1000</f>
        <v>2E-3</v>
      </c>
      <c r="J586" s="52">
        <f t="shared" ref="J586" si="638">J584*J585/1000</f>
        <v>2E-3</v>
      </c>
      <c r="K586" s="52">
        <f t="shared" ref="K586" si="639">K584*K585/1000</f>
        <v>2E-3</v>
      </c>
      <c r="L586" s="69">
        <f>SUM(F586:K586)</f>
        <v>1.2E-2</v>
      </c>
      <c r="M586" s="69">
        <f>L586/6</f>
        <v>2E-3</v>
      </c>
      <c r="N586" s="52">
        <f>N584*N585/1000</f>
        <v>2E-3</v>
      </c>
      <c r="O586" s="52">
        <f t="shared" ref="O586" si="640">O584*O585/1000</f>
        <v>2E-3</v>
      </c>
      <c r="P586" s="52">
        <f t="shared" ref="P586" si="641">P584*P585/1000</f>
        <v>2E-3</v>
      </c>
      <c r="Q586" s="52">
        <f t="shared" ref="Q586" si="642">Q584*Q585/1000</f>
        <v>2E-3</v>
      </c>
      <c r="R586" s="52">
        <f t="shared" ref="R586" si="643">R584*R585/1000</f>
        <v>2E-3</v>
      </c>
      <c r="S586" s="52">
        <f>S584*S585/1000</f>
        <v>2E-3</v>
      </c>
      <c r="T586" s="69">
        <f>SUM(N586:S586)</f>
        <v>1.2E-2</v>
      </c>
      <c r="U586" s="69">
        <f>T586+L586</f>
        <v>2.4E-2</v>
      </c>
      <c r="V586" s="70">
        <f>V587+V588</f>
        <v>2.5000000000000001E-2</v>
      </c>
      <c r="W586" s="53">
        <f>V586-U586</f>
        <v>1E-3</v>
      </c>
    </row>
    <row r="587" spans="1:28" s="130" customFormat="1" ht="18" customHeight="1">
      <c r="A587" s="614"/>
      <c r="B587" s="576"/>
      <c r="C587" s="577"/>
      <c r="D587" s="174" t="str">
        <f>серпень!D510</f>
        <v>дотація</v>
      </c>
      <c r="E587" s="56"/>
      <c r="F587" s="52"/>
      <c r="G587" s="52"/>
      <c r="H587" s="52"/>
      <c r="I587" s="52"/>
      <c r="J587" s="52"/>
      <c r="K587" s="52"/>
      <c r="L587" s="69">
        <f>SUM(F587:K587)</f>
        <v>0</v>
      </c>
      <c r="M587" s="69">
        <f>L587/6</f>
        <v>0</v>
      </c>
      <c r="N587" s="52"/>
      <c r="O587" s="52"/>
      <c r="P587" s="52"/>
      <c r="Q587" s="52"/>
      <c r="R587" s="52"/>
      <c r="S587" s="52"/>
      <c r="T587" s="69">
        <f>SUM(N587:S587)</f>
        <v>0</v>
      </c>
      <c r="U587" s="69">
        <f>T587+L587</f>
        <v>0</v>
      </c>
      <c r="V587" s="70">
        <v>0</v>
      </c>
      <c r="W587" s="53">
        <f>V587-U587</f>
        <v>0</v>
      </c>
    </row>
    <row r="588" spans="1:28" s="130" customFormat="1" ht="18" customHeight="1">
      <c r="A588" s="614"/>
      <c r="B588" s="576"/>
      <c r="C588" s="577"/>
      <c r="D588" s="174" t="str">
        <f>серпень!D511</f>
        <v>місцевий (план), тис.грн</v>
      </c>
      <c r="E588" s="56"/>
      <c r="F588" s="52">
        <v>0</v>
      </c>
      <c r="G588" s="52">
        <v>3.0000000000000001E-3</v>
      </c>
      <c r="H588" s="52">
        <v>2E-3</v>
      </c>
      <c r="I588" s="52">
        <v>2E-3</v>
      </c>
      <c r="J588" s="52">
        <v>2E-3</v>
      </c>
      <c r="K588" s="52">
        <v>2E-3</v>
      </c>
      <c r="L588" s="69">
        <f>SUM(F588:K588)</f>
        <v>1.0999999999999999E-2</v>
      </c>
      <c r="M588" s="69">
        <f>L588/6</f>
        <v>2E-3</v>
      </c>
      <c r="N588" s="52">
        <v>2E-3</v>
      </c>
      <c r="O588" s="52">
        <v>2E-3</v>
      </c>
      <c r="P588" s="52">
        <v>2E-3</v>
      </c>
      <c r="Q588" s="52">
        <v>2E-3</v>
      </c>
      <c r="R588" s="52">
        <v>2E-3</v>
      </c>
      <c r="S588" s="52">
        <v>4.0000000000000001E-3</v>
      </c>
      <c r="T588" s="69">
        <f>SUM(N588:S588)</f>
        <v>1.4E-2</v>
      </c>
      <c r="U588" s="69">
        <f>T588+L588</f>
        <v>2.5000000000000001E-2</v>
      </c>
      <c r="V588" s="70">
        <v>2.5000000000000001E-2</v>
      </c>
      <c r="W588" s="53">
        <f>V588-U588</f>
        <v>0</v>
      </c>
    </row>
    <row r="589" spans="1:28" s="48" customFormat="1" ht="18" customHeight="1">
      <c r="A589" s="614"/>
      <c r="B589" s="576"/>
      <c r="C589" s="577"/>
      <c r="D589" s="178" t="str">
        <f>серпень!D512</f>
        <v>касові нат.п-ки 2025</v>
      </c>
      <c r="E589" s="11"/>
      <c r="F589" s="82">
        <v>0</v>
      </c>
      <c r="G589" s="82">
        <v>0</v>
      </c>
      <c r="H589" s="82">
        <v>2</v>
      </c>
      <c r="I589" s="82">
        <v>1</v>
      </c>
      <c r="J589" s="82">
        <v>1</v>
      </c>
      <c r="K589" s="82">
        <v>1</v>
      </c>
      <c r="L589" s="65">
        <f>SUM(F589:K589)</f>
        <v>5</v>
      </c>
      <c r="M589" s="65">
        <f>L589/6</f>
        <v>0.8</v>
      </c>
      <c r="N589" s="11">
        <v>1</v>
      </c>
      <c r="O589" s="11">
        <v>1</v>
      </c>
      <c r="P589" s="11">
        <v>1</v>
      </c>
      <c r="Q589" s="11">
        <v>1</v>
      </c>
      <c r="R589" s="11">
        <v>1</v>
      </c>
      <c r="S589" s="11">
        <v>2</v>
      </c>
      <c r="T589" s="65">
        <f>SUM(N589:S589)</f>
        <v>7</v>
      </c>
      <c r="U589" s="65">
        <f>T589+L589</f>
        <v>12</v>
      </c>
      <c r="V589" s="11">
        <f>V584</f>
        <v>12</v>
      </c>
      <c r="W589" s="38">
        <f>V589-U589</f>
        <v>0</v>
      </c>
      <c r="X589" s="47">
        <f>U584-U589</f>
        <v>0</v>
      </c>
    </row>
    <row r="590" spans="1:28" s="51" customFormat="1" ht="18" customHeight="1">
      <c r="A590" s="614"/>
      <c r="B590" s="576"/>
      <c r="C590" s="577"/>
      <c r="D590" s="187" t="str">
        <f>серпень!D513</f>
        <v>тариф, грн.</v>
      </c>
      <c r="E590" s="49" t="e">
        <f t="shared" ref="E590:F590" si="644">E591/E589*1000</f>
        <v>#DIV/0!</v>
      </c>
      <c r="F590" s="49" t="e">
        <f t="shared" si="644"/>
        <v>#DIV/0!</v>
      </c>
      <c r="G590" s="49">
        <v>2.1</v>
      </c>
      <c r="H590" s="49">
        <v>2.1</v>
      </c>
      <c r="I590" s="49">
        <v>2.1</v>
      </c>
      <c r="J590" s="49">
        <v>2.1</v>
      </c>
      <c r="K590" s="49">
        <v>2.1</v>
      </c>
      <c r="L590" s="68">
        <f>L591/L589*1000</f>
        <v>2</v>
      </c>
      <c r="M590" s="68">
        <f>M591/M589*1000</f>
        <v>2.5</v>
      </c>
      <c r="N590" s="68">
        <v>2.1</v>
      </c>
      <c r="O590" s="68">
        <v>2.1</v>
      </c>
      <c r="P590" s="68">
        <v>2.1</v>
      </c>
      <c r="Q590" s="68">
        <v>2.1</v>
      </c>
      <c r="R590" s="68">
        <v>2.1</v>
      </c>
      <c r="S590" s="49">
        <v>2.1</v>
      </c>
      <c r="T590" s="68">
        <v>169.98</v>
      </c>
      <c r="U590" s="68">
        <f>U591/U589*1000</f>
        <v>2</v>
      </c>
      <c r="V590" s="68">
        <f>V591/V589*1000</f>
        <v>2.0830000000000002</v>
      </c>
      <c r="W590" s="14" t="e">
        <f>W591/W589*1000</f>
        <v>#DIV/0!</v>
      </c>
      <c r="X590" s="59"/>
    </row>
    <row r="591" spans="1:28" s="126" customFormat="1" ht="18" customHeight="1">
      <c r="A591" s="614"/>
      <c r="B591" s="576"/>
      <c r="C591" s="577"/>
      <c r="D591" s="198" t="str">
        <f>серпень!D514</f>
        <v>касові видатки, тис.грн.</v>
      </c>
      <c r="E591" s="71"/>
      <c r="F591" s="61">
        <v>0</v>
      </c>
      <c r="G591" s="61">
        <v>0</v>
      </c>
      <c r="H591" s="61">
        <f t="shared" ref="H591" si="645">H589*H590/1000</f>
        <v>4.0000000000000001E-3</v>
      </c>
      <c r="I591" s="61">
        <f t="shared" ref="I591" si="646">I589*I590/1000</f>
        <v>2E-3</v>
      </c>
      <c r="J591" s="61">
        <f t="shared" ref="J591" si="647">J589*J590/1000</f>
        <v>2E-3</v>
      </c>
      <c r="K591" s="61">
        <f t="shared" ref="K591" si="648">K589*K590/1000</f>
        <v>2E-3</v>
      </c>
      <c r="L591" s="61">
        <f>SUM(F591:K591)</f>
        <v>0.01</v>
      </c>
      <c r="M591" s="61">
        <f>L591/6</f>
        <v>2E-3</v>
      </c>
      <c r="N591" s="61">
        <f>N589*N590/1000</f>
        <v>2E-3</v>
      </c>
      <c r="O591" s="61">
        <f t="shared" ref="O591" si="649">O589*O590/1000</f>
        <v>2E-3</v>
      </c>
      <c r="P591" s="61">
        <f t="shared" ref="P591" si="650">P589*P590/1000</f>
        <v>2E-3</v>
      </c>
      <c r="Q591" s="61">
        <f t="shared" ref="Q591" si="651">Q589*Q590/1000</f>
        <v>2E-3</v>
      </c>
      <c r="R591" s="61">
        <f t="shared" ref="R591" si="652">R589*R590/1000</f>
        <v>2E-3</v>
      </c>
      <c r="S591" s="61">
        <f>S589*S590/1000</f>
        <v>4.0000000000000001E-3</v>
      </c>
      <c r="T591" s="61">
        <f>SUM(N591:S591)</f>
        <v>1.4E-2</v>
      </c>
      <c r="U591" s="61">
        <f>T591+L591</f>
        <v>2.4E-2</v>
      </c>
      <c r="V591" s="61">
        <f>V586</f>
        <v>2.5000000000000001E-2</v>
      </c>
      <c r="W591" s="72">
        <f>V591-U591</f>
        <v>1E-3</v>
      </c>
      <c r="X591" s="63">
        <f>U586-U591</f>
        <v>0</v>
      </c>
    </row>
    <row r="592" spans="1:28" s="126" customFormat="1" ht="18" customHeight="1">
      <c r="A592" s="614"/>
      <c r="B592" s="576"/>
      <c r="C592" s="577"/>
      <c r="D592" s="201" t="str">
        <f>серпень!D515</f>
        <v>дотація</v>
      </c>
      <c r="E592" s="71"/>
      <c r="F592" s="61">
        <v>0</v>
      </c>
      <c r="G592" s="61">
        <v>0</v>
      </c>
      <c r="H592" s="61">
        <v>0</v>
      </c>
      <c r="I592" s="61">
        <v>0</v>
      </c>
      <c r="J592" s="61">
        <v>0</v>
      </c>
      <c r="K592" s="61">
        <v>0</v>
      </c>
      <c r="L592" s="61">
        <f>SUM(F592:K592)</f>
        <v>0</v>
      </c>
      <c r="M592" s="61">
        <f>L592/6</f>
        <v>0</v>
      </c>
      <c r="N592" s="61">
        <v>0</v>
      </c>
      <c r="O592" s="61">
        <v>0</v>
      </c>
      <c r="P592" s="61">
        <v>0</v>
      </c>
      <c r="Q592" s="61">
        <v>0</v>
      </c>
      <c r="R592" s="61">
        <v>0</v>
      </c>
      <c r="S592" s="61">
        <v>0</v>
      </c>
      <c r="T592" s="61">
        <f>SUM(N592:S592)</f>
        <v>0</v>
      </c>
      <c r="U592" s="61">
        <f>T592+L592</f>
        <v>0</v>
      </c>
      <c r="V592" s="61">
        <f>V587</f>
        <v>0</v>
      </c>
      <c r="W592" s="72">
        <f>V592-U592</f>
        <v>0</v>
      </c>
      <c r="X592" s="63">
        <f>U587-U592</f>
        <v>0</v>
      </c>
    </row>
    <row r="593" spans="1:28" s="126" customFormat="1" ht="18" customHeight="1">
      <c r="A593" s="614"/>
      <c r="B593" s="576"/>
      <c r="C593" s="577"/>
      <c r="D593" s="201" t="str">
        <f>серпень!D516</f>
        <v xml:space="preserve">місцевий </v>
      </c>
      <c r="E593" s="71"/>
      <c r="F593" s="61">
        <f t="shared" ref="F593:K593" si="653">F591-F592</f>
        <v>0</v>
      </c>
      <c r="G593" s="61">
        <f t="shared" si="653"/>
        <v>0</v>
      </c>
      <c r="H593" s="61">
        <f t="shared" si="653"/>
        <v>4.0000000000000001E-3</v>
      </c>
      <c r="I593" s="61">
        <f t="shared" si="653"/>
        <v>2E-3</v>
      </c>
      <c r="J593" s="61">
        <f t="shared" si="653"/>
        <v>2E-3</v>
      </c>
      <c r="K593" s="61">
        <f t="shared" si="653"/>
        <v>2E-3</v>
      </c>
      <c r="L593" s="61">
        <f>SUM(F593:K593)</f>
        <v>0.01</v>
      </c>
      <c r="M593" s="61">
        <f>L593/6</f>
        <v>2E-3</v>
      </c>
      <c r="N593" s="61">
        <f t="shared" ref="N593:S593" si="654">N591-N592</f>
        <v>2E-3</v>
      </c>
      <c r="O593" s="61">
        <f t="shared" si="654"/>
        <v>2E-3</v>
      </c>
      <c r="P593" s="61">
        <f t="shared" si="654"/>
        <v>2E-3</v>
      </c>
      <c r="Q593" s="61">
        <f t="shared" si="654"/>
        <v>2E-3</v>
      </c>
      <c r="R593" s="61">
        <f t="shared" si="654"/>
        <v>2E-3</v>
      </c>
      <c r="S593" s="61">
        <f t="shared" si="654"/>
        <v>4.0000000000000001E-3</v>
      </c>
      <c r="T593" s="61">
        <f>SUM(N593:S593)</f>
        <v>1.4E-2</v>
      </c>
      <c r="U593" s="61">
        <f>T593+L593</f>
        <v>2.4E-2</v>
      </c>
      <c r="V593" s="61">
        <f>V588</f>
        <v>2.5000000000000001E-2</v>
      </c>
      <c r="W593" s="72">
        <f>V593-U593</f>
        <v>1E-3</v>
      </c>
      <c r="X593" s="63">
        <f>U588-U593</f>
        <v>1E-3</v>
      </c>
    </row>
    <row r="594" spans="1:28" s="43" customFormat="1" ht="18" customHeight="1">
      <c r="A594" s="614"/>
      <c r="B594" s="576"/>
      <c r="C594" s="577"/>
      <c r="D594" s="202" t="str">
        <f>серпень!D517</f>
        <v>план</v>
      </c>
      <c r="E594" s="42"/>
      <c r="F594" s="42">
        <f t="shared" ref="F594:K594" si="655">F588</f>
        <v>0</v>
      </c>
      <c r="G594" s="42">
        <f t="shared" si="655"/>
        <v>3.0000000000000001E-3</v>
      </c>
      <c r="H594" s="42">
        <f t="shared" si="655"/>
        <v>2E-3</v>
      </c>
      <c r="I594" s="42">
        <f t="shared" si="655"/>
        <v>2E-3</v>
      </c>
      <c r="J594" s="42">
        <f t="shared" si="655"/>
        <v>2E-3</v>
      </c>
      <c r="K594" s="42">
        <f t="shared" si="655"/>
        <v>2E-3</v>
      </c>
      <c r="L594" s="42">
        <f>SUM(F594:K594)</f>
        <v>1.0999999999999999E-2</v>
      </c>
      <c r="M594" s="42">
        <f>L594/6</f>
        <v>2E-3</v>
      </c>
      <c r="N594" s="42">
        <f t="shared" ref="N594:S594" si="656">N588+N587</f>
        <v>2E-3</v>
      </c>
      <c r="O594" s="42">
        <f t="shared" si="656"/>
        <v>2E-3</v>
      </c>
      <c r="P594" s="42">
        <f t="shared" si="656"/>
        <v>2E-3</v>
      </c>
      <c r="Q594" s="42">
        <f t="shared" si="656"/>
        <v>2E-3</v>
      </c>
      <c r="R594" s="42">
        <f t="shared" si="656"/>
        <v>2E-3</v>
      </c>
      <c r="S594" s="42">
        <f t="shared" si="656"/>
        <v>4.0000000000000001E-3</v>
      </c>
      <c r="T594" s="42">
        <f>SUM(N594:S594)</f>
        <v>1.4E-2</v>
      </c>
      <c r="U594" s="42">
        <f>T594+L594</f>
        <v>2.5000000000000001E-2</v>
      </c>
      <c r="V594" s="42">
        <f>V591</f>
        <v>2.5000000000000001E-2</v>
      </c>
      <c r="W594" s="42">
        <f>V594-U594</f>
        <v>0</v>
      </c>
    </row>
    <row r="595" spans="1:28" s="43" customFormat="1" ht="18" customHeight="1">
      <c r="A595" s="614"/>
      <c r="B595" s="576"/>
      <c r="C595" s="577"/>
      <c r="D595" s="202" t="str">
        <f>серпень!D518</f>
        <v xml:space="preserve">відхилення </v>
      </c>
      <c r="E595" s="42"/>
      <c r="F595" s="42">
        <f t="shared" ref="F595:K595" si="657">F591-F594</f>
        <v>0</v>
      </c>
      <c r="G595" s="42">
        <f t="shared" si="657"/>
        <v>-3.0000000000000001E-3</v>
      </c>
      <c r="H595" s="42">
        <f t="shared" si="657"/>
        <v>2E-3</v>
      </c>
      <c r="I595" s="42">
        <f t="shared" si="657"/>
        <v>0</v>
      </c>
      <c r="J595" s="42">
        <f t="shared" si="657"/>
        <v>0</v>
      </c>
      <c r="K595" s="42">
        <f t="shared" si="657"/>
        <v>0</v>
      </c>
      <c r="L595" s="42"/>
      <c r="M595" s="42"/>
      <c r="N595" s="42">
        <f t="shared" ref="N595:S595" si="658">N591-N594</f>
        <v>0</v>
      </c>
      <c r="O595" s="42">
        <f t="shared" si="658"/>
        <v>0</v>
      </c>
      <c r="P595" s="42">
        <f t="shared" si="658"/>
        <v>0</v>
      </c>
      <c r="Q595" s="42">
        <f t="shared" si="658"/>
        <v>0</v>
      </c>
      <c r="R595" s="42">
        <f t="shared" si="658"/>
        <v>0</v>
      </c>
      <c r="S595" s="42">
        <f t="shared" si="658"/>
        <v>0</v>
      </c>
      <c r="T595" s="42"/>
      <c r="U595" s="42"/>
      <c r="V595" s="42"/>
      <c r="W595" s="42"/>
    </row>
    <row r="596" spans="1:28" s="43" customFormat="1" ht="18" customHeight="1">
      <c r="A596" s="614"/>
      <c r="B596" s="576"/>
      <c r="C596" s="577"/>
      <c r="D596" s="202" t="str">
        <f>серпень!D519</f>
        <v>відхилення з наростаючим</v>
      </c>
      <c r="E596" s="42"/>
      <c r="F596" s="42">
        <f>F595</f>
        <v>0</v>
      </c>
      <c r="G596" s="42">
        <f>G595+F596</f>
        <v>-3.0000000000000001E-3</v>
      </c>
      <c r="H596" s="42">
        <f>H595+G596</f>
        <v>-1E-3</v>
      </c>
      <c r="I596" s="42">
        <f>I595+H596</f>
        <v>-1E-3</v>
      </c>
      <c r="J596" s="42">
        <f>J595+I596</f>
        <v>-1E-3</v>
      </c>
      <c r="K596" s="42">
        <f>K595+J596</f>
        <v>-1E-3</v>
      </c>
      <c r="L596" s="42"/>
      <c r="M596" s="42"/>
      <c r="N596" s="42">
        <f>N595+K596</f>
        <v>-1E-3</v>
      </c>
      <c r="O596" s="42">
        <f>O595+N596</f>
        <v>-1E-3</v>
      </c>
      <c r="P596" s="42">
        <f>P595+O596</f>
        <v>-1E-3</v>
      </c>
      <c r="Q596" s="42">
        <f>Q595+P596</f>
        <v>-1E-3</v>
      </c>
      <c r="R596" s="42">
        <f>R595+Q596</f>
        <v>-1E-3</v>
      </c>
      <c r="S596" s="42">
        <f>S595+R596</f>
        <v>-1E-3</v>
      </c>
      <c r="T596" s="42"/>
      <c r="U596" s="42"/>
      <c r="V596" s="42"/>
      <c r="W596" s="42"/>
    </row>
    <row r="597" spans="1:28" s="55" customFormat="1" ht="18" customHeight="1">
      <c r="A597" s="614"/>
      <c r="B597" s="581" t="s">
        <v>64</v>
      </c>
      <c r="C597" s="581"/>
      <c r="D597" s="178" t="str">
        <f>серпень!D520</f>
        <v>факт. нат.п-ки 2023</v>
      </c>
      <c r="E597" s="11"/>
      <c r="F597" s="82">
        <v>4.5999999999999996</v>
      </c>
      <c r="G597" s="82">
        <v>4.5999999999999996</v>
      </c>
      <c r="H597" s="82">
        <v>4.8</v>
      </c>
      <c r="I597" s="82">
        <v>5.6</v>
      </c>
      <c r="J597" s="82">
        <v>5.6</v>
      </c>
      <c r="K597" s="82">
        <v>5.7</v>
      </c>
      <c r="L597" s="125">
        <f>SUM(F597:K597)</f>
        <v>30.9</v>
      </c>
      <c r="M597" s="125">
        <f>L597/6</f>
        <v>5.15</v>
      </c>
      <c r="N597" s="348">
        <v>4.7</v>
      </c>
      <c r="O597" s="348">
        <v>4.7</v>
      </c>
      <c r="P597" s="348">
        <v>6.81</v>
      </c>
      <c r="Q597" s="348">
        <v>6.6</v>
      </c>
      <c r="R597" s="348">
        <v>6.51</v>
      </c>
      <c r="S597" s="348">
        <v>7</v>
      </c>
      <c r="T597" s="125">
        <f>SUM(N597:S597)</f>
        <v>36.32</v>
      </c>
      <c r="U597" s="125">
        <f>T597+L597</f>
        <v>67.22</v>
      </c>
      <c r="V597" s="505"/>
      <c r="W597" s="505"/>
      <c r="X597" s="47"/>
      <c r="Y597" s="48"/>
      <c r="Z597" s="48"/>
      <c r="AA597" s="48"/>
      <c r="AB597" s="48"/>
    </row>
    <row r="598" spans="1:28" s="48" customFormat="1" ht="18" customHeight="1">
      <c r="A598" s="614"/>
      <c r="B598" s="581"/>
      <c r="C598" s="581"/>
      <c r="D598" s="178" t="str">
        <f>серпень!D521</f>
        <v>факт. нат.п-ки 2024</v>
      </c>
      <c r="E598" s="11"/>
      <c r="F598" s="82">
        <v>5.6</v>
      </c>
      <c r="G598" s="82">
        <v>7.3</v>
      </c>
      <c r="H598" s="82">
        <v>5.0999999999999996</v>
      </c>
      <c r="I598" s="82">
        <v>4.9000000000000004</v>
      </c>
      <c r="J598" s="82">
        <v>4.7</v>
      </c>
      <c r="K598" s="82">
        <v>4.4000000000000004</v>
      </c>
      <c r="L598" s="125">
        <f>SUM(F598:K598)</f>
        <v>32</v>
      </c>
      <c r="M598" s="125">
        <f>L598/6</f>
        <v>5.3330000000000002</v>
      </c>
      <c r="N598" s="348">
        <v>4.5</v>
      </c>
      <c r="O598" s="348">
        <v>5.0999999999999996</v>
      </c>
      <c r="P598" s="348">
        <v>7.8</v>
      </c>
      <c r="Q598" s="348">
        <v>3.5</v>
      </c>
      <c r="R598" s="348">
        <v>3.5</v>
      </c>
      <c r="S598" s="348">
        <v>4.2</v>
      </c>
      <c r="T598" s="125">
        <f>SUM(N598:S598)</f>
        <v>28.6</v>
      </c>
      <c r="U598" s="125">
        <f>T598+L598</f>
        <v>60.6</v>
      </c>
      <c r="V598" s="505">
        <v>53.5</v>
      </c>
      <c r="W598" s="505"/>
      <c r="X598" s="47"/>
    </row>
    <row r="599" spans="1:28" s="48" customFormat="1" ht="18" customHeight="1">
      <c r="A599" s="614"/>
      <c r="B599" s="581"/>
      <c r="C599" s="581"/>
      <c r="D599" s="178" t="str">
        <f>серпень!D522</f>
        <v>факт. нат.п-ки 2025</v>
      </c>
      <c r="E599" s="49"/>
      <c r="F599" s="82">
        <v>7.1859999999999999</v>
      </c>
      <c r="G599" s="82">
        <v>8.76</v>
      </c>
      <c r="H599" s="82">
        <v>8.3659999999999997</v>
      </c>
      <c r="I599" s="82">
        <v>8.7449999999999992</v>
      </c>
      <c r="J599" s="82">
        <v>8.9429999999999996</v>
      </c>
      <c r="K599" s="82">
        <v>8.9570000000000007</v>
      </c>
      <c r="L599" s="125">
        <f>SUM(F599:K599)</f>
        <v>50.957000000000001</v>
      </c>
      <c r="M599" s="125">
        <f>L599/6</f>
        <v>8.4930000000000003</v>
      </c>
      <c r="N599" s="348">
        <v>4.9989999999999997</v>
      </c>
      <c r="O599" s="348">
        <v>5.0250000000000004</v>
      </c>
      <c r="P599" s="348">
        <v>7.8</v>
      </c>
      <c r="Q599" s="348">
        <v>3.5</v>
      </c>
      <c r="R599" s="348">
        <v>3.5</v>
      </c>
      <c r="S599" s="348">
        <v>5.2</v>
      </c>
      <c r="T599" s="125">
        <f>SUM(N599:S599)</f>
        <v>30.024000000000001</v>
      </c>
      <c r="U599" s="125">
        <f>T599+L599</f>
        <v>80.980999999999995</v>
      </c>
      <c r="V599" s="349">
        <v>61.6</v>
      </c>
      <c r="W599" s="505">
        <f>V599-U599</f>
        <v>-19.381</v>
      </c>
      <c r="X599" s="47"/>
    </row>
    <row r="600" spans="1:28" s="51" customFormat="1" ht="18" customHeight="1">
      <c r="A600" s="614"/>
      <c r="B600" s="581"/>
      <c r="C600" s="581"/>
      <c r="D600" s="187" t="str">
        <f>серпень!D523</f>
        <v>тариф, грн.</v>
      </c>
      <c r="E600" s="49" t="e">
        <f>E601/E599*1000</f>
        <v>#DIV/0!</v>
      </c>
      <c r="F600" s="49">
        <f t="shared" ref="F600:K600" si="659">F601/F599*1000</f>
        <v>202.19900000000001</v>
      </c>
      <c r="G600" s="49">
        <f t="shared" si="659"/>
        <v>202.05500000000001</v>
      </c>
      <c r="H600" s="49">
        <f t="shared" si="659"/>
        <v>202.12799999999999</v>
      </c>
      <c r="I600" s="49">
        <f t="shared" si="659"/>
        <v>202.173</v>
      </c>
      <c r="J600" s="49">
        <f t="shared" si="659"/>
        <v>201.834</v>
      </c>
      <c r="K600" s="49">
        <f t="shared" si="659"/>
        <v>202.077</v>
      </c>
      <c r="L600" s="68">
        <f>L601/L599*1000</f>
        <v>202.072</v>
      </c>
      <c r="M600" s="68">
        <f>M601/M599*1000</f>
        <v>202.04900000000001</v>
      </c>
      <c r="N600" s="68">
        <f t="shared" ref="N600:O600" si="660">N601/N599*1000</f>
        <v>201.24</v>
      </c>
      <c r="O600" s="68">
        <f t="shared" si="660"/>
        <v>202.18899999999999</v>
      </c>
      <c r="P600" s="68">
        <v>227.36699999999999</v>
      </c>
      <c r="Q600" s="68">
        <v>227.36699999999999</v>
      </c>
      <c r="R600" s="68">
        <v>227.36699999999999</v>
      </c>
      <c r="S600" s="49">
        <v>227.36699999999999</v>
      </c>
      <c r="T600" s="68">
        <f>T601/T599*1000</f>
        <v>218.459</v>
      </c>
      <c r="U600" s="68">
        <f>U601/U599*1000</f>
        <v>208.148</v>
      </c>
      <c r="V600" s="68">
        <f>V601/V599*1000</f>
        <v>226.94800000000001</v>
      </c>
      <c r="W600" s="14">
        <f>W601/W599*1000</f>
        <v>148.393</v>
      </c>
      <c r="X600" s="59"/>
    </row>
    <row r="601" spans="1:28" s="130" customFormat="1" ht="18" customHeight="1">
      <c r="A601" s="614"/>
      <c r="B601" s="581"/>
      <c r="C601" s="581"/>
      <c r="D601" s="191" t="str">
        <f>серпень!D524</f>
        <v>сума, тис.грн.</v>
      </c>
      <c r="E601" s="52"/>
      <c r="F601" s="52">
        <v>1.4530000000000001</v>
      </c>
      <c r="G601" s="52">
        <v>1.77</v>
      </c>
      <c r="H601" s="52">
        <v>1.6910000000000001</v>
      </c>
      <c r="I601" s="52">
        <v>1.768</v>
      </c>
      <c r="J601" s="52">
        <f>1.808-0.003</f>
        <v>1.8049999999999999</v>
      </c>
      <c r="K601" s="52">
        <v>1.81</v>
      </c>
      <c r="L601" s="69">
        <f>SUM(F601:K601)</f>
        <v>10.297000000000001</v>
      </c>
      <c r="M601" s="69">
        <f>L601/6</f>
        <v>1.716</v>
      </c>
      <c r="N601" s="52">
        <f>1.01-0.004</f>
        <v>1.006</v>
      </c>
      <c r="O601" s="52">
        <v>1.016</v>
      </c>
      <c r="P601" s="52">
        <f t="shared" ref="P601" si="661">P599*P600/1000-0.002</f>
        <v>1.7709999999999999</v>
      </c>
      <c r="Q601" s="52">
        <f t="shared" ref="Q601" si="662">Q599*Q600/1000-0.002</f>
        <v>0.79400000000000004</v>
      </c>
      <c r="R601" s="52">
        <f t="shared" ref="R601" si="663">R599*R600/1000-0.002</f>
        <v>0.79400000000000004</v>
      </c>
      <c r="S601" s="52">
        <f>S599*S600/1000-0.002-0.002</f>
        <v>1.1779999999999999</v>
      </c>
      <c r="T601" s="69">
        <f>SUM(N601:S601)</f>
        <v>6.5590000000000002</v>
      </c>
      <c r="U601" s="69">
        <f>T601+L601</f>
        <v>16.856000000000002</v>
      </c>
      <c r="V601" s="70">
        <f>V602+V603</f>
        <v>13.98</v>
      </c>
      <c r="W601" s="53">
        <f>V601-U601</f>
        <v>-2.8759999999999999</v>
      </c>
    </row>
    <row r="602" spans="1:28" s="130" customFormat="1" ht="18" customHeight="1">
      <c r="A602" s="614"/>
      <c r="B602" s="581"/>
      <c r="C602" s="581"/>
      <c r="D602" s="174" t="str">
        <f>серпень!D525</f>
        <v>дотація</v>
      </c>
      <c r="E602" s="56"/>
      <c r="F602" s="52"/>
      <c r="G602" s="52"/>
      <c r="H602" s="52"/>
      <c r="I602" s="52"/>
      <c r="J602" s="52"/>
      <c r="K602" s="52"/>
      <c r="L602" s="69">
        <f>SUM(F602:K602)</f>
        <v>0</v>
      </c>
      <c r="M602" s="69">
        <f>L602/6</f>
        <v>0</v>
      </c>
      <c r="N602" s="52"/>
      <c r="O602" s="52"/>
      <c r="P602" s="52"/>
      <c r="Q602" s="52"/>
      <c r="R602" s="52"/>
      <c r="S602" s="52"/>
      <c r="T602" s="69">
        <f>SUM(N602:S602)</f>
        <v>0</v>
      </c>
      <c r="U602" s="69">
        <f>T602+L602</f>
        <v>0</v>
      </c>
      <c r="V602" s="70">
        <v>0</v>
      </c>
      <c r="W602" s="53">
        <f>V602-U602</f>
        <v>0</v>
      </c>
    </row>
    <row r="603" spans="1:28" s="130" customFormat="1" ht="18" customHeight="1">
      <c r="A603" s="614"/>
      <c r="B603" s="581"/>
      <c r="C603" s="581"/>
      <c r="D603" s="174" t="str">
        <f>серпень!D526</f>
        <v>місцевий (план), тис.грн</v>
      </c>
      <c r="E603" s="56"/>
      <c r="F603" s="52">
        <f>0.296-0.296</f>
        <v>0</v>
      </c>
      <c r="G603" s="52">
        <f>1.271+0.172</f>
        <v>1.4430000000000001</v>
      </c>
      <c r="H603" s="52">
        <f>1.658-0.322</f>
        <v>1.3360000000000001</v>
      </c>
      <c r="I603" s="52">
        <f>1.158+0.949</f>
        <v>2.1070000000000002</v>
      </c>
      <c r="J603" s="52">
        <f>1.112+0.322-0.474+0.799</f>
        <v>1.7589999999999999</v>
      </c>
      <c r="K603" s="52">
        <f>1.067-0.475+1.206</f>
        <v>1.798</v>
      </c>
      <c r="L603" s="69">
        <f>SUM(F603:K603)</f>
        <v>8.4429999999999996</v>
      </c>
      <c r="M603" s="69">
        <f>L603/6</f>
        <v>1.407</v>
      </c>
      <c r="N603" s="52">
        <f>0.998+0.804</f>
        <v>1.802</v>
      </c>
      <c r="O603" s="52">
        <f>1.021-0.799+0.779</f>
        <v>1.0009999999999999</v>
      </c>
      <c r="P603" s="52">
        <f>1.158-0.804</f>
        <v>0.35399999999999998</v>
      </c>
      <c r="Q603" s="52">
        <f>1.771-1.206</f>
        <v>0.56499999999999995</v>
      </c>
      <c r="R603" s="52">
        <v>0.79400000000000004</v>
      </c>
      <c r="S603" s="52">
        <f>1.974-0.002-0.172-0.779</f>
        <v>1.0209999999999999</v>
      </c>
      <c r="T603" s="69">
        <f>SUM(N603:S603)</f>
        <v>5.5369999999999999</v>
      </c>
      <c r="U603" s="69">
        <f>T603+L603</f>
        <v>13.98</v>
      </c>
      <c r="V603" s="70">
        <f>14.006-0.026</f>
        <v>13.98</v>
      </c>
      <c r="W603" s="53">
        <f>V603-U603</f>
        <v>0</v>
      </c>
    </row>
    <row r="604" spans="1:28" s="48" customFormat="1" ht="18" customHeight="1">
      <c r="A604" s="614"/>
      <c r="B604" s="581"/>
      <c r="C604" s="581"/>
      <c r="D604" s="178" t="str">
        <f>серпень!D527</f>
        <v>касові нат.п-ки 2025</v>
      </c>
      <c r="E604" s="11"/>
      <c r="F604" s="12">
        <v>0</v>
      </c>
      <c r="G604" s="82">
        <v>0</v>
      </c>
      <c r="H604" s="82">
        <v>7.1859999999999999</v>
      </c>
      <c r="I604" s="82">
        <v>17.126000000000001</v>
      </c>
      <c r="J604" s="82">
        <v>8.7449999999999992</v>
      </c>
      <c r="K604" s="82">
        <v>8.9429999999999996</v>
      </c>
      <c r="L604" s="465">
        <f>SUM(F604:K604)</f>
        <v>42</v>
      </c>
      <c r="M604" s="465">
        <f>L604/6</f>
        <v>7</v>
      </c>
      <c r="N604" s="510">
        <v>8.9570000000000007</v>
      </c>
      <c r="O604" s="348">
        <v>4.9989999999999997</v>
      </c>
      <c r="P604" s="348">
        <v>5.0250000000000004</v>
      </c>
      <c r="Q604" s="348">
        <v>7.8</v>
      </c>
      <c r="R604" s="348">
        <v>3.5</v>
      </c>
      <c r="S604" s="348">
        <f>R599+S599</f>
        <v>8.6999999999999993</v>
      </c>
      <c r="T604" s="465">
        <f>SUM(N604:S604)</f>
        <v>38.981000000000002</v>
      </c>
      <c r="U604" s="465">
        <f>T604+L604</f>
        <v>80.980999999999995</v>
      </c>
      <c r="V604" s="11">
        <f>V599</f>
        <v>61.6</v>
      </c>
      <c r="W604" s="38">
        <f>V604-U604</f>
        <v>-19.399999999999999</v>
      </c>
      <c r="X604" s="47">
        <f>U599-U604</f>
        <v>0</v>
      </c>
    </row>
    <row r="605" spans="1:28" s="51" customFormat="1" ht="18" customHeight="1">
      <c r="A605" s="614"/>
      <c r="B605" s="581"/>
      <c r="C605" s="581"/>
      <c r="D605" s="187" t="str">
        <f>серпень!D528</f>
        <v>тариф, грн.</v>
      </c>
      <c r="E605" s="49" t="e">
        <f t="shared" ref="E605:K605" si="664">E606/E604*1000</f>
        <v>#DIV/0!</v>
      </c>
      <c r="F605" s="49" t="e">
        <f t="shared" si="664"/>
        <v>#DIV/0!</v>
      </c>
      <c r="G605" s="49" t="e">
        <f t="shared" si="664"/>
        <v>#DIV/0!</v>
      </c>
      <c r="H605" s="49">
        <f t="shared" si="664"/>
        <v>202.19900000000001</v>
      </c>
      <c r="I605" s="49">
        <f t="shared" si="664"/>
        <v>202.03200000000001</v>
      </c>
      <c r="J605" s="49">
        <f t="shared" si="664"/>
        <v>202.173</v>
      </c>
      <c r="K605" s="49">
        <f t="shared" si="664"/>
        <v>201.834</v>
      </c>
      <c r="L605" s="68">
        <f t="shared" ref="L605:P605" si="665">L606/L604*1000</f>
        <v>202.048</v>
      </c>
      <c r="M605" s="68">
        <f t="shared" si="665"/>
        <v>202</v>
      </c>
      <c r="N605" s="68">
        <f t="shared" si="665"/>
        <v>202.077</v>
      </c>
      <c r="O605" s="68">
        <f t="shared" si="665"/>
        <v>201.24</v>
      </c>
      <c r="P605" s="68">
        <f t="shared" si="665"/>
        <v>202.18899999999999</v>
      </c>
      <c r="Q605" s="68">
        <v>227.36699999999999</v>
      </c>
      <c r="R605" s="68">
        <v>227.36699999999999</v>
      </c>
      <c r="S605" s="49">
        <v>227.36699999999999</v>
      </c>
      <c r="T605" s="68">
        <f>T606/T604*1000</f>
        <v>214.72</v>
      </c>
      <c r="U605" s="68">
        <f>U606/U604*1000</f>
        <v>208.148</v>
      </c>
      <c r="V605" s="68">
        <f>V606/V604*1000</f>
        <v>226.94800000000001</v>
      </c>
      <c r="W605" s="14">
        <f>W606/W604*1000</f>
        <v>148.24700000000001</v>
      </c>
      <c r="X605" s="59"/>
    </row>
    <row r="606" spans="1:28" s="126" customFormat="1" ht="18" customHeight="1">
      <c r="A606" s="614"/>
      <c r="B606" s="581"/>
      <c r="C606" s="581"/>
      <c r="D606" s="198" t="str">
        <f>серпень!D529</f>
        <v>касові видатки, тис.грн.</v>
      </c>
      <c r="E606" s="71"/>
      <c r="F606" s="61">
        <v>0</v>
      </c>
      <c r="G606" s="61">
        <v>0</v>
      </c>
      <c r="H606" s="61">
        <v>1.4530000000000001</v>
      </c>
      <c r="I606" s="61">
        <v>3.46</v>
      </c>
      <c r="J606" s="61">
        <v>1.768</v>
      </c>
      <c r="K606" s="61">
        <f>1.808-0.003</f>
        <v>1.8049999999999999</v>
      </c>
      <c r="L606" s="61">
        <f>SUM(F606:K606)</f>
        <v>8.4860000000000007</v>
      </c>
      <c r="M606" s="61">
        <f>L606/6</f>
        <v>1.4139999999999999</v>
      </c>
      <c r="N606" s="61">
        <v>1.81</v>
      </c>
      <c r="O606" s="61">
        <f>1.01-0.004</f>
        <v>1.006</v>
      </c>
      <c r="P606" s="61">
        <v>1.016</v>
      </c>
      <c r="Q606" s="61">
        <f t="shared" ref="Q606" si="666">Q604*Q605/1000-0.002</f>
        <v>1.7709999999999999</v>
      </c>
      <c r="R606" s="61">
        <f t="shared" ref="R606" si="667">R604*R605/1000-0.002</f>
        <v>0.79400000000000004</v>
      </c>
      <c r="S606" s="61">
        <f>S604*S605/1000-0.004-0.001</f>
        <v>1.9730000000000001</v>
      </c>
      <c r="T606" s="61">
        <f>SUM(N606:S606)</f>
        <v>8.3699999999999992</v>
      </c>
      <c r="U606" s="61">
        <f>T606+L606</f>
        <v>16.856000000000002</v>
      </c>
      <c r="V606" s="61">
        <f>V601</f>
        <v>13.98</v>
      </c>
      <c r="W606" s="72">
        <f>V606-U606</f>
        <v>-2.8759999999999999</v>
      </c>
      <c r="X606" s="63">
        <f>U601-U606</f>
        <v>0</v>
      </c>
    </row>
    <row r="607" spans="1:28" s="126" customFormat="1" ht="18" customHeight="1">
      <c r="A607" s="614"/>
      <c r="B607" s="581"/>
      <c r="C607" s="581"/>
      <c r="D607" s="201" t="str">
        <f>серпень!D530</f>
        <v>дотація</v>
      </c>
      <c r="E607" s="71"/>
      <c r="F607" s="61">
        <v>0</v>
      </c>
      <c r="G607" s="61">
        <v>0</v>
      </c>
      <c r="H607" s="61">
        <v>0</v>
      </c>
      <c r="I607" s="61">
        <v>0</v>
      </c>
      <c r="J607" s="61">
        <v>0</v>
      </c>
      <c r="K607" s="61">
        <v>0</v>
      </c>
      <c r="L607" s="61">
        <f>SUM(F607:K607)</f>
        <v>0</v>
      </c>
      <c r="M607" s="61">
        <f>L607/6</f>
        <v>0</v>
      </c>
      <c r="N607" s="61">
        <v>0</v>
      </c>
      <c r="O607" s="61">
        <v>0</v>
      </c>
      <c r="P607" s="61">
        <v>0</v>
      </c>
      <c r="Q607" s="61">
        <v>0</v>
      </c>
      <c r="R607" s="61">
        <v>0</v>
      </c>
      <c r="S607" s="61">
        <v>0</v>
      </c>
      <c r="T607" s="61">
        <f>SUM(N607:S607)</f>
        <v>0</v>
      </c>
      <c r="U607" s="61">
        <f>T607+L607</f>
        <v>0</v>
      </c>
      <c r="V607" s="61">
        <f>V602</f>
        <v>0</v>
      </c>
      <c r="W607" s="72">
        <f>V607-U607</f>
        <v>0</v>
      </c>
      <c r="X607" s="63">
        <f>U602-U607</f>
        <v>0</v>
      </c>
    </row>
    <row r="608" spans="1:28" s="126" customFormat="1" ht="18" customHeight="1">
      <c r="A608" s="614"/>
      <c r="B608" s="581"/>
      <c r="C608" s="581"/>
      <c r="D608" s="201" t="str">
        <f>серпень!D531</f>
        <v xml:space="preserve">місцевий </v>
      </c>
      <c r="E608" s="71"/>
      <c r="F608" s="61">
        <f t="shared" ref="F608:K608" si="668">F606-F607</f>
        <v>0</v>
      </c>
      <c r="G608" s="61">
        <f t="shared" si="668"/>
        <v>0</v>
      </c>
      <c r="H608" s="61">
        <f t="shared" si="668"/>
        <v>1.4530000000000001</v>
      </c>
      <c r="I608" s="61">
        <f t="shared" si="668"/>
        <v>3.46</v>
      </c>
      <c r="J608" s="61">
        <f t="shared" si="668"/>
        <v>1.768</v>
      </c>
      <c r="K608" s="61">
        <f t="shared" si="668"/>
        <v>1.8049999999999999</v>
      </c>
      <c r="L608" s="61">
        <f>SUM(F608:K608)</f>
        <v>8.4860000000000007</v>
      </c>
      <c r="M608" s="61">
        <f>L608/6</f>
        <v>1.4139999999999999</v>
      </c>
      <c r="N608" s="61">
        <f t="shared" ref="N608:S608" si="669">N606-N607</f>
        <v>1.81</v>
      </c>
      <c r="O608" s="61">
        <f t="shared" si="669"/>
        <v>1.006</v>
      </c>
      <c r="P608" s="61">
        <f t="shared" si="669"/>
        <v>1.016</v>
      </c>
      <c r="Q608" s="61">
        <f t="shared" si="669"/>
        <v>1.7709999999999999</v>
      </c>
      <c r="R608" s="61">
        <f t="shared" si="669"/>
        <v>0.79400000000000004</v>
      </c>
      <c r="S608" s="61">
        <f t="shared" si="669"/>
        <v>1.9730000000000001</v>
      </c>
      <c r="T608" s="61">
        <f>SUM(N608:S608)</f>
        <v>8.3699999999999992</v>
      </c>
      <c r="U608" s="61">
        <f>T608+L608</f>
        <v>16.856000000000002</v>
      </c>
      <c r="V608" s="61">
        <f>V603</f>
        <v>13.98</v>
      </c>
      <c r="W608" s="72">
        <f>V608-U608</f>
        <v>-2.8759999999999999</v>
      </c>
      <c r="X608" s="63">
        <f>U603-U608</f>
        <v>-2.8759999999999999</v>
      </c>
    </row>
    <row r="609" spans="1:28" s="43" customFormat="1" ht="18" customHeight="1">
      <c r="A609" s="614"/>
      <c r="B609" s="581"/>
      <c r="C609" s="581"/>
      <c r="D609" s="202" t="str">
        <f>серпень!D532</f>
        <v>план</v>
      </c>
      <c r="E609" s="42"/>
      <c r="F609" s="42">
        <f t="shared" ref="F609:K609" si="670">F603</f>
        <v>0</v>
      </c>
      <c r="G609" s="42">
        <f t="shared" si="670"/>
        <v>1.4430000000000001</v>
      </c>
      <c r="H609" s="42">
        <f t="shared" si="670"/>
        <v>1.3360000000000001</v>
      </c>
      <c r="I609" s="42">
        <f t="shared" si="670"/>
        <v>2.1070000000000002</v>
      </c>
      <c r="J609" s="42">
        <f t="shared" si="670"/>
        <v>1.7589999999999999</v>
      </c>
      <c r="K609" s="42">
        <f t="shared" si="670"/>
        <v>1.798</v>
      </c>
      <c r="L609" s="42">
        <f>SUM(F609:K609)</f>
        <v>8.4429999999999996</v>
      </c>
      <c r="M609" s="42">
        <f>L609/6</f>
        <v>1.407</v>
      </c>
      <c r="N609" s="42">
        <f t="shared" ref="N609:S609" si="671">N603+N602</f>
        <v>1.802</v>
      </c>
      <c r="O609" s="42">
        <f t="shared" si="671"/>
        <v>1.0009999999999999</v>
      </c>
      <c r="P609" s="42">
        <f t="shared" si="671"/>
        <v>0.35399999999999998</v>
      </c>
      <c r="Q609" s="42">
        <f t="shared" si="671"/>
        <v>0.56499999999999995</v>
      </c>
      <c r="R609" s="42">
        <f t="shared" si="671"/>
        <v>0.79400000000000004</v>
      </c>
      <c r="S609" s="42">
        <f t="shared" si="671"/>
        <v>1.0209999999999999</v>
      </c>
      <c r="T609" s="42">
        <f>SUM(N609:S609)</f>
        <v>5.5369999999999999</v>
      </c>
      <c r="U609" s="42">
        <f>T609+L609</f>
        <v>13.98</v>
      </c>
      <c r="V609" s="42">
        <f>V606</f>
        <v>13.98</v>
      </c>
      <c r="W609" s="42">
        <f>V609-U609</f>
        <v>0</v>
      </c>
    </row>
    <row r="610" spans="1:28" s="43" customFormat="1" ht="18" customHeight="1">
      <c r="A610" s="614"/>
      <c r="B610" s="581"/>
      <c r="C610" s="581"/>
      <c r="D610" s="202" t="str">
        <f>серпень!D533</f>
        <v xml:space="preserve">відхилення </v>
      </c>
      <c r="E610" s="42"/>
      <c r="F610" s="42">
        <f t="shared" ref="F610:K610" si="672">F606-F609</f>
        <v>0</v>
      </c>
      <c r="G610" s="42">
        <f t="shared" si="672"/>
        <v>-1.4430000000000001</v>
      </c>
      <c r="H610" s="42">
        <f t="shared" si="672"/>
        <v>0.11700000000000001</v>
      </c>
      <c r="I610" s="42">
        <f t="shared" si="672"/>
        <v>1.353</v>
      </c>
      <c r="J610" s="42">
        <f t="shared" si="672"/>
        <v>8.9999999999999993E-3</v>
      </c>
      <c r="K610" s="42">
        <f t="shared" si="672"/>
        <v>7.0000000000000001E-3</v>
      </c>
      <c r="L610" s="42"/>
      <c r="M610" s="42"/>
      <c r="N610" s="42">
        <f t="shared" ref="N610:S610" si="673">N606-N609</f>
        <v>8.0000000000000002E-3</v>
      </c>
      <c r="O610" s="42">
        <f t="shared" si="673"/>
        <v>5.0000000000000001E-3</v>
      </c>
      <c r="P610" s="42">
        <f t="shared" si="673"/>
        <v>0.66200000000000003</v>
      </c>
      <c r="Q610" s="42">
        <f t="shared" si="673"/>
        <v>1.206</v>
      </c>
      <c r="R610" s="42">
        <f t="shared" si="673"/>
        <v>0</v>
      </c>
      <c r="S610" s="42">
        <f t="shared" si="673"/>
        <v>0.95199999999999996</v>
      </c>
      <c r="T610" s="42"/>
      <c r="U610" s="42"/>
      <c r="V610" s="42"/>
      <c r="W610" s="42"/>
    </row>
    <row r="611" spans="1:28" s="43" customFormat="1" ht="17.55" customHeight="1">
      <c r="A611" s="614"/>
      <c r="B611" s="581"/>
      <c r="C611" s="581"/>
      <c r="D611" s="202" t="str">
        <f>серпень!D534</f>
        <v>відхилення з наростаючим</v>
      </c>
      <c r="E611" s="42"/>
      <c r="F611" s="42">
        <f>F610</f>
        <v>0</v>
      </c>
      <c r="G611" s="42">
        <f>G610+F611</f>
        <v>-1.4430000000000001</v>
      </c>
      <c r="H611" s="42">
        <f>H610+G611</f>
        <v>-1.3260000000000001</v>
      </c>
      <c r="I611" s="42">
        <f>I610+H611</f>
        <v>2.7E-2</v>
      </c>
      <c r="J611" s="42">
        <f>J610+I611</f>
        <v>3.5999999999999997E-2</v>
      </c>
      <c r="K611" s="42">
        <f>K610+J611</f>
        <v>4.2999999999999997E-2</v>
      </c>
      <c r="L611" s="42"/>
      <c r="M611" s="42"/>
      <c r="N611" s="42">
        <f>N610+K611</f>
        <v>5.0999999999999997E-2</v>
      </c>
      <c r="O611" s="42">
        <f>O610+N611</f>
        <v>5.6000000000000001E-2</v>
      </c>
      <c r="P611" s="42">
        <f>P610+O611</f>
        <v>0.71799999999999997</v>
      </c>
      <c r="Q611" s="42">
        <f>Q610+P611</f>
        <v>1.9239999999999999</v>
      </c>
      <c r="R611" s="42">
        <f>R610+Q611</f>
        <v>1.9239999999999999</v>
      </c>
      <c r="S611" s="42">
        <f>S610+R611</f>
        <v>2.8759999999999999</v>
      </c>
      <c r="T611" s="42"/>
      <c r="U611" s="42"/>
      <c r="V611" s="42"/>
      <c r="W611" s="42"/>
    </row>
    <row r="612" spans="1:28" s="55" customFormat="1" ht="18" customHeight="1">
      <c r="A612" s="614"/>
      <c r="B612" s="654" t="s">
        <v>139</v>
      </c>
      <c r="C612" s="581"/>
      <c r="D612" s="178" t="str">
        <f>серпень!D535</f>
        <v>факт. нат.п-ки 2023</v>
      </c>
      <c r="E612" s="11"/>
      <c r="F612" s="12"/>
      <c r="G612" s="12"/>
      <c r="H612" s="12"/>
      <c r="I612" s="12"/>
      <c r="J612" s="12"/>
      <c r="K612" s="12"/>
      <c r="L612" s="65">
        <f>SUM(F612:K612)</f>
        <v>0</v>
      </c>
      <c r="M612" s="65">
        <f>L612/6</f>
        <v>0</v>
      </c>
      <c r="N612" s="83"/>
      <c r="O612" s="83"/>
      <c r="P612" s="83"/>
      <c r="Q612" s="83"/>
      <c r="R612" s="83"/>
      <c r="S612" s="83"/>
      <c r="T612" s="65">
        <f>SUM(N612:S612)</f>
        <v>0</v>
      </c>
      <c r="U612" s="65">
        <f>T612+L612</f>
        <v>0</v>
      </c>
      <c r="V612" s="46"/>
      <c r="W612" s="38"/>
      <c r="X612" s="47"/>
      <c r="Y612" s="48"/>
      <c r="Z612" s="48"/>
      <c r="AA612" s="48"/>
      <c r="AB612" s="48"/>
    </row>
    <row r="613" spans="1:28" s="48" customFormat="1" ht="18" customHeight="1">
      <c r="A613" s="614"/>
      <c r="B613" s="581"/>
      <c r="C613" s="581"/>
      <c r="D613" s="178" t="str">
        <f>серпень!D536</f>
        <v>факт. нат.п-ки 2024</v>
      </c>
      <c r="E613" s="11"/>
      <c r="F613" s="12"/>
      <c r="G613" s="12"/>
      <c r="H613" s="12"/>
      <c r="I613" s="12"/>
      <c r="J613" s="12"/>
      <c r="K613" s="12"/>
      <c r="L613" s="65">
        <f>SUM(F613:K613)</f>
        <v>0</v>
      </c>
      <c r="M613" s="65">
        <f>L613/6</f>
        <v>0</v>
      </c>
      <c r="N613" s="83"/>
      <c r="O613" s="83"/>
      <c r="P613" s="83"/>
      <c r="Q613" s="83"/>
      <c r="R613" s="83"/>
      <c r="S613" s="83"/>
      <c r="T613" s="65">
        <f>SUM(N613:S613)</f>
        <v>0</v>
      </c>
      <c r="U613" s="65">
        <f>T613+L613</f>
        <v>0</v>
      </c>
      <c r="V613" s="46"/>
      <c r="W613" s="38"/>
      <c r="X613" s="47"/>
    </row>
    <row r="614" spans="1:28" s="48" customFormat="1" ht="18" customHeight="1">
      <c r="A614" s="614"/>
      <c r="B614" s="581"/>
      <c r="C614" s="581"/>
      <c r="D614" s="178" t="str">
        <f>серпень!D537</f>
        <v>факт. нат.п-ки 2025</v>
      </c>
      <c r="E614" s="49"/>
      <c r="F614" s="12">
        <v>1</v>
      </c>
      <c r="G614" s="12">
        <v>1</v>
      </c>
      <c r="H614" s="12">
        <v>1</v>
      </c>
      <c r="I614" s="12">
        <v>1</v>
      </c>
      <c r="J614" s="12">
        <v>1</v>
      </c>
      <c r="K614" s="12">
        <v>1</v>
      </c>
      <c r="L614" s="65">
        <f>SUM(F614:K614)</f>
        <v>6</v>
      </c>
      <c r="M614" s="65">
        <f>L614/6</f>
        <v>1</v>
      </c>
      <c r="N614" s="83">
        <v>1</v>
      </c>
      <c r="O614" s="83">
        <v>1</v>
      </c>
      <c r="P614" s="83">
        <v>1</v>
      </c>
      <c r="Q614" s="83">
        <v>1</v>
      </c>
      <c r="R614" s="83">
        <v>1</v>
      </c>
      <c r="S614" s="83">
        <v>1</v>
      </c>
      <c r="T614" s="65">
        <f>SUM(N614:S614)</f>
        <v>6</v>
      </c>
      <c r="U614" s="65">
        <f>T614+L614</f>
        <v>12</v>
      </c>
      <c r="V614" s="11">
        <v>12</v>
      </c>
      <c r="W614" s="38">
        <f>V614-U614</f>
        <v>0</v>
      </c>
      <c r="X614" s="47"/>
    </row>
    <row r="615" spans="1:28" s="51" customFormat="1" ht="18" customHeight="1">
      <c r="A615" s="614"/>
      <c r="B615" s="581"/>
      <c r="C615" s="581"/>
      <c r="D615" s="187" t="str">
        <f>серпень!D538</f>
        <v>тариф, грн.</v>
      </c>
      <c r="E615" s="49" t="e">
        <f>E616/E614*1000</f>
        <v>#DIV/0!</v>
      </c>
      <c r="F615" s="49">
        <v>2.1</v>
      </c>
      <c r="G615" s="49">
        <v>2.1</v>
      </c>
      <c r="H615" s="49">
        <v>2.1</v>
      </c>
      <c r="I615" s="49">
        <v>2.1</v>
      </c>
      <c r="J615" s="49">
        <v>2.1</v>
      </c>
      <c r="K615" s="49">
        <v>2.1</v>
      </c>
      <c r="L615" s="68">
        <f>L616/L614*1000</f>
        <v>2</v>
      </c>
      <c r="M615" s="68">
        <f>M616/M614*1000</f>
        <v>2</v>
      </c>
      <c r="N615" s="49">
        <v>2.1</v>
      </c>
      <c r="O615" s="49">
        <v>2.1</v>
      </c>
      <c r="P615" s="49">
        <v>2.1</v>
      </c>
      <c r="Q615" s="49">
        <v>2.1</v>
      </c>
      <c r="R615" s="49">
        <v>2.1</v>
      </c>
      <c r="S615" s="49">
        <v>2.1</v>
      </c>
      <c r="T615" s="68">
        <f>T616/T614*1000</f>
        <v>2.3330000000000002</v>
      </c>
      <c r="U615" s="68">
        <f>U616/U614*1000</f>
        <v>2.1669999999999998</v>
      </c>
      <c r="V615" s="68">
        <f>V616/V614*1000</f>
        <v>2.1669999999999998</v>
      </c>
      <c r="W615" s="14" t="e">
        <f>W616/W614*1000</f>
        <v>#DIV/0!</v>
      </c>
      <c r="X615" s="59"/>
    </row>
    <row r="616" spans="1:28" s="130" customFormat="1" ht="18" customHeight="1">
      <c r="A616" s="614"/>
      <c r="B616" s="581"/>
      <c r="C616" s="581"/>
      <c r="D616" s="191" t="str">
        <f>серпень!D539</f>
        <v>сума, тис.грн.</v>
      </c>
      <c r="E616" s="52"/>
      <c r="F616" s="52">
        <f>F614*F615/1000</f>
        <v>2E-3</v>
      </c>
      <c r="G616" s="52">
        <f t="shared" ref="G616:K616" si="674">G614*G615/1000</f>
        <v>2E-3</v>
      </c>
      <c r="H616" s="52">
        <f t="shared" si="674"/>
        <v>2E-3</v>
      </c>
      <c r="I616" s="52">
        <f t="shared" si="674"/>
        <v>2E-3</v>
      </c>
      <c r="J616" s="52">
        <f t="shared" si="674"/>
        <v>2E-3</v>
      </c>
      <c r="K616" s="52">
        <f t="shared" si="674"/>
        <v>2E-3</v>
      </c>
      <c r="L616" s="69">
        <f>SUM(F616:K616)</f>
        <v>1.2E-2</v>
      </c>
      <c r="M616" s="69">
        <f>L616/6</f>
        <v>2E-3</v>
      </c>
      <c r="N616" s="52">
        <f>N614*N615/1000</f>
        <v>2E-3</v>
      </c>
      <c r="O616" s="52">
        <f t="shared" ref="O616" si="675">O614*O615/1000</f>
        <v>2E-3</v>
      </c>
      <c r="P616" s="52">
        <f t="shared" ref="P616" si="676">P614*P615/1000</f>
        <v>2E-3</v>
      </c>
      <c r="Q616" s="52">
        <f t="shared" ref="Q616" si="677">Q614*Q615/1000</f>
        <v>2E-3</v>
      </c>
      <c r="R616" s="52">
        <f t="shared" ref="R616" si="678">R614*R615/1000</f>
        <v>2E-3</v>
      </c>
      <c r="S616" s="52">
        <f>S614*S615/1000+0.002</f>
        <v>4.0000000000000001E-3</v>
      </c>
      <c r="T616" s="69">
        <f>SUM(N616:S616)</f>
        <v>1.4E-2</v>
      </c>
      <c r="U616" s="69">
        <f>T616+L616</f>
        <v>2.5999999999999999E-2</v>
      </c>
      <c r="V616" s="70">
        <f>V617+V618</f>
        <v>2.5999999999999999E-2</v>
      </c>
      <c r="W616" s="53">
        <f>V616-U616</f>
        <v>0</v>
      </c>
    </row>
    <row r="617" spans="1:28" s="130" customFormat="1" ht="18" customHeight="1">
      <c r="A617" s="614"/>
      <c r="B617" s="581"/>
      <c r="C617" s="581"/>
      <c r="D617" s="174" t="str">
        <f>серпень!D540</f>
        <v>дотація</v>
      </c>
      <c r="E617" s="56"/>
      <c r="F617" s="52"/>
      <c r="G617" s="52"/>
      <c r="H617" s="52"/>
      <c r="I617" s="52"/>
      <c r="J617" s="52"/>
      <c r="K617" s="52"/>
      <c r="L617" s="69">
        <f>SUM(F617:K617)</f>
        <v>0</v>
      </c>
      <c r="M617" s="69">
        <f>L617/6</f>
        <v>0</v>
      </c>
      <c r="N617" s="52"/>
      <c r="O617" s="52"/>
      <c r="P617" s="52"/>
      <c r="Q617" s="52"/>
      <c r="R617" s="52"/>
      <c r="S617" s="52"/>
      <c r="T617" s="69">
        <f>SUM(N617:S617)</f>
        <v>0</v>
      </c>
      <c r="U617" s="69">
        <f>T617+L617</f>
        <v>0</v>
      </c>
      <c r="V617" s="70">
        <v>0</v>
      </c>
      <c r="W617" s="53">
        <f>V617-U617</f>
        <v>0</v>
      </c>
    </row>
    <row r="618" spans="1:28" s="130" customFormat="1" ht="18" customHeight="1">
      <c r="A618" s="614"/>
      <c r="B618" s="581"/>
      <c r="C618" s="581"/>
      <c r="D618" s="174" t="str">
        <f>серпень!D541</f>
        <v>місцевий (план), тис.грн</v>
      </c>
      <c r="E618" s="56"/>
      <c r="F618" s="52">
        <v>0</v>
      </c>
      <c r="G618" s="52">
        <v>2E-3</v>
      </c>
      <c r="H618" s="52">
        <v>2E-3</v>
      </c>
      <c r="I618" s="52">
        <v>2E-3</v>
      </c>
      <c r="J618" s="52">
        <v>2E-3</v>
      </c>
      <c r="K618" s="52">
        <v>2E-3</v>
      </c>
      <c r="L618" s="69">
        <f>SUM(F618:K618)</f>
        <v>0.01</v>
      </c>
      <c r="M618" s="69">
        <f>L618/6</f>
        <v>2E-3</v>
      </c>
      <c r="N618" s="52">
        <v>2E-3</v>
      </c>
      <c r="O618" s="52">
        <v>2E-3</v>
      </c>
      <c r="P618" s="52">
        <v>2E-3</v>
      </c>
      <c r="Q618" s="52">
        <v>2E-3</v>
      </c>
      <c r="R618" s="52">
        <v>2E-3</v>
      </c>
      <c r="S618" s="52">
        <f>0.004+0.002</f>
        <v>6.0000000000000001E-3</v>
      </c>
      <c r="T618" s="69">
        <f>SUM(N618:S618)</f>
        <v>1.6E-2</v>
      </c>
      <c r="U618" s="69">
        <f>T618+L618</f>
        <v>2.5999999999999999E-2</v>
      </c>
      <c r="V618" s="70">
        <v>2.5999999999999999E-2</v>
      </c>
      <c r="W618" s="53">
        <f>V618-U618</f>
        <v>0</v>
      </c>
    </row>
    <row r="619" spans="1:28" s="48" customFormat="1" ht="18" customHeight="1">
      <c r="A619" s="614"/>
      <c r="B619" s="581"/>
      <c r="C619" s="581"/>
      <c r="D619" s="178" t="str">
        <f>серпень!D542</f>
        <v>касові нат.п-ки 2025</v>
      </c>
      <c r="E619" s="11"/>
      <c r="F619" s="12"/>
      <c r="G619" s="12">
        <v>0</v>
      </c>
      <c r="H619" s="12">
        <v>2</v>
      </c>
      <c r="I619" s="12">
        <v>1</v>
      </c>
      <c r="J619" s="12">
        <v>1</v>
      </c>
      <c r="K619" s="12">
        <v>1</v>
      </c>
      <c r="L619" s="65">
        <f>SUM(F619:K619)</f>
        <v>5</v>
      </c>
      <c r="M619" s="65">
        <f>L619/6</f>
        <v>0.8</v>
      </c>
      <c r="N619" s="151">
        <v>1</v>
      </c>
      <c r="O619" s="83">
        <v>1</v>
      </c>
      <c r="P619" s="83">
        <v>1</v>
      </c>
      <c r="Q619" s="83">
        <v>1</v>
      </c>
      <c r="R619" s="83">
        <v>1</v>
      </c>
      <c r="S619" s="83">
        <v>2</v>
      </c>
      <c r="T619" s="65">
        <f>SUM(N619:S619)</f>
        <v>7</v>
      </c>
      <c r="U619" s="65">
        <f>T619+L619</f>
        <v>12</v>
      </c>
      <c r="V619" s="11">
        <f>V614</f>
        <v>12</v>
      </c>
      <c r="W619" s="38">
        <f>V619-U619</f>
        <v>0</v>
      </c>
      <c r="X619" s="47">
        <f>U614-U619</f>
        <v>0</v>
      </c>
    </row>
    <row r="620" spans="1:28" s="51" customFormat="1" ht="18" customHeight="1">
      <c r="A620" s="614"/>
      <c r="B620" s="581"/>
      <c r="C620" s="581"/>
      <c r="D620" s="187" t="str">
        <f>серпень!D543</f>
        <v>тариф, грн.</v>
      </c>
      <c r="E620" s="49" t="e">
        <f t="shared" ref="E620:M620" si="679">E621/E619*1000</f>
        <v>#DIV/0!</v>
      </c>
      <c r="F620" s="49" t="e">
        <f t="shared" si="679"/>
        <v>#DIV/0!</v>
      </c>
      <c r="G620" s="49">
        <v>2.1</v>
      </c>
      <c r="H620" s="49">
        <v>2.1</v>
      </c>
      <c r="I620" s="49">
        <v>2.1</v>
      </c>
      <c r="J620" s="49">
        <v>2.1</v>
      </c>
      <c r="K620" s="49">
        <v>2.1</v>
      </c>
      <c r="L620" s="68">
        <f t="shared" si="679"/>
        <v>2</v>
      </c>
      <c r="M620" s="68">
        <f t="shared" si="679"/>
        <v>2.5</v>
      </c>
      <c r="N620" s="68">
        <v>2.1</v>
      </c>
      <c r="O620" s="68">
        <v>2.1</v>
      </c>
      <c r="P620" s="68">
        <v>2.1</v>
      </c>
      <c r="Q620" s="68">
        <v>2.1</v>
      </c>
      <c r="R620" s="68">
        <v>2.1</v>
      </c>
      <c r="S620" s="49">
        <v>2.1</v>
      </c>
      <c r="T620" s="68">
        <f>T621/T619*1000</f>
        <v>2.286</v>
      </c>
      <c r="U620" s="68">
        <f>U621/U619*1000</f>
        <v>2.1669999999999998</v>
      </c>
      <c r="V620" s="68">
        <f>V621/V619*1000</f>
        <v>2.1669999999999998</v>
      </c>
      <c r="W620" s="14" t="e">
        <f>W621/W619*1000</f>
        <v>#DIV/0!</v>
      </c>
      <c r="X620" s="59"/>
    </row>
    <row r="621" spans="1:28" s="126" customFormat="1" ht="18" customHeight="1">
      <c r="A621" s="614"/>
      <c r="B621" s="581"/>
      <c r="C621" s="581"/>
      <c r="D621" s="198" t="str">
        <f>серпень!D544</f>
        <v>касові видатки, тис.грн.</v>
      </c>
      <c r="E621" s="71"/>
      <c r="F621" s="61">
        <v>0</v>
      </c>
      <c r="G621" s="61">
        <v>0</v>
      </c>
      <c r="H621" s="61">
        <f t="shared" ref="H621" si="680">H619*H620/1000</f>
        <v>4.0000000000000001E-3</v>
      </c>
      <c r="I621" s="61">
        <f t="shared" ref="I621" si="681">I619*I620/1000</f>
        <v>2E-3</v>
      </c>
      <c r="J621" s="61">
        <f t="shared" ref="J621" si="682">J619*J620/1000</f>
        <v>2E-3</v>
      </c>
      <c r="K621" s="61">
        <f t="shared" ref="K621" si="683">K619*K620/1000</f>
        <v>2E-3</v>
      </c>
      <c r="L621" s="61">
        <f>SUM(F621:K621)</f>
        <v>0.01</v>
      </c>
      <c r="M621" s="61">
        <f>L621/6</f>
        <v>2E-3</v>
      </c>
      <c r="N621" s="61">
        <f>N619*N620/1000</f>
        <v>2E-3</v>
      </c>
      <c r="O621" s="61">
        <f t="shared" ref="O621" si="684">O619*O620/1000</f>
        <v>2E-3</v>
      </c>
      <c r="P621" s="61">
        <f t="shared" ref="P621" si="685">P619*P620/1000</f>
        <v>2E-3</v>
      </c>
      <c r="Q621" s="61">
        <f t="shared" ref="Q621" si="686">Q619*Q620/1000</f>
        <v>2E-3</v>
      </c>
      <c r="R621" s="61">
        <f t="shared" ref="R621" si="687">R619*R620/1000</f>
        <v>2E-3</v>
      </c>
      <c r="S621" s="61">
        <f>S619*S620/1000+0.002</f>
        <v>6.0000000000000001E-3</v>
      </c>
      <c r="T621" s="61">
        <f>SUM(N621:S621)</f>
        <v>1.6E-2</v>
      </c>
      <c r="U621" s="61">
        <f>T621+L621</f>
        <v>2.5999999999999999E-2</v>
      </c>
      <c r="V621" s="61">
        <f>V616</f>
        <v>2.5999999999999999E-2</v>
      </c>
      <c r="W621" s="72">
        <f>V621-U621</f>
        <v>0</v>
      </c>
      <c r="X621" s="63">
        <f>U616-U621</f>
        <v>0</v>
      </c>
    </row>
    <row r="622" spans="1:28" s="126" customFormat="1" ht="18" customHeight="1">
      <c r="A622" s="614"/>
      <c r="B622" s="581"/>
      <c r="C622" s="581"/>
      <c r="D622" s="201" t="str">
        <f>серпень!D545</f>
        <v>дотація</v>
      </c>
      <c r="E622" s="71"/>
      <c r="F622" s="61">
        <v>0</v>
      </c>
      <c r="G622" s="61">
        <v>0</v>
      </c>
      <c r="H622" s="61">
        <v>0</v>
      </c>
      <c r="I622" s="61">
        <v>0</v>
      </c>
      <c r="J622" s="61">
        <v>0</v>
      </c>
      <c r="K622" s="61">
        <v>0</v>
      </c>
      <c r="L622" s="61">
        <f>SUM(F622:K622)</f>
        <v>0</v>
      </c>
      <c r="M622" s="61">
        <f>L622/6</f>
        <v>0</v>
      </c>
      <c r="N622" s="61">
        <v>0</v>
      </c>
      <c r="O622" s="61">
        <v>0</v>
      </c>
      <c r="P622" s="61">
        <v>0</v>
      </c>
      <c r="Q622" s="61">
        <v>0</v>
      </c>
      <c r="R622" s="61">
        <v>0</v>
      </c>
      <c r="S622" s="61">
        <v>0</v>
      </c>
      <c r="T622" s="61">
        <f>SUM(N622:S622)</f>
        <v>0</v>
      </c>
      <c r="U622" s="61">
        <f>T622+L622</f>
        <v>0</v>
      </c>
      <c r="V622" s="61">
        <f>V617</f>
        <v>0</v>
      </c>
      <c r="W622" s="72">
        <f>V622-U622</f>
        <v>0</v>
      </c>
      <c r="X622" s="63">
        <f>U617-U622</f>
        <v>0</v>
      </c>
    </row>
    <row r="623" spans="1:28" s="126" customFormat="1" ht="18" customHeight="1">
      <c r="A623" s="614"/>
      <c r="B623" s="581"/>
      <c r="C623" s="581"/>
      <c r="D623" s="201" t="str">
        <f>серпень!D546</f>
        <v xml:space="preserve">місцевий </v>
      </c>
      <c r="E623" s="71"/>
      <c r="F623" s="61">
        <f t="shared" ref="F623:K623" si="688">F621-F622</f>
        <v>0</v>
      </c>
      <c r="G623" s="61">
        <f t="shared" si="688"/>
        <v>0</v>
      </c>
      <c r="H623" s="61">
        <f t="shared" si="688"/>
        <v>4.0000000000000001E-3</v>
      </c>
      <c r="I623" s="61">
        <f t="shared" si="688"/>
        <v>2E-3</v>
      </c>
      <c r="J623" s="61">
        <f t="shared" si="688"/>
        <v>2E-3</v>
      </c>
      <c r="K623" s="61">
        <f t="shared" si="688"/>
        <v>2E-3</v>
      </c>
      <c r="L623" s="61">
        <f>SUM(F623:K623)</f>
        <v>0.01</v>
      </c>
      <c r="M623" s="61">
        <f>L623/6</f>
        <v>2E-3</v>
      </c>
      <c r="N623" s="61">
        <f t="shared" ref="N623:S623" si="689">N621-N622</f>
        <v>2E-3</v>
      </c>
      <c r="O623" s="61">
        <f t="shared" si="689"/>
        <v>2E-3</v>
      </c>
      <c r="P623" s="61">
        <f t="shared" si="689"/>
        <v>2E-3</v>
      </c>
      <c r="Q623" s="61">
        <f t="shared" si="689"/>
        <v>2E-3</v>
      </c>
      <c r="R623" s="61">
        <f t="shared" si="689"/>
        <v>2E-3</v>
      </c>
      <c r="S623" s="61">
        <f t="shared" si="689"/>
        <v>6.0000000000000001E-3</v>
      </c>
      <c r="T623" s="61">
        <f>SUM(N623:S623)</f>
        <v>1.6E-2</v>
      </c>
      <c r="U623" s="61">
        <f>T623+L623</f>
        <v>2.5999999999999999E-2</v>
      </c>
      <c r="V623" s="61">
        <f>V618</f>
        <v>2.5999999999999999E-2</v>
      </c>
      <c r="W623" s="72">
        <f>V623-U623</f>
        <v>0</v>
      </c>
      <c r="X623" s="63">
        <f>U618-U623</f>
        <v>0</v>
      </c>
    </row>
    <row r="624" spans="1:28" s="43" customFormat="1" ht="18" customHeight="1">
      <c r="A624" s="614"/>
      <c r="B624" s="581"/>
      <c r="C624" s="581"/>
      <c r="D624" s="202" t="str">
        <f>серпень!D547</f>
        <v>план</v>
      </c>
      <c r="E624" s="42"/>
      <c r="F624" s="42">
        <f t="shared" ref="F624:K624" si="690">F618</f>
        <v>0</v>
      </c>
      <c r="G624" s="42">
        <f t="shared" si="690"/>
        <v>2E-3</v>
      </c>
      <c r="H624" s="42">
        <f t="shared" si="690"/>
        <v>2E-3</v>
      </c>
      <c r="I624" s="42">
        <f t="shared" si="690"/>
        <v>2E-3</v>
      </c>
      <c r="J624" s="42">
        <f t="shared" si="690"/>
        <v>2E-3</v>
      </c>
      <c r="K624" s="42">
        <f t="shared" si="690"/>
        <v>2E-3</v>
      </c>
      <c r="L624" s="42">
        <f>SUM(F624:K624)</f>
        <v>0.01</v>
      </c>
      <c r="M624" s="42">
        <f>L624/6</f>
        <v>2E-3</v>
      </c>
      <c r="N624" s="42">
        <f t="shared" ref="N624:S624" si="691">N618+N617</f>
        <v>2E-3</v>
      </c>
      <c r="O624" s="42">
        <f t="shared" si="691"/>
        <v>2E-3</v>
      </c>
      <c r="P624" s="42">
        <f t="shared" si="691"/>
        <v>2E-3</v>
      </c>
      <c r="Q624" s="42">
        <f t="shared" si="691"/>
        <v>2E-3</v>
      </c>
      <c r="R624" s="42">
        <f t="shared" si="691"/>
        <v>2E-3</v>
      </c>
      <c r="S624" s="42">
        <f t="shared" si="691"/>
        <v>6.0000000000000001E-3</v>
      </c>
      <c r="T624" s="42">
        <f>SUM(N624:S624)</f>
        <v>1.6E-2</v>
      </c>
      <c r="U624" s="42">
        <f>T624+L624</f>
        <v>2.5999999999999999E-2</v>
      </c>
      <c r="V624" s="42">
        <f>V621</f>
        <v>2.5999999999999999E-2</v>
      </c>
      <c r="W624" s="42">
        <f>V624-U624</f>
        <v>0</v>
      </c>
    </row>
    <row r="625" spans="1:28" s="43" customFormat="1" ht="18" customHeight="1">
      <c r="A625" s="614"/>
      <c r="B625" s="581"/>
      <c r="C625" s="581"/>
      <c r="D625" s="202" t="str">
        <f>серпень!D548</f>
        <v xml:space="preserve">відхилення </v>
      </c>
      <c r="E625" s="42"/>
      <c r="F625" s="42">
        <f t="shared" ref="F625:K625" si="692">F621-F624</f>
        <v>0</v>
      </c>
      <c r="G625" s="42">
        <f t="shared" si="692"/>
        <v>-2E-3</v>
      </c>
      <c r="H625" s="42">
        <f t="shared" si="692"/>
        <v>2E-3</v>
      </c>
      <c r="I625" s="42">
        <f t="shared" si="692"/>
        <v>0</v>
      </c>
      <c r="J625" s="42">
        <f t="shared" si="692"/>
        <v>0</v>
      </c>
      <c r="K625" s="42">
        <f t="shared" si="692"/>
        <v>0</v>
      </c>
      <c r="L625" s="42"/>
      <c r="M625" s="42"/>
      <c r="N625" s="42">
        <f t="shared" ref="N625:S625" si="693">N621-N624</f>
        <v>0</v>
      </c>
      <c r="O625" s="42">
        <f t="shared" si="693"/>
        <v>0</v>
      </c>
      <c r="P625" s="42">
        <f t="shared" si="693"/>
        <v>0</v>
      </c>
      <c r="Q625" s="42">
        <f t="shared" si="693"/>
        <v>0</v>
      </c>
      <c r="R625" s="42">
        <f t="shared" si="693"/>
        <v>0</v>
      </c>
      <c r="S625" s="42">
        <f t="shared" si="693"/>
        <v>0</v>
      </c>
      <c r="T625" s="42"/>
      <c r="U625" s="42"/>
      <c r="V625" s="42"/>
      <c r="W625" s="42"/>
    </row>
    <row r="626" spans="1:28" s="43" customFormat="1" ht="17.55" customHeight="1">
      <c r="A626" s="614"/>
      <c r="B626" s="581"/>
      <c r="C626" s="581"/>
      <c r="D626" s="202" t="str">
        <f>серпень!D549</f>
        <v>відхилення з наростаючим</v>
      </c>
      <c r="E626" s="42"/>
      <c r="F626" s="42">
        <f>F625</f>
        <v>0</v>
      </c>
      <c r="G626" s="42">
        <f>G625+F626</f>
        <v>-2E-3</v>
      </c>
      <c r="H626" s="42">
        <f>H625+G626</f>
        <v>0</v>
      </c>
      <c r="I626" s="42">
        <f>I625+H626</f>
        <v>0</v>
      </c>
      <c r="J626" s="42">
        <f>J625+I626</f>
        <v>0</v>
      </c>
      <c r="K626" s="42">
        <f>K625+J626</f>
        <v>0</v>
      </c>
      <c r="L626" s="42"/>
      <c r="M626" s="42"/>
      <c r="N626" s="42">
        <f>N625+K626</f>
        <v>0</v>
      </c>
      <c r="O626" s="42">
        <f>O625+N626</f>
        <v>0</v>
      </c>
      <c r="P626" s="42">
        <f>P625+O626</f>
        <v>0</v>
      </c>
      <c r="Q626" s="42">
        <f>Q625+P626</f>
        <v>0</v>
      </c>
      <c r="R626" s="42">
        <f>R625+Q626</f>
        <v>0</v>
      </c>
      <c r="S626" s="42">
        <f>S625+R626</f>
        <v>0</v>
      </c>
      <c r="T626" s="42"/>
      <c r="U626" s="42"/>
      <c r="V626" s="42"/>
      <c r="W626" s="42"/>
    </row>
    <row r="627" spans="1:28" s="55" customFormat="1" ht="18" hidden="1" customHeight="1">
      <c r="A627" s="614"/>
      <c r="B627" s="581" t="s">
        <v>66</v>
      </c>
      <c r="C627" s="581"/>
      <c r="D627" s="178" t="str">
        <f>серпень!D550</f>
        <v>факт. нат.п-ки 2023</v>
      </c>
      <c r="E627" s="11"/>
      <c r="F627" s="12">
        <f t="shared" ref="F627:K629" si="694">F644+F674</f>
        <v>0</v>
      </c>
      <c r="G627" s="12">
        <f t="shared" si="694"/>
        <v>0</v>
      </c>
      <c r="H627" s="12">
        <f t="shared" si="694"/>
        <v>0</v>
      </c>
      <c r="I627" s="12">
        <f t="shared" si="694"/>
        <v>0</v>
      </c>
      <c r="J627" s="12">
        <f t="shared" si="694"/>
        <v>0</v>
      </c>
      <c r="K627" s="12">
        <f t="shared" si="694"/>
        <v>0</v>
      </c>
      <c r="L627" s="65">
        <f>SUM(F627:K627)</f>
        <v>0</v>
      </c>
      <c r="M627" s="65">
        <f>L627/6</f>
        <v>0</v>
      </c>
      <c r="N627" s="12">
        <f t="shared" ref="N627:S629" si="695">N644+N674</f>
        <v>0</v>
      </c>
      <c r="O627" s="12">
        <f t="shared" si="695"/>
        <v>0</v>
      </c>
      <c r="P627" s="12">
        <f t="shared" si="695"/>
        <v>0</v>
      </c>
      <c r="Q627" s="12">
        <f t="shared" si="695"/>
        <v>0</v>
      </c>
      <c r="R627" s="12">
        <f t="shared" si="695"/>
        <v>0</v>
      </c>
      <c r="S627" s="12">
        <f t="shared" si="695"/>
        <v>0</v>
      </c>
      <c r="T627" s="65">
        <f>SUM(N627:S627)</f>
        <v>0</v>
      </c>
      <c r="U627" s="65">
        <f>T627+L627</f>
        <v>0</v>
      </c>
      <c r="V627" s="75">
        <f>V644+V674</f>
        <v>0</v>
      </c>
      <c r="W627" s="38">
        <f>V627-U627</f>
        <v>0</v>
      </c>
      <c r="X627" s="47"/>
      <c r="Y627" s="48"/>
      <c r="Z627" s="48"/>
      <c r="AA627" s="48"/>
      <c r="AB627" s="48"/>
    </row>
    <row r="628" spans="1:28" s="48" customFormat="1" ht="18" hidden="1" customHeight="1">
      <c r="A628" s="614"/>
      <c r="B628" s="581"/>
      <c r="C628" s="581"/>
      <c r="D628" s="178" t="str">
        <f>серпень!D551</f>
        <v>факт. нат.п-ки 2024</v>
      </c>
      <c r="E628" s="11"/>
      <c r="F628" s="12">
        <f t="shared" si="694"/>
        <v>0</v>
      </c>
      <c r="G628" s="12">
        <f t="shared" si="694"/>
        <v>0</v>
      </c>
      <c r="H628" s="12">
        <f t="shared" si="694"/>
        <v>0</v>
      </c>
      <c r="I628" s="12">
        <f t="shared" si="694"/>
        <v>0</v>
      </c>
      <c r="J628" s="12">
        <f t="shared" si="694"/>
        <v>0</v>
      </c>
      <c r="K628" s="12">
        <f t="shared" si="694"/>
        <v>0</v>
      </c>
      <c r="L628" s="65">
        <f>SUM(F628:K628)</f>
        <v>0</v>
      </c>
      <c r="M628" s="65">
        <f>L628/6</f>
        <v>0</v>
      </c>
      <c r="N628" s="12">
        <f t="shared" si="695"/>
        <v>0</v>
      </c>
      <c r="O628" s="12">
        <f t="shared" si="695"/>
        <v>0</v>
      </c>
      <c r="P628" s="12">
        <f t="shared" si="695"/>
        <v>0</v>
      </c>
      <c r="Q628" s="12">
        <f t="shared" si="695"/>
        <v>0</v>
      </c>
      <c r="R628" s="12">
        <f t="shared" si="695"/>
        <v>0</v>
      </c>
      <c r="S628" s="12">
        <f t="shared" si="695"/>
        <v>0</v>
      </c>
      <c r="T628" s="65">
        <f>SUM(N628:S628)</f>
        <v>0</v>
      </c>
      <c r="U628" s="65">
        <f>T628+L628</f>
        <v>0</v>
      </c>
      <c r="V628" s="75">
        <f>V645+V675</f>
        <v>0</v>
      </c>
      <c r="W628" s="38">
        <f>V628-U628</f>
        <v>0</v>
      </c>
      <c r="X628" s="47"/>
    </row>
    <row r="629" spans="1:28" s="48" customFormat="1" ht="18" hidden="1" customHeight="1">
      <c r="A629" s="614"/>
      <c r="B629" s="581"/>
      <c r="C629" s="581"/>
      <c r="D629" s="178" t="str">
        <f>серпень!D552</f>
        <v>факт. нат.п-ки 2025</v>
      </c>
      <c r="E629" s="11"/>
      <c r="F629" s="12">
        <f t="shared" si="694"/>
        <v>0</v>
      </c>
      <c r="G629" s="12">
        <f t="shared" si="694"/>
        <v>0</v>
      </c>
      <c r="H629" s="12">
        <f t="shared" si="694"/>
        <v>0</v>
      </c>
      <c r="I629" s="12">
        <f t="shared" si="694"/>
        <v>0</v>
      </c>
      <c r="J629" s="12">
        <f t="shared" si="694"/>
        <v>0</v>
      </c>
      <c r="K629" s="12">
        <f t="shared" si="694"/>
        <v>0</v>
      </c>
      <c r="L629" s="65">
        <f>SUM(F629:K629)</f>
        <v>0</v>
      </c>
      <c r="M629" s="65">
        <f>L629/6</f>
        <v>0</v>
      </c>
      <c r="N629" s="12">
        <f t="shared" si="695"/>
        <v>0</v>
      </c>
      <c r="O629" s="12">
        <f t="shared" si="695"/>
        <v>0</v>
      </c>
      <c r="P629" s="12">
        <f t="shared" si="695"/>
        <v>0</v>
      </c>
      <c r="Q629" s="12">
        <f t="shared" si="695"/>
        <v>0</v>
      </c>
      <c r="R629" s="12">
        <f t="shared" si="695"/>
        <v>0</v>
      </c>
      <c r="S629" s="12">
        <f t="shared" si="695"/>
        <v>0</v>
      </c>
      <c r="T629" s="65">
        <f>SUM(N629:S629)</f>
        <v>0</v>
      </c>
      <c r="U629" s="65">
        <f>T629+L629</f>
        <v>0</v>
      </c>
      <c r="V629" s="75">
        <f>V646+V676</f>
        <v>0</v>
      </c>
      <c r="W629" s="38">
        <f>V629-U629</f>
        <v>0</v>
      </c>
      <c r="X629" s="47"/>
    </row>
    <row r="630" spans="1:28" s="51" customFormat="1" ht="18" hidden="1" customHeight="1">
      <c r="A630" s="614"/>
      <c r="B630" s="581"/>
      <c r="C630" s="581"/>
      <c r="D630" s="187" t="str">
        <f>серпень!D553</f>
        <v>тариф, грн.</v>
      </c>
      <c r="E630" s="49"/>
      <c r="F630" s="49" t="e">
        <f t="shared" ref="F630:W630" si="696">F631/F629*1000</f>
        <v>#DIV/0!</v>
      </c>
      <c r="G630" s="49" t="e">
        <f t="shared" si="696"/>
        <v>#DIV/0!</v>
      </c>
      <c r="H630" s="49" t="e">
        <f t="shared" si="696"/>
        <v>#DIV/0!</v>
      </c>
      <c r="I630" s="49" t="e">
        <f t="shared" si="696"/>
        <v>#DIV/0!</v>
      </c>
      <c r="J630" s="49" t="e">
        <f t="shared" si="696"/>
        <v>#DIV/0!</v>
      </c>
      <c r="K630" s="49" t="e">
        <f t="shared" si="696"/>
        <v>#DIV/0!</v>
      </c>
      <c r="L630" s="49" t="e">
        <f t="shared" si="696"/>
        <v>#DIV/0!</v>
      </c>
      <c r="M630" s="49" t="e">
        <f t="shared" si="696"/>
        <v>#DIV/0!</v>
      </c>
      <c r="N630" s="49" t="e">
        <f t="shared" si="696"/>
        <v>#DIV/0!</v>
      </c>
      <c r="O630" s="49" t="e">
        <f t="shared" si="696"/>
        <v>#DIV/0!</v>
      </c>
      <c r="P630" s="49" t="e">
        <f t="shared" si="696"/>
        <v>#DIV/0!</v>
      </c>
      <c r="Q630" s="49" t="e">
        <f t="shared" si="696"/>
        <v>#DIV/0!</v>
      </c>
      <c r="R630" s="49" t="e">
        <f t="shared" si="696"/>
        <v>#DIV/0!</v>
      </c>
      <c r="S630" s="49" t="e">
        <f t="shared" si="696"/>
        <v>#DIV/0!</v>
      </c>
      <c r="T630" s="49" t="e">
        <f t="shared" si="696"/>
        <v>#DIV/0!</v>
      </c>
      <c r="U630" s="49" t="e">
        <f t="shared" si="696"/>
        <v>#DIV/0!</v>
      </c>
      <c r="V630" s="49" t="e">
        <f t="shared" si="696"/>
        <v>#DIV/0!</v>
      </c>
      <c r="W630" s="49" t="e">
        <f t="shared" si="696"/>
        <v>#DIV/0!</v>
      </c>
      <c r="X630" s="59"/>
    </row>
    <row r="631" spans="1:28" s="130" customFormat="1" ht="18" hidden="1" customHeight="1">
      <c r="A631" s="614"/>
      <c r="B631" s="581"/>
      <c r="C631" s="581"/>
      <c r="D631" s="191" t="str">
        <f>серпень!D554</f>
        <v>сума, тис.грн.</v>
      </c>
      <c r="E631" s="52"/>
      <c r="F631" s="52">
        <f>F648+F678</f>
        <v>0</v>
      </c>
      <c r="G631" s="52">
        <f t="shared" ref="G631:K631" si="697">G648+G678</f>
        <v>0</v>
      </c>
      <c r="H631" s="52">
        <f t="shared" si="697"/>
        <v>0</v>
      </c>
      <c r="I631" s="52">
        <f t="shared" si="697"/>
        <v>0</v>
      </c>
      <c r="J631" s="52">
        <f t="shared" si="697"/>
        <v>0</v>
      </c>
      <c r="K631" s="52">
        <f t="shared" si="697"/>
        <v>0</v>
      </c>
      <c r="L631" s="69">
        <f>SUM(F631:K631)</f>
        <v>0</v>
      </c>
      <c r="M631" s="69">
        <f>L631/6</f>
        <v>0</v>
      </c>
      <c r="N631" s="52">
        <f>N648+N678</f>
        <v>0</v>
      </c>
      <c r="O631" s="52">
        <f t="shared" ref="O631:S631" si="698">O648+O678</f>
        <v>0</v>
      </c>
      <c r="P631" s="52">
        <f t="shared" si="698"/>
        <v>0</v>
      </c>
      <c r="Q631" s="52">
        <f t="shared" si="698"/>
        <v>0</v>
      </c>
      <c r="R631" s="52">
        <f t="shared" si="698"/>
        <v>0</v>
      </c>
      <c r="S631" s="52">
        <f t="shared" si="698"/>
        <v>0</v>
      </c>
      <c r="T631" s="69">
        <f>SUM(N631:S631)</f>
        <v>0</v>
      </c>
      <c r="U631" s="69">
        <f>T631+L631</f>
        <v>0</v>
      </c>
      <c r="V631" s="69">
        <f t="shared" ref="V631" si="699">V648+V678</f>
        <v>0</v>
      </c>
      <c r="W631" s="52">
        <f>V631-U631</f>
        <v>0</v>
      </c>
    </row>
    <row r="632" spans="1:28" s="130" customFormat="1" ht="18" hidden="1" customHeight="1">
      <c r="A632" s="614"/>
      <c r="B632" s="581"/>
      <c r="C632" s="581"/>
      <c r="D632" s="174" t="str">
        <f>серпень!D555</f>
        <v>абоненська плата, тис.грн.</v>
      </c>
      <c r="E632" s="52"/>
      <c r="F632" s="52">
        <f>F663+F693</f>
        <v>0</v>
      </c>
      <c r="G632" s="52">
        <f t="shared" ref="G632:K632" si="700">G663+G693</f>
        <v>0</v>
      </c>
      <c r="H632" s="52">
        <f t="shared" si="700"/>
        <v>0</v>
      </c>
      <c r="I632" s="52">
        <f t="shared" si="700"/>
        <v>0</v>
      </c>
      <c r="J632" s="52">
        <f t="shared" si="700"/>
        <v>0</v>
      </c>
      <c r="K632" s="52">
        <f t="shared" si="700"/>
        <v>0</v>
      </c>
      <c r="L632" s="69">
        <f t="shared" ref="L632:L635" si="701">SUM(F632:K632)</f>
        <v>0</v>
      </c>
      <c r="M632" s="69">
        <f t="shared" ref="M632:M635" si="702">L632/6</f>
        <v>0</v>
      </c>
      <c r="N632" s="52">
        <f>N663+N693</f>
        <v>0</v>
      </c>
      <c r="O632" s="52">
        <f t="shared" ref="O632:S632" si="703">O663+O693</f>
        <v>0</v>
      </c>
      <c r="P632" s="52">
        <f t="shared" si="703"/>
        <v>0</v>
      </c>
      <c r="Q632" s="52">
        <f t="shared" si="703"/>
        <v>0</v>
      </c>
      <c r="R632" s="52">
        <f t="shared" si="703"/>
        <v>0</v>
      </c>
      <c r="S632" s="52">
        <f t="shared" si="703"/>
        <v>0</v>
      </c>
      <c r="T632" s="69">
        <f t="shared" ref="T632:T635" si="704">SUM(N632:S632)</f>
        <v>0</v>
      </c>
      <c r="U632" s="69">
        <f t="shared" ref="U632:U635" si="705">T632+L632</f>
        <v>0</v>
      </c>
      <c r="V632" s="69">
        <f t="shared" ref="V632" si="706">V663+V693</f>
        <v>0</v>
      </c>
      <c r="W632" s="52">
        <f t="shared" ref="W632:W635" si="707">V632-U632</f>
        <v>0</v>
      </c>
    </row>
    <row r="633" spans="1:28" s="130" customFormat="1" ht="18" hidden="1" customHeight="1">
      <c r="A633" s="614"/>
      <c r="B633" s="581"/>
      <c r="C633" s="581"/>
      <c r="D633" s="174" t="str">
        <f>серпень!D556</f>
        <v>разом сума тис. грн+абонплата</v>
      </c>
      <c r="E633" s="52"/>
      <c r="F633" s="52">
        <f>F631+F632</f>
        <v>0</v>
      </c>
      <c r="G633" s="52">
        <f t="shared" ref="G633:K633" si="708">G631+G632</f>
        <v>0</v>
      </c>
      <c r="H633" s="52">
        <f t="shared" si="708"/>
        <v>0</v>
      </c>
      <c r="I633" s="52">
        <f t="shared" si="708"/>
        <v>0</v>
      </c>
      <c r="J633" s="52">
        <f t="shared" si="708"/>
        <v>0</v>
      </c>
      <c r="K633" s="52">
        <f t="shared" si="708"/>
        <v>0</v>
      </c>
      <c r="L633" s="69">
        <f t="shared" si="701"/>
        <v>0</v>
      </c>
      <c r="M633" s="69">
        <f t="shared" si="702"/>
        <v>0</v>
      </c>
      <c r="N633" s="52">
        <f>N631+N632</f>
        <v>0</v>
      </c>
      <c r="O633" s="52">
        <f t="shared" ref="O633" si="709">O631+O632</f>
        <v>0</v>
      </c>
      <c r="P633" s="52">
        <f t="shared" ref="P633" si="710">P631+P632</f>
        <v>0</v>
      </c>
      <c r="Q633" s="52">
        <f t="shared" ref="Q633" si="711">Q631+Q632</f>
        <v>0</v>
      </c>
      <c r="R633" s="52">
        <f t="shared" ref="R633" si="712">R631+R632</f>
        <v>0</v>
      </c>
      <c r="S633" s="52">
        <f t="shared" ref="S633" si="713">S631+S632</f>
        <v>0</v>
      </c>
      <c r="T633" s="69">
        <f t="shared" si="704"/>
        <v>0</v>
      </c>
      <c r="U633" s="69">
        <f t="shared" si="705"/>
        <v>0</v>
      </c>
      <c r="V633" s="69">
        <f t="shared" ref="V633" si="714">V631+V632</f>
        <v>0</v>
      </c>
      <c r="W633" s="52">
        <f t="shared" si="707"/>
        <v>0</v>
      </c>
    </row>
    <row r="634" spans="1:28" s="130" customFormat="1" ht="18" hidden="1" customHeight="1">
      <c r="A634" s="614"/>
      <c r="B634" s="581"/>
      <c r="C634" s="581"/>
      <c r="D634" s="174" t="str">
        <f>серпень!D557</f>
        <v>дотація</v>
      </c>
      <c r="E634" s="56"/>
      <c r="F634" s="52">
        <f>F649+F679</f>
        <v>0</v>
      </c>
      <c r="G634" s="52">
        <f t="shared" ref="G634:K634" si="715">G649+G679</f>
        <v>0</v>
      </c>
      <c r="H634" s="52">
        <f t="shared" si="715"/>
        <v>0</v>
      </c>
      <c r="I634" s="52">
        <f t="shared" si="715"/>
        <v>0</v>
      </c>
      <c r="J634" s="52">
        <f t="shared" si="715"/>
        <v>0</v>
      </c>
      <c r="K634" s="52">
        <f t="shared" si="715"/>
        <v>0</v>
      </c>
      <c r="L634" s="69">
        <f t="shared" si="701"/>
        <v>0</v>
      </c>
      <c r="M634" s="69">
        <f t="shared" si="702"/>
        <v>0</v>
      </c>
      <c r="N634" s="52">
        <f>N649+N679</f>
        <v>0</v>
      </c>
      <c r="O634" s="52">
        <f t="shared" ref="O634:S634" si="716">O649+O679</f>
        <v>0</v>
      </c>
      <c r="P634" s="52">
        <f t="shared" si="716"/>
        <v>0</v>
      </c>
      <c r="Q634" s="52">
        <f t="shared" si="716"/>
        <v>0</v>
      </c>
      <c r="R634" s="52">
        <f t="shared" si="716"/>
        <v>0</v>
      </c>
      <c r="S634" s="52">
        <f t="shared" si="716"/>
        <v>0</v>
      </c>
      <c r="T634" s="69">
        <f t="shared" si="704"/>
        <v>0</v>
      </c>
      <c r="U634" s="69">
        <f t="shared" si="705"/>
        <v>0</v>
      </c>
      <c r="V634" s="69">
        <f t="shared" ref="V634" si="717">V649+V679</f>
        <v>0</v>
      </c>
      <c r="W634" s="52">
        <f t="shared" si="707"/>
        <v>0</v>
      </c>
    </row>
    <row r="635" spans="1:28" s="130" customFormat="1" ht="18" hidden="1" customHeight="1">
      <c r="A635" s="614"/>
      <c r="B635" s="581"/>
      <c r="C635" s="581"/>
      <c r="D635" s="174" t="str">
        <f>серпень!D558</f>
        <v>місцевий (план), тис.грн</v>
      </c>
      <c r="E635" s="56"/>
      <c r="F635" s="52">
        <f>F650+F665+F680+F695</f>
        <v>0</v>
      </c>
      <c r="G635" s="52">
        <f t="shared" ref="G635:K635" si="718">G650+G665+G680+G695</f>
        <v>0</v>
      </c>
      <c r="H635" s="52">
        <f t="shared" si="718"/>
        <v>0</v>
      </c>
      <c r="I635" s="52">
        <f t="shared" si="718"/>
        <v>0</v>
      </c>
      <c r="J635" s="52">
        <f t="shared" si="718"/>
        <v>0</v>
      </c>
      <c r="K635" s="52">
        <f t="shared" si="718"/>
        <v>0</v>
      </c>
      <c r="L635" s="69">
        <f t="shared" si="701"/>
        <v>0</v>
      </c>
      <c r="M635" s="69">
        <f t="shared" si="702"/>
        <v>0</v>
      </c>
      <c r="N635" s="52">
        <f>N650+N665+N680+N695</f>
        <v>0</v>
      </c>
      <c r="O635" s="52">
        <f t="shared" ref="O635:S635" si="719">O650+O665+O680+O695</f>
        <v>0</v>
      </c>
      <c r="P635" s="52">
        <f t="shared" si="719"/>
        <v>0</v>
      </c>
      <c r="Q635" s="52">
        <f t="shared" si="719"/>
        <v>0</v>
      </c>
      <c r="R635" s="52">
        <f t="shared" si="719"/>
        <v>0</v>
      </c>
      <c r="S635" s="52">
        <f t="shared" si="719"/>
        <v>0</v>
      </c>
      <c r="T635" s="69">
        <f t="shared" si="704"/>
        <v>0</v>
      </c>
      <c r="U635" s="69">
        <f t="shared" si="705"/>
        <v>0</v>
      </c>
      <c r="V635" s="69">
        <f t="shared" ref="V635" si="720">V650+V665+V680+V695</f>
        <v>0</v>
      </c>
      <c r="W635" s="52">
        <f t="shared" si="707"/>
        <v>0</v>
      </c>
    </row>
    <row r="636" spans="1:28" s="48" customFormat="1" ht="18" hidden="1" customHeight="1">
      <c r="A636" s="614"/>
      <c r="B636" s="581"/>
      <c r="C636" s="581"/>
      <c r="D636" s="178" t="str">
        <f>серпень!D559</f>
        <v>касові нат.п-ки 2025</v>
      </c>
      <c r="E636" s="11"/>
      <c r="F636" s="11">
        <f t="shared" ref="F636:K636" si="721">F651+F681</f>
        <v>0</v>
      </c>
      <c r="G636" s="11">
        <f t="shared" si="721"/>
        <v>0</v>
      </c>
      <c r="H636" s="11">
        <f t="shared" si="721"/>
        <v>0</v>
      </c>
      <c r="I636" s="11">
        <f t="shared" si="721"/>
        <v>0</v>
      </c>
      <c r="J636" s="11">
        <f t="shared" si="721"/>
        <v>0</v>
      </c>
      <c r="K636" s="11">
        <f t="shared" si="721"/>
        <v>0</v>
      </c>
      <c r="L636" s="65">
        <f>SUM(F636:K636)</f>
        <v>0</v>
      </c>
      <c r="M636" s="65">
        <f>L636/6</f>
        <v>0</v>
      </c>
      <c r="N636" s="11">
        <f t="shared" ref="N636:S636" si="722">N651+N681</f>
        <v>0</v>
      </c>
      <c r="O636" s="11">
        <f t="shared" si="722"/>
        <v>0</v>
      </c>
      <c r="P636" s="11">
        <f t="shared" si="722"/>
        <v>0</v>
      </c>
      <c r="Q636" s="11">
        <f t="shared" si="722"/>
        <v>0</v>
      </c>
      <c r="R636" s="11">
        <f t="shared" si="722"/>
        <v>0</v>
      </c>
      <c r="S636" s="11">
        <f t="shared" si="722"/>
        <v>0</v>
      </c>
      <c r="T636" s="65">
        <f>SUM(N636:S636)</f>
        <v>0</v>
      </c>
      <c r="U636" s="65">
        <f>T636+L636</f>
        <v>0</v>
      </c>
      <c r="V636" s="38">
        <f>V651+V681</f>
        <v>0</v>
      </c>
      <c r="W636" s="38">
        <f>V636-U636</f>
        <v>0</v>
      </c>
      <c r="X636" s="47">
        <f>U629-U636</f>
        <v>0</v>
      </c>
    </row>
    <row r="637" spans="1:28" s="51" customFormat="1" ht="18" hidden="1" customHeight="1">
      <c r="A637" s="614"/>
      <c r="B637" s="581"/>
      <c r="C637" s="581"/>
      <c r="D637" s="187" t="str">
        <f>серпень!D560</f>
        <v>тариф, грн.</v>
      </c>
      <c r="E637" s="49" t="e">
        <f>E638/E636*1000</f>
        <v>#DIV/0!</v>
      </c>
      <c r="F637" s="49" t="e">
        <f t="shared" ref="F637:W637" si="723">F638/F636*1000</f>
        <v>#DIV/0!</v>
      </c>
      <c r="G637" s="49" t="e">
        <f t="shared" si="723"/>
        <v>#DIV/0!</v>
      </c>
      <c r="H637" s="49" t="e">
        <f t="shared" si="723"/>
        <v>#DIV/0!</v>
      </c>
      <c r="I637" s="49" t="e">
        <f t="shared" si="723"/>
        <v>#DIV/0!</v>
      </c>
      <c r="J637" s="49" t="e">
        <f t="shared" si="723"/>
        <v>#DIV/0!</v>
      </c>
      <c r="K637" s="49" t="e">
        <f t="shared" si="723"/>
        <v>#DIV/0!</v>
      </c>
      <c r="L637" s="49" t="e">
        <f t="shared" si="723"/>
        <v>#DIV/0!</v>
      </c>
      <c r="M637" s="49" t="e">
        <f t="shared" si="723"/>
        <v>#DIV/0!</v>
      </c>
      <c r="N637" s="49" t="e">
        <f t="shared" si="723"/>
        <v>#DIV/0!</v>
      </c>
      <c r="O637" s="49" t="e">
        <f t="shared" si="723"/>
        <v>#DIV/0!</v>
      </c>
      <c r="P637" s="49" t="e">
        <f t="shared" si="723"/>
        <v>#DIV/0!</v>
      </c>
      <c r="Q637" s="49" t="e">
        <f t="shared" si="723"/>
        <v>#DIV/0!</v>
      </c>
      <c r="R637" s="49" t="e">
        <f t="shared" si="723"/>
        <v>#DIV/0!</v>
      </c>
      <c r="S637" s="49" t="e">
        <f t="shared" si="723"/>
        <v>#DIV/0!</v>
      </c>
      <c r="T637" s="49" t="e">
        <f t="shared" si="723"/>
        <v>#DIV/0!</v>
      </c>
      <c r="U637" s="49" t="e">
        <f t="shared" si="723"/>
        <v>#DIV/0!</v>
      </c>
      <c r="V637" s="49" t="e">
        <f t="shared" si="723"/>
        <v>#DIV/0!</v>
      </c>
      <c r="W637" s="49" t="e">
        <f t="shared" si="723"/>
        <v>#DIV/0!</v>
      </c>
      <c r="X637" s="59"/>
    </row>
    <row r="638" spans="1:28" s="126" customFormat="1" ht="18" hidden="1" customHeight="1">
      <c r="A638" s="614"/>
      <c r="B638" s="581"/>
      <c r="C638" s="581"/>
      <c r="D638" s="198" t="str">
        <f>серпень!D561</f>
        <v>касові видатки, тис.грн.</v>
      </c>
      <c r="E638" s="71"/>
      <c r="F638" s="61">
        <f t="shared" ref="F638:K643" si="724">F653+F683</f>
        <v>0</v>
      </c>
      <c r="G638" s="61">
        <f t="shared" si="724"/>
        <v>0</v>
      </c>
      <c r="H638" s="61">
        <f t="shared" si="724"/>
        <v>0</v>
      </c>
      <c r="I638" s="61">
        <f t="shared" si="724"/>
        <v>0</v>
      </c>
      <c r="J638" s="61">
        <f t="shared" si="724"/>
        <v>0</v>
      </c>
      <c r="K638" s="61">
        <f t="shared" si="724"/>
        <v>0</v>
      </c>
      <c r="L638" s="61">
        <f>SUM(F638:K638)</f>
        <v>0</v>
      </c>
      <c r="M638" s="61">
        <f>L638/6</f>
        <v>0</v>
      </c>
      <c r="N638" s="61">
        <f t="shared" ref="N638:S643" si="725">N653+N683</f>
        <v>0</v>
      </c>
      <c r="O638" s="61">
        <f t="shared" si="725"/>
        <v>0</v>
      </c>
      <c r="P638" s="61">
        <f t="shared" si="725"/>
        <v>0</v>
      </c>
      <c r="Q638" s="61">
        <f t="shared" si="725"/>
        <v>0</v>
      </c>
      <c r="R638" s="61">
        <f t="shared" si="725"/>
        <v>0</v>
      </c>
      <c r="S638" s="61">
        <f t="shared" si="725"/>
        <v>0</v>
      </c>
      <c r="T638" s="61">
        <f>SUM(N638:S638)</f>
        <v>0</v>
      </c>
      <c r="U638" s="61">
        <f>T638+L638</f>
        <v>0</v>
      </c>
      <c r="V638" s="61">
        <f>V653+V683</f>
        <v>0</v>
      </c>
      <c r="W638" s="72">
        <f>V638-U638</f>
        <v>0</v>
      </c>
      <c r="X638" s="63">
        <f>U631-U638</f>
        <v>0</v>
      </c>
    </row>
    <row r="639" spans="1:28" s="126" customFormat="1" ht="18" hidden="1" customHeight="1">
      <c r="A639" s="614"/>
      <c r="B639" s="581"/>
      <c r="C639" s="581"/>
      <c r="D639" s="201" t="str">
        <f>серпень!D562</f>
        <v>дотація</v>
      </c>
      <c r="E639" s="71"/>
      <c r="F639" s="61">
        <f t="shared" si="724"/>
        <v>0</v>
      </c>
      <c r="G639" s="61">
        <f t="shared" si="724"/>
        <v>0</v>
      </c>
      <c r="H639" s="61">
        <f t="shared" si="724"/>
        <v>0</v>
      </c>
      <c r="I639" s="61">
        <f t="shared" si="724"/>
        <v>0</v>
      </c>
      <c r="J639" s="61">
        <f t="shared" si="724"/>
        <v>0</v>
      </c>
      <c r="K639" s="61">
        <f t="shared" si="724"/>
        <v>0</v>
      </c>
      <c r="L639" s="61">
        <f>SUM(F639:K639)</f>
        <v>0</v>
      </c>
      <c r="M639" s="61">
        <f>L639/6</f>
        <v>0</v>
      </c>
      <c r="N639" s="61">
        <f t="shared" si="725"/>
        <v>0</v>
      </c>
      <c r="O639" s="61">
        <f t="shared" si="725"/>
        <v>0</v>
      </c>
      <c r="P639" s="61">
        <f t="shared" si="725"/>
        <v>0</v>
      </c>
      <c r="Q639" s="61">
        <f t="shared" si="725"/>
        <v>0</v>
      </c>
      <c r="R639" s="61">
        <f t="shared" si="725"/>
        <v>0</v>
      </c>
      <c r="S639" s="61">
        <f t="shared" si="725"/>
        <v>0</v>
      </c>
      <c r="T639" s="61">
        <f>SUM(N639:S639)</f>
        <v>0</v>
      </c>
      <c r="U639" s="61">
        <f>T639+L639</f>
        <v>0</v>
      </c>
      <c r="V639" s="61">
        <f>V654+V684</f>
        <v>0</v>
      </c>
      <c r="W639" s="72">
        <f>V639-U639</f>
        <v>0</v>
      </c>
      <c r="X639" s="63"/>
    </row>
    <row r="640" spans="1:28" s="126" customFormat="1" ht="18" hidden="1" customHeight="1">
      <c r="A640" s="614"/>
      <c r="B640" s="581"/>
      <c r="C640" s="581"/>
      <c r="D640" s="201" t="str">
        <f>серпень!D563</f>
        <v xml:space="preserve">місцевий </v>
      </c>
      <c r="E640" s="71"/>
      <c r="F640" s="61">
        <f t="shared" si="724"/>
        <v>0</v>
      </c>
      <c r="G640" s="61">
        <f t="shared" si="724"/>
        <v>0</v>
      </c>
      <c r="H640" s="61">
        <f t="shared" si="724"/>
        <v>0</v>
      </c>
      <c r="I640" s="61">
        <f t="shared" si="724"/>
        <v>0</v>
      </c>
      <c r="J640" s="61">
        <f t="shared" si="724"/>
        <v>0</v>
      </c>
      <c r="K640" s="61">
        <f t="shared" si="724"/>
        <v>0</v>
      </c>
      <c r="L640" s="61">
        <f>SUM(F640:K640)</f>
        <v>0</v>
      </c>
      <c r="M640" s="61">
        <f>L640/6</f>
        <v>0</v>
      </c>
      <c r="N640" s="61">
        <f t="shared" si="725"/>
        <v>0</v>
      </c>
      <c r="O640" s="61">
        <f t="shared" si="725"/>
        <v>0</v>
      </c>
      <c r="P640" s="61">
        <f t="shared" si="725"/>
        <v>0</v>
      </c>
      <c r="Q640" s="61">
        <f t="shared" si="725"/>
        <v>0</v>
      </c>
      <c r="R640" s="61">
        <f t="shared" si="725"/>
        <v>0</v>
      </c>
      <c r="S640" s="61">
        <f t="shared" si="725"/>
        <v>0</v>
      </c>
      <c r="T640" s="61">
        <f>SUM(N640:S640)</f>
        <v>0</v>
      </c>
      <c r="U640" s="61">
        <f>T640+L640</f>
        <v>0</v>
      </c>
      <c r="V640" s="61">
        <f>V655+V685</f>
        <v>0</v>
      </c>
      <c r="W640" s="72">
        <f>V640-U640</f>
        <v>0</v>
      </c>
      <c r="X640" s="63">
        <f>U635-U640</f>
        <v>0</v>
      </c>
    </row>
    <row r="641" spans="1:28" s="43" customFormat="1" ht="18" hidden="1" customHeight="1">
      <c r="A641" s="614"/>
      <c r="B641" s="581"/>
      <c r="C641" s="581"/>
      <c r="D641" s="202" t="str">
        <f>серпень!D564</f>
        <v>план</v>
      </c>
      <c r="E641" s="42"/>
      <c r="F641" s="42">
        <f t="shared" si="724"/>
        <v>0</v>
      </c>
      <c r="G641" s="42">
        <f t="shared" si="724"/>
        <v>0</v>
      </c>
      <c r="H641" s="42">
        <f t="shared" si="724"/>
        <v>0</v>
      </c>
      <c r="I641" s="42">
        <f t="shared" si="724"/>
        <v>0</v>
      </c>
      <c r="J641" s="42">
        <f t="shared" si="724"/>
        <v>0</v>
      </c>
      <c r="K641" s="42">
        <f t="shared" si="724"/>
        <v>0</v>
      </c>
      <c r="L641" s="42">
        <f>SUM(F641:K641)</f>
        <v>0</v>
      </c>
      <c r="M641" s="42">
        <f>L641/6</f>
        <v>0</v>
      </c>
      <c r="N641" s="42">
        <f t="shared" si="725"/>
        <v>0</v>
      </c>
      <c r="O641" s="42">
        <f t="shared" si="725"/>
        <v>0</v>
      </c>
      <c r="P641" s="42">
        <f t="shared" si="725"/>
        <v>0</v>
      </c>
      <c r="Q641" s="42">
        <f t="shared" si="725"/>
        <v>0</v>
      </c>
      <c r="R641" s="42">
        <f t="shared" si="725"/>
        <v>0</v>
      </c>
      <c r="S641" s="42">
        <f t="shared" si="725"/>
        <v>0</v>
      </c>
      <c r="T641" s="42">
        <f>SUM(N641:S641)</f>
        <v>0</v>
      </c>
      <c r="U641" s="42">
        <f>T641+L641</f>
        <v>0</v>
      </c>
      <c r="V641" s="42">
        <f>V656+V686</f>
        <v>0</v>
      </c>
      <c r="W641" s="42">
        <f>V641-U641</f>
        <v>0</v>
      </c>
    </row>
    <row r="642" spans="1:28" s="43" customFormat="1" ht="18" hidden="1" customHeight="1">
      <c r="A642" s="614"/>
      <c r="B642" s="581"/>
      <c r="C642" s="581"/>
      <c r="D642" s="202" t="str">
        <f>серпень!D565</f>
        <v xml:space="preserve">відхилення </v>
      </c>
      <c r="E642" s="42"/>
      <c r="F642" s="42">
        <f t="shared" si="724"/>
        <v>0</v>
      </c>
      <c r="G642" s="42">
        <f t="shared" si="724"/>
        <v>0</v>
      </c>
      <c r="H642" s="42">
        <f t="shared" si="724"/>
        <v>0</v>
      </c>
      <c r="I642" s="42">
        <f t="shared" si="724"/>
        <v>0</v>
      </c>
      <c r="J642" s="42">
        <f t="shared" si="724"/>
        <v>0</v>
      </c>
      <c r="K642" s="42">
        <f t="shared" si="724"/>
        <v>0</v>
      </c>
      <c r="L642" s="42"/>
      <c r="M642" s="42"/>
      <c r="N642" s="42">
        <f t="shared" si="725"/>
        <v>0</v>
      </c>
      <c r="O642" s="42">
        <f t="shared" si="725"/>
        <v>0</v>
      </c>
      <c r="P642" s="42">
        <f t="shared" si="725"/>
        <v>0</v>
      </c>
      <c r="Q642" s="42">
        <f t="shared" si="725"/>
        <v>0</v>
      </c>
      <c r="R642" s="42">
        <f t="shared" si="725"/>
        <v>0</v>
      </c>
      <c r="S642" s="42">
        <f t="shared" si="725"/>
        <v>0</v>
      </c>
      <c r="T642" s="42"/>
      <c r="U642" s="42"/>
      <c r="V642" s="42"/>
      <c r="W642" s="42"/>
    </row>
    <row r="643" spans="1:28" s="43" customFormat="1" ht="18" hidden="1" customHeight="1">
      <c r="A643" s="614"/>
      <c r="B643" s="581"/>
      <c r="C643" s="581"/>
      <c r="D643" s="202" t="str">
        <f>серпень!D566</f>
        <v>відхилення з наростаючим</v>
      </c>
      <c r="E643" s="42"/>
      <c r="F643" s="42">
        <f t="shared" si="724"/>
        <v>0</v>
      </c>
      <c r="G643" s="42">
        <f t="shared" si="724"/>
        <v>0</v>
      </c>
      <c r="H643" s="42">
        <f t="shared" si="724"/>
        <v>0</v>
      </c>
      <c r="I643" s="42">
        <f t="shared" si="724"/>
        <v>0</v>
      </c>
      <c r="J643" s="42">
        <f t="shared" si="724"/>
        <v>0</v>
      </c>
      <c r="K643" s="42">
        <f t="shared" si="724"/>
        <v>0</v>
      </c>
      <c r="L643" s="42"/>
      <c r="M643" s="42"/>
      <c r="N643" s="42">
        <f t="shared" si="725"/>
        <v>0</v>
      </c>
      <c r="O643" s="42">
        <f t="shared" si="725"/>
        <v>0</v>
      </c>
      <c r="P643" s="42">
        <f t="shared" si="725"/>
        <v>0</v>
      </c>
      <c r="Q643" s="42">
        <f t="shared" si="725"/>
        <v>0</v>
      </c>
      <c r="R643" s="42">
        <f t="shared" si="725"/>
        <v>0</v>
      </c>
      <c r="S643" s="42">
        <f t="shared" si="725"/>
        <v>0</v>
      </c>
      <c r="T643" s="42"/>
      <c r="U643" s="42"/>
      <c r="V643" s="42"/>
      <c r="W643" s="42"/>
    </row>
    <row r="644" spans="1:28" s="55" customFormat="1" ht="18" hidden="1" customHeight="1">
      <c r="A644" s="614"/>
      <c r="B644" s="581" t="s">
        <v>67</v>
      </c>
      <c r="C644" s="581"/>
      <c r="D644" s="178" t="str">
        <f>серпень!D567</f>
        <v>факт. нат.п-ки 2023</v>
      </c>
      <c r="E644" s="11"/>
      <c r="F644" s="12"/>
      <c r="G644" s="12"/>
      <c r="H644" s="12"/>
      <c r="I644" s="12"/>
      <c r="J644" s="12"/>
      <c r="K644" s="12"/>
      <c r="L644" s="65">
        <f>SUM(F644:K644)</f>
        <v>0</v>
      </c>
      <c r="M644" s="65">
        <f>L644/6</f>
        <v>0</v>
      </c>
      <c r="N644" s="12"/>
      <c r="O644" s="12"/>
      <c r="P644" s="12"/>
      <c r="Q644" s="12"/>
      <c r="R644" s="12"/>
      <c r="S644" s="12"/>
      <c r="T644" s="65">
        <f>SUM(N644:S644)</f>
        <v>0</v>
      </c>
      <c r="U644" s="66">
        <f>T644+L644</f>
        <v>0</v>
      </c>
      <c r="V644" s="67"/>
      <c r="W644" s="38">
        <f>V644-U644</f>
        <v>0</v>
      </c>
      <c r="X644" s="47"/>
      <c r="Y644" s="48"/>
      <c r="Z644" s="48"/>
      <c r="AA644" s="48"/>
      <c r="AB644" s="48"/>
    </row>
    <row r="645" spans="1:28" s="48" customFormat="1" ht="18" hidden="1" customHeight="1">
      <c r="A645" s="614"/>
      <c r="B645" s="581"/>
      <c r="C645" s="581"/>
      <c r="D645" s="178" t="str">
        <f>серпень!D568</f>
        <v>факт. нат.п-ки 2024</v>
      </c>
      <c r="E645" s="11"/>
      <c r="F645" s="12"/>
      <c r="G645" s="12"/>
      <c r="H645" s="12"/>
      <c r="I645" s="12"/>
      <c r="J645" s="12"/>
      <c r="K645" s="12"/>
      <c r="L645" s="65">
        <f>SUM(F645:K645)</f>
        <v>0</v>
      </c>
      <c r="M645" s="65">
        <f>L645/6</f>
        <v>0</v>
      </c>
      <c r="N645" s="11"/>
      <c r="O645" s="11"/>
      <c r="P645" s="11"/>
      <c r="Q645" s="11"/>
      <c r="R645" s="11"/>
      <c r="S645" s="11"/>
      <c r="T645" s="65">
        <f>SUM(N645:S645)</f>
        <v>0</v>
      </c>
      <c r="U645" s="66">
        <f>T645+L645</f>
        <v>0</v>
      </c>
      <c r="V645" s="67"/>
      <c r="W645" s="38">
        <f>V645-U645</f>
        <v>0</v>
      </c>
      <c r="X645" s="47"/>
    </row>
    <row r="646" spans="1:28" s="48" customFormat="1" ht="18" hidden="1" customHeight="1">
      <c r="A646" s="614"/>
      <c r="B646" s="581"/>
      <c r="C646" s="581"/>
      <c r="D646" s="178" t="str">
        <f>серпень!D569</f>
        <v>факт. нат.п-ки 2025</v>
      </c>
      <c r="E646" s="11"/>
      <c r="F646" s="12"/>
      <c r="G646" s="12"/>
      <c r="H646" s="12"/>
      <c r="I646" s="12"/>
      <c r="J646" s="12"/>
      <c r="K646" s="12"/>
      <c r="L646" s="65">
        <f>SUM(F646:K646)</f>
        <v>0</v>
      </c>
      <c r="M646" s="65">
        <f>L646/6</f>
        <v>0</v>
      </c>
      <c r="N646" s="12"/>
      <c r="O646" s="12"/>
      <c r="P646" s="12"/>
      <c r="Q646" s="12"/>
      <c r="R646" s="12"/>
      <c r="S646" s="11"/>
      <c r="T646" s="65">
        <f>SUM(N646:S646)</f>
        <v>0</v>
      </c>
      <c r="U646" s="66">
        <f>T646+L646</f>
        <v>0</v>
      </c>
      <c r="V646" s="11"/>
      <c r="W646" s="38">
        <f>V646-U646</f>
        <v>0</v>
      </c>
      <c r="X646" s="47"/>
    </row>
    <row r="647" spans="1:28" s="51" customFormat="1" ht="18" hidden="1" customHeight="1">
      <c r="A647" s="614"/>
      <c r="B647" s="581"/>
      <c r="C647" s="581"/>
      <c r="D647" s="187" t="str">
        <f>серпень!D570</f>
        <v>тариф, грн.</v>
      </c>
      <c r="E647" s="49"/>
      <c r="F647" s="49">
        <v>127.2</v>
      </c>
      <c r="G647" s="49">
        <v>127.2</v>
      </c>
      <c r="H647" s="49">
        <v>127.2</v>
      </c>
      <c r="I647" s="49">
        <v>127.2</v>
      </c>
      <c r="J647" s="49">
        <v>127.2</v>
      </c>
      <c r="K647" s="49">
        <v>127.2</v>
      </c>
      <c r="L647" s="49" t="e">
        <f>L648/L646*1000</f>
        <v>#DIV/0!</v>
      </c>
      <c r="M647" s="49" t="e">
        <f>M648/M646*1000</f>
        <v>#DIV/0!</v>
      </c>
      <c r="N647" s="49">
        <v>127.2</v>
      </c>
      <c r="O647" s="49">
        <v>127.2</v>
      </c>
      <c r="P647" s="49">
        <v>127.2</v>
      </c>
      <c r="Q647" s="49">
        <v>127.2</v>
      </c>
      <c r="R647" s="49">
        <v>127.2</v>
      </c>
      <c r="S647" s="49">
        <v>127.2</v>
      </c>
      <c r="T647" s="49" t="e">
        <f>T648/T646*1000</f>
        <v>#DIV/0!</v>
      </c>
      <c r="U647" s="49" t="e">
        <f>U648/U646*1000</f>
        <v>#DIV/0!</v>
      </c>
      <c r="V647" s="68" t="e">
        <f>V648/V646*1000</f>
        <v>#DIV/0!</v>
      </c>
      <c r="W647" s="14" t="e">
        <f>W648/W646*1000</f>
        <v>#DIV/0!</v>
      </c>
      <c r="X647" s="59"/>
    </row>
    <row r="648" spans="1:28" s="130" customFormat="1" ht="18" hidden="1" customHeight="1">
      <c r="A648" s="614"/>
      <c r="B648" s="581"/>
      <c r="C648" s="581"/>
      <c r="D648" s="191" t="str">
        <f>серпень!D571</f>
        <v>сума, тис.грн.</v>
      </c>
      <c r="E648" s="52"/>
      <c r="F648" s="52">
        <f t="shared" ref="F648:K648" si="726">F646*F647/1000</f>
        <v>0</v>
      </c>
      <c r="G648" s="52">
        <f t="shared" si="726"/>
        <v>0</v>
      </c>
      <c r="H648" s="52">
        <f t="shared" si="726"/>
        <v>0</v>
      </c>
      <c r="I648" s="52">
        <f t="shared" si="726"/>
        <v>0</v>
      </c>
      <c r="J648" s="52">
        <f t="shared" si="726"/>
        <v>0</v>
      </c>
      <c r="K648" s="52">
        <f t="shared" si="726"/>
        <v>0</v>
      </c>
      <c r="L648" s="69">
        <f>SUM(F648:K648)</f>
        <v>0</v>
      </c>
      <c r="M648" s="69">
        <f>L648/6</f>
        <v>0</v>
      </c>
      <c r="N648" s="52">
        <f t="shared" ref="N648:S648" si="727">N646*N647/1000</f>
        <v>0</v>
      </c>
      <c r="O648" s="52">
        <f t="shared" si="727"/>
        <v>0</v>
      </c>
      <c r="P648" s="52">
        <f t="shared" si="727"/>
        <v>0</v>
      </c>
      <c r="Q648" s="52">
        <f t="shared" si="727"/>
        <v>0</v>
      </c>
      <c r="R648" s="52">
        <f t="shared" si="727"/>
        <v>0</v>
      </c>
      <c r="S648" s="52">
        <f t="shared" si="727"/>
        <v>0</v>
      </c>
      <c r="T648" s="69">
        <f>SUM(N648:S648)</f>
        <v>0</v>
      </c>
      <c r="U648" s="69">
        <f>T648+L648</f>
        <v>0</v>
      </c>
      <c r="V648" s="70">
        <f>V649+V650</f>
        <v>0</v>
      </c>
      <c r="W648" s="53">
        <f>V648-U648</f>
        <v>0</v>
      </c>
    </row>
    <row r="649" spans="1:28" s="130" customFormat="1" ht="18" hidden="1" customHeight="1">
      <c r="A649" s="614"/>
      <c r="B649" s="581"/>
      <c r="C649" s="581"/>
      <c r="D649" s="174" t="str">
        <f>серпень!D572</f>
        <v>дотація</v>
      </c>
      <c r="E649" s="56"/>
      <c r="F649" s="52"/>
      <c r="G649" s="52"/>
      <c r="H649" s="52"/>
      <c r="I649" s="52"/>
      <c r="J649" s="52"/>
      <c r="K649" s="52"/>
      <c r="L649" s="69">
        <f>SUM(F649:K649)</f>
        <v>0</v>
      </c>
      <c r="M649" s="69">
        <f>L649/6</f>
        <v>0</v>
      </c>
      <c r="N649" s="52"/>
      <c r="O649" s="52"/>
      <c r="P649" s="52"/>
      <c r="Q649" s="52"/>
      <c r="R649" s="52"/>
      <c r="S649" s="52"/>
      <c r="T649" s="69">
        <f>SUM(N649:S649)</f>
        <v>0</v>
      </c>
      <c r="U649" s="69">
        <f>T649+L649</f>
        <v>0</v>
      </c>
      <c r="V649" s="70">
        <v>0</v>
      </c>
      <c r="W649" s="53">
        <f>V649-U649</f>
        <v>0</v>
      </c>
    </row>
    <row r="650" spans="1:28" s="130" customFormat="1" ht="18" hidden="1" customHeight="1">
      <c r="A650" s="614"/>
      <c r="B650" s="581"/>
      <c r="C650" s="581"/>
      <c r="D650" s="174" t="str">
        <f>серпень!D573</f>
        <v>місцевий (план), тис.грн</v>
      </c>
      <c r="E650" s="56"/>
      <c r="F650" s="52"/>
      <c r="G650" s="52"/>
      <c r="H650" s="52"/>
      <c r="I650" s="52"/>
      <c r="J650" s="52"/>
      <c r="K650" s="52"/>
      <c r="L650" s="69">
        <f>SUM(F650:K650)</f>
        <v>0</v>
      </c>
      <c r="M650" s="69">
        <f>L650/6</f>
        <v>0</v>
      </c>
      <c r="N650" s="52"/>
      <c r="O650" s="52"/>
      <c r="P650" s="52"/>
      <c r="Q650" s="52"/>
      <c r="R650" s="52"/>
      <c r="S650" s="52"/>
      <c r="T650" s="69">
        <f>SUM(N650:S650)</f>
        <v>0</v>
      </c>
      <c r="U650" s="69">
        <f>T650+L650</f>
        <v>0</v>
      </c>
      <c r="V650" s="70"/>
      <c r="W650" s="53">
        <f>V650-U650</f>
        <v>0</v>
      </c>
    </row>
    <row r="651" spans="1:28" s="48" customFormat="1" ht="18" hidden="1" customHeight="1">
      <c r="A651" s="614"/>
      <c r="B651" s="581"/>
      <c r="C651" s="581"/>
      <c r="D651" s="178" t="str">
        <f>серпень!D574</f>
        <v>касові нат.п-ки 2025</v>
      </c>
      <c r="E651" s="11"/>
      <c r="F651" s="11"/>
      <c r="G651" s="11"/>
      <c r="H651" s="11"/>
      <c r="I651" s="11"/>
      <c r="J651" s="11"/>
      <c r="K651" s="11"/>
      <c r="L651" s="65">
        <f>SUM(F651:K651)</f>
        <v>0</v>
      </c>
      <c r="M651" s="65">
        <f>L651/6</f>
        <v>0</v>
      </c>
      <c r="N651" s="11"/>
      <c r="O651" s="11"/>
      <c r="P651" s="11"/>
      <c r="Q651" s="11"/>
      <c r="R651" s="11"/>
      <c r="S651" s="11"/>
      <c r="T651" s="65">
        <f>SUM(N651:S651)</f>
        <v>0</v>
      </c>
      <c r="U651" s="65">
        <f>T651+L651</f>
        <v>0</v>
      </c>
      <c r="V651" s="11">
        <f>V646</f>
        <v>0</v>
      </c>
      <c r="W651" s="38">
        <f>V651-U651</f>
        <v>0</v>
      </c>
      <c r="X651" s="47">
        <f>U646-U651</f>
        <v>0</v>
      </c>
    </row>
    <row r="652" spans="1:28" s="51" customFormat="1" ht="18" hidden="1" customHeight="1">
      <c r="A652" s="614"/>
      <c r="B652" s="581"/>
      <c r="C652" s="581"/>
      <c r="D652" s="187" t="str">
        <f>серпень!D575</f>
        <v>тариф, грн.</v>
      </c>
      <c r="E652" s="49" t="e">
        <f>E653/E651*1000</f>
        <v>#DIV/0!</v>
      </c>
      <c r="F652" s="49">
        <v>127.2</v>
      </c>
      <c r="G652" s="49">
        <v>127.2</v>
      </c>
      <c r="H652" s="49">
        <v>127.2</v>
      </c>
      <c r="I652" s="49">
        <v>127.2</v>
      </c>
      <c r="J652" s="49">
        <v>127.2</v>
      </c>
      <c r="K652" s="49">
        <v>127.2</v>
      </c>
      <c r="L652" s="49" t="e">
        <f>L653/L651*1000</f>
        <v>#DIV/0!</v>
      </c>
      <c r="M652" s="49" t="e">
        <f>M653/M651*1000</f>
        <v>#DIV/0!</v>
      </c>
      <c r="N652" s="49">
        <v>127.2</v>
      </c>
      <c r="O652" s="49">
        <v>127.2</v>
      </c>
      <c r="P652" s="49">
        <v>127.2</v>
      </c>
      <c r="Q652" s="49">
        <v>127.2</v>
      </c>
      <c r="R652" s="49">
        <v>127.2</v>
      </c>
      <c r="S652" s="49">
        <v>127.2</v>
      </c>
      <c r="T652" s="49" t="e">
        <f>T653/T651*1000</f>
        <v>#DIV/0!</v>
      </c>
      <c r="U652" s="49" t="e">
        <f>U653/U651*1000</f>
        <v>#DIV/0!</v>
      </c>
      <c r="V652" s="68" t="e">
        <f>V653/V651*1000</f>
        <v>#DIV/0!</v>
      </c>
      <c r="W652" s="14" t="e">
        <f>W653/W651*1000</f>
        <v>#DIV/0!</v>
      </c>
      <c r="X652" s="59"/>
    </row>
    <row r="653" spans="1:28" s="126" customFormat="1" ht="18" hidden="1" customHeight="1">
      <c r="A653" s="614"/>
      <c r="B653" s="581"/>
      <c r="C653" s="581"/>
      <c r="D653" s="198" t="str">
        <f>серпень!D576</f>
        <v>касові видатки, тис.грн.</v>
      </c>
      <c r="E653" s="71"/>
      <c r="F653" s="61">
        <f t="shared" ref="F653:K653" si="728">F651*F652/1000</f>
        <v>0</v>
      </c>
      <c r="G653" s="61">
        <f t="shared" si="728"/>
        <v>0</v>
      </c>
      <c r="H653" s="61">
        <f t="shared" si="728"/>
        <v>0</v>
      </c>
      <c r="I653" s="61">
        <f t="shared" si="728"/>
        <v>0</v>
      </c>
      <c r="J653" s="61">
        <f t="shared" si="728"/>
        <v>0</v>
      </c>
      <c r="K653" s="61">
        <f t="shared" si="728"/>
        <v>0</v>
      </c>
      <c r="L653" s="61">
        <f>SUM(F653:K653)</f>
        <v>0</v>
      </c>
      <c r="M653" s="61">
        <f>L653/6</f>
        <v>0</v>
      </c>
      <c r="N653" s="61">
        <f t="shared" ref="N653:S653" si="729">N651*N652/1000</f>
        <v>0</v>
      </c>
      <c r="O653" s="61">
        <f t="shared" si="729"/>
        <v>0</v>
      </c>
      <c r="P653" s="61">
        <f t="shared" si="729"/>
        <v>0</v>
      </c>
      <c r="Q653" s="61">
        <f t="shared" si="729"/>
        <v>0</v>
      </c>
      <c r="R653" s="61">
        <f t="shared" si="729"/>
        <v>0</v>
      </c>
      <c r="S653" s="61">
        <f t="shared" si="729"/>
        <v>0</v>
      </c>
      <c r="T653" s="61">
        <f>SUM(N653:S653)</f>
        <v>0</v>
      </c>
      <c r="U653" s="61">
        <f>T653+L653</f>
        <v>0</v>
      </c>
      <c r="V653" s="61">
        <f>V648</f>
        <v>0</v>
      </c>
      <c r="W653" s="72">
        <f>V653-U653</f>
        <v>0</v>
      </c>
      <c r="X653" s="63">
        <f>U648-U653</f>
        <v>0</v>
      </c>
    </row>
    <row r="654" spans="1:28" s="126" customFormat="1" ht="18" hidden="1" customHeight="1">
      <c r="A654" s="614"/>
      <c r="B654" s="581"/>
      <c r="C654" s="581"/>
      <c r="D654" s="201" t="str">
        <f>серпень!D577</f>
        <v>дотація</v>
      </c>
      <c r="E654" s="71"/>
      <c r="F654" s="61"/>
      <c r="G654" s="61"/>
      <c r="H654" s="61"/>
      <c r="I654" s="61"/>
      <c r="J654" s="61"/>
      <c r="K654" s="61"/>
      <c r="L654" s="61">
        <f>SUM(F654:K654)</f>
        <v>0</v>
      </c>
      <c r="M654" s="61">
        <f>L654/6</f>
        <v>0</v>
      </c>
      <c r="N654" s="61"/>
      <c r="O654" s="61"/>
      <c r="P654" s="61"/>
      <c r="Q654" s="61"/>
      <c r="R654" s="61"/>
      <c r="S654" s="61"/>
      <c r="T654" s="61">
        <f>SUM(N654:S654)</f>
        <v>0</v>
      </c>
      <c r="U654" s="61">
        <f>T654+L654</f>
        <v>0</v>
      </c>
      <c r="V654" s="61">
        <f>V649</f>
        <v>0</v>
      </c>
      <c r="W654" s="72">
        <f>V654-U654</f>
        <v>0</v>
      </c>
      <c r="X654" s="63"/>
    </row>
    <row r="655" spans="1:28" s="126" customFormat="1" ht="18" hidden="1" customHeight="1">
      <c r="A655" s="614"/>
      <c r="B655" s="581"/>
      <c r="C655" s="581"/>
      <c r="D655" s="201" t="str">
        <f>серпень!D578</f>
        <v xml:space="preserve">місцевий </v>
      </c>
      <c r="E655" s="71"/>
      <c r="F655" s="61">
        <f t="shared" ref="F655:K655" si="730">F653-F654</f>
        <v>0</v>
      </c>
      <c r="G655" s="61">
        <f t="shared" si="730"/>
        <v>0</v>
      </c>
      <c r="H655" s="61">
        <f t="shared" si="730"/>
        <v>0</v>
      </c>
      <c r="I655" s="61">
        <f t="shared" si="730"/>
        <v>0</v>
      </c>
      <c r="J655" s="61">
        <f t="shared" si="730"/>
        <v>0</v>
      </c>
      <c r="K655" s="61">
        <f t="shared" si="730"/>
        <v>0</v>
      </c>
      <c r="L655" s="61">
        <f>SUM(F655:K655)</f>
        <v>0</v>
      </c>
      <c r="M655" s="61">
        <f>L655/6</f>
        <v>0</v>
      </c>
      <c r="N655" s="61">
        <f t="shared" ref="N655:S655" si="731">N653-N654</f>
        <v>0</v>
      </c>
      <c r="O655" s="61">
        <f t="shared" si="731"/>
        <v>0</v>
      </c>
      <c r="P655" s="61">
        <f t="shared" si="731"/>
        <v>0</v>
      </c>
      <c r="Q655" s="61">
        <f t="shared" si="731"/>
        <v>0</v>
      </c>
      <c r="R655" s="61">
        <f t="shared" si="731"/>
        <v>0</v>
      </c>
      <c r="S655" s="61">
        <f t="shared" si="731"/>
        <v>0</v>
      </c>
      <c r="T655" s="61">
        <f>SUM(N655:S655)</f>
        <v>0</v>
      </c>
      <c r="U655" s="61">
        <f>T655+L655</f>
        <v>0</v>
      </c>
      <c r="V655" s="61">
        <f>V650</f>
        <v>0</v>
      </c>
      <c r="W655" s="72">
        <f>V655-U655</f>
        <v>0</v>
      </c>
      <c r="X655" s="63">
        <f>U650-U655</f>
        <v>0</v>
      </c>
    </row>
    <row r="656" spans="1:28" s="43" customFormat="1" ht="18" hidden="1" customHeight="1">
      <c r="A656" s="614"/>
      <c r="B656" s="581"/>
      <c r="C656" s="581"/>
      <c r="D656" s="202" t="str">
        <f>серпень!D579</f>
        <v>план</v>
      </c>
      <c r="E656" s="42"/>
      <c r="F656" s="42">
        <f t="shared" ref="F656:K656" si="732">F650</f>
        <v>0</v>
      </c>
      <c r="G656" s="42">
        <f t="shared" si="732"/>
        <v>0</v>
      </c>
      <c r="H656" s="42">
        <f t="shared" si="732"/>
        <v>0</v>
      </c>
      <c r="I656" s="42">
        <f t="shared" si="732"/>
        <v>0</v>
      </c>
      <c r="J656" s="42">
        <f t="shared" si="732"/>
        <v>0</v>
      </c>
      <c r="K656" s="42">
        <f t="shared" si="732"/>
        <v>0</v>
      </c>
      <c r="L656" s="42">
        <f>SUM(F656:K656)</f>
        <v>0</v>
      </c>
      <c r="M656" s="42">
        <f>L656/6</f>
        <v>0</v>
      </c>
      <c r="N656" s="42">
        <f t="shared" ref="N656:S656" si="733">N650+N649</f>
        <v>0</v>
      </c>
      <c r="O656" s="42">
        <f t="shared" si="733"/>
        <v>0</v>
      </c>
      <c r="P656" s="42">
        <f t="shared" si="733"/>
        <v>0</v>
      </c>
      <c r="Q656" s="42">
        <f t="shared" si="733"/>
        <v>0</v>
      </c>
      <c r="R656" s="42">
        <f t="shared" si="733"/>
        <v>0</v>
      </c>
      <c r="S656" s="42">
        <f t="shared" si="733"/>
        <v>0</v>
      </c>
      <c r="T656" s="42">
        <f>SUM(N656:S656)</f>
        <v>0</v>
      </c>
      <c r="U656" s="42">
        <f>T656+L656</f>
        <v>0</v>
      </c>
      <c r="V656" s="42">
        <f>V653</f>
        <v>0</v>
      </c>
      <c r="W656" s="42">
        <f>V656-U656</f>
        <v>0</v>
      </c>
    </row>
    <row r="657" spans="1:28" s="43" customFormat="1" ht="18" hidden="1" customHeight="1">
      <c r="A657" s="614"/>
      <c r="B657" s="581"/>
      <c r="C657" s="581"/>
      <c r="D657" s="202" t="str">
        <f>серпень!D580</f>
        <v xml:space="preserve">відхилення </v>
      </c>
      <c r="E657" s="42"/>
      <c r="F657" s="42">
        <f t="shared" ref="F657:K657" si="734">F653-F656</f>
        <v>0</v>
      </c>
      <c r="G657" s="42">
        <f t="shared" si="734"/>
        <v>0</v>
      </c>
      <c r="H657" s="42">
        <f t="shared" si="734"/>
        <v>0</v>
      </c>
      <c r="I657" s="42">
        <f t="shared" si="734"/>
        <v>0</v>
      </c>
      <c r="J657" s="42">
        <f t="shared" si="734"/>
        <v>0</v>
      </c>
      <c r="K657" s="42">
        <f t="shared" si="734"/>
        <v>0</v>
      </c>
      <c r="L657" s="42"/>
      <c r="M657" s="42"/>
      <c r="N657" s="42">
        <f t="shared" ref="N657:S657" si="735">N653-N656</f>
        <v>0</v>
      </c>
      <c r="O657" s="42">
        <f t="shared" si="735"/>
        <v>0</v>
      </c>
      <c r="P657" s="42">
        <f t="shared" si="735"/>
        <v>0</v>
      </c>
      <c r="Q657" s="42">
        <f t="shared" si="735"/>
        <v>0</v>
      </c>
      <c r="R657" s="42">
        <f t="shared" si="735"/>
        <v>0</v>
      </c>
      <c r="S657" s="42">
        <f t="shared" si="735"/>
        <v>0</v>
      </c>
      <c r="T657" s="42"/>
      <c r="U657" s="42"/>
      <c r="V657" s="42"/>
      <c r="W657" s="42"/>
    </row>
    <row r="658" spans="1:28" s="43" customFormat="1" ht="18" hidden="1" customHeight="1">
      <c r="A658" s="614"/>
      <c r="B658" s="581"/>
      <c r="C658" s="581"/>
      <c r="D658" s="202" t="str">
        <f>серпень!D581</f>
        <v>відхилення з наростаючим</v>
      </c>
      <c r="E658" s="42"/>
      <c r="F658" s="42">
        <f>F657</f>
        <v>0</v>
      </c>
      <c r="G658" s="42">
        <f>G657+F658</f>
        <v>0</v>
      </c>
      <c r="H658" s="42">
        <f>H657+G658</f>
        <v>0</v>
      </c>
      <c r="I658" s="42">
        <f>I657+H658</f>
        <v>0</v>
      </c>
      <c r="J658" s="42">
        <f>J657+I658</f>
        <v>0</v>
      </c>
      <c r="K658" s="42">
        <f>K657+J658</f>
        <v>0</v>
      </c>
      <c r="L658" s="42"/>
      <c r="M658" s="42"/>
      <c r="N658" s="42">
        <f>N657+K658</f>
        <v>0</v>
      </c>
      <c r="O658" s="42">
        <f>O657+N658</f>
        <v>0</v>
      </c>
      <c r="P658" s="42">
        <f>P657+O658</f>
        <v>0</v>
      </c>
      <c r="Q658" s="42">
        <f>Q657+P658</f>
        <v>0</v>
      </c>
      <c r="R658" s="42">
        <f>R657+Q658</f>
        <v>0</v>
      </c>
      <c r="S658" s="42">
        <f>S657+R658</f>
        <v>0</v>
      </c>
      <c r="T658" s="42"/>
      <c r="U658" s="42"/>
      <c r="V658" s="42"/>
      <c r="W658" s="42"/>
    </row>
    <row r="659" spans="1:28" s="55" customFormat="1" ht="18" hidden="1" customHeight="1">
      <c r="A659" s="614"/>
      <c r="B659" s="654" t="s">
        <v>140</v>
      </c>
      <c r="C659" s="581"/>
      <c r="D659" s="178" t="str">
        <f>серпень!D582</f>
        <v>факт. нат.п-ки 2023</v>
      </c>
      <c r="E659" s="11"/>
      <c r="F659" s="12"/>
      <c r="G659" s="12"/>
      <c r="H659" s="12"/>
      <c r="I659" s="12"/>
      <c r="J659" s="12"/>
      <c r="K659" s="12"/>
      <c r="L659" s="65">
        <f>SUM(F659:K659)</f>
        <v>0</v>
      </c>
      <c r="M659" s="65">
        <f>L659/6</f>
        <v>0</v>
      </c>
      <c r="N659" s="12"/>
      <c r="O659" s="12"/>
      <c r="P659" s="12"/>
      <c r="Q659" s="12"/>
      <c r="R659" s="12"/>
      <c r="S659" s="12"/>
      <c r="T659" s="65">
        <f>SUM(N659:S659)</f>
        <v>0</v>
      </c>
      <c r="U659" s="66">
        <f>T659+L659</f>
        <v>0</v>
      </c>
      <c r="V659" s="67"/>
      <c r="W659" s="38">
        <f>V659-U659</f>
        <v>0</v>
      </c>
      <c r="X659" s="47"/>
      <c r="Y659" s="48"/>
      <c r="Z659" s="48"/>
      <c r="AA659" s="48"/>
      <c r="AB659" s="48"/>
    </row>
    <row r="660" spans="1:28" s="48" customFormat="1" ht="18" hidden="1" customHeight="1">
      <c r="A660" s="614"/>
      <c r="B660" s="581"/>
      <c r="C660" s="581"/>
      <c r="D660" s="178" t="str">
        <f>серпень!D583</f>
        <v>факт. нат.п-ки 2024</v>
      </c>
      <c r="E660" s="11"/>
      <c r="F660" s="12"/>
      <c r="G660" s="12"/>
      <c r="H660" s="12"/>
      <c r="I660" s="12"/>
      <c r="J660" s="12"/>
      <c r="K660" s="12"/>
      <c r="L660" s="65">
        <f>SUM(F660:K660)</f>
        <v>0</v>
      </c>
      <c r="M660" s="65">
        <f>L660/6</f>
        <v>0</v>
      </c>
      <c r="N660" s="11"/>
      <c r="O660" s="11"/>
      <c r="P660" s="11"/>
      <c r="Q660" s="11"/>
      <c r="R660" s="11"/>
      <c r="S660" s="11"/>
      <c r="T660" s="65">
        <f>SUM(N660:S660)</f>
        <v>0</v>
      </c>
      <c r="U660" s="66">
        <f>T660+L660</f>
        <v>0</v>
      </c>
      <c r="V660" s="67"/>
      <c r="W660" s="38">
        <f>V660-U660</f>
        <v>0</v>
      </c>
      <c r="X660" s="47"/>
    </row>
    <row r="661" spans="1:28" s="48" customFormat="1" ht="18" hidden="1" customHeight="1">
      <c r="A661" s="614"/>
      <c r="B661" s="581"/>
      <c r="C661" s="581"/>
      <c r="D661" s="178" t="str">
        <f>серпень!D584</f>
        <v>факт. нат.п-ки 2025</v>
      </c>
      <c r="E661" s="11"/>
      <c r="F661" s="12"/>
      <c r="G661" s="12"/>
      <c r="H661" s="12"/>
      <c r="I661" s="12"/>
      <c r="J661" s="12"/>
      <c r="K661" s="12"/>
      <c r="L661" s="65">
        <f>SUM(F661:K661)</f>
        <v>0</v>
      </c>
      <c r="M661" s="65">
        <f>L661/6</f>
        <v>0</v>
      </c>
      <c r="N661" s="12"/>
      <c r="O661" s="12"/>
      <c r="P661" s="12"/>
      <c r="Q661" s="12"/>
      <c r="R661" s="12"/>
      <c r="S661" s="11"/>
      <c r="T661" s="65">
        <f>SUM(N661:S661)</f>
        <v>0</v>
      </c>
      <c r="U661" s="66">
        <f>T661+L661</f>
        <v>0</v>
      </c>
      <c r="V661" s="11"/>
      <c r="W661" s="38">
        <f>V661-U661</f>
        <v>0</v>
      </c>
      <c r="X661" s="47"/>
    </row>
    <row r="662" spans="1:28" s="51" customFormat="1" ht="18" hidden="1" customHeight="1">
      <c r="A662" s="614"/>
      <c r="B662" s="581"/>
      <c r="C662" s="581"/>
      <c r="D662" s="187" t="str">
        <f>серпень!D585</f>
        <v>тариф, грн.</v>
      </c>
      <c r="E662" s="49"/>
      <c r="F662" s="49">
        <v>0</v>
      </c>
      <c r="G662" s="49">
        <v>0</v>
      </c>
      <c r="H662" s="49">
        <v>0</v>
      </c>
      <c r="I662" s="49">
        <v>0</v>
      </c>
      <c r="J662" s="49">
        <v>0</v>
      </c>
      <c r="K662" s="49">
        <v>0</v>
      </c>
      <c r="L662" s="49" t="e">
        <f>L663/L661*1000</f>
        <v>#DIV/0!</v>
      </c>
      <c r="M662" s="49" t="e">
        <f>M663/M661*1000</f>
        <v>#DIV/0!</v>
      </c>
      <c r="N662" s="49">
        <v>0</v>
      </c>
      <c r="O662" s="49">
        <v>0</v>
      </c>
      <c r="P662" s="49">
        <v>0</v>
      </c>
      <c r="Q662" s="49">
        <v>0</v>
      </c>
      <c r="R662" s="49">
        <v>0</v>
      </c>
      <c r="S662" s="49">
        <v>0</v>
      </c>
      <c r="T662" s="49" t="e">
        <f>T663/T661*1000</f>
        <v>#DIV/0!</v>
      </c>
      <c r="U662" s="49" t="e">
        <f>U663/U661*1000</f>
        <v>#DIV/0!</v>
      </c>
      <c r="V662" s="68" t="e">
        <f>V663/V661*1000</f>
        <v>#DIV/0!</v>
      </c>
      <c r="W662" s="14" t="e">
        <f>W663/W661*1000</f>
        <v>#DIV/0!</v>
      </c>
      <c r="X662" s="59"/>
    </row>
    <row r="663" spans="1:28" s="130" customFormat="1" ht="18" hidden="1" customHeight="1">
      <c r="A663" s="614"/>
      <c r="B663" s="581"/>
      <c r="C663" s="581"/>
      <c r="D663" s="191" t="str">
        <f>серпень!D586</f>
        <v>сума, тис.грн.</v>
      </c>
      <c r="E663" s="52"/>
      <c r="F663" s="52">
        <f>F661*F662/1000</f>
        <v>0</v>
      </c>
      <c r="G663" s="52">
        <f t="shared" ref="G663" si="736">G661*G662/1000</f>
        <v>0</v>
      </c>
      <c r="H663" s="52">
        <f t="shared" ref="H663" si="737">H661*H662/1000</f>
        <v>0</v>
      </c>
      <c r="I663" s="52">
        <f t="shared" ref="I663" si="738">I661*I662/1000</f>
        <v>0</v>
      </c>
      <c r="J663" s="52">
        <f t="shared" ref="J663" si="739">J661*J662/1000</f>
        <v>0</v>
      </c>
      <c r="K663" s="52">
        <f t="shared" ref="K663" si="740">K661*K662/1000</f>
        <v>0</v>
      </c>
      <c r="L663" s="69">
        <f>SUM(F663:K663)</f>
        <v>0</v>
      </c>
      <c r="M663" s="69">
        <f>L663/6</f>
        <v>0</v>
      </c>
      <c r="N663" s="52">
        <f>N661*N662/1000</f>
        <v>0</v>
      </c>
      <c r="O663" s="52">
        <f t="shared" ref="O663" si="741">O661*O662/1000</f>
        <v>0</v>
      </c>
      <c r="P663" s="52">
        <f t="shared" ref="P663" si="742">P661*P662/1000</f>
        <v>0</v>
      </c>
      <c r="Q663" s="52">
        <f t="shared" ref="Q663" si="743">Q661*Q662/1000</f>
        <v>0</v>
      </c>
      <c r="R663" s="52">
        <f t="shared" ref="R663" si="744">R661*R662/1000</f>
        <v>0</v>
      </c>
      <c r="S663" s="52">
        <f t="shared" ref="S663" si="745">S661*S662/1000</f>
        <v>0</v>
      </c>
      <c r="T663" s="69">
        <f>SUM(N663:S663)</f>
        <v>0</v>
      </c>
      <c r="U663" s="69">
        <f>T663+L663</f>
        <v>0</v>
      </c>
      <c r="V663" s="70">
        <f>V664+V665</f>
        <v>0</v>
      </c>
      <c r="W663" s="53">
        <f>V663-U663</f>
        <v>0</v>
      </c>
    </row>
    <row r="664" spans="1:28" s="130" customFormat="1" ht="18" hidden="1" customHeight="1">
      <c r="A664" s="614"/>
      <c r="B664" s="581"/>
      <c r="C664" s="581"/>
      <c r="D664" s="174" t="str">
        <f>серпень!D587</f>
        <v>дотація</v>
      </c>
      <c r="E664" s="56"/>
      <c r="F664" s="52"/>
      <c r="G664" s="52"/>
      <c r="H664" s="52"/>
      <c r="I664" s="52"/>
      <c r="J664" s="52"/>
      <c r="K664" s="52"/>
      <c r="L664" s="69">
        <f>SUM(F664:K664)</f>
        <v>0</v>
      </c>
      <c r="M664" s="69">
        <f>L664/6</f>
        <v>0</v>
      </c>
      <c r="N664" s="52"/>
      <c r="O664" s="52"/>
      <c r="P664" s="52"/>
      <c r="Q664" s="52"/>
      <c r="R664" s="52"/>
      <c r="S664" s="52"/>
      <c r="T664" s="69">
        <f>SUM(N664:S664)</f>
        <v>0</v>
      </c>
      <c r="U664" s="69">
        <f>T664+L664</f>
        <v>0</v>
      </c>
      <c r="V664" s="70">
        <v>0</v>
      </c>
      <c r="W664" s="53">
        <f>V664-U664</f>
        <v>0</v>
      </c>
    </row>
    <row r="665" spans="1:28" s="130" customFormat="1" ht="18" hidden="1" customHeight="1">
      <c r="A665" s="614"/>
      <c r="B665" s="581"/>
      <c r="C665" s="581"/>
      <c r="D665" s="174" t="str">
        <f>серпень!D588</f>
        <v>місцевий (план), тис.грн</v>
      </c>
      <c r="E665" s="56"/>
      <c r="F665" s="52"/>
      <c r="G665" s="52"/>
      <c r="H665" s="52"/>
      <c r="I665" s="52"/>
      <c r="J665" s="52"/>
      <c r="K665" s="52"/>
      <c r="L665" s="69">
        <f>SUM(F665:K665)</f>
        <v>0</v>
      </c>
      <c r="M665" s="69">
        <f>L665/6</f>
        <v>0</v>
      </c>
      <c r="N665" s="52"/>
      <c r="O665" s="52"/>
      <c r="P665" s="52"/>
      <c r="Q665" s="52"/>
      <c r="R665" s="52"/>
      <c r="S665" s="52"/>
      <c r="T665" s="69">
        <f>SUM(N665:S665)</f>
        <v>0</v>
      </c>
      <c r="U665" s="69">
        <f>T665+L665</f>
        <v>0</v>
      </c>
      <c r="V665" s="70"/>
      <c r="W665" s="53">
        <f>V665-U665</f>
        <v>0</v>
      </c>
    </row>
    <row r="666" spans="1:28" s="48" customFormat="1" ht="18" hidden="1" customHeight="1">
      <c r="A666" s="614"/>
      <c r="B666" s="581"/>
      <c r="C666" s="581"/>
      <c r="D666" s="178" t="str">
        <f>серпень!D589</f>
        <v>касові нат.п-ки 2025</v>
      </c>
      <c r="E666" s="11"/>
      <c r="F666" s="11"/>
      <c r="G666" s="11"/>
      <c r="H666" s="11"/>
      <c r="I666" s="11"/>
      <c r="J666" s="11"/>
      <c r="K666" s="11"/>
      <c r="L666" s="65">
        <f>SUM(F666:K666)</f>
        <v>0</v>
      </c>
      <c r="M666" s="65">
        <f>L666/6</f>
        <v>0</v>
      </c>
      <c r="N666" s="11"/>
      <c r="O666" s="11"/>
      <c r="P666" s="11"/>
      <c r="Q666" s="11"/>
      <c r="R666" s="11"/>
      <c r="S666" s="11"/>
      <c r="T666" s="65">
        <f>SUM(N666:S666)</f>
        <v>0</v>
      </c>
      <c r="U666" s="65">
        <f>T666+L666</f>
        <v>0</v>
      </c>
      <c r="V666" s="11">
        <f>V661</f>
        <v>0</v>
      </c>
      <c r="W666" s="38">
        <f>V666-U666</f>
        <v>0</v>
      </c>
      <c r="X666" s="47">
        <f>U661-U666</f>
        <v>0</v>
      </c>
    </row>
    <row r="667" spans="1:28" s="51" customFormat="1" ht="18" hidden="1" customHeight="1">
      <c r="A667" s="614"/>
      <c r="B667" s="581"/>
      <c r="C667" s="581"/>
      <c r="D667" s="187" t="str">
        <f>серпень!D590</f>
        <v>тариф, грн.</v>
      </c>
      <c r="E667" s="49" t="e">
        <f>E668/E666*1000</f>
        <v>#DIV/0!</v>
      </c>
      <c r="F667" s="49">
        <v>0</v>
      </c>
      <c r="G667" s="49">
        <v>0</v>
      </c>
      <c r="H667" s="49">
        <v>0</v>
      </c>
      <c r="I667" s="49">
        <v>0</v>
      </c>
      <c r="J667" s="49">
        <v>0</v>
      </c>
      <c r="K667" s="49">
        <v>0</v>
      </c>
      <c r="L667" s="49" t="e">
        <f>L668/L666*1000</f>
        <v>#DIV/0!</v>
      </c>
      <c r="M667" s="49" t="e">
        <f>M668/M666*1000</f>
        <v>#DIV/0!</v>
      </c>
      <c r="N667" s="49">
        <v>0</v>
      </c>
      <c r="O667" s="49">
        <v>0</v>
      </c>
      <c r="P667" s="49">
        <v>0</v>
      </c>
      <c r="Q667" s="49">
        <v>0</v>
      </c>
      <c r="R667" s="49">
        <v>0</v>
      </c>
      <c r="S667" s="49">
        <v>0</v>
      </c>
      <c r="T667" s="49" t="e">
        <f>T668/T666*1000</f>
        <v>#DIV/0!</v>
      </c>
      <c r="U667" s="49" t="e">
        <f>U668/U666*1000</f>
        <v>#DIV/0!</v>
      </c>
      <c r="V667" s="68" t="e">
        <f>V668/V666*1000</f>
        <v>#DIV/0!</v>
      </c>
      <c r="W667" s="14" t="e">
        <f>W668/W666*1000</f>
        <v>#DIV/0!</v>
      </c>
      <c r="X667" s="59"/>
    </row>
    <row r="668" spans="1:28" s="126" customFormat="1" ht="18" hidden="1" customHeight="1">
      <c r="A668" s="614"/>
      <c r="B668" s="581"/>
      <c r="C668" s="581"/>
      <c r="D668" s="198" t="str">
        <f>серпень!D591</f>
        <v>касові видатки, тис.грн.</v>
      </c>
      <c r="E668" s="71"/>
      <c r="F668" s="61">
        <f>F666*F667/1000</f>
        <v>0</v>
      </c>
      <c r="G668" s="61">
        <f t="shared" ref="G668" si="746">G666*G667/1000</f>
        <v>0</v>
      </c>
      <c r="H668" s="61">
        <f t="shared" ref="H668" si="747">H666*H667/1000</f>
        <v>0</v>
      </c>
      <c r="I668" s="61">
        <f t="shared" ref="I668" si="748">I666*I667/1000</f>
        <v>0</v>
      </c>
      <c r="J668" s="61">
        <f t="shared" ref="J668" si="749">J666*J667/1000</f>
        <v>0</v>
      </c>
      <c r="K668" s="61">
        <f t="shared" ref="K668" si="750">K666*K667/1000</f>
        <v>0</v>
      </c>
      <c r="L668" s="61">
        <f>SUM(F668:K668)</f>
        <v>0</v>
      </c>
      <c r="M668" s="61">
        <f>L668/6</f>
        <v>0</v>
      </c>
      <c r="N668" s="61">
        <f>N666*N667/1000</f>
        <v>0</v>
      </c>
      <c r="O668" s="61">
        <f t="shared" ref="O668" si="751">O666*O667/1000</f>
        <v>0</v>
      </c>
      <c r="P668" s="61">
        <f t="shared" ref="P668" si="752">P666*P667/1000</f>
        <v>0</v>
      </c>
      <c r="Q668" s="61">
        <f t="shared" ref="Q668" si="753">Q666*Q667/1000</f>
        <v>0</v>
      </c>
      <c r="R668" s="61">
        <f t="shared" ref="R668" si="754">R666*R667/1000</f>
        <v>0</v>
      </c>
      <c r="S668" s="61">
        <f t="shared" ref="S668" si="755">S666*S667/1000</f>
        <v>0</v>
      </c>
      <c r="T668" s="61">
        <f>SUM(N668:S668)</f>
        <v>0</v>
      </c>
      <c r="U668" s="61">
        <f>T668+L668</f>
        <v>0</v>
      </c>
      <c r="V668" s="61">
        <f>V663</f>
        <v>0</v>
      </c>
      <c r="W668" s="72">
        <f>V668-U668</f>
        <v>0</v>
      </c>
      <c r="X668" s="63">
        <f>U663-U668</f>
        <v>0</v>
      </c>
    </row>
    <row r="669" spans="1:28" s="126" customFormat="1" ht="18" hidden="1" customHeight="1">
      <c r="A669" s="614"/>
      <c r="B669" s="581"/>
      <c r="C669" s="581"/>
      <c r="D669" s="201" t="str">
        <f>серпень!D592</f>
        <v>дотація</v>
      </c>
      <c r="E669" s="71"/>
      <c r="F669" s="61"/>
      <c r="G669" s="61"/>
      <c r="H669" s="61"/>
      <c r="I669" s="61"/>
      <c r="J669" s="61"/>
      <c r="K669" s="61"/>
      <c r="L669" s="61">
        <f>SUM(F669:K669)</f>
        <v>0</v>
      </c>
      <c r="M669" s="61">
        <f>L669/6</f>
        <v>0</v>
      </c>
      <c r="N669" s="61"/>
      <c r="O669" s="61"/>
      <c r="P669" s="61"/>
      <c r="Q669" s="61"/>
      <c r="R669" s="61"/>
      <c r="S669" s="61"/>
      <c r="T669" s="61">
        <f>SUM(N669:S669)</f>
        <v>0</v>
      </c>
      <c r="U669" s="61">
        <f>T669+L669</f>
        <v>0</v>
      </c>
      <c r="V669" s="61">
        <f>V664</f>
        <v>0</v>
      </c>
      <c r="W669" s="72">
        <f>V669-U669</f>
        <v>0</v>
      </c>
      <c r="X669" s="63"/>
    </row>
    <row r="670" spans="1:28" s="126" customFormat="1" ht="18" hidden="1" customHeight="1">
      <c r="A670" s="614"/>
      <c r="B670" s="581"/>
      <c r="C670" s="581"/>
      <c r="D670" s="201" t="str">
        <f>серпень!D593</f>
        <v xml:space="preserve">місцевий </v>
      </c>
      <c r="E670" s="71"/>
      <c r="F670" s="61">
        <f t="shared" ref="F670:K670" si="756">F668-F669</f>
        <v>0</v>
      </c>
      <c r="G670" s="61">
        <f t="shared" si="756"/>
        <v>0</v>
      </c>
      <c r="H670" s="61">
        <f t="shared" si="756"/>
        <v>0</v>
      </c>
      <c r="I670" s="61">
        <f t="shared" si="756"/>
        <v>0</v>
      </c>
      <c r="J670" s="61">
        <f t="shared" si="756"/>
        <v>0</v>
      </c>
      <c r="K670" s="61">
        <f t="shared" si="756"/>
        <v>0</v>
      </c>
      <c r="L670" s="61">
        <f>SUM(F670:K670)</f>
        <v>0</v>
      </c>
      <c r="M670" s="61">
        <f>L670/6</f>
        <v>0</v>
      </c>
      <c r="N670" s="61">
        <f t="shared" ref="N670:S670" si="757">N668-N669</f>
        <v>0</v>
      </c>
      <c r="O670" s="61">
        <f t="shared" si="757"/>
        <v>0</v>
      </c>
      <c r="P670" s="61">
        <f t="shared" si="757"/>
        <v>0</v>
      </c>
      <c r="Q670" s="61">
        <f t="shared" si="757"/>
        <v>0</v>
      </c>
      <c r="R670" s="61">
        <f t="shared" si="757"/>
        <v>0</v>
      </c>
      <c r="S670" s="61">
        <f t="shared" si="757"/>
        <v>0</v>
      </c>
      <c r="T670" s="61">
        <f>SUM(N670:S670)</f>
        <v>0</v>
      </c>
      <c r="U670" s="61">
        <f>T670+L670</f>
        <v>0</v>
      </c>
      <c r="V670" s="61">
        <f>V665</f>
        <v>0</v>
      </c>
      <c r="W670" s="72">
        <f>V670-U670</f>
        <v>0</v>
      </c>
      <c r="X670" s="63">
        <f>U665-U670</f>
        <v>0</v>
      </c>
    </row>
    <row r="671" spans="1:28" s="43" customFormat="1" ht="18" hidden="1" customHeight="1">
      <c r="A671" s="614"/>
      <c r="B671" s="581"/>
      <c r="C671" s="581"/>
      <c r="D671" s="202" t="str">
        <f>серпень!D594</f>
        <v>план</v>
      </c>
      <c r="E671" s="42"/>
      <c r="F671" s="42">
        <f t="shared" ref="F671:K671" si="758">F665</f>
        <v>0</v>
      </c>
      <c r="G671" s="42">
        <f t="shared" si="758"/>
        <v>0</v>
      </c>
      <c r="H671" s="42">
        <f t="shared" si="758"/>
        <v>0</v>
      </c>
      <c r="I671" s="42">
        <f t="shared" si="758"/>
        <v>0</v>
      </c>
      <c r="J671" s="42">
        <f t="shared" si="758"/>
        <v>0</v>
      </c>
      <c r="K671" s="42">
        <f t="shared" si="758"/>
        <v>0</v>
      </c>
      <c r="L671" s="42">
        <f>SUM(F671:K671)</f>
        <v>0</v>
      </c>
      <c r="M671" s="42">
        <f>L671/6</f>
        <v>0</v>
      </c>
      <c r="N671" s="42">
        <f t="shared" ref="N671:S671" si="759">N665+N664</f>
        <v>0</v>
      </c>
      <c r="O671" s="42">
        <f t="shared" si="759"/>
        <v>0</v>
      </c>
      <c r="P671" s="42">
        <f t="shared" si="759"/>
        <v>0</v>
      </c>
      <c r="Q671" s="42">
        <f t="shared" si="759"/>
        <v>0</v>
      </c>
      <c r="R671" s="42">
        <f t="shared" si="759"/>
        <v>0</v>
      </c>
      <c r="S671" s="42">
        <f t="shared" si="759"/>
        <v>0</v>
      </c>
      <c r="T671" s="42">
        <f>SUM(N671:S671)</f>
        <v>0</v>
      </c>
      <c r="U671" s="42">
        <f>T671+L671</f>
        <v>0</v>
      </c>
      <c r="V671" s="42">
        <f>V668</f>
        <v>0</v>
      </c>
      <c r="W671" s="42">
        <f>V671-U671</f>
        <v>0</v>
      </c>
    </row>
    <row r="672" spans="1:28" s="43" customFormat="1" ht="18" hidden="1" customHeight="1">
      <c r="A672" s="614"/>
      <c r="B672" s="581"/>
      <c r="C672" s="581"/>
      <c r="D672" s="202" t="str">
        <f>серпень!D595</f>
        <v xml:space="preserve">відхилення </v>
      </c>
      <c r="E672" s="42"/>
      <c r="F672" s="42">
        <f t="shared" ref="F672:K672" si="760">F668-F671</f>
        <v>0</v>
      </c>
      <c r="G672" s="42">
        <f t="shared" si="760"/>
        <v>0</v>
      </c>
      <c r="H672" s="42">
        <f t="shared" si="760"/>
        <v>0</v>
      </c>
      <c r="I672" s="42">
        <f t="shared" si="760"/>
        <v>0</v>
      </c>
      <c r="J672" s="42">
        <f t="shared" si="760"/>
        <v>0</v>
      </c>
      <c r="K672" s="42">
        <f t="shared" si="760"/>
        <v>0</v>
      </c>
      <c r="L672" s="42"/>
      <c r="M672" s="42"/>
      <c r="N672" s="42">
        <f t="shared" ref="N672:S672" si="761">N668-N671</f>
        <v>0</v>
      </c>
      <c r="O672" s="42">
        <f t="shared" si="761"/>
        <v>0</v>
      </c>
      <c r="P672" s="42">
        <f t="shared" si="761"/>
        <v>0</v>
      </c>
      <c r="Q672" s="42">
        <f t="shared" si="761"/>
        <v>0</v>
      </c>
      <c r="R672" s="42">
        <f t="shared" si="761"/>
        <v>0</v>
      </c>
      <c r="S672" s="42">
        <f t="shared" si="761"/>
        <v>0</v>
      </c>
      <c r="T672" s="42"/>
      <c r="U672" s="42"/>
      <c r="V672" s="42"/>
      <c r="W672" s="42"/>
    </row>
    <row r="673" spans="1:28" s="43" customFormat="1" ht="18" hidden="1" customHeight="1">
      <c r="A673" s="614"/>
      <c r="B673" s="581"/>
      <c r="C673" s="581"/>
      <c r="D673" s="202" t="str">
        <f>серпень!D596</f>
        <v>відхилення з наростаючим</v>
      </c>
      <c r="E673" s="42"/>
      <c r="F673" s="42">
        <f>F672</f>
        <v>0</v>
      </c>
      <c r="G673" s="42">
        <f>G672+F673</f>
        <v>0</v>
      </c>
      <c r="H673" s="42">
        <f>H672+G673</f>
        <v>0</v>
      </c>
      <c r="I673" s="42">
        <f>I672+H673</f>
        <v>0</v>
      </c>
      <c r="J673" s="42">
        <f>J672+I673</f>
        <v>0</v>
      </c>
      <c r="K673" s="42">
        <f>K672+J673</f>
        <v>0</v>
      </c>
      <c r="L673" s="42"/>
      <c r="M673" s="42"/>
      <c r="N673" s="42">
        <f>N672+K673</f>
        <v>0</v>
      </c>
      <c r="O673" s="42">
        <f>O672+N673</f>
        <v>0</v>
      </c>
      <c r="P673" s="42">
        <f>P672+O673</f>
        <v>0</v>
      </c>
      <c r="Q673" s="42">
        <f>Q672+P673</f>
        <v>0</v>
      </c>
      <c r="R673" s="42">
        <f>R672+Q673</f>
        <v>0</v>
      </c>
      <c r="S673" s="42">
        <f>S672+R673</f>
        <v>0</v>
      </c>
      <c r="T673" s="42"/>
      <c r="U673" s="42"/>
      <c r="V673" s="42"/>
      <c r="W673" s="42"/>
    </row>
    <row r="674" spans="1:28" s="55" customFormat="1" ht="18" hidden="1" customHeight="1">
      <c r="A674" s="614"/>
      <c r="B674" s="581" t="s">
        <v>68</v>
      </c>
      <c r="C674" s="581"/>
      <c r="D674" s="178" t="str">
        <f>серпень!D597</f>
        <v>факт. нат.п-ки 2023</v>
      </c>
      <c r="E674" s="11"/>
      <c r="F674" s="12"/>
      <c r="G674" s="12"/>
      <c r="H674" s="12"/>
      <c r="I674" s="12"/>
      <c r="J674" s="12"/>
      <c r="K674" s="12"/>
      <c r="L674" s="65">
        <f>SUM(F674:K674)</f>
        <v>0</v>
      </c>
      <c r="M674" s="65">
        <f>L674/6</f>
        <v>0</v>
      </c>
      <c r="N674" s="12"/>
      <c r="O674" s="12"/>
      <c r="P674" s="12"/>
      <c r="Q674" s="12"/>
      <c r="R674" s="12"/>
      <c r="S674" s="12"/>
      <c r="T674" s="65">
        <f>SUM(N674:S674)</f>
        <v>0</v>
      </c>
      <c r="U674" s="66">
        <f>T674+L674</f>
        <v>0</v>
      </c>
      <c r="V674" s="67"/>
      <c r="W674" s="38">
        <f>V674-U674</f>
        <v>0</v>
      </c>
      <c r="X674" s="47"/>
      <c r="Y674" s="48"/>
      <c r="Z674" s="48"/>
      <c r="AA674" s="48"/>
      <c r="AB674" s="48"/>
    </row>
    <row r="675" spans="1:28" s="48" customFormat="1" ht="18" hidden="1" customHeight="1">
      <c r="A675" s="614"/>
      <c r="B675" s="581"/>
      <c r="C675" s="581"/>
      <c r="D675" s="178" t="str">
        <f>серпень!D598</f>
        <v>факт. нат.п-ки 2024</v>
      </c>
      <c r="E675" s="11"/>
      <c r="F675" s="12"/>
      <c r="G675" s="12"/>
      <c r="H675" s="12"/>
      <c r="I675" s="12"/>
      <c r="J675" s="12"/>
      <c r="K675" s="12"/>
      <c r="L675" s="65">
        <f>SUM(F675:K675)</f>
        <v>0</v>
      </c>
      <c r="M675" s="65">
        <f>L675/6</f>
        <v>0</v>
      </c>
      <c r="N675" s="11"/>
      <c r="O675" s="11"/>
      <c r="P675" s="11"/>
      <c r="Q675" s="11"/>
      <c r="R675" s="11"/>
      <c r="S675" s="11"/>
      <c r="T675" s="65">
        <f>SUM(N675:S675)</f>
        <v>0</v>
      </c>
      <c r="U675" s="66">
        <f>T675+L675</f>
        <v>0</v>
      </c>
      <c r="V675" s="67"/>
      <c r="W675" s="38">
        <f>V675-U675</f>
        <v>0</v>
      </c>
      <c r="X675" s="47"/>
    </row>
    <row r="676" spans="1:28" s="48" customFormat="1" ht="18" hidden="1" customHeight="1">
      <c r="A676" s="614"/>
      <c r="B676" s="581"/>
      <c r="C676" s="581"/>
      <c r="D676" s="178" t="str">
        <f>серпень!D599</f>
        <v>факт. нат.п-ки 2025</v>
      </c>
      <c r="E676" s="11"/>
      <c r="F676" s="12"/>
      <c r="G676" s="12"/>
      <c r="H676" s="12"/>
      <c r="I676" s="12"/>
      <c r="J676" s="12"/>
      <c r="K676" s="12"/>
      <c r="L676" s="65">
        <f>SUM(F676:K676)</f>
        <v>0</v>
      </c>
      <c r="M676" s="65">
        <f>L676/6</f>
        <v>0</v>
      </c>
      <c r="N676" s="12"/>
      <c r="O676" s="12"/>
      <c r="P676" s="12"/>
      <c r="Q676" s="12"/>
      <c r="R676" s="12"/>
      <c r="S676" s="11"/>
      <c r="T676" s="65">
        <f>SUM(N676:S676)</f>
        <v>0</v>
      </c>
      <c r="U676" s="66">
        <f>T676+L676</f>
        <v>0</v>
      </c>
      <c r="V676" s="11"/>
      <c r="W676" s="38">
        <f>V676-U676</f>
        <v>0</v>
      </c>
      <c r="X676" s="47"/>
    </row>
    <row r="677" spans="1:28" s="51" customFormat="1" ht="18" hidden="1" customHeight="1">
      <c r="A677" s="614"/>
      <c r="B677" s="581"/>
      <c r="C677" s="581"/>
      <c r="D677" s="187" t="str">
        <f>серпень!D600</f>
        <v>тариф, грн.</v>
      </c>
      <c r="E677" s="49"/>
      <c r="F677" s="49">
        <v>0</v>
      </c>
      <c r="G677" s="49">
        <v>0</v>
      </c>
      <c r="H677" s="49">
        <v>0</v>
      </c>
      <c r="I677" s="49">
        <v>0</v>
      </c>
      <c r="J677" s="49">
        <v>0</v>
      </c>
      <c r="K677" s="49">
        <v>0</v>
      </c>
      <c r="L677" s="49" t="e">
        <f>L678/L676*1000</f>
        <v>#DIV/0!</v>
      </c>
      <c r="M677" s="49" t="e">
        <f>M678/M676*1000</f>
        <v>#DIV/0!</v>
      </c>
      <c r="N677" s="49">
        <v>0</v>
      </c>
      <c r="O677" s="49">
        <v>0</v>
      </c>
      <c r="P677" s="49">
        <v>0</v>
      </c>
      <c r="Q677" s="49">
        <v>0</v>
      </c>
      <c r="R677" s="49">
        <v>0</v>
      </c>
      <c r="S677" s="49">
        <v>0</v>
      </c>
      <c r="T677" s="49" t="e">
        <f>T678/T676*1000</f>
        <v>#DIV/0!</v>
      </c>
      <c r="U677" s="49" t="e">
        <f>U678/U676*1000</f>
        <v>#DIV/0!</v>
      </c>
      <c r="V677" s="68" t="e">
        <f>V678/V676*1000</f>
        <v>#DIV/0!</v>
      </c>
      <c r="W677" s="14" t="e">
        <f>W678/W676*1000</f>
        <v>#DIV/0!</v>
      </c>
      <c r="X677" s="59"/>
    </row>
    <row r="678" spans="1:28" s="130" customFormat="1" ht="18" hidden="1" customHeight="1">
      <c r="A678" s="614"/>
      <c r="B678" s="581"/>
      <c r="C678" s="581"/>
      <c r="D678" s="191" t="str">
        <f>серпень!D601</f>
        <v>сума, тис.грн.</v>
      </c>
      <c r="E678" s="52"/>
      <c r="F678" s="52">
        <f t="shared" ref="F678:K678" si="762">F676*F677/1000</f>
        <v>0</v>
      </c>
      <c r="G678" s="52">
        <f t="shared" si="762"/>
        <v>0</v>
      </c>
      <c r="H678" s="52">
        <f t="shared" si="762"/>
        <v>0</v>
      </c>
      <c r="I678" s="52">
        <f t="shared" si="762"/>
        <v>0</v>
      </c>
      <c r="J678" s="52">
        <f t="shared" si="762"/>
        <v>0</v>
      </c>
      <c r="K678" s="52">
        <f t="shared" si="762"/>
        <v>0</v>
      </c>
      <c r="L678" s="69">
        <f>SUM(F678:K678)</f>
        <v>0</v>
      </c>
      <c r="M678" s="69">
        <f>L678/6</f>
        <v>0</v>
      </c>
      <c r="N678" s="52">
        <f t="shared" ref="N678:S678" si="763">N676*N677/1000</f>
        <v>0</v>
      </c>
      <c r="O678" s="52">
        <f t="shared" si="763"/>
        <v>0</v>
      </c>
      <c r="P678" s="52">
        <f t="shared" si="763"/>
        <v>0</v>
      </c>
      <c r="Q678" s="52">
        <f t="shared" si="763"/>
        <v>0</v>
      </c>
      <c r="R678" s="52">
        <f t="shared" si="763"/>
        <v>0</v>
      </c>
      <c r="S678" s="52">
        <f t="shared" si="763"/>
        <v>0</v>
      </c>
      <c r="T678" s="69">
        <f>SUM(N678:S678)</f>
        <v>0</v>
      </c>
      <c r="U678" s="69">
        <f>T678+L678</f>
        <v>0</v>
      </c>
      <c r="V678" s="70">
        <f>V679+V680</f>
        <v>0</v>
      </c>
      <c r="W678" s="53">
        <f>V678-U678</f>
        <v>0</v>
      </c>
    </row>
    <row r="679" spans="1:28" s="130" customFormat="1" ht="18" hidden="1" customHeight="1">
      <c r="A679" s="614"/>
      <c r="B679" s="581"/>
      <c r="C679" s="581"/>
      <c r="D679" s="174" t="str">
        <f>серпень!D602</f>
        <v>дотація</v>
      </c>
      <c r="E679" s="56"/>
      <c r="F679" s="52"/>
      <c r="G679" s="52"/>
      <c r="H679" s="52"/>
      <c r="I679" s="52"/>
      <c r="J679" s="52"/>
      <c r="K679" s="52"/>
      <c r="L679" s="69">
        <f>SUM(F679:K679)</f>
        <v>0</v>
      </c>
      <c r="M679" s="69">
        <f>L679/6</f>
        <v>0</v>
      </c>
      <c r="N679" s="52"/>
      <c r="O679" s="52"/>
      <c r="P679" s="52"/>
      <c r="Q679" s="52"/>
      <c r="R679" s="52"/>
      <c r="S679" s="52"/>
      <c r="T679" s="69">
        <f>SUM(N679:S679)</f>
        <v>0</v>
      </c>
      <c r="U679" s="69">
        <f>T679+L679</f>
        <v>0</v>
      </c>
      <c r="V679" s="70">
        <v>0</v>
      </c>
      <c r="W679" s="53">
        <f>V679-U679</f>
        <v>0</v>
      </c>
    </row>
    <row r="680" spans="1:28" s="130" customFormat="1" ht="18" hidden="1" customHeight="1">
      <c r="A680" s="614"/>
      <c r="B680" s="581"/>
      <c r="C680" s="581"/>
      <c r="D680" s="174" t="str">
        <f>серпень!D603</f>
        <v>місцевий (план), тис.грн</v>
      </c>
      <c r="E680" s="56"/>
      <c r="F680" s="52"/>
      <c r="G680" s="52"/>
      <c r="H680" s="52"/>
      <c r="I680" s="52"/>
      <c r="J680" s="52"/>
      <c r="K680" s="52"/>
      <c r="L680" s="69">
        <f>SUM(F680:K680)</f>
        <v>0</v>
      </c>
      <c r="M680" s="69">
        <f>L680/6</f>
        <v>0</v>
      </c>
      <c r="N680" s="52"/>
      <c r="O680" s="52"/>
      <c r="P680" s="52"/>
      <c r="Q680" s="52"/>
      <c r="R680" s="52"/>
      <c r="S680" s="52"/>
      <c r="T680" s="69">
        <f>SUM(N680:S680)</f>
        <v>0</v>
      </c>
      <c r="U680" s="69">
        <f>T680+L680</f>
        <v>0</v>
      </c>
      <c r="V680" s="70"/>
      <c r="W680" s="53">
        <f>V680-U680</f>
        <v>0</v>
      </c>
    </row>
    <row r="681" spans="1:28" s="48" customFormat="1" ht="18" hidden="1" customHeight="1">
      <c r="A681" s="614"/>
      <c r="B681" s="581"/>
      <c r="C681" s="581"/>
      <c r="D681" s="178" t="str">
        <f>серпень!D604</f>
        <v>касові нат.п-ки 2025</v>
      </c>
      <c r="E681" s="11"/>
      <c r="F681" s="11"/>
      <c r="G681" s="11"/>
      <c r="H681" s="11"/>
      <c r="I681" s="11"/>
      <c r="J681" s="11"/>
      <c r="K681" s="11"/>
      <c r="L681" s="65">
        <f>SUM(F681:K681)</f>
        <v>0</v>
      </c>
      <c r="M681" s="65">
        <f>L681/6</f>
        <v>0</v>
      </c>
      <c r="N681" s="11"/>
      <c r="O681" s="11"/>
      <c r="P681" s="11"/>
      <c r="Q681" s="11"/>
      <c r="R681" s="11"/>
      <c r="S681" s="11"/>
      <c r="T681" s="65">
        <f>SUM(N681:S681)</f>
        <v>0</v>
      </c>
      <c r="U681" s="65">
        <f>T681+L681</f>
        <v>0</v>
      </c>
      <c r="V681" s="11">
        <f>V676</f>
        <v>0</v>
      </c>
      <c r="W681" s="38">
        <f>V681-U681</f>
        <v>0</v>
      </c>
      <c r="X681" s="47">
        <f>U676-U681</f>
        <v>0</v>
      </c>
    </row>
    <row r="682" spans="1:28" s="51" customFormat="1" ht="18" hidden="1" customHeight="1">
      <c r="A682" s="614"/>
      <c r="B682" s="581"/>
      <c r="C682" s="581"/>
      <c r="D682" s="187" t="str">
        <f>серпень!D605</f>
        <v>тариф, грн.</v>
      </c>
      <c r="E682" s="49" t="e">
        <f>E683/E681*1000</f>
        <v>#DIV/0!</v>
      </c>
      <c r="F682" s="49">
        <v>0</v>
      </c>
      <c r="G682" s="49">
        <v>0</v>
      </c>
      <c r="H682" s="49">
        <v>0</v>
      </c>
      <c r="I682" s="49">
        <v>0</v>
      </c>
      <c r="J682" s="49">
        <v>0</v>
      </c>
      <c r="K682" s="49">
        <v>0</v>
      </c>
      <c r="L682" s="49" t="e">
        <f>L683/L681*1000</f>
        <v>#DIV/0!</v>
      </c>
      <c r="M682" s="49" t="e">
        <f>M683/M681*1000</f>
        <v>#DIV/0!</v>
      </c>
      <c r="N682" s="49">
        <v>0</v>
      </c>
      <c r="O682" s="49">
        <v>0</v>
      </c>
      <c r="P682" s="49">
        <v>0</v>
      </c>
      <c r="Q682" s="49">
        <v>0</v>
      </c>
      <c r="R682" s="49">
        <v>0</v>
      </c>
      <c r="S682" s="49">
        <v>0</v>
      </c>
      <c r="T682" s="49" t="e">
        <f>T683/T681*1000</f>
        <v>#DIV/0!</v>
      </c>
      <c r="U682" s="49" t="e">
        <f>U683/U681*1000</f>
        <v>#DIV/0!</v>
      </c>
      <c r="V682" s="68" t="e">
        <f>V683/V681*1000</f>
        <v>#DIV/0!</v>
      </c>
      <c r="W682" s="14" t="e">
        <f>W683/W681*1000</f>
        <v>#DIV/0!</v>
      </c>
      <c r="X682" s="59"/>
    </row>
    <row r="683" spans="1:28" s="126" customFormat="1" ht="18" hidden="1" customHeight="1">
      <c r="A683" s="614"/>
      <c r="B683" s="581"/>
      <c r="C683" s="581"/>
      <c r="D683" s="198" t="str">
        <f>серпень!D606</f>
        <v>касові видатки, тис.грн.</v>
      </c>
      <c r="E683" s="71"/>
      <c r="F683" s="61">
        <f t="shared" ref="F683:K683" si="764">F681*F682/1000</f>
        <v>0</v>
      </c>
      <c r="G683" s="61">
        <f t="shared" si="764"/>
        <v>0</v>
      </c>
      <c r="H683" s="61">
        <f t="shared" si="764"/>
        <v>0</v>
      </c>
      <c r="I683" s="61">
        <f t="shared" si="764"/>
        <v>0</v>
      </c>
      <c r="J683" s="61">
        <f t="shared" si="764"/>
        <v>0</v>
      </c>
      <c r="K683" s="61">
        <f t="shared" si="764"/>
        <v>0</v>
      </c>
      <c r="L683" s="61">
        <f>SUM(F683:K683)</f>
        <v>0</v>
      </c>
      <c r="M683" s="61">
        <f>L683/6</f>
        <v>0</v>
      </c>
      <c r="N683" s="61">
        <f t="shared" ref="N683:S683" si="765">N681*N682/1000</f>
        <v>0</v>
      </c>
      <c r="O683" s="61">
        <f t="shared" si="765"/>
        <v>0</v>
      </c>
      <c r="P683" s="61">
        <f t="shared" si="765"/>
        <v>0</v>
      </c>
      <c r="Q683" s="61">
        <f t="shared" si="765"/>
        <v>0</v>
      </c>
      <c r="R683" s="61">
        <f t="shared" si="765"/>
        <v>0</v>
      </c>
      <c r="S683" s="61">
        <f t="shared" si="765"/>
        <v>0</v>
      </c>
      <c r="T683" s="61">
        <f>SUM(N683:S683)</f>
        <v>0</v>
      </c>
      <c r="U683" s="61">
        <f>T683+L683</f>
        <v>0</v>
      </c>
      <c r="V683" s="61">
        <f>V678</f>
        <v>0</v>
      </c>
      <c r="W683" s="72">
        <f>V683-U683</f>
        <v>0</v>
      </c>
      <c r="X683" s="63">
        <f>U678-U683</f>
        <v>0</v>
      </c>
    </row>
    <row r="684" spans="1:28" s="126" customFormat="1" ht="18" hidden="1" customHeight="1">
      <c r="A684" s="614"/>
      <c r="B684" s="581"/>
      <c r="C684" s="581"/>
      <c r="D684" s="201" t="str">
        <f>серпень!D607</f>
        <v>дотація</v>
      </c>
      <c r="E684" s="71"/>
      <c r="F684" s="61"/>
      <c r="G684" s="61"/>
      <c r="H684" s="61"/>
      <c r="I684" s="61"/>
      <c r="J684" s="61"/>
      <c r="K684" s="61"/>
      <c r="L684" s="61">
        <f>SUM(F684:K684)</f>
        <v>0</v>
      </c>
      <c r="M684" s="61">
        <f>L684/6</f>
        <v>0</v>
      </c>
      <c r="N684" s="61"/>
      <c r="O684" s="61"/>
      <c r="P684" s="61"/>
      <c r="Q684" s="61"/>
      <c r="R684" s="61"/>
      <c r="S684" s="61"/>
      <c r="T684" s="61">
        <f>SUM(N684:S684)</f>
        <v>0</v>
      </c>
      <c r="U684" s="61">
        <f>T684+L684</f>
        <v>0</v>
      </c>
      <c r="V684" s="61">
        <f>V679</f>
        <v>0</v>
      </c>
      <c r="W684" s="72">
        <f>V684-U684</f>
        <v>0</v>
      </c>
      <c r="X684" s="63"/>
    </row>
    <row r="685" spans="1:28" s="126" customFormat="1" ht="18" hidden="1" customHeight="1">
      <c r="A685" s="614"/>
      <c r="B685" s="581"/>
      <c r="C685" s="581"/>
      <c r="D685" s="201" t="str">
        <f>серпень!D608</f>
        <v xml:space="preserve">місцевий </v>
      </c>
      <c r="E685" s="71"/>
      <c r="F685" s="61">
        <f t="shared" ref="F685:K685" si="766">F683-F684</f>
        <v>0</v>
      </c>
      <c r="G685" s="61">
        <f t="shared" si="766"/>
        <v>0</v>
      </c>
      <c r="H685" s="61">
        <f t="shared" si="766"/>
        <v>0</v>
      </c>
      <c r="I685" s="61">
        <f t="shared" si="766"/>
        <v>0</v>
      </c>
      <c r="J685" s="61">
        <f t="shared" si="766"/>
        <v>0</v>
      </c>
      <c r="K685" s="61">
        <f t="shared" si="766"/>
        <v>0</v>
      </c>
      <c r="L685" s="61">
        <f>SUM(F685:K685)</f>
        <v>0</v>
      </c>
      <c r="M685" s="61">
        <f>L685/6</f>
        <v>0</v>
      </c>
      <c r="N685" s="61">
        <f t="shared" ref="N685:S685" si="767">N683-N684</f>
        <v>0</v>
      </c>
      <c r="O685" s="61">
        <f t="shared" si="767"/>
        <v>0</v>
      </c>
      <c r="P685" s="61">
        <f t="shared" si="767"/>
        <v>0</v>
      </c>
      <c r="Q685" s="61">
        <f t="shared" si="767"/>
        <v>0</v>
      </c>
      <c r="R685" s="61">
        <f t="shared" si="767"/>
        <v>0</v>
      </c>
      <c r="S685" s="61">
        <f t="shared" si="767"/>
        <v>0</v>
      </c>
      <c r="T685" s="61">
        <f>SUM(N685:S685)</f>
        <v>0</v>
      </c>
      <c r="U685" s="61">
        <f>T685+L685</f>
        <v>0</v>
      </c>
      <c r="V685" s="61">
        <f>V680</f>
        <v>0</v>
      </c>
      <c r="W685" s="72">
        <f>V685-U685</f>
        <v>0</v>
      </c>
      <c r="X685" s="63">
        <f>U680-U685</f>
        <v>0</v>
      </c>
    </row>
    <row r="686" spans="1:28" s="43" customFormat="1" ht="18" hidden="1" customHeight="1">
      <c r="A686" s="614"/>
      <c r="B686" s="581"/>
      <c r="C686" s="581"/>
      <c r="D686" s="202" t="str">
        <f>серпень!D609</f>
        <v>план</v>
      </c>
      <c r="E686" s="42"/>
      <c r="F686" s="42">
        <f t="shared" ref="F686:K686" si="768">F680</f>
        <v>0</v>
      </c>
      <c r="G686" s="42">
        <f t="shared" si="768"/>
        <v>0</v>
      </c>
      <c r="H686" s="42">
        <f t="shared" si="768"/>
        <v>0</v>
      </c>
      <c r="I686" s="42">
        <f t="shared" si="768"/>
        <v>0</v>
      </c>
      <c r="J686" s="42">
        <f t="shared" si="768"/>
        <v>0</v>
      </c>
      <c r="K686" s="42">
        <f t="shared" si="768"/>
        <v>0</v>
      </c>
      <c r="L686" s="42">
        <f>SUM(F686:K686)</f>
        <v>0</v>
      </c>
      <c r="M686" s="42">
        <f>L686/6</f>
        <v>0</v>
      </c>
      <c r="N686" s="42">
        <f t="shared" ref="N686:S686" si="769">N680+N679</f>
        <v>0</v>
      </c>
      <c r="O686" s="42">
        <f t="shared" si="769"/>
        <v>0</v>
      </c>
      <c r="P686" s="42">
        <f t="shared" si="769"/>
        <v>0</v>
      </c>
      <c r="Q686" s="42">
        <f t="shared" si="769"/>
        <v>0</v>
      </c>
      <c r="R686" s="42">
        <f t="shared" si="769"/>
        <v>0</v>
      </c>
      <c r="S686" s="42">
        <f t="shared" si="769"/>
        <v>0</v>
      </c>
      <c r="T686" s="42">
        <f>SUM(N686:S686)</f>
        <v>0</v>
      </c>
      <c r="U686" s="42">
        <f>T686+L686</f>
        <v>0</v>
      </c>
      <c r="V686" s="42">
        <f>V683</f>
        <v>0</v>
      </c>
      <c r="W686" s="42">
        <f>V686-U686</f>
        <v>0</v>
      </c>
    </row>
    <row r="687" spans="1:28" s="43" customFormat="1" ht="18" hidden="1" customHeight="1">
      <c r="A687" s="614"/>
      <c r="B687" s="581"/>
      <c r="C687" s="581"/>
      <c r="D687" s="202" t="str">
        <f>серпень!D610</f>
        <v xml:space="preserve">відхилення </v>
      </c>
      <c r="E687" s="42"/>
      <c r="F687" s="42">
        <f t="shared" ref="F687:K687" si="770">F683-F686</f>
        <v>0</v>
      </c>
      <c r="G687" s="42">
        <f t="shared" si="770"/>
        <v>0</v>
      </c>
      <c r="H687" s="42">
        <f t="shared" si="770"/>
        <v>0</v>
      </c>
      <c r="I687" s="42">
        <f t="shared" si="770"/>
        <v>0</v>
      </c>
      <c r="J687" s="42">
        <f t="shared" si="770"/>
        <v>0</v>
      </c>
      <c r="K687" s="42">
        <f t="shared" si="770"/>
        <v>0</v>
      </c>
      <c r="L687" s="42"/>
      <c r="M687" s="42"/>
      <c r="N687" s="42">
        <f t="shared" ref="N687:S687" si="771">N683-N686</f>
        <v>0</v>
      </c>
      <c r="O687" s="42">
        <f t="shared" si="771"/>
        <v>0</v>
      </c>
      <c r="P687" s="42">
        <f t="shared" si="771"/>
        <v>0</v>
      </c>
      <c r="Q687" s="42">
        <f t="shared" si="771"/>
        <v>0</v>
      </c>
      <c r="R687" s="42">
        <f t="shared" si="771"/>
        <v>0</v>
      </c>
      <c r="S687" s="42">
        <f t="shared" si="771"/>
        <v>0</v>
      </c>
      <c r="T687" s="42"/>
      <c r="U687" s="42"/>
      <c r="V687" s="42"/>
      <c r="W687" s="42"/>
    </row>
    <row r="688" spans="1:28" s="43" customFormat="1" ht="18" hidden="1" customHeight="1">
      <c r="A688" s="614"/>
      <c r="B688" s="581"/>
      <c r="C688" s="581"/>
      <c r="D688" s="202" t="str">
        <f>серпень!D611</f>
        <v>відхилення з наростаючим</v>
      </c>
      <c r="E688" s="42"/>
      <c r="F688" s="42">
        <f>F687</f>
        <v>0</v>
      </c>
      <c r="G688" s="42">
        <f>G687+F688</f>
        <v>0</v>
      </c>
      <c r="H688" s="42">
        <f>H687+G688</f>
        <v>0</v>
      </c>
      <c r="I688" s="42">
        <f>I687+H688</f>
        <v>0</v>
      </c>
      <c r="J688" s="42">
        <f>J687+I688</f>
        <v>0</v>
      </c>
      <c r="K688" s="42">
        <f>K687+J688</f>
        <v>0</v>
      </c>
      <c r="L688" s="42"/>
      <c r="M688" s="42"/>
      <c r="N688" s="42">
        <f>N687+K688</f>
        <v>0</v>
      </c>
      <c r="O688" s="42">
        <f>O687+N688</f>
        <v>0</v>
      </c>
      <c r="P688" s="42">
        <f>P687+O688</f>
        <v>0</v>
      </c>
      <c r="Q688" s="42">
        <f>Q687+P688</f>
        <v>0</v>
      </c>
      <c r="R688" s="42">
        <f>R687+Q688</f>
        <v>0</v>
      </c>
      <c r="S688" s="42">
        <f>S687+R688</f>
        <v>0</v>
      </c>
      <c r="T688" s="42"/>
      <c r="U688" s="42"/>
      <c r="V688" s="42"/>
      <c r="W688" s="42"/>
    </row>
    <row r="689" spans="1:28" s="55" customFormat="1" ht="18" hidden="1" customHeight="1">
      <c r="A689" s="614"/>
      <c r="B689" s="654" t="s">
        <v>141</v>
      </c>
      <c r="C689" s="581"/>
      <c r="D689" s="178" t="str">
        <f>серпень!D612</f>
        <v>факт. нат.п-ки 2023</v>
      </c>
      <c r="E689" s="11"/>
      <c r="F689" s="12"/>
      <c r="G689" s="12"/>
      <c r="H689" s="12"/>
      <c r="I689" s="12"/>
      <c r="J689" s="12"/>
      <c r="K689" s="12"/>
      <c r="L689" s="65">
        <f>SUM(F689:K689)</f>
        <v>0</v>
      </c>
      <c r="M689" s="65">
        <f>L689/6</f>
        <v>0</v>
      </c>
      <c r="N689" s="12"/>
      <c r="O689" s="12"/>
      <c r="P689" s="12"/>
      <c r="Q689" s="12"/>
      <c r="R689" s="12"/>
      <c r="S689" s="12"/>
      <c r="T689" s="65">
        <f>SUM(N689:S689)</f>
        <v>0</v>
      </c>
      <c r="U689" s="66">
        <f>T689+L689</f>
        <v>0</v>
      </c>
      <c r="V689" s="67"/>
      <c r="W689" s="38">
        <f>V689-U689</f>
        <v>0</v>
      </c>
      <c r="X689" s="47"/>
      <c r="Y689" s="48"/>
      <c r="Z689" s="48"/>
      <c r="AA689" s="48"/>
      <c r="AB689" s="48"/>
    </row>
    <row r="690" spans="1:28" s="48" customFormat="1" ht="18" hidden="1" customHeight="1">
      <c r="A690" s="614"/>
      <c r="B690" s="581"/>
      <c r="C690" s="581"/>
      <c r="D690" s="178" t="str">
        <f>серпень!D613</f>
        <v>факт. нат.п-ки 2024</v>
      </c>
      <c r="E690" s="11"/>
      <c r="F690" s="12"/>
      <c r="G690" s="12"/>
      <c r="H690" s="12"/>
      <c r="I690" s="12"/>
      <c r="J690" s="12"/>
      <c r="K690" s="12"/>
      <c r="L690" s="65">
        <f>SUM(F690:K690)</f>
        <v>0</v>
      </c>
      <c r="M690" s="65">
        <f>L690/6</f>
        <v>0</v>
      </c>
      <c r="N690" s="11"/>
      <c r="O690" s="11"/>
      <c r="P690" s="11"/>
      <c r="Q690" s="11"/>
      <c r="R690" s="11"/>
      <c r="S690" s="11"/>
      <c r="T690" s="65">
        <f>SUM(N690:S690)</f>
        <v>0</v>
      </c>
      <c r="U690" s="66">
        <f>T690+L690</f>
        <v>0</v>
      </c>
      <c r="V690" s="67"/>
      <c r="W690" s="38">
        <f>V690-U690</f>
        <v>0</v>
      </c>
      <c r="X690" s="47"/>
    </row>
    <row r="691" spans="1:28" s="48" customFormat="1" ht="18" hidden="1" customHeight="1">
      <c r="A691" s="614"/>
      <c r="B691" s="581"/>
      <c r="C691" s="581"/>
      <c r="D691" s="178" t="str">
        <f>серпень!D614</f>
        <v>факт. нат.п-ки 2025</v>
      </c>
      <c r="E691" s="11"/>
      <c r="F691" s="12"/>
      <c r="G691" s="12"/>
      <c r="H691" s="12"/>
      <c r="I691" s="12"/>
      <c r="J691" s="12"/>
      <c r="K691" s="12"/>
      <c r="L691" s="65">
        <f>SUM(F691:K691)</f>
        <v>0</v>
      </c>
      <c r="M691" s="65">
        <f>L691/6</f>
        <v>0</v>
      </c>
      <c r="N691" s="12"/>
      <c r="O691" s="12"/>
      <c r="P691" s="12"/>
      <c r="Q691" s="12"/>
      <c r="R691" s="12"/>
      <c r="S691" s="11"/>
      <c r="T691" s="65">
        <f>SUM(N691:S691)</f>
        <v>0</v>
      </c>
      <c r="U691" s="66">
        <f>T691+L691</f>
        <v>0</v>
      </c>
      <c r="V691" s="11"/>
      <c r="W691" s="38">
        <f>V691-U691</f>
        <v>0</v>
      </c>
      <c r="X691" s="47"/>
    </row>
    <row r="692" spans="1:28" s="51" customFormat="1" ht="18" hidden="1" customHeight="1">
      <c r="A692" s="614"/>
      <c r="B692" s="581"/>
      <c r="C692" s="581"/>
      <c r="D692" s="187" t="str">
        <f>серпень!D615</f>
        <v>тариф, грн.</v>
      </c>
      <c r="E692" s="49"/>
      <c r="F692" s="49">
        <v>0</v>
      </c>
      <c r="G692" s="49">
        <v>0</v>
      </c>
      <c r="H692" s="49">
        <v>0</v>
      </c>
      <c r="I692" s="49">
        <v>0</v>
      </c>
      <c r="J692" s="49">
        <v>0</v>
      </c>
      <c r="K692" s="49">
        <v>0</v>
      </c>
      <c r="L692" s="49" t="e">
        <f>L693/L691*1000</f>
        <v>#DIV/0!</v>
      </c>
      <c r="M692" s="49" t="e">
        <f>M693/M691*1000</f>
        <v>#DIV/0!</v>
      </c>
      <c r="N692" s="49">
        <v>0</v>
      </c>
      <c r="O692" s="49">
        <v>0</v>
      </c>
      <c r="P692" s="49">
        <v>0</v>
      </c>
      <c r="Q692" s="49">
        <v>0</v>
      </c>
      <c r="R692" s="49">
        <v>0</v>
      </c>
      <c r="S692" s="49">
        <v>0</v>
      </c>
      <c r="T692" s="49" t="e">
        <f>T693/T691*1000</f>
        <v>#DIV/0!</v>
      </c>
      <c r="U692" s="49" t="e">
        <f>U693/U691*1000</f>
        <v>#DIV/0!</v>
      </c>
      <c r="V692" s="68" t="e">
        <f>V693/V691*1000</f>
        <v>#DIV/0!</v>
      </c>
      <c r="W692" s="14" t="e">
        <f>W693/W691*1000</f>
        <v>#DIV/0!</v>
      </c>
      <c r="X692" s="59"/>
    </row>
    <row r="693" spans="1:28" s="130" customFormat="1" ht="18" hidden="1" customHeight="1">
      <c r="A693" s="614"/>
      <c r="B693" s="581"/>
      <c r="C693" s="581"/>
      <c r="D693" s="191" t="str">
        <f>серпень!D616</f>
        <v>сума, тис.грн.</v>
      </c>
      <c r="E693" s="52"/>
      <c r="F693" s="52">
        <f>F691*F692/1000</f>
        <v>0</v>
      </c>
      <c r="G693" s="52">
        <f t="shared" ref="G693:K693" si="772">G691*G692/1000</f>
        <v>0</v>
      </c>
      <c r="H693" s="52">
        <f t="shared" si="772"/>
        <v>0</v>
      </c>
      <c r="I693" s="52">
        <f t="shared" si="772"/>
        <v>0</v>
      </c>
      <c r="J693" s="52">
        <f t="shared" si="772"/>
        <v>0</v>
      </c>
      <c r="K693" s="52">
        <f t="shared" si="772"/>
        <v>0</v>
      </c>
      <c r="L693" s="69">
        <f>SUM(F693:K693)</f>
        <v>0</v>
      </c>
      <c r="M693" s="69">
        <f>L693/6</f>
        <v>0</v>
      </c>
      <c r="N693" s="52">
        <f>N691*N692/1000</f>
        <v>0</v>
      </c>
      <c r="O693" s="52">
        <f t="shared" ref="O693" si="773">O691*O692/1000</f>
        <v>0</v>
      </c>
      <c r="P693" s="52">
        <f t="shared" ref="P693" si="774">P691*P692/1000</f>
        <v>0</v>
      </c>
      <c r="Q693" s="52">
        <f t="shared" ref="Q693" si="775">Q691*Q692/1000</f>
        <v>0</v>
      </c>
      <c r="R693" s="52">
        <f t="shared" ref="R693" si="776">R691*R692/1000</f>
        <v>0</v>
      </c>
      <c r="S693" s="52">
        <f t="shared" ref="S693" si="777">S691*S692/1000</f>
        <v>0</v>
      </c>
      <c r="T693" s="69">
        <f>SUM(N693:S693)</f>
        <v>0</v>
      </c>
      <c r="U693" s="69">
        <f>T693+L693</f>
        <v>0</v>
      </c>
      <c r="V693" s="70">
        <f>V694+V695</f>
        <v>0</v>
      </c>
      <c r="W693" s="53">
        <f>V693-U693</f>
        <v>0</v>
      </c>
    </row>
    <row r="694" spans="1:28" s="130" customFormat="1" ht="18" hidden="1" customHeight="1">
      <c r="A694" s="614"/>
      <c r="B694" s="581"/>
      <c r="C694" s="581"/>
      <c r="D694" s="174" t="str">
        <f>серпень!D617</f>
        <v>дотація</v>
      </c>
      <c r="E694" s="56"/>
      <c r="F694" s="52"/>
      <c r="G694" s="52"/>
      <c r="H694" s="52"/>
      <c r="I694" s="52"/>
      <c r="J694" s="52"/>
      <c r="K694" s="52"/>
      <c r="L694" s="69">
        <f>SUM(F694:K694)</f>
        <v>0</v>
      </c>
      <c r="M694" s="69">
        <f>L694/6</f>
        <v>0</v>
      </c>
      <c r="N694" s="52"/>
      <c r="O694" s="52"/>
      <c r="P694" s="52"/>
      <c r="Q694" s="52"/>
      <c r="R694" s="52"/>
      <c r="S694" s="52"/>
      <c r="T694" s="69">
        <f>SUM(N694:S694)</f>
        <v>0</v>
      </c>
      <c r="U694" s="69">
        <f>T694+L694</f>
        <v>0</v>
      </c>
      <c r="V694" s="70">
        <v>0</v>
      </c>
      <c r="W694" s="53">
        <f>V694-U694</f>
        <v>0</v>
      </c>
    </row>
    <row r="695" spans="1:28" s="130" customFormat="1" ht="18" hidden="1" customHeight="1">
      <c r="A695" s="614"/>
      <c r="B695" s="581"/>
      <c r="C695" s="581"/>
      <c r="D695" s="174" t="str">
        <f>серпень!D618</f>
        <v>місцевий (план), тис.грн</v>
      </c>
      <c r="E695" s="56"/>
      <c r="F695" s="52"/>
      <c r="G695" s="52"/>
      <c r="H695" s="52"/>
      <c r="I695" s="52"/>
      <c r="J695" s="52"/>
      <c r="K695" s="52"/>
      <c r="L695" s="69">
        <f>SUM(F695:K695)</f>
        <v>0</v>
      </c>
      <c r="M695" s="69">
        <f>L695/6</f>
        <v>0</v>
      </c>
      <c r="N695" s="52"/>
      <c r="O695" s="52"/>
      <c r="P695" s="52"/>
      <c r="Q695" s="52"/>
      <c r="R695" s="52"/>
      <c r="S695" s="52"/>
      <c r="T695" s="69">
        <f>SUM(N695:S695)</f>
        <v>0</v>
      </c>
      <c r="U695" s="69">
        <f>T695+L695</f>
        <v>0</v>
      </c>
      <c r="V695" s="70"/>
      <c r="W695" s="53">
        <f>V695-U695</f>
        <v>0</v>
      </c>
    </row>
    <row r="696" spans="1:28" s="48" customFormat="1" ht="18" hidden="1" customHeight="1">
      <c r="A696" s="614"/>
      <c r="B696" s="581"/>
      <c r="C696" s="581"/>
      <c r="D696" s="178" t="str">
        <f>серпень!D619</f>
        <v>касові нат.п-ки 2025</v>
      </c>
      <c r="E696" s="11"/>
      <c r="F696" s="11"/>
      <c r="G696" s="11"/>
      <c r="H696" s="11"/>
      <c r="I696" s="11"/>
      <c r="J696" s="11"/>
      <c r="K696" s="11"/>
      <c r="L696" s="65">
        <f>SUM(F696:K696)</f>
        <v>0</v>
      </c>
      <c r="M696" s="65">
        <f>L696/6</f>
        <v>0</v>
      </c>
      <c r="N696" s="11"/>
      <c r="O696" s="11"/>
      <c r="P696" s="11"/>
      <c r="Q696" s="11"/>
      <c r="R696" s="11"/>
      <c r="S696" s="11"/>
      <c r="T696" s="65">
        <f>SUM(N696:S696)</f>
        <v>0</v>
      </c>
      <c r="U696" s="65">
        <f>T696+L696</f>
        <v>0</v>
      </c>
      <c r="V696" s="11">
        <f>V691</f>
        <v>0</v>
      </c>
      <c r="W696" s="38">
        <f>V696-U696</f>
        <v>0</v>
      </c>
      <c r="X696" s="47">
        <f>U691-U696</f>
        <v>0</v>
      </c>
    </row>
    <row r="697" spans="1:28" s="51" customFormat="1" ht="18" hidden="1" customHeight="1">
      <c r="A697" s="614"/>
      <c r="B697" s="581"/>
      <c r="C697" s="581"/>
      <c r="D697" s="187" t="str">
        <f>серпень!D620</f>
        <v>тариф, грн.</v>
      </c>
      <c r="E697" s="49" t="e">
        <f>E698/E696*1000</f>
        <v>#DIV/0!</v>
      </c>
      <c r="F697" s="49">
        <v>0</v>
      </c>
      <c r="G697" s="49">
        <v>0</v>
      </c>
      <c r="H697" s="49">
        <v>0</v>
      </c>
      <c r="I697" s="49">
        <v>0</v>
      </c>
      <c r="J697" s="49">
        <v>0</v>
      </c>
      <c r="K697" s="49">
        <v>0</v>
      </c>
      <c r="L697" s="49" t="e">
        <f>L698/L696*1000</f>
        <v>#DIV/0!</v>
      </c>
      <c r="M697" s="49" t="e">
        <f>M698/M696*1000</f>
        <v>#DIV/0!</v>
      </c>
      <c r="N697" s="49">
        <v>0</v>
      </c>
      <c r="O697" s="49">
        <v>0</v>
      </c>
      <c r="P697" s="49">
        <v>0</v>
      </c>
      <c r="Q697" s="49">
        <v>0</v>
      </c>
      <c r="R697" s="49">
        <v>0</v>
      </c>
      <c r="S697" s="49">
        <v>0</v>
      </c>
      <c r="T697" s="49" t="e">
        <f>T698/T696*1000</f>
        <v>#DIV/0!</v>
      </c>
      <c r="U697" s="49" t="e">
        <f>U698/U696*1000</f>
        <v>#DIV/0!</v>
      </c>
      <c r="V697" s="68" t="e">
        <f>V698/V696*1000</f>
        <v>#DIV/0!</v>
      </c>
      <c r="W697" s="14" t="e">
        <f>W698/W696*1000</f>
        <v>#DIV/0!</v>
      </c>
      <c r="X697" s="59"/>
    </row>
    <row r="698" spans="1:28" s="126" customFormat="1" ht="18" hidden="1" customHeight="1">
      <c r="A698" s="614"/>
      <c r="B698" s="581"/>
      <c r="C698" s="581"/>
      <c r="D698" s="198" t="str">
        <f>серпень!D621</f>
        <v>касові видатки, тис.грн.</v>
      </c>
      <c r="E698" s="71"/>
      <c r="F698" s="61">
        <f>F696*F697/1000</f>
        <v>0</v>
      </c>
      <c r="G698" s="61">
        <f t="shared" ref="G698" si="778">G696*G697/1000</f>
        <v>0</v>
      </c>
      <c r="H698" s="61">
        <f t="shared" ref="H698" si="779">H696*H697/1000</f>
        <v>0</v>
      </c>
      <c r="I698" s="61">
        <f t="shared" ref="I698" si="780">I696*I697/1000</f>
        <v>0</v>
      </c>
      <c r="J698" s="61">
        <f t="shared" ref="J698" si="781">J696*J697/1000</f>
        <v>0</v>
      </c>
      <c r="K698" s="61">
        <f t="shared" ref="K698" si="782">K696*K697/1000</f>
        <v>0</v>
      </c>
      <c r="L698" s="61">
        <f>SUM(F698:K698)</f>
        <v>0</v>
      </c>
      <c r="M698" s="61">
        <f>L698/6</f>
        <v>0</v>
      </c>
      <c r="N698" s="61">
        <f>N696*N697/1000</f>
        <v>0</v>
      </c>
      <c r="O698" s="61">
        <f t="shared" ref="O698" si="783">O696*O697/1000</f>
        <v>0</v>
      </c>
      <c r="P698" s="61">
        <f t="shared" ref="P698" si="784">P696*P697/1000</f>
        <v>0</v>
      </c>
      <c r="Q698" s="61">
        <f t="shared" ref="Q698" si="785">Q696*Q697/1000</f>
        <v>0</v>
      </c>
      <c r="R698" s="61">
        <f t="shared" ref="R698" si="786">R696*R697/1000</f>
        <v>0</v>
      </c>
      <c r="S698" s="61">
        <f t="shared" ref="S698" si="787">S696*S697/1000</f>
        <v>0</v>
      </c>
      <c r="T698" s="61">
        <f>SUM(N698:S698)</f>
        <v>0</v>
      </c>
      <c r="U698" s="61">
        <f>T698+L698</f>
        <v>0</v>
      </c>
      <c r="V698" s="61">
        <f>V693</f>
        <v>0</v>
      </c>
      <c r="W698" s="72">
        <f>V698-U698</f>
        <v>0</v>
      </c>
      <c r="X698" s="63">
        <f>U693-U698</f>
        <v>0</v>
      </c>
    </row>
    <row r="699" spans="1:28" s="126" customFormat="1" ht="18" hidden="1" customHeight="1">
      <c r="A699" s="614"/>
      <c r="B699" s="581"/>
      <c r="C699" s="581"/>
      <c r="D699" s="201" t="str">
        <f>серпень!D622</f>
        <v>дотація</v>
      </c>
      <c r="E699" s="71"/>
      <c r="F699" s="61"/>
      <c r="G699" s="61"/>
      <c r="H699" s="61"/>
      <c r="I699" s="61"/>
      <c r="J699" s="61"/>
      <c r="K699" s="61"/>
      <c r="L699" s="61">
        <f>SUM(F699:K699)</f>
        <v>0</v>
      </c>
      <c r="M699" s="61">
        <f>L699/6</f>
        <v>0</v>
      </c>
      <c r="N699" s="61"/>
      <c r="O699" s="61"/>
      <c r="P699" s="61"/>
      <c r="Q699" s="61"/>
      <c r="R699" s="61"/>
      <c r="S699" s="61"/>
      <c r="T699" s="61">
        <f>SUM(N699:S699)</f>
        <v>0</v>
      </c>
      <c r="U699" s="61">
        <f>T699+L699</f>
        <v>0</v>
      </c>
      <c r="V699" s="61">
        <f>V694</f>
        <v>0</v>
      </c>
      <c r="W699" s="72">
        <f>V699-U699</f>
        <v>0</v>
      </c>
      <c r="X699" s="63"/>
    </row>
    <row r="700" spans="1:28" s="126" customFormat="1" ht="18" hidden="1" customHeight="1">
      <c r="A700" s="614"/>
      <c r="B700" s="581"/>
      <c r="C700" s="581"/>
      <c r="D700" s="201" t="str">
        <f>серпень!D623</f>
        <v xml:space="preserve">місцевий </v>
      </c>
      <c r="E700" s="71"/>
      <c r="F700" s="61">
        <f t="shared" ref="F700:K700" si="788">F698-F699</f>
        <v>0</v>
      </c>
      <c r="G700" s="61">
        <f t="shared" si="788"/>
        <v>0</v>
      </c>
      <c r="H700" s="61">
        <f t="shared" si="788"/>
        <v>0</v>
      </c>
      <c r="I700" s="61">
        <f t="shared" si="788"/>
        <v>0</v>
      </c>
      <c r="J700" s="61">
        <f t="shared" si="788"/>
        <v>0</v>
      </c>
      <c r="K700" s="61">
        <f t="shared" si="788"/>
        <v>0</v>
      </c>
      <c r="L700" s="61">
        <f>SUM(F700:K700)</f>
        <v>0</v>
      </c>
      <c r="M700" s="61">
        <f>L700/6</f>
        <v>0</v>
      </c>
      <c r="N700" s="61">
        <f t="shared" ref="N700:S700" si="789">N698-N699</f>
        <v>0</v>
      </c>
      <c r="O700" s="61">
        <f t="shared" si="789"/>
        <v>0</v>
      </c>
      <c r="P700" s="61">
        <f t="shared" si="789"/>
        <v>0</v>
      </c>
      <c r="Q700" s="61">
        <f t="shared" si="789"/>
        <v>0</v>
      </c>
      <c r="R700" s="61">
        <f t="shared" si="789"/>
        <v>0</v>
      </c>
      <c r="S700" s="61">
        <f t="shared" si="789"/>
        <v>0</v>
      </c>
      <c r="T700" s="61">
        <f>SUM(N700:S700)</f>
        <v>0</v>
      </c>
      <c r="U700" s="61">
        <f>T700+L700</f>
        <v>0</v>
      </c>
      <c r="V700" s="61">
        <f>V695</f>
        <v>0</v>
      </c>
      <c r="W700" s="72">
        <f>V700-U700</f>
        <v>0</v>
      </c>
      <c r="X700" s="63">
        <f>U695-U700</f>
        <v>0</v>
      </c>
    </row>
    <row r="701" spans="1:28" s="43" customFormat="1" ht="18" hidden="1" customHeight="1">
      <c r="A701" s="614"/>
      <c r="B701" s="581"/>
      <c r="C701" s="581"/>
      <c r="D701" s="202" t="str">
        <f>серпень!D624</f>
        <v>план</v>
      </c>
      <c r="E701" s="42"/>
      <c r="F701" s="42">
        <f t="shared" ref="F701:K701" si="790">F695</f>
        <v>0</v>
      </c>
      <c r="G701" s="42">
        <f t="shared" si="790"/>
        <v>0</v>
      </c>
      <c r="H701" s="42">
        <f t="shared" si="790"/>
        <v>0</v>
      </c>
      <c r="I701" s="42">
        <f t="shared" si="790"/>
        <v>0</v>
      </c>
      <c r="J701" s="42">
        <f t="shared" si="790"/>
        <v>0</v>
      </c>
      <c r="K701" s="42">
        <f t="shared" si="790"/>
        <v>0</v>
      </c>
      <c r="L701" s="42">
        <f>SUM(F701:K701)</f>
        <v>0</v>
      </c>
      <c r="M701" s="42">
        <f>L701/6</f>
        <v>0</v>
      </c>
      <c r="N701" s="42">
        <f t="shared" ref="N701:S701" si="791">N695+N694</f>
        <v>0</v>
      </c>
      <c r="O701" s="42">
        <f t="shared" si="791"/>
        <v>0</v>
      </c>
      <c r="P701" s="42">
        <f t="shared" si="791"/>
        <v>0</v>
      </c>
      <c r="Q701" s="42">
        <f t="shared" si="791"/>
        <v>0</v>
      </c>
      <c r="R701" s="42">
        <f t="shared" si="791"/>
        <v>0</v>
      </c>
      <c r="S701" s="42">
        <f t="shared" si="791"/>
        <v>0</v>
      </c>
      <c r="T701" s="42">
        <f>SUM(N701:S701)</f>
        <v>0</v>
      </c>
      <c r="U701" s="42">
        <f>T701+L701</f>
        <v>0</v>
      </c>
      <c r="V701" s="42">
        <f>V698</f>
        <v>0</v>
      </c>
      <c r="W701" s="42">
        <f>V701-U701</f>
        <v>0</v>
      </c>
    </row>
    <row r="702" spans="1:28" s="43" customFormat="1" ht="18" hidden="1" customHeight="1">
      <c r="A702" s="614"/>
      <c r="B702" s="581"/>
      <c r="C702" s="581"/>
      <c r="D702" s="202" t="str">
        <f>серпень!D625</f>
        <v xml:space="preserve">відхилення </v>
      </c>
      <c r="E702" s="42"/>
      <c r="F702" s="42">
        <f t="shared" ref="F702:K702" si="792">F698-F701</f>
        <v>0</v>
      </c>
      <c r="G702" s="42">
        <f t="shared" si="792"/>
        <v>0</v>
      </c>
      <c r="H702" s="42">
        <f t="shared" si="792"/>
        <v>0</v>
      </c>
      <c r="I702" s="42">
        <f t="shared" si="792"/>
        <v>0</v>
      </c>
      <c r="J702" s="42">
        <f t="shared" si="792"/>
        <v>0</v>
      </c>
      <c r="K702" s="42">
        <f t="shared" si="792"/>
        <v>0</v>
      </c>
      <c r="L702" s="42"/>
      <c r="M702" s="42"/>
      <c r="N702" s="42">
        <f t="shared" ref="N702:S702" si="793">N698-N701</f>
        <v>0</v>
      </c>
      <c r="O702" s="42">
        <f t="shared" si="793"/>
        <v>0</v>
      </c>
      <c r="P702" s="42">
        <f t="shared" si="793"/>
        <v>0</v>
      </c>
      <c r="Q702" s="42">
        <f t="shared" si="793"/>
        <v>0</v>
      </c>
      <c r="R702" s="42">
        <f t="shared" si="793"/>
        <v>0</v>
      </c>
      <c r="S702" s="42">
        <f t="shared" si="793"/>
        <v>0</v>
      </c>
      <c r="T702" s="42"/>
      <c r="U702" s="42"/>
      <c r="V702" s="42"/>
      <c r="W702" s="42"/>
    </row>
    <row r="703" spans="1:28" s="43" customFormat="1" ht="18" hidden="1" customHeight="1">
      <c r="A703" s="614"/>
      <c r="B703" s="581"/>
      <c r="C703" s="581"/>
      <c r="D703" s="202" t="str">
        <f>серпень!D626</f>
        <v>відхилення з наростаючим</v>
      </c>
      <c r="E703" s="42"/>
      <c r="F703" s="42">
        <f>F702</f>
        <v>0</v>
      </c>
      <c r="G703" s="42">
        <f>G702+F703</f>
        <v>0</v>
      </c>
      <c r="H703" s="42">
        <f>H702+G703</f>
        <v>0</v>
      </c>
      <c r="I703" s="42">
        <f>I702+H703</f>
        <v>0</v>
      </c>
      <c r="J703" s="42">
        <f>J702+I703</f>
        <v>0</v>
      </c>
      <c r="K703" s="42">
        <f>K702+J703</f>
        <v>0</v>
      </c>
      <c r="L703" s="42"/>
      <c r="M703" s="42"/>
      <c r="N703" s="42">
        <f>N702+K703</f>
        <v>0</v>
      </c>
      <c r="O703" s="42">
        <f>O702+N703</f>
        <v>0</v>
      </c>
      <c r="P703" s="42">
        <f>P702+O703</f>
        <v>0</v>
      </c>
      <c r="Q703" s="42">
        <f>Q702+P703</f>
        <v>0</v>
      </c>
      <c r="R703" s="42">
        <f>R702+Q703</f>
        <v>0</v>
      </c>
      <c r="S703" s="42">
        <f>S702+R703</f>
        <v>0</v>
      </c>
      <c r="T703" s="42"/>
      <c r="U703" s="42"/>
      <c r="V703" s="42"/>
      <c r="W703" s="42"/>
    </row>
    <row r="704" spans="1:28" s="47" customFormat="1" ht="18" hidden="1" customHeight="1">
      <c r="A704" s="614"/>
      <c r="B704" s="585" t="s">
        <v>88</v>
      </c>
      <c r="C704" s="586"/>
      <c r="D704" s="178" t="str">
        <f>серпень!D627</f>
        <v>факт. нат.п-ки 2023</v>
      </c>
      <c r="E704" s="11"/>
      <c r="F704" s="12">
        <f>F719+F734</f>
        <v>0</v>
      </c>
      <c r="G704" s="12">
        <f t="shared" ref="G704:K704" si="794">G719+G734</f>
        <v>0</v>
      </c>
      <c r="H704" s="12">
        <f t="shared" si="794"/>
        <v>0</v>
      </c>
      <c r="I704" s="12">
        <f t="shared" si="794"/>
        <v>0</v>
      </c>
      <c r="J704" s="12">
        <f t="shared" si="794"/>
        <v>0</v>
      </c>
      <c r="K704" s="12">
        <f t="shared" si="794"/>
        <v>0</v>
      </c>
      <c r="L704" s="65">
        <f>SUM(F704:K704)</f>
        <v>0</v>
      </c>
      <c r="M704" s="65">
        <f>L704/6</f>
        <v>0</v>
      </c>
      <c r="N704" s="12">
        <f>N719+N734</f>
        <v>0</v>
      </c>
      <c r="O704" s="12">
        <f t="shared" ref="O704:S704" si="795">O719+O734</f>
        <v>0</v>
      </c>
      <c r="P704" s="12">
        <f t="shared" si="795"/>
        <v>0</v>
      </c>
      <c r="Q704" s="12">
        <f t="shared" si="795"/>
        <v>0</v>
      </c>
      <c r="R704" s="12">
        <f t="shared" si="795"/>
        <v>0</v>
      </c>
      <c r="S704" s="12">
        <f t="shared" si="795"/>
        <v>0</v>
      </c>
      <c r="T704" s="65">
        <f>SUM(N704:S704)</f>
        <v>0</v>
      </c>
      <c r="U704" s="66">
        <f>T704+L704</f>
        <v>0</v>
      </c>
      <c r="V704" s="67">
        <f t="shared" ref="V704" si="796">V719+V734</f>
        <v>0</v>
      </c>
      <c r="W704" s="38">
        <f>V704-U704</f>
        <v>0</v>
      </c>
    </row>
    <row r="705" spans="1:23" s="47" customFormat="1" ht="18" hidden="1" customHeight="1">
      <c r="A705" s="614"/>
      <c r="B705" s="587"/>
      <c r="C705" s="588"/>
      <c r="D705" s="178" t="str">
        <f>серпень!D628</f>
        <v>факт. нат.п-ки 2024</v>
      </c>
      <c r="E705" s="11"/>
      <c r="F705" s="12">
        <f t="shared" ref="F705:K706" si="797">F720+F735</f>
        <v>0</v>
      </c>
      <c r="G705" s="12">
        <f t="shared" si="797"/>
        <v>0</v>
      </c>
      <c r="H705" s="12">
        <f t="shared" si="797"/>
        <v>0</v>
      </c>
      <c r="I705" s="12">
        <f t="shared" si="797"/>
        <v>0</v>
      </c>
      <c r="J705" s="12">
        <f t="shared" si="797"/>
        <v>0</v>
      </c>
      <c r="K705" s="12">
        <f t="shared" si="797"/>
        <v>0</v>
      </c>
      <c r="L705" s="65">
        <f>SUM(F705:K705)</f>
        <v>0</v>
      </c>
      <c r="M705" s="65">
        <f>L705/6</f>
        <v>0</v>
      </c>
      <c r="N705" s="11">
        <f t="shared" ref="N705:S705" si="798">N720+N735</f>
        <v>0</v>
      </c>
      <c r="O705" s="11">
        <f t="shared" si="798"/>
        <v>0</v>
      </c>
      <c r="P705" s="11">
        <f t="shared" si="798"/>
        <v>0</v>
      </c>
      <c r="Q705" s="11">
        <f t="shared" si="798"/>
        <v>0</v>
      </c>
      <c r="R705" s="11">
        <f t="shared" si="798"/>
        <v>0</v>
      </c>
      <c r="S705" s="11">
        <f t="shared" si="798"/>
        <v>0</v>
      </c>
      <c r="T705" s="65">
        <f>SUM(N705:S705)</f>
        <v>0</v>
      </c>
      <c r="U705" s="66">
        <f>T705+L705</f>
        <v>0</v>
      </c>
      <c r="V705" s="67">
        <f t="shared" ref="V705" si="799">V720+V735</f>
        <v>0</v>
      </c>
      <c r="W705" s="38">
        <f>V705-U705</f>
        <v>0</v>
      </c>
    </row>
    <row r="706" spans="1:23" s="47" customFormat="1" ht="18" hidden="1" customHeight="1">
      <c r="A706" s="614"/>
      <c r="B706" s="587"/>
      <c r="C706" s="588"/>
      <c r="D706" s="178" t="str">
        <f>серпень!D629</f>
        <v>факт. нат.п-ки 2025</v>
      </c>
      <c r="E706" s="11"/>
      <c r="F706" s="12">
        <f t="shared" si="797"/>
        <v>0</v>
      </c>
      <c r="G706" s="12">
        <f t="shared" si="797"/>
        <v>0</v>
      </c>
      <c r="H706" s="12">
        <f t="shared" si="797"/>
        <v>0</v>
      </c>
      <c r="I706" s="12">
        <f t="shared" si="797"/>
        <v>0</v>
      </c>
      <c r="J706" s="12">
        <f t="shared" si="797"/>
        <v>0</v>
      </c>
      <c r="K706" s="12">
        <f t="shared" si="797"/>
        <v>0</v>
      </c>
      <c r="L706" s="65">
        <f>SUM(F706:K706)</f>
        <v>0</v>
      </c>
      <c r="M706" s="65">
        <f>L706/6</f>
        <v>0</v>
      </c>
      <c r="N706" s="12">
        <f t="shared" ref="N706:S706" si="800">N721+N736</f>
        <v>0</v>
      </c>
      <c r="O706" s="12">
        <f t="shared" si="800"/>
        <v>0</v>
      </c>
      <c r="P706" s="12">
        <f t="shared" si="800"/>
        <v>0</v>
      </c>
      <c r="Q706" s="12">
        <f t="shared" si="800"/>
        <v>0</v>
      </c>
      <c r="R706" s="12">
        <f t="shared" si="800"/>
        <v>0</v>
      </c>
      <c r="S706" s="11">
        <f t="shared" si="800"/>
        <v>0</v>
      </c>
      <c r="T706" s="65">
        <f>SUM(N706:S706)</f>
        <v>0</v>
      </c>
      <c r="U706" s="66">
        <f>T706+L706</f>
        <v>0</v>
      </c>
      <c r="V706" s="11">
        <f t="shared" ref="V706" si="801">V721+V736</f>
        <v>0</v>
      </c>
      <c r="W706" s="38">
        <f>V706-U706</f>
        <v>0</v>
      </c>
    </row>
    <row r="707" spans="1:23" s="47" customFormat="1" ht="18" hidden="1" customHeight="1">
      <c r="A707" s="614"/>
      <c r="B707" s="587"/>
      <c r="C707" s="588"/>
      <c r="D707" s="187" t="str">
        <f>серпень!D630</f>
        <v>тариф, грн.</v>
      </c>
      <c r="E707" s="49"/>
      <c r="F707" s="49" t="e">
        <f>F708/F706*1000</f>
        <v>#DIV/0!</v>
      </c>
      <c r="G707" s="49" t="e">
        <f t="shared" ref="G707:K707" si="802">G708/G706*1000</f>
        <v>#DIV/0!</v>
      </c>
      <c r="H707" s="49" t="e">
        <f t="shared" si="802"/>
        <v>#DIV/0!</v>
      </c>
      <c r="I707" s="49" t="e">
        <f t="shared" si="802"/>
        <v>#DIV/0!</v>
      </c>
      <c r="J707" s="49" t="e">
        <f t="shared" si="802"/>
        <v>#DIV/0!</v>
      </c>
      <c r="K707" s="49" t="e">
        <f t="shared" si="802"/>
        <v>#DIV/0!</v>
      </c>
      <c r="L707" s="49" t="e">
        <f>L708/L706*1000</f>
        <v>#DIV/0!</v>
      </c>
      <c r="M707" s="49" t="e">
        <f>M708/M706*1000</f>
        <v>#DIV/0!</v>
      </c>
      <c r="N707" s="49" t="e">
        <f>N708/N706*1000</f>
        <v>#DIV/0!</v>
      </c>
      <c r="O707" s="49" t="e">
        <f t="shared" ref="O707" si="803">O708/O706*1000</f>
        <v>#DIV/0!</v>
      </c>
      <c r="P707" s="49" t="e">
        <f t="shared" ref="P707" si="804">P708/P706*1000</f>
        <v>#DIV/0!</v>
      </c>
      <c r="Q707" s="49" t="e">
        <f t="shared" ref="Q707" si="805">Q708/Q706*1000</f>
        <v>#DIV/0!</v>
      </c>
      <c r="R707" s="49" t="e">
        <f t="shared" ref="R707" si="806">R708/R706*1000</f>
        <v>#DIV/0!</v>
      </c>
      <c r="S707" s="49" t="e">
        <f t="shared" ref="S707" si="807">S708/S706*1000</f>
        <v>#DIV/0!</v>
      </c>
      <c r="T707" s="49" t="e">
        <f>T708/T706*1000</f>
        <v>#DIV/0!</v>
      </c>
      <c r="U707" s="49" t="e">
        <f>U708/U706*1000</f>
        <v>#DIV/0!</v>
      </c>
      <c r="V707" s="49" t="e">
        <f t="shared" ref="V707" si="808">V708/V706*1000</f>
        <v>#DIV/0!</v>
      </c>
      <c r="W707" s="14" t="e">
        <f>W708/W706*1000</f>
        <v>#DIV/0!</v>
      </c>
    </row>
    <row r="708" spans="1:23" s="47" customFormat="1" ht="18" hidden="1" customHeight="1">
      <c r="A708" s="614"/>
      <c r="B708" s="587"/>
      <c r="C708" s="588"/>
      <c r="D708" s="191" t="str">
        <f>серпень!D631</f>
        <v>сума, тис.грн.</v>
      </c>
      <c r="E708" s="52"/>
      <c r="F708" s="52">
        <f>F723+F738</f>
        <v>0</v>
      </c>
      <c r="G708" s="52">
        <f t="shared" ref="G708:K708" si="809">G723+G738</f>
        <v>0</v>
      </c>
      <c r="H708" s="52">
        <f t="shared" si="809"/>
        <v>0</v>
      </c>
      <c r="I708" s="52">
        <f t="shared" si="809"/>
        <v>0</v>
      </c>
      <c r="J708" s="52">
        <f t="shared" si="809"/>
        <v>0</v>
      </c>
      <c r="K708" s="52">
        <f t="shared" si="809"/>
        <v>0</v>
      </c>
      <c r="L708" s="69">
        <f>SUM(F708:K708)</f>
        <v>0</v>
      </c>
      <c r="M708" s="69">
        <f>L708/6</f>
        <v>0</v>
      </c>
      <c r="N708" s="52">
        <f>N723+N738</f>
        <v>0</v>
      </c>
      <c r="O708" s="52">
        <f t="shared" ref="O708:S708" si="810">O723+O738</f>
        <v>0</v>
      </c>
      <c r="P708" s="52">
        <f t="shared" si="810"/>
        <v>0</v>
      </c>
      <c r="Q708" s="52">
        <f t="shared" si="810"/>
        <v>0</v>
      </c>
      <c r="R708" s="52">
        <f t="shared" si="810"/>
        <v>0</v>
      </c>
      <c r="S708" s="52">
        <f t="shared" si="810"/>
        <v>0</v>
      </c>
      <c r="T708" s="69">
        <f>SUM(N708:S708)</f>
        <v>0</v>
      </c>
      <c r="U708" s="69">
        <f>T708+L708</f>
        <v>0</v>
      </c>
      <c r="V708" s="70">
        <f t="shared" ref="V708" si="811">V723+V738</f>
        <v>0</v>
      </c>
      <c r="W708" s="53">
        <f>V708-U708</f>
        <v>0</v>
      </c>
    </row>
    <row r="709" spans="1:23" s="47" customFormat="1" ht="18" hidden="1" customHeight="1">
      <c r="A709" s="614"/>
      <c r="B709" s="587"/>
      <c r="C709" s="588"/>
      <c r="D709" s="174" t="str">
        <f>серпень!D632</f>
        <v>дотація</v>
      </c>
      <c r="E709" s="56"/>
      <c r="F709" s="52">
        <f t="shared" ref="F709:K709" si="812">F724+F739</f>
        <v>0</v>
      </c>
      <c r="G709" s="52">
        <f t="shared" si="812"/>
        <v>0</v>
      </c>
      <c r="H709" s="52">
        <f t="shared" si="812"/>
        <v>0</v>
      </c>
      <c r="I709" s="52">
        <f t="shared" si="812"/>
        <v>0</v>
      </c>
      <c r="J709" s="52">
        <f t="shared" si="812"/>
        <v>0</v>
      </c>
      <c r="K709" s="52">
        <f t="shared" si="812"/>
        <v>0</v>
      </c>
      <c r="L709" s="69">
        <f>SUM(F709:K709)</f>
        <v>0</v>
      </c>
      <c r="M709" s="69">
        <f>L709/6</f>
        <v>0</v>
      </c>
      <c r="N709" s="52">
        <f t="shared" ref="N709:S709" si="813">N724+N739</f>
        <v>0</v>
      </c>
      <c r="O709" s="52">
        <f t="shared" si="813"/>
        <v>0</v>
      </c>
      <c r="P709" s="52">
        <f t="shared" si="813"/>
        <v>0</v>
      </c>
      <c r="Q709" s="52">
        <f t="shared" si="813"/>
        <v>0</v>
      </c>
      <c r="R709" s="52">
        <f t="shared" si="813"/>
        <v>0</v>
      </c>
      <c r="S709" s="52">
        <f t="shared" si="813"/>
        <v>0</v>
      </c>
      <c r="T709" s="69">
        <f>SUM(N709:S709)</f>
        <v>0</v>
      </c>
      <c r="U709" s="69">
        <f>T709+L709</f>
        <v>0</v>
      </c>
      <c r="V709" s="70">
        <f t="shared" ref="V709" si="814">V724+V739</f>
        <v>0</v>
      </c>
      <c r="W709" s="53">
        <f>V709-U709</f>
        <v>0</v>
      </c>
    </row>
    <row r="710" spans="1:23" s="47" customFormat="1" ht="18" hidden="1" customHeight="1">
      <c r="A710" s="614"/>
      <c r="B710" s="587"/>
      <c r="C710" s="588"/>
      <c r="D710" s="174" t="str">
        <f>серпень!D633</f>
        <v>місцевий (план), тис.грн</v>
      </c>
      <c r="E710" s="56"/>
      <c r="F710" s="52">
        <f t="shared" ref="F710:K711" si="815">F725+F740</f>
        <v>0</v>
      </c>
      <c r="G710" s="52">
        <f t="shared" si="815"/>
        <v>0</v>
      </c>
      <c r="H710" s="52">
        <f t="shared" si="815"/>
        <v>0</v>
      </c>
      <c r="I710" s="52">
        <f t="shared" si="815"/>
        <v>0</v>
      </c>
      <c r="J710" s="52">
        <f t="shared" si="815"/>
        <v>0</v>
      </c>
      <c r="K710" s="52">
        <f t="shared" si="815"/>
        <v>0</v>
      </c>
      <c r="L710" s="69">
        <f>SUM(F710:K710)</f>
        <v>0</v>
      </c>
      <c r="M710" s="69">
        <f>L710/6</f>
        <v>0</v>
      </c>
      <c r="N710" s="52">
        <f t="shared" ref="N710:S711" si="816">N725+N740</f>
        <v>0</v>
      </c>
      <c r="O710" s="52">
        <f t="shared" si="816"/>
        <v>0</v>
      </c>
      <c r="P710" s="52">
        <f t="shared" si="816"/>
        <v>0</v>
      </c>
      <c r="Q710" s="52">
        <f t="shared" si="816"/>
        <v>0</v>
      </c>
      <c r="R710" s="52">
        <f t="shared" si="816"/>
        <v>0</v>
      </c>
      <c r="S710" s="52">
        <f t="shared" si="816"/>
        <v>0</v>
      </c>
      <c r="T710" s="69">
        <f>SUM(N710:S710)</f>
        <v>0</v>
      </c>
      <c r="U710" s="69">
        <f>T710+L710</f>
        <v>0</v>
      </c>
      <c r="V710" s="70">
        <f t="shared" ref="V710" si="817">V725+V740</f>
        <v>0</v>
      </c>
      <c r="W710" s="53">
        <f>V710-U710</f>
        <v>0</v>
      </c>
    </row>
    <row r="711" spans="1:23" s="47" customFormat="1" ht="18" hidden="1" customHeight="1">
      <c r="A711" s="614"/>
      <c r="B711" s="587"/>
      <c r="C711" s="588"/>
      <c r="D711" s="178" t="str">
        <f>серпень!D634</f>
        <v>касові нат.п-ки 2025</v>
      </c>
      <c r="E711" s="11"/>
      <c r="F711" s="11">
        <f t="shared" si="815"/>
        <v>0</v>
      </c>
      <c r="G711" s="11">
        <f t="shared" si="815"/>
        <v>0</v>
      </c>
      <c r="H711" s="11">
        <f t="shared" si="815"/>
        <v>0</v>
      </c>
      <c r="I711" s="11">
        <f t="shared" si="815"/>
        <v>0</v>
      </c>
      <c r="J711" s="11">
        <f t="shared" si="815"/>
        <v>0</v>
      </c>
      <c r="K711" s="11">
        <f t="shared" si="815"/>
        <v>0</v>
      </c>
      <c r="L711" s="65">
        <f>SUM(F711:K711)</f>
        <v>0</v>
      </c>
      <c r="M711" s="65">
        <f>L711/6</f>
        <v>0</v>
      </c>
      <c r="N711" s="11">
        <f t="shared" si="816"/>
        <v>0</v>
      </c>
      <c r="O711" s="11">
        <f t="shared" si="816"/>
        <v>0</v>
      </c>
      <c r="P711" s="11">
        <f t="shared" si="816"/>
        <v>0</v>
      </c>
      <c r="Q711" s="11">
        <f t="shared" si="816"/>
        <v>0</v>
      </c>
      <c r="R711" s="11">
        <f t="shared" si="816"/>
        <v>0</v>
      </c>
      <c r="S711" s="11">
        <f t="shared" si="816"/>
        <v>0</v>
      </c>
      <c r="T711" s="65">
        <f>SUM(N711:S711)</f>
        <v>0</v>
      </c>
      <c r="U711" s="65">
        <f>T711+L711</f>
        <v>0</v>
      </c>
      <c r="V711" s="11">
        <f t="shared" ref="V711" si="818">V726+V741</f>
        <v>0</v>
      </c>
      <c r="W711" s="38">
        <f>V711-U711</f>
        <v>0</v>
      </c>
    </row>
    <row r="712" spans="1:23" s="47" customFormat="1" ht="18" hidden="1" customHeight="1">
      <c r="A712" s="614"/>
      <c r="B712" s="587"/>
      <c r="C712" s="588"/>
      <c r="D712" s="187" t="str">
        <f>серпень!D635</f>
        <v>тариф, грн.</v>
      </c>
      <c r="E712" s="49" t="e">
        <f>E713/E711*1000</f>
        <v>#DIV/0!</v>
      </c>
      <c r="F712" s="49" t="e">
        <f>F713/F711*1000</f>
        <v>#DIV/0!</v>
      </c>
      <c r="G712" s="49" t="e">
        <f t="shared" ref="G712" si="819">G713/G711*1000</f>
        <v>#DIV/0!</v>
      </c>
      <c r="H712" s="49" t="e">
        <f t="shared" ref="H712" si="820">H713/H711*1000</f>
        <v>#DIV/0!</v>
      </c>
      <c r="I712" s="49" t="e">
        <f t="shared" ref="I712" si="821">I713/I711*1000</f>
        <v>#DIV/0!</v>
      </c>
      <c r="J712" s="49" t="e">
        <f t="shared" ref="J712" si="822">J713/J711*1000</f>
        <v>#DIV/0!</v>
      </c>
      <c r="K712" s="49" t="e">
        <f t="shared" ref="K712" si="823">K713/K711*1000</f>
        <v>#DIV/0!</v>
      </c>
      <c r="L712" s="49" t="e">
        <f>L713/L711*1000</f>
        <v>#DIV/0!</v>
      </c>
      <c r="M712" s="49" t="e">
        <f>M713/M711*1000</f>
        <v>#DIV/0!</v>
      </c>
      <c r="N712" s="49" t="e">
        <f>N713/N711*1000</f>
        <v>#DIV/0!</v>
      </c>
      <c r="O712" s="49" t="e">
        <f t="shared" ref="O712" si="824">O713/O711*1000</f>
        <v>#DIV/0!</v>
      </c>
      <c r="P712" s="49" t="e">
        <f t="shared" ref="P712" si="825">P713/P711*1000</f>
        <v>#DIV/0!</v>
      </c>
      <c r="Q712" s="49" t="e">
        <f t="shared" ref="Q712" si="826">Q713/Q711*1000</f>
        <v>#DIV/0!</v>
      </c>
      <c r="R712" s="49" t="e">
        <f t="shared" ref="R712" si="827">R713/R711*1000</f>
        <v>#DIV/0!</v>
      </c>
      <c r="S712" s="49" t="e">
        <f t="shared" ref="S712" si="828">S713/S711*1000</f>
        <v>#DIV/0!</v>
      </c>
      <c r="T712" s="49" t="e">
        <f>T713/T711*1000</f>
        <v>#DIV/0!</v>
      </c>
      <c r="U712" s="49" t="e">
        <f>U713/U711*1000</f>
        <v>#DIV/0!</v>
      </c>
      <c r="V712" s="49" t="e">
        <f t="shared" ref="V712" si="829">V713/V711*1000</f>
        <v>#DIV/0!</v>
      </c>
      <c r="W712" s="14" t="e">
        <f>W713/W711*1000</f>
        <v>#DIV/0!</v>
      </c>
    </row>
    <row r="713" spans="1:23" s="47" customFormat="1" ht="18" hidden="1" customHeight="1">
      <c r="A713" s="614"/>
      <c r="B713" s="587"/>
      <c r="C713" s="588"/>
      <c r="D713" s="198" t="str">
        <f>серпень!D636</f>
        <v>касові видатки, тис.грн.</v>
      </c>
      <c r="E713" s="71"/>
      <c r="F713" s="61">
        <f>F728+F743</f>
        <v>0</v>
      </c>
      <c r="G713" s="61">
        <f t="shared" ref="G713:K713" si="830">G728+G743</f>
        <v>0</v>
      </c>
      <c r="H713" s="61">
        <f t="shared" si="830"/>
        <v>0</v>
      </c>
      <c r="I713" s="61">
        <f t="shared" si="830"/>
        <v>0</v>
      </c>
      <c r="J713" s="61">
        <f t="shared" si="830"/>
        <v>0</v>
      </c>
      <c r="K713" s="61">
        <f t="shared" si="830"/>
        <v>0</v>
      </c>
      <c r="L713" s="61">
        <f>SUM(F713:K713)</f>
        <v>0</v>
      </c>
      <c r="M713" s="61">
        <f>L713/6</f>
        <v>0</v>
      </c>
      <c r="N713" s="61">
        <f>N728+N743</f>
        <v>0</v>
      </c>
      <c r="O713" s="61">
        <f t="shared" ref="O713:S713" si="831">O728+O743</f>
        <v>0</v>
      </c>
      <c r="P713" s="61">
        <f t="shared" si="831"/>
        <v>0</v>
      </c>
      <c r="Q713" s="61">
        <f t="shared" si="831"/>
        <v>0</v>
      </c>
      <c r="R713" s="61">
        <f t="shared" si="831"/>
        <v>0</v>
      </c>
      <c r="S713" s="61">
        <f t="shared" si="831"/>
        <v>0</v>
      </c>
      <c r="T713" s="61">
        <f>SUM(N713:S713)</f>
        <v>0</v>
      </c>
      <c r="U713" s="61">
        <f>T713+L713</f>
        <v>0</v>
      </c>
      <c r="V713" s="61">
        <f t="shared" ref="V713" si="832">V728+V743</f>
        <v>0</v>
      </c>
      <c r="W713" s="72">
        <f>V713-U713</f>
        <v>0</v>
      </c>
    </row>
    <row r="714" spans="1:23" s="47" customFormat="1" ht="18" hidden="1" customHeight="1">
      <c r="A714" s="614"/>
      <c r="B714" s="587"/>
      <c r="C714" s="588"/>
      <c r="D714" s="201" t="str">
        <f>серпень!D637</f>
        <v>дотація</v>
      </c>
      <c r="E714" s="71"/>
      <c r="F714" s="61">
        <f t="shared" ref="F714:K714" si="833">F729+F744</f>
        <v>0</v>
      </c>
      <c r="G714" s="61">
        <f t="shared" si="833"/>
        <v>0</v>
      </c>
      <c r="H714" s="61">
        <f t="shared" si="833"/>
        <v>0</v>
      </c>
      <c r="I714" s="61">
        <f t="shared" si="833"/>
        <v>0</v>
      </c>
      <c r="J714" s="61">
        <f t="shared" si="833"/>
        <v>0</v>
      </c>
      <c r="K714" s="61">
        <f t="shared" si="833"/>
        <v>0</v>
      </c>
      <c r="L714" s="61">
        <f>SUM(F714:K714)</f>
        <v>0</v>
      </c>
      <c r="M714" s="61">
        <f>L714/6</f>
        <v>0</v>
      </c>
      <c r="N714" s="61">
        <f t="shared" ref="N714:S714" si="834">N729+N744</f>
        <v>0</v>
      </c>
      <c r="O714" s="61">
        <f t="shared" si="834"/>
        <v>0</v>
      </c>
      <c r="P714" s="61">
        <f t="shared" si="834"/>
        <v>0</v>
      </c>
      <c r="Q714" s="61">
        <f t="shared" si="834"/>
        <v>0</v>
      </c>
      <c r="R714" s="61">
        <f t="shared" si="834"/>
        <v>0</v>
      </c>
      <c r="S714" s="61">
        <f t="shared" si="834"/>
        <v>0</v>
      </c>
      <c r="T714" s="61">
        <f>SUM(N714:S714)</f>
        <v>0</v>
      </c>
      <c r="U714" s="61">
        <f>T714+L714</f>
        <v>0</v>
      </c>
      <c r="V714" s="61">
        <f t="shared" ref="V714" si="835">V729+V744</f>
        <v>0</v>
      </c>
      <c r="W714" s="72">
        <f>V714-U714</f>
        <v>0</v>
      </c>
    </row>
    <row r="715" spans="1:23" s="47" customFormat="1" ht="18" hidden="1" customHeight="1">
      <c r="A715" s="614"/>
      <c r="B715" s="587"/>
      <c r="C715" s="588"/>
      <c r="D715" s="201" t="str">
        <f>серпень!D638</f>
        <v xml:space="preserve">місцевий </v>
      </c>
      <c r="E715" s="71"/>
      <c r="F715" s="61">
        <f t="shared" ref="F715:K715" si="836">F730+F745</f>
        <v>0</v>
      </c>
      <c r="G715" s="61">
        <f t="shared" si="836"/>
        <v>0</v>
      </c>
      <c r="H715" s="61">
        <f t="shared" si="836"/>
        <v>0</v>
      </c>
      <c r="I715" s="61">
        <f t="shared" si="836"/>
        <v>0</v>
      </c>
      <c r="J715" s="61">
        <f t="shared" si="836"/>
        <v>0</v>
      </c>
      <c r="K715" s="61">
        <f t="shared" si="836"/>
        <v>0</v>
      </c>
      <c r="L715" s="61">
        <f>SUM(F715:K715)</f>
        <v>0</v>
      </c>
      <c r="M715" s="61">
        <f>L715/6</f>
        <v>0</v>
      </c>
      <c r="N715" s="61">
        <f t="shared" ref="N715:S715" si="837">N730+N745</f>
        <v>0</v>
      </c>
      <c r="O715" s="61">
        <f t="shared" si="837"/>
        <v>0</v>
      </c>
      <c r="P715" s="61">
        <f t="shared" si="837"/>
        <v>0</v>
      </c>
      <c r="Q715" s="61">
        <f t="shared" si="837"/>
        <v>0</v>
      </c>
      <c r="R715" s="61">
        <f t="shared" si="837"/>
        <v>0</v>
      </c>
      <c r="S715" s="61">
        <f t="shared" si="837"/>
        <v>0</v>
      </c>
      <c r="T715" s="61">
        <f>SUM(N715:S715)</f>
        <v>0</v>
      </c>
      <c r="U715" s="61">
        <f>T715+L715</f>
        <v>0</v>
      </c>
      <c r="V715" s="61">
        <f t="shared" ref="V715" si="838">V730+V745</f>
        <v>0</v>
      </c>
      <c r="W715" s="72">
        <f>V715-U715</f>
        <v>0</v>
      </c>
    </row>
    <row r="716" spans="1:23" s="47" customFormat="1" ht="18" hidden="1" customHeight="1">
      <c r="A716" s="614"/>
      <c r="B716" s="587"/>
      <c r="C716" s="588"/>
      <c r="D716" s="202" t="str">
        <f>серпень!D639</f>
        <v>план</v>
      </c>
      <c r="E716" s="42"/>
      <c r="F716" s="42">
        <f t="shared" ref="F716:K716" si="839">F710</f>
        <v>0</v>
      </c>
      <c r="G716" s="42">
        <f t="shared" si="839"/>
        <v>0</v>
      </c>
      <c r="H716" s="42">
        <f t="shared" si="839"/>
        <v>0</v>
      </c>
      <c r="I716" s="42">
        <f t="shared" si="839"/>
        <v>0</v>
      </c>
      <c r="J716" s="42">
        <f t="shared" si="839"/>
        <v>0</v>
      </c>
      <c r="K716" s="42">
        <f t="shared" si="839"/>
        <v>0</v>
      </c>
      <c r="L716" s="42">
        <f>SUM(F716:K716)</f>
        <v>0</v>
      </c>
      <c r="M716" s="42">
        <f>L716/6</f>
        <v>0</v>
      </c>
      <c r="N716" s="42">
        <f t="shared" ref="N716:S716" si="840">N710+N709</f>
        <v>0</v>
      </c>
      <c r="O716" s="42">
        <f t="shared" si="840"/>
        <v>0</v>
      </c>
      <c r="P716" s="42">
        <f t="shared" si="840"/>
        <v>0</v>
      </c>
      <c r="Q716" s="42">
        <f t="shared" si="840"/>
        <v>0</v>
      </c>
      <c r="R716" s="42">
        <f t="shared" si="840"/>
        <v>0</v>
      </c>
      <c r="S716" s="42">
        <f t="shared" si="840"/>
        <v>0</v>
      </c>
      <c r="T716" s="42">
        <f>SUM(N716:S716)</f>
        <v>0</v>
      </c>
      <c r="U716" s="42">
        <f>T716+L716</f>
        <v>0</v>
      </c>
      <c r="V716" s="42">
        <f>V713</f>
        <v>0</v>
      </c>
      <c r="W716" s="42">
        <f>V716-U716</f>
        <v>0</v>
      </c>
    </row>
    <row r="717" spans="1:23" s="47" customFormat="1" ht="18" hidden="1" customHeight="1">
      <c r="A717" s="614"/>
      <c r="B717" s="587"/>
      <c r="C717" s="588"/>
      <c r="D717" s="202" t="str">
        <f>серпень!D640</f>
        <v xml:space="preserve">відхилення </v>
      </c>
      <c r="E717" s="42"/>
      <c r="F717" s="42">
        <f t="shared" ref="F717:K717" si="841">F713-F716</f>
        <v>0</v>
      </c>
      <c r="G717" s="42">
        <f t="shared" si="841"/>
        <v>0</v>
      </c>
      <c r="H717" s="42">
        <f t="shared" si="841"/>
        <v>0</v>
      </c>
      <c r="I717" s="42">
        <f t="shared" si="841"/>
        <v>0</v>
      </c>
      <c r="J717" s="42">
        <f t="shared" si="841"/>
        <v>0</v>
      </c>
      <c r="K717" s="42">
        <f t="shared" si="841"/>
        <v>0</v>
      </c>
      <c r="L717" s="42"/>
      <c r="M717" s="42"/>
      <c r="N717" s="42">
        <f t="shared" ref="N717:S717" si="842">N713-N716</f>
        <v>0</v>
      </c>
      <c r="O717" s="42">
        <f t="shared" si="842"/>
        <v>0</v>
      </c>
      <c r="P717" s="42">
        <f t="shared" si="842"/>
        <v>0</v>
      </c>
      <c r="Q717" s="42">
        <f t="shared" si="842"/>
        <v>0</v>
      </c>
      <c r="R717" s="42">
        <f t="shared" si="842"/>
        <v>0</v>
      </c>
      <c r="S717" s="42">
        <f t="shared" si="842"/>
        <v>0</v>
      </c>
      <c r="T717" s="42"/>
      <c r="U717" s="42"/>
      <c r="V717" s="42"/>
      <c r="W717" s="42"/>
    </row>
    <row r="718" spans="1:23" s="47" customFormat="1" ht="18" hidden="1" customHeight="1">
      <c r="A718" s="615"/>
      <c r="B718" s="589"/>
      <c r="C718" s="590"/>
      <c r="D718" s="202" t="str">
        <f>серпень!D641</f>
        <v>відхилення з наростаючим</v>
      </c>
      <c r="E718" s="42"/>
      <c r="F718" s="42">
        <f>F717</f>
        <v>0</v>
      </c>
      <c r="G718" s="42">
        <f>G717+F718</f>
        <v>0</v>
      </c>
      <c r="H718" s="42">
        <f>H717+G718</f>
        <v>0</v>
      </c>
      <c r="I718" s="42">
        <f>I717+H718</f>
        <v>0</v>
      </c>
      <c r="J718" s="42">
        <f>J717+I718</f>
        <v>0</v>
      </c>
      <c r="K718" s="42">
        <f>K717+J718</f>
        <v>0</v>
      </c>
      <c r="L718" s="42"/>
      <c r="M718" s="42"/>
      <c r="N718" s="42">
        <f>N717+K718</f>
        <v>0</v>
      </c>
      <c r="O718" s="42">
        <f>O717+N718</f>
        <v>0</v>
      </c>
      <c r="P718" s="42">
        <f>P717+O718</f>
        <v>0</v>
      </c>
      <c r="Q718" s="42">
        <f>Q717+P718</f>
        <v>0</v>
      </c>
      <c r="R718" s="42">
        <f>R717+Q718</f>
        <v>0</v>
      </c>
      <c r="S718" s="42">
        <f>S717+R718</f>
        <v>0</v>
      </c>
      <c r="T718" s="42"/>
      <c r="U718" s="42"/>
      <c r="V718" s="42"/>
      <c r="W718" s="42"/>
    </row>
    <row r="719" spans="1:23" s="47" customFormat="1" ht="18" hidden="1" customHeight="1">
      <c r="A719" s="249"/>
      <c r="B719" s="580" t="s">
        <v>125</v>
      </c>
      <c r="C719" s="575"/>
      <c r="D719" s="178" t="str">
        <f>серпень!D642</f>
        <v>факт. нат.п-ки 2023</v>
      </c>
      <c r="E719" s="11"/>
      <c r="F719" s="12"/>
      <c r="G719" s="12"/>
      <c r="H719" s="12"/>
      <c r="I719" s="12"/>
      <c r="J719" s="12"/>
      <c r="K719" s="12"/>
      <c r="L719" s="65">
        <f>SUM(F719:K719)</f>
        <v>0</v>
      </c>
      <c r="M719" s="65">
        <f>L719/6</f>
        <v>0</v>
      </c>
      <c r="N719" s="12"/>
      <c r="O719" s="12"/>
      <c r="P719" s="12"/>
      <c r="Q719" s="12"/>
      <c r="R719" s="12"/>
      <c r="S719" s="12"/>
      <c r="T719" s="65">
        <f>SUM(N719:S719)</f>
        <v>0</v>
      </c>
      <c r="U719" s="66">
        <f>T719+L719</f>
        <v>0</v>
      </c>
      <c r="V719" s="67"/>
      <c r="W719" s="38">
        <f>V719-U719</f>
        <v>0</v>
      </c>
    </row>
    <row r="720" spans="1:23" s="47" customFormat="1" ht="18" hidden="1" customHeight="1">
      <c r="A720" s="249"/>
      <c r="B720" s="576"/>
      <c r="C720" s="577"/>
      <c r="D720" s="178" t="str">
        <f>серпень!D643</f>
        <v>факт. нат.п-ки 2024</v>
      </c>
      <c r="E720" s="11"/>
      <c r="F720" s="12"/>
      <c r="G720" s="12"/>
      <c r="H720" s="12"/>
      <c r="I720" s="12"/>
      <c r="J720" s="12"/>
      <c r="K720" s="12"/>
      <c r="L720" s="65">
        <f>SUM(F720:K720)</f>
        <v>0</v>
      </c>
      <c r="M720" s="65">
        <f>L720/6</f>
        <v>0</v>
      </c>
      <c r="N720" s="11"/>
      <c r="O720" s="11"/>
      <c r="P720" s="11"/>
      <c r="Q720" s="11"/>
      <c r="R720" s="11"/>
      <c r="S720" s="11"/>
      <c r="T720" s="65">
        <f>SUM(N720:S720)</f>
        <v>0</v>
      </c>
      <c r="U720" s="66">
        <f>T720+L720</f>
        <v>0</v>
      </c>
      <c r="V720" s="67"/>
      <c r="W720" s="38">
        <f>V720-U720</f>
        <v>0</v>
      </c>
    </row>
    <row r="721" spans="1:23" s="47" customFormat="1" ht="18" hidden="1" customHeight="1">
      <c r="A721" s="249"/>
      <c r="B721" s="576"/>
      <c r="C721" s="577"/>
      <c r="D721" s="178" t="str">
        <f>серпень!D644</f>
        <v>факт. нат.п-ки 2025</v>
      </c>
      <c r="E721" s="11"/>
      <c r="F721" s="12"/>
      <c r="G721" s="12"/>
      <c r="H721" s="12"/>
      <c r="I721" s="12"/>
      <c r="J721" s="12"/>
      <c r="K721" s="12"/>
      <c r="L721" s="65">
        <f>SUM(F721:K721)</f>
        <v>0</v>
      </c>
      <c r="M721" s="65">
        <f>L721/6</f>
        <v>0</v>
      </c>
      <c r="N721" s="12"/>
      <c r="O721" s="12"/>
      <c r="P721" s="12"/>
      <c r="Q721" s="12"/>
      <c r="R721" s="12"/>
      <c r="S721" s="11"/>
      <c r="T721" s="65">
        <f>SUM(N721:S721)</f>
        <v>0</v>
      </c>
      <c r="U721" s="66">
        <f>T721+L721</f>
        <v>0</v>
      </c>
      <c r="V721" s="11"/>
      <c r="W721" s="38">
        <f>V721-U721</f>
        <v>0</v>
      </c>
    </row>
    <row r="722" spans="1:23" s="47" customFormat="1" ht="18" hidden="1" customHeight="1">
      <c r="A722" s="249"/>
      <c r="B722" s="576"/>
      <c r="C722" s="577"/>
      <c r="D722" s="187" t="str">
        <f>серпень!D645</f>
        <v>тариф, грн.</v>
      </c>
      <c r="E722" s="49"/>
      <c r="F722" s="49">
        <v>0</v>
      </c>
      <c r="G722" s="49">
        <v>0</v>
      </c>
      <c r="H722" s="49">
        <v>0</v>
      </c>
      <c r="I722" s="49">
        <v>0</v>
      </c>
      <c r="J722" s="49">
        <v>0</v>
      </c>
      <c r="K722" s="49">
        <v>0</v>
      </c>
      <c r="L722" s="49" t="e">
        <f>L723/L721*1000</f>
        <v>#DIV/0!</v>
      </c>
      <c r="M722" s="49" t="e">
        <f>M723/M721*1000</f>
        <v>#DIV/0!</v>
      </c>
      <c r="N722" s="49">
        <v>0</v>
      </c>
      <c r="O722" s="49">
        <v>0</v>
      </c>
      <c r="P722" s="49">
        <v>0</v>
      </c>
      <c r="Q722" s="49">
        <v>0</v>
      </c>
      <c r="R722" s="49">
        <v>0</v>
      </c>
      <c r="S722" s="49">
        <v>0</v>
      </c>
      <c r="T722" s="49" t="e">
        <f>T723/T721*1000</f>
        <v>#DIV/0!</v>
      </c>
      <c r="U722" s="49" t="e">
        <f>U723/U721*1000</f>
        <v>#DIV/0!</v>
      </c>
      <c r="V722" s="68" t="e">
        <f>V723/V721*1000</f>
        <v>#DIV/0!</v>
      </c>
      <c r="W722" s="14" t="e">
        <f>W723/W721*1000</f>
        <v>#DIV/0!</v>
      </c>
    </row>
    <row r="723" spans="1:23" s="47" customFormat="1" ht="18" hidden="1" customHeight="1">
      <c r="A723" s="249"/>
      <c r="B723" s="576"/>
      <c r="C723" s="577"/>
      <c r="D723" s="191" t="str">
        <f>серпень!D646</f>
        <v>сума, тис.грн.</v>
      </c>
      <c r="E723" s="52"/>
      <c r="F723" s="52">
        <f t="shared" ref="F723:K723" si="843">F721*F722/1000</f>
        <v>0</v>
      </c>
      <c r="G723" s="52">
        <f t="shared" si="843"/>
        <v>0</v>
      </c>
      <c r="H723" s="52">
        <f t="shared" si="843"/>
        <v>0</v>
      </c>
      <c r="I723" s="52">
        <f t="shared" si="843"/>
        <v>0</v>
      </c>
      <c r="J723" s="52">
        <f t="shared" si="843"/>
        <v>0</v>
      </c>
      <c r="K723" s="52">
        <f t="shared" si="843"/>
        <v>0</v>
      </c>
      <c r="L723" s="69">
        <f>SUM(F723:K723)</f>
        <v>0</v>
      </c>
      <c r="M723" s="69">
        <f>L723/6</f>
        <v>0</v>
      </c>
      <c r="N723" s="52">
        <f t="shared" ref="N723:S723" si="844">N721*N722/1000</f>
        <v>0</v>
      </c>
      <c r="O723" s="52">
        <f t="shared" si="844"/>
        <v>0</v>
      </c>
      <c r="P723" s="52">
        <f t="shared" si="844"/>
        <v>0</v>
      </c>
      <c r="Q723" s="52">
        <f t="shared" si="844"/>
        <v>0</v>
      </c>
      <c r="R723" s="52">
        <f t="shared" si="844"/>
        <v>0</v>
      </c>
      <c r="S723" s="52">
        <f t="shared" si="844"/>
        <v>0</v>
      </c>
      <c r="T723" s="69">
        <f>SUM(N723:S723)</f>
        <v>0</v>
      </c>
      <c r="U723" s="69">
        <f>T723+L723</f>
        <v>0</v>
      </c>
      <c r="V723" s="70">
        <f>V724+V725</f>
        <v>0</v>
      </c>
      <c r="W723" s="53">
        <f>V723-U723</f>
        <v>0</v>
      </c>
    </row>
    <row r="724" spans="1:23" s="47" customFormat="1" ht="18" hidden="1" customHeight="1">
      <c r="A724" s="249"/>
      <c r="B724" s="576"/>
      <c r="C724" s="577"/>
      <c r="D724" s="174" t="str">
        <f>серпень!D647</f>
        <v>дотація</v>
      </c>
      <c r="E724" s="56"/>
      <c r="F724" s="52"/>
      <c r="G724" s="52"/>
      <c r="H724" s="52"/>
      <c r="I724" s="52"/>
      <c r="J724" s="52"/>
      <c r="K724" s="52"/>
      <c r="L724" s="69">
        <f>SUM(F724:K724)</f>
        <v>0</v>
      </c>
      <c r="M724" s="69">
        <f>L724/6</f>
        <v>0</v>
      </c>
      <c r="N724" s="52"/>
      <c r="O724" s="52"/>
      <c r="P724" s="52"/>
      <c r="Q724" s="52"/>
      <c r="R724" s="52"/>
      <c r="S724" s="52"/>
      <c r="T724" s="69">
        <f>SUM(N724:S724)</f>
        <v>0</v>
      </c>
      <c r="U724" s="69">
        <f>T724+L724</f>
        <v>0</v>
      </c>
      <c r="V724" s="70">
        <v>0</v>
      </c>
      <c r="W724" s="53">
        <f>V724-U724</f>
        <v>0</v>
      </c>
    </row>
    <row r="725" spans="1:23" s="47" customFormat="1" ht="18" hidden="1" customHeight="1">
      <c r="A725" s="249"/>
      <c r="B725" s="576"/>
      <c r="C725" s="577"/>
      <c r="D725" s="174" t="str">
        <f>серпень!D648</f>
        <v>місцевий (план), тис.грн</v>
      </c>
      <c r="E725" s="56"/>
      <c r="F725" s="52"/>
      <c r="G725" s="52"/>
      <c r="H725" s="52"/>
      <c r="I725" s="52"/>
      <c r="J725" s="52"/>
      <c r="K725" s="52"/>
      <c r="L725" s="69">
        <f>SUM(F725:K725)</f>
        <v>0</v>
      </c>
      <c r="M725" s="69">
        <f>L725/6</f>
        <v>0</v>
      </c>
      <c r="N725" s="52"/>
      <c r="O725" s="52"/>
      <c r="P725" s="52"/>
      <c r="Q725" s="52"/>
      <c r="R725" s="52"/>
      <c r="S725" s="52"/>
      <c r="T725" s="69">
        <f>SUM(N725:S725)</f>
        <v>0</v>
      </c>
      <c r="U725" s="69">
        <f>T725+L725</f>
        <v>0</v>
      </c>
      <c r="V725" s="70"/>
      <c r="W725" s="53">
        <f>V725-U725</f>
        <v>0</v>
      </c>
    </row>
    <row r="726" spans="1:23" s="47" customFormat="1" ht="18" hidden="1" customHeight="1">
      <c r="A726" s="249"/>
      <c r="B726" s="576"/>
      <c r="C726" s="577"/>
      <c r="D726" s="178" t="str">
        <f>серпень!D649</f>
        <v>касові нат.п-ки 2025</v>
      </c>
      <c r="E726" s="11"/>
      <c r="F726" s="11"/>
      <c r="G726" s="11"/>
      <c r="H726" s="11"/>
      <c r="I726" s="11"/>
      <c r="J726" s="11"/>
      <c r="K726" s="11"/>
      <c r="L726" s="65">
        <f>SUM(F726:K726)</f>
        <v>0</v>
      </c>
      <c r="M726" s="65">
        <f>L726/6</f>
        <v>0</v>
      </c>
      <c r="N726" s="11"/>
      <c r="O726" s="11"/>
      <c r="P726" s="11"/>
      <c r="Q726" s="11"/>
      <c r="R726" s="11"/>
      <c r="S726" s="11"/>
      <c r="T726" s="65">
        <f>SUM(N726:S726)</f>
        <v>0</v>
      </c>
      <c r="U726" s="65">
        <f>T726+L726</f>
        <v>0</v>
      </c>
      <c r="V726" s="11">
        <f>V721</f>
        <v>0</v>
      </c>
      <c r="W726" s="38">
        <f>V726-U726</f>
        <v>0</v>
      </c>
    </row>
    <row r="727" spans="1:23" s="47" customFormat="1" ht="18" hidden="1" customHeight="1">
      <c r="A727" s="249"/>
      <c r="B727" s="576"/>
      <c r="C727" s="577"/>
      <c r="D727" s="187" t="str">
        <f>серпень!D650</f>
        <v>тариф, грн.</v>
      </c>
      <c r="E727" s="49" t="e">
        <f>E728/E726*1000</f>
        <v>#DIV/0!</v>
      </c>
      <c r="F727" s="49">
        <v>0</v>
      </c>
      <c r="G727" s="49">
        <v>0</v>
      </c>
      <c r="H727" s="49">
        <v>0</v>
      </c>
      <c r="I727" s="49">
        <v>0</v>
      </c>
      <c r="J727" s="49">
        <v>0</v>
      </c>
      <c r="K727" s="49">
        <v>0</v>
      </c>
      <c r="L727" s="49" t="e">
        <f>L728/L726*1000</f>
        <v>#DIV/0!</v>
      </c>
      <c r="M727" s="49" t="e">
        <f>M728/M726*1000</f>
        <v>#DIV/0!</v>
      </c>
      <c r="N727" s="49">
        <v>0</v>
      </c>
      <c r="O727" s="49">
        <v>0</v>
      </c>
      <c r="P727" s="49">
        <v>0</v>
      </c>
      <c r="Q727" s="49">
        <v>0</v>
      </c>
      <c r="R727" s="49">
        <v>0</v>
      </c>
      <c r="S727" s="49">
        <v>0</v>
      </c>
      <c r="T727" s="49" t="e">
        <f>T728/T726*1000</f>
        <v>#DIV/0!</v>
      </c>
      <c r="U727" s="49" t="e">
        <f>U728/U726*1000</f>
        <v>#DIV/0!</v>
      </c>
      <c r="V727" s="68" t="e">
        <f>V728/V726*1000</f>
        <v>#DIV/0!</v>
      </c>
      <c r="W727" s="14" t="e">
        <f>W728/W726*1000</f>
        <v>#DIV/0!</v>
      </c>
    </row>
    <row r="728" spans="1:23" s="47" customFormat="1" ht="18" hidden="1" customHeight="1">
      <c r="A728" s="249"/>
      <c r="B728" s="576"/>
      <c r="C728" s="577"/>
      <c r="D728" s="198" t="str">
        <f>серпень!D651</f>
        <v>касові видатки, тис.грн.</v>
      </c>
      <c r="E728" s="71"/>
      <c r="F728" s="61">
        <f t="shared" ref="F728:K728" si="845">F726*F727/1000</f>
        <v>0</v>
      </c>
      <c r="G728" s="61">
        <f t="shared" si="845"/>
        <v>0</v>
      </c>
      <c r="H728" s="61">
        <f t="shared" si="845"/>
        <v>0</v>
      </c>
      <c r="I728" s="61">
        <f t="shared" si="845"/>
        <v>0</v>
      </c>
      <c r="J728" s="61">
        <f t="shared" si="845"/>
        <v>0</v>
      </c>
      <c r="K728" s="61">
        <f t="shared" si="845"/>
        <v>0</v>
      </c>
      <c r="L728" s="61">
        <f>SUM(F728:K728)</f>
        <v>0</v>
      </c>
      <c r="M728" s="61">
        <f>L728/6</f>
        <v>0</v>
      </c>
      <c r="N728" s="61">
        <f t="shared" ref="N728:S728" si="846">N726*N727/1000</f>
        <v>0</v>
      </c>
      <c r="O728" s="61">
        <f t="shared" si="846"/>
        <v>0</v>
      </c>
      <c r="P728" s="61">
        <f t="shared" si="846"/>
        <v>0</v>
      </c>
      <c r="Q728" s="61">
        <f t="shared" si="846"/>
        <v>0</v>
      </c>
      <c r="R728" s="61">
        <f t="shared" si="846"/>
        <v>0</v>
      </c>
      <c r="S728" s="61">
        <f t="shared" si="846"/>
        <v>0</v>
      </c>
      <c r="T728" s="61">
        <f>SUM(N728:S728)</f>
        <v>0</v>
      </c>
      <c r="U728" s="61">
        <f>T728+L728</f>
        <v>0</v>
      </c>
      <c r="V728" s="61">
        <f>V723</f>
        <v>0</v>
      </c>
      <c r="W728" s="72">
        <f>V728-U728</f>
        <v>0</v>
      </c>
    </row>
    <row r="729" spans="1:23" s="47" customFormat="1" ht="18" hidden="1" customHeight="1">
      <c r="A729" s="249"/>
      <c r="B729" s="576"/>
      <c r="C729" s="577"/>
      <c r="D729" s="201" t="str">
        <f>серпень!D652</f>
        <v>дотація</v>
      </c>
      <c r="E729" s="71"/>
      <c r="F729" s="61"/>
      <c r="G729" s="61"/>
      <c r="H729" s="61"/>
      <c r="I729" s="61"/>
      <c r="J729" s="61"/>
      <c r="K729" s="61"/>
      <c r="L729" s="61">
        <f>SUM(F729:K729)</f>
        <v>0</v>
      </c>
      <c r="M729" s="61">
        <f>L729/6</f>
        <v>0</v>
      </c>
      <c r="N729" s="61"/>
      <c r="O729" s="61"/>
      <c r="P729" s="61"/>
      <c r="Q729" s="61"/>
      <c r="R729" s="61"/>
      <c r="S729" s="61"/>
      <c r="T729" s="61">
        <f>SUM(N729:S729)</f>
        <v>0</v>
      </c>
      <c r="U729" s="61">
        <f>T729+L729</f>
        <v>0</v>
      </c>
      <c r="V729" s="61">
        <f>V724</f>
        <v>0</v>
      </c>
      <c r="W729" s="72">
        <f>V729-U729</f>
        <v>0</v>
      </c>
    </row>
    <row r="730" spans="1:23" s="47" customFormat="1" ht="18" hidden="1" customHeight="1">
      <c r="A730" s="249"/>
      <c r="B730" s="576"/>
      <c r="C730" s="577"/>
      <c r="D730" s="201" t="str">
        <f>серпень!D653</f>
        <v xml:space="preserve">місцевий </v>
      </c>
      <c r="E730" s="71"/>
      <c r="F730" s="61">
        <f t="shared" ref="F730:K730" si="847">F728-F729</f>
        <v>0</v>
      </c>
      <c r="G730" s="61">
        <f t="shared" si="847"/>
        <v>0</v>
      </c>
      <c r="H730" s="61">
        <f t="shared" si="847"/>
        <v>0</v>
      </c>
      <c r="I730" s="61">
        <f t="shared" si="847"/>
        <v>0</v>
      </c>
      <c r="J730" s="61">
        <f t="shared" si="847"/>
        <v>0</v>
      </c>
      <c r="K730" s="61">
        <f t="shared" si="847"/>
        <v>0</v>
      </c>
      <c r="L730" s="61">
        <f>SUM(F730:K730)</f>
        <v>0</v>
      </c>
      <c r="M730" s="61">
        <f>L730/6</f>
        <v>0</v>
      </c>
      <c r="N730" s="61">
        <f t="shared" ref="N730:S730" si="848">N728-N729</f>
        <v>0</v>
      </c>
      <c r="O730" s="61">
        <f t="shared" si="848"/>
        <v>0</v>
      </c>
      <c r="P730" s="61">
        <f t="shared" si="848"/>
        <v>0</v>
      </c>
      <c r="Q730" s="61">
        <f t="shared" si="848"/>
        <v>0</v>
      </c>
      <c r="R730" s="61">
        <f t="shared" si="848"/>
        <v>0</v>
      </c>
      <c r="S730" s="61">
        <f t="shared" si="848"/>
        <v>0</v>
      </c>
      <c r="T730" s="61">
        <f>SUM(N730:S730)</f>
        <v>0</v>
      </c>
      <c r="U730" s="61">
        <f>T730+L730</f>
        <v>0</v>
      </c>
      <c r="V730" s="61">
        <f>V725</f>
        <v>0</v>
      </c>
      <c r="W730" s="72">
        <f>V730-U730</f>
        <v>0</v>
      </c>
    </row>
    <row r="731" spans="1:23" s="47" customFormat="1" ht="18" hidden="1" customHeight="1">
      <c r="A731" s="249"/>
      <c r="B731" s="576"/>
      <c r="C731" s="577"/>
      <c r="D731" s="202" t="str">
        <f>серпень!D654</f>
        <v>план</v>
      </c>
      <c r="E731" s="42"/>
      <c r="F731" s="42">
        <f t="shared" ref="F731:K731" si="849">F725</f>
        <v>0</v>
      </c>
      <c r="G731" s="42">
        <f t="shared" si="849"/>
        <v>0</v>
      </c>
      <c r="H731" s="42">
        <f t="shared" si="849"/>
        <v>0</v>
      </c>
      <c r="I731" s="42">
        <f t="shared" si="849"/>
        <v>0</v>
      </c>
      <c r="J731" s="42">
        <f t="shared" si="849"/>
        <v>0</v>
      </c>
      <c r="K731" s="42">
        <f t="shared" si="849"/>
        <v>0</v>
      </c>
      <c r="L731" s="42">
        <f>SUM(F731:K731)</f>
        <v>0</v>
      </c>
      <c r="M731" s="42">
        <f>L731/6</f>
        <v>0</v>
      </c>
      <c r="N731" s="42">
        <f t="shared" ref="N731:S731" si="850">N725+N724</f>
        <v>0</v>
      </c>
      <c r="O731" s="42">
        <f t="shared" si="850"/>
        <v>0</v>
      </c>
      <c r="P731" s="42">
        <f t="shared" si="850"/>
        <v>0</v>
      </c>
      <c r="Q731" s="42">
        <f t="shared" si="850"/>
        <v>0</v>
      </c>
      <c r="R731" s="42">
        <f t="shared" si="850"/>
        <v>0</v>
      </c>
      <c r="S731" s="42">
        <f t="shared" si="850"/>
        <v>0</v>
      </c>
      <c r="T731" s="42">
        <f>SUM(N731:S731)</f>
        <v>0</v>
      </c>
      <c r="U731" s="42">
        <f>T731+L731</f>
        <v>0</v>
      </c>
      <c r="V731" s="42">
        <f>V728</f>
        <v>0</v>
      </c>
      <c r="W731" s="42">
        <f>V731-U731</f>
        <v>0</v>
      </c>
    </row>
    <row r="732" spans="1:23" s="47" customFormat="1" ht="18" hidden="1" customHeight="1">
      <c r="A732" s="249"/>
      <c r="B732" s="576"/>
      <c r="C732" s="577"/>
      <c r="D732" s="202" t="str">
        <f>серпень!D655</f>
        <v xml:space="preserve">відхилення </v>
      </c>
      <c r="E732" s="42"/>
      <c r="F732" s="42">
        <f t="shared" ref="F732:K732" si="851">F728-F731</f>
        <v>0</v>
      </c>
      <c r="G732" s="42">
        <f t="shared" si="851"/>
        <v>0</v>
      </c>
      <c r="H732" s="42">
        <f t="shared" si="851"/>
        <v>0</v>
      </c>
      <c r="I732" s="42">
        <f t="shared" si="851"/>
        <v>0</v>
      </c>
      <c r="J732" s="42">
        <f t="shared" si="851"/>
        <v>0</v>
      </c>
      <c r="K732" s="42">
        <f t="shared" si="851"/>
        <v>0</v>
      </c>
      <c r="L732" s="42"/>
      <c r="M732" s="42"/>
      <c r="N732" s="42">
        <f t="shared" ref="N732:S732" si="852">N728-N731</f>
        <v>0</v>
      </c>
      <c r="O732" s="42">
        <f t="shared" si="852"/>
        <v>0</v>
      </c>
      <c r="P732" s="42">
        <f t="shared" si="852"/>
        <v>0</v>
      </c>
      <c r="Q732" s="42">
        <f t="shared" si="852"/>
        <v>0</v>
      </c>
      <c r="R732" s="42">
        <f t="shared" si="852"/>
        <v>0</v>
      </c>
      <c r="S732" s="42">
        <f t="shared" si="852"/>
        <v>0</v>
      </c>
      <c r="T732" s="42"/>
      <c r="U732" s="42"/>
      <c r="V732" s="42"/>
      <c r="W732" s="42"/>
    </row>
    <row r="733" spans="1:23" s="47" customFormat="1" ht="18" hidden="1" customHeight="1">
      <c r="A733" s="249"/>
      <c r="B733" s="578"/>
      <c r="C733" s="579"/>
      <c r="D733" s="202" t="str">
        <f>серпень!D656</f>
        <v>відхилення з наростаючим</v>
      </c>
      <c r="E733" s="42"/>
      <c r="F733" s="42">
        <f>F732</f>
        <v>0</v>
      </c>
      <c r="G733" s="42">
        <f>G732+F733</f>
        <v>0</v>
      </c>
      <c r="H733" s="42">
        <f>H732+G733</f>
        <v>0</v>
      </c>
      <c r="I733" s="42">
        <f>I732+H733</f>
        <v>0</v>
      </c>
      <c r="J733" s="42">
        <f>J732+I733</f>
        <v>0</v>
      </c>
      <c r="K733" s="42">
        <f>K732+J733</f>
        <v>0</v>
      </c>
      <c r="L733" s="42"/>
      <c r="M733" s="42"/>
      <c r="N733" s="42">
        <f>N732+K733</f>
        <v>0</v>
      </c>
      <c r="O733" s="42">
        <f>O732+N733</f>
        <v>0</v>
      </c>
      <c r="P733" s="42">
        <f>P732+O733</f>
        <v>0</v>
      </c>
      <c r="Q733" s="42">
        <f>Q732+P733</f>
        <v>0</v>
      </c>
      <c r="R733" s="42">
        <f>R732+Q733</f>
        <v>0</v>
      </c>
      <c r="S733" s="42">
        <f>S732+R733</f>
        <v>0</v>
      </c>
      <c r="T733" s="42"/>
      <c r="U733" s="42"/>
      <c r="V733" s="42"/>
      <c r="W733" s="42"/>
    </row>
    <row r="734" spans="1:23" s="47" customFormat="1" ht="18" hidden="1" customHeight="1">
      <c r="A734" s="249"/>
      <c r="B734" s="580" t="s">
        <v>124</v>
      </c>
      <c r="C734" s="575"/>
      <c r="D734" s="178" t="str">
        <f>серпень!D657</f>
        <v>факт. нат.п-ки 2023</v>
      </c>
      <c r="E734" s="11"/>
      <c r="F734" s="12"/>
      <c r="G734" s="12"/>
      <c r="H734" s="12"/>
      <c r="I734" s="12"/>
      <c r="J734" s="12"/>
      <c r="K734" s="12"/>
      <c r="L734" s="65">
        <f>SUM(F734:K734)</f>
        <v>0</v>
      </c>
      <c r="M734" s="65">
        <f>L734/6</f>
        <v>0</v>
      </c>
      <c r="N734" s="12"/>
      <c r="O734" s="12"/>
      <c r="P734" s="12"/>
      <c r="Q734" s="12"/>
      <c r="R734" s="12"/>
      <c r="S734" s="12"/>
      <c r="T734" s="65">
        <f>SUM(N734:S734)</f>
        <v>0</v>
      </c>
      <c r="U734" s="66">
        <f>T734+L734</f>
        <v>0</v>
      </c>
      <c r="V734" s="67"/>
      <c r="W734" s="38">
        <f>V734-U734</f>
        <v>0</v>
      </c>
    </row>
    <row r="735" spans="1:23" s="47" customFormat="1" ht="18" hidden="1" customHeight="1">
      <c r="A735" s="249"/>
      <c r="B735" s="576"/>
      <c r="C735" s="577"/>
      <c r="D735" s="178" t="str">
        <f>серпень!D658</f>
        <v>факт. нат.п-ки 2024</v>
      </c>
      <c r="E735" s="11"/>
      <c r="F735" s="12"/>
      <c r="G735" s="12"/>
      <c r="H735" s="12"/>
      <c r="I735" s="12"/>
      <c r="J735" s="12"/>
      <c r="K735" s="12"/>
      <c r="L735" s="65">
        <f>SUM(F735:K735)</f>
        <v>0</v>
      </c>
      <c r="M735" s="65">
        <f>L735/6</f>
        <v>0</v>
      </c>
      <c r="N735" s="11"/>
      <c r="O735" s="11"/>
      <c r="P735" s="11"/>
      <c r="Q735" s="11"/>
      <c r="R735" s="11"/>
      <c r="S735" s="11"/>
      <c r="T735" s="65">
        <f>SUM(N735:S735)</f>
        <v>0</v>
      </c>
      <c r="U735" s="66">
        <f>T735+L735</f>
        <v>0</v>
      </c>
      <c r="V735" s="67"/>
      <c r="W735" s="38">
        <f>V735-U735</f>
        <v>0</v>
      </c>
    </row>
    <row r="736" spans="1:23" s="47" customFormat="1" ht="18" hidden="1" customHeight="1">
      <c r="A736" s="249"/>
      <c r="B736" s="576"/>
      <c r="C736" s="577"/>
      <c r="D736" s="178" t="str">
        <f>серпень!D659</f>
        <v>факт. нат.п-ки 2025</v>
      </c>
      <c r="E736" s="11"/>
      <c r="F736" s="12"/>
      <c r="G736" s="12"/>
      <c r="H736" s="12"/>
      <c r="I736" s="12"/>
      <c r="J736" s="12"/>
      <c r="K736" s="12"/>
      <c r="L736" s="65">
        <f>SUM(F736:K736)</f>
        <v>0</v>
      </c>
      <c r="M736" s="65">
        <f>L736/6</f>
        <v>0</v>
      </c>
      <c r="N736" s="12"/>
      <c r="O736" s="12"/>
      <c r="P736" s="12"/>
      <c r="Q736" s="12"/>
      <c r="R736" s="12"/>
      <c r="S736" s="11"/>
      <c r="T736" s="65">
        <f>SUM(N736:S736)</f>
        <v>0</v>
      </c>
      <c r="U736" s="66">
        <f>T736+L736</f>
        <v>0</v>
      </c>
      <c r="V736" s="11"/>
      <c r="W736" s="38">
        <f>V736-U736</f>
        <v>0</v>
      </c>
    </row>
    <row r="737" spans="1:23" s="47" customFormat="1" ht="18" hidden="1" customHeight="1">
      <c r="A737" s="249"/>
      <c r="B737" s="576"/>
      <c r="C737" s="577"/>
      <c r="D737" s="187" t="str">
        <f>серпень!D660</f>
        <v>тариф, грн.</v>
      </c>
      <c r="E737" s="49"/>
      <c r="F737" s="49">
        <v>0</v>
      </c>
      <c r="G737" s="49">
        <v>0</v>
      </c>
      <c r="H737" s="49">
        <v>0</v>
      </c>
      <c r="I737" s="49">
        <v>0</v>
      </c>
      <c r="J737" s="49">
        <v>0</v>
      </c>
      <c r="K737" s="49">
        <v>0</v>
      </c>
      <c r="L737" s="49" t="e">
        <f>L738/L736*1000</f>
        <v>#DIV/0!</v>
      </c>
      <c r="M737" s="49" t="e">
        <f>M738/M736*1000</f>
        <v>#DIV/0!</v>
      </c>
      <c r="N737" s="49">
        <v>0</v>
      </c>
      <c r="O737" s="49">
        <v>0</v>
      </c>
      <c r="P737" s="49">
        <v>0</v>
      </c>
      <c r="Q737" s="49">
        <v>0</v>
      </c>
      <c r="R737" s="49">
        <v>0</v>
      </c>
      <c r="S737" s="49">
        <v>0</v>
      </c>
      <c r="T737" s="49" t="e">
        <f>T738/T736*1000</f>
        <v>#DIV/0!</v>
      </c>
      <c r="U737" s="49" t="e">
        <f>U738/U736*1000</f>
        <v>#DIV/0!</v>
      </c>
      <c r="V737" s="68" t="e">
        <f>V738/V736*1000</f>
        <v>#DIV/0!</v>
      </c>
      <c r="W737" s="14" t="e">
        <f>W738/W736*1000</f>
        <v>#DIV/0!</v>
      </c>
    </row>
    <row r="738" spans="1:23" s="47" customFormat="1" ht="18" hidden="1" customHeight="1">
      <c r="A738" s="249"/>
      <c r="B738" s="576"/>
      <c r="C738" s="577"/>
      <c r="D738" s="191" t="str">
        <f>серпень!D661</f>
        <v>сума, тис.грн.</v>
      </c>
      <c r="E738" s="52"/>
      <c r="F738" s="52">
        <f t="shared" ref="F738:K738" si="853">F736*F737/1000</f>
        <v>0</v>
      </c>
      <c r="G738" s="52">
        <f t="shared" si="853"/>
        <v>0</v>
      </c>
      <c r="H738" s="52">
        <f t="shared" si="853"/>
        <v>0</v>
      </c>
      <c r="I738" s="52">
        <f t="shared" si="853"/>
        <v>0</v>
      </c>
      <c r="J738" s="52">
        <f t="shared" si="853"/>
        <v>0</v>
      </c>
      <c r="K738" s="52">
        <f t="shared" si="853"/>
        <v>0</v>
      </c>
      <c r="L738" s="69">
        <f>SUM(F738:K738)</f>
        <v>0</v>
      </c>
      <c r="M738" s="69">
        <f>L738/6</f>
        <v>0</v>
      </c>
      <c r="N738" s="52">
        <f t="shared" ref="N738:S738" si="854">N736*N737/1000</f>
        <v>0</v>
      </c>
      <c r="O738" s="52">
        <f t="shared" si="854"/>
        <v>0</v>
      </c>
      <c r="P738" s="52">
        <f t="shared" si="854"/>
        <v>0</v>
      </c>
      <c r="Q738" s="52">
        <f t="shared" si="854"/>
        <v>0</v>
      </c>
      <c r="R738" s="52">
        <f t="shared" si="854"/>
        <v>0</v>
      </c>
      <c r="S738" s="52">
        <f t="shared" si="854"/>
        <v>0</v>
      </c>
      <c r="T738" s="69">
        <f>SUM(N738:S738)</f>
        <v>0</v>
      </c>
      <c r="U738" s="69">
        <f>T738+L738</f>
        <v>0</v>
      </c>
      <c r="V738" s="70">
        <f>V739+V740</f>
        <v>0</v>
      </c>
      <c r="W738" s="53">
        <f>V738-U738</f>
        <v>0</v>
      </c>
    </row>
    <row r="739" spans="1:23" s="47" customFormat="1" ht="18" hidden="1" customHeight="1">
      <c r="A739" s="249"/>
      <c r="B739" s="576"/>
      <c r="C739" s="577"/>
      <c r="D739" s="174" t="str">
        <f>серпень!D662</f>
        <v>дотація</v>
      </c>
      <c r="E739" s="56"/>
      <c r="F739" s="52"/>
      <c r="G739" s="52"/>
      <c r="H739" s="52"/>
      <c r="I739" s="52"/>
      <c r="J739" s="52"/>
      <c r="K739" s="52"/>
      <c r="L739" s="69">
        <f>SUM(F739:K739)</f>
        <v>0</v>
      </c>
      <c r="M739" s="69">
        <f>L739/6</f>
        <v>0</v>
      </c>
      <c r="N739" s="52"/>
      <c r="O739" s="52"/>
      <c r="P739" s="52"/>
      <c r="Q739" s="52"/>
      <c r="R739" s="52"/>
      <c r="S739" s="52"/>
      <c r="T739" s="69">
        <f>SUM(N739:S739)</f>
        <v>0</v>
      </c>
      <c r="U739" s="69">
        <f>T739+L739</f>
        <v>0</v>
      </c>
      <c r="V739" s="70">
        <v>0</v>
      </c>
      <c r="W739" s="53">
        <f>V739-U739</f>
        <v>0</v>
      </c>
    </row>
    <row r="740" spans="1:23" s="47" customFormat="1" ht="18" hidden="1" customHeight="1">
      <c r="A740" s="249"/>
      <c r="B740" s="576"/>
      <c r="C740" s="577"/>
      <c r="D740" s="174" t="str">
        <f>серпень!D663</f>
        <v>місцевий (план), тис.грн</v>
      </c>
      <c r="E740" s="56"/>
      <c r="F740" s="52"/>
      <c r="G740" s="52"/>
      <c r="H740" s="52"/>
      <c r="I740" s="52"/>
      <c r="J740" s="52"/>
      <c r="K740" s="52"/>
      <c r="L740" s="69">
        <f>SUM(F740:K740)</f>
        <v>0</v>
      </c>
      <c r="M740" s="69">
        <f>L740/6</f>
        <v>0</v>
      </c>
      <c r="N740" s="52"/>
      <c r="O740" s="52"/>
      <c r="P740" s="52"/>
      <c r="Q740" s="52"/>
      <c r="R740" s="52"/>
      <c r="S740" s="52"/>
      <c r="T740" s="69">
        <f>SUM(N740:S740)</f>
        <v>0</v>
      </c>
      <c r="U740" s="69">
        <f>T740+L740</f>
        <v>0</v>
      </c>
      <c r="V740" s="70"/>
      <c r="W740" s="53">
        <f>V740-U740</f>
        <v>0</v>
      </c>
    </row>
    <row r="741" spans="1:23" s="47" customFormat="1" ht="18" hidden="1" customHeight="1">
      <c r="A741" s="249"/>
      <c r="B741" s="576"/>
      <c r="C741" s="577"/>
      <c r="D741" s="178" t="str">
        <f>серпень!D664</f>
        <v>касові нат.п-ки 2025</v>
      </c>
      <c r="E741" s="11"/>
      <c r="F741" s="11"/>
      <c r="G741" s="11"/>
      <c r="H741" s="11"/>
      <c r="I741" s="11"/>
      <c r="J741" s="11"/>
      <c r="K741" s="11"/>
      <c r="L741" s="65">
        <f>SUM(F741:K741)</f>
        <v>0</v>
      </c>
      <c r="M741" s="65">
        <f>L741/6</f>
        <v>0</v>
      </c>
      <c r="N741" s="11"/>
      <c r="O741" s="11"/>
      <c r="P741" s="11"/>
      <c r="Q741" s="11"/>
      <c r="R741" s="11"/>
      <c r="S741" s="11"/>
      <c r="T741" s="65">
        <f>SUM(N741:S741)</f>
        <v>0</v>
      </c>
      <c r="U741" s="65">
        <f>T741+L741</f>
        <v>0</v>
      </c>
      <c r="V741" s="11">
        <f>V736</f>
        <v>0</v>
      </c>
      <c r="W741" s="38">
        <f>V741-U741</f>
        <v>0</v>
      </c>
    </row>
    <row r="742" spans="1:23" s="47" customFormat="1" ht="18" hidden="1" customHeight="1">
      <c r="A742" s="249"/>
      <c r="B742" s="576"/>
      <c r="C742" s="577"/>
      <c r="D742" s="187" t="str">
        <f>серпень!D665</f>
        <v>тариф, грн.</v>
      </c>
      <c r="E742" s="49" t="e">
        <f>E743/E741*1000</f>
        <v>#DIV/0!</v>
      </c>
      <c r="F742" s="49">
        <v>0</v>
      </c>
      <c r="G742" s="49">
        <v>0</v>
      </c>
      <c r="H742" s="49">
        <v>0</v>
      </c>
      <c r="I742" s="49">
        <v>0</v>
      </c>
      <c r="J742" s="49">
        <v>0</v>
      </c>
      <c r="K742" s="49">
        <v>0</v>
      </c>
      <c r="L742" s="49" t="e">
        <f>L743/L741*1000</f>
        <v>#DIV/0!</v>
      </c>
      <c r="M742" s="49" t="e">
        <f>M743/M741*1000</f>
        <v>#DIV/0!</v>
      </c>
      <c r="N742" s="49">
        <v>0</v>
      </c>
      <c r="O742" s="49">
        <v>0</v>
      </c>
      <c r="P742" s="49">
        <v>0</v>
      </c>
      <c r="Q742" s="49">
        <v>0</v>
      </c>
      <c r="R742" s="49">
        <v>0</v>
      </c>
      <c r="S742" s="49">
        <v>0</v>
      </c>
      <c r="T742" s="49" t="e">
        <f>T743/T741*1000</f>
        <v>#DIV/0!</v>
      </c>
      <c r="U742" s="49" t="e">
        <f>U743/U741*1000</f>
        <v>#DIV/0!</v>
      </c>
      <c r="V742" s="68" t="e">
        <f>V743/V741*1000</f>
        <v>#DIV/0!</v>
      </c>
      <c r="W742" s="14" t="e">
        <f>W743/W741*1000</f>
        <v>#DIV/0!</v>
      </c>
    </row>
    <row r="743" spans="1:23" s="47" customFormat="1" ht="18" hidden="1" customHeight="1">
      <c r="A743" s="249"/>
      <c r="B743" s="576"/>
      <c r="C743" s="577"/>
      <c r="D743" s="198" t="str">
        <f>серпень!D666</f>
        <v>касові видатки, тис.грн.</v>
      </c>
      <c r="E743" s="71"/>
      <c r="F743" s="61">
        <f t="shared" ref="F743:K743" si="855">F741*F742/1000</f>
        <v>0</v>
      </c>
      <c r="G743" s="61">
        <f t="shared" si="855"/>
        <v>0</v>
      </c>
      <c r="H743" s="61">
        <f t="shared" si="855"/>
        <v>0</v>
      </c>
      <c r="I743" s="61">
        <f t="shared" si="855"/>
        <v>0</v>
      </c>
      <c r="J743" s="61">
        <f t="shared" si="855"/>
        <v>0</v>
      </c>
      <c r="K743" s="61">
        <f t="shared" si="855"/>
        <v>0</v>
      </c>
      <c r="L743" s="61">
        <f>SUM(F743:K743)</f>
        <v>0</v>
      </c>
      <c r="M743" s="61">
        <f>L743/6</f>
        <v>0</v>
      </c>
      <c r="N743" s="61">
        <f t="shared" ref="N743:S743" si="856">N741*N742/1000</f>
        <v>0</v>
      </c>
      <c r="O743" s="61">
        <f t="shared" si="856"/>
        <v>0</v>
      </c>
      <c r="P743" s="61">
        <f t="shared" si="856"/>
        <v>0</v>
      </c>
      <c r="Q743" s="61">
        <f t="shared" si="856"/>
        <v>0</v>
      </c>
      <c r="R743" s="61">
        <f t="shared" si="856"/>
        <v>0</v>
      </c>
      <c r="S743" s="61">
        <f t="shared" si="856"/>
        <v>0</v>
      </c>
      <c r="T743" s="61">
        <f>SUM(N743:S743)</f>
        <v>0</v>
      </c>
      <c r="U743" s="61">
        <f>T743+L743</f>
        <v>0</v>
      </c>
      <c r="V743" s="61">
        <f>V738</f>
        <v>0</v>
      </c>
      <c r="W743" s="72">
        <f>V743-U743</f>
        <v>0</v>
      </c>
    </row>
    <row r="744" spans="1:23" s="47" customFormat="1" ht="18" hidden="1" customHeight="1">
      <c r="A744" s="249"/>
      <c r="B744" s="576"/>
      <c r="C744" s="577"/>
      <c r="D744" s="201" t="str">
        <f>серпень!D667</f>
        <v>дотація</v>
      </c>
      <c r="E744" s="71"/>
      <c r="F744" s="61"/>
      <c r="G744" s="61"/>
      <c r="H744" s="61"/>
      <c r="I744" s="61"/>
      <c r="J744" s="61"/>
      <c r="K744" s="61"/>
      <c r="L744" s="61">
        <f>SUM(F744:K744)</f>
        <v>0</v>
      </c>
      <c r="M744" s="61">
        <f>L744/6</f>
        <v>0</v>
      </c>
      <c r="N744" s="61"/>
      <c r="O744" s="61"/>
      <c r="P744" s="61"/>
      <c r="Q744" s="61"/>
      <c r="R744" s="61"/>
      <c r="S744" s="61"/>
      <c r="T744" s="61">
        <f>SUM(N744:S744)</f>
        <v>0</v>
      </c>
      <c r="U744" s="61">
        <f>T744+L744</f>
        <v>0</v>
      </c>
      <c r="V744" s="61">
        <f>V739</f>
        <v>0</v>
      </c>
      <c r="W744" s="72">
        <f>V744-U744</f>
        <v>0</v>
      </c>
    </row>
    <row r="745" spans="1:23" s="47" customFormat="1" ht="18" hidden="1" customHeight="1">
      <c r="A745" s="249"/>
      <c r="B745" s="576"/>
      <c r="C745" s="577"/>
      <c r="D745" s="201" t="str">
        <f>серпень!D668</f>
        <v xml:space="preserve">місцевий </v>
      </c>
      <c r="E745" s="71"/>
      <c r="F745" s="61">
        <f t="shared" ref="F745:K745" si="857">F743-F744</f>
        <v>0</v>
      </c>
      <c r="G745" s="61">
        <f t="shared" si="857"/>
        <v>0</v>
      </c>
      <c r="H745" s="61">
        <f t="shared" si="857"/>
        <v>0</v>
      </c>
      <c r="I745" s="61">
        <f t="shared" si="857"/>
        <v>0</v>
      </c>
      <c r="J745" s="61">
        <f t="shared" si="857"/>
        <v>0</v>
      </c>
      <c r="K745" s="61">
        <f t="shared" si="857"/>
        <v>0</v>
      </c>
      <c r="L745" s="61">
        <f>SUM(F745:K745)</f>
        <v>0</v>
      </c>
      <c r="M745" s="61">
        <f>L745/6</f>
        <v>0</v>
      </c>
      <c r="N745" s="61">
        <f t="shared" ref="N745:S745" si="858">N743-N744</f>
        <v>0</v>
      </c>
      <c r="O745" s="61">
        <f t="shared" si="858"/>
        <v>0</v>
      </c>
      <c r="P745" s="61">
        <f t="shared" si="858"/>
        <v>0</v>
      </c>
      <c r="Q745" s="61">
        <f t="shared" si="858"/>
        <v>0</v>
      </c>
      <c r="R745" s="61">
        <f t="shared" si="858"/>
        <v>0</v>
      </c>
      <c r="S745" s="61">
        <f t="shared" si="858"/>
        <v>0</v>
      </c>
      <c r="T745" s="61">
        <f>SUM(N745:S745)</f>
        <v>0</v>
      </c>
      <c r="U745" s="61">
        <f>T745+L745</f>
        <v>0</v>
      </c>
      <c r="V745" s="61">
        <f>V740</f>
        <v>0</v>
      </c>
      <c r="W745" s="72">
        <f>V745-U745</f>
        <v>0</v>
      </c>
    </row>
    <row r="746" spans="1:23" s="47" customFormat="1" ht="18" hidden="1" customHeight="1">
      <c r="A746" s="249"/>
      <c r="B746" s="576"/>
      <c r="C746" s="577"/>
      <c r="D746" s="202" t="str">
        <f>серпень!D669</f>
        <v>план</v>
      </c>
      <c r="E746" s="42"/>
      <c r="F746" s="42">
        <f t="shared" ref="F746:K746" si="859">F740</f>
        <v>0</v>
      </c>
      <c r="G746" s="42">
        <f t="shared" si="859"/>
        <v>0</v>
      </c>
      <c r="H746" s="42">
        <f t="shared" si="859"/>
        <v>0</v>
      </c>
      <c r="I746" s="42">
        <f t="shared" si="859"/>
        <v>0</v>
      </c>
      <c r="J746" s="42">
        <f t="shared" si="859"/>
        <v>0</v>
      </c>
      <c r="K746" s="42">
        <f t="shared" si="859"/>
        <v>0</v>
      </c>
      <c r="L746" s="42">
        <f>SUM(F746:K746)</f>
        <v>0</v>
      </c>
      <c r="M746" s="42">
        <f>L746/6</f>
        <v>0</v>
      </c>
      <c r="N746" s="42">
        <f t="shared" ref="N746:S746" si="860">N740+N739</f>
        <v>0</v>
      </c>
      <c r="O746" s="42">
        <f t="shared" si="860"/>
        <v>0</v>
      </c>
      <c r="P746" s="42">
        <f t="shared" si="860"/>
        <v>0</v>
      </c>
      <c r="Q746" s="42">
        <f t="shared" si="860"/>
        <v>0</v>
      </c>
      <c r="R746" s="42">
        <f t="shared" si="860"/>
        <v>0</v>
      </c>
      <c r="S746" s="42">
        <f t="shared" si="860"/>
        <v>0</v>
      </c>
      <c r="T746" s="42">
        <f>SUM(N746:S746)</f>
        <v>0</v>
      </c>
      <c r="U746" s="42">
        <f>T746+L746</f>
        <v>0</v>
      </c>
      <c r="V746" s="42">
        <f>V743</f>
        <v>0</v>
      </c>
      <c r="W746" s="42">
        <f>V746-U746</f>
        <v>0</v>
      </c>
    </row>
    <row r="747" spans="1:23" s="47" customFormat="1" ht="18" hidden="1" customHeight="1">
      <c r="A747" s="249"/>
      <c r="B747" s="576"/>
      <c r="C747" s="577"/>
      <c r="D747" s="202" t="str">
        <f>серпень!D670</f>
        <v xml:space="preserve">відхилення </v>
      </c>
      <c r="E747" s="42"/>
      <c r="F747" s="42">
        <f t="shared" ref="F747:K747" si="861">F743-F746</f>
        <v>0</v>
      </c>
      <c r="G747" s="42">
        <f t="shared" si="861"/>
        <v>0</v>
      </c>
      <c r="H747" s="42">
        <f t="shared" si="861"/>
        <v>0</v>
      </c>
      <c r="I747" s="42">
        <f t="shared" si="861"/>
        <v>0</v>
      </c>
      <c r="J747" s="42">
        <f t="shared" si="861"/>
        <v>0</v>
      </c>
      <c r="K747" s="42">
        <f t="shared" si="861"/>
        <v>0</v>
      </c>
      <c r="L747" s="42"/>
      <c r="M747" s="42"/>
      <c r="N747" s="42">
        <f t="shared" ref="N747:S747" si="862">N743-N746</f>
        <v>0</v>
      </c>
      <c r="O747" s="42">
        <f t="shared" si="862"/>
        <v>0</v>
      </c>
      <c r="P747" s="42">
        <f t="shared" si="862"/>
        <v>0</v>
      </c>
      <c r="Q747" s="42">
        <f t="shared" si="862"/>
        <v>0</v>
      </c>
      <c r="R747" s="42">
        <f t="shared" si="862"/>
        <v>0</v>
      </c>
      <c r="S747" s="42">
        <f t="shared" si="862"/>
        <v>0</v>
      </c>
      <c r="T747" s="42"/>
      <c r="U747" s="42"/>
      <c r="V747" s="42"/>
      <c r="W747" s="42"/>
    </row>
    <row r="748" spans="1:23" s="47" customFormat="1" ht="18" hidden="1" customHeight="1">
      <c r="A748" s="249"/>
      <c r="B748" s="578"/>
      <c r="C748" s="579"/>
      <c r="D748" s="202" t="str">
        <f>серпень!D671</f>
        <v>відхилення з наростаючим</v>
      </c>
      <c r="E748" s="42"/>
      <c r="F748" s="42">
        <f>F747</f>
        <v>0</v>
      </c>
      <c r="G748" s="42">
        <f>G747+F748</f>
        <v>0</v>
      </c>
      <c r="H748" s="42">
        <f>H747+G748</f>
        <v>0</v>
      </c>
      <c r="I748" s="42">
        <f>I747+H748</f>
        <v>0</v>
      </c>
      <c r="J748" s="42">
        <f>J747+I748</f>
        <v>0</v>
      </c>
      <c r="K748" s="42">
        <f>K747+J748</f>
        <v>0</v>
      </c>
      <c r="L748" s="42"/>
      <c r="M748" s="42"/>
      <c r="N748" s="42">
        <f>N747+K748</f>
        <v>0</v>
      </c>
      <c r="O748" s="42">
        <f>O747+N748</f>
        <v>0</v>
      </c>
      <c r="P748" s="42">
        <f>P747+O748</f>
        <v>0</v>
      </c>
      <c r="Q748" s="42">
        <f>Q747+P748</f>
        <v>0</v>
      </c>
      <c r="R748" s="42">
        <f>R747+Q748</f>
        <v>0</v>
      </c>
      <c r="S748" s="42">
        <f>S747+R748</f>
        <v>0</v>
      </c>
      <c r="T748" s="42"/>
      <c r="U748" s="42"/>
      <c r="V748" s="42"/>
      <c r="W748" s="42"/>
    </row>
    <row r="749" spans="1:23">
      <c r="L749" s="15"/>
      <c r="M749" s="15"/>
      <c r="N749" s="15"/>
      <c r="T749" s="15"/>
      <c r="U749" s="15"/>
    </row>
    <row r="750" spans="1:23">
      <c r="L750" s="15"/>
      <c r="M750" s="15"/>
      <c r="N750" s="15"/>
      <c r="T750" s="15"/>
      <c r="U750" s="15"/>
    </row>
    <row r="751" spans="1:23">
      <c r="L751" s="15"/>
      <c r="M751" s="15"/>
      <c r="N751" s="15"/>
      <c r="T751" s="15"/>
      <c r="U751" s="15"/>
    </row>
    <row r="752" spans="1:23">
      <c r="L752" s="15"/>
      <c r="M752" s="15"/>
      <c r="N752" s="15"/>
      <c r="T752" s="15"/>
      <c r="U752" s="15"/>
    </row>
    <row r="753" spans="12:21">
      <c r="L753" s="15"/>
      <c r="M753" s="15"/>
      <c r="N753" s="15"/>
      <c r="T753" s="15"/>
      <c r="U753" s="15"/>
    </row>
    <row r="754" spans="12:21">
      <c r="L754" s="15"/>
      <c r="M754" s="15"/>
      <c r="N754" s="15"/>
      <c r="T754" s="15"/>
      <c r="U754" s="15"/>
    </row>
    <row r="755" spans="12:21">
      <c r="L755" s="15"/>
      <c r="M755" s="15"/>
      <c r="N755" s="15"/>
      <c r="T755" s="15"/>
      <c r="U755" s="15"/>
    </row>
    <row r="756" spans="12:21">
      <c r="L756" s="15"/>
      <c r="M756" s="15"/>
      <c r="N756" s="15"/>
      <c r="T756" s="15"/>
      <c r="U756" s="15"/>
    </row>
    <row r="757" spans="12:21">
      <c r="L757" s="15"/>
      <c r="M757" s="15"/>
      <c r="N757" s="15"/>
      <c r="T757" s="15"/>
      <c r="U757" s="15"/>
    </row>
    <row r="758" spans="12:21">
      <c r="L758" s="15"/>
      <c r="M758" s="15"/>
      <c r="N758" s="15"/>
      <c r="T758" s="15"/>
      <c r="U758" s="15"/>
    </row>
    <row r="759" spans="12:21">
      <c r="L759" s="15"/>
      <c r="M759" s="15"/>
      <c r="N759" s="15"/>
      <c r="T759" s="15"/>
      <c r="U759" s="15"/>
    </row>
    <row r="760" spans="12:21">
      <c r="L760" s="15"/>
      <c r="M760" s="15"/>
      <c r="N760" s="15"/>
      <c r="T760" s="15"/>
      <c r="U760" s="15"/>
    </row>
    <row r="761" spans="12:21">
      <c r="L761" s="15"/>
      <c r="M761" s="15"/>
      <c r="N761" s="15"/>
      <c r="T761" s="15"/>
      <c r="U761" s="15"/>
    </row>
    <row r="762" spans="12:21">
      <c r="L762" s="15"/>
      <c r="M762" s="15"/>
      <c r="N762" s="15"/>
      <c r="T762" s="15"/>
      <c r="U762" s="15"/>
    </row>
    <row r="763" spans="12:21">
      <c r="L763" s="15"/>
      <c r="M763" s="15"/>
      <c r="N763" s="15"/>
      <c r="T763" s="15"/>
      <c r="U763" s="15"/>
    </row>
    <row r="764" spans="12:21">
      <c r="L764" s="15"/>
      <c r="M764" s="15"/>
      <c r="N764" s="15"/>
      <c r="T764" s="15"/>
      <c r="U764" s="15"/>
    </row>
    <row r="765" spans="12:21">
      <c r="L765" s="15"/>
      <c r="M765" s="15"/>
      <c r="N765" s="15"/>
      <c r="T765" s="15"/>
      <c r="U765" s="15"/>
    </row>
    <row r="766" spans="12:21">
      <c r="L766" s="15"/>
      <c r="M766" s="15"/>
      <c r="N766" s="15"/>
      <c r="T766" s="15"/>
      <c r="U766" s="15"/>
    </row>
    <row r="767" spans="12:21">
      <c r="L767" s="15"/>
      <c r="M767" s="15"/>
      <c r="N767" s="15"/>
      <c r="T767" s="15"/>
      <c r="U767" s="15"/>
    </row>
    <row r="768" spans="12:21">
      <c r="L768" s="15"/>
      <c r="M768" s="15"/>
      <c r="N768" s="15"/>
      <c r="T768" s="15"/>
      <c r="U768" s="15"/>
    </row>
    <row r="769" spans="12:21">
      <c r="L769" s="15"/>
      <c r="M769" s="15"/>
      <c r="N769" s="15"/>
      <c r="T769" s="15"/>
      <c r="U769" s="15"/>
    </row>
    <row r="770" spans="12:21">
      <c r="L770" s="15"/>
      <c r="M770" s="15"/>
      <c r="N770" s="15"/>
      <c r="T770" s="15"/>
      <c r="U770" s="15"/>
    </row>
    <row r="771" spans="12:21">
      <c r="L771" s="15"/>
      <c r="M771" s="15"/>
      <c r="N771" s="15"/>
      <c r="T771" s="15"/>
      <c r="U771" s="15"/>
    </row>
    <row r="772" spans="12:21">
      <c r="L772" s="15"/>
      <c r="M772" s="15"/>
      <c r="N772" s="15"/>
      <c r="T772" s="15"/>
      <c r="U772" s="15"/>
    </row>
    <row r="773" spans="12:21">
      <c r="L773" s="15"/>
      <c r="M773" s="15"/>
      <c r="N773" s="15"/>
      <c r="T773" s="15"/>
      <c r="U773" s="15"/>
    </row>
    <row r="774" spans="12:21">
      <c r="L774" s="15"/>
      <c r="M774" s="15"/>
      <c r="N774" s="15"/>
      <c r="T774" s="15"/>
      <c r="U774" s="15"/>
    </row>
    <row r="775" spans="12:21">
      <c r="L775" s="15"/>
      <c r="M775" s="15"/>
      <c r="N775" s="15"/>
      <c r="T775" s="15"/>
      <c r="U775" s="15"/>
    </row>
    <row r="776" spans="12:21">
      <c r="L776" s="15"/>
      <c r="M776" s="15"/>
      <c r="N776" s="15"/>
      <c r="T776" s="15"/>
      <c r="U776" s="15"/>
    </row>
    <row r="777" spans="12:21">
      <c r="L777" s="15"/>
      <c r="M777" s="15"/>
      <c r="N777" s="15"/>
      <c r="T777" s="15"/>
      <c r="U777" s="15"/>
    </row>
    <row r="778" spans="12:21">
      <c r="L778" s="15"/>
      <c r="M778" s="15"/>
      <c r="N778" s="15"/>
      <c r="T778" s="15"/>
      <c r="U778" s="15"/>
    </row>
    <row r="779" spans="12:21">
      <c r="L779" s="15"/>
      <c r="M779" s="15"/>
      <c r="N779" s="15"/>
      <c r="T779" s="15"/>
      <c r="U779" s="15"/>
    </row>
    <row r="780" spans="12:21">
      <c r="L780" s="15"/>
      <c r="M780" s="15"/>
      <c r="N780" s="15"/>
      <c r="T780" s="15"/>
      <c r="U780" s="15"/>
    </row>
    <row r="781" spans="12:21">
      <c r="L781" s="15"/>
      <c r="M781" s="15"/>
      <c r="N781" s="15"/>
      <c r="T781" s="15"/>
      <c r="U781" s="15"/>
    </row>
    <row r="782" spans="12:21">
      <c r="L782" s="15"/>
      <c r="M782" s="15"/>
      <c r="N782" s="15"/>
      <c r="T782" s="15"/>
      <c r="U782" s="15"/>
    </row>
    <row r="783" spans="12:21">
      <c r="L783" s="15"/>
      <c r="M783" s="15"/>
      <c r="N783" s="15"/>
      <c r="T783" s="15"/>
      <c r="U783" s="15"/>
    </row>
    <row r="784" spans="12:21">
      <c r="L784" s="15"/>
      <c r="M784" s="15"/>
      <c r="N784" s="15"/>
      <c r="T784" s="15"/>
      <c r="U784" s="15"/>
    </row>
    <row r="785" spans="12:21">
      <c r="L785" s="15"/>
      <c r="M785" s="15"/>
      <c r="N785" s="15"/>
      <c r="T785" s="15"/>
      <c r="U785" s="15"/>
    </row>
    <row r="786" spans="12:21">
      <c r="L786" s="15"/>
      <c r="M786" s="15"/>
      <c r="N786" s="15"/>
      <c r="T786" s="15"/>
      <c r="U786" s="15"/>
    </row>
    <row r="787" spans="12:21">
      <c r="L787" s="15"/>
      <c r="M787" s="15"/>
      <c r="N787" s="15"/>
      <c r="T787" s="15"/>
      <c r="U787" s="15"/>
    </row>
    <row r="788" spans="12:21">
      <c r="L788" s="15"/>
      <c r="M788" s="15"/>
      <c r="N788" s="15"/>
      <c r="T788" s="15"/>
      <c r="U788" s="15"/>
    </row>
    <row r="789" spans="12:21">
      <c r="L789" s="15"/>
      <c r="M789" s="15"/>
      <c r="N789" s="15"/>
      <c r="T789" s="15"/>
      <c r="U789" s="15"/>
    </row>
    <row r="790" spans="12:21">
      <c r="L790" s="15"/>
      <c r="M790" s="15"/>
      <c r="N790" s="15"/>
      <c r="T790" s="15"/>
      <c r="U790" s="15"/>
    </row>
    <row r="791" spans="12:21">
      <c r="L791" s="15"/>
      <c r="M791" s="15"/>
      <c r="N791" s="15"/>
      <c r="T791" s="15"/>
      <c r="U791" s="15"/>
    </row>
    <row r="792" spans="12:21">
      <c r="L792" s="15"/>
      <c r="M792" s="15"/>
      <c r="N792" s="15"/>
      <c r="T792" s="15"/>
      <c r="U792" s="15"/>
    </row>
    <row r="793" spans="12:21">
      <c r="L793" s="15"/>
      <c r="M793" s="15"/>
      <c r="N793" s="15"/>
      <c r="T793" s="15"/>
      <c r="U793" s="15"/>
    </row>
    <row r="794" spans="12:21">
      <c r="L794" s="15"/>
      <c r="M794" s="15"/>
      <c r="N794" s="15"/>
      <c r="T794" s="15"/>
      <c r="U794" s="15"/>
    </row>
    <row r="795" spans="12:21">
      <c r="L795" s="15"/>
      <c r="M795" s="15"/>
      <c r="N795" s="15"/>
      <c r="T795" s="15"/>
      <c r="U795" s="15"/>
    </row>
    <row r="796" spans="12:21">
      <c r="L796" s="15"/>
      <c r="M796" s="15"/>
      <c r="N796" s="15"/>
      <c r="T796" s="15"/>
      <c r="U796" s="15"/>
    </row>
    <row r="797" spans="12:21">
      <c r="L797" s="15"/>
      <c r="M797" s="15"/>
      <c r="N797" s="15"/>
      <c r="T797" s="15"/>
      <c r="U797" s="15"/>
    </row>
    <row r="798" spans="12:21">
      <c r="L798" s="15"/>
      <c r="M798" s="15"/>
      <c r="N798" s="15"/>
      <c r="T798" s="15"/>
      <c r="U798" s="15"/>
    </row>
    <row r="799" spans="12:21">
      <c r="L799" s="15"/>
      <c r="M799" s="15"/>
      <c r="N799" s="15"/>
      <c r="T799" s="15"/>
      <c r="U799" s="15"/>
    </row>
    <row r="800" spans="12:21">
      <c r="L800" s="15"/>
      <c r="M800" s="15"/>
      <c r="N800" s="15"/>
      <c r="T800" s="15"/>
      <c r="U800" s="15"/>
    </row>
    <row r="801" spans="12:21">
      <c r="L801" s="15"/>
      <c r="M801" s="15"/>
      <c r="N801" s="15"/>
      <c r="T801" s="15"/>
      <c r="U801" s="15"/>
    </row>
    <row r="802" spans="12:21">
      <c r="L802" s="15"/>
      <c r="M802" s="15"/>
      <c r="N802" s="15"/>
      <c r="T802" s="15"/>
      <c r="U802" s="15"/>
    </row>
    <row r="803" spans="12:21">
      <c r="L803" s="15"/>
      <c r="M803" s="15"/>
      <c r="N803" s="15"/>
      <c r="T803" s="15"/>
      <c r="U803" s="15"/>
    </row>
    <row r="804" spans="12:21">
      <c r="L804" s="15"/>
      <c r="M804" s="15"/>
      <c r="N804" s="15"/>
      <c r="T804" s="15"/>
      <c r="U804" s="15"/>
    </row>
    <row r="805" spans="12:21">
      <c r="L805" s="15"/>
      <c r="M805" s="15"/>
      <c r="N805" s="15"/>
      <c r="T805" s="15"/>
      <c r="U805" s="15"/>
    </row>
    <row r="806" spans="12:21">
      <c r="L806" s="15"/>
      <c r="M806" s="15"/>
      <c r="N806" s="15"/>
      <c r="T806" s="15"/>
      <c r="U806" s="15"/>
    </row>
    <row r="807" spans="12:21">
      <c r="L807" s="15"/>
      <c r="M807" s="15"/>
      <c r="N807" s="15"/>
      <c r="T807" s="15"/>
      <c r="U807" s="15"/>
    </row>
    <row r="808" spans="12:21">
      <c r="L808" s="15"/>
      <c r="M808" s="15"/>
      <c r="N808" s="15"/>
      <c r="T808" s="15"/>
      <c r="U808" s="15"/>
    </row>
    <row r="809" spans="12:21">
      <c r="L809" s="15"/>
      <c r="M809" s="15"/>
      <c r="N809" s="15"/>
      <c r="T809" s="15"/>
      <c r="U809" s="15"/>
    </row>
    <row r="810" spans="12:21">
      <c r="L810" s="15"/>
      <c r="M810" s="15"/>
      <c r="N810" s="15"/>
      <c r="T810" s="15"/>
      <c r="U810" s="15"/>
    </row>
    <row r="811" spans="12:21">
      <c r="L811" s="15"/>
      <c r="M811" s="15"/>
      <c r="N811" s="15"/>
      <c r="T811" s="15"/>
      <c r="U811" s="15"/>
    </row>
    <row r="812" spans="12:21">
      <c r="L812" s="15"/>
      <c r="M812" s="15"/>
      <c r="N812" s="15"/>
      <c r="T812" s="15"/>
      <c r="U812" s="15"/>
    </row>
    <row r="813" spans="12:21">
      <c r="L813" s="15"/>
      <c r="M813" s="15"/>
      <c r="N813" s="15"/>
      <c r="T813" s="15"/>
      <c r="U813" s="15"/>
    </row>
    <row r="814" spans="12:21">
      <c r="L814" s="15"/>
      <c r="M814" s="15"/>
      <c r="N814" s="15"/>
      <c r="T814" s="15"/>
      <c r="U814" s="15"/>
    </row>
    <row r="815" spans="12:21">
      <c r="L815" s="15"/>
      <c r="M815" s="15"/>
      <c r="N815" s="15"/>
      <c r="T815" s="15"/>
      <c r="U815" s="15"/>
    </row>
    <row r="816" spans="12:21">
      <c r="L816" s="15"/>
      <c r="M816" s="15"/>
      <c r="N816" s="15"/>
      <c r="T816" s="15"/>
      <c r="U816" s="15"/>
    </row>
    <row r="817" spans="12:21">
      <c r="L817" s="15"/>
      <c r="M817" s="15"/>
      <c r="N817" s="15"/>
      <c r="T817" s="15"/>
      <c r="U817" s="15"/>
    </row>
    <row r="818" spans="12:21">
      <c r="L818" s="15"/>
      <c r="M818" s="15"/>
      <c r="N818" s="15"/>
      <c r="T818" s="15"/>
      <c r="U818" s="15"/>
    </row>
    <row r="819" spans="12:21">
      <c r="L819" s="15"/>
      <c r="M819" s="15"/>
      <c r="N819" s="15"/>
      <c r="T819" s="15"/>
      <c r="U819" s="15"/>
    </row>
    <row r="820" spans="12:21">
      <c r="L820" s="15"/>
      <c r="M820" s="15"/>
      <c r="N820" s="15"/>
      <c r="T820" s="15"/>
      <c r="U820" s="15"/>
    </row>
    <row r="821" spans="12:21">
      <c r="L821" s="15"/>
      <c r="M821" s="15"/>
      <c r="N821" s="15"/>
      <c r="T821" s="15"/>
      <c r="U821" s="15"/>
    </row>
    <row r="822" spans="12:21">
      <c r="L822" s="15"/>
      <c r="M822" s="15"/>
      <c r="N822" s="15"/>
      <c r="T822" s="15"/>
      <c r="U822" s="15"/>
    </row>
    <row r="823" spans="12:21">
      <c r="L823" s="15"/>
      <c r="M823" s="15"/>
      <c r="N823" s="15"/>
      <c r="T823" s="15"/>
      <c r="U823" s="15"/>
    </row>
    <row r="824" spans="12:21">
      <c r="L824" s="15"/>
      <c r="M824" s="15"/>
      <c r="N824" s="15"/>
      <c r="T824" s="15"/>
      <c r="U824" s="15"/>
    </row>
    <row r="825" spans="12:21">
      <c r="L825" s="15"/>
      <c r="M825" s="15"/>
      <c r="N825" s="15"/>
      <c r="T825" s="15"/>
      <c r="U825" s="15"/>
    </row>
    <row r="826" spans="12:21">
      <c r="L826" s="15"/>
      <c r="M826" s="15"/>
      <c r="N826" s="15"/>
      <c r="T826" s="15"/>
      <c r="U826" s="15"/>
    </row>
    <row r="827" spans="12:21">
      <c r="L827" s="15"/>
      <c r="M827" s="15"/>
      <c r="N827" s="15"/>
      <c r="T827" s="15"/>
      <c r="U827" s="15"/>
    </row>
    <row r="828" spans="12:21">
      <c r="L828" s="15"/>
      <c r="M828" s="15"/>
      <c r="N828" s="15"/>
      <c r="T828" s="15"/>
      <c r="U828" s="15"/>
    </row>
    <row r="829" spans="12:21">
      <c r="L829" s="15"/>
      <c r="M829" s="15"/>
      <c r="N829" s="15"/>
      <c r="T829" s="15"/>
      <c r="U829" s="15"/>
    </row>
    <row r="830" spans="12:21">
      <c r="L830" s="15"/>
      <c r="M830" s="15"/>
      <c r="N830" s="15"/>
      <c r="T830" s="15"/>
      <c r="U830" s="15"/>
    </row>
    <row r="831" spans="12:21">
      <c r="L831" s="15"/>
      <c r="M831" s="15"/>
      <c r="N831" s="15"/>
      <c r="T831" s="15"/>
      <c r="U831" s="15"/>
    </row>
    <row r="832" spans="12:21">
      <c r="L832" s="15"/>
      <c r="M832" s="15"/>
      <c r="N832" s="15"/>
      <c r="T832" s="15"/>
      <c r="U832" s="15"/>
    </row>
    <row r="833" spans="12:21">
      <c r="L833" s="15"/>
      <c r="M833" s="15"/>
      <c r="N833" s="15"/>
      <c r="T833" s="15"/>
      <c r="U833" s="15"/>
    </row>
    <row r="834" spans="12:21">
      <c r="L834" s="15"/>
      <c r="M834" s="15"/>
      <c r="N834" s="15"/>
      <c r="T834" s="15"/>
      <c r="U834" s="15"/>
    </row>
    <row r="835" spans="12:21">
      <c r="L835" s="15"/>
      <c r="M835" s="15"/>
      <c r="N835" s="15"/>
      <c r="T835" s="15"/>
      <c r="U835" s="15"/>
    </row>
    <row r="836" spans="12:21">
      <c r="L836" s="15"/>
      <c r="M836" s="15"/>
      <c r="N836" s="15"/>
      <c r="T836" s="15"/>
      <c r="U836" s="15"/>
    </row>
    <row r="837" spans="12:21">
      <c r="L837" s="15"/>
      <c r="M837" s="15"/>
      <c r="N837" s="15"/>
      <c r="T837" s="15"/>
      <c r="U837" s="15"/>
    </row>
    <row r="838" spans="12:21">
      <c r="L838" s="15"/>
      <c r="M838" s="15"/>
      <c r="N838" s="15"/>
      <c r="T838" s="15"/>
      <c r="U838" s="15"/>
    </row>
    <row r="839" spans="12:21">
      <c r="L839" s="15"/>
      <c r="M839" s="15"/>
      <c r="N839" s="15"/>
      <c r="T839" s="15"/>
      <c r="U839" s="15"/>
    </row>
    <row r="840" spans="12:21">
      <c r="L840" s="15"/>
      <c r="M840" s="15"/>
      <c r="N840" s="15"/>
      <c r="T840" s="15"/>
      <c r="U840" s="15"/>
    </row>
    <row r="841" spans="12:21">
      <c r="L841" s="15"/>
      <c r="M841" s="15"/>
      <c r="N841" s="15"/>
      <c r="T841" s="15"/>
      <c r="U841" s="15"/>
    </row>
    <row r="842" spans="12:21">
      <c r="L842" s="15"/>
      <c r="M842" s="15"/>
      <c r="N842" s="15"/>
      <c r="T842" s="15"/>
      <c r="U842" s="15"/>
    </row>
    <row r="843" spans="12:21">
      <c r="L843" s="15"/>
      <c r="M843" s="15"/>
      <c r="N843" s="15"/>
      <c r="T843" s="15"/>
      <c r="U843" s="15"/>
    </row>
    <row r="844" spans="12:21">
      <c r="L844" s="15"/>
      <c r="M844" s="15"/>
      <c r="N844" s="15"/>
      <c r="T844" s="15"/>
      <c r="U844" s="15"/>
    </row>
    <row r="845" spans="12:21">
      <c r="L845" s="15"/>
      <c r="M845" s="15"/>
      <c r="N845" s="15"/>
      <c r="T845" s="15"/>
      <c r="U845" s="15"/>
    </row>
    <row r="846" spans="12:21">
      <c r="L846" s="15"/>
      <c r="M846" s="15"/>
      <c r="N846" s="15"/>
      <c r="T846" s="15"/>
      <c r="U846" s="15"/>
    </row>
    <row r="847" spans="12:21">
      <c r="L847" s="15"/>
      <c r="M847" s="15"/>
      <c r="N847" s="15"/>
      <c r="T847" s="15"/>
      <c r="U847" s="15"/>
    </row>
    <row r="848" spans="12:21">
      <c r="L848" s="15"/>
      <c r="M848" s="15"/>
      <c r="N848" s="15"/>
      <c r="T848" s="15"/>
      <c r="U848" s="15"/>
    </row>
    <row r="849" spans="12:21">
      <c r="L849" s="15"/>
      <c r="M849" s="15"/>
      <c r="N849" s="15"/>
      <c r="T849" s="15"/>
      <c r="U849" s="15"/>
    </row>
    <row r="850" spans="12:21">
      <c r="L850" s="15"/>
      <c r="M850" s="15"/>
      <c r="N850" s="15"/>
      <c r="T850" s="15"/>
      <c r="U850" s="15"/>
    </row>
    <row r="851" spans="12:21">
      <c r="L851" s="15"/>
      <c r="M851" s="15"/>
      <c r="N851" s="15"/>
      <c r="T851" s="15"/>
      <c r="U851" s="15"/>
    </row>
    <row r="852" spans="12:21">
      <c r="L852" s="15"/>
      <c r="M852" s="15"/>
      <c r="N852" s="15"/>
      <c r="T852" s="15"/>
      <c r="U852" s="15"/>
    </row>
    <row r="853" spans="12:21">
      <c r="L853" s="15"/>
      <c r="M853" s="15"/>
      <c r="N853" s="15"/>
      <c r="T853" s="15"/>
      <c r="U853" s="15"/>
    </row>
    <row r="854" spans="12:21">
      <c r="L854" s="15"/>
      <c r="M854" s="15"/>
      <c r="N854" s="15"/>
      <c r="T854" s="15"/>
      <c r="U854" s="15"/>
    </row>
    <row r="855" spans="12:21">
      <c r="L855" s="15"/>
      <c r="M855" s="15"/>
      <c r="N855" s="15"/>
      <c r="T855" s="15"/>
      <c r="U855" s="15"/>
    </row>
    <row r="856" spans="12:21">
      <c r="L856" s="15"/>
      <c r="M856" s="15"/>
      <c r="N856" s="15"/>
      <c r="T856" s="15"/>
      <c r="U856" s="15"/>
    </row>
    <row r="857" spans="12:21">
      <c r="L857" s="15"/>
      <c r="M857" s="15"/>
      <c r="N857" s="15"/>
      <c r="T857" s="15"/>
      <c r="U857" s="15"/>
    </row>
    <row r="858" spans="12:21">
      <c r="L858" s="15"/>
      <c r="M858" s="15"/>
      <c r="N858" s="15"/>
      <c r="T858" s="15"/>
      <c r="U858" s="15"/>
    </row>
    <row r="859" spans="12:21">
      <c r="L859" s="15"/>
      <c r="M859" s="15"/>
      <c r="N859" s="15"/>
      <c r="T859" s="15"/>
      <c r="U859" s="15"/>
    </row>
    <row r="860" spans="12:21">
      <c r="L860" s="15"/>
      <c r="M860" s="15"/>
      <c r="N860" s="15"/>
      <c r="T860" s="15"/>
      <c r="U860" s="15"/>
    </row>
    <row r="861" spans="12:21">
      <c r="L861" s="15"/>
      <c r="M861" s="15"/>
      <c r="N861" s="15"/>
      <c r="T861" s="15"/>
      <c r="U861" s="15"/>
    </row>
    <row r="862" spans="12:21">
      <c r="L862" s="15"/>
      <c r="M862" s="15"/>
      <c r="N862" s="15"/>
      <c r="T862" s="15"/>
      <c r="U862" s="15"/>
    </row>
    <row r="863" spans="12:21">
      <c r="L863" s="15"/>
      <c r="M863" s="15"/>
      <c r="N863" s="15"/>
      <c r="T863" s="15"/>
      <c r="U863" s="15"/>
    </row>
    <row r="864" spans="12:21">
      <c r="L864" s="15"/>
      <c r="M864" s="15"/>
      <c r="N864" s="15"/>
      <c r="T864" s="15"/>
      <c r="U864" s="15"/>
    </row>
    <row r="865" spans="12:21">
      <c r="L865" s="15"/>
      <c r="M865" s="15"/>
      <c r="N865" s="15"/>
      <c r="T865" s="15"/>
      <c r="U865" s="15"/>
    </row>
    <row r="866" spans="12:21">
      <c r="L866" s="15"/>
      <c r="M866" s="15"/>
      <c r="N866" s="15"/>
      <c r="T866" s="15"/>
      <c r="U866" s="15"/>
    </row>
    <row r="867" spans="12:21">
      <c r="L867" s="15"/>
      <c r="M867" s="15"/>
      <c r="N867" s="15"/>
      <c r="T867" s="15"/>
      <c r="U867" s="15"/>
    </row>
    <row r="868" spans="12:21">
      <c r="L868" s="15"/>
      <c r="M868" s="15"/>
      <c r="N868" s="15"/>
      <c r="T868" s="15"/>
      <c r="U868" s="15"/>
    </row>
    <row r="869" spans="12:21">
      <c r="L869" s="15"/>
      <c r="M869" s="15"/>
      <c r="N869" s="15"/>
      <c r="T869" s="15"/>
      <c r="U869" s="15"/>
    </row>
    <row r="870" spans="12:21">
      <c r="L870" s="15"/>
      <c r="M870" s="15"/>
      <c r="N870" s="15"/>
      <c r="T870" s="15"/>
      <c r="U870" s="15"/>
    </row>
    <row r="871" spans="12:21">
      <c r="L871" s="15"/>
      <c r="M871" s="15"/>
      <c r="N871" s="15"/>
      <c r="T871" s="15"/>
      <c r="U871" s="15"/>
    </row>
    <row r="872" spans="12:21">
      <c r="L872" s="15"/>
      <c r="M872" s="15"/>
      <c r="N872" s="15"/>
      <c r="T872" s="15"/>
      <c r="U872" s="15"/>
    </row>
    <row r="873" spans="12:21">
      <c r="L873" s="15"/>
      <c r="M873" s="15"/>
      <c r="N873" s="15"/>
      <c r="T873" s="15"/>
      <c r="U873" s="15"/>
    </row>
    <row r="874" spans="12:21">
      <c r="L874" s="15"/>
      <c r="M874" s="15"/>
      <c r="N874" s="15"/>
      <c r="T874" s="15"/>
      <c r="U874" s="15"/>
    </row>
    <row r="875" spans="12:21">
      <c r="L875" s="15"/>
      <c r="M875" s="15"/>
      <c r="N875" s="15"/>
      <c r="T875" s="15"/>
      <c r="U875" s="15"/>
    </row>
    <row r="876" spans="12:21">
      <c r="L876" s="15"/>
      <c r="M876" s="15"/>
      <c r="N876" s="15"/>
      <c r="T876" s="15"/>
      <c r="U876" s="15"/>
    </row>
    <row r="877" spans="12:21">
      <c r="L877" s="15"/>
      <c r="M877" s="15"/>
      <c r="N877" s="15"/>
      <c r="T877" s="15"/>
      <c r="U877" s="15"/>
    </row>
    <row r="878" spans="12:21">
      <c r="L878" s="15"/>
      <c r="M878" s="15"/>
      <c r="N878" s="15"/>
      <c r="T878" s="15"/>
      <c r="U878" s="15"/>
    </row>
    <row r="879" spans="12:21">
      <c r="L879" s="15"/>
      <c r="M879" s="15"/>
      <c r="N879" s="15"/>
      <c r="T879" s="15"/>
      <c r="U879" s="15"/>
    </row>
    <row r="880" spans="12:21">
      <c r="L880" s="15"/>
      <c r="M880" s="15"/>
      <c r="N880" s="15"/>
      <c r="T880" s="15"/>
      <c r="U880" s="15"/>
    </row>
    <row r="881" spans="12:21">
      <c r="L881" s="15"/>
      <c r="M881" s="15"/>
      <c r="N881" s="15"/>
      <c r="T881" s="15"/>
      <c r="U881" s="15"/>
    </row>
    <row r="882" spans="12:21">
      <c r="L882" s="15"/>
      <c r="M882" s="15"/>
      <c r="N882" s="15"/>
      <c r="T882" s="15"/>
      <c r="U882" s="15"/>
    </row>
    <row r="883" spans="12:21">
      <c r="L883" s="15"/>
      <c r="M883" s="15"/>
      <c r="N883" s="15"/>
      <c r="T883" s="15"/>
      <c r="U883" s="15"/>
    </row>
    <row r="884" spans="12:21">
      <c r="L884" s="15"/>
      <c r="M884" s="15"/>
      <c r="N884" s="15"/>
      <c r="T884" s="15"/>
      <c r="U884" s="15"/>
    </row>
    <row r="885" spans="12:21">
      <c r="L885" s="15"/>
      <c r="M885" s="15"/>
      <c r="N885" s="15"/>
      <c r="T885" s="15"/>
      <c r="U885" s="15"/>
    </row>
    <row r="886" spans="12:21">
      <c r="L886" s="15"/>
      <c r="M886" s="15"/>
      <c r="N886" s="15"/>
      <c r="T886" s="15"/>
      <c r="U886" s="15"/>
    </row>
    <row r="887" spans="12:21">
      <c r="L887" s="15"/>
      <c r="M887" s="15"/>
      <c r="N887" s="15"/>
      <c r="T887" s="15"/>
      <c r="U887" s="15"/>
    </row>
    <row r="888" spans="12:21">
      <c r="L888" s="15"/>
      <c r="M888" s="15"/>
      <c r="N888" s="15"/>
      <c r="T888" s="15"/>
      <c r="U888" s="15"/>
    </row>
    <row r="889" spans="12:21">
      <c r="L889" s="15"/>
      <c r="M889" s="15"/>
      <c r="N889" s="15"/>
      <c r="T889" s="15"/>
      <c r="U889" s="15"/>
    </row>
    <row r="890" spans="12:21">
      <c r="L890" s="15"/>
      <c r="M890" s="15"/>
      <c r="N890" s="15"/>
      <c r="T890" s="15"/>
      <c r="U890" s="15"/>
    </row>
    <row r="891" spans="12:21">
      <c r="L891" s="15"/>
      <c r="M891" s="15"/>
      <c r="N891" s="15"/>
      <c r="T891" s="15"/>
      <c r="U891" s="15"/>
    </row>
    <row r="892" spans="12:21">
      <c r="L892" s="15"/>
      <c r="M892" s="15"/>
      <c r="N892" s="15"/>
      <c r="T892" s="15"/>
      <c r="U892" s="15"/>
    </row>
    <row r="893" spans="12:21">
      <c r="L893" s="15"/>
      <c r="M893" s="15"/>
      <c r="N893" s="15"/>
      <c r="T893" s="15"/>
      <c r="U893" s="15"/>
    </row>
    <row r="894" spans="12:21">
      <c r="L894" s="15"/>
      <c r="M894" s="15"/>
      <c r="N894" s="15"/>
      <c r="T894" s="15"/>
      <c r="U894" s="15"/>
    </row>
    <row r="895" spans="12:21">
      <c r="L895" s="15"/>
      <c r="M895" s="15"/>
      <c r="N895" s="15"/>
      <c r="T895" s="15"/>
      <c r="U895" s="15"/>
    </row>
    <row r="896" spans="12:21">
      <c r="L896" s="15"/>
      <c r="M896" s="15"/>
      <c r="N896" s="15"/>
      <c r="T896" s="15"/>
      <c r="U896" s="15"/>
    </row>
    <row r="897" spans="12:21">
      <c r="L897" s="15"/>
      <c r="M897" s="15"/>
      <c r="N897" s="15"/>
      <c r="T897" s="15"/>
      <c r="U897" s="15"/>
    </row>
    <row r="898" spans="12:21">
      <c r="L898" s="15"/>
      <c r="M898" s="15"/>
      <c r="N898" s="15"/>
      <c r="T898" s="15"/>
      <c r="U898" s="15"/>
    </row>
    <row r="899" spans="12:21">
      <c r="L899" s="15"/>
      <c r="M899" s="15"/>
      <c r="N899" s="15"/>
      <c r="T899" s="15"/>
      <c r="U899" s="15"/>
    </row>
    <row r="900" spans="12:21">
      <c r="L900" s="15"/>
      <c r="M900" s="15"/>
      <c r="N900" s="15"/>
      <c r="T900" s="15"/>
      <c r="U900" s="15"/>
    </row>
    <row r="901" spans="12:21">
      <c r="L901" s="15"/>
      <c r="M901" s="15"/>
      <c r="N901" s="15"/>
      <c r="T901" s="15"/>
      <c r="U901" s="15"/>
    </row>
    <row r="902" spans="12:21">
      <c r="L902" s="15"/>
      <c r="M902" s="15"/>
      <c r="N902" s="15"/>
      <c r="T902" s="15"/>
      <c r="U902" s="15"/>
    </row>
    <row r="903" spans="12:21">
      <c r="L903" s="15"/>
      <c r="M903" s="15"/>
      <c r="N903" s="15"/>
      <c r="T903" s="15"/>
      <c r="U903" s="15"/>
    </row>
    <row r="904" spans="12:21">
      <c r="L904" s="15"/>
      <c r="M904" s="15"/>
      <c r="N904" s="15"/>
      <c r="T904" s="15"/>
      <c r="U904" s="15"/>
    </row>
    <row r="905" spans="12:21">
      <c r="L905" s="15"/>
      <c r="M905" s="15"/>
      <c r="N905" s="15"/>
      <c r="T905" s="15"/>
      <c r="U905" s="15"/>
    </row>
    <row r="906" spans="12:21">
      <c r="L906" s="15"/>
      <c r="M906" s="15"/>
      <c r="N906" s="15"/>
      <c r="T906" s="15"/>
      <c r="U906" s="15"/>
    </row>
    <row r="907" spans="12:21">
      <c r="L907" s="15"/>
      <c r="M907" s="15"/>
      <c r="N907" s="15"/>
      <c r="T907" s="15"/>
      <c r="U907" s="15"/>
    </row>
    <row r="908" spans="12:21">
      <c r="L908" s="15"/>
      <c r="M908" s="15"/>
      <c r="N908" s="15"/>
      <c r="T908" s="15"/>
      <c r="U908" s="15"/>
    </row>
    <row r="909" spans="12:21">
      <c r="L909" s="15"/>
      <c r="M909" s="15"/>
      <c r="N909" s="15"/>
      <c r="T909" s="15"/>
      <c r="U909" s="15"/>
    </row>
    <row r="910" spans="12:21">
      <c r="L910" s="15"/>
      <c r="M910" s="15"/>
      <c r="N910" s="15"/>
      <c r="T910" s="15"/>
      <c r="U910" s="15"/>
    </row>
    <row r="911" spans="12:21">
      <c r="L911" s="15"/>
      <c r="M911" s="15"/>
      <c r="N911" s="15"/>
      <c r="T911" s="15"/>
      <c r="U911" s="15"/>
    </row>
    <row r="912" spans="12:21">
      <c r="L912" s="15"/>
      <c r="M912" s="15"/>
      <c r="N912" s="15"/>
      <c r="T912" s="15"/>
      <c r="U912" s="15"/>
    </row>
    <row r="913" spans="12:21">
      <c r="L913" s="15"/>
      <c r="M913" s="15"/>
      <c r="N913" s="15"/>
      <c r="T913" s="15"/>
      <c r="U913" s="15"/>
    </row>
    <row r="914" spans="12:21">
      <c r="L914" s="15"/>
      <c r="M914" s="15"/>
      <c r="N914" s="15"/>
      <c r="T914" s="15"/>
      <c r="U914" s="15"/>
    </row>
    <row r="915" spans="12:21">
      <c r="L915" s="15"/>
      <c r="M915" s="15"/>
      <c r="N915" s="15"/>
      <c r="T915" s="15"/>
      <c r="U915" s="15"/>
    </row>
    <row r="916" spans="12:21">
      <c r="L916" s="15"/>
      <c r="M916" s="15"/>
      <c r="N916" s="15"/>
      <c r="T916" s="15"/>
      <c r="U916" s="15"/>
    </row>
    <row r="917" spans="12:21">
      <c r="L917" s="15"/>
      <c r="M917" s="15"/>
      <c r="N917" s="15"/>
      <c r="T917" s="15"/>
      <c r="U917" s="15"/>
    </row>
    <row r="918" spans="12:21">
      <c r="L918" s="15"/>
      <c r="M918" s="15"/>
      <c r="N918" s="15"/>
      <c r="T918" s="15"/>
      <c r="U918" s="15"/>
    </row>
    <row r="919" spans="12:21">
      <c r="L919" s="15"/>
      <c r="M919" s="15"/>
      <c r="N919" s="15"/>
      <c r="T919" s="15"/>
      <c r="U919" s="15"/>
    </row>
    <row r="920" spans="12:21">
      <c r="L920" s="15"/>
      <c r="M920" s="15"/>
      <c r="N920" s="15"/>
      <c r="T920" s="15"/>
      <c r="U920" s="15"/>
    </row>
    <row r="921" spans="12:21">
      <c r="L921" s="15"/>
      <c r="M921" s="15"/>
      <c r="N921" s="15"/>
      <c r="T921" s="15"/>
      <c r="U921" s="15"/>
    </row>
    <row r="922" spans="12:21">
      <c r="L922" s="15"/>
      <c r="M922" s="15"/>
      <c r="N922" s="15"/>
      <c r="T922" s="15"/>
      <c r="U922" s="15"/>
    </row>
    <row r="923" spans="12:21">
      <c r="L923" s="15"/>
      <c r="M923" s="15"/>
      <c r="N923" s="15"/>
      <c r="T923" s="15"/>
      <c r="U923" s="15"/>
    </row>
    <row r="924" spans="12:21">
      <c r="L924" s="15"/>
      <c r="M924" s="15"/>
      <c r="N924" s="15"/>
      <c r="T924" s="15"/>
      <c r="U924" s="15"/>
    </row>
    <row r="925" spans="12:21">
      <c r="L925" s="15"/>
      <c r="M925" s="15"/>
      <c r="N925" s="15"/>
      <c r="T925" s="15"/>
      <c r="U925" s="15"/>
    </row>
    <row r="926" spans="12:21">
      <c r="L926" s="15"/>
      <c r="M926" s="15"/>
      <c r="N926" s="15"/>
      <c r="T926" s="15"/>
      <c r="U926" s="15"/>
    </row>
    <row r="927" spans="12:21">
      <c r="L927" s="15"/>
      <c r="M927" s="15"/>
      <c r="N927" s="15"/>
      <c r="T927" s="15"/>
      <c r="U927" s="15"/>
    </row>
    <row r="928" spans="12:21">
      <c r="L928" s="15"/>
      <c r="M928" s="15"/>
      <c r="N928" s="15"/>
      <c r="T928" s="15"/>
      <c r="U928" s="15"/>
    </row>
    <row r="929" spans="12:21">
      <c r="L929" s="15"/>
      <c r="M929" s="15"/>
      <c r="N929" s="15"/>
      <c r="T929" s="15"/>
      <c r="U929" s="15"/>
    </row>
    <row r="930" spans="12:21">
      <c r="L930" s="15"/>
      <c r="M930" s="15"/>
      <c r="N930" s="15"/>
      <c r="T930" s="15"/>
      <c r="U930" s="15"/>
    </row>
    <row r="931" spans="12:21">
      <c r="L931" s="15"/>
      <c r="M931" s="15"/>
      <c r="N931" s="15"/>
      <c r="T931" s="15"/>
      <c r="U931" s="15"/>
    </row>
    <row r="932" spans="12:21">
      <c r="L932" s="15"/>
      <c r="M932" s="15"/>
      <c r="N932" s="15"/>
      <c r="T932" s="15"/>
      <c r="U932" s="15"/>
    </row>
    <row r="933" spans="12:21">
      <c r="L933" s="15"/>
      <c r="M933" s="15"/>
      <c r="N933" s="15"/>
      <c r="T933" s="15"/>
      <c r="U933" s="15"/>
    </row>
    <row r="934" spans="12:21">
      <c r="L934" s="15"/>
      <c r="M934" s="15"/>
      <c r="N934" s="15"/>
      <c r="T934" s="15"/>
      <c r="U934" s="15"/>
    </row>
    <row r="935" spans="12:21">
      <c r="L935" s="15"/>
      <c r="M935" s="15"/>
      <c r="N935" s="15"/>
      <c r="T935" s="15"/>
      <c r="U935" s="15"/>
    </row>
    <row r="936" spans="12:21">
      <c r="L936" s="15"/>
      <c r="M936" s="15"/>
      <c r="N936" s="15"/>
      <c r="T936" s="15"/>
      <c r="U936" s="15"/>
    </row>
    <row r="937" spans="12:21">
      <c r="L937" s="15"/>
      <c r="M937" s="15"/>
      <c r="N937" s="15"/>
      <c r="T937" s="15"/>
      <c r="U937" s="15"/>
    </row>
    <row r="938" spans="12:21">
      <c r="L938" s="15"/>
      <c r="M938" s="15"/>
      <c r="N938" s="15"/>
      <c r="T938" s="15"/>
      <c r="U938" s="15"/>
    </row>
    <row r="939" spans="12:21">
      <c r="L939" s="15"/>
      <c r="M939" s="15"/>
      <c r="N939" s="15"/>
      <c r="T939" s="15"/>
      <c r="U939" s="15"/>
    </row>
    <row r="940" spans="12:21">
      <c r="L940" s="15"/>
      <c r="M940" s="15"/>
      <c r="N940" s="15"/>
      <c r="T940" s="15"/>
      <c r="U940" s="15"/>
    </row>
    <row r="941" spans="12:21">
      <c r="L941" s="15"/>
      <c r="M941" s="15"/>
      <c r="N941" s="15"/>
      <c r="T941" s="15"/>
      <c r="U941" s="15"/>
    </row>
    <row r="942" spans="12:21">
      <c r="L942" s="15"/>
      <c r="M942" s="15"/>
      <c r="N942" s="15"/>
      <c r="T942" s="15"/>
      <c r="U942" s="15"/>
    </row>
    <row r="943" spans="12:21">
      <c r="L943" s="15"/>
      <c r="M943" s="15"/>
      <c r="N943" s="15"/>
      <c r="T943" s="15"/>
      <c r="U943" s="15"/>
    </row>
    <row r="944" spans="12:21">
      <c r="L944" s="15"/>
      <c r="M944" s="15"/>
      <c r="N944" s="15"/>
      <c r="T944" s="15"/>
      <c r="U944" s="15"/>
    </row>
    <row r="945" spans="12:21">
      <c r="L945" s="15"/>
      <c r="M945" s="15"/>
      <c r="N945" s="15"/>
      <c r="T945" s="15"/>
      <c r="U945" s="15"/>
    </row>
    <row r="946" spans="12:21">
      <c r="L946" s="15"/>
      <c r="M946" s="15"/>
      <c r="N946" s="15"/>
      <c r="T946" s="15"/>
      <c r="U946" s="15"/>
    </row>
    <row r="947" spans="12:21">
      <c r="L947" s="15"/>
      <c r="M947" s="15"/>
      <c r="N947" s="15"/>
      <c r="T947" s="15"/>
      <c r="U947" s="15"/>
    </row>
    <row r="948" spans="12:21">
      <c r="L948" s="15"/>
      <c r="M948" s="15"/>
      <c r="N948" s="15"/>
      <c r="T948" s="15"/>
      <c r="U948" s="15"/>
    </row>
    <row r="949" spans="12:21">
      <c r="L949" s="15"/>
      <c r="M949" s="15"/>
      <c r="N949" s="15"/>
      <c r="T949" s="15"/>
      <c r="U949" s="15"/>
    </row>
    <row r="950" spans="12:21">
      <c r="L950" s="15"/>
      <c r="M950" s="15"/>
      <c r="N950" s="15"/>
      <c r="T950" s="15"/>
      <c r="U950" s="15"/>
    </row>
    <row r="951" spans="12:21">
      <c r="L951" s="15"/>
      <c r="M951" s="15"/>
      <c r="N951" s="15"/>
      <c r="T951" s="15"/>
      <c r="U951" s="15"/>
    </row>
    <row r="952" spans="12:21">
      <c r="L952" s="15"/>
      <c r="M952" s="15"/>
      <c r="N952" s="15"/>
      <c r="T952" s="15"/>
      <c r="U952" s="15"/>
    </row>
    <row r="953" spans="12:21">
      <c r="L953" s="15"/>
      <c r="M953" s="15"/>
      <c r="N953" s="15"/>
      <c r="T953" s="15"/>
      <c r="U953" s="15"/>
    </row>
    <row r="954" spans="12:21">
      <c r="L954" s="15"/>
      <c r="M954" s="15"/>
      <c r="N954" s="15"/>
      <c r="T954" s="15"/>
      <c r="U954" s="15"/>
    </row>
    <row r="955" spans="12:21">
      <c r="L955" s="15"/>
      <c r="M955" s="15"/>
      <c r="N955" s="15"/>
      <c r="T955" s="15"/>
      <c r="U955" s="15"/>
    </row>
    <row r="956" spans="12:21">
      <c r="L956" s="15"/>
      <c r="M956" s="15"/>
      <c r="N956" s="15"/>
      <c r="T956" s="15"/>
      <c r="U956" s="15"/>
    </row>
    <row r="957" spans="12:21">
      <c r="L957" s="15"/>
      <c r="M957" s="15"/>
      <c r="N957" s="15"/>
      <c r="T957" s="15"/>
      <c r="U957" s="15"/>
    </row>
    <row r="958" spans="12:21">
      <c r="L958" s="15"/>
      <c r="M958" s="15"/>
      <c r="N958" s="15"/>
      <c r="T958" s="15"/>
      <c r="U958" s="15"/>
    </row>
    <row r="959" spans="12:21">
      <c r="L959" s="15"/>
      <c r="M959" s="15"/>
      <c r="N959" s="15"/>
      <c r="T959" s="15"/>
      <c r="U959" s="15"/>
    </row>
    <row r="960" spans="12:21">
      <c r="L960" s="15"/>
      <c r="M960" s="15"/>
      <c r="N960" s="15"/>
      <c r="T960" s="15"/>
      <c r="U960" s="15"/>
    </row>
    <row r="961" spans="12:21">
      <c r="L961" s="15"/>
      <c r="M961" s="15"/>
      <c r="N961" s="15"/>
      <c r="T961" s="15"/>
      <c r="U961" s="15"/>
    </row>
    <row r="962" spans="12:21">
      <c r="L962" s="15"/>
      <c r="M962" s="15"/>
      <c r="N962" s="15"/>
      <c r="T962" s="15"/>
      <c r="U962" s="15"/>
    </row>
    <row r="963" spans="12:21">
      <c r="L963" s="15"/>
      <c r="M963" s="15"/>
      <c r="N963" s="15"/>
      <c r="T963" s="15"/>
      <c r="U963" s="15"/>
    </row>
    <row r="964" spans="12:21">
      <c r="L964" s="15"/>
      <c r="M964" s="15"/>
      <c r="N964" s="15"/>
      <c r="T964" s="15"/>
      <c r="U964" s="15"/>
    </row>
    <row r="965" spans="12:21">
      <c r="L965" s="15"/>
      <c r="M965" s="15"/>
      <c r="N965" s="15"/>
      <c r="T965" s="15"/>
      <c r="U965" s="15"/>
    </row>
    <row r="966" spans="12:21">
      <c r="L966" s="15"/>
      <c r="M966" s="15"/>
      <c r="N966" s="15"/>
      <c r="T966" s="15"/>
      <c r="U966" s="15"/>
    </row>
    <row r="967" spans="12:21">
      <c r="L967" s="15"/>
      <c r="M967" s="15"/>
      <c r="N967" s="15"/>
      <c r="T967" s="15"/>
      <c r="U967" s="15"/>
    </row>
    <row r="968" spans="12:21">
      <c r="L968" s="15"/>
      <c r="M968" s="15"/>
      <c r="N968" s="15"/>
      <c r="T968" s="15"/>
      <c r="U968" s="15"/>
    </row>
    <row r="969" spans="12:21">
      <c r="L969" s="15"/>
      <c r="M969" s="15"/>
      <c r="N969" s="15"/>
      <c r="T969" s="15"/>
      <c r="U969" s="15"/>
    </row>
    <row r="970" spans="12:21">
      <c r="L970" s="15"/>
      <c r="M970" s="15"/>
      <c r="N970" s="15"/>
      <c r="T970" s="15"/>
      <c r="U970" s="15"/>
    </row>
    <row r="971" spans="12:21">
      <c r="L971" s="15"/>
      <c r="M971" s="15"/>
      <c r="N971" s="15"/>
      <c r="T971" s="15"/>
      <c r="U971" s="15"/>
    </row>
    <row r="972" spans="12:21">
      <c r="L972" s="15"/>
      <c r="M972" s="15"/>
      <c r="N972" s="15"/>
      <c r="T972" s="15"/>
      <c r="U972" s="15"/>
    </row>
    <row r="973" spans="12:21">
      <c r="L973" s="15"/>
      <c r="M973" s="15"/>
      <c r="N973" s="15"/>
      <c r="T973" s="15"/>
      <c r="U973" s="15"/>
    </row>
    <row r="974" spans="12:21">
      <c r="L974" s="15"/>
      <c r="M974" s="15"/>
      <c r="N974" s="15"/>
      <c r="T974" s="15"/>
      <c r="U974" s="15"/>
    </row>
    <row r="975" spans="12:21">
      <c r="L975" s="15"/>
      <c r="M975" s="15"/>
      <c r="N975" s="15"/>
      <c r="T975" s="15"/>
      <c r="U975" s="15"/>
    </row>
    <row r="976" spans="12:21">
      <c r="L976" s="15"/>
      <c r="M976" s="15"/>
      <c r="N976" s="15"/>
      <c r="T976" s="15"/>
      <c r="U976" s="15"/>
    </row>
    <row r="977" spans="12:21">
      <c r="L977" s="15"/>
      <c r="M977" s="15"/>
      <c r="N977" s="15"/>
      <c r="T977" s="15"/>
      <c r="U977" s="15"/>
    </row>
    <row r="978" spans="12:21">
      <c r="L978" s="15"/>
      <c r="M978" s="15"/>
      <c r="N978" s="15"/>
      <c r="T978" s="15"/>
      <c r="U978" s="15"/>
    </row>
    <row r="979" spans="12:21">
      <c r="L979" s="15"/>
      <c r="M979" s="15"/>
      <c r="N979" s="15"/>
      <c r="T979" s="15"/>
      <c r="U979" s="15"/>
    </row>
    <row r="980" spans="12:21">
      <c r="L980" s="15"/>
      <c r="M980" s="15"/>
      <c r="N980" s="15"/>
      <c r="T980" s="15"/>
      <c r="U980" s="15"/>
    </row>
    <row r="981" spans="12:21">
      <c r="L981" s="15"/>
      <c r="M981" s="15"/>
      <c r="N981" s="15"/>
      <c r="T981" s="15"/>
      <c r="U981" s="15"/>
    </row>
    <row r="982" spans="12:21">
      <c r="L982" s="15"/>
      <c r="M982" s="15"/>
      <c r="N982" s="15"/>
      <c r="T982" s="15"/>
      <c r="U982" s="15"/>
    </row>
    <row r="983" spans="12:21">
      <c r="L983" s="15"/>
      <c r="M983" s="15"/>
      <c r="N983" s="15"/>
      <c r="T983" s="15"/>
      <c r="U983" s="15"/>
    </row>
    <row r="984" spans="12:21">
      <c r="L984" s="15"/>
      <c r="M984" s="15"/>
      <c r="N984" s="15"/>
      <c r="T984" s="15"/>
      <c r="U984" s="15"/>
    </row>
    <row r="985" spans="12:21">
      <c r="L985" s="15"/>
      <c r="M985" s="15"/>
      <c r="N985" s="15"/>
      <c r="T985" s="15"/>
      <c r="U985" s="15"/>
    </row>
    <row r="986" spans="12:21">
      <c r="L986" s="15"/>
      <c r="M986" s="15"/>
      <c r="N986" s="15"/>
      <c r="T986" s="15"/>
      <c r="U986" s="15"/>
    </row>
    <row r="987" spans="12:21">
      <c r="L987" s="15"/>
      <c r="M987" s="15"/>
      <c r="N987" s="15"/>
      <c r="T987" s="15"/>
      <c r="U987" s="15"/>
    </row>
    <row r="988" spans="12:21">
      <c r="L988" s="15"/>
      <c r="M988" s="15"/>
      <c r="N988" s="15"/>
      <c r="T988" s="15"/>
      <c r="U988" s="15"/>
    </row>
    <row r="989" spans="12:21">
      <c r="L989" s="15"/>
      <c r="M989" s="15"/>
      <c r="N989" s="15"/>
      <c r="T989" s="15"/>
      <c r="U989" s="15"/>
    </row>
    <row r="990" spans="12:21">
      <c r="L990" s="15"/>
      <c r="M990" s="15"/>
      <c r="N990" s="15"/>
      <c r="T990" s="15"/>
      <c r="U990" s="15"/>
    </row>
    <row r="991" spans="12:21">
      <c r="L991" s="15"/>
      <c r="M991" s="15"/>
      <c r="N991" s="15"/>
      <c r="T991" s="15"/>
      <c r="U991" s="15"/>
    </row>
    <row r="992" spans="12:21">
      <c r="L992" s="15"/>
      <c r="M992" s="15"/>
      <c r="N992" s="15"/>
      <c r="T992" s="15"/>
      <c r="U992" s="15"/>
    </row>
    <row r="993" spans="12:21">
      <c r="L993" s="15"/>
      <c r="M993" s="15"/>
      <c r="N993" s="15"/>
      <c r="T993" s="15"/>
      <c r="U993" s="15"/>
    </row>
    <row r="994" spans="12:21">
      <c r="L994" s="15"/>
      <c r="M994" s="15"/>
      <c r="N994" s="15"/>
      <c r="T994" s="15"/>
      <c r="U994" s="15"/>
    </row>
    <row r="995" spans="12:21">
      <c r="L995" s="15"/>
      <c r="M995" s="15"/>
      <c r="N995" s="15"/>
      <c r="T995" s="15"/>
      <c r="U995" s="15"/>
    </row>
    <row r="996" spans="12:21">
      <c r="L996" s="15"/>
      <c r="M996" s="15"/>
      <c r="N996" s="15"/>
      <c r="T996" s="15"/>
      <c r="U996" s="15"/>
    </row>
    <row r="997" spans="12:21">
      <c r="L997" s="15"/>
      <c r="M997" s="15"/>
      <c r="N997" s="15"/>
      <c r="T997" s="15"/>
      <c r="U997" s="15"/>
    </row>
    <row r="998" spans="12:21">
      <c r="L998" s="15"/>
      <c r="M998" s="15"/>
      <c r="N998" s="15"/>
      <c r="T998" s="15"/>
      <c r="U998" s="15"/>
    </row>
    <row r="999" spans="12:21">
      <c r="L999" s="15"/>
      <c r="M999" s="15"/>
      <c r="N999" s="15"/>
      <c r="T999" s="15"/>
      <c r="U999" s="15"/>
    </row>
    <row r="1000" spans="12:21">
      <c r="L1000" s="15"/>
      <c r="M1000" s="15"/>
      <c r="N1000" s="15"/>
      <c r="T1000" s="15"/>
      <c r="U1000" s="15"/>
    </row>
    <row r="1001" spans="12:21">
      <c r="L1001" s="15"/>
      <c r="M1001" s="15"/>
      <c r="N1001" s="15"/>
      <c r="T1001" s="15"/>
      <c r="U1001" s="15"/>
    </row>
    <row r="1002" spans="12:21">
      <c r="L1002" s="15"/>
      <c r="M1002" s="15"/>
      <c r="N1002" s="15"/>
      <c r="T1002" s="15"/>
      <c r="U1002" s="15"/>
    </row>
    <row r="1003" spans="12:21">
      <c r="L1003" s="15"/>
      <c r="M1003" s="15"/>
      <c r="N1003" s="15"/>
      <c r="T1003" s="15"/>
      <c r="U1003" s="15"/>
    </row>
    <row r="1004" spans="12:21">
      <c r="L1004" s="15"/>
      <c r="M1004" s="15"/>
      <c r="N1004" s="15"/>
      <c r="T1004" s="15"/>
      <c r="U1004" s="15"/>
    </row>
    <row r="1005" spans="12:21">
      <c r="L1005" s="15"/>
      <c r="M1005" s="15"/>
      <c r="N1005" s="15"/>
      <c r="T1005" s="15"/>
      <c r="U1005" s="15"/>
    </row>
    <row r="1006" spans="12:21">
      <c r="L1006" s="15"/>
      <c r="M1006" s="15"/>
      <c r="N1006" s="15"/>
      <c r="T1006" s="15"/>
      <c r="U1006" s="15"/>
    </row>
    <row r="1007" spans="12:21">
      <c r="L1007" s="15"/>
      <c r="M1007" s="15"/>
      <c r="N1007" s="15"/>
      <c r="T1007" s="15"/>
      <c r="U1007" s="15"/>
    </row>
    <row r="1008" spans="12:21">
      <c r="L1008" s="15"/>
      <c r="M1008" s="15"/>
      <c r="N1008" s="15"/>
      <c r="T1008" s="15"/>
      <c r="U1008" s="15"/>
    </row>
    <row r="1009" spans="12:21">
      <c r="L1009" s="15"/>
      <c r="M1009" s="15"/>
      <c r="N1009" s="15"/>
      <c r="T1009" s="15"/>
      <c r="U1009" s="15"/>
    </row>
    <row r="1010" spans="12:21">
      <c r="L1010" s="15"/>
      <c r="M1010" s="15"/>
      <c r="N1010" s="15"/>
      <c r="T1010" s="15"/>
      <c r="U1010" s="15"/>
    </row>
    <row r="1011" spans="12:21">
      <c r="L1011" s="15"/>
      <c r="M1011" s="15"/>
      <c r="N1011" s="15"/>
      <c r="T1011" s="15"/>
      <c r="U1011" s="15"/>
    </row>
    <row r="1012" spans="12:21">
      <c r="L1012" s="15"/>
      <c r="M1012" s="15"/>
      <c r="N1012" s="15"/>
      <c r="T1012" s="15"/>
      <c r="U1012" s="15"/>
    </row>
    <row r="1013" spans="12:21">
      <c r="L1013" s="15"/>
      <c r="M1013" s="15"/>
      <c r="N1013" s="15"/>
      <c r="T1013" s="15"/>
      <c r="U1013" s="15"/>
    </row>
    <row r="1014" spans="12:21">
      <c r="L1014" s="15"/>
      <c r="M1014" s="15"/>
      <c r="N1014" s="15"/>
      <c r="T1014" s="15"/>
      <c r="U1014" s="15"/>
    </row>
    <row r="1015" spans="12:21">
      <c r="L1015" s="15"/>
      <c r="M1015" s="15"/>
      <c r="N1015" s="15"/>
      <c r="T1015" s="15"/>
      <c r="U1015" s="15"/>
    </row>
    <row r="1016" spans="12:21">
      <c r="L1016" s="15"/>
      <c r="M1016" s="15"/>
      <c r="N1016" s="15"/>
      <c r="T1016" s="15"/>
      <c r="U1016" s="15"/>
    </row>
    <row r="1017" spans="12:21">
      <c r="L1017" s="15"/>
      <c r="M1017" s="15"/>
      <c r="N1017" s="15"/>
      <c r="T1017" s="15"/>
      <c r="U1017" s="15"/>
    </row>
    <row r="1018" spans="12:21">
      <c r="L1018" s="15"/>
      <c r="M1018" s="15"/>
      <c r="N1018" s="15"/>
      <c r="T1018" s="15"/>
      <c r="U1018" s="15"/>
    </row>
    <row r="1019" spans="12:21">
      <c r="L1019" s="15"/>
      <c r="M1019" s="15"/>
      <c r="N1019" s="15"/>
      <c r="T1019" s="15"/>
      <c r="U1019" s="15"/>
    </row>
    <row r="1020" spans="12:21">
      <c r="L1020" s="15"/>
      <c r="M1020" s="15"/>
      <c r="N1020" s="15"/>
      <c r="T1020" s="15"/>
      <c r="U1020" s="15"/>
    </row>
    <row r="1021" spans="12:21">
      <c r="L1021" s="15"/>
      <c r="M1021" s="15"/>
      <c r="N1021" s="15"/>
      <c r="T1021" s="15"/>
      <c r="U1021" s="15"/>
    </row>
    <row r="1022" spans="12:21">
      <c r="L1022" s="15"/>
      <c r="M1022" s="15"/>
      <c r="N1022" s="15"/>
      <c r="T1022" s="15"/>
      <c r="U1022" s="15"/>
    </row>
    <row r="1023" spans="12:21">
      <c r="L1023" s="15"/>
      <c r="M1023" s="15"/>
      <c r="N1023" s="15"/>
      <c r="T1023" s="15"/>
      <c r="U1023" s="15"/>
    </row>
    <row r="1024" spans="12:21">
      <c r="L1024" s="15"/>
      <c r="M1024" s="15"/>
      <c r="N1024" s="15"/>
      <c r="T1024" s="15"/>
      <c r="U1024" s="15"/>
    </row>
    <row r="1025" spans="12:21">
      <c r="L1025" s="15"/>
      <c r="M1025" s="15"/>
      <c r="N1025" s="15"/>
      <c r="T1025" s="15"/>
      <c r="U1025" s="15"/>
    </row>
    <row r="1026" spans="12:21">
      <c r="L1026" s="15"/>
      <c r="M1026" s="15"/>
      <c r="N1026" s="15"/>
      <c r="T1026" s="15"/>
      <c r="U1026" s="15"/>
    </row>
    <row r="1027" spans="12:21">
      <c r="L1027" s="15"/>
      <c r="M1027" s="15"/>
      <c r="N1027" s="15"/>
      <c r="T1027" s="15"/>
      <c r="U1027" s="15"/>
    </row>
    <row r="1028" spans="12:21">
      <c r="L1028" s="15"/>
      <c r="M1028" s="15"/>
      <c r="N1028" s="15"/>
      <c r="T1028" s="15"/>
      <c r="U1028" s="15"/>
    </row>
    <row r="1029" spans="12:21">
      <c r="L1029" s="15"/>
      <c r="M1029" s="15"/>
      <c r="N1029" s="15"/>
      <c r="T1029" s="15"/>
      <c r="U1029" s="15"/>
    </row>
    <row r="1030" spans="12:21">
      <c r="L1030" s="15"/>
      <c r="M1030" s="15"/>
      <c r="N1030" s="15"/>
      <c r="T1030" s="15"/>
      <c r="U1030" s="15"/>
    </row>
    <row r="1031" spans="12:21">
      <c r="L1031" s="15"/>
      <c r="M1031" s="15"/>
      <c r="N1031" s="15"/>
      <c r="T1031" s="15"/>
      <c r="U1031" s="15"/>
    </row>
    <row r="1032" spans="12:21">
      <c r="L1032" s="15"/>
      <c r="M1032" s="15"/>
      <c r="N1032" s="15"/>
      <c r="T1032" s="15"/>
      <c r="U1032" s="15"/>
    </row>
    <row r="1033" spans="12:21">
      <c r="L1033" s="15"/>
      <c r="M1033" s="15"/>
      <c r="N1033" s="15"/>
      <c r="T1033" s="15"/>
      <c r="U1033" s="15"/>
    </row>
    <row r="1034" spans="12:21">
      <c r="L1034" s="15"/>
      <c r="M1034" s="15"/>
      <c r="N1034" s="15"/>
      <c r="T1034" s="15"/>
      <c r="U1034" s="15"/>
    </row>
    <row r="1035" spans="12:21">
      <c r="L1035" s="15"/>
      <c r="M1035" s="15"/>
      <c r="N1035" s="15"/>
      <c r="T1035" s="15"/>
      <c r="U1035" s="15"/>
    </row>
    <row r="1036" spans="12:21">
      <c r="L1036" s="15"/>
      <c r="M1036" s="15"/>
      <c r="N1036" s="15"/>
      <c r="T1036" s="15"/>
      <c r="U1036" s="15"/>
    </row>
    <row r="1037" spans="12:21">
      <c r="L1037" s="15"/>
      <c r="M1037" s="15"/>
      <c r="N1037" s="15"/>
      <c r="T1037" s="15"/>
      <c r="U1037" s="15"/>
    </row>
    <row r="1038" spans="12:21">
      <c r="L1038" s="15"/>
      <c r="M1038" s="15"/>
      <c r="N1038" s="15"/>
      <c r="T1038" s="15"/>
      <c r="U1038" s="15"/>
    </row>
    <row r="1039" spans="12:21">
      <c r="L1039" s="15"/>
      <c r="M1039" s="15"/>
      <c r="N1039" s="15"/>
      <c r="T1039" s="15"/>
      <c r="U1039" s="15"/>
    </row>
    <row r="1040" spans="12:21">
      <c r="L1040" s="15"/>
      <c r="M1040" s="15"/>
      <c r="N1040" s="15"/>
      <c r="T1040" s="15"/>
      <c r="U1040" s="15"/>
    </row>
    <row r="1041" spans="12:21">
      <c r="L1041" s="15"/>
      <c r="M1041" s="15"/>
      <c r="N1041" s="15"/>
      <c r="T1041" s="15"/>
      <c r="U1041" s="15"/>
    </row>
    <row r="1042" spans="12:21">
      <c r="L1042" s="15"/>
      <c r="M1042" s="15"/>
      <c r="N1042" s="15"/>
      <c r="T1042" s="15"/>
      <c r="U1042" s="15"/>
    </row>
    <row r="1043" spans="12:21">
      <c r="L1043" s="15"/>
      <c r="M1043" s="15"/>
      <c r="N1043" s="15"/>
      <c r="T1043" s="15"/>
      <c r="U1043" s="15"/>
    </row>
    <row r="1044" spans="12:21">
      <c r="L1044" s="15"/>
      <c r="M1044" s="15"/>
      <c r="N1044" s="15"/>
      <c r="T1044" s="15"/>
      <c r="U1044" s="15"/>
    </row>
    <row r="1045" spans="12:21">
      <c r="L1045" s="15"/>
      <c r="M1045" s="15"/>
      <c r="N1045" s="15"/>
      <c r="T1045" s="15"/>
      <c r="U1045" s="15"/>
    </row>
    <row r="1046" spans="12:21">
      <c r="L1046" s="15"/>
      <c r="M1046" s="15"/>
      <c r="N1046" s="15"/>
      <c r="T1046" s="15"/>
      <c r="U1046" s="15"/>
    </row>
    <row r="1047" spans="12:21">
      <c r="L1047" s="15"/>
      <c r="M1047" s="15"/>
      <c r="N1047" s="15"/>
      <c r="T1047" s="15"/>
      <c r="U1047" s="15"/>
    </row>
    <row r="1048" spans="12:21">
      <c r="L1048" s="15"/>
      <c r="M1048" s="15"/>
      <c r="N1048" s="15"/>
      <c r="T1048" s="15"/>
      <c r="U1048" s="15"/>
    </row>
    <row r="1049" spans="12:21">
      <c r="L1049" s="15"/>
      <c r="M1049" s="15"/>
      <c r="N1049" s="15"/>
      <c r="T1049" s="15"/>
      <c r="U1049" s="15"/>
    </row>
    <row r="1050" spans="12:21">
      <c r="L1050" s="15"/>
      <c r="M1050" s="15"/>
      <c r="N1050" s="15"/>
      <c r="T1050" s="15"/>
      <c r="U1050" s="15"/>
    </row>
    <row r="1051" spans="12:21">
      <c r="L1051" s="15"/>
      <c r="M1051" s="15"/>
      <c r="N1051" s="15"/>
      <c r="T1051" s="15"/>
      <c r="U1051" s="15"/>
    </row>
    <row r="1052" spans="12:21">
      <c r="L1052" s="15"/>
      <c r="M1052" s="15"/>
      <c r="N1052" s="15"/>
      <c r="T1052" s="15"/>
      <c r="U1052" s="15"/>
    </row>
    <row r="1053" spans="12:21">
      <c r="L1053" s="15"/>
      <c r="M1053" s="15"/>
      <c r="N1053" s="15"/>
      <c r="T1053" s="15"/>
      <c r="U1053" s="15"/>
    </row>
    <row r="1054" spans="12:21">
      <c r="L1054" s="15"/>
      <c r="M1054" s="15"/>
      <c r="N1054" s="15"/>
      <c r="T1054" s="15"/>
      <c r="U1054" s="15"/>
    </row>
    <row r="1055" spans="12:21">
      <c r="L1055" s="15"/>
      <c r="M1055" s="15"/>
      <c r="N1055" s="15"/>
      <c r="T1055" s="15"/>
      <c r="U1055" s="15"/>
    </row>
    <row r="1056" spans="12:21">
      <c r="L1056" s="15"/>
      <c r="M1056" s="15"/>
      <c r="N1056" s="15"/>
      <c r="T1056" s="15"/>
      <c r="U1056" s="15"/>
    </row>
    <row r="1057" spans="12:21">
      <c r="L1057" s="15"/>
      <c r="M1057" s="15"/>
      <c r="N1057" s="15"/>
      <c r="T1057" s="15"/>
      <c r="U1057" s="15"/>
    </row>
    <row r="1058" spans="12:21">
      <c r="L1058" s="15"/>
      <c r="M1058" s="15"/>
      <c r="N1058" s="15"/>
      <c r="T1058" s="15"/>
      <c r="U1058" s="15"/>
    </row>
    <row r="1059" spans="12:21">
      <c r="L1059" s="15"/>
      <c r="M1059" s="15"/>
      <c r="N1059" s="15"/>
      <c r="T1059" s="15"/>
      <c r="U1059" s="15"/>
    </row>
    <row r="1060" spans="12:21">
      <c r="L1060" s="15"/>
      <c r="M1060" s="15"/>
      <c r="N1060" s="15"/>
      <c r="T1060" s="15"/>
      <c r="U1060" s="15"/>
    </row>
    <row r="1061" spans="12:21">
      <c r="L1061" s="15"/>
      <c r="M1061" s="15"/>
      <c r="N1061" s="15"/>
      <c r="T1061" s="15"/>
      <c r="U1061" s="15"/>
    </row>
    <row r="1062" spans="12:21">
      <c r="L1062" s="15"/>
      <c r="M1062" s="15"/>
      <c r="N1062" s="15"/>
      <c r="T1062" s="15"/>
      <c r="U1062" s="15"/>
    </row>
    <row r="1063" spans="12:21">
      <c r="L1063" s="15"/>
      <c r="M1063" s="15"/>
      <c r="N1063" s="15"/>
      <c r="T1063" s="15"/>
      <c r="U1063" s="15"/>
    </row>
    <row r="1064" spans="12:21">
      <c r="L1064" s="15"/>
      <c r="M1064" s="15"/>
      <c r="N1064" s="15"/>
      <c r="T1064" s="15"/>
      <c r="U1064" s="15"/>
    </row>
    <row r="1065" spans="12:21">
      <c r="L1065" s="15"/>
      <c r="M1065" s="15"/>
      <c r="N1065" s="15"/>
      <c r="T1065" s="15"/>
      <c r="U1065" s="15"/>
    </row>
    <row r="1066" spans="12:21">
      <c r="L1066" s="15"/>
      <c r="M1066" s="15"/>
      <c r="N1066" s="15"/>
      <c r="T1066" s="15"/>
      <c r="U1066" s="15"/>
    </row>
    <row r="1067" spans="12:21">
      <c r="L1067" s="15"/>
      <c r="M1067" s="15"/>
      <c r="N1067" s="15"/>
      <c r="T1067" s="15"/>
      <c r="U1067" s="15"/>
    </row>
    <row r="1068" spans="12:21">
      <c r="L1068" s="15"/>
      <c r="M1068" s="15"/>
      <c r="N1068" s="15"/>
      <c r="T1068" s="15"/>
      <c r="U1068" s="15"/>
    </row>
    <row r="1069" spans="12:21">
      <c r="L1069" s="15"/>
      <c r="M1069" s="15"/>
      <c r="N1069" s="15"/>
      <c r="T1069" s="15"/>
      <c r="U1069" s="15"/>
    </row>
    <row r="1070" spans="12:21">
      <c r="L1070" s="15"/>
      <c r="M1070" s="15"/>
      <c r="N1070" s="15"/>
      <c r="T1070" s="15"/>
      <c r="U1070" s="15"/>
    </row>
    <row r="1071" spans="12:21">
      <c r="L1071" s="15"/>
      <c r="M1071" s="15"/>
      <c r="N1071" s="15"/>
      <c r="T1071" s="15"/>
      <c r="U1071" s="15"/>
    </row>
    <row r="1072" spans="12:21">
      <c r="L1072" s="15"/>
      <c r="M1072" s="15"/>
      <c r="N1072" s="15"/>
      <c r="T1072" s="15"/>
      <c r="U1072" s="15"/>
    </row>
    <row r="1073" spans="12:21">
      <c r="L1073" s="15"/>
      <c r="M1073" s="15"/>
      <c r="N1073" s="15"/>
      <c r="T1073" s="15"/>
      <c r="U1073" s="15"/>
    </row>
    <row r="1074" spans="12:21">
      <c r="L1074" s="15"/>
      <c r="M1074" s="15"/>
      <c r="N1074" s="15"/>
      <c r="T1074" s="15"/>
      <c r="U1074" s="15"/>
    </row>
    <row r="1075" spans="12:21">
      <c r="L1075" s="15"/>
      <c r="M1075" s="15"/>
      <c r="N1075" s="15"/>
      <c r="T1075" s="15"/>
      <c r="U1075" s="15"/>
    </row>
    <row r="1076" spans="12:21">
      <c r="L1076" s="15"/>
      <c r="M1076" s="15"/>
      <c r="N1076" s="15"/>
      <c r="T1076" s="15"/>
      <c r="U1076" s="15"/>
    </row>
    <row r="1077" spans="12:21">
      <c r="L1077" s="15"/>
      <c r="M1077" s="15"/>
      <c r="N1077" s="15"/>
      <c r="T1077" s="15"/>
      <c r="U1077" s="15"/>
    </row>
    <row r="1078" spans="12:21">
      <c r="L1078" s="15"/>
      <c r="M1078" s="15"/>
      <c r="N1078" s="15"/>
      <c r="T1078" s="15"/>
      <c r="U1078" s="15"/>
    </row>
    <row r="1079" spans="12:21">
      <c r="L1079" s="15"/>
      <c r="M1079" s="15"/>
      <c r="N1079" s="15"/>
      <c r="T1079" s="15"/>
      <c r="U1079" s="15"/>
    </row>
    <row r="1080" spans="12:21">
      <c r="L1080" s="15"/>
      <c r="M1080" s="15"/>
      <c r="N1080" s="15"/>
      <c r="T1080" s="15"/>
      <c r="U1080" s="15"/>
    </row>
    <row r="1081" spans="12:21">
      <c r="L1081" s="15"/>
      <c r="M1081" s="15"/>
      <c r="N1081" s="15"/>
      <c r="T1081" s="15"/>
      <c r="U1081" s="15"/>
    </row>
    <row r="1082" spans="12:21">
      <c r="L1082" s="15"/>
      <c r="M1082" s="15"/>
      <c r="N1082" s="15"/>
      <c r="T1082" s="15"/>
      <c r="U1082" s="15"/>
    </row>
    <row r="1083" spans="12:21">
      <c r="L1083" s="15"/>
      <c r="M1083" s="15"/>
      <c r="N1083" s="15"/>
      <c r="T1083" s="15"/>
      <c r="U1083" s="15"/>
    </row>
    <row r="1084" spans="12:21">
      <c r="L1084" s="15"/>
      <c r="M1084" s="15"/>
      <c r="N1084" s="15"/>
      <c r="T1084" s="15"/>
      <c r="U1084" s="15"/>
    </row>
    <row r="1085" spans="12:21">
      <c r="L1085" s="15"/>
      <c r="M1085" s="15"/>
      <c r="N1085" s="15"/>
      <c r="T1085" s="15"/>
      <c r="U1085" s="15"/>
    </row>
    <row r="1086" spans="12:21">
      <c r="L1086" s="15"/>
      <c r="M1086" s="15"/>
      <c r="N1086" s="15"/>
      <c r="T1086" s="15"/>
      <c r="U1086" s="15"/>
    </row>
    <row r="1087" spans="12:21">
      <c r="L1087" s="15"/>
      <c r="M1087" s="15"/>
      <c r="N1087" s="15"/>
      <c r="T1087" s="15"/>
      <c r="U1087" s="15"/>
    </row>
    <row r="1088" spans="12:21">
      <c r="L1088" s="15"/>
      <c r="M1088" s="15"/>
      <c r="N1088" s="15"/>
      <c r="T1088" s="15"/>
      <c r="U1088" s="15"/>
    </row>
    <row r="1089" spans="12:21">
      <c r="L1089" s="15"/>
      <c r="M1089" s="15"/>
      <c r="N1089" s="15"/>
      <c r="T1089" s="15"/>
      <c r="U1089" s="15"/>
    </row>
    <row r="1090" spans="12:21">
      <c r="L1090" s="15"/>
      <c r="M1090" s="15"/>
      <c r="N1090" s="15"/>
      <c r="T1090" s="15"/>
      <c r="U1090" s="15"/>
    </row>
    <row r="1091" spans="12:21">
      <c r="L1091" s="15"/>
      <c r="M1091" s="15"/>
      <c r="N1091" s="15"/>
      <c r="T1091" s="15"/>
      <c r="U1091" s="15"/>
    </row>
    <row r="1092" spans="12:21">
      <c r="L1092" s="15"/>
      <c r="M1092" s="15"/>
      <c r="N1092" s="15"/>
      <c r="T1092" s="15"/>
      <c r="U1092" s="15"/>
    </row>
    <row r="1093" spans="12:21">
      <c r="L1093" s="15"/>
      <c r="M1093" s="15"/>
      <c r="N1093" s="15"/>
      <c r="T1093" s="15"/>
      <c r="U1093" s="15"/>
    </row>
    <row r="1094" spans="12:21">
      <c r="L1094" s="15"/>
      <c r="M1094" s="15"/>
      <c r="N1094" s="15"/>
      <c r="T1094" s="15"/>
      <c r="U1094" s="15"/>
    </row>
    <row r="1095" spans="12:21">
      <c r="L1095" s="15"/>
      <c r="M1095" s="15"/>
      <c r="N1095" s="15"/>
      <c r="T1095" s="15"/>
      <c r="U1095" s="15"/>
    </row>
    <row r="1096" spans="12:21">
      <c r="L1096" s="15"/>
      <c r="M1096" s="15"/>
      <c r="N1096" s="15"/>
      <c r="T1096" s="15"/>
      <c r="U1096" s="15"/>
    </row>
    <row r="1097" spans="12:21">
      <c r="L1097" s="15"/>
      <c r="M1097" s="15"/>
      <c r="N1097" s="15"/>
      <c r="T1097" s="15"/>
      <c r="U1097" s="15"/>
    </row>
    <row r="1098" spans="12:21">
      <c r="L1098" s="15"/>
      <c r="M1098" s="15"/>
      <c r="N1098" s="15"/>
      <c r="T1098" s="15"/>
      <c r="U1098" s="15"/>
    </row>
    <row r="1099" spans="12:21">
      <c r="L1099" s="15"/>
      <c r="M1099" s="15"/>
      <c r="N1099" s="15"/>
      <c r="T1099" s="15"/>
      <c r="U1099" s="15"/>
    </row>
    <row r="1100" spans="12:21">
      <c r="L1100" s="15"/>
      <c r="M1100" s="15"/>
      <c r="N1100" s="15"/>
      <c r="T1100" s="15"/>
      <c r="U1100" s="15"/>
    </row>
    <row r="1101" spans="12:21">
      <c r="L1101" s="15"/>
      <c r="M1101" s="15"/>
      <c r="N1101" s="15"/>
      <c r="T1101" s="15"/>
      <c r="U1101" s="15"/>
    </row>
    <row r="1102" spans="12:21">
      <c r="L1102" s="15"/>
      <c r="M1102" s="15"/>
      <c r="N1102" s="15"/>
      <c r="T1102" s="15"/>
      <c r="U1102" s="15"/>
    </row>
    <row r="1103" spans="12:21">
      <c r="L1103" s="15"/>
      <c r="M1103" s="15"/>
      <c r="N1103" s="15"/>
      <c r="T1103" s="15"/>
      <c r="U1103" s="15"/>
    </row>
    <row r="1104" spans="12:21">
      <c r="L1104" s="15"/>
      <c r="M1104" s="15"/>
      <c r="N1104" s="15"/>
      <c r="T1104" s="15"/>
      <c r="U1104" s="15"/>
    </row>
    <row r="1105" spans="12:21">
      <c r="L1105" s="15"/>
      <c r="M1105" s="15"/>
      <c r="N1105" s="15"/>
      <c r="T1105" s="15"/>
      <c r="U1105" s="15"/>
    </row>
    <row r="1106" spans="12:21">
      <c r="L1106" s="15"/>
      <c r="M1106" s="15"/>
      <c r="N1106" s="15"/>
      <c r="T1106" s="15"/>
      <c r="U1106" s="15"/>
    </row>
    <row r="1107" spans="12:21">
      <c r="L1107" s="15"/>
      <c r="M1107" s="15"/>
      <c r="N1107" s="15"/>
      <c r="T1107" s="15"/>
      <c r="U1107" s="15"/>
    </row>
    <row r="1108" spans="12:21">
      <c r="L1108" s="15"/>
      <c r="M1108" s="15"/>
      <c r="N1108" s="15"/>
      <c r="T1108" s="15"/>
      <c r="U1108" s="15"/>
    </row>
    <row r="1109" spans="12:21">
      <c r="L1109" s="15"/>
      <c r="M1109" s="15"/>
      <c r="N1109" s="15"/>
      <c r="T1109" s="15"/>
      <c r="U1109" s="15"/>
    </row>
    <row r="1110" spans="12:21">
      <c r="L1110" s="15"/>
      <c r="M1110" s="15"/>
      <c r="N1110" s="15"/>
      <c r="T1110" s="15"/>
      <c r="U1110" s="15"/>
    </row>
    <row r="1111" spans="12:21">
      <c r="L1111" s="15"/>
      <c r="M1111" s="15"/>
      <c r="N1111" s="15"/>
      <c r="T1111" s="15"/>
      <c r="U1111" s="15"/>
    </row>
    <row r="1112" spans="12:21">
      <c r="L1112" s="15"/>
      <c r="M1112" s="15"/>
      <c r="N1112" s="15"/>
      <c r="T1112" s="15"/>
      <c r="U1112" s="15"/>
    </row>
    <row r="1113" spans="12:21">
      <c r="L1113" s="15"/>
      <c r="M1113" s="15"/>
      <c r="N1113" s="15"/>
      <c r="T1113" s="15"/>
      <c r="U1113" s="15"/>
    </row>
    <row r="1114" spans="12:21">
      <c r="L1114" s="15"/>
      <c r="M1114" s="15"/>
      <c r="N1114" s="15"/>
      <c r="T1114" s="15"/>
      <c r="U1114" s="15"/>
    </row>
    <row r="1115" spans="12:21">
      <c r="L1115" s="15"/>
      <c r="M1115" s="15"/>
      <c r="N1115" s="15"/>
      <c r="T1115" s="15"/>
      <c r="U1115" s="15"/>
    </row>
    <row r="1116" spans="12:21">
      <c r="L1116" s="15"/>
      <c r="M1116" s="15"/>
      <c r="N1116" s="15"/>
      <c r="T1116" s="15"/>
      <c r="U1116" s="15"/>
    </row>
    <row r="1117" spans="12:21">
      <c r="L1117" s="15"/>
      <c r="M1117" s="15"/>
      <c r="N1117" s="15"/>
      <c r="T1117" s="15"/>
      <c r="U1117" s="15"/>
    </row>
    <row r="1118" spans="12:21">
      <c r="L1118" s="15"/>
      <c r="M1118" s="15"/>
      <c r="N1118" s="15"/>
      <c r="T1118" s="15"/>
      <c r="U1118" s="15"/>
    </row>
    <row r="1119" spans="12:21">
      <c r="L1119" s="15"/>
      <c r="M1119" s="15"/>
      <c r="N1119" s="15"/>
      <c r="T1119" s="15"/>
      <c r="U1119" s="15"/>
    </row>
    <row r="1120" spans="12:21">
      <c r="L1120" s="15"/>
      <c r="M1120" s="15"/>
      <c r="N1120" s="15"/>
      <c r="T1120" s="15"/>
      <c r="U1120" s="15"/>
    </row>
    <row r="1121" spans="12:21">
      <c r="L1121" s="15"/>
      <c r="M1121" s="15"/>
      <c r="N1121" s="15"/>
      <c r="T1121" s="15"/>
      <c r="U1121" s="15"/>
    </row>
    <row r="1122" spans="12:21">
      <c r="L1122" s="15"/>
      <c r="M1122" s="15"/>
      <c r="N1122" s="15"/>
      <c r="T1122" s="15"/>
      <c r="U1122" s="15"/>
    </row>
    <row r="1123" spans="12:21">
      <c r="L1123" s="15"/>
      <c r="M1123" s="15"/>
      <c r="N1123" s="15"/>
      <c r="T1123" s="15"/>
      <c r="U1123" s="15"/>
    </row>
    <row r="1124" spans="12:21">
      <c r="L1124" s="15"/>
      <c r="M1124" s="15"/>
      <c r="N1124" s="15"/>
      <c r="T1124" s="15"/>
      <c r="U1124" s="15"/>
    </row>
    <row r="1125" spans="12:21">
      <c r="L1125" s="15"/>
      <c r="M1125" s="15"/>
      <c r="N1125" s="15"/>
      <c r="T1125" s="15"/>
      <c r="U1125" s="15"/>
    </row>
    <row r="1126" spans="12:21">
      <c r="L1126" s="15"/>
      <c r="M1126" s="15"/>
      <c r="N1126" s="15"/>
      <c r="T1126" s="15"/>
      <c r="U1126" s="15"/>
    </row>
    <row r="1127" spans="12:21">
      <c r="L1127" s="15"/>
      <c r="M1127" s="15"/>
      <c r="N1127" s="15"/>
      <c r="T1127" s="15"/>
      <c r="U1127" s="15"/>
    </row>
    <row r="1128" spans="12:21">
      <c r="L1128" s="15"/>
      <c r="M1128" s="15"/>
      <c r="N1128" s="15"/>
      <c r="T1128" s="15"/>
      <c r="U1128" s="15"/>
    </row>
    <row r="1129" spans="12:21">
      <c r="L1129" s="15"/>
      <c r="M1129" s="15"/>
      <c r="N1129" s="15"/>
      <c r="T1129" s="15"/>
      <c r="U1129" s="15"/>
    </row>
    <row r="1130" spans="12:21">
      <c r="L1130" s="15"/>
      <c r="M1130" s="15"/>
      <c r="N1130" s="15"/>
      <c r="T1130" s="15"/>
      <c r="U1130" s="15"/>
    </row>
    <row r="1131" spans="12:21">
      <c r="L1131" s="15"/>
      <c r="M1131" s="15"/>
      <c r="N1131" s="15"/>
      <c r="T1131" s="15"/>
      <c r="U1131" s="15"/>
    </row>
    <row r="1132" spans="12:21">
      <c r="L1132" s="15"/>
      <c r="M1132" s="15"/>
      <c r="N1132" s="15"/>
      <c r="T1132" s="15"/>
      <c r="U1132" s="15"/>
    </row>
    <row r="1133" spans="12:21">
      <c r="L1133" s="15"/>
      <c r="M1133" s="15"/>
      <c r="N1133" s="15"/>
      <c r="T1133" s="15"/>
      <c r="U1133" s="15"/>
    </row>
    <row r="1134" spans="12:21">
      <c r="L1134" s="15"/>
      <c r="M1134" s="15"/>
      <c r="N1134" s="15"/>
      <c r="T1134" s="15"/>
      <c r="U1134" s="15"/>
    </row>
    <row r="1135" spans="12:21">
      <c r="L1135" s="15"/>
      <c r="M1135" s="15"/>
      <c r="N1135" s="15"/>
      <c r="T1135" s="15"/>
      <c r="U1135" s="15"/>
    </row>
    <row r="1136" spans="12:21">
      <c r="L1136" s="15"/>
      <c r="M1136" s="15"/>
      <c r="N1136" s="15"/>
      <c r="T1136" s="15"/>
      <c r="U1136" s="15"/>
    </row>
    <row r="1137" spans="12:21">
      <c r="L1137" s="15"/>
      <c r="M1137" s="15"/>
      <c r="N1137" s="15"/>
      <c r="T1137" s="15"/>
      <c r="U1137" s="15"/>
    </row>
    <row r="1138" spans="12:21">
      <c r="L1138" s="15"/>
      <c r="M1138" s="15"/>
      <c r="N1138" s="15"/>
      <c r="T1138" s="15"/>
      <c r="U1138" s="15"/>
    </row>
    <row r="1139" spans="12:21">
      <c r="L1139" s="15"/>
      <c r="M1139" s="15"/>
      <c r="N1139" s="15"/>
      <c r="T1139" s="15"/>
      <c r="U1139" s="15"/>
    </row>
    <row r="1140" spans="12:21">
      <c r="L1140" s="15"/>
      <c r="M1140" s="15"/>
      <c r="N1140" s="15"/>
      <c r="T1140" s="15"/>
      <c r="U1140" s="15"/>
    </row>
    <row r="1141" spans="12:21">
      <c r="L1141" s="15"/>
      <c r="M1141" s="15"/>
      <c r="N1141" s="15"/>
      <c r="T1141" s="15"/>
      <c r="U1141" s="15"/>
    </row>
    <row r="1142" spans="12:21">
      <c r="L1142" s="15"/>
      <c r="M1142" s="15"/>
      <c r="N1142" s="15"/>
      <c r="T1142" s="15"/>
      <c r="U1142" s="15"/>
    </row>
    <row r="1143" spans="12:21">
      <c r="L1143" s="15"/>
      <c r="M1143" s="15"/>
      <c r="N1143" s="15"/>
      <c r="T1143" s="15"/>
      <c r="U1143" s="15"/>
    </row>
    <row r="1144" spans="12:21">
      <c r="L1144" s="15"/>
      <c r="M1144" s="15"/>
      <c r="N1144" s="15"/>
      <c r="T1144" s="15"/>
      <c r="U1144" s="15"/>
    </row>
    <row r="1145" spans="12:21">
      <c r="L1145" s="15"/>
      <c r="M1145" s="15"/>
      <c r="N1145" s="15"/>
      <c r="T1145" s="15"/>
      <c r="U1145" s="15"/>
    </row>
    <row r="1146" spans="12:21">
      <c r="L1146" s="15"/>
      <c r="M1146" s="15"/>
      <c r="N1146" s="15"/>
      <c r="T1146" s="15"/>
      <c r="U1146" s="15"/>
    </row>
    <row r="1147" spans="12:21">
      <c r="L1147" s="15"/>
      <c r="M1147" s="15"/>
      <c r="N1147" s="15"/>
      <c r="T1147" s="15"/>
      <c r="U1147" s="15"/>
    </row>
    <row r="1148" spans="12:21">
      <c r="L1148" s="15"/>
      <c r="M1148" s="15"/>
      <c r="N1148" s="15"/>
      <c r="T1148" s="15"/>
      <c r="U1148" s="15"/>
    </row>
    <row r="1149" spans="12:21">
      <c r="L1149" s="15"/>
      <c r="M1149" s="15"/>
      <c r="N1149" s="15"/>
      <c r="T1149" s="15"/>
      <c r="U1149" s="15"/>
    </row>
    <row r="1150" spans="12:21">
      <c r="L1150" s="15"/>
      <c r="M1150" s="15"/>
      <c r="N1150" s="15"/>
      <c r="T1150" s="15"/>
      <c r="U1150" s="15"/>
    </row>
    <row r="1151" spans="12:21">
      <c r="L1151" s="15"/>
      <c r="M1151" s="15"/>
      <c r="N1151" s="15"/>
      <c r="T1151" s="15"/>
      <c r="U1151" s="15"/>
    </row>
    <row r="1152" spans="12:21">
      <c r="L1152" s="15"/>
      <c r="M1152" s="15"/>
      <c r="N1152" s="15"/>
      <c r="T1152" s="15"/>
      <c r="U1152" s="15"/>
    </row>
    <row r="1153" spans="12:21">
      <c r="L1153" s="15"/>
      <c r="M1153" s="15"/>
      <c r="N1153" s="15"/>
      <c r="T1153" s="15"/>
      <c r="U1153" s="15"/>
    </row>
    <row r="1154" spans="12:21">
      <c r="L1154" s="15"/>
      <c r="M1154" s="15"/>
      <c r="N1154" s="15"/>
      <c r="T1154" s="15"/>
      <c r="U1154" s="15"/>
    </row>
    <row r="1155" spans="12:21">
      <c r="L1155" s="15"/>
      <c r="M1155" s="15"/>
      <c r="N1155" s="15"/>
      <c r="T1155" s="15"/>
      <c r="U1155" s="15"/>
    </row>
    <row r="1156" spans="12:21">
      <c r="L1156" s="15"/>
      <c r="M1156" s="15"/>
      <c r="N1156" s="15"/>
      <c r="T1156" s="15"/>
      <c r="U1156" s="15"/>
    </row>
    <row r="1157" spans="12:21">
      <c r="L1157" s="15"/>
      <c r="M1157" s="15"/>
      <c r="N1157" s="15"/>
      <c r="T1157" s="15"/>
      <c r="U1157" s="15"/>
    </row>
    <row r="1158" spans="12:21">
      <c r="L1158" s="15"/>
      <c r="M1158" s="15"/>
      <c r="N1158" s="15"/>
      <c r="T1158" s="15"/>
      <c r="U1158" s="15"/>
    </row>
    <row r="1159" spans="12:21">
      <c r="L1159" s="15"/>
      <c r="M1159" s="15"/>
      <c r="N1159" s="15"/>
      <c r="T1159" s="15"/>
      <c r="U1159" s="15"/>
    </row>
    <row r="1160" spans="12:21">
      <c r="L1160" s="15"/>
      <c r="M1160" s="15"/>
      <c r="N1160" s="15"/>
      <c r="T1160" s="15"/>
      <c r="U1160" s="15"/>
    </row>
    <row r="1161" spans="12:21">
      <c r="L1161" s="15"/>
      <c r="M1161" s="15"/>
      <c r="N1161" s="15"/>
      <c r="T1161" s="15"/>
      <c r="U1161" s="15"/>
    </row>
    <row r="1162" spans="12:21">
      <c r="L1162" s="15"/>
      <c r="M1162" s="15"/>
      <c r="N1162" s="15"/>
      <c r="T1162" s="15"/>
      <c r="U1162" s="15"/>
    </row>
    <row r="1163" spans="12:21">
      <c r="L1163" s="15"/>
      <c r="M1163" s="15"/>
      <c r="N1163" s="15"/>
      <c r="T1163" s="15"/>
      <c r="U1163" s="15"/>
    </row>
    <row r="1164" spans="12:21">
      <c r="L1164" s="15"/>
      <c r="M1164" s="15"/>
      <c r="N1164" s="15"/>
      <c r="T1164" s="15"/>
      <c r="U1164" s="15"/>
    </row>
    <row r="1165" spans="12:21">
      <c r="L1165" s="15"/>
      <c r="M1165" s="15"/>
      <c r="N1165" s="15"/>
      <c r="T1165" s="15"/>
      <c r="U1165" s="15"/>
    </row>
    <row r="1166" spans="12:21">
      <c r="L1166" s="15"/>
      <c r="M1166" s="15"/>
      <c r="N1166" s="15"/>
      <c r="T1166" s="15"/>
      <c r="U1166" s="15"/>
    </row>
    <row r="1167" spans="12:21">
      <c r="L1167" s="15"/>
      <c r="M1167" s="15"/>
      <c r="N1167" s="15"/>
      <c r="T1167" s="15"/>
      <c r="U1167" s="15"/>
    </row>
    <row r="1168" spans="12:21">
      <c r="L1168" s="15"/>
      <c r="M1168" s="15"/>
      <c r="N1168" s="15"/>
      <c r="T1168" s="15"/>
      <c r="U1168" s="15"/>
    </row>
    <row r="1169" spans="12:21">
      <c r="L1169" s="15"/>
      <c r="M1169" s="15"/>
      <c r="N1169" s="15"/>
      <c r="T1169" s="15"/>
      <c r="U1169" s="15"/>
    </row>
    <row r="1170" spans="12:21">
      <c r="L1170" s="15"/>
      <c r="M1170" s="15"/>
      <c r="N1170" s="15"/>
      <c r="T1170" s="15"/>
      <c r="U1170" s="15"/>
    </row>
    <row r="1171" spans="12:21">
      <c r="L1171" s="15"/>
      <c r="M1171" s="15"/>
      <c r="N1171" s="15"/>
      <c r="T1171" s="15"/>
      <c r="U1171" s="15"/>
    </row>
    <row r="1172" spans="12:21">
      <c r="L1172" s="15"/>
      <c r="M1172" s="15"/>
      <c r="N1172" s="15"/>
      <c r="T1172" s="15"/>
      <c r="U1172" s="15"/>
    </row>
    <row r="1173" spans="12:21">
      <c r="L1173" s="15"/>
      <c r="M1173" s="15"/>
      <c r="N1173" s="15"/>
      <c r="T1173" s="15"/>
      <c r="U1173" s="15"/>
    </row>
    <row r="1174" spans="12:21">
      <c r="L1174" s="15"/>
      <c r="M1174" s="15"/>
      <c r="N1174" s="15"/>
      <c r="T1174" s="15"/>
      <c r="U1174" s="15"/>
    </row>
    <row r="1175" spans="12:21">
      <c r="L1175" s="15"/>
      <c r="M1175" s="15"/>
      <c r="N1175" s="15"/>
      <c r="T1175" s="15"/>
      <c r="U1175" s="15"/>
    </row>
    <row r="1176" spans="12:21">
      <c r="L1176" s="15"/>
      <c r="M1176" s="15"/>
      <c r="N1176" s="15"/>
      <c r="T1176" s="15"/>
      <c r="U1176" s="15"/>
    </row>
    <row r="1177" spans="12:21">
      <c r="L1177" s="15"/>
      <c r="M1177" s="15"/>
      <c r="N1177" s="15"/>
      <c r="T1177" s="15"/>
      <c r="U1177" s="15"/>
    </row>
    <row r="1178" spans="12:21">
      <c r="L1178" s="15"/>
      <c r="M1178" s="15"/>
      <c r="N1178" s="15"/>
      <c r="T1178" s="15"/>
      <c r="U1178" s="15"/>
    </row>
    <row r="1179" spans="12:21">
      <c r="L1179" s="15"/>
      <c r="M1179" s="15"/>
      <c r="N1179" s="15"/>
      <c r="T1179" s="15"/>
      <c r="U1179" s="15"/>
    </row>
    <row r="1180" spans="12:21">
      <c r="L1180" s="15"/>
      <c r="M1180" s="15"/>
      <c r="N1180" s="15"/>
      <c r="T1180" s="15"/>
      <c r="U1180" s="15"/>
    </row>
    <row r="1181" spans="12:21">
      <c r="L1181" s="15"/>
      <c r="M1181" s="15"/>
      <c r="N1181" s="15"/>
      <c r="T1181" s="15"/>
      <c r="U1181" s="15"/>
    </row>
    <row r="1182" spans="12:21">
      <c r="L1182" s="15"/>
      <c r="M1182" s="15"/>
      <c r="N1182" s="15"/>
      <c r="T1182" s="15"/>
      <c r="U1182" s="15"/>
    </row>
    <row r="1183" spans="12:21">
      <c r="L1183" s="15"/>
      <c r="M1183" s="15"/>
      <c r="N1183" s="15"/>
      <c r="T1183" s="15"/>
      <c r="U1183" s="15"/>
    </row>
    <row r="1184" spans="12:21">
      <c r="L1184" s="15"/>
      <c r="M1184" s="15"/>
      <c r="N1184" s="15"/>
      <c r="T1184" s="15"/>
      <c r="U1184" s="15"/>
    </row>
    <row r="1185" spans="12:21">
      <c r="L1185" s="15"/>
      <c r="M1185" s="15"/>
      <c r="N1185" s="15"/>
      <c r="T1185" s="15"/>
      <c r="U1185" s="15"/>
    </row>
    <row r="1186" spans="12:21">
      <c r="L1186" s="15"/>
      <c r="M1186" s="15"/>
      <c r="N1186" s="15"/>
      <c r="T1186" s="15"/>
      <c r="U1186" s="15"/>
    </row>
    <row r="1187" spans="12:21">
      <c r="L1187" s="15"/>
      <c r="M1187" s="15"/>
      <c r="N1187" s="15"/>
      <c r="T1187" s="15"/>
      <c r="U1187" s="15"/>
    </row>
    <row r="1188" spans="12:21">
      <c r="L1188" s="15"/>
      <c r="M1188" s="15"/>
      <c r="N1188" s="15"/>
      <c r="T1188" s="15"/>
      <c r="U1188" s="15"/>
    </row>
    <row r="1189" spans="12:21">
      <c r="L1189" s="15"/>
      <c r="M1189" s="15"/>
      <c r="N1189" s="15"/>
      <c r="T1189" s="15"/>
      <c r="U1189" s="15"/>
    </row>
    <row r="1190" spans="12:21">
      <c r="L1190" s="15"/>
      <c r="M1190" s="15"/>
      <c r="N1190" s="15"/>
      <c r="T1190" s="15"/>
      <c r="U1190" s="15"/>
    </row>
    <row r="1191" spans="12:21">
      <c r="L1191" s="15"/>
      <c r="M1191" s="15"/>
      <c r="N1191" s="15"/>
      <c r="T1191" s="15"/>
      <c r="U1191" s="15"/>
    </row>
    <row r="1192" spans="12:21">
      <c r="L1192" s="15"/>
      <c r="M1192" s="15"/>
      <c r="N1192" s="15"/>
      <c r="T1192" s="15"/>
      <c r="U1192" s="15"/>
    </row>
    <row r="1193" spans="12:21">
      <c r="L1193" s="15"/>
      <c r="M1193" s="15"/>
      <c r="N1193" s="15"/>
      <c r="T1193" s="15"/>
      <c r="U1193" s="15"/>
    </row>
    <row r="1194" spans="12:21">
      <c r="L1194" s="15"/>
      <c r="M1194" s="15"/>
      <c r="N1194" s="15"/>
      <c r="T1194" s="15"/>
      <c r="U1194" s="15"/>
    </row>
    <row r="1195" spans="12:21">
      <c r="L1195" s="15"/>
      <c r="M1195" s="15"/>
      <c r="N1195" s="15"/>
      <c r="T1195" s="15"/>
      <c r="U1195" s="15"/>
    </row>
    <row r="1196" spans="12:21">
      <c r="L1196" s="15"/>
      <c r="M1196" s="15"/>
      <c r="N1196" s="15"/>
      <c r="T1196" s="15"/>
      <c r="U1196" s="15"/>
    </row>
    <row r="1197" spans="12:21">
      <c r="L1197" s="15"/>
      <c r="M1197" s="15"/>
      <c r="N1197" s="15"/>
      <c r="T1197" s="15"/>
      <c r="U1197" s="15"/>
    </row>
    <row r="1198" spans="12:21">
      <c r="L1198" s="15"/>
      <c r="M1198" s="15"/>
      <c r="N1198" s="15"/>
      <c r="T1198" s="15"/>
      <c r="U1198" s="15"/>
    </row>
    <row r="1199" spans="12:21">
      <c r="L1199" s="15"/>
      <c r="M1199" s="15"/>
      <c r="N1199" s="15"/>
      <c r="T1199" s="15"/>
      <c r="U1199" s="15"/>
    </row>
    <row r="1200" spans="12:21">
      <c r="L1200" s="15"/>
      <c r="M1200" s="15"/>
      <c r="N1200" s="15"/>
      <c r="T1200" s="15"/>
      <c r="U1200" s="15"/>
    </row>
    <row r="1201" spans="12:21">
      <c r="L1201" s="15"/>
      <c r="M1201" s="15"/>
      <c r="N1201" s="15"/>
      <c r="T1201" s="15"/>
      <c r="U1201" s="15"/>
    </row>
    <row r="1202" spans="12:21">
      <c r="L1202" s="15"/>
      <c r="M1202" s="15"/>
      <c r="N1202" s="15"/>
      <c r="T1202" s="15"/>
      <c r="U1202" s="15"/>
    </row>
    <row r="1203" spans="12:21">
      <c r="L1203" s="15"/>
      <c r="M1203" s="15"/>
      <c r="N1203" s="15"/>
      <c r="T1203" s="15"/>
      <c r="U1203" s="15"/>
    </row>
    <row r="1204" spans="12:21">
      <c r="L1204" s="15"/>
      <c r="M1204" s="15"/>
      <c r="N1204" s="15"/>
      <c r="T1204" s="15"/>
      <c r="U1204" s="15"/>
    </row>
    <row r="1205" spans="12:21">
      <c r="L1205" s="15"/>
      <c r="M1205" s="15"/>
      <c r="N1205" s="15"/>
      <c r="T1205" s="15"/>
      <c r="U1205" s="15"/>
    </row>
    <row r="1206" spans="12:21">
      <c r="L1206" s="15"/>
      <c r="M1206" s="15"/>
      <c r="N1206" s="15"/>
      <c r="T1206" s="15"/>
      <c r="U1206" s="15"/>
    </row>
    <row r="1207" spans="12:21">
      <c r="L1207" s="15"/>
      <c r="M1207" s="15"/>
      <c r="N1207" s="15"/>
      <c r="T1207" s="15"/>
      <c r="U1207" s="15"/>
    </row>
    <row r="1208" spans="12:21">
      <c r="L1208" s="15"/>
      <c r="M1208" s="15"/>
      <c r="N1208" s="15"/>
      <c r="T1208" s="15"/>
      <c r="U1208" s="15"/>
    </row>
    <row r="1209" spans="12:21">
      <c r="L1209" s="15"/>
      <c r="M1209" s="15"/>
      <c r="N1209" s="15"/>
      <c r="T1209" s="15"/>
      <c r="U1209" s="15"/>
    </row>
    <row r="1210" spans="12:21">
      <c r="L1210" s="15"/>
      <c r="M1210" s="15"/>
      <c r="N1210" s="15"/>
      <c r="T1210" s="15"/>
      <c r="U1210" s="15"/>
    </row>
    <row r="1211" spans="12:21">
      <c r="L1211" s="15"/>
      <c r="M1211" s="15"/>
      <c r="N1211" s="15"/>
      <c r="T1211" s="15"/>
      <c r="U1211" s="15"/>
    </row>
    <row r="1212" spans="12:21">
      <c r="L1212" s="15"/>
      <c r="M1212" s="15"/>
      <c r="N1212" s="15"/>
      <c r="T1212" s="15"/>
      <c r="U1212" s="15"/>
    </row>
    <row r="1213" spans="12:21">
      <c r="L1213" s="15"/>
      <c r="M1213" s="15"/>
      <c r="N1213" s="15"/>
      <c r="T1213" s="15"/>
      <c r="U1213" s="15"/>
    </row>
    <row r="1214" spans="12:21">
      <c r="L1214" s="15"/>
      <c r="M1214" s="15"/>
      <c r="N1214" s="15"/>
      <c r="T1214" s="15"/>
      <c r="U1214" s="15"/>
    </row>
    <row r="1215" spans="12:21">
      <c r="L1215" s="15"/>
      <c r="M1215" s="15"/>
      <c r="N1215" s="15"/>
      <c r="T1215" s="15"/>
      <c r="U1215" s="15"/>
    </row>
    <row r="1216" spans="12:21">
      <c r="L1216" s="15"/>
      <c r="M1216" s="15"/>
      <c r="N1216" s="15"/>
      <c r="T1216" s="15"/>
      <c r="U1216" s="15"/>
    </row>
    <row r="1217" spans="12:21">
      <c r="L1217" s="15"/>
      <c r="M1217" s="15"/>
      <c r="N1217" s="15"/>
      <c r="T1217" s="15"/>
      <c r="U1217" s="15"/>
    </row>
    <row r="1218" spans="12:21">
      <c r="L1218" s="15"/>
      <c r="M1218" s="15"/>
      <c r="N1218" s="15"/>
      <c r="T1218" s="15"/>
      <c r="U1218" s="15"/>
    </row>
    <row r="1219" spans="12:21">
      <c r="L1219" s="15"/>
      <c r="M1219" s="15"/>
      <c r="N1219" s="15"/>
      <c r="T1219" s="15"/>
      <c r="U1219" s="15"/>
    </row>
    <row r="1220" spans="12:21">
      <c r="L1220" s="15"/>
      <c r="M1220" s="15"/>
      <c r="N1220" s="15"/>
      <c r="T1220" s="15"/>
      <c r="U1220" s="15"/>
    </row>
    <row r="1221" spans="12:21">
      <c r="L1221" s="15"/>
      <c r="M1221" s="15"/>
      <c r="N1221" s="15"/>
      <c r="T1221" s="15"/>
      <c r="U1221" s="15"/>
    </row>
    <row r="1222" spans="12:21">
      <c r="L1222" s="15"/>
      <c r="M1222" s="15"/>
      <c r="N1222" s="15"/>
      <c r="T1222" s="15"/>
      <c r="U1222" s="15"/>
    </row>
    <row r="1223" spans="12:21">
      <c r="L1223" s="15"/>
      <c r="M1223" s="15"/>
      <c r="N1223" s="15"/>
      <c r="T1223" s="15"/>
      <c r="U1223" s="15"/>
    </row>
    <row r="1224" spans="12:21">
      <c r="L1224" s="15"/>
      <c r="M1224" s="15"/>
      <c r="N1224" s="15"/>
      <c r="T1224" s="15"/>
      <c r="U1224" s="15"/>
    </row>
    <row r="1225" spans="12:21">
      <c r="L1225" s="15"/>
      <c r="M1225" s="15"/>
      <c r="N1225" s="15"/>
      <c r="T1225" s="15"/>
      <c r="U1225" s="15"/>
    </row>
    <row r="1226" spans="12:21">
      <c r="L1226" s="15"/>
      <c r="M1226" s="15"/>
      <c r="N1226" s="15"/>
      <c r="T1226" s="15"/>
      <c r="U1226" s="15"/>
    </row>
    <row r="1227" spans="12:21">
      <c r="L1227" s="15"/>
      <c r="M1227" s="15"/>
      <c r="N1227" s="15"/>
      <c r="T1227" s="15"/>
      <c r="U1227" s="15"/>
    </row>
    <row r="1228" spans="12:21">
      <c r="L1228" s="15"/>
      <c r="M1228" s="15"/>
      <c r="N1228" s="15"/>
      <c r="T1228" s="15"/>
      <c r="U1228" s="15"/>
    </row>
    <row r="1229" spans="12:21">
      <c r="L1229" s="15"/>
      <c r="M1229" s="15"/>
      <c r="N1229" s="15"/>
      <c r="T1229" s="15"/>
      <c r="U1229" s="15"/>
    </row>
    <row r="1230" spans="12:21">
      <c r="L1230" s="15"/>
      <c r="M1230" s="15"/>
      <c r="N1230" s="15"/>
      <c r="T1230" s="15"/>
      <c r="U1230" s="15"/>
    </row>
    <row r="1231" spans="12:21">
      <c r="L1231" s="15"/>
      <c r="M1231" s="15"/>
      <c r="N1231" s="15"/>
      <c r="T1231" s="15"/>
      <c r="U1231" s="15"/>
    </row>
    <row r="1232" spans="12:21">
      <c r="L1232" s="15"/>
      <c r="M1232" s="15"/>
      <c r="N1232" s="15"/>
      <c r="T1232" s="15"/>
      <c r="U1232" s="15"/>
    </row>
    <row r="1233" spans="12:21">
      <c r="L1233" s="15"/>
      <c r="M1233" s="15"/>
      <c r="N1233" s="15"/>
      <c r="T1233" s="15"/>
      <c r="U1233" s="15"/>
    </row>
    <row r="1234" spans="12:21">
      <c r="L1234" s="15"/>
      <c r="M1234" s="15"/>
      <c r="N1234" s="15"/>
      <c r="T1234" s="15"/>
      <c r="U1234" s="15"/>
    </row>
    <row r="1235" spans="12:21">
      <c r="L1235" s="15"/>
      <c r="M1235" s="15"/>
      <c r="N1235" s="15"/>
      <c r="T1235" s="15"/>
      <c r="U1235" s="15"/>
    </row>
    <row r="1236" spans="12:21">
      <c r="L1236" s="15"/>
      <c r="M1236" s="15"/>
      <c r="N1236" s="15"/>
      <c r="T1236" s="15"/>
      <c r="U1236" s="15"/>
    </row>
    <row r="1237" spans="12:21">
      <c r="L1237" s="15"/>
      <c r="M1237" s="15"/>
      <c r="N1237" s="15"/>
      <c r="T1237" s="15"/>
      <c r="U1237" s="15"/>
    </row>
    <row r="1238" spans="12:21">
      <c r="L1238" s="15"/>
      <c r="M1238" s="15"/>
      <c r="N1238" s="15"/>
      <c r="T1238" s="15"/>
      <c r="U1238" s="15"/>
    </row>
    <row r="1239" spans="12:21">
      <c r="L1239" s="15"/>
      <c r="M1239" s="15"/>
      <c r="N1239" s="15"/>
      <c r="T1239" s="15"/>
      <c r="U1239" s="15"/>
    </row>
    <row r="1240" spans="12:21">
      <c r="L1240" s="15"/>
      <c r="M1240" s="15"/>
      <c r="N1240" s="15"/>
      <c r="T1240" s="15"/>
      <c r="U1240" s="15"/>
    </row>
    <row r="1241" spans="12:21">
      <c r="L1241" s="15"/>
      <c r="M1241" s="15"/>
      <c r="N1241" s="15"/>
      <c r="T1241" s="15"/>
      <c r="U1241" s="15"/>
    </row>
    <row r="1242" spans="12:21">
      <c r="L1242" s="15"/>
      <c r="M1242" s="15"/>
      <c r="N1242" s="15"/>
      <c r="T1242" s="15"/>
      <c r="U1242" s="15"/>
    </row>
    <row r="1243" spans="12:21">
      <c r="L1243" s="15"/>
      <c r="M1243" s="15"/>
      <c r="N1243" s="15"/>
      <c r="T1243" s="15"/>
      <c r="U1243" s="15"/>
    </row>
    <row r="1244" spans="12:21">
      <c r="L1244" s="15"/>
      <c r="M1244" s="15"/>
      <c r="N1244" s="15"/>
      <c r="T1244" s="15"/>
      <c r="U1244" s="15"/>
    </row>
    <row r="1245" spans="12:21">
      <c r="L1245" s="15"/>
      <c r="M1245" s="15"/>
      <c r="N1245" s="15"/>
      <c r="T1245" s="15"/>
      <c r="U1245" s="15"/>
    </row>
    <row r="1246" spans="12:21">
      <c r="L1246" s="15"/>
      <c r="M1246" s="15"/>
      <c r="N1246" s="15"/>
      <c r="T1246" s="15"/>
      <c r="U1246" s="15"/>
    </row>
    <row r="1247" spans="12:21">
      <c r="L1247" s="15"/>
      <c r="M1247" s="15"/>
      <c r="N1247" s="15"/>
      <c r="T1247" s="15"/>
      <c r="U1247" s="15"/>
    </row>
    <row r="1248" spans="12:21">
      <c r="L1248" s="15"/>
      <c r="M1248" s="15"/>
      <c r="N1248" s="15"/>
      <c r="T1248" s="15"/>
      <c r="U1248" s="15"/>
    </row>
    <row r="1249" spans="12:21">
      <c r="L1249" s="15"/>
      <c r="M1249" s="15"/>
      <c r="N1249" s="15"/>
      <c r="T1249" s="15"/>
      <c r="U1249" s="15"/>
    </row>
    <row r="1250" spans="12:21">
      <c r="L1250" s="15"/>
      <c r="M1250" s="15"/>
      <c r="N1250" s="15"/>
      <c r="T1250" s="15"/>
      <c r="U1250" s="15"/>
    </row>
    <row r="1251" spans="12:21">
      <c r="L1251" s="15"/>
      <c r="M1251" s="15"/>
      <c r="N1251" s="15"/>
      <c r="T1251" s="15"/>
      <c r="U1251" s="15"/>
    </row>
    <row r="1252" spans="12:21">
      <c r="L1252" s="15"/>
      <c r="M1252" s="15"/>
      <c r="N1252" s="15"/>
      <c r="T1252" s="15"/>
      <c r="U1252" s="15"/>
    </row>
    <row r="1253" spans="12:21">
      <c r="L1253" s="15"/>
      <c r="M1253" s="15"/>
      <c r="N1253" s="15"/>
      <c r="T1253" s="15"/>
      <c r="U1253" s="15"/>
    </row>
    <row r="1254" spans="12:21">
      <c r="L1254" s="15"/>
      <c r="M1254" s="15"/>
      <c r="N1254" s="15"/>
      <c r="T1254" s="15"/>
      <c r="U1254" s="15"/>
    </row>
    <row r="1255" spans="12:21">
      <c r="L1255" s="15"/>
      <c r="M1255" s="15"/>
      <c r="N1255" s="15"/>
      <c r="T1255" s="15"/>
      <c r="U1255" s="15"/>
    </row>
    <row r="1256" spans="12:21">
      <c r="L1256" s="15"/>
      <c r="M1256" s="15"/>
      <c r="N1256" s="15"/>
      <c r="T1256" s="15"/>
      <c r="U1256" s="15"/>
    </row>
    <row r="1257" spans="12:21">
      <c r="L1257" s="15"/>
      <c r="M1257" s="15"/>
      <c r="N1257" s="15"/>
      <c r="T1257" s="15"/>
      <c r="U1257" s="15"/>
    </row>
    <row r="1258" spans="12:21">
      <c r="L1258" s="15"/>
      <c r="M1258" s="15"/>
      <c r="N1258" s="15"/>
      <c r="T1258" s="15"/>
      <c r="U1258" s="15"/>
    </row>
    <row r="1259" spans="12:21">
      <c r="L1259" s="15"/>
      <c r="M1259" s="15"/>
      <c r="N1259" s="15"/>
      <c r="T1259" s="15"/>
      <c r="U1259" s="15"/>
    </row>
    <row r="1260" spans="12:21">
      <c r="L1260" s="15"/>
      <c r="M1260" s="15"/>
      <c r="N1260" s="15"/>
      <c r="T1260" s="15"/>
      <c r="U1260" s="15"/>
    </row>
    <row r="1261" spans="12:21">
      <c r="L1261" s="15"/>
      <c r="M1261" s="15"/>
      <c r="N1261" s="15"/>
      <c r="T1261" s="15"/>
      <c r="U1261" s="15"/>
    </row>
    <row r="1262" spans="12:21">
      <c r="L1262" s="15"/>
      <c r="M1262" s="15"/>
      <c r="N1262" s="15"/>
      <c r="T1262" s="15"/>
      <c r="U1262" s="15"/>
    </row>
    <row r="1263" spans="12:21">
      <c r="L1263" s="15"/>
      <c r="M1263" s="15"/>
      <c r="N1263" s="15"/>
      <c r="T1263" s="15"/>
      <c r="U1263" s="15"/>
    </row>
    <row r="1264" spans="12:21">
      <c r="L1264" s="15"/>
      <c r="M1264" s="15"/>
      <c r="N1264" s="15"/>
      <c r="T1264" s="15"/>
      <c r="U1264" s="15"/>
    </row>
    <row r="1265" spans="12:21">
      <c r="L1265" s="15"/>
      <c r="M1265" s="15"/>
      <c r="N1265" s="15"/>
      <c r="T1265" s="15"/>
      <c r="U1265" s="15"/>
    </row>
    <row r="1266" spans="12:21">
      <c r="L1266" s="15"/>
      <c r="M1266" s="15"/>
      <c r="N1266" s="15"/>
      <c r="T1266" s="15"/>
      <c r="U1266" s="15"/>
    </row>
    <row r="1267" spans="12:21">
      <c r="L1267" s="15"/>
      <c r="M1267" s="15"/>
      <c r="N1267" s="15"/>
      <c r="T1267" s="15"/>
      <c r="U1267" s="15"/>
    </row>
    <row r="1268" spans="12:21">
      <c r="L1268" s="15"/>
      <c r="M1268" s="15"/>
      <c r="N1268" s="15"/>
      <c r="T1268" s="15"/>
      <c r="U1268" s="15"/>
    </row>
    <row r="1269" spans="12:21">
      <c r="L1269" s="15"/>
      <c r="M1269" s="15"/>
      <c r="N1269" s="15"/>
      <c r="T1269" s="15"/>
      <c r="U1269" s="15"/>
    </row>
    <row r="1270" spans="12:21">
      <c r="L1270" s="15"/>
      <c r="M1270" s="15"/>
      <c r="N1270" s="15"/>
      <c r="T1270" s="15"/>
      <c r="U1270" s="15"/>
    </row>
    <row r="1271" spans="12:21">
      <c r="L1271" s="15"/>
      <c r="M1271" s="15"/>
      <c r="N1271" s="15"/>
      <c r="T1271" s="15"/>
      <c r="U1271" s="15"/>
    </row>
    <row r="1272" spans="12:21">
      <c r="L1272" s="15"/>
      <c r="M1272" s="15"/>
      <c r="N1272" s="15"/>
      <c r="T1272" s="15"/>
      <c r="U1272" s="15"/>
    </row>
    <row r="1273" spans="12:21">
      <c r="L1273" s="15"/>
      <c r="M1273" s="15"/>
      <c r="N1273" s="15"/>
      <c r="T1273" s="15"/>
      <c r="U1273" s="15"/>
    </row>
    <row r="1274" spans="12:21">
      <c r="L1274" s="15"/>
      <c r="M1274" s="15"/>
      <c r="N1274" s="15"/>
      <c r="T1274" s="15"/>
      <c r="U1274" s="15"/>
    </row>
    <row r="1275" spans="12:21">
      <c r="L1275" s="15"/>
      <c r="M1275" s="15"/>
      <c r="N1275" s="15"/>
      <c r="T1275" s="15"/>
      <c r="U1275" s="15"/>
    </row>
    <row r="1276" spans="12:21">
      <c r="L1276" s="15"/>
      <c r="M1276" s="15"/>
      <c r="N1276" s="15"/>
      <c r="T1276" s="15"/>
      <c r="U1276" s="15"/>
    </row>
    <row r="1277" spans="12:21">
      <c r="L1277" s="15"/>
      <c r="M1277" s="15"/>
      <c r="N1277" s="15"/>
      <c r="T1277" s="15"/>
      <c r="U1277" s="15"/>
    </row>
    <row r="1278" spans="12:21">
      <c r="L1278" s="15"/>
      <c r="M1278" s="15"/>
      <c r="N1278" s="15"/>
      <c r="T1278" s="15"/>
      <c r="U1278" s="15"/>
    </row>
    <row r="1279" spans="12:21">
      <c r="L1279" s="15"/>
      <c r="M1279" s="15"/>
      <c r="N1279" s="15"/>
      <c r="T1279" s="15"/>
      <c r="U1279" s="15"/>
    </row>
    <row r="1280" spans="12:21">
      <c r="L1280" s="15"/>
      <c r="M1280" s="15"/>
      <c r="N1280" s="15"/>
      <c r="T1280" s="15"/>
      <c r="U1280" s="15"/>
    </row>
    <row r="1281" spans="12:21">
      <c r="L1281" s="15"/>
      <c r="M1281" s="15"/>
      <c r="N1281" s="15"/>
      <c r="T1281" s="15"/>
      <c r="U1281" s="15"/>
    </row>
    <row r="1282" spans="12:21">
      <c r="L1282" s="15"/>
      <c r="M1282" s="15"/>
      <c r="N1282" s="15"/>
      <c r="T1282" s="15"/>
      <c r="U1282" s="15"/>
    </row>
    <row r="1283" spans="12:21">
      <c r="L1283" s="15"/>
      <c r="M1283" s="15"/>
      <c r="N1283" s="15"/>
      <c r="T1283" s="15"/>
      <c r="U1283" s="15"/>
    </row>
    <row r="1284" spans="12:21">
      <c r="L1284" s="15"/>
      <c r="M1284" s="15"/>
      <c r="N1284" s="15"/>
      <c r="T1284" s="15"/>
      <c r="U1284" s="15"/>
    </row>
    <row r="1285" spans="12:21">
      <c r="L1285" s="15"/>
      <c r="M1285" s="15"/>
      <c r="N1285" s="15"/>
      <c r="T1285" s="15"/>
      <c r="U1285" s="15"/>
    </row>
    <row r="1286" spans="12:21">
      <c r="L1286" s="15"/>
      <c r="M1286" s="15"/>
      <c r="N1286" s="15"/>
      <c r="T1286" s="15"/>
      <c r="U1286" s="15"/>
    </row>
    <row r="1287" spans="12:21">
      <c r="L1287" s="15"/>
      <c r="M1287" s="15"/>
      <c r="N1287" s="15"/>
      <c r="T1287" s="15"/>
      <c r="U1287" s="15"/>
    </row>
    <row r="1288" spans="12:21">
      <c r="L1288" s="15"/>
      <c r="M1288" s="15"/>
      <c r="N1288" s="15"/>
      <c r="T1288" s="15"/>
      <c r="U1288" s="15"/>
    </row>
    <row r="1289" spans="12:21">
      <c r="L1289" s="15"/>
      <c r="M1289" s="15"/>
      <c r="N1289" s="15"/>
      <c r="T1289" s="15"/>
      <c r="U1289" s="15"/>
    </row>
    <row r="1290" spans="12:21">
      <c r="L1290" s="15"/>
      <c r="M1290" s="15"/>
      <c r="N1290" s="15"/>
      <c r="T1290" s="15"/>
      <c r="U1290" s="15"/>
    </row>
    <row r="1291" spans="12:21">
      <c r="L1291" s="15"/>
      <c r="M1291" s="15"/>
      <c r="N1291" s="15"/>
      <c r="T1291" s="15"/>
      <c r="U1291" s="15"/>
    </row>
    <row r="1292" spans="12:21">
      <c r="L1292" s="15"/>
      <c r="M1292" s="15"/>
      <c r="N1292" s="15"/>
      <c r="T1292" s="15"/>
      <c r="U1292" s="15"/>
    </row>
    <row r="1293" spans="12:21">
      <c r="L1293" s="15"/>
      <c r="M1293" s="15"/>
      <c r="N1293" s="15"/>
      <c r="T1293" s="15"/>
      <c r="U1293" s="15"/>
    </row>
    <row r="1294" spans="12:21">
      <c r="L1294" s="15"/>
      <c r="M1294" s="15"/>
      <c r="N1294" s="15"/>
      <c r="T1294" s="15"/>
      <c r="U1294" s="15"/>
    </row>
    <row r="1295" spans="12:21">
      <c r="L1295" s="15"/>
      <c r="M1295" s="15"/>
      <c r="N1295" s="15"/>
      <c r="T1295" s="15"/>
      <c r="U1295" s="15"/>
    </row>
    <row r="1296" spans="12:21">
      <c r="L1296" s="15"/>
      <c r="M1296" s="15"/>
      <c r="N1296" s="15"/>
      <c r="T1296" s="15"/>
      <c r="U1296" s="15"/>
    </row>
    <row r="1297" spans="12:21">
      <c r="L1297" s="15"/>
      <c r="M1297" s="15"/>
      <c r="N1297" s="15"/>
      <c r="T1297" s="15"/>
      <c r="U1297" s="15"/>
    </row>
    <row r="1298" spans="12:21">
      <c r="L1298" s="15"/>
      <c r="M1298" s="15"/>
      <c r="N1298" s="15"/>
      <c r="T1298" s="15"/>
      <c r="U1298" s="15"/>
    </row>
    <row r="1299" spans="12:21">
      <c r="L1299" s="15"/>
      <c r="M1299" s="15"/>
      <c r="N1299" s="15"/>
      <c r="T1299" s="15"/>
      <c r="U1299" s="15"/>
    </row>
    <row r="1300" spans="12:21">
      <c r="L1300" s="15"/>
      <c r="M1300" s="15"/>
      <c r="N1300" s="15"/>
      <c r="T1300" s="15"/>
      <c r="U1300" s="15"/>
    </row>
    <row r="1301" spans="12:21">
      <c r="L1301" s="15"/>
      <c r="M1301" s="15"/>
      <c r="N1301" s="15"/>
      <c r="T1301" s="15"/>
      <c r="U1301" s="15"/>
    </row>
    <row r="1302" spans="12:21">
      <c r="L1302" s="15"/>
      <c r="M1302" s="15"/>
      <c r="N1302" s="15"/>
      <c r="T1302" s="15"/>
      <c r="U1302" s="15"/>
    </row>
    <row r="1303" spans="12:21">
      <c r="L1303" s="15"/>
      <c r="M1303" s="15"/>
      <c r="N1303" s="15"/>
      <c r="T1303" s="15"/>
      <c r="U1303" s="15"/>
    </row>
    <row r="1304" spans="12:21">
      <c r="L1304" s="15"/>
      <c r="M1304" s="15"/>
      <c r="N1304" s="15"/>
      <c r="T1304" s="15"/>
      <c r="U1304" s="15"/>
    </row>
    <row r="1305" spans="12:21">
      <c r="L1305" s="15"/>
      <c r="M1305" s="15"/>
      <c r="N1305" s="15"/>
      <c r="T1305" s="15"/>
      <c r="U1305" s="15"/>
    </row>
    <row r="1306" spans="12:21">
      <c r="L1306" s="15"/>
      <c r="M1306" s="15"/>
      <c r="N1306" s="15"/>
      <c r="T1306" s="15"/>
      <c r="U1306" s="15"/>
    </row>
    <row r="1307" spans="12:21">
      <c r="L1307" s="15"/>
      <c r="M1307" s="15"/>
      <c r="N1307" s="15"/>
      <c r="T1307" s="15"/>
      <c r="U1307" s="15"/>
    </row>
    <row r="1308" spans="12:21">
      <c r="L1308" s="15"/>
      <c r="M1308" s="15"/>
      <c r="N1308" s="15"/>
      <c r="T1308" s="15"/>
      <c r="U1308" s="15"/>
    </row>
    <row r="1309" spans="12:21">
      <c r="L1309" s="15"/>
      <c r="M1309" s="15"/>
      <c r="N1309" s="15"/>
      <c r="T1309" s="15"/>
      <c r="U1309" s="15"/>
    </row>
    <row r="1310" spans="12:21">
      <c r="L1310" s="15"/>
      <c r="M1310" s="15"/>
      <c r="N1310" s="15"/>
      <c r="T1310" s="15"/>
      <c r="U1310" s="15"/>
    </row>
    <row r="1311" spans="12:21">
      <c r="L1311" s="15"/>
      <c r="M1311" s="15"/>
      <c r="N1311" s="15"/>
      <c r="T1311" s="15"/>
      <c r="U1311" s="15"/>
    </row>
    <row r="1312" spans="12:21">
      <c r="L1312" s="15"/>
      <c r="M1312" s="15"/>
      <c r="N1312" s="15"/>
      <c r="T1312" s="15"/>
      <c r="U1312" s="15"/>
    </row>
    <row r="1313" spans="12:21">
      <c r="L1313" s="15"/>
      <c r="M1313" s="15"/>
      <c r="N1313" s="15"/>
      <c r="T1313" s="15"/>
      <c r="U1313" s="15"/>
    </row>
    <row r="1314" spans="12:21">
      <c r="L1314" s="15"/>
      <c r="M1314" s="15"/>
      <c r="N1314" s="15"/>
      <c r="T1314" s="15"/>
      <c r="U1314" s="15"/>
    </row>
    <row r="1315" spans="12:21">
      <c r="L1315" s="15"/>
      <c r="M1315" s="15"/>
      <c r="N1315" s="15"/>
      <c r="T1315" s="15"/>
      <c r="U1315" s="15"/>
    </row>
    <row r="1316" spans="12:21">
      <c r="L1316" s="15"/>
      <c r="M1316" s="15"/>
      <c r="N1316" s="15"/>
      <c r="T1316" s="15"/>
      <c r="U1316" s="15"/>
    </row>
    <row r="1317" spans="12:21">
      <c r="L1317" s="15"/>
      <c r="M1317" s="15"/>
      <c r="N1317" s="15"/>
      <c r="T1317" s="15"/>
      <c r="U1317" s="15"/>
    </row>
    <row r="1318" spans="12:21">
      <c r="L1318" s="15"/>
      <c r="M1318" s="15"/>
      <c r="N1318" s="15"/>
      <c r="T1318" s="15"/>
      <c r="U1318" s="15"/>
    </row>
    <row r="1319" spans="12:21">
      <c r="L1319" s="15"/>
      <c r="M1319" s="15"/>
      <c r="N1319" s="15"/>
      <c r="T1319" s="15"/>
      <c r="U1319" s="15"/>
    </row>
    <row r="1320" spans="12:21">
      <c r="L1320" s="15"/>
      <c r="M1320" s="15"/>
      <c r="N1320" s="15"/>
      <c r="T1320" s="15"/>
      <c r="U1320" s="15"/>
    </row>
    <row r="1321" spans="12:21">
      <c r="L1321" s="15"/>
      <c r="M1321" s="15"/>
      <c r="N1321" s="15"/>
      <c r="T1321" s="15"/>
      <c r="U1321" s="15"/>
    </row>
    <row r="1322" spans="12:21">
      <c r="L1322" s="15"/>
      <c r="M1322" s="15"/>
      <c r="N1322" s="15"/>
      <c r="T1322" s="15"/>
      <c r="U1322" s="15"/>
    </row>
    <row r="1323" spans="12:21">
      <c r="L1323" s="15"/>
      <c r="M1323" s="15"/>
      <c r="N1323" s="15"/>
      <c r="T1323" s="15"/>
      <c r="U1323" s="15"/>
    </row>
    <row r="1324" spans="12:21">
      <c r="L1324" s="15"/>
      <c r="M1324" s="15"/>
      <c r="N1324" s="15"/>
      <c r="T1324" s="15"/>
      <c r="U1324" s="15"/>
    </row>
    <row r="1325" spans="12:21">
      <c r="L1325" s="15"/>
      <c r="M1325" s="15"/>
      <c r="N1325" s="15"/>
      <c r="T1325" s="15"/>
      <c r="U1325" s="15"/>
    </row>
    <row r="1326" spans="12:21">
      <c r="L1326" s="15"/>
      <c r="M1326" s="15"/>
      <c r="N1326" s="15"/>
      <c r="T1326" s="15"/>
      <c r="U1326" s="15"/>
    </row>
    <row r="1327" spans="12:21">
      <c r="L1327" s="15"/>
      <c r="M1327" s="15"/>
      <c r="N1327" s="15"/>
      <c r="T1327" s="15"/>
      <c r="U1327" s="15"/>
    </row>
    <row r="1328" spans="12:21">
      <c r="L1328" s="15"/>
      <c r="M1328" s="15"/>
      <c r="N1328" s="15"/>
      <c r="T1328" s="15"/>
      <c r="U1328" s="15"/>
    </row>
    <row r="1329" spans="12:21">
      <c r="L1329" s="15"/>
      <c r="M1329" s="15"/>
      <c r="N1329" s="15"/>
      <c r="T1329" s="15"/>
      <c r="U1329" s="15"/>
    </row>
    <row r="1330" spans="12:21">
      <c r="L1330" s="15"/>
      <c r="M1330" s="15"/>
      <c r="N1330" s="15"/>
      <c r="T1330" s="15"/>
      <c r="U1330" s="15"/>
    </row>
    <row r="1331" spans="12:21">
      <c r="L1331" s="15"/>
      <c r="M1331" s="15"/>
      <c r="N1331" s="15"/>
      <c r="T1331" s="15"/>
      <c r="U1331" s="15"/>
    </row>
    <row r="1332" spans="12:21">
      <c r="L1332" s="15"/>
      <c r="M1332" s="15"/>
      <c r="N1332" s="15"/>
      <c r="T1332" s="15"/>
      <c r="U1332" s="15"/>
    </row>
    <row r="1333" spans="12:21">
      <c r="L1333" s="15"/>
      <c r="M1333" s="15"/>
      <c r="N1333" s="15"/>
      <c r="T1333" s="15"/>
      <c r="U1333" s="15"/>
    </row>
    <row r="1334" spans="12:21">
      <c r="L1334" s="15"/>
      <c r="M1334" s="15"/>
      <c r="N1334" s="15"/>
      <c r="T1334" s="15"/>
      <c r="U1334" s="15"/>
    </row>
    <row r="1335" spans="12:21">
      <c r="L1335" s="15"/>
      <c r="M1335" s="15"/>
      <c r="N1335" s="15"/>
      <c r="T1335" s="15"/>
      <c r="U1335" s="15"/>
    </row>
    <row r="1336" spans="12:21">
      <c r="L1336" s="15"/>
      <c r="M1336" s="15"/>
      <c r="N1336" s="15"/>
      <c r="T1336" s="15"/>
      <c r="U1336" s="15"/>
    </row>
    <row r="1337" spans="12:21">
      <c r="L1337" s="15"/>
      <c r="M1337" s="15"/>
      <c r="N1337" s="15"/>
      <c r="T1337" s="15"/>
      <c r="U1337" s="15"/>
    </row>
    <row r="1338" spans="12:21">
      <c r="L1338" s="15"/>
      <c r="M1338" s="15"/>
      <c r="N1338" s="15"/>
      <c r="T1338" s="15"/>
      <c r="U1338" s="15"/>
    </row>
    <row r="1339" spans="12:21">
      <c r="L1339" s="15"/>
      <c r="M1339" s="15"/>
      <c r="N1339" s="15"/>
      <c r="T1339" s="15"/>
      <c r="U1339" s="15"/>
    </row>
    <row r="1340" spans="12:21">
      <c r="L1340" s="15"/>
      <c r="M1340" s="15"/>
      <c r="N1340" s="15"/>
      <c r="T1340" s="15"/>
      <c r="U1340" s="15"/>
    </row>
    <row r="1341" spans="12:21">
      <c r="L1341" s="15"/>
      <c r="M1341" s="15"/>
      <c r="N1341" s="15"/>
      <c r="T1341" s="15"/>
      <c r="U1341" s="15"/>
    </row>
    <row r="1342" spans="12:21">
      <c r="L1342" s="15"/>
      <c r="M1342" s="15"/>
      <c r="N1342" s="15"/>
      <c r="T1342" s="15"/>
      <c r="U1342" s="15"/>
    </row>
    <row r="1343" spans="12:21">
      <c r="L1343" s="15"/>
      <c r="M1343" s="15"/>
      <c r="N1343" s="15"/>
      <c r="T1343" s="15"/>
      <c r="U1343" s="15"/>
    </row>
    <row r="1344" spans="12:21">
      <c r="L1344" s="15"/>
      <c r="M1344" s="15"/>
      <c r="N1344" s="15"/>
      <c r="T1344" s="15"/>
      <c r="U1344" s="15"/>
    </row>
    <row r="1345" spans="12:21">
      <c r="L1345" s="15"/>
      <c r="M1345" s="15"/>
      <c r="N1345" s="15"/>
      <c r="T1345" s="15"/>
      <c r="U1345" s="15"/>
    </row>
    <row r="1346" spans="12:21">
      <c r="L1346" s="15"/>
      <c r="M1346" s="15"/>
      <c r="N1346" s="15"/>
      <c r="T1346" s="15"/>
      <c r="U1346" s="15"/>
    </row>
    <row r="1347" spans="12:21">
      <c r="L1347" s="15"/>
      <c r="M1347" s="15"/>
      <c r="N1347" s="15"/>
      <c r="T1347" s="15"/>
      <c r="U1347" s="15"/>
    </row>
    <row r="1348" spans="12:21">
      <c r="L1348" s="15"/>
      <c r="M1348" s="15"/>
      <c r="N1348" s="15"/>
      <c r="T1348" s="15"/>
      <c r="U1348" s="15"/>
    </row>
    <row r="1349" spans="12:21">
      <c r="L1349" s="15"/>
      <c r="M1349" s="15"/>
      <c r="N1349" s="15"/>
      <c r="T1349" s="15"/>
      <c r="U1349" s="15"/>
    </row>
    <row r="1350" spans="12:21">
      <c r="L1350" s="15"/>
      <c r="M1350" s="15"/>
      <c r="N1350" s="15"/>
      <c r="T1350" s="15"/>
      <c r="U1350" s="15"/>
    </row>
    <row r="1351" spans="12:21">
      <c r="L1351" s="15"/>
      <c r="M1351" s="15"/>
      <c r="N1351" s="15"/>
      <c r="T1351" s="15"/>
      <c r="U1351" s="15"/>
    </row>
    <row r="1352" spans="12:21">
      <c r="L1352" s="15"/>
      <c r="M1352" s="15"/>
      <c r="N1352" s="15"/>
      <c r="T1352" s="15"/>
      <c r="U1352" s="15"/>
    </row>
    <row r="1353" spans="12:21">
      <c r="L1353" s="15"/>
      <c r="M1353" s="15"/>
      <c r="N1353" s="15"/>
      <c r="T1353" s="15"/>
      <c r="U1353" s="15"/>
    </row>
    <row r="1354" spans="12:21">
      <c r="L1354" s="15"/>
      <c r="M1354" s="15"/>
      <c r="N1354" s="15"/>
      <c r="T1354" s="15"/>
      <c r="U1354" s="15"/>
    </row>
    <row r="1355" spans="12:21">
      <c r="L1355" s="15"/>
      <c r="M1355" s="15"/>
      <c r="N1355" s="15"/>
      <c r="T1355" s="15"/>
      <c r="U1355" s="15"/>
    </row>
    <row r="1356" spans="12:21">
      <c r="L1356" s="15"/>
      <c r="M1356" s="15"/>
      <c r="N1356" s="15"/>
      <c r="T1356" s="15"/>
      <c r="U1356" s="15"/>
    </row>
    <row r="1357" spans="12:21">
      <c r="L1357" s="15"/>
      <c r="M1357" s="15"/>
      <c r="N1357" s="15"/>
      <c r="T1357" s="15"/>
      <c r="U1357" s="15"/>
    </row>
    <row r="1358" spans="12:21">
      <c r="L1358" s="15"/>
      <c r="M1358" s="15"/>
      <c r="N1358" s="15"/>
      <c r="T1358" s="15"/>
      <c r="U1358" s="15"/>
    </row>
    <row r="1359" spans="12:21">
      <c r="L1359" s="15"/>
      <c r="M1359" s="15"/>
      <c r="N1359" s="15"/>
      <c r="T1359" s="15"/>
      <c r="U1359" s="15"/>
    </row>
    <row r="1360" spans="12:21">
      <c r="L1360" s="15"/>
      <c r="M1360" s="15"/>
      <c r="N1360" s="15"/>
      <c r="T1360" s="15"/>
      <c r="U1360" s="15"/>
    </row>
    <row r="1361" spans="12:21">
      <c r="L1361" s="15"/>
      <c r="M1361" s="15"/>
      <c r="N1361" s="15"/>
      <c r="T1361" s="15"/>
      <c r="U1361" s="15"/>
    </row>
    <row r="1362" spans="12:21">
      <c r="L1362" s="15"/>
      <c r="M1362" s="15"/>
      <c r="N1362" s="15"/>
      <c r="T1362" s="15"/>
      <c r="U1362" s="15"/>
    </row>
    <row r="1363" spans="12:21">
      <c r="L1363" s="15"/>
      <c r="M1363" s="15"/>
      <c r="N1363" s="15"/>
      <c r="T1363" s="15"/>
      <c r="U1363" s="15"/>
    </row>
    <row r="1364" spans="12:21">
      <c r="L1364" s="15"/>
      <c r="M1364" s="15"/>
      <c r="N1364" s="15"/>
      <c r="T1364" s="15"/>
      <c r="U1364" s="15"/>
    </row>
    <row r="1365" spans="12:21">
      <c r="L1365" s="15"/>
      <c r="M1365" s="15"/>
      <c r="N1365" s="15"/>
      <c r="T1365" s="15"/>
      <c r="U1365" s="15"/>
    </row>
    <row r="1366" spans="12:21">
      <c r="L1366" s="15"/>
      <c r="M1366" s="15"/>
      <c r="N1366" s="15"/>
      <c r="T1366" s="15"/>
      <c r="U1366" s="15"/>
    </row>
    <row r="1367" spans="12:21">
      <c r="L1367" s="15"/>
      <c r="M1367" s="15"/>
      <c r="N1367" s="15"/>
      <c r="T1367" s="15"/>
      <c r="U1367" s="15"/>
    </row>
    <row r="1368" spans="12:21">
      <c r="L1368" s="15"/>
      <c r="M1368" s="15"/>
      <c r="N1368" s="15"/>
      <c r="T1368" s="15"/>
      <c r="U1368" s="15"/>
    </row>
    <row r="1369" spans="12:21">
      <c r="L1369" s="15"/>
      <c r="M1369" s="15"/>
      <c r="N1369" s="15"/>
      <c r="T1369" s="15"/>
      <c r="U1369" s="15"/>
    </row>
    <row r="1370" spans="12:21">
      <c r="L1370" s="15"/>
      <c r="M1370" s="15"/>
      <c r="N1370" s="15"/>
      <c r="T1370" s="15"/>
      <c r="U1370" s="15"/>
    </row>
    <row r="1371" spans="12:21">
      <c r="L1371" s="15"/>
      <c r="M1371" s="15"/>
      <c r="N1371" s="15"/>
      <c r="T1371" s="15"/>
      <c r="U1371" s="15"/>
    </row>
    <row r="1372" spans="12:21">
      <c r="L1372" s="15"/>
      <c r="M1372" s="15"/>
      <c r="N1372" s="15"/>
      <c r="T1372" s="15"/>
      <c r="U1372" s="15"/>
    </row>
    <row r="1373" spans="12:21">
      <c r="L1373" s="15"/>
      <c r="M1373" s="15"/>
      <c r="N1373" s="15"/>
      <c r="T1373" s="15"/>
      <c r="U1373" s="15"/>
    </row>
    <row r="1374" spans="12:21">
      <c r="L1374" s="15"/>
      <c r="M1374" s="15"/>
      <c r="N1374" s="15"/>
      <c r="T1374" s="15"/>
      <c r="U1374" s="15"/>
    </row>
    <row r="1375" spans="12:21">
      <c r="L1375" s="15"/>
      <c r="M1375" s="15"/>
      <c r="N1375" s="15"/>
      <c r="T1375" s="15"/>
      <c r="U1375" s="15"/>
    </row>
    <row r="1376" spans="12:21">
      <c r="L1376" s="15"/>
      <c r="M1376" s="15"/>
      <c r="N1376" s="15"/>
      <c r="T1376" s="15"/>
      <c r="U1376" s="15"/>
    </row>
    <row r="1377" spans="12:21">
      <c r="L1377" s="15"/>
      <c r="M1377" s="15"/>
      <c r="N1377" s="15"/>
      <c r="T1377" s="15"/>
      <c r="U1377" s="15"/>
    </row>
    <row r="1378" spans="12:21">
      <c r="L1378" s="15"/>
      <c r="M1378" s="15"/>
      <c r="N1378" s="15"/>
      <c r="T1378" s="15"/>
      <c r="U1378" s="15"/>
    </row>
    <row r="1379" spans="12:21">
      <c r="L1379" s="15"/>
      <c r="M1379" s="15"/>
      <c r="N1379" s="15"/>
      <c r="T1379" s="15"/>
      <c r="U1379" s="15"/>
    </row>
    <row r="1380" spans="12:21">
      <c r="L1380" s="15"/>
      <c r="M1380" s="15"/>
      <c r="N1380" s="15"/>
      <c r="T1380" s="15"/>
      <c r="U1380" s="15"/>
    </row>
    <row r="1381" spans="12:21">
      <c r="L1381" s="15"/>
      <c r="M1381" s="15"/>
      <c r="N1381" s="15"/>
      <c r="T1381" s="15"/>
      <c r="U1381" s="15"/>
    </row>
    <row r="1382" spans="12:21">
      <c r="L1382" s="15"/>
      <c r="M1382" s="15"/>
      <c r="N1382" s="15"/>
      <c r="T1382" s="15"/>
      <c r="U1382" s="15"/>
    </row>
    <row r="1383" spans="12:21">
      <c r="L1383" s="15"/>
      <c r="M1383" s="15"/>
      <c r="N1383" s="15"/>
      <c r="T1383" s="15"/>
      <c r="U1383" s="15"/>
    </row>
    <row r="1384" spans="12:21">
      <c r="L1384" s="15"/>
      <c r="M1384" s="15"/>
      <c r="N1384" s="15"/>
      <c r="T1384" s="15"/>
      <c r="U1384" s="15"/>
    </row>
    <row r="1385" spans="12:21">
      <c r="L1385" s="15"/>
      <c r="M1385" s="15"/>
      <c r="N1385" s="15"/>
      <c r="T1385" s="15"/>
      <c r="U1385" s="15"/>
    </row>
    <row r="1386" spans="12:21">
      <c r="L1386" s="15"/>
      <c r="M1386" s="15"/>
      <c r="N1386" s="15"/>
      <c r="T1386" s="15"/>
      <c r="U1386" s="15"/>
    </row>
    <row r="1387" spans="12:21">
      <c r="L1387" s="15"/>
      <c r="M1387" s="15"/>
      <c r="N1387" s="15"/>
      <c r="T1387" s="15"/>
      <c r="U1387" s="15"/>
    </row>
    <row r="1388" spans="12:21">
      <c r="L1388" s="15"/>
      <c r="M1388" s="15"/>
      <c r="N1388" s="15"/>
      <c r="T1388" s="15"/>
      <c r="U1388" s="15"/>
    </row>
    <row r="1389" spans="12:21">
      <c r="L1389" s="15"/>
      <c r="M1389" s="15"/>
      <c r="N1389" s="15"/>
      <c r="T1389" s="15"/>
      <c r="U1389" s="15"/>
    </row>
    <row r="1390" spans="12:21">
      <c r="L1390" s="15"/>
      <c r="M1390" s="15"/>
      <c r="N1390" s="15"/>
      <c r="T1390" s="15"/>
      <c r="U1390" s="15"/>
    </row>
    <row r="1391" spans="12:21">
      <c r="L1391" s="15"/>
      <c r="M1391" s="15"/>
      <c r="N1391" s="15"/>
      <c r="T1391" s="15"/>
      <c r="U1391" s="15"/>
    </row>
    <row r="1392" spans="12:21">
      <c r="L1392" s="15"/>
      <c r="M1392" s="15"/>
      <c r="N1392" s="15"/>
      <c r="T1392" s="15"/>
      <c r="U1392" s="15"/>
    </row>
    <row r="1393" spans="12:21">
      <c r="L1393" s="15"/>
      <c r="M1393" s="15"/>
      <c r="N1393" s="15"/>
      <c r="T1393" s="15"/>
      <c r="U1393" s="15"/>
    </row>
    <row r="1394" spans="12:21">
      <c r="L1394" s="15"/>
      <c r="M1394" s="15"/>
      <c r="N1394" s="15"/>
      <c r="T1394" s="15"/>
      <c r="U1394" s="15"/>
    </row>
    <row r="1395" spans="12:21">
      <c r="L1395" s="15"/>
      <c r="M1395" s="15"/>
      <c r="N1395" s="15"/>
      <c r="T1395" s="15"/>
      <c r="U1395" s="15"/>
    </row>
    <row r="1396" spans="12:21">
      <c r="L1396" s="15"/>
      <c r="M1396" s="15"/>
      <c r="N1396" s="15"/>
      <c r="T1396" s="15"/>
      <c r="U1396" s="15"/>
    </row>
    <row r="1397" spans="12:21">
      <c r="L1397" s="15"/>
      <c r="M1397" s="15"/>
      <c r="N1397" s="15"/>
      <c r="T1397" s="15"/>
      <c r="U1397" s="15"/>
    </row>
    <row r="1398" spans="12:21">
      <c r="L1398" s="15"/>
      <c r="M1398" s="15"/>
      <c r="N1398" s="15"/>
      <c r="T1398" s="15"/>
      <c r="U1398" s="15"/>
    </row>
    <row r="1399" spans="12:21">
      <c r="L1399" s="15"/>
      <c r="M1399" s="15"/>
      <c r="N1399" s="15"/>
      <c r="T1399" s="15"/>
      <c r="U1399" s="15"/>
    </row>
    <row r="1400" spans="12:21">
      <c r="L1400" s="15"/>
      <c r="M1400" s="15"/>
      <c r="N1400" s="15"/>
      <c r="T1400" s="15"/>
      <c r="U1400" s="15"/>
    </row>
    <row r="1401" spans="12:21">
      <c r="L1401" s="15"/>
      <c r="M1401" s="15"/>
      <c r="N1401" s="15"/>
      <c r="T1401" s="15"/>
      <c r="U1401" s="15"/>
    </row>
    <row r="1402" spans="12:21">
      <c r="L1402" s="15"/>
      <c r="M1402" s="15"/>
      <c r="N1402" s="15"/>
      <c r="T1402" s="15"/>
      <c r="U1402" s="15"/>
    </row>
    <row r="1403" spans="12:21">
      <c r="L1403" s="15"/>
      <c r="M1403" s="15"/>
      <c r="N1403" s="15"/>
      <c r="T1403" s="15"/>
      <c r="U1403" s="15"/>
    </row>
    <row r="1404" spans="12:21">
      <c r="L1404" s="15"/>
      <c r="M1404" s="15"/>
      <c r="N1404" s="15"/>
      <c r="T1404" s="15"/>
      <c r="U1404" s="15"/>
    </row>
    <row r="1405" spans="12:21">
      <c r="L1405" s="15"/>
      <c r="M1405" s="15"/>
      <c r="N1405" s="15"/>
      <c r="T1405" s="15"/>
      <c r="U1405" s="15"/>
    </row>
    <row r="1406" spans="12:21">
      <c r="L1406" s="15"/>
      <c r="M1406" s="15"/>
      <c r="N1406" s="15"/>
      <c r="T1406" s="15"/>
      <c r="U1406" s="15"/>
    </row>
    <row r="1407" spans="12:21">
      <c r="L1407" s="15"/>
      <c r="M1407" s="15"/>
      <c r="N1407" s="15"/>
      <c r="T1407" s="15"/>
      <c r="U1407" s="15"/>
    </row>
    <row r="1408" spans="12:21">
      <c r="L1408" s="15"/>
      <c r="M1408" s="15"/>
      <c r="N1408" s="15"/>
      <c r="T1408" s="15"/>
      <c r="U1408" s="15"/>
    </row>
    <row r="1409" spans="12:21">
      <c r="L1409" s="15"/>
      <c r="M1409" s="15"/>
      <c r="N1409" s="15"/>
      <c r="T1409" s="15"/>
      <c r="U1409" s="15"/>
    </row>
    <row r="1410" spans="12:21">
      <c r="L1410" s="15"/>
      <c r="M1410" s="15"/>
      <c r="N1410" s="15"/>
      <c r="T1410" s="15"/>
      <c r="U1410" s="15"/>
    </row>
    <row r="1411" spans="12:21">
      <c r="L1411" s="15"/>
      <c r="M1411" s="15"/>
      <c r="N1411" s="15"/>
      <c r="T1411" s="15"/>
      <c r="U1411" s="15"/>
    </row>
    <row r="1412" spans="12:21">
      <c r="L1412" s="15"/>
      <c r="M1412" s="15"/>
      <c r="N1412" s="15"/>
      <c r="T1412" s="15"/>
      <c r="U1412" s="15"/>
    </row>
    <row r="1413" spans="12:21">
      <c r="L1413" s="15"/>
      <c r="M1413" s="15"/>
      <c r="N1413" s="15"/>
      <c r="T1413" s="15"/>
      <c r="U1413" s="15"/>
    </row>
    <row r="1414" spans="12:21">
      <c r="L1414" s="15"/>
      <c r="M1414" s="15"/>
      <c r="N1414" s="15"/>
      <c r="T1414" s="15"/>
      <c r="U1414" s="15"/>
    </row>
    <row r="1415" spans="12:21">
      <c r="L1415" s="15"/>
      <c r="M1415" s="15"/>
      <c r="N1415" s="15"/>
      <c r="T1415" s="15"/>
      <c r="U1415" s="15"/>
    </row>
    <row r="1416" spans="12:21">
      <c r="L1416" s="15"/>
      <c r="M1416" s="15"/>
      <c r="N1416" s="15"/>
      <c r="T1416" s="15"/>
      <c r="U1416" s="15"/>
    </row>
    <row r="1417" spans="12:21">
      <c r="L1417" s="15"/>
      <c r="M1417" s="15"/>
      <c r="N1417" s="15"/>
      <c r="T1417" s="15"/>
      <c r="U1417" s="15"/>
    </row>
    <row r="1418" spans="12:21">
      <c r="L1418" s="15"/>
      <c r="M1418" s="15"/>
      <c r="N1418" s="15"/>
      <c r="T1418" s="15"/>
      <c r="U1418" s="15"/>
    </row>
    <row r="1419" spans="12:21">
      <c r="L1419" s="15"/>
      <c r="M1419" s="15"/>
      <c r="N1419" s="15"/>
      <c r="T1419" s="15"/>
      <c r="U1419" s="15"/>
    </row>
    <row r="1420" spans="12:21">
      <c r="L1420" s="15"/>
      <c r="M1420" s="15"/>
      <c r="N1420" s="15"/>
      <c r="T1420" s="15"/>
      <c r="U1420" s="15"/>
    </row>
    <row r="1421" spans="12:21">
      <c r="L1421" s="15"/>
      <c r="M1421" s="15"/>
      <c r="N1421" s="15"/>
      <c r="T1421" s="15"/>
      <c r="U1421" s="15"/>
    </row>
    <row r="1422" spans="12:21">
      <c r="L1422" s="15"/>
      <c r="M1422" s="15"/>
      <c r="N1422" s="15"/>
      <c r="T1422" s="15"/>
      <c r="U1422" s="15"/>
    </row>
    <row r="1423" spans="12:21">
      <c r="L1423" s="15"/>
      <c r="M1423" s="15"/>
      <c r="N1423" s="15"/>
      <c r="T1423" s="15"/>
      <c r="U1423" s="15"/>
    </row>
    <row r="1424" spans="12:21">
      <c r="L1424" s="15"/>
      <c r="M1424" s="15"/>
      <c r="N1424" s="15"/>
      <c r="T1424" s="15"/>
      <c r="U1424" s="15"/>
    </row>
    <row r="1425" spans="12:21">
      <c r="L1425" s="15"/>
      <c r="M1425" s="15"/>
      <c r="N1425" s="15"/>
      <c r="T1425" s="15"/>
      <c r="U1425" s="15"/>
    </row>
    <row r="1426" spans="12:21">
      <c r="L1426" s="15"/>
      <c r="M1426" s="15"/>
      <c r="N1426" s="15"/>
      <c r="T1426" s="15"/>
      <c r="U1426" s="15"/>
    </row>
    <row r="1427" spans="12:21">
      <c r="L1427" s="15"/>
      <c r="M1427" s="15"/>
      <c r="N1427" s="15"/>
      <c r="T1427" s="15"/>
      <c r="U1427" s="15"/>
    </row>
    <row r="1428" spans="12:21">
      <c r="L1428" s="15"/>
      <c r="M1428" s="15"/>
      <c r="N1428" s="15"/>
      <c r="T1428" s="15"/>
      <c r="U1428" s="15"/>
    </row>
    <row r="1429" spans="12:21">
      <c r="L1429" s="15"/>
      <c r="M1429" s="15"/>
      <c r="N1429" s="15"/>
      <c r="T1429" s="15"/>
      <c r="U1429" s="15"/>
    </row>
    <row r="1430" spans="12:21">
      <c r="L1430" s="15"/>
      <c r="M1430" s="15"/>
      <c r="N1430" s="15"/>
      <c r="T1430" s="15"/>
      <c r="U1430" s="15"/>
    </row>
    <row r="1431" spans="12:21">
      <c r="L1431" s="15"/>
      <c r="M1431" s="15"/>
      <c r="N1431" s="15"/>
      <c r="T1431" s="15"/>
      <c r="U1431" s="15"/>
    </row>
    <row r="1432" spans="12:21">
      <c r="L1432" s="15"/>
      <c r="M1432" s="15"/>
      <c r="N1432" s="15"/>
      <c r="T1432" s="15"/>
      <c r="U1432" s="15"/>
    </row>
    <row r="1433" spans="12:21">
      <c r="L1433" s="15"/>
      <c r="M1433" s="15"/>
      <c r="N1433" s="15"/>
      <c r="T1433" s="15"/>
      <c r="U1433" s="15"/>
    </row>
    <row r="1434" spans="12:21">
      <c r="L1434" s="15"/>
      <c r="M1434" s="15"/>
      <c r="N1434" s="15"/>
      <c r="T1434" s="15"/>
      <c r="U1434" s="15"/>
    </row>
    <row r="1435" spans="12:21">
      <c r="L1435" s="15"/>
      <c r="M1435" s="15"/>
      <c r="N1435" s="15"/>
      <c r="T1435" s="15"/>
      <c r="U1435" s="15"/>
    </row>
    <row r="1436" spans="12:21">
      <c r="L1436" s="15"/>
      <c r="M1436" s="15"/>
      <c r="N1436" s="15"/>
      <c r="T1436" s="15"/>
      <c r="U1436" s="15"/>
    </row>
    <row r="1437" spans="12:21">
      <c r="L1437" s="15"/>
      <c r="M1437" s="15"/>
      <c r="N1437" s="15"/>
      <c r="T1437" s="15"/>
      <c r="U1437" s="15"/>
    </row>
    <row r="1438" spans="12:21">
      <c r="L1438" s="15"/>
      <c r="M1438" s="15"/>
      <c r="N1438" s="15"/>
      <c r="T1438" s="15"/>
      <c r="U1438" s="15"/>
    </row>
    <row r="1439" spans="12:21">
      <c r="L1439" s="15"/>
      <c r="M1439" s="15"/>
      <c r="N1439" s="15"/>
      <c r="T1439" s="15"/>
      <c r="U1439" s="15"/>
    </row>
    <row r="1440" spans="12:21">
      <c r="L1440" s="15"/>
      <c r="M1440" s="15"/>
      <c r="N1440" s="15"/>
      <c r="T1440" s="15"/>
      <c r="U1440" s="15"/>
    </row>
    <row r="1441" spans="12:21">
      <c r="L1441" s="15"/>
      <c r="M1441" s="15"/>
      <c r="N1441" s="15"/>
      <c r="T1441" s="15"/>
      <c r="U1441" s="15"/>
    </row>
    <row r="1442" spans="12:21">
      <c r="L1442" s="15"/>
      <c r="M1442" s="15"/>
      <c r="N1442" s="15"/>
      <c r="T1442" s="15"/>
      <c r="U1442" s="15"/>
    </row>
    <row r="1443" spans="12:21">
      <c r="L1443" s="15"/>
      <c r="M1443" s="15"/>
      <c r="N1443" s="15"/>
      <c r="T1443" s="15"/>
      <c r="U1443" s="15"/>
    </row>
    <row r="1444" spans="12:21">
      <c r="L1444" s="15"/>
      <c r="M1444" s="15"/>
      <c r="N1444" s="15"/>
      <c r="T1444" s="15"/>
      <c r="U1444" s="15"/>
    </row>
    <row r="1445" spans="12:21">
      <c r="L1445" s="15"/>
      <c r="M1445" s="15"/>
      <c r="N1445" s="15"/>
      <c r="T1445" s="15"/>
      <c r="U1445" s="15"/>
    </row>
    <row r="1446" spans="12:21">
      <c r="L1446" s="15"/>
      <c r="M1446" s="15"/>
      <c r="N1446" s="15"/>
      <c r="T1446" s="15"/>
      <c r="U1446" s="15"/>
    </row>
    <row r="1447" spans="12:21">
      <c r="L1447" s="15"/>
      <c r="M1447" s="15"/>
      <c r="N1447" s="15"/>
      <c r="T1447" s="15"/>
      <c r="U1447" s="15"/>
    </row>
    <row r="1448" spans="12:21">
      <c r="L1448" s="15"/>
      <c r="M1448" s="15"/>
      <c r="N1448" s="15"/>
      <c r="T1448" s="15"/>
      <c r="U1448" s="15"/>
    </row>
    <row r="1449" spans="12:21">
      <c r="L1449" s="15"/>
      <c r="M1449" s="15"/>
      <c r="N1449" s="15"/>
      <c r="T1449" s="15"/>
      <c r="U1449" s="15"/>
    </row>
    <row r="1450" spans="12:21">
      <c r="L1450" s="15"/>
      <c r="M1450" s="15"/>
      <c r="N1450" s="15"/>
      <c r="T1450" s="15"/>
      <c r="U1450" s="15"/>
    </row>
    <row r="1451" spans="12:21">
      <c r="L1451" s="15"/>
      <c r="M1451" s="15"/>
      <c r="N1451" s="15"/>
      <c r="T1451" s="15"/>
      <c r="U1451" s="15"/>
    </row>
    <row r="1452" spans="12:21">
      <c r="L1452" s="15"/>
      <c r="M1452" s="15"/>
      <c r="N1452" s="15"/>
      <c r="T1452" s="15"/>
      <c r="U1452" s="15"/>
    </row>
    <row r="1453" spans="12:21">
      <c r="L1453" s="15"/>
      <c r="M1453" s="15"/>
      <c r="N1453" s="15"/>
      <c r="T1453" s="15"/>
      <c r="U1453" s="15"/>
    </row>
    <row r="1454" spans="12:21">
      <c r="L1454" s="15"/>
      <c r="M1454" s="15"/>
      <c r="N1454" s="15"/>
      <c r="T1454" s="15"/>
      <c r="U1454" s="15"/>
    </row>
    <row r="1455" spans="12:21">
      <c r="L1455" s="15"/>
      <c r="M1455" s="15"/>
      <c r="N1455" s="15"/>
      <c r="T1455" s="15"/>
      <c r="U1455" s="15"/>
    </row>
    <row r="1456" spans="12:21">
      <c r="L1456" s="15"/>
      <c r="M1456" s="15"/>
      <c r="N1456" s="15"/>
      <c r="T1456" s="15"/>
      <c r="U1456" s="15"/>
    </row>
    <row r="1457" spans="12:21">
      <c r="L1457" s="15"/>
      <c r="M1457" s="15"/>
      <c r="N1457" s="15"/>
      <c r="T1457" s="15"/>
      <c r="U1457" s="15"/>
    </row>
    <row r="1458" spans="12:21">
      <c r="L1458" s="15"/>
      <c r="M1458" s="15"/>
      <c r="N1458" s="15"/>
      <c r="T1458" s="15"/>
      <c r="U1458" s="15"/>
    </row>
    <row r="1459" spans="12:21">
      <c r="L1459" s="15"/>
      <c r="M1459" s="15"/>
      <c r="N1459" s="15"/>
      <c r="T1459" s="15"/>
      <c r="U1459" s="15"/>
    </row>
    <row r="1460" spans="12:21">
      <c r="L1460" s="15"/>
      <c r="M1460" s="15"/>
      <c r="N1460" s="15"/>
      <c r="T1460" s="15"/>
      <c r="U1460" s="15"/>
    </row>
    <row r="1461" spans="12:21">
      <c r="L1461" s="15"/>
      <c r="M1461" s="15"/>
      <c r="N1461" s="15"/>
      <c r="T1461" s="15"/>
      <c r="U1461" s="15"/>
    </row>
    <row r="1462" spans="12:21">
      <c r="L1462" s="15"/>
      <c r="M1462" s="15"/>
      <c r="N1462" s="15"/>
      <c r="T1462" s="15"/>
      <c r="U1462" s="15"/>
    </row>
    <row r="1463" spans="12:21">
      <c r="L1463" s="15"/>
      <c r="M1463" s="15"/>
      <c r="N1463" s="15"/>
      <c r="T1463" s="15"/>
      <c r="U1463" s="15"/>
    </row>
    <row r="1464" spans="12:21">
      <c r="L1464" s="15"/>
      <c r="M1464" s="15"/>
      <c r="N1464" s="15"/>
      <c r="T1464" s="15"/>
      <c r="U1464" s="15"/>
    </row>
    <row r="1465" spans="12:21">
      <c r="L1465" s="15"/>
      <c r="M1465" s="15"/>
      <c r="N1465" s="15"/>
      <c r="T1465" s="15"/>
      <c r="U1465" s="15"/>
    </row>
    <row r="1466" spans="12:21">
      <c r="L1466" s="15"/>
      <c r="M1466" s="15"/>
      <c r="N1466" s="15"/>
      <c r="T1466" s="15"/>
      <c r="U1466" s="15"/>
    </row>
    <row r="1467" spans="12:21">
      <c r="L1467" s="15"/>
      <c r="M1467" s="15"/>
      <c r="N1467" s="15"/>
      <c r="T1467" s="15"/>
      <c r="U1467" s="15"/>
    </row>
    <row r="1468" spans="12:21">
      <c r="L1468" s="15"/>
      <c r="M1468" s="15"/>
      <c r="N1468" s="15"/>
      <c r="T1468" s="15"/>
      <c r="U1468" s="15"/>
    </row>
    <row r="1469" spans="12:21">
      <c r="L1469" s="15"/>
      <c r="M1469" s="15"/>
      <c r="N1469" s="15"/>
      <c r="T1469" s="15"/>
      <c r="U1469" s="15"/>
    </row>
    <row r="1470" spans="12:21">
      <c r="L1470" s="15"/>
      <c r="M1470" s="15"/>
      <c r="N1470" s="15"/>
      <c r="T1470" s="15"/>
      <c r="U1470" s="15"/>
    </row>
    <row r="1471" spans="12:21">
      <c r="L1471" s="15"/>
      <c r="M1471" s="15"/>
      <c r="N1471" s="15"/>
      <c r="T1471" s="15"/>
      <c r="U1471" s="15"/>
    </row>
    <row r="1472" spans="12:21">
      <c r="L1472" s="15"/>
      <c r="M1472" s="15"/>
      <c r="N1472" s="15"/>
      <c r="T1472" s="15"/>
      <c r="U1472" s="15"/>
    </row>
    <row r="1473" spans="12:21">
      <c r="L1473" s="15"/>
      <c r="M1473" s="15"/>
      <c r="N1473" s="15"/>
      <c r="T1473" s="15"/>
      <c r="U1473" s="15"/>
    </row>
    <row r="1474" spans="12:21">
      <c r="L1474" s="15"/>
      <c r="M1474" s="15"/>
      <c r="N1474" s="15"/>
      <c r="T1474" s="15"/>
      <c r="U1474" s="15"/>
    </row>
    <row r="1475" spans="12:21">
      <c r="L1475" s="15"/>
      <c r="M1475" s="15"/>
      <c r="N1475" s="15"/>
      <c r="T1475" s="15"/>
      <c r="U1475" s="15"/>
    </row>
    <row r="1476" spans="12:21">
      <c r="L1476" s="15"/>
      <c r="M1476" s="15"/>
      <c r="N1476" s="15"/>
      <c r="T1476" s="15"/>
      <c r="U1476" s="15"/>
    </row>
    <row r="1477" spans="12:21">
      <c r="L1477" s="15"/>
      <c r="M1477" s="15"/>
      <c r="N1477" s="15"/>
      <c r="T1477" s="15"/>
      <c r="U1477" s="15"/>
    </row>
    <row r="1478" spans="12:21">
      <c r="L1478" s="15"/>
      <c r="M1478" s="15"/>
      <c r="N1478" s="15"/>
      <c r="T1478" s="15"/>
      <c r="U1478" s="15"/>
    </row>
    <row r="1479" spans="12:21">
      <c r="L1479" s="15"/>
      <c r="M1479" s="15"/>
      <c r="N1479" s="15"/>
      <c r="T1479" s="15"/>
      <c r="U1479" s="15"/>
    </row>
    <row r="1480" spans="12:21">
      <c r="L1480" s="15"/>
      <c r="M1480" s="15"/>
      <c r="N1480" s="15"/>
      <c r="T1480" s="15"/>
      <c r="U1480" s="15"/>
    </row>
    <row r="1481" spans="12:21">
      <c r="L1481" s="15"/>
      <c r="M1481" s="15"/>
      <c r="N1481" s="15"/>
      <c r="T1481" s="15"/>
      <c r="U1481" s="15"/>
    </row>
    <row r="1482" spans="12:21">
      <c r="L1482" s="15"/>
      <c r="M1482" s="15"/>
      <c r="N1482" s="15"/>
      <c r="T1482" s="15"/>
      <c r="U1482" s="15"/>
    </row>
    <row r="1483" spans="12:21">
      <c r="L1483" s="15"/>
      <c r="M1483" s="15"/>
      <c r="N1483" s="15"/>
      <c r="T1483" s="15"/>
      <c r="U1483" s="15"/>
    </row>
    <row r="1484" spans="12:21">
      <c r="L1484" s="15"/>
      <c r="M1484" s="15"/>
      <c r="N1484" s="15"/>
      <c r="T1484" s="15"/>
      <c r="U1484" s="15"/>
    </row>
    <row r="1485" spans="12:21">
      <c r="L1485" s="15"/>
      <c r="M1485" s="15"/>
      <c r="N1485" s="15"/>
      <c r="T1485" s="15"/>
      <c r="U1485" s="15"/>
    </row>
    <row r="1486" spans="12:21">
      <c r="L1486" s="15"/>
      <c r="M1486" s="15"/>
      <c r="N1486" s="15"/>
      <c r="T1486" s="15"/>
      <c r="U1486" s="15"/>
    </row>
    <row r="1487" spans="12:21">
      <c r="L1487" s="15"/>
      <c r="M1487" s="15"/>
      <c r="N1487" s="15"/>
      <c r="T1487" s="15"/>
      <c r="U1487" s="15"/>
    </row>
    <row r="1488" spans="12:21">
      <c r="L1488" s="15"/>
      <c r="M1488" s="15"/>
      <c r="N1488" s="15"/>
      <c r="T1488" s="15"/>
      <c r="U1488" s="15"/>
    </row>
    <row r="1489" spans="12:21">
      <c r="L1489" s="15"/>
      <c r="M1489" s="15"/>
      <c r="N1489" s="15"/>
      <c r="T1489" s="15"/>
      <c r="U1489" s="15"/>
    </row>
    <row r="1490" spans="12:21">
      <c r="L1490" s="15"/>
      <c r="M1490" s="15"/>
      <c r="N1490" s="15"/>
      <c r="T1490" s="15"/>
      <c r="U1490" s="15"/>
    </row>
    <row r="1491" spans="12:21">
      <c r="L1491" s="15"/>
      <c r="M1491" s="15"/>
      <c r="N1491" s="15"/>
      <c r="T1491" s="15"/>
      <c r="U1491" s="15"/>
    </row>
    <row r="1492" spans="12:21">
      <c r="L1492" s="15"/>
      <c r="M1492" s="15"/>
      <c r="N1492" s="15"/>
      <c r="T1492" s="15"/>
      <c r="U1492" s="15"/>
    </row>
    <row r="1493" spans="12:21">
      <c r="L1493" s="15"/>
      <c r="M1493" s="15"/>
      <c r="N1493" s="15"/>
      <c r="T1493" s="15"/>
      <c r="U1493" s="15"/>
    </row>
    <row r="1494" spans="12:21">
      <c r="L1494" s="15"/>
      <c r="M1494" s="15"/>
      <c r="N1494" s="15"/>
      <c r="T1494" s="15"/>
      <c r="U1494" s="15"/>
    </row>
    <row r="1495" spans="12:21">
      <c r="L1495" s="15"/>
      <c r="M1495" s="15"/>
      <c r="N1495" s="15"/>
      <c r="T1495" s="15"/>
      <c r="U1495" s="15"/>
    </row>
    <row r="1496" spans="12:21">
      <c r="L1496" s="15"/>
      <c r="M1496" s="15"/>
      <c r="N1496" s="15"/>
      <c r="T1496" s="15"/>
      <c r="U1496" s="15"/>
    </row>
    <row r="1497" spans="12:21">
      <c r="L1497" s="15"/>
      <c r="M1497" s="15"/>
      <c r="N1497" s="15"/>
      <c r="T1497" s="15"/>
      <c r="U1497" s="15"/>
    </row>
    <row r="1498" spans="12:21">
      <c r="L1498" s="15"/>
      <c r="M1498" s="15"/>
      <c r="N1498" s="15"/>
      <c r="T1498" s="15"/>
      <c r="U1498" s="15"/>
    </row>
    <row r="1499" spans="12:21">
      <c r="L1499" s="15"/>
      <c r="M1499" s="15"/>
      <c r="N1499" s="15"/>
      <c r="T1499" s="15"/>
      <c r="U1499" s="15"/>
    </row>
    <row r="1500" spans="12:21">
      <c r="L1500" s="15"/>
      <c r="M1500" s="15"/>
      <c r="N1500" s="15"/>
      <c r="T1500" s="15"/>
      <c r="U1500" s="15"/>
    </row>
    <row r="1501" spans="12:21">
      <c r="L1501" s="15"/>
      <c r="M1501" s="15"/>
      <c r="N1501" s="15"/>
      <c r="T1501" s="15"/>
      <c r="U1501" s="15"/>
    </row>
    <row r="1502" spans="12:21">
      <c r="L1502" s="15"/>
      <c r="M1502" s="15"/>
      <c r="N1502" s="15"/>
      <c r="T1502" s="15"/>
      <c r="U1502" s="15"/>
    </row>
    <row r="1503" spans="12:21">
      <c r="L1503" s="15"/>
      <c r="M1503" s="15"/>
      <c r="N1503" s="15"/>
      <c r="T1503" s="15"/>
      <c r="U1503" s="15"/>
    </row>
    <row r="1504" spans="12:21">
      <c r="L1504" s="15"/>
      <c r="M1504" s="15"/>
      <c r="N1504" s="15"/>
      <c r="T1504" s="15"/>
      <c r="U1504" s="15"/>
    </row>
    <row r="1505" spans="12:21">
      <c r="L1505" s="15"/>
      <c r="M1505" s="15"/>
      <c r="N1505" s="15"/>
      <c r="T1505" s="15"/>
      <c r="U1505" s="15"/>
    </row>
    <row r="1506" spans="12:21">
      <c r="L1506" s="15"/>
      <c r="M1506" s="15"/>
      <c r="N1506" s="15"/>
      <c r="T1506" s="15"/>
      <c r="U1506" s="15"/>
    </row>
    <row r="1507" spans="12:21">
      <c r="L1507" s="15"/>
      <c r="M1507" s="15"/>
      <c r="N1507" s="15"/>
      <c r="T1507" s="15"/>
      <c r="U1507" s="15"/>
    </row>
    <row r="1508" spans="12:21">
      <c r="L1508" s="15"/>
      <c r="M1508" s="15"/>
      <c r="N1508" s="15"/>
      <c r="T1508" s="15"/>
      <c r="U1508" s="15"/>
    </row>
    <row r="1509" spans="12:21">
      <c r="L1509" s="15"/>
      <c r="M1509" s="15"/>
      <c r="N1509" s="15"/>
      <c r="T1509" s="15"/>
      <c r="U1509" s="15"/>
    </row>
    <row r="1510" spans="12:21">
      <c r="L1510" s="15"/>
      <c r="M1510" s="15"/>
      <c r="N1510" s="15"/>
      <c r="T1510" s="15"/>
      <c r="U1510" s="15"/>
    </row>
    <row r="1511" spans="12:21">
      <c r="L1511" s="15"/>
      <c r="M1511" s="15"/>
      <c r="N1511" s="15"/>
      <c r="T1511" s="15"/>
      <c r="U1511" s="15"/>
    </row>
    <row r="1512" spans="12:21">
      <c r="L1512" s="15"/>
      <c r="M1512" s="15"/>
      <c r="N1512" s="15"/>
      <c r="T1512" s="15"/>
      <c r="U1512" s="15"/>
    </row>
    <row r="1513" spans="12:21">
      <c r="L1513" s="15"/>
      <c r="M1513" s="15"/>
      <c r="N1513" s="15"/>
      <c r="T1513" s="15"/>
      <c r="U1513" s="15"/>
    </row>
    <row r="1514" spans="12:21">
      <c r="L1514" s="15"/>
      <c r="M1514" s="15"/>
      <c r="N1514" s="15"/>
      <c r="T1514" s="15"/>
      <c r="U1514" s="15"/>
    </row>
    <row r="1515" spans="12:21">
      <c r="L1515" s="15"/>
      <c r="M1515" s="15"/>
      <c r="N1515" s="15"/>
      <c r="T1515" s="15"/>
      <c r="U1515" s="15"/>
    </row>
    <row r="1516" spans="12:21">
      <c r="L1516" s="15"/>
      <c r="M1516" s="15"/>
      <c r="N1516" s="15"/>
      <c r="T1516" s="15"/>
      <c r="U1516" s="15"/>
    </row>
    <row r="1517" spans="12:21">
      <c r="L1517" s="15"/>
      <c r="M1517" s="15"/>
      <c r="N1517" s="15"/>
      <c r="T1517" s="15"/>
      <c r="U1517" s="15"/>
    </row>
    <row r="1518" spans="12:21">
      <c r="L1518" s="15"/>
      <c r="M1518" s="15"/>
      <c r="N1518" s="15"/>
      <c r="T1518" s="15"/>
      <c r="U1518" s="15"/>
    </row>
    <row r="1519" spans="12:21">
      <c r="L1519" s="15"/>
      <c r="M1519" s="15"/>
      <c r="N1519" s="15"/>
      <c r="T1519" s="15"/>
      <c r="U1519" s="15"/>
    </row>
    <row r="1520" spans="12:21">
      <c r="L1520" s="15"/>
      <c r="M1520" s="15"/>
      <c r="N1520" s="15"/>
      <c r="T1520" s="15"/>
      <c r="U1520" s="15"/>
    </row>
    <row r="1521" spans="12:21">
      <c r="L1521" s="15"/>
      <c r="M1521" s="15"/>
      <c r="N1521" s="15"/>
      <c r="T1521" s="15"/>
      <c r="U1521" s="15"/>
    </row>
    <row r="1522" spans="12:21">
      <c r="L1522" s="15"/>
      <c r="M1522" s="15"/>
      <c r="N1522" s="15"/>
      <c r="T1522" s="15"/>
      <c r="U1522" s="15"/>
    </row>
    <row r="1523" spans="12:21">
      <c r="L1523" s="15"/>
      <c r="M1523" s="15"/>
      <c r="N1523" s="15"/>
      <c r="T1523" s="15"/>
      <c r="U1523" s="15"/>
    </row>
    <row r="1524" spans="12:21">
      <c r="L1524" s="15"/>
      <c r="M1524" s="15"/>
      <c r="N1524" s="15"/>
      <c r="T1524" s="15"/>
      <c r="U1524" s="15"/>
    </row>
    <row r="1525" spans="12:21">
      <c r="L1525" s="15"/>
      <c r="M1525" s="15"/>
      <c r="N1525" s="15"/>
      <c r="T1525" s="15"/>
      <c r="U1525" s="15"/>
    </row>
    <row r="1526" spans="12:21">
      <c r="L1526" s="15"/>
      <c r="M1526" s="15"/>
      <c r="N1526" s="15"/>
      <c r="T1526" s="15"/>
      <c r="U1526" s="15"/>
    </row>
    <row r="1527" spans="12:21">
      <c r="L1527" s="15"/>
      <c r="M1527" s="15"/>
      <c r="N1527" s="15"/>
      <c r="T1527" s="15"/>
      <c r="U1527" s="15"/>
    </row>
    <row r="1528" spans="12:21">
      <c r="L1528" s="15"/>
      <c r="M1528" s="15"/>
      <c r="N1528" s="15"/>
      <c r="T1528" s="15"/>
      <c r="U1528" s="15"/>
    </row>
    <row r="1529" spans="12:21">
      <c r="L1529" s="15"/>
      <c r="M1529" s="15"/>
      <c r="N1529" s="15"/>
      <c r="T1529" s="15"/>
      <c r="U1529" s="15"/>
    </row>
    <row r="1530" spans="12:21">
      <c r="L1530" s="15"/>
      <c r="M1530" s="15"/>
      <c r="N1530" s="15"/>
      <c r="T1530" s="15"/>
      <c r="U1530" s="15"/>
    </row>
    <row r="1531" spans="12:21">
      <c r="L1531" s="15"/>
      <c r="M1531" s="15"/>
      <c r="N1531" s="15"/>
      <c r="T1531" s="15"/>
      <c r="U1531" s="15"/>
    </row>
    <row r="1532" spans="12:21">
      <c r="L1532" s="15"/>
      <c r="M1532" s="15"/>
      <c r="N1532" s="15"/>
      <c r="T1532" s="15"/>
      <c r="U1532" s="15"/>
    </row>
    <row r="1533" spans="12:21">
      <c r="L1533" s="15"/>
      <c r="M1533" s="15"/>
      <c r="N1533" s="15"/>
      <c r="T1533" s="15"/>
      <c r="U1533" s="15"/>
    </row>
    <row r="1534" spans="12:21">
      <c r="L1534" s="15"/>
      <c r="M1534" s="15"/>
      <c r="N1534" s="15"/>
      <c r="T1534" s="15"/>
      <c r="U1534" s="15"/>
    </row>
    <row r="1535" spans="12:21">
      <c r="L1535" s="15"/>
      <c r="M1535" s="15"/>
      <c r="N1535" s="15"/>
      <c r="T1535" s="15"/>
      <c r="U1535" s="15"/>
    </row>
    <row r="1536" spans="12:21">
      <c r="L1536" s="15"/>
      <c r="M1536" s="15"/>
      <c r="N1536" s="15"/>
      <c r="T1536" s="15"/>
      <c r="U1536" s="15"/>
    </row>
    <row r="1537" spans="12:21">
      <c r="L1537" s="15"/>
      <c r="M1537" s="15"/>
      <c r="N1537" s="15"/>
      <c r="T1537" s="15"/>
      <c r="U1537" s="15"/>
    </row>
    <row r="1538" spans="12:21">
      <c r="L1538" s="15"/>
      <c r="M1538" s="15"/>
      <c r="N1538" s="15"/>
      <c r="T1538" s="15"/>
      <c r="U1538" s="15"/>
    </row>
    <row r="1539" spans="12:21">
      <c r="L1539" s="15"/>
      <c r="M1539" s="15"/>
      <c r="N1539" s="15"/>
      <c r="T1539" s="15"/>
      <c r="U1539" s="15"/>
    </row>
    <row r="1540" spans="12:21">
      <c r="L1540" s="15"/>
      <c r="M1540" s="15"/>
      <c r="N1540" s="15"/>
      <c r="T1540" s="15"/>
      <c r="U1540" s="15"/>
    </row>
    <row r="1541" spans="12:21">
      <c r="L1541" s="15"/>
      <c r="M1541" s="15"/>
      <c r="N1541" s="15"/>
      <c r="T1541" s="15"/>
      <c r="U1541" s="15"/>
    </row>
    <row r="1542" spans="12:21">
      <c r="L1542" s="15"/>
      <c r="M1542" s="15"/>
      <c r="N1542" s="15"/>
      <c r="T1542" s="15"/>
      <c r="U1542" s="15"/>
    </row>
    <row r="1543" spans="12:21">
      <c r="L1543" s="15"/>
      <c r="M1543" s="15"/>
      <c r="N1543" s="15"/>
      <c r="T1543" s="15"/>
      <c r="U1543" s="15"/>
    </row>
    <row r="1544" spans="12:21">
      <c r="L1544" s="15"/>
      <c r="M1544" s="15"/>
      <c r="N1544" s="15"/>
      <c r="T1544" s="15"/>
      <c r="U1544" s="15"/>
    </row>
    <row r="1545" spans="12:21">
      <c r="L1545" s="15"/>
      <c r="M1545" s="15"/>
      <c r="N1545" s="15"/>
      <c r="T1545" s="15"/>
      <c r="U1545" s="15"/>
    </row>
    <row r="1546" spans="12:21">
      <c r="L1546" s="15"/>
      <c r="M1546" s="15"/>
      <c r="N1546" s="15"/>
      <c r="T1546" s="15"/>
      <c r="U1546" s="15"/>
    </row>
    <row r="1547" spans="12:21">
      <c r="L1547" s="15"/>
      <c r="M1547" s="15"/>
      <c r="N1547" s="15"/>
      <c r="T1547" s="15"/>
      <c r="U1547" s="15"/>
    </row>
    <row r="1548" spans="12:21">
      <c r="L1548" s="15"/>
      <c r="M1548" s="15"/>
      <c r="N1548" s="15"/>
      <c r="T1548" s="15"/>
      <c r="U1548" s="15"/>
    </row>
    <row r="1549" spans="12:21">
      <c r="L1549" s="15"/>
      <c r="M1549" s="15"/>
      <c r="N1549" s="15"/>
      <c r="T1549" s="15"/>
      <c r="U1549" s="15"/>
    </row>
    <row r="1550" spans="12:21">
      <c r="L1550" s="15"/>
      <c r="M1550" s="15"/>
      <c r="N1550" s="15"/>
      <c r="T1550" s="15"/>
      <c r="U1550" s="15"/>
    </row>
    <row r="1551" spans="12:21">
      <c r="L1551" s="15"/>
      <c r="M1551" s="15"/>
      <c r="N1551" s="15"/>
      <c r="T1551" s="15"/>
      <c r="U1551" s="15"/>
    </row>
    <row r="1552" spans="12:21">
      <c r="L1552" s="15"/>
      <c r="M1552" s="15"/>
      <c r="N1552" s="15"/>
      <c r="T1552" s="15"/>
      <c r="U1552" s="15"/>
    </row>
    <row r="1553" spans="12:21">
      <c r="L1553" s="15"/>
      <c r="M1553" s="15"/>
      <c r="N1553" s="15"/>
      <c r="T1553" s="15"/>
      <c r="U1553" s="15"/>
    </row>
    <row r="1554" spans="12:21">
      <c r="L1554" s="15"/>
      <c r="M1554" s="15"/>
      <c r="N1554" s="15"/>
      <c r="T1554" s="15"/>
      <c r="U1554" s="15"/>
    </row>
    <row r="1555" spans="12:21">
      <c r="L1555" s="15"/>
      <c r="M1555" s="15"/>
      <c r="N1555" s="15"/>
      <c r="T1555" s="15"/>
      <c r="U1555" s="15"/>
    </row>
    <row r="1556" spans="12:21">
      <c r="L1556" s="15"/>
      <c r="M1556" s="15"/>
      <c r="N1556" s="15"/>
      <c r="T1556" s="15"/>
      <c r="U1556" s="15"/>
    </row>
    <row r="1557" spans="12:21">
      <c r="L1557" s="15"/>
      <c r="M1557" s="15"/>
      <c r="N1557" s="15"/>
      <c r="T1557" s="15"/>
      <c r="U1557" s="15"/>
    </row>
    <row r="1558" spans="12:21">
      <c r="L1558" s="15"/>
      <c r="M1558" s="15"/>
      <c r="N1558" s="15"/>
      <c r="T1558" s="15"/>
      <c r="U1558" s="15"/>
    </row>
    <row r="1559" spans="12:21">
      <c r="L1559" s="15"/>
      <c r="M1559" s="15"/>
      <c r="N1559" s="15"/>
      <c r="T1559" s="15"/>
      <c r="U1559" s="15"/>
    </row>
    <row r="1560" spans="12:21">
      <c r="L1560" s="15"/>
      <c r="M1560" s="15"/>
      <c r="N1560" s="15"/>
      <c r="T1560" s="15"/>
      <c r="U1560" s="15"/>
    </row>
    <row r="1561" spans="12:21">
      <c r="L1561" s="15"/>
      <c r="M1561" s="15"/>
      <c r="N1561" s="15"/>
      <c r="T1561" s="15"/>
      <c r="U1561" s="15"/>
    </row>
    <row r="1562" spans="12:21">
      <c r="L1562" s="15"/>
      <c r="M1562" s="15"/>
      <c r="N1562" s="15"/>
      <c r="T1562" s="15"/>
      <c r="U1562" s="15"/>
    </row>
    <row r="1563" spans="12:21">
      <c r="L1563" s="15"/>
      <c r="M1563" s="15"/>
      <c r="N1563" s="15"/>
      <c r="T1563" s="15"/>
      <c r="U1563" s="15"/>
    </row>
    <row r="1564" spans="12:21">
      <c r="L1564" s="15"/>
      <c r="M1564" s="15"/>
      <c r="N1564" s="15"/>
      <c r="T1564" s="15"/>
      <c r="U1564" s="15"/>
    </row>
    <row r="1565" spans="12:21">
      <c r="L1565" s="15"/>
      <c r="M1565" s="15"/>
      <c r="N1565" s="15"/>
      <c r="T1565" s="15"/>
      <c r="U1565" s="15"/>
    </row>
    <row r="1566" spans="12:21">
      <c r="L1566" s="15"/>
      <c r="M1566" s="15"/>
      <c r="N1566" s="15"/>
      <c r="T1566" s="15"/>
      <c r="U1566" s="15"/>
    </row>
    <row r="1567" spans="12:21">
      <c r="L1567" s="15"/>
      <c r="M1567" s="15"/>
      <c r="N1567" s="15"/>
      <c r="T1567" s="15"/>
      <c r="U1567" s="15"/>
    </row>
    <row r="1568" spans="12:21">
      <c r="L1568" s="15"/>
      <c r="M1568" s="15"/>
      <c r="N1568" s="15"/>
      <c r="T1568" s="15"/>
      <c r="U1568" s="15"/>
    </row>
    <row r="1569" spans="12:21">
      <c r="L1569" s="15"/>
      <c r="M1569" s="15"/>
      <c r="N1569" s="15"/>
      <c r="T1569" s="15"/>
      <c r="U1569" s="15"/>
    </row>
    <row r="1570" spans="12:21">
      <c r="L1570" s="15"/>
      <c r="M1570" s="15"/>
      <c r="N1570" s="15"/>
      <c r="T1570" s="15"/>
      <c r="U1570" s="15"/>
    </row>
    <row r="1571" spans="12:21">
      <c r="L1571" s="15"/>
      <c r="M1571" s="15"/>
      <c r="N1571" s="15"/>
      <c r="T1571" s="15"/>
      <c r="U1571" s="15"/>
    </row>
    <row r="1572" spans="12:21">
      <c r="L1572" s="15"/>
      <c r="M1572" s="15"/>
      <c r="N1572" s="15"/>
      <c r="T1572" s="15"/>
      <c r="U1572" s="15"/>
    </row>
    <row r="1573" spans="12:21">
      <c r="L1573" s="15"/>
      <c r="M1573" s="15"/>
      <c r="N1573" s="15"/>
      <c r="T1573" s="15"/>
      <c r="U1573" s="15"/>
    </row>
    <row r="1574" spans="12:21">
      <c r="L1574" s="15"/>
      <c r="M1574" s="15"/>
      <c r="N1574" s="15"/>
      <c r="T1574" s="15"/>
      <c r="U1574" s="15"/>
    </row>
    <row r="1575" spans="12:21">
      <c r="L1575" s="15"/>
      <c r="M1575" s="15"/>
      <c r="N1575" s="15"/>
      <c r="T1575" s="15"/>
      <c r="U1575" s="15"/>
    </row>
    <row r="1576" spans="12:21">
      <c r="L1576" s="15"/>
      <c r="M1576" s="15"/>
      <c r="N1576" s="15"/>
      <c r="T1576" s="15"/>
      <c r="U1576" s="15"/>
    </row>
    <row r="1577" spans="12:21">
      <c r="L1577" s="15"/>
      <c r="M1577" s="15"/>
      <c r="N1577" s="15"/>
      <c r="T1577" s="15"/>
      <c r="U1577" s="15"/>
    </row>
    <row r="1578" spans="12:21">
      <c r="L1578" s="15"/>
      <c r="M1578" s="15"/>
      <c r="N1578" s="15"/>
      <c r="T1578" s="15"/>
      <c r="U1578" s="15"/>
    </row>
    <row r="1579" spans="12:21">
      <c r="L1579" s="15"/>
      <c r="M1579" s="15"/>
      <c r="N1579" s="15"/>
      <c r="T1579" s="15"/>
      <c r="U1579" s="15"/>
    </row>
    <row r="1580" spans="12:21">
      <c r="L1580" s="15"/>
      <c r="M1580" s="15"/>
      <c r="N1580" s="15"/>
      <c r="T1580" s="15"/>
      <c r="U1580" s="15"/>
    </row>
    <row r="1581" spans="12:21">
      <c r="L1581" s="15"/>
      <c r="M1581" s="15"/>
      <c r="N1581" s="15"/>
      <c r="T1581" s="15"/>
      <c r="U1581" s="15"/>
    </row>
    <row r="1582" spans="12:21">
      <c r="L1582" s="15"/>
      <c r="M1582" s="15"/>
      <c r="N1582" s="15"/>
      <c r="T1582" s="15"/>
      <c r="U1582" s="15"/>
    </row>
    <row r="1583" spans="12:21">
      <c r="L1583" s="15"/>
      <c r="M1583" s="15"/>
      <c r="N1583" s="15"/>
      <c r="T1583" s="15"/>
      <c r="U1583" s="15"/>
    </row>
    <row r="1584" spans="12:21">
      <c r="L1584" s="15"/>
      <c r="M1584" s="15"/>
      <c r="N1584" s="15"/>
      <c r="T1584" s="15"/>
      <c r="U1584" s="15"/>
    </row>
    <row r="1585" spans="12:21">
      <c r="L1585" s="15"/>
      <c r="M1585" s="15"/>
      <c r="N1585" s="15"/>
      <c r="T1585" s="15"/>
      <c r="U1585" s="15"/>
    </row>
    <row r="1586" spans="12:21">
      <c r="L1586" s="15"/>
      <c r="M1586" s="15"/>
      <c r="N1586" s="15"/>
      <c r="T1586" s="15"/>
      <c r="U1586" s="15"/>
    </row>
    <row r="1587" spans="12:21">
      <c r="L1587" s="15"/>
      <c r="M1587" s="15"/>
      <c r="N1587" s="15"/>
      <c r="T1587" s="15"/>
      <c r="U1587" s="15"/>
    </row>
    <row r="1588" spans="12:21">
      <c r="L1588" s="15"/>
      <c r="M1588" s="15"/>
      <c r="N1588" s="15"/>
      <c r="T1588" s="15"/>
      <c r="U1588" s="15"/>
    </row>
    <row r="1589" spans="12:21">
      <c r="L1589" s="15"/>
      <c r="M1589" s="15"/>
      <c r="N1589" s="15"/>
      <c r="T1589" s="15"/>
      <c r="U1589" s="15"/>
    </row>
    <row r="1590" spans="12:21">
      <c r="L1590" s="15"/>
      <c r="M1590" s="15"/>
      <c r="N1590" s="15"/>
      <c r="T1590" s="15"/>
      <c r="U1590" s="15"/>
    </row>
    <row r="1591" spans="12:21">
      <c r="L1591" s="15"/>
      <c r="M1591" s="15"/>
      <c r="N1591" s="15"/>
      <c r="T1591" s="15"/>
      <c r="U1591" s="15"/>
    </row>
    <row r="1592" spans="12:21">
      <c r="L1592" s="15"/>
      <c r="M1592" s="15"/>
      <c r="N1592" s="15"/>
      <c r="T1592" s="15"/>
      <c r="U1592" s="15"/>
    </row>
    <row r="1593" spans="12:21">
      <c r="L1593" s="15"/>
      <c r="M1593" s="15"/>
      <c r="N1593" s="15"/>
      <c r="T1593" s="15"/>
      <c r="U1593" s="15"/>
    </row>
    <row r="1594" spans="12:21">
      <c r="L1594" s="15"/>
      <c r="M1594" s="15"/>
      <c r="N1594" s="15"/>
      <c r="T1594" s="15"/>
      <c r="U1594" s="15"/>
    </row>
    <row r="1595" spans="12:21">
      <c r="L1595" s="15"/>
      <c r="M1595" s="15"/>
      <c r="N1595" s="15"/>
      <c r="T1595" s="15"/>
      <c r="U1595" s="15"/>
    </row>
    <row r="1596" spans="12:21">
      <c r="L1596" s="15"/>
      <c r="M1596" s="15"/>
      <c r="N1596" s="15"/>
      <c r="T1596" s="15"/>
      <c r="U1596" s="15"/>
    </row>
    <row r="1597" spans="12:21">
      <c r="L1597" s="15"/>
      <c r="M1597" s="15"/>
      <c r="N1597" s="15"/>
      <c r="T1597" s="15"/>
      <c r="U1597" s="15"/>
    </row>
    <row r="1598" spans="12:21">
      <c r="L1598" s="15"/>
      <c r="M1598" s="15"/>
      <c r="N1598" s="15"/>
      <c r="T1598" s="15"/>
      <c r="U1598" s="15"/>
    </row>
    <row r="1599" spans="12:21">
      <c r="L1599" s="15"/>
      <c r="M1599" s="15"/>
      <c r="N1599" s="15"/>
      <c r="T1599" s="15"/>
      <c r="U1599" s="15"/>
    </row>
    <row r="1600" spans="12:21">
      <c r="L1600" s="15"/>
      <c r="M1600" s="15"/>
      <c r="N1600" s="15"/>
      <c r="T1600" s="15"/>
      <c r="U1600" s="15"/>
    </row>
    <row r="1601" spans="12:21">
      <c r="L1601" s="15"/>
      <c r="M1601" s="15"/>
      <c r="N1601" s="15"/>
      <c r="T1601" s="15"/>
      <c r="U1601" s="15"/>
    </row>
    <row r="1602" spans="12:21">
      <c r="L1602" s="15"/>
      <c r="M1602" s="15"/>
      <c r="N1602" s="15"/>
      <c r="T1602" s="15"/>
      <c r="U1602" s="15"/>
    </row>
    <row r="1603" spans="12:21">
      <c r="L1603" s="15"/>
      <c r="M1603" s="15"/>
      <c r="N1603" s="15"/>
      <c r="T1603" s="15"/>
      <c r="U1603" s="15"/>
    </row>
    <row r="1604" spans="12:21">
      <c r="L1604" s="15"/>
      <c r="M1604" s="15"/>
      <c r="N1604" s="15"/>
      <c r="T1604" s="15"/>
      <c r="U1604" s="15"/>
    </row>
    <row r="1605" spans="12:21">
      <c r="L1605" s="15"/>
      <c r="M1605" s="15"/>
      <c r="N1605" s="15"/>
      <c r="T1605" s="15"/>
      <c r="U1605" s="15"/>
    </row>
    <row r="1606" spans="12:21">
      <c r="L1606" s="15"/>
      <c r="M1606" s="15"/>
      <c r="N1606" s="15"/>
      <c r="T1606" s="15"/>
      <c r="U1606" s="15"/>
    </row>
    <row r="1607" spans="12:21">
      <c r="L1607" s="15"/>
      <c r="M1607" s="15"/>
      <c r="N1607" s="15"/>
      <c r="T1607" s="15"/>
      <c r="U1607" s="15"/>
    </row>
    <row r="1608" spans="12:21">
      <c r="L1608" s="15"/>
      <c r="M1608" s="15"/>
      <c r="N1608" s="15"/>
      <c r="T1608" s="15"/>
      <c r="U1608" s="15"/>
    </row>
    <row r="1609" spans="12:21">
      <c r="L1609" s="15"/>
      <c r="M1609" s="15"/>
      <c r="N1609" s="15"/>
      <c r="T1609" s="15"/>
      <c r="U1609" s="15"/>
    </row>
    <row r="1610" spans="12:21">
      <c r="L1610" s="15"/>
      <c r="M1610" s="15"/>
      <c r="N1610" s="15"/>
      <c r="T1610" s="15"/>
      <c r="U1610" s="15"/>
    </row>
    <row r="1611" spans="12:21">
      <c r="L1611" s="15"/>
      <c r="M1611" s="15"/>
      <c r="N1611" s="15"/>
      <c r="T1611" s="15"/>
      <c r="U1611" s="15"/>
    </row>
    <row r="1612" spans="12:21">
      <c r="L1612" s="15"/>
      <c r="M1612" s="15"/>
      <c r="N1612" s="15"/>
      <c r="T1612" s="15"/>
      <c r="U1612" s="15"/>
    </row>
    <row r="1613" spans="12:21">
      <c r="L1613" s="15"/>
      <c r="M1613" s="15"/>
      <c r="N1613" s="15"/>
      <c r="T1613" s="15"/>
      <c r="U1613" s="15"/>
    </row>
    <row r="1614" spans="12:21">
      <c r="L1614" s="15"/>
      <c r="M1614" s="15"/>
      <c r="N1614" s="15"/>
      <c r="T1614" s="15"/>
      <c r="U1614" s="15"/>
    </row>
    <row r="1615" spans="12:21">
      <c r="L1615" s="15"/>
      <c r="M1615" s="15"/>
      <c r="N1615" s="15"/>
      <c r="T1615" s="15"/>
      <c r="U1615" s="15"/>
    </row>
    <row r="1616" spans="12:21">
      <c r="L1616" s="15"/>
      <c r="M1616" s="15"/>
      <c r="N1616" s="15"/>
      <c r="T1616" s="15"/>
      <c r="U1616" s="15"/>
    </row>
    <row r="1617" spans="12:21">
      <c r="L1617" s="15"/>
      <c r="M1617" s="15"/>
      <c r="N1617" s="15"/>
      <c r="T1617" s="15"/>
      <c r="U1617" s="15"/>
    </row>
    <row r="1618" spans="12:21">
      <c r="L1618" s="15"/>
      <c r="M1618" s="15"/>
      <c r="N1618" s="15"/>
      <c r="T1618" s="15"/>
      <c r="U1618" s="15"/>
    </row>
    <row r="1619" spans="12:21">
      <c r="L1619" s="15"/>
      <c r="M1619" s="15"/>
      <c r="N1619" s="15"/>
      <c r="T1619" s="15"/>
      <c r="U1619" s="15"/>
    </row>
    <row r="1620" spans="12:21">
      <c r="L1620" s="15"/>
      <c r="M1620" s="15"/>
      <c r="N1620" s="15"/>
      <c r="T1620" s="15"/>
      <c r="U1620" s="15"/>
    </row>
    <row r="1621" spans="12:21">
      <c r="L1621" s="15"/>
      <c r="M1621" s="15"/>
      <c r="N1621" s="15"/>
      <c r="T1621" s="15"/>
      <c r="U1621" s="15"/>
    </row>
    <row r="1622" spans="12:21">
      <c r="L1622" s="15"/>
      <c r="M1622" s="15"/>
      <c r="N1622" s="15"/>
      <c r="T1622" s="15"/>
      <c r="U1622" s="15"/>
    </row>
    <row r="1623" spans="12:21">
      <c r="L1623" s="15"/>
      <c r="M1623" s="15"/>
      <c r="N1623" s="15"/>
      <c r="T1623" s="15"/>
      <c r="U1623" s="15"/>
    </row>
    <row r="1624" spans="12:21">
      <c r="L1624" s="15"/>
      <c r="M1624" s="15"/>
      <c r="N1624" s="15"/>
      <c r="T1624" s="15"/>
      <c r="U1624" s="15"/>
    </row>
    <row r="1625" spans="12:21">
      <c r="L1625" s="15"/>
      <c r="M1625" s="15"/>
      <c r="N1625" s="15"/>
      <c r="T1625" s="15"/>
      <c r="U1625" s="15"/>
    </row>
    <row r="1626" spans="12:21">
      <c r="L1626" s="15"/>
      <c r="M1626" s="15"/>
      <c r="N1626" s="15"/>
      <c r="T1626" s="15"/>
      <c r="U1626" s="15"/>
    </row>
    <row r="1627" spans="12:21">
      <c r="L1627" s="15"/>
      <c r="M1627" s="15"/>
      <c r="N1627" s="15"/>
      <c r="T1627" s="15"/>
      <c r="U1627" s="15"/>
    </row>
    <row r="1628" spans="12:21">
      <c r="L1628" s="15"/>
      <c r="M1628" s="15"/>
      <c r="N1628" s="15"/>
      <c r="T1628" s="15"/>
      <c r="U1628" s="15"/>
    </row>
    <row r="1629" spans="12:21">
      <c r="L1629" s="15"/>
      <c r="M1629" s="15"/>
      <c r="N1629" s="15"/>
      <c r="T1629" s="15"/>
      <c r="U1629" s="15"/>
    </row>
    <row r="1630" spans="12:21">
      <c r="L1630" s="15"/>
      <c r="M1630" s="15"/>
      <c r="N1630" s="15"/>
      <c r="T1630" s="15"/>
      <c r="U1630" s="15"/>
    </row>
    <row r="1631" spans="12:21">
      <c r="L1631" s="15"/>
      <c r="M1631" s="15"/>
      <c r="N1631" s="15"/>
      <c r="T1631" s="15"/>
      <c r="U1631" s="15"/>
    </row>
    <row r="1632" spans="12:21">
      <c r="L1632" s="15"/>
      <c r="M1632" s="15"/>
      <c r="N1632" s="15"/>
      <c r="T1632" s="15"/>
      <c r="U1632" s="15"/>
    </row>
    <row r="1633" spans="12:21">
      <c r="L1633" s="15"/>
      <c r="M1633" s="15"/>
      <c r="N1633" s="15"/>
      <c r="T1633" s="15"/>
      <c r="U1633" s="15"/>
    </row>
    <row r="1634" spans="12:21">
      <c r="L1634" s="15"/>
      <c r="M1634" s="15"/>
      <c r="N1634" s="15"/>
      <c r="T1634" s="15"/>
      <c r="U1634" s="15"/>
    </row>
    <row r="1635" spans="12:21">
      <c r="L1635" s="15"/>
      <c r="M1635" s="15"/>
      <c r="N1635" s="15"/>
      <c r="T1635" s="15"/>
      <c r="U1635" s="15"/>
    </row>
    <row r="1636" spans="12:21">
      <c r="L1636" s="15"/>
      <c r="M1636" s="15"/>
      <c r="N1636" s="15"/>
      <c r="T1636" s="15"/>
      <c r="U1636" s="15"/>
    </row>
    <row r="1637" spans="12:21">
      <c r="L1637" s="15"/>
      <c r="M1637" s="15"/>
      <c r="N1637" s="15"/>
      <c r="T1637" s="15"/>
      <c r="U1637" s="15"/>
    </row>
    <row r="1638" spans="12:21">
      <c r="L1638" s="15"/>
      <c r="M1638" s="15"/>
      <c r="N1638" s="15"/>
      <c r="T1638" s="15"/>
      <c r="U1638" s="15"/>
    </row>
    <row r="1639" spans="12:21">
      <c r="L1639" s="15"/>
      <c r="M1639" s="15"/>
      <c r="N1639" s="15"/>
      <c r="T1639" s="15"/>
      <c r="U1639" s="15"/>
    </row>
    <row r="1640" spans="12:21">
      <c r="L1640" s="15"/>
      <c r="M1640" s="15"/>
      <c r="N1640" s="15"/>
      <c r="T1640" s="15"/>
      <c r="U1640" s="15"/>
    </row>
    <row r="1641" spans="12:21">
      <c r="L1641" s="15"/>
      <c r="M1641" s="15"/>
      <c r="N1641" s="15"/>
      <c r="T1641" s="15"/>
      <c r="U1641" s="15"/>
    </row>
    <row r="1642" spans="12:21">
      <c r="L1642" s="15"/>
      <c r="M1642" s="15"/>
      <c r="N1642" s="15"/>
      <c r="T1642" s="15"/>
      <c r="U1642" s="15"/>
    </row>
    <row r="1643" spans="12:21">
      <c r="L1643" s="15"/>
      <c r="M1643" s="15"/>
      <c r="N1643" s="15"/>
      <c r="T1643" s="15"/>
      <c r="U1643" s="15"/>
    </row>
    <row r="1644" spans="12:21">
      <c r="L1644" s="15"/>
      <c r="M1644" s="15"/>
      <c r="N1644" s="15"/>
      <c r="T1644" s="15"/>
      <c r="U1644" s="15"/>
    </row>
    <row r="1645" spans="12:21">
      <c r="L1645" s="15"/>
      <c r="M1645" s="15"/>
      <c r="N1645" s="15"/>
      <c r="T1645" s="15"/>
      <c r="U1645" s="15"/>
    </row>
    <row r="1646" spans="12:21">
      <c r="L1646" s="15"/>
      <c r="M1646" s="15"/>
      <c r="N1646" s="15"/>
      <c r="T1646" s="15"/>
      <c r="U1646" s="15"/>
    </row>
    <row r="1647" spans="12:21">
      <c r="L1647" s="15"/>
      <c r="M1647" s="15"/>
      <c r="N1647" s="15"/>
      <c r="T1647" s="15"/>
      <c r="U1647" s="15"/>
    </row>
    <row r="1648" spans="12:21">
      <c r="L1648" s="15"/>
      <c r="M1648" s="15"/>
      <c r="N1648" s="15"/>
      <c r="T1648" s="15"/>
      <c r="U1648" s="15"/>
    </row>
    <row r="1649" spans="12:21">
      <c r="L1649" s="15"/>
      <c r="M1649" s="15"/>
      <c r="N1649" s="15"/>
      <c r="T1649" s="15"/>
      <c r="U1649" s="15"/>
    </row>
    <row r="1650" spans="12:21">
      <c r="L1650" s="15"/>
      <c r="M1650" s="15"/>
      <c r="N1650" s="15"/>
      <c r="T1650" s="15"/>
      <c r="U1650" s="15"/>
    </row>
    <row r="1651" spans="12:21">
      <c r="L1651" s="15"/>
      <c r="M1651" s="15"/>
      <c r="N1651" s="15"/>
      <c r="T1651" s="15"/>
      <c r="U1651" s="15"/>
    </row>
    <row r="1652" spans="12:21">
      <c r="L1652" s="15"/>
      <c r="M1652" s="15"/>
      <c r="N1652" s="15"/>
      <c r="T1652" s="15"/>
      <c r="U1652" s="15"/>
    </row>
    <row r="1653" spans="12:21">
      <c r="L1653" s="15"/>
      <c r="M1653" s="15"/>
      <c r="N1653" s="15"/>
      <c r="T1653" s="15"/>
      <c r="U1653" s="15"/>
    </row>
    <row r="1654" spans="12:21">
      <c r="L1654" s="15"/>
      <c r="M1654" s="15"/>
      <c r="N1654" s="15"/>
      <c r="T1654" s="15"/>
      <c r="U1654" s="15"/>
    </row>
    <row r="1655" spans="12:21">
      <c r="L1655" s="15"/>
      <c r="M1655" s="15"/>
      <c r="N1655" s="15"/>
      <c r="T1655" s="15"/>
      <c r="U1655" s="15"/>
    </row>
    <row r="1656" spans="12:21">
      <c r="L1656" s="15"/>
      <c r="M1656" s="15"/>
      <c r="N1656" s="15"/>
      <c r="T1656" s="15"/>
      <c r="U1656" s="15"/>
    </row>
    <row r="1657" spans="12:21">
      <c r="L1657" s="15"/>
      <c r="M1657" s="15"/>
      <c r="N1657" s="15"/>
      <c r="T1657" s="15"/>
      <c r="U1657" s="15"/>
    </row>
    <row r="1658" spans="12:21">
      <c r="L1658" s="15"/>
      <c r="M1658" s="15"/>
      <c r="N1658" s="15"/>
      <c r="T1658" s="15"/>
      <c r="U1658" s="15"/>
    </row>
    <row r="1659" spans="12:21">
      <c r="L1659" s="15"/>
      <c r="M1659" s="15"/>
      <c r="N1659" s="15"/>
      <c r="T1659" s="15"/>
      <c r="U1659" s="15"/>
    </row>
    <row r="1660" spans="12:21">
      <c r="L1660" s="15"/>
      <c r="M1660" s="15"/>
      <c r="N1660" s="15"/>
      <c r="T1660" s="15"/>
      <c r="U1660" s="15"/>
    </row>
    <row r="1661" spans="12:21">
      <c r="L1661" s="15"/>
      <c r="M1661" s="15"/>
      <c r="N1661" s="15"/>
      <c r="T1661" s="15"/>
      <c r="U1661" s="15"/>
    </row>
    <row r="1662" spans="12:21">
      <c r="L1662" s="15"/>
      <c r="M1662" s="15"/>
      <c r="N1662" s="15"/>
      <c r="T1662" s="15"/>
      <c r="U1662" s="15"/>
    </row>
    <row r="1663" spans="12:21">
      <c r="L1663" s="15"/>
      <c r="M1663" s="15"/>
      <c r="N1663" s="15"/>
      <c r="T1663" s="15"/>
      <c r="U1663" s="15"/>
    </row>
    <row r="1664" spans="12:21">
      <c r="L1664" s="15"/>
      <c r="M1664" s="15"/>
      <c r="N1664" s="15"/>
      <c r="T1664" s="15"/>
      <c r="U1664" s="15"/>
    </row>
    <row r="1665" spans="12:21">
      <c r="L1665" s="15"/>
      <c r="M1665" s="15"/>
      <c r="N1665" s="15"/>
      <c r="T1665" s="15"/>
      <c r="U1665" s="15"/>
    </row>
    <row r="1666" spans="12:21">
      <c r="L1666" s="15"/>
      <c r="M1666" s="15"/>
      <c r="N1666" s="15"/>
      <c r="T1666" s="15"/>
      <c r="U1666" s="15"/>
    </row>
    <row r="1667" spans="12:21">
      <c r="L1667" s="15"/>
      <c r="M1667" s="15"/>
      <c r="N1667" s="15"/>
      <c r="T1667" s="15"/>
      <c r="U1667" s="15"/>
    </row>
    <row r="1668" spans="12:21">
      <c r="L1668" s="15"/>
      <c r="M1668" s="15"/>
      <c r="N1668" s="15"/>
      <c r="T1668" s="15"/>
      <c r="U1668" s="15"/>
    </row>
    <row r="1669" spans="12:21">
      <c r="L1669" s="15"/>
      <c r="M1669" s="15"/>
      <c r="N1669" s="15"/>
      <c r="T1669" s="15"/>
      <c r="U1669" s="15"/>
    </row>
    <row r="1670" spans="12:21">
      <c r="L1670" s="15"/>
      <c r="M1670" s="15"/>
      <c r="N1670" s="15"/>
      <c r="T1670" s="15"/>
      <c r="U1670" s="15"/>
    </row>
    <row r="1671" spans="12:21">
      <c r="L1671" s="15"/>
      <c r="M1671" s="15"/>
      <c r="N1671" s="15"/>
      <c r="T1671" s="15"/>
      <c r="U1671" s="15"/>
    </row>
    <row r="1672" spans="12:21">
      <c r="L1672" s="15"/>
      <c r="M1672" s="15"/>
      <c r="N1672" s="15"/>
      <c r="T1672" s="15"/>
      <c r="U1672" s="15"/>
    </row>
    <row r="1673" spans="12:21">
      <c r="L1673" s="15"/>
      <c r="M1673" s="15"/>
      <c r="N1673" s="15"/>
      <c r="T1673" s="15"/>
      <c r="U1673" s="15"/>
    </row>
    <row r="1674" spans="12:21">
      <c r="L1674" s="15"/>
      <c r="M1674" s="15"/>
      <c r="N1674" s="15"/>
      <c r="T1674" s="15"/>
      <c r="U1674" s="15"/>
    </row>
    <row r="1675" spans="12:21">
      <c r="L1675" s="15"/>
      <c r="M1675" s="15"/>
      <c r="N1675" s="15"/>
      <c r="T1675" s="15"/>
      <c r="U1675" s="15"/>
    </row>
    <row r="1676" spans="12:21">
      <c r="L1676" s="15"/>
      <c r="M1676" s="15"/>
      <c r="N1676" s="15"/>
      <c r="T1676" s="15"/>
      <c r="U1676" s="15"/>
    </row>
    <row r="1677" spans="12:21">
      <c r="L1677" s="15"/>
      <c r="M1677" s="15"/>
      <c r="N1677" s="15"/>
      <c r="T1677" s="15"/>
      <c r="U1677" s="15"/>
    </row>
    <row r="1678" spans="12:21">
      <c r="L1678" s="15"/>
      <c r="M1678" s="15"/>
      <c r="N1678" s="15"/>
      <c r="T1678" s="15"/>
      <c r="U1678" s="15"/>
    </row>
    <row r="1679" spans="12:21">
      <c r="L1679" s="15"/>
      <c r="M1679" s="15"/>
      <c r="N1679" s="15"/>
      <c r="T1679" s="15"/>
      <c r="U1679" s="15"/>
    </row>
    <row r="1680" spans="12:21">
      <c r="L1680" s="15"/>
      <c r="M1680" s="15"/>
      <c r="N1680" s="15"/>
      <c r="T1680" s="15"/>
      <c r="U1680" s="15"/>
    </row>
    <row r="1681" spans="12:21">
      <c r="L1681" s="15"/>
      <c r="M1681" s="15"/>
      <c r="N1681" s="15"/>
      <c r="T1681" s="15"/>
      <c r="U1681" s="15"/>
    </row>
    <row r="1682" spans="12:21">
      <c r="L1682" s="15"/>
      <c r="M1682" s="15"/>
      <c r="N1682" s="15"/>
      <c r="T1682" s="15"/>
      <c r="U1682" s="15"/>
    </row>
    <row r="1683" spans="12:21">
      <c r="L1683" s="15"/>
      <c r="M1683" s="15"/>
      <c r="N1683" s="15"/>
      <c r="T1683" s="15"/>
      <c r="U1683" s="15"/>
    </row>
    <row r="1684" spans="12:21">
      <c r="L1684" s="15"/>
      <c r="M1684" s="15"/>
      <c r="N1684" s="15"/>
      <c r="T1684" s="15"/>
      <c r="U1684" s="15"/>
    </row>
    <row r="1685" spans="12:21">
      <c r="L1685" s="15"/>
      <c r="M1685" s="15"/>
      <c r="N1685" s="15"/>
      <c r="T1685" s="15"/>
      <c r="U1685" s="15"/>
    </row>
    <row r="1686" spans="12:21">
      <c r="L1686" s="15"/>
      <c r="M1686" s="15"/>
      <c r="N1686" s="15"/>
      <c r="T1686" s="15"/>
      <c r="U1686" s="15"/>
    </row>
    <row r="1687" spans="12:21">
      <c r="L1687" s="15"/>
      <c r="M1687" s="15"/>
      <c r="N1687" s="15"/>
      <c r="T1687" s="15"/>
      <c r="U1687" s="15"/>
    </row>
    <row r="1688" spans="12:21">
      <c r="L1688" s="15"/>
      <c r="M1688" s="15"/>
      <c r="N1688" s="15"/>
      <c r="T1688" s="15"/>
      <c r="U1688" s="15"/>
    </row>
    <row r="1689" spans="12:21">
      <c r="L1689" s="15"/>
      <c r="M1689" s="15"/>
      <c r="N1689" s="15"/>
      <c r="T1689" s="15"/>
      <c r="U1689" s="15"/>
    </row>
    <row r="1690" spans="12:21">
      <c r="L1690" s="15"/>
      <c r="M1690" s="15"/>
      <c r="N1690" s="15"/>
      <c r="T1690" s="15"/>
      <c r="U1690" s="15"/>
    </row>
    <row r="1691" spans="12:21">
      <c r="L1691" s="15"/>
      <c r="M1691" s="15"/>
      <c r="N1691" s="15"/>
      <c r="T1691" s="15"/>
      <c r="U1691" s="15"/>
    </row>
    <row r="1692" spans="12:21">
      <c r="L1692" s="15"/>
      <c r="M1692" s="15"/>
      <c r="N1692" s="15"/>
      <c r="T1692" s="15"/>
      <c r="U1692" s="15"/>
    </row>
    <row r="1693" spans="12:21">
      <c r="L1693" s="15"/>
      <c r="M1693" s="15"/>
      <c r="N1693" s="15"/>
      <c r="T1693" s="15"/>
      <c r="U1693" s="15"/>
    </row>
    <row r="1694" spans="12:21">
      <c r="L1694" s="15"/>
      <c r="M1694" s="15"/>
      <c r="N1694" s="15"/>
      <c r="T1694" s="15"/>
      <c r="U1694" s="15"/>
    </row>
    <row r="1695" spans="12:21">
      <c r="L1695" s="15"/>
      <c r="M1695" s="15"/>
      <c r="N1695" s="15"/>
      <c r="T1695" s="15"/>
      <c r="U1695" s="15"/>
    </row>
    <row r="1696" spans="12:21">
      <c r="L1696" s="15"/>
      <c r="M1696" s="15"/>
      <c r="N1696" s="15"/>
      <c r="T1696" s="15"/>
      <c r="U1696" s="15"/>
    </row>
    <row r="1697" spans="12:21">
      <c r="L1697" s="15"/>
      <c r="M1697" s="15"/>
      <c r="N1697" s="15"/>
      <c r="T1697" s="15"/>
      <c r="U1697" s="15"/>
    </row>
    <row r="1698" spans="12:21">
      <c r="L1698" s="15"/>
      <c r="M1698" s="15"/>
      <c r="N1698" s="15"/>
      <c r="T1698" s="15"/>
      <c r="U1698" s="15"/>
    </row>
    <row r="1699" spans="12:21">
      <c r="L1699" s="15"/>
      <c r="M1699" s="15"/>
      <c r="N1699" s="15"/>
      <c r="T1699" s="15"/>
      <c r="U1699" s="15"/>
    </row>
    <row r="1700" spans="12:21">
      <c r="L1700" s="15"/>
      <c r="M1700" s="15"/>
      <c r="N1700" s="15"/>
      <c r="T1700" s="15"/>
      <c r="U1700" s="15"/>
    </row>
    <row r="1701" spans="12:21">
      <c r="L1701" s="15"/>
      <c r="M1701" s="15"/>
      <c r="N1701" s="15"/>
      <c r="T1701" s="15"/>
      <c r="U1701" s="15"/>
    </row>
    <row r="1702" spans="12:21">
      <c r="L1702" s="15"/>
      <c r="M1702" s="15"/>
      <c r="N1702" s="15"/>
      <c r="T1702" s="15"/>
      <c r="U1702" s="15"/>
    </row>
    <row r="1703" spans="12:21">
      <c r="L1703" s="15"/>
      <c r="M1703" s="15"/>
      <c r="N1703" s="15"/>
      <c r="T1703" s="15"/>
      <c r="U1703" s="15"/>
    </row>
    <row r="1704" spans="12:21">
      <c r="L1704" s="15"/>
      <c r="M1704" s="15"/>
      <c r="N1704" s="15"/>
      <c r="T1704" s="15"/>
      <c r="U1704" s="15"/>
    </row>
    <row r="1705" spans="12:21">
      <c r="L1705" s="15"/>
      <c r="M1705" s="15"/>
      <c r="N1705" s="15"/>
      <c r="T1705" s="15"/>
      <c r="U1705" s="15"/>
    </row>
    <row r="1706" spans="12:21">
      <c r="L1706" s="15"/>
      <c r="M1706" s="15"/>
      <c r="N1706" s="15"/>
      <c r="T1706" s="15"/>
      <c r="U1706" s="15"/>
    </row>
    <row r="1707" spans="12:21">
      <c r="L1707" s="15"/>
      <c r="M1707" s="15"/>
      <c r="N1707" s="15"/>
      <c r="T1707" s="15"/>
      <c r="U1707" s="15"/>
    </row>
    <row r="1708" spans="12:21">
      <c r="L1708" s="15"/>
      <c r="M1708" s="15"/>
      <c r="N1708" s="15"/>
      <c r="T1708" s="15"/>
      <c r="U1708" s="15"/>
    </row>
    <row r="1709" spans="12:21">
      <c r="L1709" s="15"/>
      <c r="M1709" s="15"/>
      <c r="N1709" s="15"/>
      <c r="T1709" s="15"/>
      <c r="U1709" s="15"/>
    </row>
    <row r="1710" spans="12:21">
      <c r="L1710" s="15"/>
      <c r="M1710" s="15"/>
      <c r="N1710" s="15"/>
      <c r="T1710" s="15"/>
      <c r="U1710" s="15"/>
    </row>
    <row r="1711" spans="12:21">
      <c r="L1711" s="15"/>
      <c r="M1711" s="15"/>
      <c r="N1711" s="15"/>
      <c r="T1711" s="15"/>
      <c r="U1711" s="15"/>
    </row>
    <row r="1712" spans="12:21">
      <c r="L1712" s="15"/>
      <c r="M1712" s="15"/>
      <c r="N1712" s="15"/>
      <c r="T1712" s="15"/>
      <c r="U1712" s="15"/>
    </row>
    <row r="1713" spans="12:21">
      <c r="L1713" s="15"/>
      <c r="M1713" s="15"/>
      <c r="N1713" s="15"/>
      <c r="T1713" s="15"/>
      <c r="U1713" s="15"/>
    </row>
    <row r="1714" spans="12:21">
      <c r="L1714" s="15"/>
      <c r="M1714" s="15"/>
      <c r="N1714" s="15"/>
      <c r="T1714" s="15"/>
      <c r="U1714" s="15"/>
    </row>
    <row r="1715" spans="12:21">
      <c r="L1715" s="15"/>
      <c r="M1715" s="15"/>
      <c r="N1715" s="15"/>
      <c r="T1715" s="15"/>
      <c r="U1715" s="15"/>
    </row>
    <row r="1716" spans="12:21">
      <c r="L1716" s="15"/>
      <c r="M1716" s="15"/>
      <c r="N1716" s="15"/>
      <c r="T1716" s="15"/>
      <c r="U1716" s="15"/>
    </row>
    <row r="1717" spans="12:21">
      <c r="L1717" s="15"/>
      <c r="M1717" s="15"/>
      <c r="N1717" s="15"/>
      <c r="T1717" s="15"/>
      <c r="U1717" s="15"/>
    </row>
    <row r="1718" spans="12:21">
      <c r="L1718" s="15"/>
      <c r="M1718" s="15"/>
      <c r="N1718" s="15"/>
      <c r="T1718" s="15"/>
      <c r="U1718" s="15"/>
    </row>
    <row r="1719" spans="12:21">
      <c r="L1719" s="15"/>
      <c r="M1719" s="15"/>
      <c r="N1719" s="15"/>
      <c r="T1719" s="15"/>
      <c r="U1719" s="15"/>
    </row>
    <row r="1720" spans="12:21">
      <c r="L1720" s="15"/>
      <c r="M1720" s="15"/>
      <c r="N1720" s="15"/>
      <c r="T1720" s="15"/>
      <c r="U1720" s="15"/>
    </row>
    <row r="1721" spans="12:21">
      <c r="L1721" s="15"/>
      <c r="M1721" s="15"/>
      <c r="N1721" s="15"/>
      <c r="T1721" s="15"/>
      <c r="U1721" s="15"/>
    </row>
    <row r="1722" spans="12:21">
      <c r="L1722" s="15"/>
      <c r="M1722" s="15"/>
      <c r="N1722" s="15"/>
      <c r="T1722" s="15"/>
      <c r="U1722" s="15"/>
    </row>
    <row r="1723" spans="12:21">
      <c r="L1723" s="15"/>
      <c r="M1723" s="15"/>
      <c r="N1723" s="15"/>
      <c r="T1723" s="15"/>
      <c r="U1723" s="15"/>
    </row>
    <row r="1724" spans="12:21">
      <c r="L1724" s="15"/>
      <c r="M1724" s="15"/>
      <c r="N1724" s="15"/>
      <c r="T1724" s="15"/>
      <c r="U1724" s="15"/>
    </row>
    <row r="1725" spans="12:21">
      <c r="L1725" s="15"/>
      <c r="M1725" s="15"/>
      <c r="N1725" s="15"/>
      <c r="T1725" s="15"/>
      <c r="U1725" s="15"/>
    </row>
    <row r="1726" spans="12:21">
      <c r="L1726" s="15"/>
      <c r="M1726" s="15"/>
      <c r="N1726" s="15"/>
      <c r="T1726" s="15"/>
      <c r="U1726" s="15"/>
    </row>
    <row r="1727" spans="12:21">
      <c r="L1727" s="15"/>
      <c r="M1727" s="15"/>
      <c r="N1727" s="15"/>
      <c r="T1727" s="15"/>
      <c r="U1727" s="15"/>
    </row>
    <row r="1728" spans="12:21">
      <c r="L1728" s="15"/>
      <c r="M1728" s="15"/>
      <c r="N1728" s="15"/>
      <c r="T1728" s="15"/>
      <c r="U1728" s="15"/>
    </row>
    <row r="1729" spans="12:21">
      <c r="L1729" s="15"/>
      <c r="M1729" s="15"/>
      <c r="N1729" s="15"/>
      <c r="T1729" s="15"/>
      <c r="U1729" s="15"/>
    </row>
    <row r="1730" spans="12:21">
      <c r="L1730" s="15"/>
      <c r="M1730" s="15"/>
      <c r="N1730" s="15"/>
      <c r="T1730" s="15"/>
      <c r="U1730" s="15"/>
    </row>
    <row r="1731" spans="12:21">
      <c r="L1731" s="15"/>
      <c r="M1731" s="15"/>
      <c r="N1731" s="15"/>
      <c r="T1731" s="15"/>
      <c r="U1731" s="15"/>
    </row>
    <row r="1732" spans="12:21">
      <c r="L1732" s="15"/>
      <c r="M1732" s="15"/>
      <c r="N1732" s="15"/>
      <c r="T1732" s="15"/>
      <c r="U1732" s="15"/>
    </row>
    <row r="1733" spans="12:21">
      <c r="L1733" s="15"/>
      <c r="M1733" s="15"/>
      <c r="N1733" s="15"/>
      <c r="T1733" s="15"/>
      <c r="U1733" s="15"/>
    </row>
    <row r="1734" spans="12:21">
      <c r="L1734" s="15"/>
      <c r="M1734" s="15"/>
      <c r="N1734" s="15"/>
      <c r="T1734" s="15"/>
      <c r="U1734" s="15"/>
    </row>
    <row r="1735" spans="12:21">
      <c r="L1735" s="15"/>
      <c r="M1735" s="15"/>
      <c r="N1735" s="15"/>
      <c r="T1735" s="15"/>
      <c r="U1735" s="15"/>
    </row>
    <row r="1736" spans="12:21">
      <c r="L1736" s="15"/>
      <c r="M1736" s="15"/>
      <c r="N1736" s="15"/>
      <c r="T1736" s="15"/>
      <c r="U1736" s="15"/>
    </row>
    <row r="1737" spans="12:21">
      <c r="L1737" s="15"/>
      <c r="M1737" s="15"/>
      <c r="N1737" s="15"/>
      <c r="T1737" s="15"/>
      <c r="U1737" s="15"/>
    </row>
    <row r="1738" spans="12:21">
      <c r="L1738" s="15"/>
      <c r="M1738" s="15"/>
      <c r="N1738" s="15"/>
      <c r="T1738" s="15"/>
      <c r="U1738" s="15"/>
    </row>
    <row r="1739" spans="12:21">
      <c r="L1739" s="15"/>
      <c r="M1739" s="15"/>
      <c r="N1739" s="15"/>
      <c r="T1739" s="15"/>
      <c r="U1739" s="15"/>
    </row>
    <row r="1740" spans="12:21">
      <c r="L1740" s="15"/>
      <c r="M1740" s="15"/>
      <c r="N1740" s="15"/>
      <c r="T1740" s="15"/>
      <c r="U1740" s="15"/>
    </row>
    <row r="1741" spans="12:21">
      <c r="L1741" s="15"/>
      <c r="M1741" s="15"/>
      <c r="N1741" s="15"/>
      <c r="T1741" s="15"/>
      <c r="U1741" s="15"/>
    </row>
    <row r="1742" spans="12:21">
      <c r="L1742" s="15"/>
      <c r="M1742" s="15"/>
      <c r="N1742" s="15"/>
      <c r="T1742" s="15"/>
      <c r="U1742" s="15"/>
    </row>
    <row r="1743" spans="12:21">
      <c r="L1743" s="15"/>
      <c r="M1743" s="15"/>
      <c r="N1743" s="15"/>
      <c r="T1743" s="15"/>
      <c r="U1743" s="15"/>
    </row>
    <row r="1744" spans="12:21">
      <c r="L1744" s="15"/>
      <c r="M1744" s="15"/>
      <c r="N1744" s="15"/>
      <c r="T1744" s="15"/>
      <c r="U1744" s="15"/>
    </row>
    <row r="1745" spans="12:21">
      <c r="L1745" s="15"/>
      <c r="M1745" s="15"/>
      <c r="N1745" s="15"/>
      <c r="T1745" s="15"/>
      <c r="U1745" s="15"/>
    </row>
    <row r="1746" spans="12:21">
      <c r="L1746" s="15"/>
      <c r="M1746" s="15"/>
      <c r="N1746" s="15"/>
      <c r="T1746" s="15"/>
      <c r="U1746" s="15"/>
    </row>
    <row r="1747" spans="12:21">
      <c r="L1747" s="15"/>
      <c r="M1747" s="15"/>
      <c r="N1747" s="15"/>
      <c r="T1747" s="15"/>
      <c r="U1747" s="15"/>
    </row>
    <row r="1748" spans="12:21">
      <c r="L1748" s="15"/>
      <c r="M1748" s="15"/>
      <c r="N1748" s="15"/>
      <c r="T1748" s="15"/>
      <c r="U1748" s="15"/>
    </row>
    <row r="1749" spans="12:21">
      <c r="L1749" s="15"/>
      <c r="M1749" s="15"/>
      <c r="N1749" s="15"/>
      <c r="T1749" s="15"/>
      <c r="U1749" s="15"/>
    </row>
    <row r="1750" spans="12:21">
      <c r="L1750" s="15"/>
      <c r="M1750" s="15"/>
      <c r="N1750" s="15"/>
      <c r="T1750" s="15"/>
      <c r="U1750" s="15"/>
    </row>
    <row r="1751" spans="12:21">
      <c r="L1751" s="15"/>
      <c r="M1751" s="15"/>
      <c r="N1751" s="15"/>
      <c r="T1751" s="15"/>
      <c r="U1751" s="15"/>
    </row>
    <row r="1752" spans="12:21">
      <c r="L1752" s="15"/>
      <c r="M1752" s="15"/>
      <c r="N1752" s="15"/>
      <c r="T1752" s="15"/>
      <c r="U1752" s="15"/>
    </row>
    <row r="1753" spans="12:21">
      <c r="L1753" s="15"/>
      <c r="M1753" s="15"/>
      <c r="N1753" s="15"/>
      <c r="T1753" s="15"/>
      <c r="U1753" s="15"/>
    </row>
    <row r="1754" spans="12:21">
      <c r="L1754" s="15"/>
      <c r="M1754" s="15"/>
      <c r="N1754" s="15"/>
      <c r="T1754" s="15"/>
      <c r="U1754" s="15"/>
    </row>
    <row r="1755" spans="12:21">
      <c r="L1755" s="15"/>
      <c r="M1755" s="15"/>
      <c r="N1755" s="15"/>
      <c r="T1755" s="15"/>
      <c r="U1755" s="15"/>
    </row>
    <row r="1756" spans="12:21">
      <c r="L1756" s="15"/>
      <c r="M1756" s="15"/>
      <c r="N1756" s="15"/>
      <c r="T1756" s="15"/>
      <c r="U1756" s="15"/>
    </row>
    <row r="1757" spans="12:21">
      <c r="L1757" s="15"/>
      <c r="M1757" s="15"/>
      <c r="N1757" s="15"/>
      <c r="T1757" s="15"/>
      <c r="U1757" s="15"/>
    </row>
    <row r="1758" spans="12:21">
      <c r="L1758" s="15"/>
      <c r="M1758" s="15"/>
      <c r="N1758" s="15"/>
      <c r="T1758" s="15"/>
      <c r="U1758" s="15"/>
    </row>
    <row r="1759" spans="12:21">
      <c r="L1759" s="15"/>
      <c r="M1759" s="15"/>
      <c r="N1759" s="15"/>
      <c r="T1759" s="15"/>
      <c r="U1759" s="15"/>
    </row>
    <row r="1760" spans="12:21">
      <c r="L1760" s="15"/>
      <c r="M1760" s="15"/>
      <c r="N1760" s="15"/>
      <c r="T1760" s="15"/>
      <c r="U1760" s="15"/>
    </row>
    <row r="1761" spans="12:21">
      <c r="L1761" s="15"/>
      <c r="M1761" s="15"/>
      <c r="N1761" s="15"/>
      <c r="T1761" s="15"/>
      <c r="U1761" s="15"/>
    </row>
    <row r="1762" spans="12:21">
      <c r="L1762" s="15"/>
      <c r="M1762" s="15"/>
      <c r="N1762" s="15"/>
      <c r="T1762" s="15"/>
      <c r="U1762" s="15"/>
    </row>
    <row r="1763" spans="12:21">
      <c r="L1763" s="15"/>
      <c r="M1763" s="15"/>
      <c r="N1763" s="15"/>
      <c r="T1763" s="15"/>
      <c r="U1763" s="15"/>
    </row>
    <row r="1764" spans="12:21">
      <c r="L1764" s="15"/>
      <c r="M1764" s="15"/>
      <c r="N1764" s="15"/>
      <c r="T1764" s="15"/>
      <c r="U1764" s="15"/>
    </row>
    <row r="1765" spans="12:21">
      <c r="L1765" s="15"/>
      <c r="M1765" s="15"/>
      <c r="N1765" s="15"/>
      <c r="T1765" s="15"/>
      <c r="U1765" s="15"/>
    </row>
    <row r="1766" spans="12:21">
      <c r="L1766" s="15"/>
      <c r="M1766" s="15"/>
      <c r="N1766" s="15"/>
      <c r="T1766" s="15"/>
      <c r="U1766" s="15"/>
    </row>
    <row r="1767" spans="12:21">
      <c r="L1767" s="15"/>
      <c r="M1767" s="15"/>
      <c r="N1767" s="15"/>
      <c r="T1767" s="15"/>
      <c r="U1767" s="15"/>
    </row>
    <row r="1768" spans="12:21">
      <c r="L1768" s="15"/>
      <c r="M1768" s="15"/>
      <c r="N1768" s="15"/>
      <c r="T1768" s="15"/>
      <c r="U1768" s="15"/>
    </row>
    <row r="1769" spans="12:21">
      <c r="L1769" s="15"/>
      <c r="M1769" s="15"/>
      <c r="N1769" s="15"/>
      <c r="T1769" s="15"/>
      <c r="U1769" s="15"/>
    </row>
    <row r="1770" spans="12:21">
      <c r="L1770" s="15"/>
      <c r="M1770" s="15"/>
      <c r="N1770" s="15"/>
      <c r="T1770" s="15"/>
      <c r="U1770" s="15"/>
    </row>
    <row r="1771" spans="12:21">
      <c r="L1771" s="15"/>
      <c r="M1771" s="15"/>
      <c r="N1771" s="15"/>
      <c r="T1771" s="15"/>
      <c r="U1771" s="15"/>
    </row>
    <row r="1772" spans="12:21">
      <c r="L1772" s="15"/>
      <c r="M1772" s="15"/>
      <c r="N1772" s="15"/>
      <c r="T1772" s="15"/>
      <c r="U1772" s="15"/>
    </row>
    <row r="1773" spans="12:21">
      <c r="L1773" s="15"/>
      <c r="M1773" s="15"/>
      <c r="N1773" s="15"/>
      <c r="T1773" s="15"/>
      <c r="U1773" s="15"/>
    </row>
    <row r="1774" spans="12:21">
      <c r="L1774" s="15"/>
      <c r="M1774" s="15"/>
      <c r="N1774" s="15"/>
      <c r="T1774" s="15"/>
      <c r="U1774" s="15"/>
    </row>
    <row r="1775" spans="12:21">
      <c r="L1775" s="15"/>
      <c r="M1775" s="15"/>
      <c r="N1775" s="15"/>
      <c r="T1775" s="15"/>
      <c r="U1775" s="15"/>
    </row>
    <row r="1776" spans="12:21">
      <c r="L1776" s="15"/>
      <c r="M1776" s="15"/>
      <c r="N1776" s="15"/>
      <c r="T1776" s="15"/>
      <c r="U1776" s="15"/>
    </row>
    <row r="1777" spans="12:21">
      <c r="L1777" s="15"/>
      <c r="M1777" s="15"/>
      <c r="N1777" s="15"/>
      <c r="T1777" s="15"/>
      <c r="U1777" s="15"/>
    </row>
    <row r="1778" spans="12:21">
      <c r="L1778" s="15"/>
      <c r="M1778" s="15"/>
      <c r="N1778" s="15"/>
      <c r="T1778" s="15"/>
      <c r="U1778" s="15"/>
    </row>
    <row r="1779" spans="12:21">
      <c r="L1779" s="15"/>
      <c r="M1779" s="15"/>
      <c r="N1779" s="15"/>
      <c r="T1779" s="15"/>
      <c r="U1779" s="15"/>
    </row>
    <row r="1780" spans="12:21">
      <c r="L1780" s="15"/>
      <c r="M1780" s="15"/>
      <c r="N1780" s="15"/>
      <c r="T1780" s="15"/>
      <c r="U1780" s="15"/>
    </row>
    <row r="1781" spans="12:21">
      <c r="L1781" s="15"/>
      <c r="M1781" s="15"/>
      <c r="N1781" s="15"/>
      <c r="T1781" s="15"/>
      <c r="U1781" s="15"/>
    </row>
    <row r="1782" spans="12:21">
      <c r="L1782" s="15"/>
      <c r="M1782" s="15"/>
      <c r="N1782" s="15"/>
      <c r="T1782" s="15"/>
      <c r="U1782" s="15"/>
    </row>
    <row r="1783" spans="12:21">
      <c r="L1783" s="15"/>
      <c r="M1783" s="15"/>
      <c r="N1783" s="15"/>
      <c r="T1783" s="15"/>
      <c r="U1783" s="15"/>
    </row>
    <row r="1784" spans="12:21">
      <c r="L1784" s="15"/>
      <c r="M1784" s="15"/>
      <c r="N1784" s="15"/>
      <c r="T1784" s="15"/>
      <c r="U1784" s="15"/>
    </row>
    <row r="1785" spans="12:21">
      <c r="L1785" s="15"/>
      <c r="M1785" s="15"/>
      <c r="N1785" s="15"/>
      <c r="T1785" s="15"/>
      <c r="U1785" s="15"/>
    </row>
    <row r="1786" spans="12:21">
      <c r="L1786" s="15"/>
      <c r="M1786" s="15"/>
      <c r="N1786" s="15"/>
      <c r="T1786" s="15"/>
      <c r="U1786" s="15"/>
    </row>
    <row r="1787" spans="12:21">
      <c r="L1787" s="15"/>
      <c r="M1787" s="15"/>
      <c r="N1787" s="15"/>
      <c r="T1787" s="15"/>
      <c r="U1787" s="15"/>
    </row>
    <row r="1788" spans="12:21">
      <c r="L1788" s="15"/>
      <c r="M1788" s="15"/>
      <c r="N1788" s="15"/>
      <c r="T1788" s="15"/>
      <c r="U1788" s="15"/>
    </row>
    <row r="1789" spans="12:21">
      <c r="L1789" s="15"/>
      <c r="M1789" s="15"/>
      <c r="N1789" s="15"/>
      <c r="T1789" s="15"/>
      <c r="U1789" s="15"/>
    </row>
    <row r="1790" spans="12:21">
      <c r="L1790" s="15"/>
      <c r="M1790" s="15"/>
      <c r="N1790" s="15"/>
      <c r="T1790" s="15"/>
      <c r="U1790" s="15"/>
    </row>
    <row r="1791" spans="12:21">
      <c r="L1791" s="15"/>
      <c r="M1791" s="15"/>
      <c r="N1791" s="15"/>
      <c r="T1791" s="15"/>
      <c r="U1791" s="15"/>
    </row>
    <row r="1792" spans="12:21">
      <c r="L1792" s="15"/>
      <c r="M1792" s="15"/>
      <c r="N1792" s="15"/>
      <c r="T1792" s="15"/>
      <c r="U1792" s="15"/>
    </row>
    <row r="1793" spans="12:21">
      <c r="L1793" s="15"/>
      <c r="M1793" s="15"/>
      <c r="N1793" s="15"/>
      <c r="T1793" s="15"/>
      <c r="U1793" s="15"/>
    </row>
    <row r="1794" spans="12:21">
      <c r="L1794" s="15"/>
      <c r="M1794" s="15"/>
      <c r="N1794" s="15"/>
      <c r="T1794" s="15"/>
      <c r="U1794" s="15"/>
    </row>
    <row r="1795" spans="12:21">
      <c r="L1795" s="15"/>
      <c r="M1795" s="15"/>
      <c r="N1795" s="15"/>
      <c r="T1795" s="15"/>
      <c r="U1795" s="15"/>
    </row>
    <row r="1796" spans="12:21">
      <c r="L1796" s="15"/>
      <c r="M1796" s="15"/>
      <c r="N1796" s="15"/>
      <c r="T1796" s="15"/>
      <c r="U1796" s="15"/>
    </row>
    <row r="1797" spans="12:21">
      <c r="L1797" s="15"/>
      <c r="M1797" s="15"/>
      <c r="N1797" s="15"/>
      <c r="T1797" s="15"/>
      <c r="U1797" s="15"/>
    </row>
    <row r="1798" spans="12:21">
      <c r="L1798" s="15"/>
      <c r="M1798" s="15"/>
      <c r="N1798" s="15"/>
      <c r="T1798" s="15"/>
      <c r="U1798" s="15"/>
    </row>
    <row r="1799" spans="12:21">
      <c r="L1799" s="15"/>
      <c r="M1799" s="15"/>
      <c r="N1799" s="15"/>
      <c r="T1799" s="15"/>
      <c r="U1799" s="15"/>
    </row>
    <row r="1800" spans="12:21">
      <c r="L1800" s="15"/>
      <c r="M1800" s="15"/>
      <c r="N1800" s="15"/>
      <c r="T1800" s="15"/>
      <c r="U1800" s="15"/>
    </row>
    <row r="1801" spans="12:21">
      <c r="L1801" s="15"/>
      <c r="M1801" s="15"/>
      <c r="N1801" s="15"/>
      <c r="T1801" s="15"/>
      <c r="U1801" s="15"/>
    </row>
    <row r="1802" spans="12:21">
      <c r="L1802" s="15"/>
      <c r="M1802" s="15"/>
      <c r="N1802" s="15"/>
      <c r="T1802" s="15"/>
      <c r="U1802" s="15"/>
    </row>
    <row r="1803" spans="12:21">
      <c r="L1803" s="15"/>
      <c r="M1803" s="15"/>
      <c r="N1803" s="15"/>
      <c r="T1803" s="15"/>
      <c r="U1803" s="15"/>
    </row>
    <row r="1804" spans="12:21">
      <c r="L1804" s="15"/>
      <c r="M1804" s="15"/>
      <c r="N1804" s="15"/>
      <c r="T1804" s="15"/>
      <c r="U1804" s="15"/>
    </row>
    <row r="1805" spans="12:21">
      <c r="L1805" s="15"/>
      <c r="M1805" s="15"/>
      <c r="N1805" s="15"/>
      <c r="T1805" s="15"/>
      <c r="U1805" s="15"/>
    </row>
    <row r="1806" spans="12:21">
      <c r="L1806" s="15"/>
      <c r="M1806" s="15"/>
      <c r="N1806" s="15"/>
      <c r="T1806" s="15"/>
      <c r="U1806" s="15"/>
    </row>
    <row r="1807" spans="12:21">
      <c r="L1807" s="15"/>
      <c r="M1807" s="15"/>
      <c r="N1807" s="15"/>
      <c r="T1807" s="15"/>
      <c r="U1807" s="15"/>
    </row>
    <row r="1808" spans="12:21">
      <c r="L1808" s="15"/>
      <c r="M1808" s="15"/>
      <c r="N1808" s="15"/>
      <c r="T1808" s="15"/>
      <c r="U1808" s="15"/>
    </row>
    <row r="1809" spans="12:21">
      <c r="L1809" s="15"/>
      <c r="M1809" s="15"/>
      <c r="N1809" s="15"/>
      <c r="T1809" s="15"/>
      <c r="U1809" s="15"/>
    </row>
    <row r="1810" spans="12:21">
      <c r="L1810" s="15"/>
      <c r="M1810" s="15"/>
      <c r="N1810" s="15"/>
      <c r="T1810" s="15"/>
      <c r="U1810" s="15"/>
    </row>
    <row r="1811" spans="12:21">
      <c r="L1811" s="15"/>
      <c r="M1811" s="15"/>
      <c r="N1811" s="15"/>
      <c r="T1811" s="15"/>
      <c r="U1811" s="15"/>
    </row>
    <row r="1812" spans="12:21">
      <c r="L1812" s="15"/>
      <c r="M1812" s="15"/>
      <c r="N1812" s="15"/>
      <c r="T1812" s="15"/>
      <c r="U1812" s="15"/>
    </row>
    <row r="1813" spans="12:21">
      <c r="L1813" s="15"/>
      <c r="M1813" s="15"/>
      <c r="N1813" s="15"/>
      <c r="T1813" s="15"/>
      <c r="U1813" s="15"/>
    </row>
    <row r="1814" spans="12:21">
      <c r="L1814" s="15"/>
      <c r="M1814" s="15"/>
      <c r="N1814" s="15"/>
      <c r="T1814" s="15"/>
      <c r="U1814" s="15"/>
    </row>
    <row r="1815" spans="12:21">
      <c r="L1815" s="15"/>
      <c r="M1815" s="15"/>
      <c r="N1815" s="15"/>
      <c r="T1815" s="15"/>
      <c r="U1815" s="15"/>
    </row>
    <row r="1816" spans="12:21">
      <c r="L1816" s="15"/>
      <c r="M1816" s="15"/>
      <c r="N1816" s="15"/>
      <c r="T1816" s="15"/>
      <c r="U1816" s="15"/>
    </row>
    <row r="1817" spans="12:21">
      <c r="L1817" s="15"/>
      <c r="M1817" s="15"/>
      <c r="N1817" s="15"/>
      <c r="T1817" s="15"/>
      <c r="U1817" s="15"/>
    </row>
    <row r="1818" spans="12:21">
      <c r="L1818" s="15"/>
      <c r="M1818" s="15"/>
      <c r="N1818" s="15"/>
      <c r="T1818" s="15"/>
      <c r="U1818" s="15"/>
    </row>
    <row r="1819" spans="12:21">
      <c r="L1819" s="15"/>
      <c r="M1819" s="15"/>
      <c r="N1819" s="15"/>
      <c r="T1819" s="15"/>
      <c r="U1819" s="15"/>
    </row>
    <row r="1820" spans="12:21">
      <c r="L1820" s="15"/>
      <c r="M1820" s="15"/>
      <c r="N1820" s="15"/>
      <c r="T1820" s="15"/>
      <c r="U1820" s="15"/>
    </row>
    <row r="1821" spans="12:21">
      <c r="L1821" s="15"/>
      <c r="M1821" s="15"/>
      <c r="N1821" s="15"/>
      <c r="T1821" s="15"/>
      <c r="U1821" s="15"/>
    </row>
    <row r="1822" spans="12:21">
      <c r="L1822" s="15"/>
      <c r="M1822" s="15"/>
      <c r="N1822" s="15"/>
      <c r="T1822" s="15"/>
      <c r="U1822" s="15"/>
    </row>
    <row r="1823" spans="12:21">
      <c r="L1823" s="15"/>
      <c r="M1823" s="15"/>
      <c r="N1823" s="15"/>
      <c r="T1823" s="15"/>
      <c r="U1823" s="15"/>
    </row>
    <row r="1824" spans="12:21">
      <c r="L1824" s="15"/>
      <c r="M1824" s="15"/>
      <c r="N1824" s="15"/>
      <c r="T1824" s="15"/>
      <c r="U1824" s="15"/>
    </row>
    <row r="1825" spans="12:21">
      <c r="L1825" s="15"/>
      <c r="M1825" s="15"/>
      <c r="N1825" s="15"/>
      <c r="T1825" s="15"/>
      <c r="U1825" s="15"/>
    </row>
    <row r="1826" spans="12:21">
      <c r="L1826" s="15"/>
      <c r="M1826" s="15"/>
      <c r="N1826" s="15"/>
      <c r="T1826" s="15"/>
      <c r="U1826" s="15"/>
    </row>
    <row r="1827" spans="12:21">
      <c r="L1827" s="15"/>
      <c r="M1827" s="15"/>
      <c r="N1827" s="15"/>
      <c r="T1827" s="15"/>
      <c r="U1827" s="15"/>
    </row>
    <row r="1828" spans="12:21">
      <c r="L1828" s="15"/>
      <c r="M1828" s="15"/>
      <c r="N1828" s="15"/>
      <c r="T1828" s="15"/>
      <c r="U1828" s="15"/>
    </row>
    <row r="1829" spans="12:21">
      <c r="L1829" s="15"/>
      <c r="M1829" s="15"/>
      <c r="N1829" s="15"/>
      <c r="T1829" s="15"/>
      <c r="U1829" s="15"/>
    </row>
    <row r="1830" spans="12:21">
      <c r="L1830" s="15"/>
      <c r="M1830" s="15"/>
      <c r="N1830" s="15"/>
      <c r="T1830" s="15"/>
      <c r="U1830" s="15"/>
    </row>
    <row r="1831" spans="12:21">
      <c r="L1831" s="15"/>
      <c r="M1831" s="15"/>
      <c r="N1831" s="15"/>
      <c r="T1831" s="15"/>
      <c r="U1831" s="15"/>
    </row>
    <row r="1832" spans="12:21">
      <c r="L1832" s="15"/>
      <c r="M1832" s="15"/>
      <c r="N1832" s="15"/>
      <c r="T1832" s="15"/>
      <c r="U1832" s="15"/>
    </row>
    <row r="1833" spans="12:21">
      <c r="L1833" s="15"/>
      <c r="M1833" s="15"/>
      <c r="N1833" s="15"/>
      <c r="T1833" s="15"/>
      <c r="U1833" s="15"/>
    </row>
    <row r="1834" spans="12:21">
      <c r="L1834" s="15"/>
      <c r="M1834" s="15"/>
      <c r="N1834" s="15"/>
      <c r="T1834" s="15"/>
      <c r="U1834" s="15"/>
    </row>
    <row r="1835" spans="12:21">
      <c r="L1835" s="15"/>
      <c r="M1835" s="15"/>
      <c r="N1835" s="15"/>
      <c r="T1835" s="15"/>
      <c r="U1835" s="15"/>
    </row>
    <row r="1836" spans="12:21">
      <c r="L1836" s="15"/>
      <c r="M1836" s="15"/>
      <c r="N1836" s="15"/>
      <c r="T1836" s="15"/>
      <c r="U1836" s="15"/>
    </row>
    <row r="1837" spans="12:21">
      <c r="L1837" s="15"/>
      <c r="M1837" s="15"/>
      <c r="N1837" s="15"/>
      <c r="T1837" s="15"/>
      <c r="U1837" s="15"/>
    </row>
    <row r="1838" spans="12:21">
      <c r="L1838" s="15"/>
      <c r="M1838" s="15"/>
      <c r="N1838" s="15"/>
      <c r="T1838" s="15"/>
      <c r="U1838" s="15"/>
    </row>
    <row r="1839" spans="12:21">
      <c r="L1839" s="15"/>
      <c r="M1839" s="15"/>
      <c r="N1839" s="15"/>
      <c r="T1839" s="15"/>
      <c r="U1839" s="15"/>
    </row>
    <row r="1840" spans="12:21">
      <c r="L1840" s="15"/>
      <c r="M1840" s="15"/>
      <c r="N1840" s="15"/>
      <c r="T1840" s="15"/>
      <c r="U1840" s="15"/>
    </row>
    <row r="1841" spans="12:21">
      <c r="L1841" s="15"/>
      <c r="M1841" s="15"/>
      <c r="N1841" s="15"/>
      <c r="T1841" s="15"/>
      <c r="U1841" s="15"/>
    </row>
    <row r="1842" spans="12:21">
      <c r="L1842" s="15"/>
      <c r="M1842" s="15"/>
      <c r="N1842" s="15"/>
      <c r="T1842" s="15"/>
      <c r="U1842" s="15"/>
    </row>
    <row r="1843" spans="12:21">
      <c r="L1843" s="15"/>
      <c r="M1843" s="15"/>
      <c r="N1843" s="15"/>
      <c r="T1843" s="15"/>
      <c r="U1843" s="15"/>
    </row>
    <row r="1844" spans="12:21">
      <c r="L1844" s="15"/>
      <c r="M1844" s="15"/>
      <c r="N1844" s="15"/>
      <c r="T1844" s="15"/>
      <c r="U1844" s="15"/>
    </row>
    <row r="1845" spans="12:21">
      <c r="L1845" s="15"/>
      <c r="M1845" s="15"/>
      <c r="N1845" s="15"/>
      <c r="T1845" s="15"/>
      <c r="U1845" s="15"/>
    </row>
    <row r="1846" spans="12:21">
      <c r="L1846" s="15"/>
      <c r="M1846" s="15"/>
      <c r="N1846" s="15"/>
      <c r="T1846" s="15"/>
      <c r="U1846" s="15"/>
    </row>
    <row r="1847" spans="12:21">
      <c r="L1847" s="15"/>
      <c r="M1847" s="15"/>
      <c r="N1847" s="15"/>
      <c r="T1847" s="15"/>
      <c r="U1847" s="15"/>
    </row>
    <row r="1848" spans="12:21">
      <c r="L1848" s="15"/>
      <c r="M1848" s="15"/>
      <c r="N1848" s="15"/>
      <c r="T1848" s="15"/>
      <c r="U1848" s="15"/>
    </row>
    <row r="1849" spans="12:21">
      <c r="L1849" s="15"/>
      <c r="M1849" s="15"/>
      <c r="N1849" s="15"/>
      <c r="T1849" s="15"/>
      <c r="U1849" s="15"/>
    </row>
    <row r="1850" spans="12:21">
      <c r="L1850" s="15"/>
      <c r="M1850" s="15"/>
      <c r="N1850" s="15"/>
      <c r="T1850" s="15"/>
      <c r="U1850" s="15"/>
    </row>
    <row r="1851" spans="12:21">
      <c r="L1851" s="15"/>
      <c r="M1851" s="15"/>
      <c r="N1851" s="15"/>
      <c r="T1851" s="15"/>
      <c r="U1851" s="15"/>
    </row>
    <row r="1852" spans="12:21">
      <c r="L1852" s="15"/>
      <c r="M1852" s="15"/>
      <c r="N1852" s="15"/>
      <c r="T1852" s="15"/>
      <c r="U1852" s="15"/>
    </row>
    <row r="1853" spans="12:21">
      <c r="L1853" s="15"/>
      <c r="M1853" s="15"/>
      <c r="N1853" s="15"/>
      <c r="T1853" s="15"/>
      <c r="U1853" s="15"/>
    </row>
    <row r="1854" spans="12:21">
      <c r="L1854" s="15"/>
      <c r="M1854" s="15"/>
      <c r="N1854" s="15"/>
      <c r="T1854" s="15"/>
      <c r="U1854" s="15"/>
    </row>
    <row r="1855" spans="12:21">
      <c r="L1855" s="15"/>
      <c r="M1855" s="15"/>
      <c r="N1855" s="15"/>
      <c r="T1855" s="15"/>
      <c r="U1855" s="15"/>
    </row>
    <row r="1856" spans="12:21">
      <c r="L1856" s="15"/>
      <c r="M1856" s="15"/>
      <c r="N1856" s="15"/>
      <c r="T1856" s="15"/>
      <c r="U1856" s="15"/>
    </row>
    <row r="1857" spans="12:21">
      <c r="L1857" s="15"/>
      <c r="M1857" s="15"/>
      <c r="N1857" s="15"/>
      <c r="T1857" s="15"/>
      <c r="U1857" s="15"/>
    </row>
    <row r="1858" spans="12:21">
      <c r="L1858" s="15"/>
      <c r="M1858" s="15"/>
      <c r="N1858" s="15"/>
      <c r="T1858" s="15"/>
      <c r="U1858" s="15"/>
    </row>
    <row r="1859" spans="12:21">
      <c r="L1859" s="15"/>
      <c r="M1859" s="15"/>
      <c r="N1859" s="15"/>
      <c r="T1859" s="15"/>
      <c r="U1859" s="15"/>
    </row>
    <row r="1860" spans="12:21">
      <c r="L1860" s="15"/>
      <c r="M1860" s="15"/>
      <c r="N1860" s="15"/>
      <c r="T1860" s="15"/>
      <c r="U1860" s="15"/>
    </row>
    <row r="1861" spans="12:21">
      <c r="L1861" s="15"/>
      <c r="M1861" s="15"/>
      <c r="N1861" s="15"/>
      <c r="T1861" s="15"/>
      <c r="U1861" s="15"/>
    </row>
    <row r="1862" spans="12:21">
      <c r="L1862" s="15"/>
      <c r="M1862" s="15"/>
      <c r="N1862" s="15"/>
      <c r="T1862" s="15"/>
      <c r="U1862" s="15"/>
    </row>
    <row r="1863" spans="12:21">
      <c r="L1863" s="15"/>
      <c r="M1863" s="15"/>
      <c r="N1863" s="15"/>
      <c r="T1863" s="15"/>
      <c r="U1863" s="15"/>
    </row>
    <row r="1864" spans="12:21">
      <c r="L1864" s="15"/>
      <c r="M1864" s="15"/>
      <c r="N1864" s="15"/>
      <c r="T1864" s="15"/>
      <c r="U1864" s="15"/>
    </row>
    <row r="1865" spans="12:21">
      <c r="L1865" s="15"/>
      <c r="M1865" s="15"/>
      <c r="N1865" s="15"/>
      <c r="T1865" s="15"/>
      <c r="U1865" s="15"/>
    </row>
    <row r="1866" spans="12:21">
      <c r="L1866" s="15"/>
      <c r="M1866" s="15"/>
      <c r="N1866" s="15"/>
      <c r="T1866" s="15"/>
      <c r="U1866" s="15"/>
    </row>
    <row r="1867" spans="12:21">
      <c r="L1867" s="15"/>
      <c r="M1867" s="15"/>
      <c r="N1867" s="15"/>
      <c r="T1867" s="15"/>
      <c r="U1867" s="15"/>
    </row>
    <row r="1868" spans="12:21">
      <c r="L1868" s="15"/>
      <c r="M1868" s="15"/>
      <c r="N1868" s="15"/>
      <c r="T1868" s="15"/>
      <c r="U1868" s="15"/>
    </row>
    <row r="1869" spans="12:21">
      <c r="L1869" s="15"/>
      <c r="M1869" s="15"/>
      <c r="N1869" s="15"/>
      <c r="T1869" s="15"/>
      <c r="U1869" s="15"/>
    </row>
    <row r="1870" spans="12:21">
      <c r="L1870" s="15"/>
      <c r="M1870" s="15"/>
      <c r="N1870" s="15"/>
      <c r="T1870" s="15"/>
      <c r="U1870" s="15"/>
    </row>
    <row r="1871" spans="12:21">
      <c r="L1871" s="15"/>
      <c r="M1871" s="15"/>
      <c r="N1871" s="15"/>
      <c r="T1871" s="15"/>
      <c r="U1871" s="15"/>
    </row>
    <row r="1872" spans="12:21">
      <c r="L1872" s="15"/>
      <c r="M1872" s="15"/>
      <c r="N1872" s="15"/>
      <c r="T1872" s="15"/>
      <c r="U1872" s="15"/>
    </row>
    <row r="1873" spans="12:21">
      <c r="L1873" s="15"/>
      <c r="M1873" s="15"/>
      <c r="N1873" s="15"/>
      <c r="T1873" s="15"/>
      <c r="U1873" s="15"/>
    </row>
    <row r="1874" spans="12:21">
      <c r="L1874" s="15"/>
      <c r="M1874" s="15"/>
      <c r="N1874" s="15"/>
      <c r="T1874" s="15"/>
      <c r="U1874" s="15"/>
    </row>
    <row r="1875" spans="12:21">
      <c r="L1875" s="15"/>
      <c r="M1875" s="15"/>
      <c r="N1875" s="15"/>
      <c r="T1875" s="15"/>
      <c r="U1875" s="15"/>
    </row>
    <row r="1876" spans="12:21">
      <c r="L1876" s="15"/>
      <c r="M1876" s="15"/>
      <c r="N1876" s="15"/>
      <c r="T1876" s="15"/>
      <c r="U1876" s="15"/>
    </row>
    <row r="1877" spans="12:21">
      <c r="L1877" s="15"/>
      <c r="M1877" s="15"/>
      <c r="N1877" s="15"/>
      <c r="T1877" s="15"/>
      <c r="U1877" s="15"/>
    </row>
    <row r="1878" spans="12:21">
      <c r="L1878" s="15"/>
      <c r="M1878" s="15"/>
      <c r="N1878" s="15"/>
      <c r="T1878" s="15"/>
      <c r="U1878" s="15"/>
    </row>
    <row r="1879" spans="12:21">
      <c r="L1879" s="15"/>
      <c r="M1879" s="15"/>
      <c r="N1879" s="15"/>
      <c r="T1879" s="15"/>
      <c r="U1879" s="15"/>
    </row>
    <row r="1880" spans="12:21">
      <c r="L1880" s="15"/>
      <c r="M1880" s="15"/>
      <c r="N1880" s="15"/>
      <c r="T1880" s="15"/>
      <c r="U1880" s="15"/>
    </row>
    <row r="1881" spans="12:21">
      <c r="L1881" s="15"/>
      <c r="M1881" s="15"/>
      <c r="N1881" s="15"/>
      <c r="T1881" s="15"/>
      <c r="U1881" s="15"/>
    </row>
    <row r="1882" spans="12:21">
      <c r="L1882" s="15"/>
      <c r="M1882" s="15"/>
      <c r="N1882" s="15"/>
      <c r="T1882" s="15"/>
      <c r="U1882" s="15"/>
    </row>
    <row r="1883" spans="12:21">
      <c r="L1883" s="15"/>
      <c r="M1883" s="15"/>
      <c r="N1883" s="15"/>
      <c r="T1883" s="15"/>
      <c r="U1883" s="15"/>
    </row>
    <row r="1884" spans="12:21">
      <c r="L1884" s="15"/>
      <c r="M1884" s="15"/>
      <c r="N1884" s="15"/>
      <c r="T1884" s="15"/>
      <c r="U1884" s="15"/>
    </row>
    <row r="1885" spans="12:21">
      <c r="L1885" s="15"/>
      <c r="M1885" s="15"/>
      <c r="N1885" s="15"/>
      <c r="T1885" s="15"/>
      <c r="U1885" s="15"/>
    </row>
    <row r="1886" spans="12:21">
      <c r="L1886" s="15"/>
      <c r="M1886" s="15"/>
      <c r="N1886" s="15"/>
      <c r="T1886" s="15"/>
      <c r="U1886" s="15"/>
    </row>
    <row r="1887" spans="12:21">
      <c r="L1887" s="15"/>
      <c r="M1887" s="15"/>
      <c r="N1887" s="15"/>
      <c r="T1887" s="15"/>
      <c r="U1887" s="15"/>
    </row>
    <row r="1888" spans="12:21">
      <c r="L1888" s="15"/>
      <c r="M1888" s="15"/>
      <c r="N1888" s="15"/>
      <c r="T1888" s="15"/>
      <c r="U1888" s="15"/>
    </row>
    <row r="1889" spans="12:21">
      <c r="L1889" s="15"/>
      <c r="M1889" s="15"/>
      <c r="N1889" s="15"/>
      <c r="T1889" s="15"/>
      <c r="U1889" s="15"/>
    </row>
    <row r="1890" spans="12:21">
      <c r="L1890" s="15"/>
      <c r="M1890" s="15"/>
      <c r="N1890" s="15"/>
      <c r="T1890" s="15"/>
      <c r="U1890" s="15"/>
    </row>
    <row r="1891" spans="12:21">
      <c r="N1891" s="15"/>
    </row>
  </sheetData>
  <mergeCells count="72">
    <mergeCell ref="B550:C566"/>
    <mergeCell ref="B567:C581"/>
    <mergeCell ref="B597:C611"/>
    <mergeCell ref="B627:C643"/>
    <mergeCell ref="B689:C703"/>
    <mergeCell ref="A347:A408"/>
    <mergeCell ref="A409:A470"/>
    <mergeCell ref="A253:A329"/>
    <mergeCell ref="A471:A515"/>
    <mergeCell ref="A516:A718"/>
    <mergeCell ref="A330:A346"/>
    <mergeCell ref="C270:C284"/>
    <mergeCell ref="V1:W1"/>
    <mergeCell ref="C6:W6"/>
    <mergeCell ref="C7:W7"/>
    <mergeCell ref="C8:W8"/>
    <mergeCell ref="A13:C14"/>
    <mergeCell ref="C88:C102"/>
    <mergeCell ref="C133:C147"/>
    <mergeCell ref="A15:W15"/>
    <mergeCell ref="A16:C18"/>
    <mergeCell ref="A19:C21"/>
    <mergeCell ref="A22:A207"/>
    <mergeCell ref="V13:V14"/>
    <mergeCell ref="F13:U13"/>
    <mergeCell ref="A208:A252"/>
    <mergeCell ref="W13:W14"/>
    <mergeCell ref="D13:D14"/>
    <mergeCell ref="E13:E14"/>
    <mergeCell ref="B22:C38"/>
    <mergeCell ref="B39:C55"/>
    <mergeCell ref="B56:C72"/>
    <mergeCell ref="C103:C117"/>
    <mergeCell ref="C118:C132"/>
    <mergeCell ref="C148:C162"/>
    <mergeCell ref="C300:C314"/>
    <mergeCell ref="B163:C177"/>
    <mergeCell ref="B178:C192"/>
    <mergeCell ref="B193:C207"/>
    <mergeCell ref="B208:C222"/>
    <mergeCell ref="B223:C237"/>
    <mergeCell ref="B238:C252"/>
    <mergeCell ref="B253:C269"/>
    <mergeCell ref="C285:C299"/>
    <mergeCell ref="B73:B117"/>
    <mergeCell ref="B118:B162"/>
    <mergeCell ref="C73:C87"/>
    <mergeCell ref="B270:B299"/>
    <mergeCell ref="B364:C378"/>
    <mergeCell ref="C315:C329"/>
    <mergeCell ref="B394:C408"/>
    <mergeCell ref="B409:C425"/>
    <mergeCell ref="B379:C393"/>
    <mergeCell ref="B330:C346"/>
    <mergeCell ref="B347:C363"/>
    <mergeCell ref="B300:B329"/>
    <mergeCell ref="B719:C733"/>
    <mergeCell ref="B734:C748"/>
    <mergeCell ref="B426:C440"/>
    <mergeCell ref="B456:C470"/>
    <mergeCell ref="B471:C485"/>
    <mergeCell ref="B441:C455"/>
    <mergeCell ref="B486:C500"/>
    <mergeCell ref="B501:C515"/>
    <mergeCell ref="B516:C532"/>
    <mergeCell ref="B644:C658"/>
    <mergeCell ref="B674:C688"/>
    <mergeCell ref="B582:C596"/>
    <mergeCell ref="B612:C626"/>
    <mergeCell ref="B659:C673"/>
    <mergeCell ref="B704:C718"/>
    <mergeCell ref="B533:C549"/>
  </mergeCells>
  <pageMargins left="0.19685039370078741" right="0.19685039370078741" top="0.19685039370078741" bottom="0.19685039370078741" header="0.19685039370078741" footer="0.31496062992125984"/>
  <pageSetup paperSize="9" scale="21" fitToHeight="2" orientation="portrait" r:id="rId1"/>
  <rowBreaks count="2" manualBreakCount="2">
    <brk id="207" max="22" man="1"/>
    <brk id="596" max="2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C000"/>
  </sheetPr>
  <dimension ref="A1:AB1906"/>
  <sheetViews>
    <sheetView view="pageBreakPreview" zoomScale="70" zoomScaleNormal="70" zoomScaleSheetLayoutView="70" workbookViewId="0">
      <pane xSplit="5" ySplit="15" topLeftCell="I495" activePane="bottomRight" state="frozen"/>
      <selection pane="topRight" activeCell="F1" sqref="F1"/>
      <selection pane="bottomLeft" activeCell="A17" sqref="A17"/>
      <selection pane="bottomRight" activeCell="O509" sqref="O509:P509"/>
    </sheetView>
  </sheetViews>
  <sheetFormatPr defaultColWidth="9.33203125" defaultRowHeight="12.55"/>
  <cols>
    <col min="1" max="1" width="10.44140625" style="249" customWidth="1"/>
    <col min="2" max="2" width="6.44140625" style="249" customWidth="1"/>
    <col min="3" max="3" width="7" style="155" customWidth="1"/>
    <col min="4" max="4" width="31.88671875" style="155" customWidth="1"/>
    <col min="5" max="5" width="14.109375" style="1" customWidth="1"/>
    <col min="6" max="6" width="12.44140625" style="15" customWidth="1"/>
    <col min="7" max="11" width="11.44140625" style="15" customWidth="1"/>
    <col min="12" max="12" width="12" style="16" customWidth="1"/>
    <col min="13" max="13" width="11.44140625" style="16" customWidth="1"/>
    <col min="14" max="14" width="12.5546875" style="17" customWidth="1"/>
    <col min="15" max="17" width="11.44140625" style="15" customWidth="1"/>
    <col min="18" max="19" width="13" style="15" customWidth="1"/>
    <col min="20" max="20" width="13.44140625" style="16" customWidth="1"/>
    <col min="21" max="21" width="13.5546875" style="16" customWidth="1"/>
    <col min="22" max="22" width="14.44140625" style="78" customWidth="1"/>
    <col min="23" max="23" width="14.44140625" style="15" customWidth="1"/>
    <col min="24" max="24" width="14.44140625" style="13" customWidth="1"/>
    <col min="25" max="16384" width="9.33203125" style="13"/>
  </cols>
  <sheetData>
    <row r="1" spans="1:24" s="3" customFormat="1" ht="30.05" customHeight="1">
      <c r="A1" s="545" t="s">
        <v>48</v>
      </c>
      <c r="B1" s="155"/>
      <c r="C1" s="155"/>
      <c r="D1" s="155"/>
      <c r="E1" s="519" t="s">
        <v>131</v>
      </c>
      <c r="F1" s="472">
        <v>12025</v>
      </c>
      <c r="G1" s="472">
        <v>530895</v>
      </c>
      <c r="H1" s="472">
        <v>508177</v>
      </c>
      <c r="I1" s="472">
        <v>390778</v>
      </c>
      <c r="J1" s="472">
        <v>103095</v>
      </c>
      <c r="K1" s="472">
        <v>98360</v>
      </c>
      <c r="L1" s="472"/>
      <c r="M1" s="472"/>
      <c r="N1" s="472">
        <v>104779</v>
      </c>
      <c r="O1" s="472">
        <v>127068</v>
      </c>
      <c r="P1" s="472">
        <v>77442</v>
      </c>
      <c r="Q1" s="472">
        <v>82107</v>
      </c>
      <c r="R1" s="472">
        <v>93100</v>
      </c>
      <c r="S1" s="472">
        <v>714391</v>
      </c>
      <c r="T1" s="472">
        <v>2842217</v>
      </c>
      <c r="U1" s="329">
        <v>2842.2170000000001</v>
      </c>
      <c r="V1" s="681" t="s">
        <v>3</v>
      </c>
      <c r="W1" s="681"/>
    </row>
    <row r="2" spans="1:24" s="3" customFormat="1" ht="17.7" customHeight="1">
      <c r="A2" s="155"/>
      <c r="B2" s="155"/>
      <c r="C2" s="155"/>
      <c r="D2" s="155"/>
      <c r="E2" s="385"/>
      <c r="F2" s="476">
        <f>F1/1000</f>
        <v>12.025</v>
      </c>
      <c r="G2" s="476">
        <f t="shared" ref="G2:K2" si="0">G1/1000</f>
        <v>530.89499999999998</v>
      </c>
      <c r="H2" s="476">
        <f t="shared" si="0"/>
        <v>508.17700000000002</v>
      </c>
      <c r="I2" s="476">
        <f t="shared" si="0"/>
        <v>390.77800000000002</v>
      </c>
      <c r="J2" s="476">
        <f t="shared" si="0"/>
        <v>103.095</v>
      </c>
      <c r="K2" s="476">
        <f t="shared" si="0"/>
        <v>98.36</v>
      </c>
      <c r="L2" s="476"/>
      <c r="M2" s="476"/>
      <c r="N2" s="476">
        <f>N1/1000</f>
        <v>104.779</v>
      </c>
      <c r="O2" s="476">
        <f t="shared" ref="O2:S2" si="1">O1/1000</f>
        <v>127.068</v>
      </c>
      <c r="P2" s="476">
        <f t="shared" si="1"/>
        <v>77.441999999999993</v>
      </c>
      <c r="Q2" s="476">
        <f t="shared" si="1"/>
        <v>82.106999999999999</v>
      </c>
      <c r="R2" s="476">
        <f t="shared" si="1"/>
        <v>93.1</v>
      </c>
      <c r="S2" s="476">
        <f t="shared" si="1"/>
        <v>714.39099999999996</v>
      </c>
      <c r="T2" s="479">
        <f>SUM(F2:S2)</f>
        <v>2842.2170000000001</v>
      </c>
      <c r="U2" s="329">
        <f>U1-T1</f>
        <v>-2839374.7829999998</v>
      </c>
      <c r="V2" s="77"/>
      <c r="W2" s="1"/>
    </row>
    <row r="3" spans="1:24" s="3" customFormat="1" ht="17.7" customHeight="1">
      <c r="A3" s="155"/>
      <c r="B3" s="155"/>
      <c r="C3" s="155"/>
      <c r="D3" s="155"/>
      <c r="E3" s="385"/>
      <c r="F3" s="477">
        <f>F2-F17-F18</f>
        <v>0</v>
      </c>
      <c r="G3" s="477">
        <f t="shared" ref="G3:K3" si="2">G2-G17-G18</f>
        <v>0</v>
      </c>
      <c r="H3" s="477">
        <f t="shared" si="2"/>
        <v>0</v>
      </c>
      <c r="I3" s="477">
        <f t="shared" si="2"/>
        <v>0</v>
      </c>
      <c r="J3" s="477">
        <f t="shared" si="2"/>
        <v>0</v>
      </c>
      <c r="K3" s="477">
        <f t="shared" si="2"/>
        <v>0</v>
      </c>
      <c r="L3" s="477"/>
      <c r="M3" s="477"/>
      <c r="N3" s="477">
        <f>N2-N17-N18</f>
        <v>0</v>
      </c>
      <c r="O3" s="477">
        <f t="shared" ref="O3" si="3">O2-O17-O18</f>
        <v>0</v>
      </c>
      <c r="P3" s="477">
        <f t="shared" ref="P3" si="4">P2-P17-P18</f>
        <v>0</v>
      </c>
      <c r="Q3" s="477">
        <f t="shared" ref="Q3" si="5">Q2-Q17-Q18</f>
        <v>0</v>
      </c>
      <c r="R3" s="477">
        <f t="shared" ref="R3" si="6">R2-R17-R18</f>
        <v>0</v>
      </c>
      <c r="S3" s="477">
        <f t="shared" ref="S3" si="7">S2-S17-S18</f>
        <v>0</v>
      </c>
      <c r="T3" s="478">
        <f>SUM(F3:S3)</f>
        <v>0</v>
      </c>
      <c r="U3" s="329">
        <f>U1-V16</f>
        <v>0</v>
      </c>
      <c r="V3" s="77"/>
      <c r="W3" s="1"/>
    </row>
    <row r="4" spans="1:24" s="3" customFormat="1" ht="17.7" customHeight="1">
      <c r="A4" s="155"/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"/>
      <c r="V4" s="77"/>
      <c r="W4" s="1"/>
    </row>
    <row r="5" spans="1:24" s="3" customFormat="1" ht="17.7" customHeight="1">
      <c r="A5" s="155"/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"/>
      <c r="V5" s="77"/>
      <c r="W5" s="1"/>
    </row>
    <row r="6" spans="1:24" s="7" customFormat="1" ht="17.55">
      <c r="A6" s="162"/>
      <c r="B6" s="162"/>
      <c r="C6" s="680" t="s">
        <v>85</v>
      </c>
      <c r="D6" s="680"/>
      <c r="E6" s="680"/>
      <c r="F6" s="680"/>
      <c r="G6" s="680"/>
      <c r="H6" s="680"/>
      <c r="I6" s="680"/>
      <c r="J6" s="680"/>
      <c r="K6" s="680"/>
      <c r="L6" s="680"/>
      <c r="M6" s="680"/>
      <c r="N6" s="680"/>
      <c r="O6" s="680"/>
      <c r="P6" s="680"/>
      <c r="Q6" s="680"/>
      <c r="R6" s="680"/>
      <c r="S6" s="680"/>
      <c r="T6" s="680"/>
      <c r="U6" s="680"/>
      <c r="V6" s="680"/>
      <c r="W6" s="680"/>
    </row>
    <row r="7" spans="1:24" s="7" customFormat="1" ht="18.8" customHeight="1">
      <c r="A7" s="162"/>
      <c r="B7" s="162"/>
      <c r="C7" s="674" t="s">
        <v>111</v>
      </c>
      <c r="D7" s="674"/>
      <c r="E7" s="674"/>
      <c r="F7" s="674"/>
      <c r="G7" s="674"/>
      <c r="H7" s="674"/>
      <c r="I7" s="674"/>
      <c r="J7" s="674"/>
      <c r="K7" s="674"/>
      <c r="L7" s="674"/>
      <c r="M7" s="674"/>
      <c r="N7" s="674"/>
      <c r="O7" s="674"/>
      <c r="P7" s="674"/>
      <c r="Q7" s="674"/>
      <c r="R7" s="674"/>
      <c r="S7" s="674"/>
      <c r="T7" s="674"/>
      <c r="U7" s="674"/>
      <c r="V7" s="674"/>
      <c r="W7" s="674"/>
    </row>
    <row r="8" spans="1:24" s="7" customFormat="1" ht="15.65">
      <c r="A8" s="162"/>
      <c r="B8" s="162"/>
      <c r="C8" s="613" t="str">
        <f>серпень!C8</f>
        <v>станом на 01.09.2025</v>
      </c>
      <c r="D8" s="613"/>
      <c r="E8" s="613"/>
      <c r="F8" s="613"/>
      <c r="G8" s="613"/>
      <c r="H8" s="613"/>
      <c r="I8" s="613"/>
      <c r="J8" s="613"/>
      <c r="K8" s="613"/>
      <c r="L8" s="613"/>
      <c r="M8" s="613"/>
      <c r="N8" s="613"/>
      <c r="O8" s="613"/>
      <c r="P8" s="613"/>
      <c r="Q8" s="613"/>
      <c r="R8" s="613"/>
      <c r="S8" s="613"/>
      <c r="T8" s="613"/>
      <c r="U8" s="613"/>
      <c r="V8" s="613"/>
      <c r="W8" s="613"/>
    </row>
    <row r="9" spans="1:24" s="3" customFormat="1" ht="15.65">
      <c r="A9" s="155"/>
      <c r="B9" s="155"/>
      <c r="C9" s="155"/>
      <c r="D9" s="164"/>
      <c r="E9" s="1"/>
      <c r="F9" s="1"/>
      <c r="G9" s="1"/>
      <c r="H9" s="290"/>
      <c r="I9" s="290"/>
      <c r="J9" s="1"/>
      <c r="K9" s="1"/>
      <c r="L9" s="1"/>
      <c r="M9" s="1"/>
      <c r="N9" s="81"/>
      <c r="O9" s="290"/>
      <c r="P9" s="1"/>
      <c r="Q9" s="1"/>
      <c r="R9" s="1"/>
      <c r="S9" s="1"/>
      <c r="T9" s="1"/>
      <c r="U9" s="1"/>
      <c r="V9" s="79"/>
      <c r="W9" s="1"/>
    </row>
    <row r="10" spans="1:24" s="379" customFormat="1" ht="17.100000000000001" customHeight="1">
      <c r="A10" s="372"/>
      <c r="B10" s="372"/>
      <c r="C10" s="372"/>
      <c r="D10" s="378"/>
      <c r="E10" s="529" t="s">
        <v>126</v>
      </c>
      <c r="F10" s="373">
        <v>5533.22</v>
      </c>
      <c r="G10" s="373">
        <v>528911.09</v>
      </c>
      <c r="H10" s="373">
        <v>514229.58</v>
      </c>
      <c r="I10" s="373">
        <v>374600.48</v>
      </c>
      <c r="J10" s="373">
        <v>116593.08</v>
      </c>
      <c r="K10" s="373">
        <v>103139.1</v>
      </c>
      <c r="L10" s="373"/>
      <c r="M10" s="373"/>
      <c r="N10" s="373">
        <v>100722.7</v>
      </c>
      <c r="O10" s="373">
        <v>119802.37</v>
      </c>
      <c r="P10" s="373"/>
      <c r="Q10" s="373"/>
      <c r="R10" s="373"/>
      <c r="S10" s="373"/>
      <c r="T10" s="373"/>
      <c r="U10" s="373"/>
      <c r="V10" s="395"/>
      <c r="W10" s="373"/>
    </row>
    <row r="11" spans="1:24" s="3" customFormat="1" ht="17.100000000000001" customHeight="1">
      <c r="A11" s="155"/>
      <c r="B11" s="155"/>
      <c r="C11" s="155"/>
      <c r="D11" s="164"/>
      <c r="E11" s="1"/>
      <c r="F11" s="81">
        <f>F10/1000</f>
        <v>5.5330000000000004</v>
      </c>
      <c r="G11" s="81">
        <f t="shared" ref="G11:K11" si="8">G10/1000</f>
        <v>528.91099999999994</v>
      </c>
      <c r="H11" s="81">
        <f t="shared" si="8"/>
        <v>514.23</v>
      </c>
      <c r="I11" s="81">
        <f t="shared" si="8"/>
        <v>374.6</v>
      </c>
      <c r="J11" s="81">
        <f t="shared" si="8"/>
        <v>116.593</v>
      </c>
      <c r="K11" s="81">
        <f t="shared" si="8"/>
        <v>103.139</v>
      </c>
      <c r="L11" s="1"/>
      <c r="M11" s="1"/>
      <c r="N11" s="81">
        <f>N10/1000</f>
        <v>100.723</v>
      </c>
      <c r="O11" s="81">
        <f t="shared" ref="O11:S11" si="9">O10/1000</f>
        <v>119.80200000000001</v>
      </c>
      <c r="P11" s="81">
        <f t="shared" si="9"/>
        <v>0</v>
      </c>
      <c r="Q11" s="81">
        <f t="shared" si="9"/>
        <v>0</v>
      </c>
      <c r="R11" s="81">
        <f t="shared" si="9"/>
        <v>0</v>
      </c>
      <c r="S11" s="81">
        <f t="shared" si="9"/>
        <v>0</v>
      </c>
      <c r="T11" s="81"/>
      <c r="U11" s="1"/>
      <c r="V11" s="77"/>
      <c r="W11" s="1"/>
    </row>
    <row r="12" spans="1:24" s="3" customFormat="1" ht="17.100000000000001" customHeight="1">
      <c r="A12" s="155"/>
      <c r="B12" s="155"/>
      <c r="C12" s="155"/>
      <c r="D12" s="164"/>
      <c r="E12" s="527"/>
      <c r="F12" s="527">
        <f t="shared" ref="F12:K12" si="10">F11-F19</f>
        <v>0</v>
      </c>
      <c r="G12" s="527">
        <f t="shared" si="10"/>
        <v>0</v>
      </c>
      <c r="H12" s="527">
        <f t="shared" si="10"/>
        <v>0</v>
      </c>
      <c r="I12" s="527">
        <f t="shared" si="10"/>
        <v>0</v>
      </c>
      <c r="J12" s="527">
        <f t="shared" si="10"/>
        <v>0</v>
      </c>
      <c r="K12" s="527">
        <f t="shared" si="10"/>
        <v>0</v>
      </c>
      <c r="L12" s="527"/>
      <c r="M12" s="527"/>
      <c r="N12" s="527">
        <f t="shared" ref="N12:S12" si="11">N11-N19</f>
        <v>0</v>
      </c>
      <c r="O12" s="527">
        <f t="shared" si="11"/>
        <v>0</v>
      </c>
      <c r="P12" s="527">
        <f t="shared" si="11"/>
        <v>-128.79499999999999</v>
      </c>
      <c r="Q12" s="527">
        <f t="shared" si="11"/>
        <v>-134.702</v>
      </c>
      <c r="R12" s="527">
        <f t="shared" si="11"/>
        <v>-148.71799999999999</v>
      </c>
      <c r="S12" s="527">
        <f t="shared" si="11"/>
        <v>-1089.55</v>
      </c>
      <c r="T12" s="527">
        <f>SUM(F12:S12)</f>
        <v>-1501.7650000000001</v>
      </c>
      <c r="U12" s="1"/>
      <c r="V12" s="77"/>
      <c r="W12" s="1"/>
    </row>
    <row r="13" spans="1:24" s="3" customFormat="1" ht="39.450000000000003" customHeight="1">
      <c r="A13" s="668" t="s">
        <v>5</v>
      </c>
      <c r="B13" s="668"/>
      <c r="C13" s="668"/>
      <c r="D13" s="668"/>
      <c r="E13" s="648" t="str">
        <f>серпень!E13</f>
        <v>оплата в січні 2025 за грудень 2024 року/в грудні 2024за січень 2025</v>
      </c>
      <c r="F13" s="675" t="s">
        <v>6</v>
      </c>
      <c r="G13" s="675"/>
      <c r="H13" s="675"/>
      <c r="I13" s="675"/>
      <c r="J13" s="675"/>
      <c r="K13" s="675"/>
      <c r="L13" s="675"/>
      <c r="M13" s="675"/>
      <c r="N13" s="675"/>
      <c r="O13" s="675"/>
      <c r="P13" s="675"/>
      <c r="Q13" s="675"/>
      <c r="R13" s="675"/>
      <c r="S13" s="675"/>
      <c r="T13" s="675"/>
      <c r="U13" s="675"/>
      <c r="V13" s="676" t="s">
        <v>7</v>
      </c>
      <c r="W13" s="676" t="s">
        <v>8</v>
      </c>
    </row>
    <row r="14" spans="1:24" s="3" customFormat="1" ht="51.05" customHeight="1">
      <c r="A14" s="668"/>
      <c r="B14" s="668"/>
      <c r="C14" s="668"/>
      <c r="D14" s="672"/>
      <c r="E14" s="649"/>
      <c r="F14" s="254" t="s">
        <v>9</v>
      </c>
      <c r="G14" s="254" t="s">
        <v>10</v>
      </c>
      <c r="H14" s="254" t="s">
        <v>11</v>
      </c>
      <c r="I14" s="254" t="s">
        <v>12</v>
      </c>
      <c r="J14" s="254" t="s">
        <v>13</v>
      </c>
      <c r="K14" s="254" t="s">
        <v>14</v>
      </c>
      <c r="L14" s="9" t="s">
        <v>15</v>
      </c>
      <c r="M14" s="9" t="s">
        <v>16</v>
      </c>
      <c r="N14" s="254" t="s">
        <v>17</v>
      </c>
      <c r="O14" s="254" t="s">
        <v>18</v>
      </c>
      <c r="P14" s="254" t="s">
        <v>19</v>
      </c>
      <c r="Q14" s="254" t="s">
        <v>20</v>
      </c>
      <c r="R14" s="254" t="s">
        <v>21</v>
      </c>
      <c r="S14" s="254" t="s">
        <v>22</v>
      </c>
      <c r="T14" s="9" t="s">
        <v>23</v>
      </c>
      <c r="U14" s="9" t="s">
        <v>2</v>
      </c>
      <c r="V14" s="676"/>
      <c r="W14" s="676"/>
    </row>
    <row r="15" spans="1:24" s="18" customFormat="1" ht="18.649999999999999" customHeight="1">
      <c r="A15" s="677" t="s">
        <v>94</v>
      </c>
      <c r="B15" s="678"/>
      <c r="C15" s="678"/>
      <c r="D15" s="678"/>
      <c r="E15" s="678"/>
      <c r="F15" s="678"/>
      <c r="G15" s="678"/>
      <c r="H15" s="678"/>
      <c r="I15" s="678"/>
      <c r="J15" s="678"/>
      <c r="K15" s="678"/>
      <c r="L15" s="678"/>
      <c r="M15" s="678"/>
      <c r="N15" s="678"/>
      <c r="O15" s="678"/>
      <c r="P15" s="678"/>
      <c r="Q15" s="678"/>
      <c r="R15" s="678"/>
      <c r="S15" s="678"/>
      <c r="T15" s="678"/>
      <c r="U15" s="678"/>
      <c r="V15" s="678"/>
      <c r="W15" s="679"/>
      <c r="X15" s="37"/>
    </row>
    <row r="16" spans="1:24" s="173" customFormat="1" ht="18" customHeight="1">
      <c r="A16" s="621">
        <v>2270</v>
      </c>
      <c r="B16" s="622"/>
      <c r="C16" s="623"/>
      <c r="D16" s="170" t="s">
        <v>0</v>
      </c>
      <c r="E16" s="171"/>
      <c r="F16" s="171">
        <f>F28+F336+F475+F522</f>
        <v>519.51199999999994</v>
      </c>
      <c r="G16" s="171">
        <f t="shared" ref="G16:K16" si="12">G28+G336+G475+G522</f>
        <v>500.81900000000002</v>
      </c>
      <c r="H16" s="171">
        <f t="shared" si="12"/>
        <v>371.904</v>
      </c>
      <c r="I16" s="171">
        <f t="shared" si="12"/>
        <v>130.27500000000001</v>
      </c>
      <c r="J16" s="171">
        <f t="shared" si="12"/>
        <v>94.808999999999997</v>
      </c>
      <c r="K16" s="171">
        <f t="shared" si="12"/>
        <v>117.84399999999999</v>
      </c>
      <c r="L16" s="171">
        <f>SUM(F16:K16)</f>
        <v>1735.163</v>
      </c>
      <c r="M16" s="171">
        <f t="shared" ref="M16:M21" si="13">L16/6</f>
        <v>289.19400000000002</v>
      </c>
      <c r="N16" s="171">
        <f>N28+N336+N475+N522</f>
        <v>126.009</v>
      </c>
      <c r="O16" s="171">
        <f t="shared" ref="O16:S16" si="14">O28+O336+O475+O522</f>
        <v>114.842</v>
      </c>
      <c r="P16" s="171">
        <f t="shared" si="14"/>
        <v>131.31200000000001</v>
      </c>
      <c r="Q16" s="171">
        <f t="shared" si="14"/>
        <v>147.29599999999999</v>
      </c>
      <c r="R16" s="171">
        <f t="shared" si="14"/>
        <v>277.83199999999999</v>
      </c>
      <c r="S16" s="171">
        <f t="shared" si="14"/>
        <v>832.84199999999998</v>
      </c>
      <c r="T16" s="171">
        <f>SUM(N16:S16)</f>
        <v>1630.133</v>
      </c>
      <c r="U16" s="171">
        <f>T16+L16</f>
        <v>3365.2959999999998</v>
      </c>
      <c r="V16" s="171">
        <f t="shared" ref="V16" si="15">V28+V336+V475+V522</f>
        <v>2842.2170000000001</v>
      </c>
      <c r="W16" s="171">
        <f>V16-U16</f>
        <v>-523.07899999999995</v>
      </c>
      <c r="X16" s="172"/>
    </row>
    <row r="17" spans="1:25" s="173" customFormat="1" ht="18" customHeight="1">
      <c r="A17" s="624"/>
      <c r="B17" s="625"/>
      <c r="C17" s="626"/>
      <c r="D17" s="174" t="s">
        <v>55</v>
      </c>
      <c r="E17" s="171"/>
      <c r="F17" s="171">
        <f t="shared" ref="F17:K17" si="16">F29+F337+F476+F540</f>
        <v>0</v>
      </c>
      <c r="G17" s="171">
        <f t="shared" si="16"/>
        <v>0</v>
      </c>
      <c r="H17" s="171">
        <f t="shared" si="16"/>
        <v>0</v>
      </c>
      <c r="I17" s="171">
        <f t="shared" si="16"/>
        <v>0</v>
      </c>
      <c r="J17" s="171">
        <f t="shared" si="16"/>
        <v>0</v>
      </c>
      <c r="K17" s="171">
        <f t="shared" si="16"/>
        <v>0</v>
      </c>
      <c r="L17" s="171">
        <f t="shared" ref="L17:L18" si="17">SUM(F17:K17)</f>
        <v>0</v>
      </c>
      <c r="M17" s="171">
        <f>L17/6</f>
        <v>0</v>
      </c>
      <c r="N17" s="171">
        <f t="shared" ref="N17:S17" si="18">N29+N337+N476+N540</f>
        <v>0</v>
      </c>
      <c r="O17" s="171">
        <f t="shared" si="18"/>
        <v>0</v>
      </c>
      <c r="P17" s="171">
        <f t="shared" si="18"/>
        <v>0</v>
      </c>
      <c r="Q17" s="171">
        <f t="shared" si="18"/>
        <v>0</v>
      </c>
      <c r="R17" s="171">
        <f t="shared" si="18"/>
        <v>0</v>
      </c>
      <c r="S17" s="171">
        <f t="shared" si="18"/>
        <v>0</v>
      </c>
      <c r="T17" s="171">
        <f t="shared" ref="T17:T18" si="19">SUM(N17:S17)</f>
        <v>0</v>
      </c>
      <c r="U17" s="171">
        <f>T17+L17</f>
        <v>0</v>
      </c>
      <c r="V17" s="171">
        <f>V29+V337+V476+V540</f>
        <v>0</v>
      </c>
      <c r="W17" s="171">
        <f t="shared" ref="W17:W20" si="20">V17-U17</f>
        <v>0</v>
      </c>
      <c r="X17" s="172"/>
    </row>
    <row r="18" spans="1:25" s="173" customFormat="1" ht="18" customHeight="1">
      <c r="A18" s="627"/>
      <c r="B18" s="628"/>
      <c r="C18" s="629"/>
      <c r="D18" s="170" t="s">
        <v>24</v>
      </c>
      <c r="E18" s="171"/>
      <c r="F18" s="171">
        <f>F30+F338+F477+F524</f>
        <v>12.025</v>
      </c>
      <c r="G18" s="171">
        <f t="shared" ref="G18:K18" si="21">G30+G338+G477+G524</f>
        <v>530.89499999999998</v>
      </c>
      <c r="H18" s="171">
        <f t="shared" si="21"/>
        <v>508.17700000000002</v>
      </c>
      <c r="I18" s="171">
        <f t="shared" si="21"/>
        <v>390.77800000000002</v>
      </c>
      <c r="J18" s="171">
        <f t="shared" si="21"/>
        <v>103.095</v>
      </c>
      <c r="K18" s="171">
        <f t="shared" si="21"/>
        <v>98.36</v>
      </c>
      <c r="L18" s="171">
        <f t="shared" si="17"/>
        <v>1643.33</v>
      </c>
      <c r="M18" s="171">
        <f t="shared" si="13"/>
        <v>273.88799999999998</v>
      </c>
      <c r="N18" s="171">
        <f t="shared" ref="N18:S18" si="22">N30+N338+N477+N524</f>
        <v>104.779</v>
      </c>
      <c r="O18" s="171">
        <f t="shared" si="22"/>
        <v>127.068</v>
      </c>
      <c r="P18" s="171">
        <f t="shared" si="22"/>
        <v>77.441999999999993</v>
      </c>
      <c r="Q18" s="171">
        <f t="shared" si="22"/>
        <v>82.106999999999999</v>
      </c>
      <c r="R18" s="171">
        <f t="shared" si="22"/>
        <v>93.1</v>
      </c>
      <c r="S18" s="171">
        <f t="shared" si="22"/>
        <v>714.39099999999996</v>
      </c>
      <c r="T18" s="171">
        <f t="shared" si="19"/>
        <v>1198.8869999999999</v>
      </c>
      <c r="U18" s="171">
        <f>T18+L18</f>
        <v>2842.2170000000001</v>
      </c>
      <c r="V18" s="171">
        <f>V30+V338+V477+V524</f>
        <v>2842.2170000000001</v>
      </c>
      <c r="W18" s="171">
        <f t="shared" si="20"/>
        <v>0</v>
      </c>
      <c r="X18" s="172"/>
    </row>
    <row r="19" spans="1:25" s="177" customFormat="1" ht="16.899999999999999" customHeight="1">
      <c r="A19" s="630">
        <v>2270</v>
      </c>
      <c r="B19" s="631"/>
      <c r="C19" s="632"/>
      <c r="D19" s="115" t="s">
        <v>25</v>
      </c>
      <c r="E19" s="175">
        <f t="shared" ref="E19:K19" si="23">E33+E341+E480+E527</f>
        <v>0</v>
      </c>
      <c r="F19" s="175">
        <f t="shared" si="23"/>
        <v>5.5330000000000004</v>
      </c>
      <c r="G19" s="175">
        <f t="shared" si="23"/>
        <v>528.91099999999994</v>
      </c>
      <c r="H19" s="175">
        <f t="shared" si="23"/>
        <v>514.23</v>
      </c>
      <c r="I19" s="175">
        <f t="shared" si="23"/>
        <v>374.6</v>
      </c>
      <c r="J19" s="175">
        <f t="shared" si="23"/>
        <v>116.593</v>
      </c>
      <c r="K19" s="175">
        <f t="shared" si="23"/>
        <v>103.139</v>
      </c>
      <c r="L19" s="175">
        <f t="shared" ref="L19:L21" si="24">SUM(F19:K19)</f>
        <v>1643.0060000000001</v>
      </c>
      <c r="M19" s="175">
        <f t="shared" si="13"/>
        <v>273.834</v>
      </c>
      <c r="N19" s="175">
        <f t="shared" ref="N19:S21" si="25">N33+N341+N480+N527</f>
        <v>100.723</v>
      </c>
      <c r="O19" s="175">
        <f t="shared" si="25"/>
        <v>119.80200000000001</v>
      </c>
      <c r="P19" s="175">
        <f t="shared" si="25"/>
        <v>128.79499999999999</v>
      </c>
      <c r="Q19" s="175">
        <f t="shared" si="25"/>
        <v>134.702</v>
      </c>
      <c r="R19" s="175">
        <f t="shared" si="25"/>
        <v>148.71799999999999</v>
      </c>
      <c r="S19" s="175">
        <f t="shared" si="25"/>
        <v>1089.55</v>
      </c>
      <c r="T19" s="175">
        <f t="shared" ref="T19:T21" si="26">SUM(N19:S19)</f>
        <v>1722.29</v>
      </c>
      <c r="U19" s="175">
        <f t="shared" ref="U19:U21" si="27">T19+L19</f>
        <v>3365.2959999999998</v>
      </c>
      <c r="V19" s="175">
        <f>V33+V341+V480+V527</f>
        <v>2842.2170000000001</v>
      </c>
      <c r="W19" s="175">
        <f t="shared" si="20"/>
        <v>-523.07899999999995</v>
      </c>
      <c r="X19" s="176">
        <f>U16-U19</f>
        <v>0</v>
      </c>
    </row>
    <row r="20" spans="1:25" s="177" customFormat="1" ht="18" customHeight="1">
      <c r="A20" s="633"/>
      <c r="B20" s="634"/>
      <c r="C20" s="635"/>
      <c r="D20" s="115" t="s">
        <v>55</v>
      </c>
      <c r="E20" s="175"/>
      <c r="F20" s="175">
        <f t="shared" ref="F20:K21" si="28">F34+F342+F481+F528</f>
        <v>0</v>
      </c>
      <c r="G20" s="175">
        <f t="shared" si="28"/>
        <v>0</v>
      </c>
      <c r="H20" s="175">
        <f t="shared" si="28"/>
        <v>0</v>
      </c>
      <c r="I20" s="175">
        <f t="shared" si="28"/>
        <v>0</v>
      </c>
      <c r="J20" s="175">
        <f t="shared" si="28"/>
        <v>0</v>
      </c>
      <c r="K20" s="175">
        <f t="shared" si="28"/>
        <v>0</v>
      </c>
      <c r="L20" s="175">
        <f t="shared" si="24"/>
        <v>0</v>
      </c>
      <c r="M20" s="175">
        <f t="shared" si="13"/>
        <v>0</v>
      </c>
      <c r="N20" s="175">
        <f t="shared" si="25"/>
        <v>0</v>
      </c>
      <c r="O20" s="175">
        <f t="shared" si="25"/>
        <v>0</v>
      </c>
      <c r="P20" s="175">
        <f t="shared" si="25"/>
        <v>0</v>
      </c>
      <c r="Q20" s="175">
        <f t="shared" si="25"/>
        <v>0</v>
      </c>
      <c r="R20" s="175">
        <f t="shared" si="25"/>
        <v>0</v>
      </c>
      <c r="S20" s="175">
        <f t="shared" si="25"/>
        <v>0</v>
      </c>
      <c r="T20" s="175">
        <f t="shared" si="26"/>
        <v>0</v>
      </c>
      <c r="U20" s="175">
        <f t="shared" si="27"/>
        <v>0</v>
      </c>
      <c r="V20" s="175">
        <f>V34+V342+V481+V528</f>
        <v>0</v>
      </c>
      <c r="W20" s="175">
        <f t="shared" si="20"/>
        <v>0</v>
      </c>
      <c r="X20" s="176">
        <f>U17-U20</f>
        <v>0</v>
      </c>
    </row>
    <row r="21" spans="1:25" s="177" customFormat="1" ht="18" customHeight="1">
      <c r="A21" s="636"/>
      <c r="B21" s="637"/>
      <c r="C21" s="638"/>
      <c r="D21" s="115" t="s">
        <v>24</v>
      </c>
      <c r="E21" s="175"/>
      <c r="F21" s="175">
        <f t="shared" si="28"/>
        <v>5.5330000000000004</v>
      </c>
      <c r="G21" s="175">
        <f t="shared" si="28"/>
        <v>528.91099999999994</v>
      </c>
      <c r="H21" s="175">
        <f t="shared" si="28"/>
        <v>514.23</v>
      </c>
      <c r="I21" s="175">
        <f t="shared" si="28"/>
        <v>374.6</v>
      </c>
      <c r="J21" s="175">
        <f t="shared" si="28"/>
        <v>116.593</v>
      </c>
      <c r="K21" s="175">
        <f t="shared" si="28"/>
        <v>103.139</v>
      </c>
      <c r="L21" s="175">
        <f t="shared" si="24"/>
        <v>1643.0060000000001</v>
      </c>
      <c r="M21" s="175">
        <f t="shared" si="13"/>
        <v>273.834</v>
      </c>
      <c r="N21" s="175">
        <f t="shared" si="25"/>
        <v>100.723</v>
      </c>
      <c r="O21" s="175">
        <f t="shared" si="25"/>
        <v>119.80200000000001</v>
      </c>
      <c r="P21" s="175">
        <f t="shared" si="25"/>
        <v>128.79499999999999</v>
      </c>
      <c r="Q21" s="175">
        <f t="shared" si="25"/>
        <v>134.702</v>
      </c>
      <c r="R21" s="175">
        <f t="shared" si="25"/>
        <v>148.71799999999999</v>
      </c>
      <c r="S21" s="175">
        <f t="shared" si="25"/>
        <v>1089.55</v>
      </c>
      <c r="T21" s="175">
        <f t="shared" si="26"/>
        <v>1722.29</v>
      </c>
      <c r="U21" s="175">
        <f t="shared" si="27"/>
        <v>3365.2959999999998</v>
      </c>
      <c r="V21" s="175">
        <f>V35+V343+V482+V529</f>
        <v>2842.2170000000001</v>
      </c>
      <c r="W21" s="175">
        <f>V21-U21</f>
        <v>-523.07899999999995</v>
      </c>
      <c r="X21" s="176">
        <f>U18-U21</f>
        <v>-523.07899999999995</v>
      </c>
    </row>
    <row r="22" spans="1:25" s="186" customFormat="1" ht="18" customHeight="1">
      <c r="A22" s="609">
        <v>2271</v>
      </c>
      <c r="B22" s="580" t="s">
        <v>86</v>
      </c>
      <c r="C22" s="575"/>
      <c r="D22" s="178" t="str">
        <f>серпень!D22</f>
        <v>факт. нат.п-ки 2023</v>
      </c>
      <c r="E22" s="179"/>
      <c r="F22" s="180">
        <f t="shared" ref="F22:K23" si="29">F56+F163+F208+F253</f>
        <v>210.6</v>
      </c>
      <c r="G22" s="180">
        <f t="shared" si="29"/>
        <v>147.69999999999999</v>
      </c>
      <c r="H22" s="180">
        <f t="shared" si="29"/>
        <v>90.4</v>
      </c>
      <c r="I22" s="180">
        <f t="shared" si="29"/>
        <v>0.4</v>
      </c>
      <c r="J22" s="180">
        <f t="shared" si="29"/>
        <v>0.4</v>
      </c>
      <c r="K22" s="180">
        <f t="shared" si="29"/>
        <v>0.4</v>
      </c>
      <c r="L22" s="181">
        <f t="shared" ref="L22:L23" si="30">SUM(F22:K22)</f>
        <v>449.9</v>
      </c>
      <c r="M22" s="181">
        <f>L22/6</f>
        <v>75</v>
      </c>
      <c r="N22" s="180">
        <f t="shared" ref="N22:S23" si="31">N56+N163+N208+N253</f>
        <v>0.4</v>
      </c>
      <c r="O22" s="180">
        <f t="shared" si="31"/>
        <v>0.4</v>
      </c>
      <c r="P22" s="180">
        <f t="shared" si="31"/>
        <v>13.4</v>
      </c>
      <c r="Q22" s="180">
        <f t="shared" si="31"/>
        <v>23.4</v>
      </c>
      <c r="R22" s="180">
        <f t="shared" si="31"/>
        <v>86.4</v>
      </c>
      <c r="S22" s="180">
        <f t="shared" si="31"/>
        <v>206.5</v>
      </c>
      <c r="T22" s="181">
        <f t="shared" ref="T22:T23" si="32">SUM(N22:S22)</f>
        <v>330.5</v>
      </c>
      <c r="U22" s="182">
        <f>T22+L22</f>
        <v>780.4</v>
      </c>
      <c r="V22" s="183">
        <f>V56+V163+V208+V253</f>
        <v>0</v>
      </c>
      <c r="W22" s="184"/>
      <c r="X22" s="185"/>
    </row>
    <row r="23" spans="1:25" s="186" customFormat="1" ht="18" customHeight="1">
      <c r="A23" s="610"/>
      <c r="B23" s="576"/>
      <c r="C23" s="577"/>
      <c r="D23" s="178" t="str">
        <f>серпень!D23</f>
        <v>факт. нат.п-ки 2024</v>
      </c>
      <c r="E23" s="179"/>
      <c r="F23" s="180">
        <f t="shared" si="29"/>
        <v>126.2</v>
      </c>
      <c r="G23" s="180">
        <f t="shared" si="29"/>
        <v>95.6</v>
      </c>
      <c r="H23" s="180">
        <f t="shared" si="29"/>
        <v>91.6</v>
      </c>
      <c r="I23" s="180">
        <f t="shared" si="29"/>
        <v>0.5</v>
      </c>
      <c r="J23" s="180">
        <f t="shared" si="29"/>
        <v>0.5</v>
      </c>
      <c r="K23" s="180">
        <f t="shared" si="29"/>
        <v>0.5</v>
      </c>
      <c r="L23" s="181">
        <f t="shared" si="30"/>
        <v>314.89999999999998</v>
      </c>
      <c r="M23" s="181">
        <f>L23/6</f>
        <v>52.5</v>
      </c>
      <c r="N23" s="180">
        <f t="shared" si="31"/>
        <v>0.5</v>
      </c>
      <c r="O23" s="180">
        <f t="shared" si="31"/>
        <v>0.5</v>
      </c>
      <c r="P23" s="180">
        <f t="shared" si="31"/>
        <v>0.5</v>
      </c>
      <c r="Q23" s="180">
        <f t="shared" si="31"/>
        <v>0.5</v>
      </c>
      <c r="R23" s="180">
        <f t="shared" si="31"/>
        <v>36.5</v>
      </c>
      <c r="S23" s="180">
        <f t="shared" si="31"/>
        <v>156.6</v>
      </c>
      <c r="T23" s="181">
        <f t="shared" si="32"/>
        <v>195.1</v>
      </c>
      <c r="U23" s="182">
        <f t="shared" ref="U23:U24" si="33">T23+L23</f>
        <v>510</v>
      </c>
      <c r="V23" s="183">
        <f>V57+V164+V209+V254</f>
        <v>639.6</v>
      </c>
      <c r="W23" s="184"/>
      <c r="X23" s="185"/>
    </row>
    <row r="24" spans="1:25" s="186" customFormat="1" ht="18" customHeight="1">
      <c r="A24" s="610"/>
      <c r="B24" s="576"/>
      <c r="C24" s="577"/>
      <c r="D24" s="178" t="str">
        <f>серпень!D24</f>
        <v>факт. нат.п-ки 2025</v>
      </c>
      <c r="E24" s="179"/>
      <c r="F24" s="264">
        <f>F41</f>
        <v>153.19999999999999</v>
      </c>
      <c r="G24" s="264">
        <f t="shared" ref="G24:K24" si="34">G41</f>
        <v>125.3</v>
      </c>
      <c r="H24" s="264">
        <f t="shared" si="34"/>
        <v>85.9</v>
      </c>
      <c r="I24" s="264">
        <f t="shared" si="34"/>
        <v>0</v>
      </c>
      <c r="J24" s="264">
        <f t="shared" si="34"/>
        <v>0</v>
      </c>
      <c r="K24" s="264">
        <f t="shared" si="34"/>
        <v>0</v>
      </c>
      <c r="L24" s="325">
        <f t="shared" ref="L24" si="35">SUM(F24:K24)</f>
        <v>364.4</v>
      </c>
      <c r="M24" s="325">
        <f>L24/6</f>
        <v>60.732999999999997</v>
      </c>
      <c r="N24" s="264">
        <f>N41</f>
        <v>0</v>
      </c>
      <c r="O24" s="264">
        <f t="shared" ref="O24:S24" si="36">O41</f>
        <v>0</v>
      </c>
      <c r="P24" s="264">
        <f t="shared" si="36"/>
        <v>0</v>
      </c>
      <c r="Q24" s="264">
        <f t="shared" si="36"/>
        <v>0</v>
      </c>
      <c r="R24" s="264">
        <f t="shared" si="36"/>
        <v>42.5</v>
      </c>
      <c r="S24" s="264">
        <f t="shared" si="36"/>
        <v>217.2</v>
      </c>
      <c r="T24" s="339">
        <f t="shared" ref="T24" si="37">SUM(N24:S24)</f>
        <v>259.7</v>
      </c>
      <c r="U24" s="326">
        <f t="shared" si="33"/>
        <v>624.1</v>
      </c>
      <c r="V24" s="523">
        <f>V58+V165+V210+V255</f>
        <v>571.6</v>
      </c>
      <c r="W24" s="184">
        <f>V24-U24</f>
        <v>-52.5</v>
      </c>
      <c r="X24" s="185"/>
    </row>
    <row r="25" spans="1:25" s="190" customFormat="1" ht="18" customHeight="1">
      <c r="A25" s="610"/>
      <c r="B25" s="576"/>
      <c r="C25" s="577"/>
      <c r="D25" s="187" t="str">
        <f>серпень!D25</f>
        <v>тариф, грн.</v>
      </c>
      <c r="E25" s="188"/>
      <c r="F25" s="188">
        <f>F26/F24*1000</f>
        <v>2674.9540000000002</v>
      </c>
      <c r="G25" s="188">
        <f t="shared" ref="G25:W25" si="38">G26/G24*1000</f>
        <v>2846.8240000000001</v>
      </c>
      <c r="H25" s="188">
        <f t="shared" si="38"/>
        <v>2857.8110000000001</v>
      </c>
      <c r="I25" s="188" t="e">
        <f t="shared" si="38"/>
        <v>#DIV/0!</v>
      </c>
      <c r="J25" s="188" t="e">
        <f t="shared" si="38"/>
        <v>#DIV/0!</v>
      </c>
      <c r="K25" s="188" t="e">
        <f t="shared" si="38"/>
        <v>#DIV/0!</v>
      </c>
      <c r="L25" s="188">
        <f t="shared" si="38"/>
        <v>2777.1570000000002</v>
      </c>
      <c r="M25" s="188">
        <f t="shared" si="38"/>
        <v>2777.172</v>
      </c>
      <c r="N25" s="188" t="e">
        <f t="shared" si="38"/>
        <v>#DIV/0!</v>
      </c>
      <c r="O25" s="188" t="e">
        <f>O26/O24*1000</f>
        <v>#DIV/0!</v>
      </c>
      <c r="P25" s="188" t="e">
        <f>P26/P24*1000</f>
        <v>#DIV/0!</v>
      </c>
      <c r="Q25" s="188" t="e">
        <f>Q26/Q24*1000</f>
        <v>#DIV/0!</v>
      </c>
      <c r="R25" s="188">
        <f>R26/R24*1000</f>
        <v>2774.1880000000001</v>
      </c>
      <c r="S25" s="188">
        <f>S26/S24*1000</f>
        <v>2988.8719999999998</v>
      </c>
      <c r="T25" s="188">
        <f t="shared" si="38"/>
        <v>2953.739</v>
      </c>
      <c r="U25" s="188">
        <f t="shared" si="38"/>
        <v>2850.636</v>
      </c>
      <c r="V25" s="188">
        <f t="shared" si="38"/>
        <v>2719.0259999999998</v>
      </c>
      <c r="W25" s="189">
        <f t="shared" si="38"/>
        <v>4283.5619999999999</v>
      </c>
      <c r="X25" s="185"/>
    </row>
    <row r="26" spans="1:25" s="196" customFormat="1" ht="18" customHeight="1">
      <c r="A26" s="610"/>
      <c r="B26" s="576"/>
      <c r="C26" s="577"/>
      <c r="D26" s="191" t="str">
        <f>серпень!D26</f>
        <v>сума, тис.грн.</v>
      </c>
      <c r="E26" s="192"/>
      <c r="F26" s="193">
        <f>F60+F167+F212+F257</f>
        <v>409.803</v>
      </c>
      <c r="G26" s="193">
        <f t="shared" ref="G26:J26" si="39">G60+G167+G212+G257</f>
        <v>356.70699999999999</v>
      </c>
      <c r="H26" s="193">
        <f t="shared" si="39"/>
        <v>245.48599999999999</v>
      </c>
      <c r="I26" s="193">
        <f t="shared" si="39"/>
        <v>0</v>
      </c>
      <c r="J26" s="193">
        <f t="shared" si="39"/>
        <v>0</v>
      </c>
      <c r="K26" s="193">
        <f t="shared" ref="K26" si="40">K60+K167+K212+K257</f>
        <v>0</v>
      </c>
      <c r="L26" s="194">
        <f t="shared" ref="L26:L31" si="41">SUM(F26:K26)</f>
        <v>1011.996</v>
      </c>
      <c r="M26" s="194">
        <f t="shared" ref="M26:M31" si="42">L26/6</f>
        <v>168.666</v>
      </c>
      <c r="N26" s="193">
        <f t="shared" ref="N26:S26" si="43">N60+N167+N212+N257</f>
        <v>0</v>
      </c>
      <c r="O26" s="193">
        <f t="shared" si="43"/>
        <v>0</v>
      </c>
      <c r="P26" s="193">
        <f t="shared" si="43"/>
        <v>0</v>
      </c>
      <c r="Q26" s="193">
        <f t="shared" si="43"/>
        <v>0</v>
      </c>
      <c r="R26" s="193">
        <f t="shared" si="43"/>
        <v>117.90300000000001</v>
      </c>
      <c r="S26" s="193">
        <f t="shared" si="43"/>
        <v>649.18299999999999</v>
      </c>
      <c r="T26" s="194">
        <f>SUM(N26:S26)</f>
        <v>767.08600000000001</v>
      </c>
      <c r="U26" s="194">
        <f>T26+L26</f>
        <v>1779.0820000000001</v>
      </c>
      <c r="V26" s="171">
        <f>V60+V167+V212+V257</f>
        <v>1554.1949999999999</v>
      </c>
      <c r="W26" s="193">
        <f>W60+W167+W212+W257</f>
        <v>-224.887</v>
      </c>
      <c r="X26" s="195"/>
    </row>
    <row r="27" spans="1:25" s="196" customFormat="1" ht="18" customHeight="1">
      <c r="A27" s="610"/>
      <c r="B27" s="576"/>
      <c r="C27" s="577"/>
      <c r="D27" s="174" t="str">
        <f>серпень!D27</f>
        <v>абоненська плата, тис.грн.</v>
      </c>
      <c r="E27" s="192"/>
      <c r="F27" s="278">
        <f>F44+F258</f>
        <v>47.412999999999997</v>
      </c>
      <c r="G27" s="278">
        <f t="shared" ref="G27:K27" si="44">G44+G258</f>
        <v>47.593000000000004</v>
      </c>
      <c r="H27" s="278">
        <f t="shared" si="44"/>
        <v>47.593000000000004</v>
      </c>
      <c r="I27" s="278">
        <f t="shared" si="44"/>
        <v>47.593000000000004</v>
      </c>
      <c r="J27" s="278">
        <f t="shared" si="44"/>
        <v>47.593000000000004</v>
      </c>
      <c r="K27" s="278">
        <f t="shared" si="44"/>
        <v>47.593000000000004</v>
      </c>
      <c r="L27" s="194">
        <f t="shared" si="41"/>
        <v>285.37799999999999</v>
      </c>
      <c r="M27" s="194">
        <f t="shared" si="42"/>
        <v>47.563000000000002</v>
      </c>
      <c r="N27" s="278">
        <f>N44+N258</f>
        <v>47.593000000000004</v>
      </c>
      <c r="O27" s="278">
        <f t="shared" ref="O27:S27" si="45">O44+O258</f>
        <v>47.593000000000004</v>
      </c>
      <c r="P27" s="278">
        <f t="shared" si="45"/>
        <v>47.593000000000004</v>
      </c>
      <c r="Q27" s="278">
        <f t="shared" si="45"/>
        <v>47.593000000000004</v>
      </c>
      <c r="R27" s="278">
        <f t="shared" si="45"/>
        <v>47.593000000000004</v>
      </c>
      <c r="S27" s="278">
        <f t="shared" si="45"/>
        <v>47.593000000000004</v>
      </c>
      <c r="T27" s="194">
        <f>SUM(N27:S27)</f>
        <v>285.55799999999999</v>
      </c>
      <c r="U27" s="194">
        <f>T27+L27</f>
        <v>570.93600000000004</v>
      </c>
      <c r="V27" s="171">
        <f t="shared" ref="V27" si="46">V44+V258</f>
        <v>455.964</v>
      </c>
      <c r="W27" s="193">
        <f>W61+W168+W213+W258</f>
        <v>-114.97199999999999</v>
      </c>
      <c r="X27" s="195"/>
    </row>
    <row r="28" spans="1:25" s="196" customFormat="1" ht="18" customHeight="1">
      <c r="A28" s="610"/>
      <c r="B28" s="576"/>
      <c r="C28" s="577"/>
      <c r="D28" s="174" t="str">
        <f>серпень!D28</f>
        <v>разом сума тис. грн+абонплата</v>
      </c>
      <c r="E28" s="192"/>
      <c r="F28" s="278">
        <f>F62+F167+F212+F259</f>
        <v>457.21600000000001</v>
      </c>
      <c r="G28" s="278">
        <f t="shared" ref="G28:K28" si="47">G62+G167+G212+G259</f>
        <v>404.3</v>
      </c>
      <c r="H28" s="278">
        <f t="shared" si="47"/>
        <v>293.07900000000001</v>
      </c>
      <c r="I28" s="278">
        <f t="shared" si="47"/>
        <v>47.593000000000004</v>
      </c>
      <c r="J28" s="278">
        <f t="shared" si="47"/>
        <v>47.593000000000004</v>
      </c>
      <c r="K28" s="278">
        <f t="shared" si="47"/>
        <v>47.593000000000004</v>
      </c>
      <c r="L28" s="194">
        <f t="shared" si="41"/>
        <v>1297.374</v>
      </c>
      <c r="M28" s="194">
        <f t="shared" si="42"/>
        <v>216.22900000000001</v>
      </c>
      <c r="N28" s="278">
        <f>N62+N167+N212+N259</f>
        <v>47.593000000000004</v>
      </c>
      <c r="O28" s="278">
        <f t="shared" ref="O28:R28" si="48">O62+O167+O212+O259</f>
        <v>47.593000000000004</v>
      </c>
      <c r="P28" s="278">
        <f t="shared" si="48"/>
        <v>47.593000000000004</v>
      </c>
      <c r="Q28" s="278">
        <f t="shared" si="48"/>
        <v>47.593000000000004</v>
      </c>
      <c r="R28" s="278">
        <f t="shared" si="48"/>
        <v>165.49600000000001</v>
      </c>
      <c r="S28" s="278">
        <f>S62+S167+S212+S259</f>
        <v>696.77599999999995</v>
      </c>
      <c r="T28" s="194">
        <f t="shared" ref="T28:T29" si="49">SUM(N28:S28)</f>
        <v>1052.644</v>
      </c>
      <c r="U28" s="194">
        <f t="shared" ref="U28:U29" si="50">T28+L28</f>
        <v>2350.018</v>
      </c>
      <c r="V28" s="171">
        <f>V45+V259</f>
        <v>2010.1590000000001</v>
      </c>
      <c r="W28" s="278">
        <f t="shared" ref="W28" si="51">W26+W27</f>
        <v>-339.85899999999998</v>
      </c>
      <c r="X28" s="195"/>
    </row>
    <row r="29" spans="1:25" s="196" customFormat="1" ht="18" customHeight="1">
      <c r="A29" s="610"/>
      <c r="B29" s="576"/>
      <c r="C29" s="577"/>
      <c r="D29" s="174" t="str">
        <f>серпень!D29</f>
        <v>дотація</v>
      </c>
      <c r="E29" s="192"/>
      <c r="F29" s="193">
        <f t="shared" ref="F29:K30" si="52">F63+F168+F213+F260</f>
        <v>0</v>
      </c>
      <c r="G29" s="193">
        <f t="shared" si="52"/>
        <v>0</v>
      </c>
      <c r="H29" s="193">
        <f t="shared" si="52"/>
        <v>0</v>
      </c>
      <c r="I29" s="193">
        <f t="shared" si="52"/>
        <v>0</v>
      </c>
      <c r="J29" s="193">
        <f t="shared" si="52"/>
        <v>0</v>
      </c>
      <c r="K29" s="193">
        <f t="shared" si="52"/>
        <v>0</v>
      </c>
      <c r="L29" s="194">
        <f t="shared" si="41"/>
        <v>0</v>
      </c>
      <c r="M29" s="194">
        <f t="shared" si="42"/>
        <v>0</v>
      </c>
      <c r="N29" s="193">
        <f t="shared" ref="N29:S30" si="53">N63+N168+N213+N260</f>
        <v>0</v>
      </c>
      <c r="O29" s="193">
        <f t="shared" si="53"/>
        <v>0</v>
      </c>
      <c r="P29" s="193">
        <f t="shared" si="53"/>
        <v>0</v>
      </c>
      <c r="Q29" s="193">
        <f t="shared" si="53"/>
        <v>0</v>
      </c>
      <c r="R29" s="193">
        <f t="shared" si="53"/>
        <v>0</v>
      </c>
      <c r="S29" s="193">
        <f t="shared" si="53"/>
        <v>0</v>
      </c>
      <c r="T29" s="194">
        <f t="shared" si="49"/>
        <v>0</v>
      </c>
      <c r="U29" s="194">
        <f t="shared" si="50"/>
        <v>0</v>
      </c>
      <c r="V29" s="171">
        <f>V63+V168+V213+V260</f>
        <v>0</v>
      </c>
      <c r="W29" s="192">
        <f t="shared" ref="W29" si="54">W63+W169+W214+W260</f>
        <v>0</v>
      </c>
      <c r="X29" s="195"/>
      <c r="Y29" s="197"/>
    </row>
    <row r="30" spans="1:25" s="196" customFormat="1" ht="18" customHeight="1">
      <c r="A30" s="610"/>
      <c r="B30" s="576"/>
      <c r="C30" s="577"/>
      <c r="D30" s="174" t="str">
        <f>серпень!D30</f>
        <v>місцевий (план), тис.грн</v>
      </c>
      <c r="E30" s="192"/>
      <c r="F30" s="193">
        <f>F64+F169+F214+F261</f>
        <v>0</v>
      </c>
      <c r="G30" s="193">
        <f t="shared" si="52"/>
        <v>457.47899999999998</v>
      </c>
      <c r="H30" s="193">
        <f t="shared" si="52"/>
        <v>420.99599999999998</v>
      </c>
      <c r="I30" s="193">
        <f t="shared" si="52"/>
        <v>293.077</v>
      </c>
      <c r="J30" s="193">
        <f t="shared" si="52"/>
        <v>30.696999999999999</v>
      </c>
      <c r="K30" s="193">
        <f t="shared" si="52"/>
        <v>47.53</v>
      </c>
      <c r="L30" s="323">
        <f t="shared" si="41"/>
        <v>1249.779</v>
      </c>
      <c r="M30" s="323">
        <f t="shared" si="42"/>
        <v>208.297</v>
      </c>
      <c r="N30" s="193">
        <f t="shared" si="53"/>
        <v>47.593000000000004</v>
      </c>
      <c r="O30" s="193">
        <f t="shared" si="53"/>
        <v>47.591999999999999</v>
      </c>
      <c r="P30" s="193">
        <f t="shared" si="53"/>
        <v>37.997</v>
      </c>
      <c r="Q30" s="193">
        <f t="shared" si="53"/>
        <v>37.997</v>
      </c>
      <c r="R30" s="193">
        <f t="shared" si="53"/>
        <v>37.997</v>
      </c>
      <c r="S30" s="193">
        <f t="shared" si="53"/>
        <v>551.20399999999995</v>
      </c>
      <c r="T30" s="194">
        <f>SUM(N30:S30)</f>
        <v>760.38</v>
      </c>
      <c r="U30" s="194">
        <f>T30+L30</f>
        <v>2010.1590000000001</v>
      </c>
      <c r="V30" s="171">
        <f>V64+V169+V214+V261</f>
        <v>2010.1590000000001</v>
      </c>
      <c r="W30" s="192">
        <f>W64+W169+W214</f>
        <v>0</v>
      </c>
      <c r="X30" s="195"/>
      <c r="Y30" s="197"/>
    </row>
    <row r="31" spans="1:25" s="186" customFormat="1" ht="18" customHeight="1">
      <c r="A31" s="610"/>
      <c r="B31" s="576"/>
      <c r="C31" s="577"/>
      <c r="D31" s="178" t="str">
        <f>серпень!D31</f>
        <v>касові нат.п-ки 2025</v>
      </c>
      <c r="E31" s="180">
        <f>E65+E170+E215+E262</f>
        <v>0</v>
      </c>
      <c r="F31" s="260">
        <f>F48</f>
        <v>0</v>
      </c>
      <c r="G31" s="260">
        <f t="shared" ref="G31:K31" si="55">G48</f>
        <v>153.19999999999999</v>
      </c>
      <c r="H31" s="260">
        <f t="shared" si="55"/>
        <v>130.80000000000001</v>
      </c>
      <c r="I31" s="260">
        <f t="shared" si="55"/>
        <v>85.9</v>
      </c>
      <c r="J31" s="260">
        <f t="shared" si="55"/>
        <v>-5.5</v>
      </c>
      <c r="K31" s="260">
        <f t="shared" si="55"/>
        <v>0</v>
      </c>
      <c r="L31" s="338">
        <f t="shared" si="41"/>
        <v>364.4</v>
      </c>
      <c r="M31" s="338">
        <f t="shared" si="42"/>
        <v>60.733330000000002</v>
      </c>
      <c r="N31" s="216">
        <f>N48</f>
        <v>0</v>
      </c>
      <c r="O31" s="216">
        <f t="shared" ref="O31:S31" si="56">O48</f>
        <v>0</v>
      </c>
      <c r="P31" s="216">
        <f t="shared" si="56"/>
        <v>0</v>
      </c>
      <c r="Q31" s="216">
        <f t="shared" si="56"/>
        <v>0</v>
      </c>
      <c r="R31" s="216">
        <f t="shared" si="56"/>
        <v>0</v>
      </c>
      <c r="S31" s="216">
        <f t="shared" si="56"/>
        <v>259.7</v>
      </c>
      <c r="T31" s="334">
        <f>SUM(N31:S31)</f>
        <v>259.7</v>
      </c>
      <c r="U31" s="334">
        <f>T31+L31</f>
        <v>624.1</v>
      </c>
      <c r="V31" s="183">
        <f t="shared" ref="V31:W31" si="57">V65+V170+V215</f>
        <v>571.6</v>
      </c>
      <c r="W31" s="184">
        <f t="shared" si="57"/>
        <v>-52.5</v>
      </c>
      <c r="X31" s="185">
        <f>U24-U31</f>
        <v>0</v>
      </c>
    </row>
    <row r="32" spans="1:25" s="190" customFormat="1" ht="18" customHeight="1">
      <c r="A32" s="610"/>
      <c r="B32" s="576"/>
      <c r="C32" s="577"/>
      <c r="D32" s="187" t="str">
        <f>серпень!D32</f>
        <v>тариф, грн.</v>
      </c>
      <c r="E32" s="188" t="e">
        <f t="shared" ref="E32:K32" si="58">E33/E31*1000</f>
        <v>#DIV/0!</v>
      </c>
      <c r="F32" s="188" t="e">
        <f t="shared" si="58"/>
        <v>#DIV/0!</v>
      </c>
      <c r="G32" s="188">
        <f t="shared" si="58"/>
        <v>2984.4389999999999</v>
      </c>
      <c r="H32" s="188">
        <f t="shared" si="58"/>
        <v>3220.6350000000002</v>
      </c>
      <c r="I32" s="188">
        <f t="shared" si="58"/>
        <v>3411.8629999999998</v>
      </c>
      <c r="J32" s="188">
        <f t="shared" si="58"/>
        <v>-5569.8180000000002</v>
      </c>
      <c r="K32" s="188" t="e">
        <f t="shared" si="58"/>
        <v>#DIV/0!</v>
      </c>
      <c r="L32" s="188">
        <f>L33/L31*1000</f>
        <v>3429.6950000000002</v>
      </c>
      <c r="M32" s="188">
        <f>M33/M31*1000</f>
        <v>3429.6979999999999</v>
      </c>
      <c r="N32" s="188" t="e">
        <f t="shared" ref="N32:S32" si="59">N33/N31*1000</f>
        <v>#DIV/0!</v>
      </c>
      <c r="O32" s="188" t="e">
        <f t="shared" si="59"/>
        <v>#DIV/0!</v>
      </c>
      <c r="P32" s="188" t="e">
        <f t="shared" si="59"/>
        <v>#DIV/0!</v>
      </c>
      <c r="Q32" s="188" t="e">
        <f t="shared" si="59"/>
        <v>#DIV/0!</v>
      </c>
      <c r="R32" s="188" t="e">
        <f t="shared" si="59"/>
        <v>#DIV/0!</v>
      </c>
      <c r="S32" s="188">
        <f t="shared" si="59"/>
        <v>3320.2620000000002</v>
      </c>
      <c r="T32" s="188">
        <f>T33/T31*1000</f>
        <v>4236.5690000000004</v>
      </c>
      <c r="U32" s="188">
        <f>U33/U31*1000</f>
        <v>3765.451</v>
      </c>
      <c r="V32" s="188">
        <f>V33/V31*1000</f>
        <v>3516.723</v>
      </c>
      <c r="W32" s="189">
        <f>W33/W31*1000</f>
        <v>6473.5050000000001</v>
      </c>
      <c r="X32" s="185"/>
    </row>
    <row r="33" spans="1:25" s="176" customFormat="1" ht="18" customHeight="1">
      <c r="A33" s="610"/>
      <c r="B33" s="576"/>
      <c r="C33" s="577"/>
      <c r="D33" s="198" t="str">
        <f>серпень!D33</f>
        <v>касові видатки, тис.грн.</v>
      </c>
      <c r="E33" s="199">
        <f t="shared" ref="E33" si="60">E67+E172+E217+E264</f>
        <v>0</v>
      </c>
      <c r="F33" s="199">
        <f>F67+F172+F217+F264</f>
        <v>0</v>
      </c>
      <c r="G33" s="199">
        <f t="shared" ref="G33:K33" si="61">G67+G172+G217+G264</f>
        <v>457.21600000000001</v>
      </c>
      <c r="H33" s="199">
        <f t="shared" si="61"/>
        <v>421.25900000000001</v>
      </c>
      <c r="I33" s="199">
        <f t="shared" si="61"/>
        <v>293.07900000000001</v>
      </c>
      <c r="J33" s="199">
        <f>J67+J172+J217+J264</f>
        <v>30.634</v>
      </c>
      <c r="K33" s="199">
        <f t="shared" si="61"/>
        <v>47.593000000000004</v>
      </c>
      <c r="L33" s="199">
        <f>SUM(F33:K33)</f>
        <v>1249.7809999999999</v>
      </c>
      <c r="M33" s="199">
        <f>L33/6</f>
        <v>208.297</v>
      </c>
      <c r="N33" s="199">
        <f>N67+N172+N217+N264</f>
        <v>47.593000000000004</v>
      </c>
      <c r="O33" s="199">
        <f t="shared" ref="O33:S33" si="62">O67+O172+O217+O264</f>
        <v>47.593000000000004</v>
      </c>
      <c r="P33" s="199">
        <f t="shared" si="62"/>
        <v>47.593000000000004</v>
      </c>
      <c r="Q33" s="199">
        <f t="shared" si="62"/>
        <v>47.593000000000004</v>
      </c>
      <c r="R33" s="199">
        <f t="shared" si="62"/>
        <v>47.593000000000004</v>
      </c>
      <c r="S33" s="199">
        <f t="shared" si="62"/>
        <v>862.27200000000005</v>
      </c>
      <c r="T33" s="199">
        <f>SUM(N33:S33)</f>
        <v>1100.2370000000001</v>
      </c>
      <c r="U33" s="199">
        <f>T33+L33</f>
        <v>2350.018</v>
      </c>
      <c r="V33" s="175">
        <f>V67+V172+V217+V264</f>
        <v>2010.1590000000001</v>
      </c>
      <c r="W33" s="200">
        <f>W67+W172+W217+W264</f>
        <v>-339.85899999999998</v>
      </c>
      <c r="X33" s="176">
        <f>U28-U33</f>
        <v>0</v>
      </c>
    </row>
    <row r="34" spans="1:25" s="176" customFormat="1" ht="18" customHeight="1">
      <c r="A34" s="610"/>
      <c r="B34" s="576"/>
      <c r="C34" s="577"/>
      <c r="D34" s="201" t="str">
        <f>серпень!D34</f>
        <v>дотація</v>
      </c>
      <c r="E34" s="199"/>
      <c r="F34" s="199">
        <f t="shared" ref="F34:K35" si="63">F68+F173+F218+F265</f>
        <v>0</v>
      </c>
      <c r="G34" s="199">
        <f t="shared" si="63"/>
        <v>0</v>
      </c>
      <c r="H34" s="199">
        <f t="shared" si="63"/>
        <v>0</v>
      </c>
      <c r="I34" s="199">
        <f t="shared" si="63"/>
        <v>0</v>
      </c>
      <c r="J34" s="199">
        <f t="shared" si="63"/>
        <v>0</v>
      </c>
      <c r="K34" s="199">
        <f t="shared" si="63"/>
        <v>0</v>
      </c>
      <c r="L34" s="199">
        <f>SUM(F34:K34)</f>
        <v>0</v>
      </c>
      <c r="M34" s="199">
        <f>L34/6</f>
        <v>0</v>
      </c>
      <c r="N34" s="199">
        <f t="shared" ref="N34:S35" si="64">N68+N173+N218+N265</f>
        <v>0</v>
      </c>
      <c r="O34" s="199">
        <f t="shared" si="64"/>
        <v>0</v>
      </c>
      <c r="P34" s="199">
        <f t="shared" si="64"/>
        <v>0</v>
      </c>
      <c r="Q34" s="199">
        <f t="shared" si="64"/>
        <v>0</v>
      </c>
      <c r="R34" s="199">
        <f t="shared" si="64"/>
        <v>0</v>
      </c>
      <c r="S34" s="199">
        <f t="shared" si="64"/>
        <v>0</v>
      </c>
      <c r="T34" s="199">
        <f>SUM(N34:S34)</f>
        <v>0</v>
      </c>
      <c r="U34" s="199">
        <f>T34+L34</f>
        <v>0</v>
      </c>
      <c r="V34" s="175">
        <f>V68+V173+V218+V265</f>
        <v>0</v>
      </c>
      <c r="W34" s="200">
        <f>V34-U34</f>
        <v>0</v>
      </c>
      <c r="X34" s="176">
        <f>U29-U34</f>
        <v>0</v>
      </c>
    </row>
    <row r="35" spans="1:25" s="176" customFormat="1" ht="18" customHeight="1">
      <c r="A35" s="610"/>
      <c r="B35" s="576"/>
      <c r="C35" s="577"/>
      <c r="D35" s="201" t="str">
        <f>серпень!D35</f>
        <v xml:space="preserve">місцевий </v>
      </c>
      <c r="E35" s="199"/>
      <c r="F35" s="199">
        <f t="shared" si="63"/>
        <v>0</v>
      </c>
      <c r="G35" s="199">
        <f t="shared" si="63"/>
        <v>457.21600000000001</v>
      </c>
      <c r="H35" s="199">
        <f t="shared" si="63"/>
        <v>421.25900000000001</v>
      </c>
      <c r="I35" s="199">
        <f t="shared" si="63"/>
        <v>293.07900000000001</v>
      </c>
      <c r="J35" s="199">
        <f t="shared" si="63"/>
        <v>30.634</v>
      </c>
      <c r="K35" s="199">
        <f t="shared" si="63"/>
        <v>47.593000000000004</v>
      </c>
      <c r="L35" s="199">
        <f>SUM(F35:K35)</f>
        <v>1249.7809999999999</v>
      </c>
      <c r="M35" s="199">
        <f>L35/6</f>
        <v>208.297</v>
      </c>
      <c r="N35" s="199">
        <f t="shared" si="64"/>
        <v>47.593000000000004</v>
      </c>
      <c r="O35" s="199">
        <f t="shared" si="64"/>
        <v>47.593000000000004</v>
      </c>
      <c r="P35" s="199">
        <f t="shared" si="64"/>
        <v>47.593000000000004</v>
      </c>
      <c r="Q35" s="199">
        <f t="shared" si="64"/>
        <v>47.593000000000004</v>
      </c>
      <c r="R35" s="199">
        <f t="shared" si="64"/>
        <v>47.593000000000004</v>
      </c>
      <c r="S35" s="199">
        <f t="shared" si="64"/>
        <v>862.27200000000005</v>
      </c>
      <c r="T35" s="199">
        <f>SUM(N35:S35)</f>
        <v>1100.2370000000001</v>
      </c>
      <c r="U35" s="199">
        <f>T35+L35</f>
        <v>2350.018</v>
      </c>
      <c r="V35" s="175">
        <f>V69+V174+V219+V266</f>
        <v>2010.1590000000001</v>
      </c>
      <c r="W35" s="200">
        <f>V35-U35</f>
        <v>-339.85899999999998</v>
      </c>
      <c r="X35" s="176">
        <f>U30-U35</f>
        <v>-339.85899999999998</v>
      </c>
    </row>
    <row r="36" spans="1:25" s="205" customFormat="1" ht="18" customHeight="1">
      <c r="A36" s="610"/>
      <c r="B36" s="576"/>
      <c r="C36" s="577"/>
      <c r="D36" s="202" t="str">
        <f>серпень!D36</f>
        <v>план</v>
      </c>
      <c r="E36" s="203"/>
      <c r="F36" s="203">
        <f t="shared" ref="F36:K36" si="65">F30</f>
        <v>0</v>
      </c>
      <c r="G36" s="203">
        <f t="shared" si="65"/>
        <v>457.47899999999998</v>
      </c>
      <c r="H36" s="203">
        <f t="shared" si="65"/>
        <v>420.99599999999998</v>
      </c>
      <c r="I36" s="203">
        <f>I30</f>
        <v>293.077</v>
      </c>
      <c r="J36" s="203">
        <f>J30</f>
        <v>30.696999999999999</v>
      </c>
      <c r="K36" s="203">
        <f t="shared" si="65"/>
        <v>47.53</v>
      </c>
      <c r="L36" s="203">
        <f>SUM(F36:K36)</f>
        <v>1249.779</v>
      </c>
      <c r="M36" s="203">
        <f>L36/6</f>
        <v>208.297</v>
      </c>
      <c r="N36" s="203">
        <f t="shared" ref="N36:S36" si="66">N30+N29</f>
        <v>47.593000000000004</v>
      </c>
      <c r="O36" s="203">
        <f t="shared" si="66"/>
        <v>47.591999999999999</v>
      </c>
      <c r="P36" s="203">
        <f t="shared" si="66"/>
        <v>37.997</v>
      </c>
      <c r="Q36" s="203">
        <f t="shared" si="66"/>
        <v>37.997</v>
      </c>
      <c r="R36" s="203">
        <f t="shared" si="66"/>
        <v>37.997</v>
      </c>
      <c r="S36" s="203">
        <f t="shared" si="66"/>
        <v>551.20399999999995</v>
      </c>
      <c r="T36" s="203">
        <f>SUM(N36:S36)</f>
        <v>760.38</v>
      </c>
      <c r="U36" s="203">
        <f>T36+L36</f>
        <v>2010.1590000000001</v>
      </c>
      <c r="V36" s="204">
        <f>V70+V175+V220+V267</f>
        <v>2010.1590000000001</v>
      </c>
      <c r="W36" s="203">
        <f>V36-U36</f>
        <v>0</v>
      </c>
    </row>
    <row r="37" spans="1:25" s="205" customFormat="1" ht="18" customHeight="1">
      <c r="A37" s="610"/>
      <c r="B37" s="576"/>
      <c r="C37" s="577"/>
      <c r="D37" s="202" t="str">
        <f>серпень!D37</f>
        <v xml:space="preserve">відхилення </v>
      </c>
      <c r="E37" s="203"/>
      <c r="F37" s="203">
        <f t="shared" ref="F37:K37" si="67">F33-F36</f>
        <v>0</v>
      </c>
      <c r="G37" s="203">
        <f t="shared" si="67"/>
        <v>-0.26300000000000001</v>
      </c>
      <c r="H37" s="203">
        <f t="shared" si="67"/>
        <v>0.26300000000000001</v>
      </c>
      <c r="I37" s="203">
        <f t="shared" si="67"/>
        <v>2E-3</v>
      </c>
      <c r="J37" s="203">
        <f t="shared" si="67"/>
        <v>-6.3E-2</v>
      </c>
      <c r="K37" s="203">
        <f t="shared" si="67"/>
        <v>6.3E-2</v>
      </c>
      <c r="L37" s="203"/>
      <c r="M37" s="203"/>
      <c r="N37" s="203">
        <f t="shared" ref="N37:S37" si="68">N33-N36</f>
        <v>0</v>
      </c>
      <c r="O37" s="203">
        <f t="shared" si="68"/>
        <v>1E-3</v>
      </c>
      <c r="P37" s="203">
        <f t="shared" si="68"/>
        <v>9.5960000000000001</v>
      </c>
      <c r="Q37" s="203">
        <f t="shared" si="68"/>
        <v>9.5960000000000001</v>
      </c>
      <c r="R37" s="203">
        <f t="shared" si="68"/>
        <v>9.5960000000000001</v>
      </c>
      <c r="S37" s="203">
        <f t="shared" si="68"/>
        <v>311.06799999999998</v>
      </c>
      <c r="T37" s="203"/>
      <c r="U37" s="203"/>
      <c r="V37" s="203"/>
      <c r="W37" s="203"/>
    </row>
    <row r="38" spans="1:25" s="205" customFormat="1" ht="18" customHeight="1">
      <c r="A38" s="610"/>
      <c r="B38" s="576"/>
      <c r="C38" s="577"/>
      <c r="D38" s="202" t="str">
        <f>серпень!D38</f>
        <v>відхилення з наростаючим</v>
      </c>
      <c r="E38" s="203"/>
      <c r="F38" s="203">
        <f>F37</f>
        <v>0</v>
      </c>
      <c r="G38" s="203">
        <f>G37+F38</f>
        <v>-0.26300000000000001</v>
      </c>
      <c r="H38" s="203">
        <f>H37+G38</f>
        <v>0</v>
      </c>
      <c r="I38" s="203">
        <f>I37+H38</f>
        <v>2E-3</v>
      </c>
      <c r="J38" s="203">
        <f>J37+I38</f>
        <v>-6.0999999999999999E-2</v>
      </c>
      <c r="K38" s="203">
        <f>K37+J38</f>
        <v>2E-3</v>
      </c>
      <c r="L38" s="203"/>
      <c r="M38" s="203"/>
      <c r="N38" s="203">
        <f>N37+K38</f>
        <v>2E-3</v>
      </c>
      <c r="O38" s="203">
        <f>O37+N38</f>
        <v>3.0000000000000001E-3</v>
      </c>
      <c r="P38" s="203">
        <f>P37+O38</f>
        <v>9.5990000000000002</v>
      </c>
      <c r="Q38" s="203">
        <f>Q37+P38</f>
        <v>19.195</v>
      </c>
      <c r="R38" s="203">
        <f>R37+Q38</f>
        <v>28.791</v>
      </c>
      <c r="S38" s="203">
        <f>S37+R38</f>
        <v>339.85899999999998</v>
      </c>
      <c r="T38" s="203"/>
      <c r="U38" s="203"/>
      <c r="V38" s="203"/>
      <c r="W38" s="203"/>
    </row>
    <row r="39" spans="1:25" s="206" customFormat="1" ht="18" customHeight="1">
      <c r="A39" s="610"/>
      <c r="B39" s="581" t="s">
        <v>71</v>
      </c>
      <c r="C39" s="581"/>
      <c r="D39" s="178" t="str">
        <f>серпень!D39</f>
        <v>факт. нат.п-ки 2023</v>
      </c>
      <c r="E39" s="179"/>
      <c r="F39" s="180">
        <f t="shared" ref="F39:K40" si="69">F56+F163+F208</f>
        <v>210.6</v>
      </c>
      <c r="G39" s="180">
        <f t="shared" si="69"/>
        <v>147.69999999999999</v>
      </c>
      <c r="H39" s="180">
        <f t="shared" si="69"/>
        <v>90.4</v>
      </c>
      <c r="I39" s="180">
        <f t="shared" si="69"/>
        <v>0.4</v>
      </c>
      <c r="J39" s="180">
        <f t="shared" si="69"/>
        <v>0.4</v>
      </c>
      <c r="K39" s="180">
        <f t="shared" si="69"/>
        <v>0.4</v>
      </c>
      <c r="L39" s="181">
        <f>SUM(F39:K39)</f>
        <v>449.9</v>
      </c>
      <c r="M39" s="181">
        <f>L39/6</f>
        <v>75</v>
      </c>
      <c r="N39" s="180">
        <f t="shared" ref="N39:S40" si="70">N56+N163+N208</f>
        <v>0.4</v>
      </c>
      <c r="O39" s="180">
        <f t="shared" si="70"/>
        <v>0.4</v>
      </c>
      <c r="P39" s="180">
        <f t="shared" si="70"/>
        <v>0.4</v>
      </c>
      <c r="Q39" s="180">
        <f t="shared" si="70"/>
        <v>0.4</v>
      </c>
      <c r="R39" s="180">
        <f t="shared" si="70"/>
        <v>36.4</v>
      </c>
      <c r="S39" s="180">
        <f t="shared" si="70"/>
        <v>156.5</v>
      </c>
      <c r="T39" s="181">
        <f>SUM(N39:S39)</f>
        <v>194.5</v>
      </c>
      <c r="U39" s="182">
        <f>T39+L39</f>
        <v>644.4</v>
      </c>
      <c r="V39" s="183">
        <f>V56+V163</f>
        <v>0</v>
      </c>
      <c r="W39" s="184"/>
    </row>
    <row r="40" spans="1:25" s="206" customFormat="1" ht="18" customHeight="1">
      <c r="A40" s="610"/>
      <c r="B40" s="581"/>
      <c r="C40" s="581"/>
      <c r="D40" s="178" t="str">
        <f>серпень!D40</f>
        <v>факт. нат.п-ки 2024</v>
      </c>
      <c r="E40" s="179"/>
      <c r="F40" s="180">
        <f t="shared" si="69"/>
        <v>126.2</v>
      </c>
      <c r="G40" s="180">
        <f t="shared" si="69"/>
        <v>95.6</v>
      </c>
      <c r="H40" s="180">
        <f t="shared" si="69"/>
        <v>91.6</v>
      </c>
      <c r="I40" s="180">
        <f t="shared" si="69"/>
        <v>0.5</v>
      </c>
      <c r="J40" s="180">
        <f t="shared" si="69"/>
        <v>0.5</v>
      </c>
      <c r="K40" s="180">
        <f t="shared" si="69"/>
        <v>0.5</v>
      </c>
      <c r="L40" s="181">
        <f>SUM(F40:K40)</f>
        <v>314.89999999999998</v>
      </c>
      <c r="M40" s="181">
        <f>L40/6</f>
        <v>52.5</v>
      </c>
      <c r="N40" s="180">
        <f t="shared" si="70"/>
        <v>0.5</v>
      </c>
      <c r="O40" s="180">
        <f t="shared" si="70"/>
        <v>0.5</v>
      </c>
      <c r="P40" s="180">
        <f t="shared" si="70"/>
        <v>0.5</v>
      </c>
      <c r="Q40" s="180">
        <f t="shared" si="70"/>
        <v>0.5</v>
      </c>
      <c r="R40" s="180">
        <f t="shared" si="70"/>
        <v>36.5</v>
      </c>
      <c r="S40" s="180">
        <f t="shared" si="70"/>
        <v>156.6</v>
      </c>
      <c r="T40" s="181">
        <f>SUM(N40:S40)</f>
        <v>195.1</v>
      </c>
      <c r="U40" s="182">
        <f>T40+L40</f>
        <v>510</v>
      </c>
      <c r="V40" s="183">
        <f>V57+V164</f>
        <v>639.6</v>
      </c>
      <c r="W40" s="184"/>
    </row>
    <row r="41" spans="1:25" s="206" customFormat="1" ht="18" customHeight="1">
      <c r="A41" s="610"/>
      <c r="B41" s="581"/>
      <c r="C41" s="581"/>
      <c r="D41" s="178" t="str">
        <f>серпень!D41</f>
        <v>факт. нат.п-ки 2025</v>
      </c>
      <c r="E41" s="179"/>
      <c r="F41" s="180">
        <f>F58</f>
        <v>153.19999999999999</v>
      </c>
      <c r="G41" s="180">
        <f t="shared" ref="G41:K41" si="71">G58</f>
        <v>125.3</v>
      </c>
      <c r="H41" s="180">
        <f t="shared" si="71"/>
        <v>85.9</v>
      </c>
      <c r="I41" s="180">
        <f t="shared" si="71"/>
        <v>0</v>
      </c>
      <c r="J41" s="180">
        <f t="shared" si="71"/>
        <v>0</v>
      </c>
      <c r="K41" s="180">
        <f t="shared" si="71"/>
        <v>0</v>
      </c>
      <c r="L41" s="325">
        <f>SUM(F41:K41)</f>
        <v>364.4</v>
      </c>
      <c r="M41" s="325">
        <f>L41/6</f>
        <v>60.732999999999997</v>
      </c>
      <c r="N41" s="180">
        <f>N58</f>
        <v>0</v>
      </c>
      <c r="O41" s="180">
        <f t="shared" ref="O41:S41" si="72">O58</f>
        <v>0</v>
      </c>
      <c r="P41" s="180">
        <f t="shared" si="72"/>
        <v>0</v>
      </c>
      <c r="Q41" s="180">
        <f t="shared" si="72"/>
        <v>0</v>
      </c>
      <c r="R41" s="180">
        <f t="shared" si="72"/>
        <v>42.5</v>
      </c>
      <c r="S41" s="180">
        <f t="shared" si="72"/>
        <v>217.2</v>
      </c>
      <c r="T41" s="326">
        <f>SUM(N41:S41)</f>
        <v>259.7</v>
      </c>
      <c r="U41" s="326">
        <f>T41+L41</f>
        <v>624.1</v>
      </c>
      <c r="V41" s="264">
        <f t="shared" ref="V41" si="73">V58+V165+V210</f>
        <v>571.6</v>
      </c>
      <c r="W41" s="184">
        <f>V41-U41</f>
        <v>-52.5</v>
      </c>
    </row>
    <row r="42" spans="1:25" s="206" customFormat="1" ht="18" customHeight="1">
      <c r="A42" s="610"/>
      <c r="B42" s="581"/>
      <c r="C42" s="581"/>
      <c r="D42" s="187" t="str">
        <f>серпень!D42</f>
        <v>тариф, грн.</v>
      </c>
      <c r="E42" s="188"/>
      <c r="F42" s="188">
        <f t="shared" ref="F42:S42" si="74">F43/F41*1000</f>
        <v>2674.9540000000002</v>
      </c>
      <c r="G42" s="188">
        <f t="shared" si="74"/>
        <v>2846.8240000000001</v>
      </c>
      <c r="H42" s="188">
        <f t="shared" si="74"/>
        <v>2857.8110000000001</v>
      </c>
      <c r="I42" s="188" t="e">
        <f>I43/I41*1000</f>
        <v>#DIV/0!</v>
      </c>
      <c r="J42" s="188" t="e">
        <f>J43/J41*1000</f>
        <v>#DIV/0!</v>
      </c>
      <c r="K42" s="188" t="e">
        <f t="shared" si="74"/>
        <v>#DIV/0!</v>
      </c>
      <c r="L42" s="188">
        <f t="shared" si="74"/>
        <v>2777.1570000000002</v>
      </c>
      <c r="M42" s="188">
        <f t="shared" si="74"/>
        <v>2777.172</v>
      </c>
      <c r="N42" s="188" t="e">
        <f t="shared" si="74"/>
        <v>#DIV/0!</v>
      </c>
      <c r="O42" s="188" t="e">
        <f t="shared" si="74"/>
        <v>#DIV/0!</v>
      </c>
      <c r="P42" s="188" t="e">
        <f t="shared" si="74"/>
        <v>#DIV/0!</v>
      </c>
      <c r="Q42" s="188" t="e">
        <f t="shared" si="74"/>
        <v>#DIV/0!</v>
      </c>
      <c r="R42" s="188">
        <f t="shared" si="74"/>
        <v>2774.1880000000001</v>
      </c>
      <c r="S42" s="188">
        <f t="shared" si="74"/>
        <v>2988.8719999999998</v>
      </c>
      <c r="T42" s="188">
        <f>T43/T41*1000</f>
        <v>2953.739</v>
      </c>
      <c r="U42" s="188">
        <f>U43/U41*1000</f>
        <v>2850.636</v>
      </c>
      <c r="V42" s="188">
        <f>V43/V41*1000</f>
        <v>2719.0259999999998</v>
      </c>
      <c r="W42" s="189">
        <f>W43/W41*1000</f>
        <v>4283.5619999999999</v>
      </c>
    </row>
    <row r="43" spans="1:25" s="206" customFormat="1" ht="18" customHeight="1">
      <c r="A43" s="610"/>
      <c r="B43" s="581"/>
      <c r="C43" s="581"/>
      <c r="D43" s="191" t="str">
        <f>серпень!D43</f>
        <v>сума, тис.грн.</v>
      </c>
      <c r="E43" s="192"/>
      <c r="F43" s="193">
        <f>F92+F137+F167+F212</f>
        <v>409.803</v>
      </c>
      <c r="G43" s="193">
        <f t="shared" ref="G43:K43" si="75">G92+G137+G167+G212</f>
        <v>356.70699999999999</v>
      </c>
      <c r="H43" s="193">
        <f t="shared" si="75"/>
        <v>245.48599999999999</v>
      </c>
      <c r="I43" s="193">
        <f>I92+I137+I167+I212</f>
        <v>0</v>
      </c>
      <c r="J43" s="193">
        <f t="shared" si="75"/>
        <v>0</v>
      </c>
      <c r="K43" s="193">
        <f t="shared" si="75"/>
        <v>0</v>
      </c>
      <c r="L43" s="194">
        <f t="shared" ref="L43:L48" si="76">SUM(F43:K43)</f>
        <v>1011.996</v>
      </c>
      <c r="M43" s="194">
        <f t="shared" ref="M43:M48" si="77">L43/6</f>
        <v>168.666</v>
      </c>
      <c r="N43" s="193">
        <f>N92+N137+N167+N212</f>
        <v>0</v>
      </c>
      <c r="O43" s="193">
        <f t="shared" ref="O43:S43" si="78">O92+O137+O167+O212</f>
        <v>0</v>
      </c>
      <c r="P43" s="193">
        <f t="shared" si="78"/>
        <v>0</v>
      </c>
      <c r="Q43" s="193">
        <f t="shared" si="78"/>
        <v>0</v>
      </c>
      <c r="R43" s="193">
        <f t="shared" si="78"/>
        <v>117.90300000000001</v>
      </c>
      <c r="S43" s="193">
        <f t="shared" si="78"/>
        <v>649.18299999999999</v>
      </c>
      <c r="T43" s="194">
        <f>SUM(N43:S43)</f>
        <v>767.08600000000001</v>
      </c>
      <c r="U43" s="194">
        <f>T43+L43</f>
        <v>1779.0820000000001</v>
      </c>
      <c r="V43" s="171">
        <f>V60+V167+V212</f>
        <v>1554.1949999999999</v>
      </c>
      <c r="W43" s="193">
        <f>V43-U43</f>
        <v>-224.887</v>
      </c>
    </row>
    <row r="44" spans="1:25" s="206" customFormat="1" ht="18" customHeight="1">
      <c r="A44" s="610"/>
      <c r="B44" s="581"/>
      <c r="C44" s="581"/>
      <c r="D44" s="174" t="str">
        <f>серпень!D44</f>
        <v>абоненська плата, тис.грн.</v>
      </c>
      <c r="E44" s="192"/>
      <c r="F44" s="193">
        <f>F77+F107+F122+F152</f>
        <v>47.412999999999997</v>
      </c>
      <c r="G44" s="193">
        <f t="shared" ref="G44:K44" si="79">G77+G107+G122+G152</f>
        <v>47.593000000000004</v>
      </c>
      <c r="H44" s="193">
        <f t="shared" si="79"/>
        <v>47.593000000000004</v>
      </c>
      <c r="I44" s="193">
        <f t="shared" si="79"/>
        <v>47.593000000000004</v>
      </c>
      <c r="J44" s="193">
        <f t="shared" si="79"/>
        <v>47.593000000000004</v>
      </c>
      <c r="K44" s="193">
        <f t="shared" si="79"/>
        <v>47.593000000000004</v>
      </c>
      <c r="L44" s="194">
        <f t="shared" si="76"/>
        <v>285.37799999999999</v>
      </c>
      <c r="M44" s="194">
        <f t="shared" si="77"/>
        <v>47.563000000000002</v>
      </c>
      <c r="N44" s="193">
        <f>N77+N107+N122+N152</f>
        <v>47.593000000000004</v>
      </c>
      <c r="O44" s="193">
        <f t="shared" ref="O44:S44" si="80">O77+O107+O122+O152</f>
        <v>47.593000000000004</v>
      </c>
      <c r="P44" s="193">
        <f t="shared" si="80"/>
        <v>47.593000000000004</v>
      </c>
      <c r="Q44" s="193">
        <f t="shared" si="80"/>
        <v>47.593000000000004</v>
      </c>
      <c r="R44" s="193">
        <f t="shared" si="80"/>
        <v>47.593000000000004</v>
      </c>
      <c r="S44" s="193">
        <f t="shared" si="80"/>
        <v>47.593000000000004</v>
      </c>
      <c r="T44" s="194">
        <f t="shared" ref="T44:T46" si="81">SUM(N44:S44)</f>
        <v>285.55799999999999</v>
      </c>
      <c r="U44" s="194">
        <f t="shared" ref="U44:U46" si="82">T44+L44</f>
        <v>570.93600000000004</v>
      </c>
      <c r="V44" s="171">
        <f t="shared" ref="V44:V45" si="83">V61</f>
        <v>455.964</v>
      </c>
      <c r="W44" s="193">
        <f t="shared" ref="W44:W45" si="84">V44-U44</f>
        <v>-114.97199999999999</v>
      </c>
    </row>
    <row r="45" spans="1:25" s="206" customFormat="1" ht="18" customHeight="1">
      <c r="A45" s="610"/>
      <c r="B45" s="581"/>
      <c r="C45" s="581"/>
      <c r="D45" s="174" t="str">
        <f>серпень!D45</f>
        <v>разом сума тис. грн+абонплата</v>
      </c>
      <c r="E45" s="192"/>
      <c r="F45" s="193">
        <f>F43+F44</f>
        <v>457.21600000000001</v>
      </c>
      <c r="G45" s="193">
        <f t="shared" ref="G45:K45" si="85">G43+G44</f>
        <v>404.3</v>
      </c>
      <c r="H45" s="193">
        <f t="shared" si="85"/>
        <v>293.07900000000001</v>
      </c>
      <c r="I45" s="193">
        <f t="shared" si="85"/>
        <v>47.593000000000004</v>
      </c>
      <c r="J45" s="193">
        <f t="shared" si="85"/>
        <v>47.593000000000004</v>
      </c>
      <c r="K45" s="193">
        <f t="shared" si="85"/>
        <v>47.593000000000004</v>
      </c>
      <c r="L45" s="194">
        <f t="shared" si="76"/>
        <v>1297.374</v>
      </c>
      <c r="M45" s="194">
        <f t="shared" si="77"/>
        <v>216.22900000000001</v>
      </c>
      <c r="N45" s="193">
        <f t="shared" ref="N45:S45" si="86">N43+N44</f>
        <v>47.593000000000004</v>
      </c>
      <c r="O45" s="193">
        <f t="shared" si="86"/>
        <v>47.593000000000004</v>
      </c>
      <c r="P45" s="193">
        <f t="shared" si="86"/>
        <v>47.593000000000004</v>
      </c>
      <c r="Q45" s="193">
        <f t="shared" si="86"/>
        <v>47.593000000000004</v>
      </c>
      <c r="R45" s="193">
        <f t="shared" si="86"/>
        <v>165.49600000000001</v>
      </c>
      <c r="S45" s="193">
        <f t="shared" si="86"/>
        <v>696.77599999999995</v>
      </c>
      <c r="T45" s="194">
        <f t="shared" ref="T45" si="87">SUM(N45:S45)</f>
        <v>1052.644</v>
      </c>
      <c r="U45" s="194">
        <f t="shared" si="82"/>
        <v>2350.018</v>
      </c>
      <c r="V45" s="171">
        <f t="shared" si="83"/>
        <v>2010.1590000000001</v>
      </c>
      <c r="W45" s="193">
        <f t="shared" si="84"/>
        <v>-339.85899999999998</v>
      </c>
    </row>
    <row r="46" spans="1:25" s="206" customFormat="1" ht="18" customHeight="1">
      <c r="A46" s="610"/>
      <c r="B46" s="581"/>
      <c r="C46" s="581"/>
      <c r="D46" s="174" t="str">
        <f>серпень!D46</f>
        <v>дотація</v>
      </c>
      <c r="E46" s="192"/>
      <c r="F46" s="193">
        <f>F63+F168+F213</f>
        <v>0</v>
      </c>
      <c r="G46" s="193">
        <f t="shared" ref="G46:K47" si="88">G63+G168+G213</f>
        <v>0</v>
      </c>
      <c r="H46" s="193">
        <f t="shared" si="88"/>
        <v>0</v>
      </c>
      <c r="I46" s="193">
        <f t="shared" si="88"/>
        <v>0</v>
      </c>
      <c r="J46" s="193">
        <f t="shared" si="88"/>
        <v>0</v>
      </c>
      <c r="K46" s="193">
        <f t="shared" si="88"/>
        <v>0</v>
      </c>
      <c r="L46" s="194">
        <f t="shared" si="76"/>
        <v>0</v>
      </c>
      <c r="M46" s="194">
        <f t="shared" si="77"/>
        <v>0</v>
      </c>
      <c r="N46" s="193">
        <f t="shared" ref="N46:S47" si="89">N63+N168+N213</f>
        <v>0</v>
      </c>
      <c r="O46" s="193">
        <f t="shared" si="89"/>
        <v>0</v>
      </c>
      <c r="P46" s="193">
        <f t="shared" si="89"/>
        <v>0</v>
      </c>
      <c r="Q46" s="193">
        <f t="shared" si="89"/>
        <v>0</v>
      </c>
      <c r="R46" s="193">
        <f t="shared" si="89"/>
        <v>0</v>
      </c>
      <c r="S46" s="193">
        <f t="shared" si="89"/>
        <v>0</v>
      </c>
      <c r="T46" s="194">
        <f t="shared" si="81"/>
        <v>0</v>
      </c>
      <c r="U46" s="194">
        <f t="shared" si="82"/>
        <v>0</v>
      </c>
      <c r="V46" s="171">
        <f t="shared" ref="V46:V47" si="90">V63+V168+V213</f>
        <v>0</v>
      </c>
      <c r="W46" s="192">
        <f>V46-U46</f>
        <v>0</v>
      </c>
    </row>
    <row r="47" spans="1:25" s="206" customFormat="1" ht="18" customHeight="1">
      <c r="A47" s="610"/>
      <c r="B47" s="581"/>
      <c r="C47" s="581"/>
      <c r="D47" s="174" t="str">
        <f>серпень!D47</f>
        <v>місцевий (план), тис.грн</v>
      </c>
      <c r="E47" s="192"/>
      <c r="F47" s="193">
        <f>F64+F169+F214</f>
        <v>0</v>
      </c>
      <c r="G47" s="193">
        <f t="shared" si="88"/>
        <v>457.47899999999998</v>
      </c>
      <c r="H47" s="193">
        <f t="shared" si="88"/>
        <v>420.99599999999998</v>
      </c>
      <c r="I47" s="193">
        <f t="shared" si="88"/>
        <v>293.077</v>
      </c>
      <c r="J47" s="193">
        <f t="shared" si="88"/>
        <v>30.696999999999999</v>
      </c>
      <c r="K47" s="193">
        <f t="shared" si="88"/>
        <v>47.53</v>
      </c>
      <c r="L47" s="194">
        <f t="shared" si="76"/>
        <v>1249.779</v>
      </c>
      <c r="M47" s="194">
        <f t="shared" si="77"/>
        <v>208.297</v>
      </c>
      <c r="N47" s="193">
        <f t="shared" si="89"/>
        <v>47.593000000000004</v>
      </c>
      <c r="O47" s="193">
        <f t="shared" si="89"/>
        <v>47.591999999999999</v>
      </c>
      <c r="P47" s="193">
        <f t="shared" si="89"/>
        <v>37.997</v>
      </c>
      <c r="Q47" s="193">
        <f t="shared" si="89"/>
        <v>37.997</v>
      </c>
      <c r="R47" s="193">
        <f t="shared" si="89"/>
        <v>37.997</v>
      </c>
      <c r="S47" s="193">
        <f t="shared" si="89"/>
        <v>551.20399999999995</v>
      </c>
      <c r="T47" s="194">
        <f>SUM(N47:S47)</f>
        <v>760.38</v>
      </c>
      <c r="U47" s="194">
        <f>T47+L47</f>
        <v>2010.1590000000001</v>
      </c>
      <c r="V47" s="171">
        <f t="shared" si="90"/>
        <v>2010.1590000000001</v>
      </c>
      <c r="W47" s="192">
        <f>V47-U47</f>
        <v>0</v>
      </c>
    </row>
    <row r="48" spans="1:25" s="206" customFormat="1" ht="18" customHeight="1">
      <c r="A48" s="610"/>
      <c r="B48" s="581"/>
      <c r="C48" s="581"/>
      <c r="D48" s="178" t="str">
        <f>серпень!D48</f>
        <v>касові нат.п-ки 2025</v>
      </c>
      <c r="E48" s="179">
        <f t="shared" ref="E48" si="91">E65+E170+E215</f>
        <v>0</v>
      </c>
      <c r="F48" s="264">
        <f>F65</f>
        <v>0</v>
      </c>
      <c r="G48" s="264">
        <f t="shared" ref="G48:K48" si="92">G65</f>
        <v>153.19999999999999</v>
      </c>
      <c r="H48" s="264">
        <f t="shared" si="92"/>
        <v>130.80000000000001</v>
      </c>
      <c r="I48" s="264">
        <f t="shared" si="92"/>
        <v>85.9</v>
      </c>
      <c r="J48" s="264">
        <f t="shared" si="92"/>
        <v>-5.5</v>
      </c>
      <c r="K48" s="264">
        <f t="shared" si="92"/>
        <v>0</v>
      </c>
      <c r="L48" s="325">
        <f t="shared" si="76"/>
        <v>364.4</v>
      </c>
      <c r="M48" s="325">
        <f t="shared" si="77"/>
        <v>60.732999999999997</v>
      </c>
      <c r="N48" s="264">
        <f>N65</f>
        <v>0</v>
      </c>
      <c r="O48" s="264">
        <f t="shared" ref="O48:S48" si="93">O65</f>
        <v>0</v>
      </c>
      <c r="P48" s="264">
        <f t="shared" si="93"/>
        <v>0</v>
      </c>
      <c r="Q48" s="264">
        <f t="shared" si="93"/>
        <v>0</v>
      </c>
      <c r="R48" s="264">
        <f t="shared" si="93"/>
        <v>0</v>
      </c>
      <c r="S48" s="264">
        <f t="shared" si="93"/>
        <v>259.7</v>
      </c>
      <c r="T48" s="325">
        <f>SUM(N48:S48)</f>
        <v>259.7</v>
      </c>
      <c r="U48" s="325">
        <f>T48+L48</f>
        <v>624.1</v>
      </c>
      <c r="V48" s="260">
        <f t="shared" ref="V48" si="94">V65</f>
        <v>571.6</v>
      </c>
      <c r="W48" s="184">
        <f>V48-U48</f>
        <v>-52.5</v>
      </c>
      <c r="X48" s="206">
        <f>U41-U48</f>
        <v>0</v>
      </c>
      <c r="Y48" s="176"/>
    </row>
    <row r="49" spans="1:24" s="206" customFormat="1" ht="18" customHeight="1">
      <c r="A49" s="610"/>
      <c r="B49" s="581"/>
      <c r="C49" s="581"/>
      <c r="D49" s="187" t="str">
        <f>серпень!D49</f>
        <v>тариф, грн.</v>
      </c>
      <c r="E49" s="188" t="e">
        <f t="shared" ref="E49:S49" si="95">E50/E48*1000</f>
        <v>#DIV/0!</v>
      </c>
      <c r="F49" s="188" t="e">
        <f t="shared" si="95"/>
        <v>#DIV/0!</v>
      </c>
      <c r="G49" s="188">
        <f t="shared" si="95"/>
        <v>2984.4389999999999</v>
      </c>
      <c r="H49" s="188">
        <f t="shared" si="95"/>
        <v>3220.6350000000002</v>
      </c>
      <c r="I49" s="188">
        <f>I50/I48*1000</f>
        <v>3411.8629999999998</v>
      </c>
      <c r="J49" s="188">
        <f>J50/J48*1000</f>
        <v>-5569.8180000000002</v>
      </c>
      <c r="K49" s="188" t="e">
        <f t="shared" si="95"/>
        <v>#DIV/0!</v>
      </c>
      <c r="L49" s="188">
        <f t="shared" si="95"/>
        <v>3429.6950000000002</v>
      </c>
      <c r="M49" s="188">
        <f t="shared" si="95"/>
        <v>3429.7170000000001</v>
      </c>
      <c r="N49" s="188" t="e">
        <f t="shared" si="95"/>
        <v>#DIV/0!</v>
      </c>
      <c r="O49" s="188" t="e">
        <f t="shared" si="95"/>
        <v>#DIV/0!</v>
      </c>
      <c r="P49" s="188" t="e">
        <f t="shared" si="95"/>
        <v>#DIV/0!</v>
      </c>
      <c r="Q49" s="188" t="e">
        <f t="shared" si="95"/>
        <v>#DIV/0!</v>
      </c>
      <c r="R49" s="188" t="e">
        <f t="shared" si="95"/>
        <v>#DIV/0!</v>
      </c>
      <c r="S49" s="188">
        <f t="shared" si="95"/>
        <v>3320.2620000000002</v>
      </c>
      <c r="T49" s="188">
        <f>T50/T48*1000</f>
        <v>4236.5690000000004</v>
      </c>
      <c r="U49" s="188">
        <f>U50/U48*1000</f>
        <v>3765.451</v>
      </c>
      <c r="V49" s="188">
        <f>V50/V48*1000</f>
        <v>3516.723</v>
      </c>
      <c r="W49" s="189">
        <f>W50/W48*1000</f>
        <v>6473.5050000000001</v>
      </c>
    </row>
    <row r="50" spans="1:24" s="176" customFormat="1" ht="18" customHeight="1">
      <c r="A50" s="610"/>
      <c r="B50" s="581"/>
      <c r="C50" s="581"/>
      <c r="D50" s="198" t="str">
        <f>серпень!D50</f>
        <v>касові видатки, тис.грн.</v>
      </c>
      <c r="E50" s="199">
        <f t="shared" ref="E50" si="96">E67+E172+E217</f>
        <v>0</v>
      </c>
      <c r="F50" s="199">
        <f>F67+F172+F217</f>
        <v>0</v>
      </c>
      <c r="G50" s="199">
        <f t="shared" ref="F50:K52" si="97">G67+G172+G217</f>
        <v>457.21600000000001</v>
      </c>
      <c r="H50" s="199">
        <f t="shared" si="97"/>
        <v>421.25900000000001</v>
      </c>
      <c r="I50" s="199">
        <f t="shared" si="97"/>
        <v>293.07900000000001</v>
      </c>
      <c r="J50" s="199">
        <f t="shared" si="97"/>
        <v>30.634</v>
      </c>
      <c r="K50" s="199">
        <f t="shared" si="97"/>
        <v>47.593000000000004</v>
      </c>
      <c r="L50" s="199">
        <f>SUM(F50:K50)</f>
        <v>1249.7809999999999</v>
      </c>
      <c r="M50" s="199">
        <f>L50/6</f>
        <v>208.297</v>
      </c>
      <c r="N50" s="199">
        <f>N67+N172+N217</f>
        <v>47.593000000000004</v>
      </c>
      <c r="O50" s="199">
        <f t="shared" ref="O50:S50" si="98">O67+O172+O217</f>
        <v>47.593000000000004</v>
      </c>
      <c r="P50" s="199">
        <f t="shared" si="98"/>
        <v>47.593000000000004</v>
      </c>
      <c r="Q50" s="199">
        <f t="shared" si="98"/>
        <v>47.593000000000004</v>
      </c>
      <c r="R50" s="199">
        <f t="shared" si="98"/>
        <v>47.593000000000004</v>
      </c>
      <c r="S50" s="199">
        <f t="shared" si="98"/>
        <v>862.27200000000005</v>
      </c>
      <c r="T50" s="199">
        <f>SUM(N50:S50)</f>
        <v>1100.2370000000001</v>
      </c>
      <c r="U50" s="199">
        <f>T50+L50</f>
        <v>2350.018</v>
      </c>
      <c r="V50" s="175">
        <f>V67+V172+V217</f>
        <v>2010.1590000000001</v>
      </c>
      <c r="W50" s="200">
        <f>V50-U50</f>
        <v>-339.85899999999998</v>
      </c>
      <c r="X50" s="176">
        <f>U45-U50</f>
        <v>0</v>
      </c>
    </row>
    <row r="51" spans="1:24" s="176" customFormat="1" ht="18" customHeight="1">
      <c r="A51" s="610"/>
      <c r="B51" s="581"/>
      <c r="C51" s="581"/>
      <c r="D51" s="201" t="str">
        <f>серпень!D51</f>
        <v>дотація</v>
      </c>
      <c r="E51" s="199"/>
      <c r="F51" s="199">
        <f>F68+F173+F218</f>
        <v>0</v>
      </c>
      <c r="G51" s="199">
        <f t="shared" si="97"/>
        <v>0</v>
      </c>
      <c r="H51" s="199">
        <f t="shared" si="97"/>
        <v>0</v>
      </c>
      <c r="I51" s="199">
        <f t="shared" si="97"/>
        <v>0</v>
      </c>
      <c r="J51" s="199">
        <f t="shared" si="97"/>
        <v>0</v>
      </c>
      <c r="K51" s="199">
        <f t="shared" si="97"/>
        <v>0</v>
      </c>
      <c r="L51" s="199">
        <f>SUM(F51:K51)</f>
        <v>0</v>
      </c>
      <c r="M51" s="199">
        <f>L51/6</f>
        <v>0</v>
      </c>
      <c r="N51" s="199">
        <f t="shared" ref="N51:S52" si="99">N68+N173+N218</f>
        <v>0</v>
      </c>
      <c r="O51" s="199">
        <f t="shared" si="99"/>
        <v>0</v>
      </c>
      <c r="P51" s="199">
        <f t="shared" si="99"/>
        <v>0</v>
      </c>
      <c r="Q51" s="199">
        <f t="shared" si="99"/>
        <v>0</v>
      </c>
      <c r="R51" s="199">
        <f t="shared" si="99"/>
        <v>0</v>
      </c>
      <c r="S51" s="199">
        <f t="shared" si="99"/>
        <v>0</v>
      </c>
      <c r="T51" s="199">
        <f>SUM(N51:S51)</f>
        <v>0</v>
      </c>
      <c r="U51" s="199">
        <f>T51+L51</f>
        <v>0</v>
      </c>
      <c r="V51" s="175">
        <f>V68+V173+V218</f>
        <v>0</v>
      </c>
      <c r="W51" s="200">
        <f>V51-U51</f>
        <v>0</v>
      </c>
      <c r="X51" s="176">
        <f>U46-U51</f>
        <v>0</v>
      </c>
    </row>
    <row r="52" spans="1:24" s="176" customFormat="1" ht="18" customHeight="1">
      <c r="A52" s="610"/>
      <c r="B52" s="581"/>
      <c r="C52" s="581"/>
      <c r="D52" s="201" t="str">
        <f>серпень!D52</f>
        <v xml:space="preserve">місцевий </v>
      </c>
      <c r="E52" s="199"/>
      <c r="F52" s="199">
        <f t="shared" si="97"/>
        <v>0</v>
      </c>
      <c r="G52" s="199">
        <f t="shared" si="97"/>
        <v>457.21600000000001</v>
      </c>
      <c r="H52" s="199">
        <f t="shared" si="97"/>
        <v>421.25900000000001</v>
      </c>
      <c r="I52" s="199">
        <f>I69+I174+I219</f>
        <v>293.07900000000001</v>
      </c>
      <c r="J52" s="199">
        <f t="shared" si="97"/>
        <v>30.634</v>
      </c>
      <c r="K52" s="199">
        <f t="shared" si="97"/>
        <v>47.593000000000004</v>
      </c>
      <c r="L52" s="199">
        <f>SUM(F52:K52)</f>
        <v>1249.7809999999999</v>
      </c>
      <c r="M52" s="199">
        <f>L52/6</f>
        <v>208.297</v>
      </c>
      <c r="N52" s="199">
        <f t="shared" si="99"/>
        <v>47.593000000000004</v>
      </c>
      <c r="O52" s="199">
        <f t="shared" si="99"/>
        <v>47.593000000000004</v>
      </c>
      <c r="P52" s="199">
        <f t="shared" si="99"/>
        <v>47.593000000000004</v>
      </c>
      <c r="Q52" s="199">
        <f t="shared" si="99"/>
        <v>47.593000000000004</v>
      </c>
      <c r="R52" s="199">
        <f t="shared" si="99"/>
        <v>47.593000000000004</v>
      </c>
      <c r="S52" s="199">
        <f t="shared" si="99"/>
        <v>862.27200000000005</v>
      </c>
      <c r="T52" s="199">
        <f>SUM(N52:S52)</f>
        <v>1100.2370000000001</v>
      </c>
      <c r="U52" s="199">
        <f>T52+L52</f>
        <v>2350.018</v>
      </c>
      <c r="V52" s="175">
        <f>V69+V174+V219</f>
        <v>2010.1590000000001</v>
      </c>
      <c r="W52" s="200">
        <f>V52-U52</f>
        <v>-339.85899999999998</v>
      </c>
      <c r="X52" s="176">
        <f>U47-U52</f>
        <v>-339.85899999999998</v>
      </c>
    </row>
    <row r="53" spans="1:24" s="205" customFormat="1" ht="18" customHeight="1">
      <c r="A53" s="610"/>
      <c r="B53" s="581"/>
      <c r="C53" s="581"/>
      <c r="D53" s="202" t="str">
        <f>серпень!D53</f>
        <v>план</v>
      </c>
      <c r="E53" s="203"/>
      <c r="F53" s="203">
        <f t="shared" ref="F53:K53" si="100">F47</f>
        <v>0</v>
      </c>
      <c r="G53" s="203">
        <f t="shared" si="100"/>
        <v>457.47899999999998</v>
      </c>
      <c r="H53" s="203">
        <f t="shared" si="100"/>
        <v>420.99599999999998</v>
      </c>
      <c r="I53" s="203">
        <f t="shared" si="100"/>
        <v>293.077</v>
      </c>
      <c r="J53" s="203">
        <f t="shared" si="100"/>
        <v>30.696999999999999</v>
      </c>
      <c r="K53" s="203">
        <f t="shared" si="100"/>
        <v>47.53</v>
      </c>
      <c r="L53" s="203">
        <f>SUM(F53:K53)</f>
        <v>1249.779</v>
      </c>
      <c r="M53" s="203">
        <f>L53/6</f>
        <v>208.297</v>
      </c>
      <c r="N53" s="203">
        <f>N47+N46</f>
        <v>47.593000000000004</v>
      </c>
      <c r="O53" s="203">
        <f t="shared" ref="O53:S53" si="101">O47+O46</f>
        <v>47.591999999999999</v>
      </c>
      <c r="P53" s="203">
        <f t="shared" si="101"/>
        <v>37.997</v>
      </c>
      <c r="Q53" s="203">
        <f t="shared" si="101"/>
        <v>37.997</v>
      </c>
      <c r="R53" s="203">
        <f t="shared" si="101"/>
        <v>37.997</v>
      </c>
      <c r="S53" s="203">
        <f t="shared" si="101"/>
        <v>551.20399999999995</v>
      </c>
      <c r="T53" s="203">
        <f>SUM(N53:S53)</f>
        <v>760.38</v>
      </c>
      <c r="U53" s="203">
        <f>T53+L53</f>
        <v>2010.1590000000001</v>
      </c>
      <c r="V53" s="204">
        <f>V47+V46</f>
        <v>2010.1590000000001</v>
      </c>
      <c r="W53" s="203">
        <f>V53-U53</f>
        <v>0</v>
      </c>
    </row>
    <row r="54" spans="1:24" s="205" customFormat="1" ht="18" customHeight="1">
      <c r="A54" s="610"/>
      <c r="B54" s="581"/>
      <c r="C54" s="581"/>
      <c r="D54" s="202" t="str">
        <f>серпень!D54</f>
        <v xml:space="preserve">відхилення </v>
      </c>
      <c r="E54" s="203"/>
      <c r="F54" s="203">
        <f t="shared" ref="F54:K54" si="102">F50-F53</f>
        <v>0</v>
      </c>
      <c r="G54" s="203">
        <f t="shared" si="102"/>
        <v>-0.26300000000000001</v>
      </c>
      <c r="H54" s="203">
        <f t="shared" si="102"/>
        <v>0.26300000000000001</v>
      </c>
      <c r="I54" s="203">
        <f t="shared" si="102"/>
        <v>2E-3</v>
      </c>
      <c r="J54" s="203">
        <f t="shared" si="102"/>
        <v>-6.3E-2</v>
      </c>
      <c r="K54" s="203">
        <f t="shared" si="102"/>
        <v>6.3E-2</v>
      </c>
      <c r="L54" s="203"/>
      <c r="M54" s="203"/>
      <c r="N54" s="203">
        <f t="shared" ref="N54:S54" si="103">N50-N53</f>
        <v>0</v>
      </c>
      <c r="O54" s="203">
        <f t="shared" si="103"/>
        <v>1E-3</v>
      </c>
      <c r="P54" s="203">
        <f t="shared" si="103"/>
        <v>9.5960000000000001</v>
      </c>
      <c r="Q54" s="203">
        <f t="shared" si="103"/>
        <v>9.5960000000000001</v>
      </c>
      <c r="R54" s="203">
        <f t="shared" si="103"/>
        <v>9.5960000000000001</v>
      </c>
      <c r="S54" s="203">
        <f t="shared" si="103"/>
        <v>311.06799999999998</v>
      </c>
      <c r="T54" s="203"/>
      <c r="U54" s="203"/>
      <c r="V54" s="203"/>
      <c r="W54" s="203"/>
    </row>
    <row r="55" spans="1:24" s="205" customFormat="1" ht="18" customHeight="1">
      <c r="A55" s="610"/>
      <c r="B55" s="581"/>
      <c r="C55" s="581"/>
      <c r="D55" s="202" t="str">
        <f>серпень!D55</f>
        <v>відхилення з наростаючим</v>
      </c>
      <c r="E55" s="203"/>
      <c r="F55" s="203">
        <f>F54</f>
        <v>0</v>
      </c>
      <c r="G55" s="203">
        <f>G54+F55</f>
        <v>-0.26300000000000001</v>
      </c>
      <c r="H55" s="203">
        <f>H54+G55</f>
        <v>0</v>
      </c>
      <c r="I55" s="203">
        <f>I54+H55</f>
        <v>2E-3</v>
      </c>
      <c r="J55" s="203">
        <f>J54+I55</f>
        <v>-6.0999999999999999E-2</v>
      </c>
      <c r="K55" s="203">
        <f>K54+J55</f>
        <v>2E-3</v>
      </c>
      <c r="L55" s="203"/>
      <c r="M55" s="203"/>
      <c r="N55" s="203">
        <f>N54+K55</f>
        <v>2E-3</v>
      </c>
      <c r="O55" s="203">
        <f>O54+N55</f>
        <v>3.0000000000000001E-3</v>
      </c>
      <c r="P55" s="203">
        <f>P54+O55</f>
        <v>9.5990000000000002</v>
      </c>
      <c r="Q55" s="203">
        <f>Q54+P55</f>
        <v>19.195</v>
      </c>
      <c r="R55" s="203">
        <f>R54+Q55</f>
        <v>28.791</v>
      </c>
      <c r="S55" s="203">
        <f>S54+R55</f>
        <v>339.85899999999998</v>
      </c>
      <c r="T55" s="203"/>
      <c r="U55" s="203"/>
      <c r="V55" s="203"/>
      <c r="W55" s="203"/>
    </row>
    <row r="56" spans="1:24" s="209" customFormat="1" ht="18" customHeight="1">
      <c r="A56" s="610"/>
      <c r="B56" s="580" t="s">
        <v>53</v>
      </c>
      <c r="C56" s="575"/>
      <c r="D56" s="178" t="str">
        <f>серпень!D56</f>
        <v>факт. нат.п-ки 2023</v>
      </c>
      <c r="E56" s="179"/>
      <c r="F56" s="180">
        <f t="shared" ref="F56:K57" si="104">F73+F88+F103+F118+F133+F148</f>
        <v>210.6</v>
      </c>
      <c r="G56" s="180">
        <f t="shared" si="104"/>
        <v>147.69999999999999</v>
      </c>
      <c r="H56" s="180">
        <f t="shared" si="104"/>
        <v>90.4</v>
      </c>
      <c r="I56" s="180">
        <f t="shared" si="104"/>
        <v>0.4</v>
      </c>
      <c r="J56" s="180">
        <f t="shared" si="104"/>
        <v>0.4</v>
      </c>
      <c r="K56" s="180">
        <f t="shared" si="104"/>
        <v>0.4</v>
      </c>
      <c r="L56" s="207">
        <f>SUM(F56:K56)</f>
        <v>449.9</v>
      </c>
      <c r="M56" s="207">
        <f>L56/6</f>
        <v>75</v>
      </c>
      <c r="N56" s="180">
        <f t="shared" ref="N56:S57" si="105">N73+N88+N103+N118+N133+N148</f>
        <v>0.4</v>
      </c>
      <c r="O56" s="180">
        <f t="shared" si="105"/>
        <v>0.4</v>
      </c>
      <c r="P56" s="180">
        <f t="shared" si="105"/>
        <v>0.4</v>
      </c>
      <c r="Q56" s="180">
        <f t="shared" si="105"/>
        <v>0.4</v>
      </c>
      <c r="R56" s="180">
        <f t="shared" si="105"/>
        <v>36.4</v>
      </c>
      <c r="S56" s="180">
        <f t="shared" si="105"/>
        <v>156.5</v>
      </c>
      <c r="T56" s="207">
        <f>SUM(N56:S56)</f>
        <v>194.5</v>
      </c>
      <c r="U56" s="208">
        <f>T56+L56</f>
        <v>644.4</v>
      </c>
      <c r="V56" s="183">
        <f>V88+V133</f>
        <v>0</v>
      </c>
      <c r="W56" s="184"/>
    </row>
    <row r="57" spans="1:24" s="209" customFormat="1" ht="18.649999999999999" customHeight="1">
      <c r="A57" s="610"/>
      <c r="B57" s="576"/>
      <c r="C57" s="577"/>
      <c r="D57" s="178" t="str">
        <f>серпень!D57</f>
        <v>факт. нат.п-ки 2024</v>
      </c>
      <c r="E57" s="179"/>
      <c r="F57" s="180">
        <f t="shared" si="104"/>
        <v>126.2</v>
      </c>
      <c r="G57" s="180">
        <f t="shared" si="104"/>
        <v>95.6</v>
      </c>
      <c r="H57" s="180">
        <f t="shared" si="104"/>
        <v>91.6</v>
      </c>
      <c r="I57" s="180">
        <f t="shared" si="104"/>
        <v>0.5</v>
      </c>
      <c r="J57" s="180">
        <f t="shared" si="104"/>
        <v>0.5</v>
      </c>
      <c r="K57" s="180">
        <f t="shared" si="104"/>
        <v>0.5</v>
      </c>
      <c r="L57" s="207">
        <f>SUM(F57:K57)</f>
        <v>314.89999999999998</v>
      </c>
      <c r="M57" s="207">
        <f>L57/6</f>
        <v>52.5</v>
      </c>
      <c r="N57" s="179">
        <f t="shared" si="105"/>
        <v>0.5</v>
      </c>
      <c r="O57" s="179">
        <f t="shared" si="105"/>
        <v>0.5</v>
      </c>
      <c r="P57" s="179">
        <f t="shared" si="105"/>
        <v>0.5</v>
      </c>
      <c r="Q57" s="179">
        <f t="shared" si="105"/>
        <v>0.5</v>
      </c>
      <c r="R57" s="179">
        <f t="shared" si="105"/>
        <v>36.5</v>
      </c>
      <c r="S57" s="179">
        <f t="shared" si="105"/>
        <v>156.6</v>
      </c>
      <c r="T57" s="207">
        <f>SUM(N57:S57)</f>
        <v>195.1</v>
      </c>
      <c r="U57" s="208">
        <f>T57+L57</f>
        <v>510</v>
      </c>
      <c r="V57" s="183">
        <f>V89+V134</f>
        <v>639.6</v>
      </c>
      <c r="W57" s="184"/>
    </row>
    <row r="58" spans="1:24" s="209" customFormat="1" ht="18" customHeight="1">
      <c r="A58" s="610"/>
      <c r="B58" s="576"/>
      <c r="C58" s="577"/>
      <c r="D58" s="178" t="str">
        <f>серпень!D58</f>
        <v>факт. нат.п-ки 2025</v>
      </c>
      <c r="E58" s="179"/>
      <c r="F58" s="375">
        <f>F90+F135</f>
        <v>153.19999999999999</v>
      </c>
      <c r="G58" s="375">
        <f t="shared" ref="G58:K58" si="106">G90+G135</f>
        <v>125.3</v>
      </c>
      <c r="H58" s="375">
        <f t="shared" si="106"/>
        <v>85.9</v>
      </c>
      <c r="I58" s="375">
        <f t="shared" si="106"/>
        <v>0</v>
      </c>
      <c r="J58" s="375">
        <f t="shared" si="106"/>
        <v>0</v>
      </c>
      <c r="K58" s="375">
        <f t="shared" si="106"/>
        <v>0</v>
      </c>
      <c r="L58" s="359">
        <f>SUM(F58:K58)</f>
        <v>364.4</v>
      </c>
      <c r="M58" s="359">
        <f>L58/6</f>
        <v>60.7333</v>
      </c>
      <c r="N58" s="375">
        <f>N90+N135</f>
        <v>0</v>
      </c>
      <c r="O58" s="375">
        <f t="shared" ref="O58:S58" si="107">O90+O135</f>
        <v>0</v>
      </c>
      <c r="P58" s="375">
        <f t="shared" si="107"/>
        <v>0</v>
      </c>
      <c r="Q58" s="375">
        <f t="shared" si="107"/>
        <v>0</v>
      </c>
      <c r="R58" s="375">
        <f t="shared" si="107"/>
        <v>42.5</v>
      </c>
      <c r="S58" s="375">
        <f t="shared" si="107"/>
        <v>217.2</v>
      </c>
      <c r="T58" s="542">
        <f>SUM(N58:S58)</f>
        <v>259.7</v>
      </c>
      <c r="U58" s="222">
        <f>T58+L58</f>
        <v>624.1</v>
      </c>
      <c r="V58" s="233">
        <f>V90+V135</f>
        <v>571.6</v>
      </c>
      <c r="W58" s="184">
        <f>V58-U58</f>
        <v>-52.5</v>
      </c>
    </row>
    <row r="59" spans="1:24" s="209" customFormat="1" ht="18" customHeight="1">
      <c r="A59" s="610"/>
      <c r="B59" s="576"/>
      <c r="C59" s="577"/>
      <c r="D59" s="187" t="str">
        <f>серпень!D59</f>
        <v>тариф, грн.</v>
      </c>
      <c r="E59" s="188"/>
      <c r="F59" s="188">
        <f t="shared" ref="F59:S59" si="108">F60/F58*1000</f>
        <v>2674.9540000000002</v>
      </c>
      <c r="G59" s="188">
        <f t="shared" si="108"/>
        <v>2846.8240000000001</v>
      </c>
      <c r="H59" s="188">
        <f t="shared" si="108"/>
        <v>2857.8110000000001</v>
      </c>
      <c r="I59" s="188" t="e">
        <f>I60/I58*1000</f>
        <v>#DIV/0!</v>
      </c>
      <c r="J59" s="188" t="e">
        <f>J60/J58*1000</f>
        <v>#DIV/0!</v>
      </c>
      <c r="K59" s="188" t="e">
        <f t="shared" si="108"/>
        <v>#DIV/0!</v>
      </c>
      <c r="L59" s="188">
        <f t="shared" si="108"/>
        <v>2777.1570000000002</v>
      </c>
      <c r="M59" s="188">
        <f t="shared" si="108"/>
        <v>2777.1579999999999</v>
      </c>
      <c r="N59" s="188" t="e">
        <f t="shared" si="108"/>
        <v>#DIV/0!</v>
      </c>
      <c r="O59" s="188" t="e">
        <f t="shared" si="108"/>
        <v>#DIV/0!</v>
      </c>
      <c r="P59" s="188" t="e">
        <f t="shared" si="108"/>
        <v>#DIV/0!</v>
      </c>
      <c r="Q59" s="188" t="e">
        <f t="shared" si="108"/>
        <v>#DIV/0!</v>
      </c>
      <c r="R59" s="188">
        <f t="shared" si="108"/>
        <v>2774.1880000000001</v>
      </c>
      <c r="S59" s="188">
        <f t="shared" si="108"/>
        <v>2988.8719999999998</v>
      </c>
      <c r="T59" s="188">
        <f>T60/T58*1000</f>
        <v>2953.739</v>
      </c>
      <c r="U59" s="188">
        <f>U60/U58*1000</f>
        <v>2850.636</v>
      </c>
      <c r="V59" s="188">
        <f>V60/V58*1000</f>
        <v>2719.0259999999998</v>
      </c>
      <c r="W59" s="189">
        <f>W60/W58*1000</f>
        <v>4283.5619999999999</v>
      </c>
    </row>
    <row r="60" spans="1:24" s="209" customFormat="1" ht="18" customHeight="1">
      <c r="A60" s="610"/>
      <c r="B60" s="576"/>
      <c r="C60" s="577"/>
      <c r="D60" s="191" t="str">
        <f>серпень!D60</f>
        <v>сума, тис.грн.</v>
      </c>
      <c r="E60" s="192"/>
      <c r="F60" s="192">
        <f>F92+F137</f>
        <v>409.803</v>
      </c>
      <c r="G60" s="192">
        <f t="shared" ref="G60:J60" si="109">G92+G137</f>
        <v>356.70699999999999</v>
      </c>
      <c r="H60" s="192">
        <f t="shared" si="109"/>
        <v>245.48599999999999</v>
      </c>
      <c r="I60" s="192">
        <f t="shared" si="109"/>
        <v>0</v>
      </c>
      <c r="J60" s="192">
        <f t="shared" si="109"/>
        <v>0</v>
      </c>
      <c r="K60" s="192">
        <f t="shared" ref="K60" si="110">K92+K137</f>
        <v>0</v>
      </c>
      <c r="L60" s="192">
        <f t="shared" ref="L60:L65" si="111">SUM(F60:K60)</f>
        <v>1011.996</v>
      </c>
      <c r="M60" s="192">
        <f t="shared" ref="M60:M65" si="112">L60/6</f>
        <v>168.666</v>
      </c>
      <c r="N60" s="192">
        <f>N92+N137</f>
        <v>0</v>
      </c>
      <c r="O60" s="192">
        <f t="shared" ref="O60:S60" si="113">O92+O137</f>
        <v>0</v>
      </c>
      <c r="P60" s="192">
        <f t="shared" si="113"/>
        <v>0</v>
      </c>
      <c r="Q60" s="192">
        <f t="shared" si="113"/>
        <v>0</v>
      </c>
      <c r="R60" s="192">
        <f t="shared" si="113"/>
        <v>117.90300000000001</v>
      </c>
      <c r="S60" s="192">
        <f t="shared" si="113"/>
        <v>649.18299999999999</v>
      </c>
      <c r="T60" s="192">
        <f t="shared" ref="T60:T65" si="114">SUM(N60:S60)</f>
        <v>767.08600000000001</v>
      </c>
      <c r="U60" s="192">
        <f t="shared" ref="U60:U65" si="115">T60+L60</f>
        <v>1779.0820000000001</v>
      </c>
      <c r="V60" s="192">
        <f t="shared" ref="V60" si="116">V92+V137</f>
        <v>1554.1949999999999</v>
      </c>
      <c r="W60" s="193">
        <f>V60-U60</f>
        <v>-224.887</v>
      </c>
    </row>
    <row r="61" spans="1:24" s="209" customFormat="1" ht="18" customHeight="1">
      <c r="A61" s="610"/>
      <c r="B61" s="576"/>
      <c r="C61" s="577"/>
      <c r="D61" s="174" t="str">
        <f>серпень!D61</f>
        <v>абоненська плата, тис.грн.</v>
      </c>
      <c r="E61" s="192"/>
      <c r="F61" s="192">
        <f>F77+F107+F122+F152</f>
        <v>47.412999999999997</v>
      </c>
      <c r="G61" s="192">
        <f t="shared" ref="G61:K61" si="117">G77+G107+G122+G152</f>
        <v>47.593000000000004</v>
      </c>
      <c r="H61" s="192">
        <f t="shared" si="117"/>
        <v>47.593000000000004</v>
      </c>
      <c r="I61" s="192">
        <f>I77+I107+I122+I152</f>
        <v>47.593000000000004</v>
      </c>
      <c r="J61" s="192">
        <f t="shared" si="117"/>
        <v>47.593000000000004</v>
      </c>
      <c r="K61" s="192">
        <f t="shared" si="117"/>
        <v>47.593000000000004</v>
      </c>
      <c r="L61" s="192">
        <f t="shared" si="111"/>
        <v>285.37799999999999</v>
      </c>
      <c r="M61" s="192">
        <f t="shared" si="112"/>
        <v>47.563000000000002</v>
      </c>
      <c r="N61" s="192">
        <f>N77+N107+N122+N152</f>
        <v>47.593000000000004</v>
      </c>
      <c r="O61" s="192">
        <f t="shared" ref="O61:S61" si="118">O77+O107+O122+O152</f>
        <v>47.593000000000004</v>
      </c>
      <c r="P61" s="192">
        <f t="shared" si="118"/>
        <v>47.593000000000004</v>
      </c>
      <c r="Q61" s="192">
        <f t="shared" si="118"/>
        <v>47.593000000000004</v>
      </c>
      <c r="R61" s="192">
        <f t="shared" si="118"/>
        <v>47.593000000000004</v>
      </c>
      <c r="S61" s="192">
        <f t="shared" si="118"/>
        <v>47.593000000000004</v>
      </c>
      <c r="T61" s="192">
        <f t="shared" si="114"/>
        <v>285.55799999999999</v>
      </c>
      <c r="U61" s="192">
        <f t="shared" si="115"/>
        <v>570.93600000000004</v>
      </c>
      <c r="V61" s="192">
        <f t="shared" ref="V61" si="119">V77+V107+V122+V152</f>
        <v>455.964</v>
      </c>
      <c r="W61" s="193">
        <f t="shared" ref="W61:W63" si="120">V61-U61</f>
        <v>-114.97199999999999</v>
      </c>
    </row>
    <row r="62" spans="1:24" s="209" customFormat="1" ht="18" customHeight="1">
      <c r="A62" s="610"/>
      <c r="B62" s="576"/>
      <c r="C62" s="577"/>
      <c r="D62" s="174" t="str">
        <f>серпень!D62</f>
        <v>разом сума тис. грн+абонплата</v>
      </c>
      <c r="E62" s="192"/>
      <c r="F62" s="192">
        <f>F60+F61</f>
        <v>457.21600000000001</v>
      </c>
      <c r="G62" s="192">
        <f t="shared" ref="G62:K62" si="121">G60+G61</f>
        <v>404.3</v>
      </c>
      <c r="H62" s="192">
        <f t="shared" si="121"/>
        <v>293.07900000000001</v>
      </c>
      <c r="I62" s="192">
        <f t="shared" si="121"/>
        <v>47.593000000000004</v>
      </c>
      <c r="J62" s="192">
        <f t="shared" si="121"/>
        <v>47.593000000000004</v>
      </c>
      <c r="K62" s="192">
        <f t="shared" si="121"/>
        <v>47.593000000000004</v>
      </c>
      <c r="L62" s="192">
        <f t="shared" si="111"/>
        <v>1297.374</v>
      </c>
      <c r="M62" s="192">
        <f t="shared" si="112"/>
        <v>216.22900000000001</v>
      </c>
      <c r="N62" s="192">
        <f t="shared" ref="N62:S62" si="122">N60+N61</f>
        <v>47.593000000000004</v>
      </c>
      <c r="O62" s="192">
        <f t="shared" si="122"/>
        <v>47.593000000000004</v>
      </c>
      <c r="P62" s="192">
        <f t="shared" si="122"/>
        <v>47.593000000000004</v>
      </c>
      <c r="Q62" s="192">
        <f t="shared" si="122"/>
        <v>47.593000000000004</v>
      </c>
      <c r="R62" s="192">
        <f t="shared" si="122"/>
        <v>165.49600000000001</v>
      </c>
      <c r="S62" s="192">
        <f t="shared" si="122"/>
        <v>696.77599999999995</v>
      </c>
      <c r="T62" s="192">
        <f t="shared" si="114"/>
        <v>1052.644</v>
      </c>
      <c r="U62" s="192">
        <f t="shared" si="115"/>
        <v>2350.018</v>
      </c>
      <c r="V62" s="192">
        <f t="shared" ref="V62" si="123">V60+V61</f>
        <v>2010.1590000000001</v>
      </c>
      <c r="W62" s="193">
        <f t="shared" si="120"/>
        <v>-339.85899999999998</v>
      </c>
    </row>
    <row r="63" spans="1:24" s="209" customFormat="1" ht="18" customHeight="1">
      <c r="A63" s="610"/>
      <c r="B63" s="576"/>
      <c r="C63" s="577"/>
      <c r="D63" s="174" t="str">
        <f>серпень!D63</f>
        <v>дотація</v>
      </c>
      <c r="E63" s="210"/>
      <c r="F63" s="192">
        <f t="shared" ref="F63:K64" si="124">F78+F93+F108+F123+F138+F153</f>
        <v>0</v>
      </c>
      <c r="G63" s="192">
        <f t="shared" si="124"/>
        <v>0</v>
      </c>
      <c r="H63" s="192">
        <f t="shared" si="124"/>
        <v>0</v>
      </c>
      <c r="I63" s="192">
        <f t="shared" si="124"/>
        <v>0</v>
      </c>
      <c r="J63" s="192">
        <f t="shared" si="124"/>
        <v>0</v>
      </c>
      <c r="K63" s="192">
        <f t="shared" si="124"/>
        <v>0</v>
      </c>
      <c r="L63" s="192">
        <f t="shared" si="111"/>
        <v>0</v>
      </c>
      <c r="M63" s="192">
        <f t="shared" si="112"/>
        <v>0</v>
      </c>
      <c r="N63" s="192">
        <f t="shared" ref="N63:S64" si="125">N78+N93+N108+N123+N138+N153</f>
        <v>0</v>
      </c>
      <c r="O63" s="192">
        <f t="shared" si="125"/>
        <v>0</v>
      </c>
      <c r="P63" s="192">
        <f t="shared" si="125"/>
        <v>0</v>
      </c>
      <c r="Q63" s="192">
        <f t="shared" si="125"/>
        <v>0</v>
      </c>
      <c r="R63" s="192">
        <f t="shared" si="125"/>
        <v>0</v>
      </c>
      <c r="S63" s="192">
        <f t="shared" si="125"/>
        <v>0</v>
      </c>
      <c r="T63" s="192">
        <f t="shared" si="114"/>
        <v>0</v>
      </c>
      <c r="U63" s="192">
        <f t="shared" si="115"/>
        <v>0</v>
      </c>
      <c r="V63" s="192">
        <f t="shared" ref="V63:V64" si="126">V78+V93+V108+V123+V138+V153</f>
        <v>0</v>
      </c>
      <c r="W63" s="211">
        <f t="shared" si="120"/>
        <v>0</v>
      </c>
    </row>
    <row r="64" spans="1:24" s="209" customFormat="1" ht="18" customHeight="1">
      <c r="A64" s="610"/>
      <c r="B64" s="576"/>
      <c r="C64" s="577"/>
      <c r="D64" s="174" t="str">
        <f>серпень!D64</f>
        <v>місцевий (план), тис.грн</v>
      </c>
      <c r="E64" s="210"/>
      <c r="F64" s="192">
        <f>F79+F94+F109+F124+F139+F154</f>
        <v>0</v>
      </c>
      <c r="G64" s="192">
        <f t="shared" si="124"/>
        <v>457.47899999999998</v>
      </c>
      <c r="H64" s="192">
        <f t="shared" si="124"/>
        <v>420.99599999999998</v>
      </c>
      <c r="I64" s="192">
        <f t="shared" si="124"/>
        <v>293.077</v>
      </c>
      <c r="J64" s="192">
        <f t="shared" si="124"/>
        <v>30.696999999999999</v>
      </c>
      <c r="K64" s="192">
        <f t="shared" si="124"/>
        <v>47.53</v>
      </c>
      <c r="L64" s="192">
        <f t="shared" si="111"/>
        <v>1249.779</v>
      </c>
      <c r="M64" s="192">
        <f t="shared" si="112"/>
        <v>208.297</v>
      </c>
      <c r="N64" s="192">
        <f t="shared" si="125"/>
        <v>47.593000000000004</v>
      </c>
      <c r="O64" s="192">
        <f t="shared" si="125"/>
        <v>47.591999999999999</v>
      </c>
      <c r="P64" s="192">
        <f t="shared" si="125"/>
        <v>37.997</v>
      </c>
      <c r="Q64" s="192">
        <f t="shared" si="125"/>
        <v>37.997</v>
      </c>
      <c r="R64" s="192">
        <f t="shared" si="125"/>
        <v>37.997</v>
      </c>
      <c r="S64" s="192">
        <f t="shared" si="125"/>
        <v>551.20399999999995</v>
      </c>
      <c r="T64" s="192">
        <f t="shared" si="114"/>
        <v>760.38</v>
      </c>
      <c r="U64" s="192">
        <f t="shared" si="115"/>
        <v>2010.1590000000001</v>
      </c>
      <c r="V64" s="192">
        <f t="shared" si="126"/>
        <v>2010.1590000000001</v>
      </c>
      <c r="W64" s="193">
        <f>V64-U64</f>
        <v>0</v>
      </c>
    </row>
    <row r="65" spans="1:24" s="209" customFormat="1" ht="18" customHeight="1">
      <c r="A65" s="610"/>
      <c r="B65" s="576"/>
      <c r="C65" s="577"/>
      <c r="D65" s="178" t="str">
        <f>серпень!D65</f>
        <v>касові нат.п-ки 2025</v>
      </c>
      <c r="E65" s="260">
        <f>E80+E95+E110+E125+E140+E155</f>
        <v>0</v>
      </c>
      <c r="F65" s="179">
        <f>F95+F140</f>
        <v>0</v>
      </c>
      <c r="G65" s="179">
        <f t="shared" ref="G65:K65" si="127">G95+G140</f>
        <v>153.19999999999999</v>
      </c>
      <c r="H65" s="179">
        <f t="shared" si="127"/>
        <v>130.80000000000001</v>
      </c>
      <c r="I65" s="179">
        <f t="shared" si="127"/>
        <v>85.9</v>
      </c>
      <c r="J65" s="179">
        <f t="shared" si="127"/>
        <v>-5.5</v>
      </c>
      <c r="K65" s="179">
        <f t="shared" si="127"/>
        <v>0</v>
      </c>
      <c r="L65" s="353">
        <f t="shared" si="111"/>
        <v>364.4</v>
      </c>
      <c r="M65" s="353">
        <f t="shared" si="112"/>
        <v>60.733330000000002</v>
      </c>
      <c r="N65" s="179">
        <f>N95+N140</f>
        <v>0</v>
      </c>
      <c r="O65" s="179">
        <f t="shared" ref="O65:S65" si="128">O95+O140</f>
        <v>0</v>
      </c>
      <c r="P65" s="179">
        <f t="shared" si="128"/>
        <v>0</v>
      </c>
      <c r="Q65" s="179">
        <f t="shared" si="128"/>
        <v>0</v>
      </c>
      <c r="R65" s="179">
        <f t="shared" si="128"/>
        <v>0</v>
      </c>
      <c r="S65" s="179">
        <f t="shared" si="128"/>
        <v>259.7</v>
      </c>
      <c r="T65" s="353">
        <f t="shared" si="114"/>
        <v>259.7</v>
      </c>
      <c r="U65" s="353">
        <f t="shared" si="115"/>
        <v>624.1</v>
      </c>
      <c r="V65" s="179">
        <f t="shared" ref="V65" si="129">V95+V140</f>
        <v>571.6</v>
      </c>
      <c r="W65" s="184">
        <f>V65-U65</f>
        <v>-52.5</v>
      </c>
      <c r="X65" s="209">
        <f>U58-U65</f>
        <v>0</v>
      </c>
    </row>
    <row r="66" spans="1:24" s="209" customFormat="1" ht="18" customHeight="1">
      <c r="A66" s="610"/>
      <c r="B66" s="576"/>
      <c r="C66" s="577"/>
      <c r="D66" s="187" t="str">
        <f>серпень!D66</f>
        <v>тариф, грн.</v>
      </c>
      <c r="E66" s="188" t="e">
        <f t="shared" ref="E66:S66" si="130">E67/E65*1000</f>
        <v>#DIV/0!</v>
      </c>
      <c r="F66" s="188" t="e">
        <f t="shared" si="130"/>
        <v>#DIV/0!</v>
      </c>
      <c r="G66" s="188">
        <f t="shared" si="130"/>
        <v>2984.4389999999999</v>
      </c>
      <c r="H66" s="188">
        <f t="shared" si="130"/>
        <v>3220.6350000000002</v>
      </c>
      <c r="I66" s="188">
        <f>I67/I65*1000</f>
        <v>3411.8629999999998</v>
      </c>
      <c r="J66" s="188">
        <f>J67/J65*1000</f>
        <v>-5569.8180000000002</v>
      </c>
      <c r="K66" s="188" t="e">
        <f t="shared" si="130"/>
        <v>#DIV/0!</v>
      </c>
      <c r="L66" s="188">
        <f t="shared" si="130"/>
        <v>3429.6950000000002</v>
      </c>
      <c r="M66" s="188">
        <f t="shared" si="130"/>
        <v>3429.6979999999999</v>
      </c>
      <c r="N66" s="188" t="e">
        <f t="shared" si="130"/>
        <v>#DIV/0!</v>
      </c>
      <c r="O66" s="188" t="e">
        <f t="shared" si="130"/>
        <v>#DIV/0!</v>
      </c>
      <c r="P66" s="188" t="e">
        <f t="shared" si="130"/>
        <v>#DIV/0!</v>
      </c>
      <c r="Q66" s="188" t="e">
        <f t="shared" si="130"/>
        <v>#DIV/0!</v>
      </c>
      <c r="R66" s="188" t="e">
        <f t="shared" si="130"/>
        <v>#DIV/0!</v>
      </c>
      <c r="S66" s="188">
        <f t="shared" si="130"/>
        <v>3320.2620000000002</v>
      </c>
      <c r="T66" s="188">
        <f>T67/T65*1000</f>
        <v>4236.5690000000004</v>
      </c>
      <c r="U66" s="188">
        <f>U67/U65*1000</f>
        <v>3765.451</v>
      </c>
      <c r="V66" s="188">
        <f>V67/V65*1000</f>
        <v>3516.723</v>
      </c>
      <c r="W66" s="189">
        <f>W67/W65*1000</f>
        <v>6473.5050000000001</v>
      </c>
    </row>
    <row r="67" spans="1:24" s="213" customFormat="1" ht="19.600000000000001" customHeight="1">
      <c r="A67" s="610"/>
      <c r="B67" s="576"/>
      <c r="C67" s="577"/>
      <c r="D67" s="198" t="str">
        <f>серпень!D67</f>
        <v>касові видатки, тис.грн.</v>
      </c>
      <c r="E67" s="199">
        <f>E82+E97+E112+E127+E142+E157+E279+E294+E309+E324</f>
        <v>0</v>
      </c>
      <c r="F67" s="199">
        <f>F82+F97+F112+F127+F142+F157</f>
        <v>0</v>
      </c>
      <c r="G67" s="199">
        <f>G82+G97+G112+G127+G142+G157</f>
        <v>457.21600000000001</v>
      </c>
      <c r="H67" s="199">
        <f t="shared" ref="H67:K67" si="131">H82+H97+H112+H127+H142+H157</f>
        <v>421.25900000000001</v>
      </c>
      <c r="I67" s="199">
        <f t="shared" si="131"/>
        <v>293.07900000000001</v>
      </c>
      <c r="J67" s="199">
        <f>J82+J97+J112+J127+J142+J157</f>
        <v>30.634</v>
      </c>
      <c r="K67" s="199">
        <f t="shared" si="131"/>
        <v>47.593000000000004</v>
      </c>
      <c r="L67" s="199">
        <f>SUM(F67:K67)</f>
        <v>1249.7809999999999</v>
      </c>
      <c r="M67" s="199">
        <f>L67/6</f>
        <v>208.297</v>
      </c>
      <c r="N67" s="199">
        <f>N82+N97+N112+N127+N142+N157</f>
        <v>47.593000000000004</v>
      </c>
      <c r="O67" s="199">
        <f t="shared" ref="O67:R67" si="132">O82+O97+O112+O127+O142+O157</f>
        <v>47.593000000000004</v>
      </c>
      <c r="P67" s="199">
        <f t="shared" si="132"/>
        <v>47.593000000000004</v>
      </c>
      <c r="Q67" s="199">
        <f t="shared" si="132"/>
        <v>47.593000000000004</v>
      </c>
      <c r="R67" s="199">
        <f t="shared" si="132"/>
        <v>47.593000000000004</v>
      </c>
      <c r="S67" s="199">
        <f>S82+S97+S112+S127+S142+S157</f>
        <v>862.27200000000005</v>
      </c>
      <c r="T67" s="199">
        <f>SUM(N67:S67)</f>
        <v>1100.2370000000001</v>
      </c>
      <c r="U67" s="199">
        <f>T67+L67</f>
        <v>2350.018</v>
      </c>
      <c r="V67" s="199">
        <f t="shared" ref="V67:V69" si="133">V82+V97+V112+V127+V142+V157</f>
        <v>2010.1590000000001</v>
      </c>
      <c r="W67" s="175">
        <f>V67-U67</f>
        <v>-339.85899999999998</v>
      </c>
      <c r="X67" s="213">
        <f>U62-U67</f>
        <v>0</v>
      </c>
    </row>
    <row r="68" spans="1:24" s="213" customFormat="1" ht="18" customHeight="1">
      <c r="A68" s="610"/>
      <c r="B68" s="576"/>
      <c r="C68" s="577"/>
      <c r="D68" s="201" t="str">
        <f>серпень!D68</f>
        <v>дотація</v>
      </c>
      <c r="E68" s="212"/>
      <c r="F68" s="199">
        <f t="shared" ref="F68:K69" si="134">F83+F98+F113+F128+F143+F158</f>
        <v>0</v>
      </c>
      <c r="G68" s="199">
        <f t="shared" si="134"/>
        <v>0</v>
      </c>
      <c r="H68" s="199">
        <f t="shared" si="134"/>
        <v>0</v>
      </c>
      <c r="I68" s="199">
        <f t="shared" si="134"/>
        <v>0</v>
      </c>
      <c r="J68" s="199">
        <f t="shared" si="134"/>
        <v>0</v>
      </c>
      <c r="K68" s="199">
        <f t="shared" si="134"/>
        <v>0</v>
      </c>
      <c r="L68" s="199">
        <f>SUM(F68:K68)</f>
        <v>0</v>
      </c>
      <c r="M68" s="199">
        <f>L68/6</f>
        <v>0</v>
      </c>
      <c r="N68" s="199">
        <f t="shared" ref="N68:S69" si="135">N83+N98+N113+N128+N143+N158</f>
        <v>0</v>
      </c>
      <c r="O68" s="199">
        <f t="shared" si="135"/>
        <v>0</v>
      </c>
      <c r="P68" s="199">
        <f t="shared" si="135"/>
        <v>0</v>
      </c>
      <c r="Q68" s="199">
        <f t="shared" si="135"/>
        <v>0</v>
      </c>
      <c r="R68" s="199">
        <f t="shared" si="135"/>
        <v>0</v>
      </c>
      <c r="S68" s="199">
        <f t="shared" si="135"/>
        <v>0</v>
      </c>
      <c r="T68" s="199">
        <f>SUM(N68:S68)</f>
        <v>0</v>
      </c>
      <c r="U68" s="199">
        <f>T68+L68</f>
        <v>0</v>
      </c>
      <c r="V68" s="199">
        <f t="shared" si="133"/>
        <v>0</v>
      </c>
      <c r="W68" s="175">
        <f>V68-U68</f>
        <v>0</v>
      </c>
      <c r="X68" s="213">
        <f>U63-U68</f>
        <v>0</v>
      </c>
    </row>
    <row r="69" spans="1:24" s="213" customFormat="1" ht="18" customHeight="1">
      <c r="A69" s="610"/>
      <c r="B69" s="576"/>
      <c r="C69" s="577"/>
      <c r="D69" s="201" t="str">
        <f>серпень!D69</f>
        <v xml:space="preserve">місцевий </v>
      </c>
      <c r="E69" s="212"/>
      <c r="F69" s="199">
        <f t="shared" si="134"/>
        <v>0</v>
      </c>
      <c r="G69" s="199">
        <f t="shared" si="134"/>
        <v>457.21600000000001</v>
      </c>
      <c r="H69" s="199">
        <f t="shared" si="134"/>
        <v>421.25900000000001</v>
      </c>
      <c r="I69" s="199">
        <f t="shared" si="134"/>
        <v>293.07900000000001</v>
      </c>
      <c r="J69" s="199">
        <f t="shared" si="134"/>
        <v>30.634</v>
      </c>
      <c r="K69" s="199">
        <f t="shared" si="134"/>
        <v>47.593000000000004</v>
      </c>
      <c r="L69" s="199">
        <f>SUM(F69:K69)</f>
        <v>1249.7809999999999</v>
      </c>
      <c r="M69" s="199">
        <f>L69/6</f>
        <v>208.297</v>
      </c>
      <c r="N69" s="199">
        <f t="shared" si="135"/>
        <v>47.593000000000004</v>
      </c>
      <c r="O69" s="199">
        <f t="shared" si="135"/>
        <v>47.593000000000004</v>
      </c>
      <c r="P69" s="199">
        <f t="shared" si="135"/>
        <v>47.593000000000004</v>
      </c>
      <c r="Q69" s="199">
        <f t="shared" si="135"/>
        <v>47.593000000000004</v>
      </c>
      <c r="R69" s="199">
        <f t="shared" si="135"/>
        <v>47.593000000000004</v>
      </c>
      <c r="S69" s="199">
        <f t="shared" si="135"/>
        <v>862.27200000000005</v>
      </c>
      <c r="T69" s="199">
        <f>SUM(N69:S69)</f>
        <v>1100.2370000000001</v>
      </c>
      <c r="U69" s="199">
        <f>T69+L69</f>
        <v>2350.018</v>
      </c>
      <c r="V69" s="199">
        <f t="shared" si="133"/>
        <v>2010.1590000000001</v>
      </c>
      <c r="W69" s="175">
        <f>V69-U69</f>
        <v>-339.85899999999998</v>
      </c>
      <c r="X69" s="213">
        <f>U64-U69</f>
        <v>-339.85899999999998</v>
      </c>
    </row>
    <row r="70" spans="1:24" s="214" customFormat="1" ht="18" customHeight="1">
      <c r="A70" s="610"/>
      <c r="B70" s="576"/>
      <c r="C70" s="577"/>
      <c r="D70" s="202" t="str">
        <f>серпень!D70</f>
        <v>план</v>
      </c>
      <c r="E70" s="203"/>
      <c r="F70" s="203">
        <f t="shared" ref="F70:K70" si="136">F64</f>
        <v>0</v>
      </c>
      <c r="G70" s="203">
        <f t="shared" si="136"/>
        <v>457.47899999999998</v>
      </c>
      <c r="H70" s="203">
        <f t="shared" si="136"/>
        <v>420.99599999999998</v>
      </c>
      <c r="I70" s="203">
        <f t="shared" si="136"/>
        <v>293.077</v>
      </c>
      <c r="J70" s="203">
        <f t="shared" si="136"/>
        <v>30.696999999999999</v>
      </c>
      <c r="K70" s="203">
        <f t="shared" si="136"/>
        <v>47.53</v>
      </c>
      <c r="L70" s="203">
        <f>SUM(F70:K70)</f>
        <v>1249.779</v>
      </c>
      <c r="M70" s="203">
        <f>L70/6</f>
        <v>208.297</v>
      </c>
      <c r="N70" s="203">
        <f>N64+N63</f>
        <v>47.593000000000004</v>
      </c>
      <c r="O70" s="203">
        <f t="shared" ref="O70:R70" si="137">O64+O63</f>
        <v>47.591999999999999</v>
      </c>
      <c r="P70" s="203">
        <f t="shared" si="137"/>
        <v>37.997</v>
      </c>
      <c r="Q70" s="203">
        <f t="shared" si="137"/>
        <v>37.997</v>
      </c>
      <c r="R70" s="203">
        <f t="shared" si="137"/>
        <v>37.997</v>
      </c>
      <c r="S70" s="203">
        <f>S64+S63</f>
        <v>551.20399999999995</v>
      </c>
      <c r="T70" s="203">
        <f>SUM(N70:S70)</f>
        <v>760.38</v>
      </c>
      <c r="U70" s="203">
        <f>T70+L70</f>
        <v>2010.1590000000001</v>
      </c>
      <c r="V70" s="203">
        <f>V64+V63</f>
        <v>2010.1590000000001</v>
      </c>
      <c r="W70" s="204">
        <f>V70-U70</f>
        <v>0</v>
      </c>
    </row>
    <row r="71" spans="1:24" s="214" customFormat="1" ht="18" customHeight="1">
      <c r="A71" s="610"/>
      <c r="B71" s="576"/>
      <c r="C71" s="577"/>
      <c r="D71" s="202" t="str">
        <f>серпень!D71</f>
        <v xml:space="preserve">відхилення </v>
      </c>
      <c r="E71" s="203"/>
      <c r="F71" s="203">
        <f t="shared" ref="F71:K71" si="138">F67-F70</f>
        <v>0</v>
      </c>
      <c r="G71" s="203">
        <f t="shared" si="138"/>
        <v>-0.26300000000000001</v>
      </c>
      <c r="H71" s="203">
        <f t="shared" si="138"/>
        <v>0.26300000000000001</v>
      </c>
      <c r="I71" s="203">
        <f t="shared" si="138"/>
        <v>2E-3</v>
      </c>
      <c r="J71" s="203">
        <f t="shared" si="138"/>
        <v>-6.3E-2</v>
      </c>
      <c r="K71" s="203">
        <f t="shared" si="138"/>
        <v>6.3E-2</v>
      </c>
      <c r="L71" s="203"/>
      <c r="M71" s="203"/>
      <c r="N71" s="203">
        <f>N67-N70</f>
        <v>0</v>
      </c>
      <c r="O71" s="203">
        <f t="shared" ref="O71:S71" si="139">O67-O70</f>
        <v>1E-3</v>
      </c>
      <c r="P71" s="203">
        <f t="shared" si="139"/>
        <v>9.5960000000000001</v>
      </c>
      <c r="Q71" s="203">
        <f t="shared" si="139"/>
        <v>9.5960000000000001</v>
      </c>
      <c r="R71" s="203">
        <f t="shared" si="139"/>
        <v>9.5960000000000001</v>
      </c>
      <c r="S71" s="203">
        <f t="shared" si="139"/>
        <v>311.06799999999998</v>
      </c>
      <c r="T71" s="203"/>
      <c r="U71" s="203"/>
      <c r="V71" s="203"/>
      <c r="W71" s="203"/>
    </row>
    <row r="72" spans="1:24" s="214" customFormat="1" ht="18" customHeight="1">
      <c r="A72" s="610"/>
      <c r="B72" s="578"/>
      <c r="C72" s="579"/>
      <c r="D72" s="202" t="str">
        <f>серпень!D72</f>
        <v>відхилення з наростаючим</v>
      </c>
      <c r="E72" s="203"/>
      <c r="F72" s="203">
        <f>F71</f>
        <v>0</v>
      </c>
      <c r="G72" s="203">
        <f>G71+F72</f>
        <v>-0.26300000000000001</v>
      </c>
      <c r="H72" s="203">
        <f>H71+G72</f>
        <v>0</v>
      </c>
      <c r="I72" s="203">
        <f>I71+H72</f>
        <v>2E-3</v>
      </c>
      <c r="J72" s="203">
        <f>J71+I72</f>
        <v>-6.0999999999999999E-2</v>
      </c>
      <c r="K72" s="203">
        <f>K71+J72</f>
        <v>2E-3</v>
      </c>
      <c r="L72" s="203"/>
      <c r="M72" s="203"/>
      <c r="N72" s="203">
        <f>N71+K72</f>
        <v>2E-3</v>
      </c>
      <c r="O72" s="203">
        <f>O71+N72</f>
        <v>3.0000000000000001E-3</v>
      </c>
      <c r="P72" s="203">
        <f>P71+O72</f>
        <v>9.5990000000000002</v>
      </c>
      <c r="Q72" s="203">
        <f>Q71+P72</f>
        <v>19.195</v>
      </c>
      <c r="R72" s="203">
        <f>R71+Q72</f>
        <v>28.791</v>
      </c>
      <c r="S72" s="203">
        <f>S71+R72</f>
        <v>339.85899999999998</v>
      </c>
      <c r="T72" s="203"/>
      <c r="U72" s="203"/>
      <c r="V72" s="203"/>
      <c r="W72" s="203"/>
    </row>
    <row r="73" spans="1:24" s="214" customFormat="1" ht="18" customHeight="1">
      <c r="A73" s="610"/>
      <c r="B73" s="582" t="s">
        <v>54</v>
      </c>
      <c r="C73" s="582" t="s">
        <v>98</v>
      </c>
      <c r="D73" s="178" t="str">
        <f>серпень!D73</f>
        <v>факт. нат.п-ки 2023</v>
      </c>
      <c r="E73" s="179"/>
      <c r="F73" s="399">
        <v>0.36459999999999998</v>
      </c>
      <c r="G73" s="399">
        <v>0.36459999999999998</v>
      </c>
      <c r="H73" s="342">
        <v>0.36459999999999998</v>
      </c>
      <c r="I73" s="342">
        <v>0.36459999999999998</v>
      </c>
      <c r="J73" s="342">
        <v>0.36459999999999998</v>
      </c>
      <c r="K73" s="342">
        <v>0.36459999999999998</v>
      </c>
      <c r="L73" s="400">
        <f>SUM(F73:K73)</f>
        <v>2.1876000000000002</v>
      </c>
      <c r="M73" s="400">
        <f>L73/6</f>
        <v>0.36459999999999998</v>
      </c>
      <c r="N73" s="342">
        <v>0.36459999999999998</v>
      </c>
      <c r="O73" s="342">
        <v>0.40660000000000002</v>
      </c>
      <c r="P73" s="342">
        <v>0.36459999999999998</v>
      </c>
      <c r="Q73" s="342">
        <v>0.36459999999999998</v>
      </c>
      <c r="R73" s="342">
        <v>0.36459999999999998</v>
      </c>
      <c r="S73" s="342">
        <v>0.36459999999999998</v>
      </c>
      <c r="T73" s="400">
        <f>SUM(N73:S73)</f>
        <v>2.2296</v>
      </c>
      <c r="U73" s="400">
        <f>T73+L73</f>
        <v>4.4172000000000002</v>
      </c>
      <c r="V73" s="342"/>
      <c r="W73" s="399"/>
    </row>
    <row r="74" spans="1:24" s="214" customFormat="1" ht="18" customHeight="1">
      <c r="A74" s="610"/>
      <c r="B74" s="583"/>
      <c r="C74" s="583"/>
      <c r="D74" s="178" t="str">
        <f>серпень!D74</f>
        <v>факт. нат.п-ки 2024</v>
      </c>
      <c r="E74" s="179"/>
      <c r="F74" s="399">
        <v>0.45400000000000001</v>
      </c>
      <c r="G74" s="399">
        <v>0.45400000000000001</v>
      </c>
      <c r="H74" s="342">
        <v>0.45400000000000001</v>
      </c>
      <c r="I74" s="342">
        <v>0.45400000000000001</v>
      </c>
      <c r="J74" s="342">
        <v>0.45400000000000001</v>
      </c>
      <c r="K74" s="342">
        <v>0.45400000000000001</v>
      </c>
      <c r="L74" s="400">
        <f>SUM(F74:K74)</f>
        <v>2.7240000000000002</v>
      </c>
      <c r="M74" s="400">
        <f>L74/6</f>
        <v>0.45400000000000001</v>
      </c>
      <c r="N74" s="342">
        <v>0.45400000000000001</v>
      </c>
      <c r="O74" s="342">
        <v>0.45400000000000001</v>
      </c>
      <c r="P74" s="342">
        <v>0.45400000000000001</v>
      </c>
      <c r="Q74" s="342">
        <v>0.45400000000000001</v>
      </c>
      <c r="R74" s="342">
        <v>0.45400000000000001</v>
      </c>
      <c r="S74" s="342">
        <v>0.45400000000000001</v>
      </c>
      <c r="T74" s="400">
        <f>SUM(N74:S74)</f>
        <v>2.7240000000000002</v>
      </c>
      <c r="U74" s="400">
        <f>T74+L74</f>
        <v>5.4480000000000004</v>
      </c>
      <c r="V74" s="342">
        <v>4.3760000000000003</v>
      </c>
      <c r="W74" s="399"/>
    </row>
    <row r="75" spans="1:24" s="214" customFormat="1" ht="18" customHeight="1">
      <c r="A75" s="610"/>
      <c r="B75" s="583"/>
      <c r="C75" s="583"/>
      <c r="D75" s="178" t="str">
        <f>серпень!D75</f>
        <v>факт. нат.п-ки 2025</v>
      </c>
      <c r="E75" s="179"/>
      <c r="F75" s="342">
        <v>0.45514300000000002</v>
      </c>
      <c r="G75" s="342">
        <v>0.45514300000000002</v>
      </c>
      <c r="H75" s="342">
        <v>0.45514300000000002</v>
      </c>
      <c r="I75" s="342">
        <v>0.45514300000000002</v>
      </c>
      <c r="J75" s="342">
        <v>0.45514300000000002</v>
      </c>
      <c r="K75" s="342">
        <v>0.45514300000000002</v>
      </c>
      <c r="L75" s="400">
        <f>SUM(F75:K75)</f>
        <v>2.730858</v>
      </c>
      <c r="M75" s="400">
        <f>L75/6</f>
        <v>0.45514300000000002</v>
      </c>
      <c r="N75" s="342">
        <v>0.45514300000000002</v>
      </c>
      <c r="O75" s="342">
        <v>0.45514300000000002</v>
      </c>
      <c r="P75" s="342">
        <v>0.45514300000000002</v>
      </c>
      <c r="Q75" s="342">
        <v>0.45514300000000002</v>
      </c>
      <c r="R75" s="342">
        <v>0.45514300000000002</v>
      </c>
      <c r="S75" s="342">
        <v>0.45514300000000002</v>
      </c>
      <c r="T75" s="400">
        <f>SUM(N75:S75)</f>
        <v>2.730858</v>
      </c>
      <c r="U75" s="400">
        <f>T75+L75</f>
        <v>5.461716</v>
      </c>
      <c r="V75" s="342">
        <v>4.3759199999999998</v>
      </c>
      <c r="W75" s="399"/>
    </row>
    <row r="76" spans="1:24" s="214" customFormat="1" ht="18" customHeight="1">
      <c r="A76" s="610"/>
      <c r="B76" s="583"/>
      <c r="C76" s="583"/>
      <c r="D76" s="187" t="str">
        <f>серпень!D76</f>
        <v>тариф, грн.</v>
      </c>
      <c r="E76" s="188" t="e">
        <f t="shared" ref="E76:L76" si="140">E77/E75*1000</f>
        <v>#DIV/0!</v>
      </c>
      <c r="F76" s="188">
        <f t="shared" si="140"/>
        <v>104066.19500000001</v>
      </c>
      <c r="G76" s="188">
        <f t="shared" si="140"/>
        <v>104461.675</v>
      </c>
      <c r="H76" s="188">
        <f t="shared" si="140"/>
        <v>104461.675</v>
      </c>
      <c r="I76" s="188">
        <f t="shared" si="140"/>
        <v>104461.675</v>
      </c>
      <c r="J76" s="188">
        <f t="shared" si="140"/>
        <v>104461.675</v>
      </c>
      <c r="K76" s="188">
        <f t="shared" si="140"/>
        <v>104461.675</v>
      </c>
      <c r="L76" s="188">
        <f t="shared" si="140"/>
        <v>104395.761</v>
      </c>
      <c r="M76" s="218">
        <f>M77/M75*1000</f>
        <v>60721.574999999997</v>
      </c>
      <c r="N76" s="218">
        <f>N77/N75*1000</f>
        <v>104461.675</v>
      </c>
      <c r="O76" s="218">
        <v>104461.02</v>
      </c>
      <c r="P76" s="218">
        <v>104461.02</v>
      </c>
      <c r="Q76" s="218">
        <v>104461.02</v>
      </c>
      <c r="R76" s="218">
        <v>104461.02</v>
      </c>
      <c r="S76" s="218">
        <v>104461.02</v>
      </c>
      <c r="T76" s="217">
        <f>T77/T75*1000</f>
        <v>104461.67</v>
      </c>
      <c r="U76" s="217">
        <f>U77/U75*1000</f>
        <v>104428.72</v>
      </c>
      <c r="V76" s="218">
        <f>V77/V75*1000</f>
        <v>104066.802</v>
      </c>
      <c r="W76" s="219" t="e">
        <f>W77/W75*1000</f>
        <v>#DIV/0!</v>
      </c>
    </row>
    <row r="77" spans="1:24" s="214" customFormat="1" ht="18" customHeight="1">
      <c r="A77" s="610"/>
      <c r="B77" s="583"/>
      <c r="C77" s="583"/>
      <c r="D77" s="191" t="str">
        <f>серпень!D77</f>
        <v>сума, тис.грн.</v>
      </c>
      <c r="E77" s="192"/>
      <c r="F77" s="192">
        <v>47.365000000000002</v>
      </c>
      <c r="G77" s="192">
        <v>47.545000000000002</v>
      </c>
      <c r="H77" s="192">
        <v>47.545000000000002</v>
      </c>
      <c r="I77" s="192">
        <v>47.545000000000002</v>
      </c>
      <c r="J77" s="192">
        <v>47.545000000000002</v>
      </c>
      <c r="K77" s="192">
        <v>47.545000000000002</v>
      </c>
      <c r="L77" s="192">
        <f>SUM(F77:K77)</f>
        <v>285.08999999999997</v>
      </c>
      <c r="M77" s="192">
        <v>27.637</v>
      </c>
      <c r="N77" s="192">
        <v>47.545000000000002</v>
      </c>
      <c r="O77" s="192">
        <f t="shared" ref="O77:S77" si="141">O75*O76/1000</f>
        <v>47.545000000000002</v>
      </c>
      <c r="P77" s="192">
        <f t="shared" si="141"/>
        <v>47.545000000000002</v>
      </c>
      <c r="Q77" s="192">
        <f t="shared" si="141"/>
        <v>47.545000000000002</v>
      </c>
      <c r="R77" s="192">
        <f t="shared" si="141"/>
        <v>47.545000000000002</v>
      </c>
      <c r="S77" s="192">
        <f t="shared" si="141"/>
        <v>47.545000000000002</v>
      </c>
      <c r="T77" s="194">
        <f>SUM(N77:S77)</f>
        <v>285.27</v>
      </c>
      <c r="U77" s="194">
        <f>T77+L77</f>
        <v>570.36</v>
      </c>
      <c r="V77" s="171">
        <f>V78+V79</f>
        <v>455.38799999999998</v>
      </c>
      <c r="W77" s="192">
        <f>V77-U77</f>
        <v>-114.97199999999999</v>
      </c>
    </row>
    <row r="78" spans="1:24" s="214" customFormat="1" ht="18" customHeight="1">
      <c r="A78" s="610"/>
      <c r="B78" s="583"/>
      <c r="C78" s="583"/>
      <c r="D78" s="174" t="str">
        <f>серпень!D78</f>
        <v>дотація</v>
      </c>
      <c r="E78" s="210"/>
      <c r="F78" s="192"/>
      <c r="G78" s="192"/>
      <c r="H78" s="192"/>
      <c r="I78" s="192"/>
      <c r="J78" s="192"/>
      <c r="K78" s="192"/>
      <c r="L78" s="194">
        <f>SUM(F78:K78)</f>
        <v>0</v>
      </c>
      <c r="M78" s="194">
        <f>L78/6</f>
        <v>0</v>
      </c>
      <c r="N78" s="192"/>
      <c r="O78" s="192"/>
      <c r="P78" s="192"/>
      <c r="Q78" s="192"/>
      <c r="R78" s="192"/>
      <c r="S78" s="192"/>
      <c r="T78" s="194">
        <f>SUM(N78:S78)</f>
        <v>0</v>
      </c>
      <c r="U78" s="194">
        <f>T78+L78</f>
        <v>0</v>
      </c>
      <c r="V78" s="171"/>
      <c r="W78" s="192">
        <f>V78-U78</f>
        <v>0</v>
      </c>
    </row>
    <row r="79" spans="1:24" s="214" customFormat="1" ht="18" customHeight="1">
      <c r="A79" s="610"/>
      <c r="B79" s="583"/>
      <c r="C79" s="583"/>
      <c r="D79" s="174" t="str">
        <f>серпень!D79</f>
        <v>місцевий (план), тис.грн</v>
      </c>
      <c r="E79" s="210"/>
      <c r="F79" s="192">
        <v>0</v>
      </c>
      <c r="G79" s="192">
        <v>37.948999999999998</v>
      </c>
      <c r="H79" s="192">
        <v>37.948999999999998</v>
      </c>
      <c r="I79" s="192">
        <v>37.948999999999998</v>
      </c>
      <c r="J79" s="192">
        <f>37.949-7.3</f>
        <v>30.649000000000001</v>
      </c>
      <c r="K79" s="192">
        <f>47.53-0.024-0.024</f>
        <v>47.481999999999999</v>
      </c>
      <c r="L79" s="194">
        <f>SUM(F79:K79)</f>
        <v>191.97800000000001</v>
      </c>
      <c r="M79" s="194">
        <f>L79/6</f>
        <v>31.995999999999999</v>
      </c>
      <c r="N79" s="192">
        <f>47.593-0.024-0.024</f>
        <v>47.545000000000002</v>
      </c>
      <c r="O79" s="192">
        <f>47.592-0.024-0.024</f>
        <v>47.543999999999997</v>
      </c>
      <c r="P79" s="192">
        <v>37.948999999999998</v>
      </c>
      <c r="Q79" s="192">
        <v>37.948999999999998</v>
      </c>
      <c r="R79" s="192">
        <v>37.948999999999998</v>
      </c>
      <c r="S79" s="192">
        <f>75.898+7.3-9.533-9.596-9.595</f>
        <v>54.473999999999997</v>
      </c>
      <c r="T79" s="194">
        <f>SUM(N79:S79)</f>
        <v>263.41000000000003</v>
      </c>
      <c r="U79" s="194">
        <f>T79+L79</f>
        <v>455.38799999999998</v>
      </c>
      <c r="V79" s="171">
        <v>455.38799999999998</v>
      </c>
      <c r="W79" s="192">
        <f>V79-U79</f>
        <v>0</v>
      </c>
    </row>
    <row r="80" spans="1:24" s="214" customFormat="1" ht="18" customHeight="1">
      <c r="A80" s="610"/>
      <c r="B80" s="583"/>
      <c r="C80" s="583"/>
      <c r="D80" s="178" t="str">
        <f>серпень!D80</f>
        <v>касові нат.п-ки 2025</v>
      </c>
      <c r="E80" s="179"/>
      <c r="F80" s="399"/>
      <c r="G80" s="342">
        <v>0.45514300000000002</v>
      </c>
      <c r="H80" s="342">
        <v>0.45514300000000002</v>
      </c>
      <c r="I80" s="342">
        <v>0.45514300000000002</v>
      </c>
      <c r="J80" s="342">
        <v>0.45514300000000002</v>
      </c>
      <c r="K80" s="342">
        <v>0.45514300000000002</v>
      </c>
      <c r="L80" s="400">
        <f>SUM(F80:K80)</f>
        <v>2.2757149999999999</v>
      </c>
      <c r="M80" s="400">
        <f>L80/6</f>
        <v>0.37928600000000001</v>
      </c>
      <c r="N80" s="342">
        <v>0.45514300000000002</v>
      </c>
      <c r="O80" s="342">
        <v>0.45514300000000002</v>
      </c>
      <c r="P80" s="342">
        <v>0.45514300000000002</v>
      </c>
      <c r="Q80" s="342">
        <v>0.45514300000000002</v>
      </c>
      <c r="R80" s="342">
        <v>0.45514300000000002</v>
      </c>
      <c r="S80" s="342">
        <f>R75+S75</f>
        <v>0.91028600000000004</v>
      </c>
      <c r="T80" s="400">
        <f>SUM(N80:S80)</f>
        <v>3.1860010000000001</v>
      </c>
      <c r="U80" s="400">
        <f>T80+L80</f>
        <v>5.461716</v>
      </c>
      <c r="V80" s="342">
        <f>V75</f>
        <v>4.3759199999999998</v>
      </c>
      <c r="W80" s="399">
        <f>V80-U80</f>
        <v>-1.085796</v>
      </c>
      <c r="X80" s="382">
        <f>U75-U80</f>
        <v>0</v>
      </c>
    </row>
    <row r="81" spans="1:24" s="214" customFormat="1" ht="18" customHeight="1">
      <c r="A81" s="610"/>
      <c r="B81" s="583"/>
      <c r="C81" s="583"/>
      <c r="D81" s="187" t="str">
        <f>серпень!D81</f>
        <v>тариф, грн.</v>
      </c>
      <c r="E81" s="188" t="e">
        <f t="shared" ref="E81:K81" si="142">E82/E80*1000</f>
        <v>#DIV/0!</v>
      </c>
      <c r="F81" s="188" t="e">
        <f t="shared" si="142"/>
        <v>#DIV/0!</v>
      </c>
      <c r="G81" s="188">
        <f t="shared" si="142"/>
        <v>104066.19500000001</v>
      </c>
      <c r="H81" s="188">
        <f t="shared" si="142"/>
        <v>104461.675</v>
      </c>
      <c r="I81" s="188">
        <f t="shared" si="142"/>
        <v>104461.675</v>
      </c>
      <c r="J81" s="188">
        <f t="shared" si="142"/>
        <v>104461.675</v>
      </c>
      <c r="K81" s="188">
        <f t="shared" si="142"/>
        <v>104461.675</v>
      </c>
      <c r="L81" s="217">
        <f>L82/L80*1000</f>
        <v>104382.58</v>
      </c>
      <c r="M81" s="218">
        <f>M82/M80*1000</f>
        <v>104382.97199999999</v>
      </c>
      <c r="N81" s="218">
        <f>N82/N80*1000</f>
        <v>104461.675</v>
      </c>
      <c r="O81" s="218">
        <v>104461.675</v>
      </c>
      <c r="P81" s="218">
        <v>104461.02</v>
      </c>
      <c r="Q81" s="218">
        <v>104461.02</v>
      </c>
      <c r="R81" s="218">
        <v>104461.02</v>
      </c>
      <c r="S81" s="218">
        <v>104461.02</v>
      </c>
      <c r="T81" s="217">
        <f>T82/T80*1000</f>
        <v>104461.67</v>
      </c>
      <c r="U81" s="217">
        <f>U82/U80*1000</f>
        <v>104428.72</v>
      </c>
      <c r="V81" s="218">
        <f>V82/V80*1000</f>
        <v>104066.802</v>
      </c>
      <c r="W81" s="219">
        <f>W82/W80*1000</f>
        <v>105887.29399999999</v>
      </c>
    </row>
    <row r="82" spans="1:24" s="214" customFormat="1" ht="17.399999999999999" customHeight="1">
      <c r="A82" s="610"/>
      <c r="B82" s="583"/>
      <c r="C82" s="583"/>
      <c r="D82" s="198" t="str">
        <f>серпень!D82</f>
        <v>касові видатки, тис.грн.</v>
      </c>
      <c r="E82" s="220"/>
      <c r="F82" s="199">
        <v>0</v>
      </c>
      <c r="G82" s="199">
        <v>47.365000000000002</v>
      </c>
      <c r="H82" s="199">
        <v>47.545000000000002</v>
      </c>
      <c r="I82" s="199">
        <v>47.545000000000002</v>
      </c>
      <c r="J82" s="199">
        <v>47.545000000000002</v>
      </c>
      <c r="K82" s="199">
        <v>47.545000000000002</v>
      </c>
      <c r="L82" s="199">
        <f>SUM(F82:K82)</f>
        <v>237.54499999999999</v>
      </c>
      <c r="M82" s="199">
        <f>L82/6</f>
        <v>39.591000000000001</v>
      </c>
      <c r="N82" s="199">
        <v>47.545000000000002</v>
      </c>
      <c r="O82" s="199">
        <f>47.593-0.048</f>
        <v>47.545000000000002</v>
      </c>
      <c r="P82" s="199">
        <f t="shared" ref="P82" si="143">P80*P81/1000</f>
        <v>47.545000000000002</v>
      </c>
      <c r="Q82" s="199">
        <f t="shared" ref="Q82" si="144">Q80*Q81/1000</f>
        <v>47.545000000000002</v>
      </c>
      <c r="R82" s="199">
        <f t="shared" ref="R82" si="145">R80*R81/1000</f>
        <v>47.545000000000002</v>
      </c>
      <c r="S82" s="199">
        <f>S80*S81/1000+0.001</f>
        <v>95.09</v>
      </c>
      <c r="T82" s="199">
        <f>SUM(N82:S82)</f>
        <v>332.815</v>
      </c>
      <c r="U82" s="199">
        <f>T82+L82</f>
        <v>570.36</v>
      </c>
      <c r="V82" s="199">
        <f>V77</f>
        <v>455.38799999999998</v>
      </c>
      <c r="W82" s="221">
        <f>V82-U82</f>
        <v>-114.97199999999999</v>
      </c>
      <c r="X82" s="214">
        <f>U77-U82</f>
        <v>0</v>
      </c>
    </row>
    <row r="83" spans="1:24" s="214" customFormat="1" ht="18" customHeight="1">
      <c r="A83" s="610"/>
      <c r="B83" s="583"/>
      <c r="C83" s="583"/>
      <c r="D83" s="201" t="str">
        <f>серпень!D83</f>
        <v>дотація</v>
      </c>
      <c r="E83" s="220"/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f>SUM(F83:K83)</f>
        <v>0</v>
      </c>
      <c r="M83" s="199">
        <f>L83/6</f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f>SUM(N83:S83)</f>
        <v>0</v>
      </c>
      <c r="U83" s="199">
        <f>T83+L83</f>
        <v>0</v>
      </c>
      <c r="V83" s="199">
        <f>V78</f>
        <v>0</v>
      </c>
      <c r="W83" s="221">
        <f>V83-U83</f>
        <v>0</v>
      </c>
      <c r="X83" s="214">
        <f>U78-U83</f>
        <v>0</v>
      </c>
    </row>
    <row r="84" spans="1:24" s="214" customFormat="1" ht="18" customHeight="1">
      <c r="A84" s="610"/>
      <c r="B84" s="583"/>
      <c r="C84" s="583"/>
      <c r="D84" s="201" t="str">
        <f>серпень!D84</f>
        <v xml:space="preserve">місцевий </v>
      </c>
      <c r="E84" s="220"/>
      <c r="F84" s="199">
        <f t="shared" ref="F84:K84" si="146">F82-F83</f>
        <v>0</v>
      </c>
      <c r="G84" s="199">
        <f t="shared" si="146"/>
        <v>47.365000000000002</v>
      </c>
      <c r="H84" s="199">
        <f t="shared" si="146"/>
        <v>47.545000000000002</v>
      </c>
      <c r="I84" s="199">
        <f t="shared" si="146"/>
        <v>47.545000000000002</v>
      </c>
      <c r="J84" s="199">
        <f t="shared" si="146"/>
        <v>47.545000000000002</v>
      </c>
      <c r="K84" s="199">
        <f t="shared" si="146"/>
        <v>47.545000000000002</v>
      </c>
      <c r="L84" s="199">
        <f>SUM(F84:K84)</f>
        <v>237.54499999999999</v>
      </c>
      <c r="M84" s="199">
        <f>L84/6</f>
        <v>39.591000000000001</v>
      </c>
      <c r="N84" s="199">
        <f t="shared" ref="N84:S84" si="147">N82-N83</f>
        <v>47.545000000000002</v>
      </c>
      <c r="O84" s="199">
        <f t="shared" si="147"/>
        <v>47.545000000000002</v>
      </c>
      <c r="P84" s="199">
        <f t="shared" si="147"/>
        <v>47.545000000000002</v>
      </c>
      <c r="Q84" s="199">
        <f t="shared" si="147"/>
        <v>47.545000000000002</v>
      </c>
      <c r="R84" s="199">
        <f t="shared" si="147"/>
        <v>47.545000000000002</v>
      </c>
      <c r="S84" s="199">
        <f t="shared" si="147"/>
        <v>95.09</v>
      </c>
      <c r="T84" s="199">
        <f>SUM(N84:S84)</f>
        <v>332.815</v>
      </c>
      <c r="U84" s="199">
        <f>T84+L84</f>
        <v>570.36</v>
      </c>
      <c r="V84" s="199">
        <f>V79</f>
        <v>455.38799999999998</v>
      </c>
      <c r="W84" s="221">
        <f>V84-U84</f>
        <v>-114.97199999999999</v>
      </c>
      <c r="X84" s="214">
        <f>U79-U84</f>
        <v>-114.97199999999999</v>
      </c>
    </row>
    <row r="85" spans="1:24" s="214" customFormat="1" ht="18" customHeight="1">
      <c r="A85" s="610"/>
      <c r="B85" s="583"/>
      <c r="C85" s="583"/>
      <c r="D85" s="202" t="str">
        <f>серпень!D85</f>
        <v>план</v>
      </c>
      <c r="E85" s="203"/>
      <c r="F85" s="203">
        <f t="shared" ref="F85:K85" si="148">F78+F79</f>
        <v>0</v>
      </c>
      <c r="G85" s="203">
        <f t="shared" si="148"/>
        <v>37.948999999999998</v>
      </c>
      <c r="H85" s="203">
        <f t="shared" si="148"/>
        <v>37.948999999999998</v>
      </c>
      <c r="I85" s="203">
        <f t="shared" si="148"/>
        <v>37.948999999999998</v>
      </c>
      <c r="J85" s="203">
        <f t="shared" si="148"/>
        <v>30.649000000000001</v>
      </c>
      <c r="K85" s="203">
        <f t="shared" si="148"/>
        <v>47.481999999999999</v>
      </c>
      <c r="L85" s="203">
        <f>SUM(F85:K85)</f>
        <v>191.97800000000001</v>
      </c>
      <c r="M85" s="203">
        <f>L85/6</f>
        <v>31.995999999999999</v>
      </c>
      <c r="N85" s="203">
        <f t="shared" ref="N85:S85" si="149">N79+N78</f>
        <v>47.545000000000002</v>
      </c>
      <c r="O85" s="203">
        <f t="shared" si="149"/>
        <v>47.543999999999997</v>
      </c>
      <c r="P85" s="203">
        <f t="shared" si="149"/>
        <v>37.948999999999998</v>
      </c>
      <c r="Q85" s="203">
        <f t="shared" si="149"/>
        <v>37.948999999999998</v>
      </c>
      <c r="R85" s="203">
        <f t="shared" si="149"/>
        <v>37.948999999999998</v>
      </c>
      <c r="S85" s="203">
        <f t="shared" si="149"/>
        <v>54.473999999999997</v>
      </c>
      <c r="T85" s="203">
        <f>SUM(N85:S85)</f>
        <v>263.41000000000003</v>
      </c>
      <c r="U85" s="203">
        <f>T85+L85</f>
        <v>455.38799999999998</v>
      </c>
      <c r="V85" s="203">
        <f>V82</f>
        <v>455.38799999999998</v>
      </c>
      <c r="W85" s="203">
        <f>V85-U85</f>
        <v>0</v>
      </c>
    </row>
    <row r="86" spans="1:24" s="214" customFormat="1" ht="18" customHeight="1">
      <c r="A86" s="610"/>
      <c r="B86" s="583"/>
      <c r="C86" s="583"/>
      <c r="D86" s="202" t="str">
        <f>серпень!D86</f>
        <v xml:space="preserve">відхилення </v>
      </c>
      <c r="E86" s="203"/>
      <c r="F86" s="203">
        <f t="shared" ref="F86:K86" si="150">F82-F85</f>
        <v>0</v>
      </c>
      <c r="G86" s="203">
        <f t="shared" si="150"/>
        <v>9.4160000000000004</v>
      </c>
      <c r="H86" s="203">
        <f t="shared" si="150"/>
        <v>9.5960000000000001</v>
      </c>
      <c r="I86" s="203">
        <f t="shared" si="150"/>
        <v>9.5960000000000001</v>
      </c>
      <c r="J86" s="203">
        <f t="shared" si="150"/>
        <v>16.896000000000001</v>
      </c>
      <c r="K86" s="203">
        <f t="shared" si="150"/>
        <v>6.3E-2</v>
      </c>
      <c r="L86" s="203"/>
      <c r="M86" s="203"/>
      <c r="N86" s="203">
        <f t="shared" ref="N86:S86" si="151">N82-N85</f>
        <v>0</v>
      </c>
      <c r="O86" s="203">
        <f t="shared" si="151"/>
        <v>1E-3</v>
      </c>
      <c r="P86" s="203">
        <f t="shared" si="151"/>
        <v>9.5960000000000001</v>
      </c>
      <c r="Q86" s="203">
        <f t="shared" si="151"/>
        <v>9.5960000000000001</v>
      </c>
      <c r="R86" s="203">
        <f t="shared" si="151"/>
        <v>9.5960000000000001</v>
      </c>
      <c r="S86" s="203">
        <f t="shared" si="151"/>
        <v>40.616</v>
      </c>
      <c r="T86" s="203"/>
      <c r="U86" s="203"/>
      <c r="V86" s="203"/>
      <c r="W86" s="203"/>
    </row>
    <row r="87" spans="1:24" s="214" customFormat="1" ht="25.2" customHeight="1">
      <c r="A87" s="610"/>
      <c r="B87" s="583"/>
      <c r="C87" s="584"/>
      <c r="D87" s="202" t="str">
        <f>серпень!D87</f>
        <v>відхилення з наростаючим</v>
      </c>
      <c r="E87" s="203"/>
      <c r="F87" s="203">
        <f>F86</f>
        <v>0</v>
      </c>
      <c r="G87" s="203">
        <f>G86+F87</f>
        <v>9.4160000000000004</v>
      </c>
      <c r="H87" s="203">
        <f>H86+G87</f>
        <v>19.012</v>
      </c>
      <c r="I87" s="203">
        <f>I86+H87</f>
        <v>28.608000000000001</v>
      </c>
      <c r="J87" s="203">
        <f>J86+I87</f>
        <v>45.503999999999998</v>
      </c>
      <c r="K87" s="203">
        <f>K86+J87</f>
        <v>45.567</v>
      </c>
      <c r="L87" s="203"/>
      <c r="M87" s="203"/>
      <c r="N87" s="203">
        <f>N86+K87</f>
        <v>45.567</v>
      </c>
      <c r="O87" s="203">
        <f>O86+N87</f>
        <v>45.567999999999998</v>
      </c>
      <c r="P87" s="203">
        <f>P86+O87</f>
        <v>55.164000000000001</v>
      </c>
      <c r="Q87" s="203">
        <f>Q86+P87</f>
        <v>64.760000000000005</v>
      </c>
      <c r="R87" s="203">
        <f>R86+Q87</f>
        <v>74.355999999999995</v>
      </c>
      <c r="S87" s="203">
        <f>S86+R87</f>
        <v>114.97199999999999</v>
      </c>
      <c r="T87" s="203"/>
      <c r="U87" s="203"/>
      <c r="V87" s="203"/>
      <c r="W87" s="203"/>
    </row>
    <row r="88" spans="1:24" s="47" customFormat="1" ht="18" customHeight="1">
      <c r="A88" s="610"/>
      <c r="B88" s="583"/>
      <c r="C88" s="582" t="s">
        <v>99</v>
      </c>
      <c r="D88" s="178" t="str">
        <f>серпень!D88</f>
        <v>факт. нат.п-ки 2023</v>
      </c>
      <c r="E88" s="11"/>
      <c r="F88" s="12">
        <v>172.1</v>
      </c>
      <c r="G88" s="12">
        <v>120.7</v>
      </c>
      <c r="H88" s="12">
        <v>73.8</v>
      </c>
      <c r="I88" s="12">
        <v>0</v>
      </c>
      <c r="J88" s="12">
        <v>0</v>
      </c>
      <c r="K88" s="12">
        <v>0</v>
      </c>
      <c r="L88" s="65">
        <f>SUM(F88:K88)</f>
        <v>366.6</v>
      </c>
      <c r="M88" s="65">
        <f>L88/6</f>
        <v>61.1</v>
      </c>
      <c r="N88" s="11">
        <v>0</v>
      </c>
      <c r="O88" s="11">
        <v>0</v>
      </c>
      <c r="P88" s="11">
        <v>0</v>
      </c>
      <c r="Q88" s="11">
        <v>0</v>
      </c>
      <c r="R88" s="11">
        <v>33</v>
      </c>
      <c r="S88" s="11">
        <v>139.9</v>
      </c>
      <c r="T88" s="65">
        <f>SUM(N88:S88)</f>
        <v>172.9</v>
      </c>
      <c r="U88" s="65">
        <f>T88+L88</f>
        <v>539.5</v>
      </c>
      <c r="V88" s="46"/>
      <c r="W88" s="38"/>
    </row>
    <row r="89" spans="1:24" s="47" customFormat="1" ht="18" customHeight="1">
      <c r="A89" s="610"/>
      <c r="B89" s="583"/>
      <c r="C89" s="583"/>
      <c r="D89" s="178" t="str">
        <f>серпень!D89</f>
        <v>факт. нат.п-ки 2024</v>
      </c>
      <c r="E89" s="11"/>
      <c r="F89" s="12">
        <v>101.5</v>
      </c>
      <c r="G89" s="12">
        <v>73</v>
      </c>
      <c r="H89" s="12">
        <v>69.900000000000006</v>
      </c>
      <c r="I89" s="12">
        <v>0</v>
      </c>
      <c r="J89" s="12">
        <v>0</v>
      </c>
      <c r="K89" s="12">
        <v>0</v>
      </c>
      <c r="L89" s="65">
        <f>SUM(F89:K89)</f>
        <v>244.4</v>
      </c>
      <c r="M89" s="65">
        <f>L89/6</f>
        <v>40.700000000000003</v>
      </c>
      <c r="N89" s="11">
        <v>0</v>
      </c>
      <c r="O89" s="11">
        <v>0</v>
      </c>
      <c r="P89" s="11">
        <v>0</v>
      </c>
      <c r="Q89" s="11">
        <v>0</v>
      </c>
      <c r="R89" s="11">
        <v>33</v>
      </c>
      <c r="S89" s="11">
        <v>139.9</v>
      </c>
      <c r="T89" s="65">
        <f>SUM(N89:S89)</f>
        <v>172.9</v>
      </c>
      <c r="U89" s="65">
        <f>T89+L89</f>
        <v>417.3</v>
      </c>
      <c r="V89" s="46">
        <v>539.5</v>
      </c>
      <c r="W89" s="38"/>
    </row>
    <row r="90" spans="1:24" s="47" customFormat="1" ht="18" customHeight="1">
      <c r="A90" s="610"/>
      <c r="B90" s="583"/>
      <c r="C90" s="583"/>
      <c r="D90" s="178" t="str">
        <f>серпень!D90</f>
        <v>факт. нат.п-ки 2025</v>
      </c>
      <c r="E90" s="11"/>
      <c r="F90" s="466">
        <v>122.8</v>
      </c>
      <c r="G90" s="466">
        <f>109-5.473</f>
        <v>103.527</v>
      </c>
      <c r="H90" s="466">
        <v>71.599999999999994</v>
      </c>
      <c r="I90" s="466">
        <v>0</v>
      </c>
      <c r="J90" s="466">
        <v>0</v>
      </c>
      <c r="K90" s="466">
        <v>0</v>
      </c>
      <c r="L90" s="465">
        <f>SUM(F90:K90)</f>
        <v>297.92700000000002</v>
      </c>
      <c r="M90" s="465">
        <f>L90/6</f>
        <v>49.655000000000001</v>
      </c>
      <c r="N90" s="11">
        <v>0</v>
      </c>
      <c r="O90" s="11">
        <v>0</v>
      </c>
      <c r="P90" s="11">
        <v>0</v>
      </c>
      <c r="Q90" s="11">
        <v>0</v>
      </c>
      <c r="R90" s="11">
        <v>33</v>
      </c>
      <c r="S90" s="11">
        <v>201</v>
      </c>
      <c r="T90" s="65">
        <f>SUM(N90:S90)</f>
        <v>234</v>
      </c>
      <c r="U90" s="65">
        <f>T90+L90</f>
        <v>531.9</v>
      </c>
      <c r="V90" s="11">
        <v>478.4</v>
      </c>
      <c r="W90" s="38">
        <f>U90-V90</f>
        <v>53.5</v>
      </c>
    </row>
    <row r="91" spans="1:24" s="47" customFormat="1" ht="18" customHeight="1">
      <c r="A91" s="610"/>
      <c r="B91" s="583"/>
      <c r="C91" s="583"/>
      <c r="D91" s="187" t="str">
        <f>серпень!D91</f>
        <v>тариф, грн.</v>
      </c>
      <c r="E91" s="49" t="e">
        <f>E92/E90*1000</f>
        <v>#DIV/0!</v>
      </c>
      <c r="F91" s="49">
        <f t="shared" ref="F91:I91" si="152">F92/F90*1000</f>
        <v>2927.2959999999998</v>
      </c>
      <c r="G91" s="49">
        <f t="shared" si="152"/>
        <v>3097.2689999999998</v>
      </c>
      <c r="H91" s="49">
        <f t="shared" si="152"/>
        <v>3097.723</v>
      </c>
      <c r="I91" s="49" t="e">
        <f t="shared" si="152"/>
        <v>#DIV/0!</v>
      </c>
      <c r="J91" s="49" t="e">
        <f t="shared" ref="J91" si="153">J92/J90*1000</f>
        <v>#DIV/0!</v>
      </c>
      <c r="K91" s="49" t="e">
        <f t="shared" ref="K91" si="154">K92/K90*1000</f>
        <v>#DIV/0!</v>
      </c>
      <c r="L91" s="217">
        <f>L92/L90*1000</f>
        <v>3027.32</v>
      </c>
      <c r="M91" s="217">
        <f>M92/M90*1000</f>
        <v>3027.29</v>
      </c>
      <c r="N91" s="217">
        <v>3096.37</v>
      </c>
      <c r="O91" s="217">
        <v>3096.37</v>
      </c>
      <c r="P91" s="217">
        <v>3096.37</v>
      </c>
      <c r="Q91" s="217">
        <v>3096.37</v>
      </c>
      <c r="R91" s="217">
        <v>3096.37</v>
      </c>
      <c r="S91" s="217">
        <v>3096.37</v>
      </c>
      <c r="T91" s="121">
        <f t="shared" ref="T91:W91" si="155">T92/T90*1000</f>
        <v>3096.37</v>
      </c>
      <c r="U91" s="121">
        <f t="shared" si="155"/>
        <v>3057.85</v>
      </c>
      <c r="V91" s="68">
        <f t="shared" si="155"/>
        <v>2926.3</v>
      </c>
      <c r="W91" s="14">
        <f t="shared" si="155"/>
        <v>-4234.1869999999999</v>
      </c>
    </row>
    <row r="92" spans="1:24" s="47" customFormat="1" ht="18" customHeight="1">
      <c r="A92" s="610"/>
      <c r="B92" s="583"/>
      <c r="C92" s="583"/>
      <c r="D92" s="191" t="str">
        <f>серпень!D92</f>
        <v>сума, тис.грн.</v>
      </c>
      <c r="E92" s="52"/>
      <c r="F92" s="52">
        <v>359.47199999999998</v>
      </c>
      <c r="G92" s="52">
        <f>337.61-16.911-0.048</f>
        <v>320.65100000000001</v>
      </c>
      <c r="H92" s="52">
        <v>221.797</v>
      </c>
      <c r="I92" s="52">
        <v>0</v>
      </c>
      <c r="J92" s="52">
        <v>0</v>
      </c>
      <c r="K92" s="52">
        <v>0</v>
      </c>
      <c r="L92" s="69">
        <f>SUM(F92:K92)</f>
        <v>901.92</v>
      </c>
      <c r="M92" s="69">
        <f>L92/6</f>
        <v>150.32</v>
      </c>
      <c r="N92" s="52">
        <f>N90*N91/1000</f>
        <v>0</v>
      </c>
      <c r="O92" s="52">
        <f t="shared" ref="O92" si="156">O90*O91/1000</f>
        <v>0</v>
      </c>
      <c r="P92" s="52">
        <f t="shared" ref="P92" si="157">P90*P91/1000</f>
        <v>0</v>
      </c>
      <c r="Q92" s="52">
        <f t="shared" ref="Q92" si="158">Q90*Q91/1000</f>
        <v>0</v>
      </c>
      <c r="R92" s="52">
        <f t="shared" ref="R92" si="159">R90*R91/1000</f>
        <v>102.18</v>
      </c>
      <c r="S92" s="52">
        <f>S90*S91/1000+0.001</f>
        <v>622.37099999999998</v>
      </c>
      <c r="T92" s="69">
        <f>SUM(N92:S92)</f>
        <v>724.55100000000004</v>
      </c>
      <c r="U92" s="69">
        <f>T92+L92</f>
        <v>1626.471</v>
      </c>
      <c r="V92" s="70">
        <f>V93+V94</f>
        <v>1399.942</v>
      </c>
      <c r="W92" s="53">
        <f>V92-U92</f>
        <v>-226.529</v>
      </c>
    </row>
    <row r="93" spans="1:24" s="47" customFormat="1" ht="18" customHeight="1">
      <c r="A93" s="610"/>
      <c r="B93" s="583"/>
      <c r="C93" s="583"/>
      <c r="D93" s="174" t="str">
        <f>серпень!D93</f>
        <v>дотація</v>
      </c>
      <c r="E93" s="56"/>
      <c r="F93" s="52"/>
      <c r="G93" s="52"/>
      <c r="H93" s="52"/>
      <c r="I93" s="52"/>
      <c r="J93" s="52"/>
      <c r="K93" s="52"/>
      <c r="L93" s="69">
        <f>SUM(F93:K93)</f>
        <v>0</v>
      </c>
      <c r="M93" s="69">
        <f>L93/6</f>
        <v>0</v>
      </c>
      <c r="N93" s="52"/>
      <c r="O93" s="52"/>
      <c r="P93" s="52"/>
      <c r="Q93" s="52"/>
      <c r="R93" s="52"/>
      <c r="S93" s="52"/>
      <c r="T93" s="69">
        <f>SUM(N93:S93)</f>
        <v>0</v>
      </c>
      <c r="U93" s="69">
        <f>T93+L93</f>
        <v>0</v>
      </c>
      <c r="V93" s="70"/>
      <c r="W93" s="53">
        <f>V93-U93</f>
        <v>0</v>
      </c>
    </row>
    <row r="94" spans="1:24" s="47" customFormat="1" ht="18" customHeight="1">
      <c r="A94" s="610"/>
      <c r="B94" s="583"/>
      <c r="C94" s="583"/>
      <c r="D94" s="174" t="str">
        <f>серпень!D94</f>
        <v>місцевий (план), тис.грн</v>
      </c>
      <c r="E94" s="56"/>
      <c r="F94" s="52">
        <f>150.657-150.657</f>
        <v>0</v>
      </c>
      <c r="G94" s="52">
        <f>297.019+82.41</f>
        <v>379.42899999999997</v>
      </c>
      <c r="H94" s="52">
        <f>213.62+132.802</f>
        <v>346.42200000000003</v>
      </c>
      <c r="I94" s="52">
        <f>204.548-48.351+63.795</f>
        <v>219.99199999999999</v>
      </c>
      <c r="J94" s="52">
        <v>0</v>
      </c>
      <c r="K94" s="52">
        <v>0</v>
      </c>
      <c r="L94" s="69">
        <f>SUM(F94:K94)</f>
        <v>945.84299999999996</v>
      </c>
      <c r="M94" s="69">
        <f>L94/6</f>
        <v>157.64099999999999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f>684.755-34.059-132.802-63.795</f>
        <v>454.09899999999999</v>
      </c>
      <c r="T94" s="69">
        <f>SUM(N94:S94)</f>
        <v>454.09899999999999</v>
      </c>
      <c r="U94" s="69">
        <f>T94+L94</f>
        <v>1399.942</v>
      </c>
      <c r="V94" s="70">
        <v>1399.942</v>
      </c>
      <c r="W94" s="53">
        <f>V94-U94</f>
        <v>0</v>
      </c>
    </row>
    <row r="95" spans="1:24" s="47" customFormat="1" ht="18" customHeight="1">
      <c r="A95" s="610"/>
      <c r="B95" s="583"/>
      <c r="C95" s="583"/>
      <c r="D95" s="178" t="str">
        <f>серпень!D95</f>
        <v>касові нат.п-ки 2025</v>
      </c>
      <c r="E95" s="11"/>
      <c r="F95" s="566">
        <v>0</v>
      </c>
      <c r="G95" s="567">
        <v>122.8</v>
      </c>
      <c r="H95" s="567">
        <v>109</v>
      </c>
      <c r="I95" s="567">
        <v>71.599999999999994</v>
      </c>
      <c r="J95" s="466">
        <v>-5.4729999999999999</v>
      </c>
      <c r="K95" s="466">
        <v>0</v>
      </c>
      <c r="L95" s="465">
        <f>SUM(F95:K95)</f>
        <v>297.92700000000002</v>
      </c>
      <c r="M95" s="465">
        <f>L95/6</f>
        <v>49.655000000000001</v>
      </c>
      <c r="N95" s="11"/>
      <c r="O95" s="11"/>
      <c r="P95" s="11"/>
      <c r="Q95" s="11"/>
      <c r="R95" s="11"/>
      <c r="S95" s="11">
        <f>R90+S90</f>
        <v>234</v>
      </c>
      <c r="T95" s="65">
        <f>SUM(N95:S95)</f>
        <v>234</v>
      </c>
      <c r="U95" s="65">
        <f>T95+L95</f>
        <v>531.9</v>
      </c>
      <c r="V95" s="11">
        <f>V90</f>
        <v>478.4</v>
      </c>
      <c r="W95" s="38">
        <f>V95-U95</f>
        <v>-53.5</v>
      </c>
      <c r="X95" s="47">
        <f>U90-U95</f>
        <v>0</v>
      </c>
    </row>
    <row r="96" spans="1:24" s="47" customFormat="1" ht="18" customHeight="1">
      <c r="A96" s="610"/>
      <c r="B96" s="583"/>
      <c r="C96" s="583"/>
      <c r="D96" s="187" t="str">
        <f>серпень!D96</f>
        <v>тариф, грн.</v>
      </c>
      <c r="E96" s="49" t="e">
        <f>E97/E95*1000</f>
        <v>#DIV/0!</v>
      </c>
      <c r="F96" s="49" t="e">
        <f t="shared" ref="F96:K96" si="160">F97/F95*1000</f>
        <v>#DIV/0!</v>
      </c>
      <c r="G96" s="49">
        <f t="shared" si="160"/>
        <v>2927.2959999999998</v>
      </c>
      <c r="H96" s="49">
        <f t="shared" si="160"/>
        <v>3097.3389999999999</v>
      </c>
      <c r="I96" s="49">
        <f t="shared" si="160"/>
        <v>3097.723</v>
      </c>
      <c r="J96" s="49">
        <f t="shared" si="160"/>
        <v>3098.6660000000002</v>
      </c>
      <c r="K96" s="49" t="e">
        <f t="shared" si="160"/>
        <v>#DIV/0!</v>
      </c>
      <c r="L96" s="217">
        <f>L97/L95*1000</f>
        <v>3027.32</v>
      </c>
      <c r="M96" s="217">
        <f>M97/M95*1000</f>
        <v>3027.29</v>
      </c>
      <c r="N96" s="217">
        <v>3096.37</v>
      </c>
      <c r="O96" s="217">
        <v>3096.37</v>
      </c>
      <c r="P96" s="217">
        <v>3096.37</v>
      </c>
      <c r="Q96" s="217">
        <v>3096.37</v>
      </c>
      <c r="R96" s="188">
        <v>3096.37</v>
      </c>
      <c r="S96" s="188">
        <v>3096.37</v>
      </c>
      <c r="T96" s="121">
        <f>T97/T95*1000</f>
        <v>3096.37</v>
      </c>
      <c r="U96" s="121">
        <f>U97/U95*1000</f>
        <v>3057.85</v>
      </c>
      <c r="V96" s="68">
        <f>V97/V95*1000</f>
        <v>2926.3</v>
      </c>
      <c r="W96" s="14">
        <f>W97/W95*1000</f>
        <v>4234.1869999999999</v>
      </c>
    </row>
    <row r="97" spans="1:24" s="63" customFormat="1" ht="21.6" customHeight="1">
      <c r="A97" s="610"/>
      <c r="B97" s="583"/>
      <c r="C97" s="583"/>
      <c r="D97" s="198" t="str">
        <f>серпень!D97</f>
        <v>касові видатки, тис.грн.</v>
      </c>
      <c r="E97" s="71"/>
      <c r="F97" s="61">
        <v>0</v>
      </c>
      <c r="G97" s="61">
        <v>359.47199999999998</v>
      </c>
      <c r="H97" s="61">
        <v>337.61</v>
      </c>
      <c r="I97" s="61">
        <v>221.797</v>
      </c>
      <c r="J97" s="61">
        <f>-16.911-0.048</f>
        <v>-16.959</v>
      </c>
      <c r="K97" s="61">
        <v>0</v>
      </c>
      <c r="L97" s="61">
        <f>SUM(F97:K97)</f>
        <v>901.92</v>
      </c>
      <c r="M97" s="61">
        <f>L97/6</f>
        <v>150.32</v>
      </c>
      <c r="N97" s="61">
        <f>N95*N96/1000</f>
        <v>0</v>
      </c>
      <c r="O97" s="61">
        <f t="shared" ref="O97" si="161">O95*O96/1000</f>
        <v>0</v>
      </c>
      <c r="P97" s="61">
        <f t="shared" ref="P97" si="162">P95*P96/1000</f>
        <v>0</v>
      </c>
      <c r="Q97" s="61">
        <f t="shared" ref="Q97" si="163">Q95*Q96/1000</f>
        <v>0</v>
      </c>
      <c r="R97" s="61">
        <f t="shared" ref="R97" si="164">R95*R96/1000</f>
        <v>0</v>
      </c>
      <c r="S97" s="61">
        <f>S95*S96/1000</f>
        <v>724.55100000000004</v>
      </c>
      <c r="T97" s="61">
        <f>SUM(N97:S97)</f>
        <v>724.55100000000004</v>
      </c>
      <c r="U97" s="61">
        <f>T97+L97</f>
        <v>1626.471</v>
      </c>
      <c r="V97" s="61">
        <f>V92</f>
        <v>1399.942</v>
      </c>
      <c r="W97" s="72">
        <f>V97-U97</f>
        <v>-226.529</v>
      </c>
      <c r="X97" s="63">
        <f>U92-U97</f>
        <v>0</v>
      </c>
    </row>
    <row r="98" spans="1:24" s="63" customFormat="1" ht="18" customHeight="1">
      <c r="A98" s="610"/>
      <c r="B98" s="583"/>
      <c r="C98" s="583"/>
      <c r="D98" s="201" t="str">
        <f>серпень!D98</f>
        <v>дотація</v>
      </c>
      <c r="E98" s="71"/>
      <c r="F98" s="61">
        <v>0</v>
      </c>
      <c r="G98" s="61">
        <v>0</v>
      </c>
      <c r="H98" s="61">
        <v>0</v>
      </c>
      <c r="I98" s="61">
        <v>0</v>
      </c>
      <c r="J98" s="61">
        <v>0</v>
      </c>
      <c r="K98" s="61">
        <v>0</v>
      </c>
      <c r="L98" s="61">
        <f>SUM(F98:K98)</f>
        <v>0</v>
      </c>
      <c r="M98" s="61">
        <f>L98/6</f>
        <v>0</v>
      </c>
      <c r="N98" s="61">
        <v>0</v>
      </c>
      <c r="O98" s="61">
        <v>0</v>
      </c>
      <c r="P98" s="61">
        <v>0</v>
      </c>
      <c r="Q98" s="61">
        <v>0</v>
      </c>
      <c r="R98" s="61">
        <v>0</v>
      </c>
      <c r="S98" s="61">
        <v>0</v>
      </c>
      <c r="T98" s="61">
        <f>SUM(N98:S98)</f>
        <v>0</v>
      </c>
      <c r="U98" s="61">
        <f>T98+L98</f>
        <v>0</v>
      </c>
      <c r="V98" s="61">
        <f>V93</f>
        <v>0</v>
      </c>
      <c r="W98" s="72">
        <f>V98-U98</f>
        <v>0</v>
      </c>
      <c r="X98" s="63">
        <f>U93-U98</f>
        <v>0</v>
      </c>
    </row>
    <row r="99" spans="1:24" s="63" customFormat="1" ht="18" customHeight="1">
      <c r="A99" s="610"/>
      <c r="B99" s="583"/>
      <c r="C99" s="583"/>
      <c r="D99" s="201" t="str">
        <f>серпень!D99</f>
        <v xml:space="preserve">місцевий </v>
      </c>
      <c r="E99" s="71"/>
      <c r="F99" s="61">
        <f t="shared" ref="F99:K99" si="165">F97-F98</f>
        <v>0</v>
      </c>
      <c r="G99" s="61">
        <f t="shared" si="165"/>
        <v>359.47199999999998</v>
      </c>
      <c r="H99" s="61">
        <f t="shared" si="165"/>
        <v>337.61</v>
      </c>
      <c r="I99" s="61">
        <f t="shared" si="165"/>
        <v>221.797</v>
      </c>
      <c r="J99" s="61">
        <f t="shared" si="165"/>
        <v>-16.959</v>
      </c>
      <c r="K99" s="61">
        <f t="shared" si="165"/>
        <v>0</v>
      </c>
      <c r="L99" s="61">
        <f>SUM(F99:K99)</f>
        <v>901.92</v>
      </c>
      <c r="M99" s="61">
        <f>L99/6</f>
        <v>150.32</v>
      </c>
      <c r="N99" s="61">
        <f t="shared" ref="N99:S99" si="166">N97-N98</f>
        <v>0</v>
      </c>
      <c r="O99" s="61">
        <f t="shared" si="166"/>
        <v>0</v>
      </c>
      <c r="P99" s="61">
        <f t="shared" si="166"/>
        <v>0</v>
      </c>
      <c r="Q99" s="61">
        <f t="shared" si="166"/>
        <v>0</v>
      </c>
      <c r="R99" s="61">
        <f t="shared" si="166"/>
        <v>0</v>
      </c>
      <c r="S99" s="61">
        <f t="shared" si="166"/>
        <v>724.55100000000004</v>
      </c>
      <c r="T99" s="61">
        <f>SUM(N99:S99)</f>
        <v>724.55100000000004</v>
      </c>
      <c r="U99" s="61">
        <f>T99+L99</f>
        <v>1626.471</v>
      </c>
      <c r="V99" s="61">
        <f>V94</f>
        <v>1399.942</v>
      </c>
      <c r="W99" s="72">
        <f>V99-U99</f>
        <v>-226.529</v>
      </c>
      <c r="X99" s="63">
        <f>U94-U99</f>
        <v>-226.529</v>
      </c>
    </row>
    <row r="100" spans="1:24" s="43" customFormat="1" ht="18" customHeight="1">
      <c r="A100" s="610"/>
      <c r="B100" s="583"/>
      <c r="C100" s="583"/>
      <c r="D100" s="202" t="str">
        <f>серпень!D100</f>
        <v>план</v>
      </c>
      <c r="E100" s="42"/>
      <c r="F100" s="42">
        <f t="shared" ref="F100:K100" si="167">F93+F94</f>
        <v>0</v>
      </c>
      <c r="G100" s="42">
        <f t="shared" si="167"/>
        <v>379.42899999999997</v>
      </c>
      <c r="H100" s="42">
        <f t="shared" si="167"/>
        <v>346.42200000000003</v>
      </c>
      <c r="I100" s="42">
        <f t="shared" si="167"/>
        <v>219.99199999999999</v>
      </c>
      <c r="J100" s="42">
        <f t="shared" si="167"/>
        <v>0</v>
      </c>
      <c r="K100" s="42">
        <f t="shared" si="167"/>
        <v>0</v>
      </c>
      <c r="L100" s="42">
        <f>SUM(F100:K100)</f>
        <v>945.84299999999996</v>
      </c>
      <c r="M100" s="42">
        <f>L100/6</f>
        <v>157.64099999999999</v>
      </c>
      <c r="N100" s="42">
        <f t="shared" ref="N100:S100" si="168">N94+N93</f>
        <v>0</v>
      </c>
      <c r="O100" s="42">
        <f t="shared" si="168"/>
        <v>0</v>
      </c>
      <c r="P100" s="42">
        <f t="shared" si="168"/>
        <v>0</v>
      </c>
      <c r="Q100" s="42">
        <f t="shared" si="168"/>
        <v>0</v>
      </c>
      <c r="R100" s="42">
        <f t="shared" si="168"/>
        <v>0</v>
      </c>
      <c r="S100" s="42">
        <f t="shared" si="168"/>
        <v>454.09899999999999</v>
      </c>
      <c r="T100" s="42">
        <f>SUM(N100:S100)</f>
        <v>454.09899999999999</v>
      </c>
      <c r="U100" s="42">
        <f>T100+L100</f>
        <v>1399.942</v>
      </c>
      <c r="V100" s="42">
        <f>V97</f>
        <v>1399.942</v>
      </c>
      <c r="W100" s="42">
        <f>V100-U100</f>
        <v>0</v>
      </c>
    </row>
    <row r="101" spans="1:24" s="43" customFormat="1" ht="18" customHeight="1">
      <c r="A101" s="610"/>
      <c r="B101" s="583"/>
      <c r="C101" s="583"/>
      <c r="D101" s="202" t="str">
        <f>серпень!D101</f>
        <v xml:space="preserve">відхилення </v>
      </c>
      <c r="E101" s="42"/>
      <c r="F101" s="42">
        <f t="shared" ref="F101:K101" si="169">F97-F100</f>
        <v>0</v>
      </c>
      <c r="G101" s="42">
        <f t="shared" si="169"/>
        <v>-19.957000000000001</v>
      </c>
      <c r="H101" s="42">
        <f t="shared" si="169"/>
        <v>-8.8119999999999994</v>
      </c>
      <c r="I101" s="42">
        <f t="shared" si="169"/>
        <v>1.8049999999999999</v>
      </c>
      <c r="J101" s="42">
        <f t="shared" si="169"/>
        <v>-16.959</v>
      </c>
      <c r="K101" s="42">
        <f t="shared" si="169"/>
        <v>0</v>
      </c>
      <c r="L101" s="42"/>
      <c r="M101" s="42"/>
      <c r="N101" s="42">
        <f t="shared" ref="N101:S101" si="170">N97-N100</f>
        <v>0</v>
      </c>
      <c r="O101" s="42">
        <f t="shared" si="170"/>
        <v>0</v>
      </c>
      <c r="P101" s="42">
        <f t="shared" si="170"/>
        <v>0</v>
      </c>
      <c r="Q101" s="42">
        <f t="shared" si="170"/>
        <v>0</v>
      </c>
      <c r="R101" s="42">
        <f t="shared" si="170"/>
        <v>0</v>
      </c>
      <c r="S101" s="42">
        <f t="shared" si="170"/>
        <v>270.452</v>
      </c>
      <c r="T101" s="42"/>
      <c r="U101" s="42"/>
      <c r="V101" s="42"/>
      <c r="W101" s="42"/>
    </row>
    <row r="102" spans="1:24" s="43" customFormat="1" ht="25.2" customHeight="1">
      <c r="A102" s="610"/>
      <c r="B102" s="583"/>
      <c r="C102" s="584"/>
      <c r="D102" s="202" t="str">
        <f>серпень!D102</f>
        <v>відхилення з наростаючим</v>
      </c>
      <c r="E102" s="42"/>
      <c r="F102" s="42">
        <f>F101</f>
        <v>0</v>
      </c>
      <c r="G102" s="42">
        <f>G101+F102</f>
        <v>-19.957000000000001</v>
      </c>
      <c r="H102" s="42">
        <f>H101+G102</f>
        <v>-28.768999999999998</v>
      </c>
      <c r="I102" s="42">
        <f>I101+H102</f>
        <v>-26.963999999999999</v>
      </c>
      <c r="J102" s="42">
        <f>J101+I102</f>
        <v>-43.923000000000002</v>
      </c>
      <c r="K102" s="42">
        <f>K101+J102</f>
        <v>-43.923000000000002</v>
      </c>
      <c r="L102" s="42"/>
      <c r="M102" s="42"/>
      <c r="N102" s="42">
        <f>N101+K102</f>
        <v>-43.923000000000002</v>
      </c>
      <c r="O102" s="42">
        <f>O101+N102</f>
        <v>-43.923000000000002</v>
      </c>
      <c r="P102" s="42">
        <f>P101+O102</f>
        <v>-43.923000000000002</v>
      </c>
      <c r="Q102" s="42">
        <f>Q101+P102</f>
        <v>-43.923000000000002</v>
      </c>
      <c r="R102" s="42">
        <f>R101+Q102</f>
        <v>-43.923000000000002</v>
      </c>
      <c r="S102" s="42">
        <f>S101+R102</f>
        <v>226.529</v>
      </c>
      <c r="T102" s="42"/>
      <c r="U102" s="42"/>
      <c r="V102" s="42"/>
      <c r="W102" s="42"/>
    </row>
    <row r="103" spans="1:24" s="43" customFormat="1" ht="18" customHeight="1">
      <c r="A103" s="610"/>
      <c r="B103" s="583"/>
      <c r="C103" s="582" t="s">
        <v>96</v>
      </c>
      <c r="D103" s="178" t="str">
        <f>серпень!D103</f>
        <v>факт. нат.п-ки 2023</v>
      </c>
      <c r="E103" s="179"/>
      <c r="F103" s="184"/>
      <c r="G103" s="184"/>
      <c r="H103" s="179"/>
      <c r="I103" s="179"/>
      <c r="J103" s="179"/>
      <c r="K103" s="179"/>
      <c r="L103" s="215">
        <f>SUM(F103:K103)</f>
        <v>0</v>
      </c>
      <c r="M103" s="215">
        <f>L103/6</f>
        <v>0</v>
      </c>
      <c r="N103" s="179"/>
      <c r="O103" s="179"/>
      <c r="P103" s="179"/>
      <c r="Q103" s="179"/>
      <c r="R103" s="179"/>
      <c r="S103" s="179"/>
      <c r="T103" s="215">
        <f>SUM(N103:S103)</f>
        <v>0</v>
      </c>
      <c r="U103" s="215">
        <f>T103+L103</f>
        <v>0</v>
      </c>
      <c r="V103" s="179"/>
      <c r="W103" s="184"/>
    </row>
    <row r="104" spans="1:24" s="43" customFormat="1" ht="18" customHeight="1">
      <c r="A104" s="610"/>
      <c r="B104" s="583"/>
      <c r="C104" s="583"/>
      <c r="D104" s="178" t="str">
        <f>серпень!D104</f>
        <v>факт. нат.п-ки 2024</v>
      </c>
      <c r="E104" s="179"/>
      <c r="F104" s="184"/>
      <c r="G104" s="184"/>
      <c r="H104" s="184"/>
      <c r="I104" s="184"/>
      <c r="J104" s="184"/>
      <c r="K104" s="184"/>
      <c r="L104" s="215">
        <f>SUM(F104:K104)</f>
        <v>0</v>
      </c>
      <c r="M104" s="215">
        <f>L104/6</f>
        <v>0</v>
      </c>
      <c r="N104" s="179"/>
      <c r="O104" s="179"/>
      <c r="P104" s="179"/>
      <c r="Q104" s="179"/>
      <c r="R104" s="179"/>
      <c r="S104" s="179"/>
      <c r="T104" s="215">
        <f>SUM(N104:S104)</f>
        <v>0</v>
      </c>
      <c r="U104" s="215">
        <f>T104+L104</f>
        <v>0</v>
      </c>
      <c r="V104" s="179"/>
      <c r="W104" s="184"/>
    </row>
    <row r="105" spans="1:24" s="43" customFormat="1" ht="18" customHeight="1">
      <c r="A105" s="610"/>
      <c r="B105" s="583"/>
      <c r="C105" s="583"/>
      <c r="D105" s="178" t="str">
        <f>серпень!D105</f>
        <v>факт. нат.п-ки 2025</v>
      </c>
      <c r="E105" s="179"/>
      <c r="F105" s="184">
        <v>1</v>
      </c>
      <c r="G105" s="184">
        <v>1</v>
      </c>
      <c r="H105" s="184">
        <v>1</v>
      </c>
      <c r="I105" s="184">
        <v>1</v>
      </c>
      <c r="J105" s="184">
        <v>1</v>
      </c>
      <c r="K105" s="184">
        <v>1</v>
      </c>
      <c r="L105" s="215">
        <f>SUM(F105:K105)</f>
        <v>6</v>
      </c>
      <c r="M105" s="215">
        <f>L105/6</f>
        <v>1</v>
      </c>
      <c r="N105" s="179">
        <v>1</v>
      </c>
      <c r="O105" s="179">
        <v>1</v>
      </c>
      <c r="P105" s="179">
        <v>1</v>
      </c>
      <c r="Q105" s="179">
        <v>1</v>
      </c>
      <c r="R105" s="179">
        <v>1</v>
      </c>
      <c r="S105" s="179">
        <v>1</v>
      </c>
      <c r="T105" s="215">
        <f>SUM(N105:S105)</f>
        <v>6</v>
      </c>
      <c r="U105" s="215">
        <f>T105+L105</f>
        <v>12</v>
      </c>
      <c r="V105" s="179">
        <v>12</v>
      </c>
      <c r="W105" s="184">
        <f>U105-V105</f>
        <v>0</v>
      </c>
    </row>
    <row r="106" spans="1:24" s="43" customFormat="1" ht="18" customHeight="1">
      <c r="A106" s="610"/>
      <c r="B106" s="583"/>
      <c r="C106" s="583"/>
      <c r="D106" s="187" t="str">
        <f>серпень!D106</f>
        <v>тариф, грн.</v>
      </c>
      <c r="E106" s="217" t="e">
        <f>E107/E105*1000</f>
        <v>#DIV/0!</v>
      </c>
      <c r="F106" s="217">
        <f t="shared" ref="F106:H106" si="171">F107/F105*1000</f>
        <v>24</v>
      </c>
      <c r="G106" s="217">
        <f t="shared" si="171"/>
        <v>24</v>
      </c>
      <c r="H106" s="217">
        <f t="shared" si="171"/>
        <v>24</v>
      </c>
      <c r="I106" s="217">
        <v>24</v>
      </c>
      <c r="J106" s="217">
        <v>24</v>
      </c>
      <c r="K106" s="217">
        <v>24</v>
      </c>
      <c r="L106" s="217">
        <f>L107/L105*1000</f>
        <v>24</v>
      </c>
      <c r="M106" s="217">
        <f>M107/M105*1000</f>
        <v>24</v>
      </c>
      <c r="N106" s="217">
        <v>24</v>
      </c>
      <c r="O106" s="217">
        <v>24</v>
      </c>
      <c r="P106" s="217">
        <v>24</v>
      </c>
      <c r="Q106" s="217">
        <v>24</v>
      </c>
      <c r="R106" s="217">
        <v>24</v>
      </c>
      <c r="S106" s="217">
        <v>24</v>
      </c>
      <c r="T106" s="217">
        <f>T107/T105*1000</f>
        <v>24</v>
      </c>
      <c r="U106" s="217">
        <f>U107/U105*1000</f>
        <v>24</v>
      </c>
      <c r="V106" s="218">
        <f>V107/V105*1000</f>
        <v>24</v>
      </c>
      <c r="W106" s="219" t="e">
        <f>W107/W105*1000</f>
        <v>#DIV/0!</v>
      </c>
    </row>
    <row r="107" spans="1:24" s="43" customFormat="1" ht="18" customHeight="1">
      <c r="A107" s="610"/>
      <c r="B107" s="583"/>
      <c r="C107" s="583"/>
      <c r="D107" s="191" t="str">
        <f>серпень!D107</f>
        <v>сума, тис.грн.</v>
      </c>
      <c r="E107" s="192"/>
      <c r="F107" s="192">
        <v>2.4E-2</v>
      </c>
      <c r="G107" s="192">
        <v>2.4E-2</v>
      </c>
      <c r="H107" s="192">
        <v>2.4E-2</v>
      </c>
      <c r="I107" s="192">
        <f t="shared" ref="I107:K107" si="172">I105*I106/1000</f>
        <v>2.4E-2</v>
      </c>
      <c r="J107" s="192">
        <f t="shared" si="172"/>
        <v>2.4E-2</v>
      </c>
      <c r="K107" s="192">
        <f t="shared" si="172"/>
        <v>2.4E-2</v>
      </c>
      <c r="L107" s="194">
        <f>SUM(F107:K107)</f>
        <v>0.14399999999999999</v>
      </c>
      <c r="M107" s="194">
        <f>L107/6</f>
        <v>2.4E-2</v>
      </c>
      <c r="N107" s="192">
        <f>N105*N106/1000</f>
        <v>2.4E-2</v>
      </c>
      <c r="O107" s="192">
        <f t="shared" ref="O107" si="173">O105*O106/1000</f>
        <v>2.4E-2</v>
      </c>
      <c r="P107" s="192">
        <f t="shared" ref="P107" si="174">P105*P106/1000</f>
        <v>2.4E-2</v>
      </c>
      <c r="Q107" s="192">
        <f t="shared" ref="Q107" si="175">Q105*Q106/1000</f>
        <v>2.4E-2</v>
      </c>
      <c r="R107" s="192">
        <f t="shared" ref="R107" si="176">R105*R106/1000</f>
        <v>2.4E-2</v>
      </c>
      <c r="S107" s="192">
        <f t="shared" ref="S107" si="177">S105*S106/1000</f>
        <v>2.4E-2</v>
      </c>
      <c r="T107" s="194">
        <f>SUM(N107:S107)</f>
        <v>0.14399999999999999</v>
      </c>
      <c r="U107" s="194">
        <f>T107+L107</f>
        <v>0.28799999999999998</v>
      </c>
      <c r="V107" s="171">
        <f>V108+V109</f>
        <v>0.28799999999999998</v>
      </c>
      <c r="W107" s="192">
        <f>V107-U107</f>
        <v>0</v>
      </c>
    </row>
    <row r="108" spans="1:24" s="43" customFormat="1" ht="18" customHeight="1">
      <c r="A108" s="610"/>
      <c r="B108" s="583"/>
      <c r="C108" s="583"/>
      <c r="D108" s="174" t="str">
        <f>серпень!D108</f>
        <v>дотація</v>
      </c>
      <c r="E108" s="210"/>
      <c r="F108" s="192"/>
      <c r="G108" s="192"/>
      <c r="H108" s="192"/>
      <c r="I108" s="192"/>
      <c r="J108" s="192"/>
      <c r="K108" s="192"/>
      <c r="L108" s="194">
        <f>SUM(F108:K108)</f>
        <v>0</v>
      </c>
      <c r="M108" s="194">
        <f>L108/6</f>
        <v>0</v>
      </c>
      <c r="N108" s="192"/>
      <c r="O108" s="192"/>
      <c r="P108" s="192"/>
      <c r="Q108" s="192"/>
      <c r="R108" s="192"/>
      <c r="S108" s="192"/>
      <c r="T108" s="194">
        <f>SUM(N108:S108)</f>
        <v>0</v>
      </c>
      <c r="U108" s="194">
        <f>T108+L108</f>
        <v>0</v>
      </c>
      <c r="V108" s="171"/>
      <c r="W108" s="192">
        <f>V108-U108</f>
        <v>0</v>
      </c>
    </row>
    <row r="109" spans="1:24" s="43" customFormat="1" ht="18" customHeight="1">
      <c r="A109" s="610"/>
      <c r="B109" s="583"/>
      <c r="C109" s="583"/>
      <c r="D109" s="174" t="str">
        <f>серпень!D109</f>
        <v>місцевий (план), тис.грн</v>
      </c>
      <c r="E109" s="210"/>
      <c r="F109" s="192">
        <f>0.024-0.024</f>
        <v>0</v>
      </c>
      <c r="G109" s="192">
        <v>2.4E-2</v>
      </c>
      <c r="H109" s="192">
        <v>2.4E-2</v>
      </c>
      <c r="I109" s="192">
        <v>2.4E-2</v>
      </c>
      <c r="J109" s="192">
        <v>2.4E-2</v>
      </c>
      <c r="K109" s="192">
        <v>2.4E-2</v>
      </c>
      <c r="L109" s="194">
        <f>SUM(F109:K109)</f>
        <v>0.12</v>
      </c>
      <c r="M109" s="194">
        <f>L109/6</f>
        <v>0.02</v>
      </c>
      <c r="N109" s="192">
        <v>2.4E-2</v>
      </c>
      <c r="O109" s="192">
        <v>2.4E-2</v>
      </c>
      <c r="P109" s="192">
        <v>2.4E-2</v>
      </c>
      <c r="Q109" s="192">
        <v>2.4E-2</v>
      </c>
      <c r="R109" s="192">
        <v>2.4E-2</v>
      </c>
      <c r="S109" s="192">
        <v>4.8000000000000001E-2</v>
      </c>
      <c r="T109" s="194">
        <f>SUM(N109:S109)</f>
        <v>0.16800000000000001</v>
      </c>
      <c r="U109" s="194">
        <f>T109+L109</f>
        <v>0.28799999999999998</v>
      </c>
      <c r="V109" s="171">
        <v>0.28799999999999998</v>
      </c>
      <c r="W109" s="192">
        <f>V109-U109</f>
        <v>0</v>
      </c>
    </row>
    <row r="110" spans="1:24" s="43" customFormat="1" ht="18" customHeight="1">
      <c r="A110" s="610"/>
      <c r="B110" s="583"/>
      <c r="C110" s="583"/>
      <c r="D110" s="178" t="str">
        <f>серпень!D110</f>
        <v>касові нат.п-ки 2025</v>
      </c>
      <c r="E110" s="179"/>
      <c r="F110" s="184"/>
      <c r="G110" s="184">
        <v>1</v>
      </c>
      <c r="H110" s="184">
        <v>1</v>
      </c>
      <c r="I110" s="184">
        <v>1</v>
      </c>
      <c r="J110" s="184">
        <v>1</v>
      </c>
      <c r="K110" s="184">
        <v>1</v>
      </c>
      <c r="L110" s="215">
        <f>SUM(F110:K110)</f>
        <v>5</v>
      </c>
      <c r="M110" s="215">
        <f>L110/6</f>
        <v>0.8</v>
      </c>
      <c r="N110" s="184">
        <v>1</v>
      </c>
      <c r="O110" s="184">
        <v>1</v>
      </c>
      <c r="P110" s="184">
        <v>1</v>
      </c>
      <c r="Q110" s="184">
        <v>1</v>
      </c>
      <c r="R110" s="184">
        <v>1</v>
      </c>
      <c r="S110" s="184">
        <v>2</v>
      </c>
      <c r="T110" s="215">
        <f>SUM(N110:S110)</f>
        <v>7</v>
      </c>
      <c r="U110" s="215">
        <f>T110+L110</f>
        <v>12</v>
      </c>
      <c r="V110" s="179">
        <f>V105</f>
        <v>12</v>
      </c>
      <c r="W110" s="184">
        <f>V110-U110</f>
        <v>0</v>
      </c>
      <c r="X110" s="47">
        <f>U105-U110</f>
        <v>0</v>
      </c>
    </row>
    <row r="111" spans="1:24" s="43" customFormat="1" ht="18" customHeight="1">
      <c r="A111" s="610"/>
      <c r="B111" s="583"/>
      <c r="C111" s="583"/>
      <c r="D111" s="187" t="str">
        <f>серпень!D111</f>
        <v>тариф, грн.</v>
      </c>
      <c r="E111" s="217" t="e">
        <f>E112/E110*1000</f>
        <v>#DIV/0!</v>
      </c>
      <c r="F111" s="217" t="e">
        <f>F112/F110*1000</f>
        <v>#DIV/0!</v>
      </c>
      <c r="G111" s="217">
        <f t="shared" ref="G111:I111" si="178">G112/G110*1000</f>
        <v>24</v>
      </c>
      <c r="H111" s="217">
        <f t="shared" si="178"/>
        <v>24</v>
      </c>
      <c r="I111" s="217">
        <f t="shared" si="178"/>
        <v>24</v>
      </c>
      <c r="J111" s="217">
        <v>24</v>
      </c>
      <c r="K111" s="217">
        <v>24</v>
      </c>
      <c r="L111" s="217">
        <f>L112/L110*1000</f>
        <v>24</v>
      </c>
      <c r="M111" s="217">
        <f>M112/M110*1000</f>
        <v>25</v>
      </c>
      <c r="N111" s="217">
        <v>24</v>
      </c>
      <c r="O111" s="217">
        <v>24</v>
      </c>
      <c r="P111" s="217">
        <v>24</v>
      </c>
      <c r="Q111" s="217">
        <v>24</v>
      </c>
      <c r="R111" s="217">
        <v>24</v>
      </c>
      <c r="S111" s="217">
        <v>24</v>
      </c>
      <c r="T111" s="217">
        <f>T112/T110*1000</f>
        <v>24</v>
      </c>
      <c r="U111" s="217">
        <f>U112/U110*1000</f>
        <v>24</v>
      </c>
      <c r="V111" s="218">
        <f>V112/V110*1000</f>
        <v>24</v>
      </c>
      <c r="W111" s="219" t="e">
        <f>W112/W110*1000</f>
        <v>#DIV/0!</v>
      </c>
      <c r="X111" s="47"/>
    </row>
    <row r="112" spans="1:24" s="43" customFormat="1" ht="19.75" customHeight="1">
      <c r="A112" s="610"/>
      <c r="B112" s="583"/>
      <c r="C112" s="583"/>
      <c r="D112" s="198" t="str">
        <f>серпень!D112</f>
        <v>касові видатки, тис.грн.</v>
      </c>
      <c r="E112" s="220"/>
      <c r="F112" s="199">
        <v>0</v>
      </c>
      <c r="G112" s="199">
        <v>2.4E-2</v>
      </c>
      <c r="H112" s="199">
        <v>2.4E-2</v>
      </c>
      <c r="I112" s="199">
        <v>2.4E-2</v>
      </c>
      <c r="J112" s="199">
        <f t="shared" ref="J112" si="179">J110*J111/1000</f>
        <v>2.4E-2</v>
      </c>
      <c r="K112" s="199">
        <f t="shared" ref="K112" si="180">K110*K111/1000</f>
        <v>2.4E-2</v>
      </c>
      <c r="L112" s="199">
        <f>SUM(F112:K112)</f>
        <v>0.12</v>
      </c>
      <c r="M112" s="199">
        <f>L112/6</f>
        <v>0.02</v>
      </c>
      <c r="N112" s="199">
        <f>N110*N111/1000</f>
        <v>2.4E-2</v>
      </c>
      <c r="O112" s="199">
        <f t="shared" ref="O112" si="181">O110*O111/1000</f>
        <v>2.4E-2</v>
      </c>
      <c r="P112" s="199">
        <f t="shared" ref="P112" si="182">P110*P111/1000</f>
        <v>2.4E-2</v>
      </c>
      <c r="Q112" s="199">
        <f t="shared" ref="Q112" si="183">Q110*Q111/1000</f>
        <v>2.4E-2</v>
      </c>
      <c r="R112" s="199">
        <f t="shared" ref="R112" si="184">R110*R111/1000</f>
        <v>2.4E-2</v>
      </c>
      <c r="S112" s="199">
        <f t="shared" ref="S112" si="185">S110*S111/1000</f>
        <v>4.8000000000000001E-2</v>
      </c>
      <c r="T112" s="199">
        <f>SUM(N112:S112)</f>
        <v>0.16800000000000001</v>
      </c>
      <c r="U112" s="199">
        <f>T112+L112</f>
        <v>0.28799999999999998</v>
      </c>
      <c r="V112" s="199">
        <f>V107</f>
        <v>0.28799999999999998</v>
      </c>
      <c r="W112" s="221">
        <f>V112-U112</f>
        <v>0</v>
      </c>
      <c r="X112" s="63">
        <f>U107-U112</f>
        <v>0</v>
      </c>
    </row>
    <row r="113" spans="1:24" s="43" customFormat="1" ht="18" customHeight="1">
      <c r="A113" s="610"/>
      <c r="B113" s="583"/>
      <c r="C113" s="583"/>
      <c r="D113" s="201" t="str">
        <f>серпень!D113</f>
        <v>дотація</v>
      </c>
      <c r="E113" s="220"/>
      <c r="F113" s="199">
        <v>0</v>
      </c>
      <c r="G113" s="199">
        <v>0</v>
      </c>
      <c r="H113" s="199">
        <v>0</v>
      </c>
      <c r="I113" s="199">
        <v>0</v>
      </c>
      <c r="J113" s="199">
        <v>0</v>
      </c>
      <c r="K113" s="199">
        <v>0</v>
      </c>
      <c r="L113" s="199">
        <f>SUM(F113:K113)</f>
        <v>0</v>
      </c>
      <c r="M113" s="199">
        <f>L113/6</f>
        <v>0</v>
      </c>
      <c r="N113" s="199">
        <v>0</v>
      </c>
      <c r="O113" s="199">
        <v>0</v>
      </c>
      <c r="P113" s="199">
        <v>0</v>
      </c>
      <c r="Q113" s="199">
        <v>0</v>
      </c>
      <c r="R113" s="199">
        <v>0</v>
      </c>
      <c r="S113" s="199">
        <v>0</v>
      </c>
      <c r="T113" s="199">
        <f>SUM(N113:S113)</f>
        <v>0</v>
      </c>
      <c r="U113" s="199">
        <f>T113+L113</f>
        <v>0</v>
      </c>
      <c r="V113" s="199">
        <f>V108</f>
        <v>0</v>
      </c>
      <c r="W113" s="221">
        <f>V113-U113</f>
        <v>0</v>
      </c>
      <c r="X113" s="63">
        <f>U108-U113</f>
        <v>0</v>
      </c>
    </row>
    <row r="114" spans="1:24" s="43" customFormat="1" ht="18" customHeight="1">
      <c r="A114" s="610"/>
      <c r="B114" s="583"/>
      <c r="C114" s="583"/>
      <c r="D114" s="201" t="str">
        <f>серпень!D114</f>
        <v xml:space="preserve">місцевий </v>
      </c>
      <c r="E114" s="220"/>
      <c r="F114" s="199">
        <f t="shared" ref="F114:K114" si="186">F112-F113</f>
        <v>0</v>
      </c>
      <c r="G114" s="199">
        <f t="shared" si="186"/>
        <v>2.4E-2</v>
      </c>
      <c r="H114" s="199">
        <f t="shared" si="186"/>
        <v>2.4E-2</v>
      </c>
      <c r="I114" s="199">
        <f t="shared" si="186"/>
        <v>2.4E-2</v>
      </c>
      <c r="J114" s="199">
        <f t="shared" si="186"/>
        <v>2.4E-2</v>
      </c>
      <c r="K114" s="199">
        <f t="shared" si="186"/>
        <v>2.4E-2</v>
      </c>
      <c r="L114" s="199">
        <f>SUM(F114:K114)</f>
        <v>0.12</v>
      </c>
      <c r="M114" s="199">
        <f>L114/6</f>
        <v>0.02</v>
      </c>
      <c r="N114" s="199">
        <f t="shared" ref="N114:S114" si="187">N112-N113</f>
        <v>2.4E-2</v>
      </c>
      <c r="O114" s="199">
        <f t="shared" si="187"/>
        <v>2.4E-2</v>
      </c>
      <c r="P114" s="199">
        <f t="shared" si="187"/>
        <v>2.4E-2</v>
      </c>
      <c r="Q114" s="199">
        <f t="shared" si="187"/>
        <v>2.4E-2</v>
      </c>
      <c r="R114" s="199">
        <f t="shared" si="187"/>
        <v>2.4E-2</v>
      </c>
      <c r="S114" s="199">
        <f t="shared" si="187"/>
        <v>4.8000000000000001E-2</v>
      </c>
      <c r="T114" s="199">
        <f>SUM(N114:S114)</f>
        <v>0.16800000000000001</v>
      </c>
      <c r="U114" s="199">
        <f>T114+L114</f>
        <v>0.28799999999999998</v>
      </c>
      <c r="V114" s="199">
        <f>V109</f>
        <v>0.28799999999999998</v>
      </c>
      <c r="W114" s="221">
        <f>V114-U114</f>
        <v>0</v>
      </c>
      <c r="X114" s="63">
        <f>U109-U114</f>
        <v>0</v>
      </c>
    </row>
    <row r="115" spans="1:24" s="43" customFormat="1" ht="18" customHeight="1">
      <c r="A115" s="610"/>
      <c r="B115" s="583"/>
      <c r="C115" s="583"/>
      <c r="D115" s="202" t="str">
        <f>серпень!D115</f>
        <v>план</v>
      </c>
      <c r="E115" s="203"/>
      <c r="F115" s="203">
        <f t="shared" ref="F115:K115" si="188">F108+F109</f>
        <v>0</v>
      </c>
      <c r="G115" s="203">
        <f t="shared" si="188"/>
        <v>2.4E-2</v>
      </c>
      <c r="H115" s="203">
        <f t="shared" si="188"/>
        <v>2.4E-2</v>
      </c>
      <c r="I115" s="203">
        <f t="shared" si="188"/>
        <v>2.4E-2</v>
      </c>
      <c r="J115" s="203">
        <f t="shared" si="188"/>
        <v>2.4E-2</v>
      </c>
      <c r="K115" s="203">
        <f t="shared" si="188"/>
        <v>2.4E-2</v>
      </c>
      <c r="L115" s="203">
        <f>SUM(F115:K115)</f>
        <v>0.12</v>
      </c>
      <c r="M115" s="203">
        <f>L115/6</f>
        <v>0.02</v>
      </c>
      <c r="N115" s="203">
        <f t="shared" ref="N115:S115" si="189">N109+N108</f>
        <v>2.4E-2</v>
      </c>
      <c r="O115" s="203">
        <f t="shared" si="189"/>
        <v>2.4E-2</v>
      </c>
      <c r="P115" s="203">
        <f t="shared" si="189"/>
        <v>2.4E-2</v>
      </c>
      <c r="Q115" s="203">
        <f t="shared" si="189"/>
        <v>2.4E-2</v>
      </c>
      <c r="R115" s="203">
        <f t="shared" si="189"/>
        <v>2.4E-2</v>
      </c>
      <c r="S115" s="203">
        <f t="shared" si="189"/>
        <v>4.8000000000000001E-2</v>
      </c>
      <c r="T115" s="203">
        <f>SUM(N115:S115)</f>
        <v>0.16800000000000001</v>
      </c>
      <c r="U115" s="203">
        <f>T115+L115</f>
        <v>0.28799999999999998</v>
      </c>
      <c r="V115" s="203">
        <f>V112</f>
        <v>0.28799999999999998</v>
      </c>
      <c r="W115" s="203">
        <f>V115-U115</f>
        <v>0</v>
      </c>
    </row>
    <row r="116" spans="1:24" s="43" customFormat="1" ht="18" customHeight="1">
      <c r="A116" s="610"/>
      <c r="B116" s="583"/>
      <c r="C116" s="583"/>
      <c r="D116" s="202" t="str">
        <f>серпень!D116</f>
        <v xml:space="preserve">відхилення </v>
      </c>
      <c r="E116" s="203"/>
      <c r="F116" s="203">
        <f t="shared" ref="F116:K116" si="190">F112-F115</f>
        <v>0</v>
      </c>
      <c r="G116" s="203">
        <f t="shared" si="190"/>
        <v>0</v>
      </c>
      <c r="H116" s="203">
        <f t="shared" si="190"/>
        <v>0</v>
      </c>
      <c r="I116" s="203">
        <f t="shared" si="190"/>
        <v>0</v>
      </c>
      <c r="J116" s="203">
        <f t="shared" si="190"/>
        <v>0</v>
      </c>
      <c r="K116" s="203">
        <f t="shared" si="190"/>
        <v>0</v>
      </c>
      <c r="L116" s="203"/>
      <c r="M116" s="203"/>
      <c r="N116" s="203">
        <f t="shared" ref="N116:S116" si="191">N112-N115</f>
        <v>0</v>
      </c>
      <c r="O116" s="203">
        <f t="shared" si="191"/>
        <v>0</v>
      </c>
      <c r="P116" s="203">
        <f t="shared" si="191"/>
        <v>0</v>
      </c>
      <c r="Q116" s="203">
        <f t="shared" si="191"/>
        <v>0</v>
      </c>
      <c r="R116" s="203">
        <f t="shared" si="191"/>
        <v>0</v>
      </c>
      <c r="S116" s="203">
        <f t="shared" si="191"/>
        <v>0</v>
      </c>
      <c r="T116" s="203"/>
      <c r="U116" s="203"/>
      <c r="V116" s="203"/>
      <c r="W116" s="203"/>
    </row>
    <row r="117" spans="1:24" s="43" customFormat="1" ht="18" customHeight="1">
      <c r="A117" s="610"/>
      <c r="B117" s="583"/>
      <c r="C117" s="584"/>
      <c r="D117" s="202" t="str">
        <f>серпень!D117</f>
        <v>відхилення з наростаючим</v>
      </c>
      <c r="E117" s="203"/>
      <c r="F117" s="203">
        <f>F116</f>
        <v>0</v>
      </c>
      <c r="G117" s="203">
        <f>G116+F117</f>
        <v>0</v>
      </c>
      <c r="H117" s="203">
        <f>H116+G117</f>
        <v>0</v>
      </c>
      <c r="I117" s="203">
        <f>I116+H117</f>
        <v>0</v>
      </c>
      <c r="J117" s="203">
        <f>J116+I117</f>
        <v>0</v>
      </c>
      <c r="K117" s="203">
        <f>K116+J117</f>
        <v>0</v>
      </c>
      <c r="L117" s="203"/>
      <c r="M117" s="203"/>
      <c r="N117" s="203">
        <f>N116+K117</f>
        <v>0</v>
      </c>
      <c r="O117" s="203">
        <f>O116+N117</f>
        <v>0</v>
      </c>
      <c r="P117" s="203">
        <f>P116+O117</f>
        <v>0</v>
      </c>
      <c r="Q117" s="203">
        <f>Q116+P117</f>
        <v>0</v>
      </c>
      <c r="R117" s="203">
        <f>R116+Q117</f>
        <v>0</v>
      </c>
      <c r="S117" s="203">
        <f>S116+R117</f>
        <v>0</v>
      </c>
      <c r="T117" s="203"/>
      <c r="U117" s="203"/>
      <c r="V117" s="203"/>
      <c r="W117" s="203"/>
    </row>
    <row r="118" spans="1:24" s="47" customFormat="1" ht="18" hidden="1" customHeight="1">
      <c r="A118" s="610"/>
      <c r="B118" s="581" t="s">
        <v>57</v>
      </c>
      <c r="C118" s="582" t="s">
        <v>98</v>
      </c>
      <c r="D118" s="178" t="str">
        <f>серпень!D118</f>
        <v>факт. нат.п-ки 2023</v>
      </c>
      <c r="E118" s="11"/>
      <c r="F118" s="12"/>
      <c r="G118" s="12"/>
      <c r="H118" s="12"/>
      <c r="I118" s="12"/>
      <c r="J118" s="12"/>
      <c r="K118" s="12"/>
      <c r="L118" s="65">
        <f>SUM(F118:K118)</f>
        <v>0</v>
      </c>
      <c r="M118" s="65">
        <f>L118/6</f>
        <v>0</v>
      </c>
      <c r="N118" s="12"/>
      <c r="O118" s="12"/>
      <c r="P118" s="12"/>
      <c r="Q118" s="12"/>
      <c r="R118" s="12"/>
      <c r="S118" s="12"/>
      <c r="T118" s="65">
        <f>SUM(N118:S118)</f>
        <v>0</v>
      </c>
      <c r="U118" s="65">
        <f>T118+L118</f>
        <v>0</v>
      </c>
      <c r="V118" s="67"/>
      <c r="W118" s="38"/>
    </row>
    <row r="119" spans="1:24" s="47" customFormat="1" ht="18" hidden="1" customHeight="1">
      <c r="A119" s="610"/>
      <c r="B119" s="581"/>
      <c r="C119" s="583"/>
      <c r="D119" s="178" t="str">
        <f>серпень!D119</f>
        <v>факт. нат.п-ки 2024</v>
      </c>
      <c r="E119" s="11"/>
      <c r="F119" s="12"/>
      <c r="G119" s="12"/>
      <c r="H119" s="12"/>
      <c r="I119" s="12"/>
      <c r="J119" s="12"/>
      <c r="K119" s="12"/>
      <c r="L119" s="65">
        <f>SUM(F119:K119)</f>
        <v>0</v>
      </c>
      <c r="M119" s="65">
        <f>L119/6</f>
        <v>0</v>
      </c>
      <c r="N119" s="11"/>
      <c r="O119" s="11"/>
      <c r="P119" s="11"/>
      <c r="Q119" s="11"/>
      <c r="R119" s="11"/>
      <c r="S119" s="11"/>
      <c r="T119" s="65">
        <f>SUM(N119:S119)</f>
        <v>0</v>
      </c>
      <c r="U119" s="65">
        <f>T119+L119</f>
        <v>0</v>
      </c>
      <c r="V119" s="67"/>
      <c r="W119" s="38"/>
    </row>
    <row r="120" spans="1:24" s="47" customFormat="1" ht="18" hidden="1" customHeight="1">
      <c r="A120" s="610"/>
      <c r="B120" s="581"/>
      <c r="C120" s="583"/>
      <c r="D120" s="178" t="str">
        <f>серпень!D120</f>
        <v>факт. нат.п-ки 2025</v>
      </c>
      <c r="E120" s="11"/>
      <c r="F120" s="12"/>
      <c r="G120" s="12"/>
      <c r="H120" s="12"/>
      <c r="I120" s="12"/>
      <c r="J120" s="12"/>
      <c r="K120" s="12"/>
      <c r="L120" s="65">
        <f>SUM(F120:K120)</f>
        <v>0</v>
      </c>
      <c r="M120" s="65">
        <f>L120/6</f>
        <v>0</v>
      </c>
      <c r="N120" s="12"/>
      <c r="O120" s="12"/>
      <c r="P120" s="12"/>
      <c r="Q120" s="12"/>
      <c r="R120" s="12"/>
      <c r="S120" s="11"/>
      <c r="T120" s="65">
        <f>SUM(N120:S120)</f>
        <v>0</v>
      </c>
      <c r="U120" s="65">
        <f>T120+L120</f>
        <v>0</v>
      </c>
      <c r="V120" s="11"/>
      <c r="W120" s="38">
        <f>V120-U120</f>
        <v>0</v>
      </c>
    </row>
    <row r="121" spans="1:24" s="47" customFormat="1" ht="18" hidden="1" customHeight="1">
      <c r="A121" s="610"/>
      <c r="B121" s="581"/>
      <c r="C121" s="583"/>
      <c r="D121" s="187" t="str">
        <f>серпень!D121</f>
        <v>тариф, грн.</v>
      </c>
      <c r="E121" s="49"/>
      <c r="F121" s="49"/>
      <c r="G121" s="49"/>
      <c r="H121" s="49"/>
      <c r="I121" s="49"/>
      <c r="J121" s="49"/>
      <c r="K121" s="49"/>
      <c r="L121" s="121" t="e">
        <f>L122/L120*1000</f>
        <v>#DIV/0!</v>
      </c>
      <c r="M121" s="121" t="e">
        <f>M122/M120*1000</f>
        <v>#DIV/0!</v>
      </c>
      <c r="N121" s="49"/>
      <c r="O121" s="49"/>
      <c r="P121" s="49"/>
      <c r="Q121" s="49"/>
      <c r="R121" s="49"/>
      <c r="S121" s="49"/>
      <c r="T121" s="121" t="e">
        <f>T122/T120*1000</f>
        <v>#DIV/0!</v>
      </c>
      <c r="U121" s="121" t="e">
        <f>U122/U120*1000</f>
        <v>#DIV/0!</v>
      </c>
      <c r="V121" s="68" t="e">
        <f>V122/V120*1000</f>
        <v>#DIV/0!</v>
      </c>
      <c r="W121" s="14" t="e">
        <f>W122/W120*1000</f>
        <v>#DIV/0!</v>
      </c>
    </row>
    <row r="122" spans="1:24" s="47" customFormat="1" ht="18" hidden="1" customHeight="1">
      <c r="A122" s="610"/>
      <c r="B122" s="581"/>
      <c r="C122" s="583"/>
      <c r="D122" s="191" t="str">
        <f>серпень!D122</f>
        <v>сума, тис.грн.</v>
      </c>
      <c r="E122" s="52"/>
      <c r="F122" s="52">
        <f t="shared" ref="F122:K122" si="192">F120*F121/1000</f>
        <v>0</v>
      </c>
      <c r="G122" s="52">
        <f t="shared" si="192"/>
        <v>0</v>
      </c>
      <c r="H122" s="52">
        <f t="shared" si="192"/>
        <v>0</v>
      </c>
      <c r="I122" s="52">
        <f t="shared" si="192"/>
        <v>0</v>
      </c>
      <c r="J122" s="52">
        <f t="shared" si="192"/>
        <v>0</v>
      </c>
      <c r="K122" s="52">
        <f t="shared" si="192"/>
        <v>0</v>
      </c>
      <c r="L122" s="69">
        <f>SUM(F122:K122)</f>
        <v>0</v>
      </c>
      <c r="M122" s="69">
        <f>L122/6</f>
        <v>0</v>
      </c>
      <c r="N122" s="52">
        <f t="shared" ref="N122:S122" si="193">N120*N121/1000</f>
        <v>0</v>
      </c>
      <c r="O122" s="52">
        <f t="shared" si="193"/>
        <v>0</v>
      </c>
      <c r="P122" s="52">
        <f t="shared" si="193"/>
        <v>0</v>
      </c>
      <c r="Q122" s="52">
        <f t="shared" si="193"/>
        <v>0</v>
      </c>
      <c r="R122" s="52">
        <f t="shared" si="193"/>
        <v>0</v>
      </c>
      <c r="S122" s="52">
        <f t="shared" si="193"/>
        <v>0</v>
      </c>
      <c r="T122" s="69">
        <f>SUM(N122:S122)</f>
        <v>0</v>
      </c>
      <c r="U122" s="69">
        <f>T122+L122</f>
        <v>0</v>
      </c>
      <c r="V122" s="70">
        <f>V123+V124</f>
        <v>0</v>
      </c>
      <c r="W122" s="53">
        <f>V122-U122</f>
        <v>0</v>
      </c>
    </row>
    <row r="123" spans="1:24" s="47" customFormat="1" ht="18" hidden="1" customHeight="1">
      <c r="A123" s="610"/>
      <c r="B123" s="581"/>
      <c r="C123" s="583"/>
      <c r="D123" s="174" t="str">
        <f>серпень!D123</f>
        <v>дотація</v>
      </c>
      <c r="E123" s="56"/>
      <c r="F123" s="52"/>
      <c r="G123" s="52"/>
      <c r="H123" s="52"/>
      <c r="I123" s="52"/>
      <c r="J123" s="52"/>
      <c r="K123" s="52"/>
      <c r="L123" s="69">
        <f>SUM(F123:K123)</f>
        <v>0</v>
      </c>
      <c r="M123" s="69">
        <f>L123/6</f>
        <v>0</v>
      </c>
      <c r="N123" s="52"/>
      <c r="O123" s="52"/>
      <c r="P123" s="52"/>
      <c r="Q123" s="52"/>
      <c r="R123" s="52"/>
      <c r="S123" s="52"/>
      <c r="T123" s="69">
        <f>SUM(N123:S123)</f>
        <v>0</v>
      </c>
      <c r="U123" s="69">
        <f>T123+L123</f>
        <v>0</v>
      </c>
      <c r="V123" s="70"/>
      <c r="W123" s="53">
        <f>V123-U123</f>
        <v>0</v>
      </c>
    </row>
    <row r="124" spans="1:24" s="47" customFormat="1" ht="18" hidden="1" customHeight="1">
      <c r="A124" s="610"/>
      <c r="B124" s="581"/>
      <c r="C124" s="583"/>
      <c r="D124" s="174" t="str">
        <f>серпень!D124</f>
        <v>місцевий (план), тис.грн</v>
      </c>
      <c r="E124" s="56"/>
      <c r="F124" s="52"/>
      <c r="G124" s="52"/>
      <c r="H124" s="52"/>
      <c r="I124" s="52"/>
      <c r="J124" s="52"/>
      <c r="K124" s="52"/>
      <c r="L124" s="69">
        <f>SUM(F124:K124)</f>
        <v>0</v>
      </c>
      <c r="M124" s="69">
        <f>L124/6</f>
        <v>0</v>
      </c>
      <c r="N124" s="52"/>
      <c r="O124" s="52"/>
      <c r="P124" s="52"/>
      <c r="Q124" s="52"/>
      <c r="R124" s="52"/>
      <c r="S124" s="52"/>
      <c r="T124" s="69">
        <f>SUM(N124:S124)</f>
        <v>0</v>
      </c>
      <c r="U124" s="69">
        <f>T124+L124</f>
        <v>0</v>
      </c>
      <c r="V124" s="70"/>
      <c r="W124" s="53">
        <f>V124-U124</f>
        <v>0</v>
      </c>
    </row>
    <row r="125" spans="1:24" s="47" customFormat="1" ht="18" hidden="1" customHeight="1">
      <c r="A125" s="610"/>
      <c r="B125" s="581"/>
      <c r="C125" s="583"/>
      <c r="D125" s="178" t="str">
        <f>серпень!D125</f>
        <v>касові нат.п-ки 2025</v>
      </c>
      <c r="E125" s="11"/>
      <c r="F125" s="11"/>
      <c r="G125" s="11"/>
      <c r="H125" s="11"/>
      <c r="I125" s="11"/>
      <c r="J125" s="11"/>
      <c r="K125" s="11"/>
      <c r="L125" s="65">
        <f>SUM(F125:K125)</f>
        <v>0</v>
      </c>
      <c r="M125" s="65">
        <f>L125/6</f>
        <v>0</v>
      </c>
      <c r="N125" s="11"/>
      <c r="O125" s="11"/>
      <c r="P125" s="11"/>
      <c r="Q125" s="11"/>
      <c r="R125" s="11"/>
      <c r="S125" s="11"/>
      <c r="T125" s="65">
        <f>SUM(N125:S125)</f>
        <v>0</v>
      </c>
      <c r="U125" s="65">
        <f>T125+L125</f>
        <v>0</v>
      </c>
      <c r="V125" s="11">
        <f>V120</f>
        <v>0</v>
      </c>
      <c r="W125" s="38">
        <f>V125-U125</f>
        <v>0</v>
      </c>
      <c r="X125" s="47">
        <v>0</v>
      </c>
    </row>
    <row r="126" spans="1:24" s="47" customFormat="1" ht="18" hidden="1" customHeight="1">
      <c r="A126" s="610"/>
      <c r="B126" s="581"/>
      <c r="C126" s="583"/>
      <c r="D126" s="187" t="str">
        <f>серпень!D126</f>
        <v>тариф, грн.</v>
      </c>
      <c r="E126" s="49" t="e">
        <f>E127/E125*1000</f>
        <v>#DIV/0!</v>
      </c>
      <c r="F126" s="49"/>
      <c r="G126" s="49"/>
      <c r="H126" s="49"/>
      <c r="I126" s="49"/>
      <c r="J126" s="49"/>
      <c r="K126" s="49"/>
      <c r="L126" s="121" t="e">
        <f>L127/L125*1000</f>
        <v>#DIV/0!</v>
      </c>
      <c r="M126" s="121" t="e">
        <f>M127/M125*1000</f>
        <v>#DIV/0!</v>
      </c>
      <c r="N126" s="49"/>
      <c r="O126" s="49"/>
      <c r="P126" s="49"/>
      <c r="Q126" s="49"/>
      <c r="R126" s="49"/>
      <c r="S126" s="49"/>
      <c r="T126" s="121" t="e">
        <f>T127/T125*1000</f>
        <v>#DIV/0!</v>
      </c>
      <c r="U126" s="121" t="e">
        <f>U127/U125*1000</f>
        <v>#DIV/0!</v>
      </c>
      <c r="V126" s="68" t="e">
        <f>V127/V125*1000</f>
        <v>#DIV/0!</v>
      </c>
      <c r="W126" s="14" t="e">
        <f>W127/W125*1000</f>
        <v>#DIV/0!</v>
      </c>
    </row>
    <row r="127" spans="1:24" s="63" customFormat="1" ht="18" hidden="1" customHeight="1">
      <c r="A127" s="610"/>
      <c r="B127" s="581"/>
      <c r="C127" s="583"/>
      <c r="D127" s="198" t="str">
        <f>серпень!D127</f>
        <v>касові видатки, тис.грн.</v>
      </c>
      <c r="E127" s="71"/>
      <c r="F127" s="61">
        <f t="shared" ref="F127:I127" si="194">F125*F126/1000</f>
        <v>0</v>
      </c>
      <c r="G127" s="61">
        <f t="shared" si="194"/>
        <v>0</v>
      </c>
      <c r="H127" s="61">
        <f t="shared" si="194"/>
        <v>0</v>
      </c>
      <c r="I127" s="61">
        <f t="shared" si="194"/>
        <v>0</v>
      </c>
      <c r="J127" s="61">
        <f>SUM(J125)*J126/1000</f>
        <v>0</v>
      </c>
      <c r="K127" s="61">
        <f>SUM(K125)*K126/1000</f>
        <v>0</v>
      </c>
      <c r="L127" s="61">
        <f>SUM(F127:K127)</f>
        <v>0</v>
      </c>
      <c r="M127" s="61">
        <f>L127/6</f>
        <v>0</v>
      </c>
      <c r="N127" s="61">
        <f t="shared" ref="N127:S127" si="195">N125*N126/1000</f>
        <v>0</v>
      </c>
      <c r="O127" s="61">
        <f t="shared" si="195"/>
        <v>0</v>
      </c>
      <c r="P127" s="61">
        <f t="shared" si="195"/>
        <v>0</v>
      </c>
      <c r="Q127" s="61">
        <f t="shared" si="195"/>
        <v>0</v>
      </c>
      <c r="R127" s="61">
        <f t="shared" si="195"/>
        <v>0</v>
      </c>
      <c r="S127" s="61">
        <f t="shared" si="195"/>
        <v>0</v>
      </c>
      <c r="T127" s="61">
        <f>SUM(N127:S127)</f>
        <v>0</v>
      </c>
      <c r="U127" s="61">
        <f>T127+L127</f>
        <v>0</v>
      </c>
      <c r="V127" s="61">
        <f>V122</f>
        <v>0</v>
      </c>
      <c r="W127" s="72">
        <f>V127-U127</f>
        <v>0</v>
      </c>
      <c r="X127" s="63">
        <f>U122-U127</f>
        <v>0</v>
      </c>
    </row>
    <row r="128" spans="1:24" s="63" customFormat="1" ht="18" hidden="1" customHeight="1">
      <c r="A128" s="610"/>
      <c r="B128" s="581"/>
      <c r="C128" s="583"/>
      <c r="D128" s="201" t="str">
        <f>серпень!D128</f>
        <v>дотація</v>
      </c>
      <c r="E128" s="71"/>
      <c r="F128" s="199">
        <v>0</v>
      </c>
      <c r="G128" s="199">
        <v>0</v>
      </c>
      <c r="H128" s="199">
        <v>0</v>
      </c>
      <c r="I128" s="199">
        <v>0</v>
      </c>
      <c r="J128" s="199">
        <v>0</v>
      </c>
      <c r="K128" s="199">
        <v>0</v>
      </c>
      <c r="L128" s="61">
        <f>SUM(F128:K128)</f>
        <v>0</v>
      </c>
      <c r="M128" s="61">
        <f>L128/6</f>
        <v>0</v>
      </c>
      <c r="N128" s="199">
        <v>0</v>
      </c>
      <c r="O128" s="199">
        <v>0</v>
      </c>
      <c r="P128" s="199">
        <v>0</v>
      </c>
      <c r="Q128" s="199">
        <v>0</v>
      </c>
      <c r="R128" s="199">
        <v>0</v>
      </c>
      <c r="S128" s="199">
        <v>0</v>
      </c>
      <c r="T128" s="61">
        <f>SUM(N128:S128)</f>
        <v>0</v>
      </c>
      <c r="U128" s="61">
        <f>T128+L128</f>
        <v>0</v>
      </c>
      <c r="V128" s="61">
        <f>V123</f>
        <v>0</v>
      </c>
      <c r="W128" s="72">
        <f>V128-U128</f>
        <v>0</v>
      </c>
      <c r="X128" s="63">
        <f>U123-U128</f>
        <v>0</v>
      </c>
    </row>
    <row r="129" spans="1:24" s="63" customFormat="1" ht="18" hidden="1" customHeight="1">
      <c r="A129" s="610"/>
      <c r="B129" s="581"/>
      <c r="C129" s="583"/>
      <c r="D129" s="201" t="str">
        <f>серпень!D129</f>
        <v xml:space="preserve">місцевий </v>
      </c>
      <c r="E129" s="71"/>
      <c r="F129" s="199">
        <f t="shared" ref="F129:K129" si="196">F127-F128</f>
        <v>0</v>
      </c>
      <c r="G129" s="199">
        <f t="shared" si="196"/>
        <v>0</v>
      </c>
      <c r="H129" s="199">
        <f t="shared" si="196"/>
        <v>0</v>
      </c>
      <c r="I129" s="199">
        <f t="shared" si="196"/>
        <v>0</v>
      </c>
      <c r="J129" s="199">
        <f t="shared" si="196"/>
        <v>0</v>
      </c>
      <c r="K129" s="199">
        <f t="shared" si="196"/>
        <v>0</v>
      </c>
      <c r="L129" s="61">
        <f>SUM(F129:K129)</f>
        <v>0</v>
      </c>
      <c r="M129" s="61">
        <f>L129/6</f>
        <v>0</v>
      </c>
      <c r="N129" s="199">
        <f t="shared" ref="N129:S129" si="197">N127-N128</f>
        <v>0</v>
      </c>
      <c r="O129" s="199">
        <f t="shared" si="197"/>
        <v>0</v>
      </c>
      <c r="P129" s="199">
        <f t="shared" si="197"/>
        <v>0</v>
      </c>
      <c r="Q129" s="199">
        <f t="shared" si="197"/>
        <v>0</v>
      </c>
      <c r="R129" s="199">
        <f t="shared" si="197"/>
        <v>0</v>
      </c>
      <c r="S129" s="199">
        <f t="shared" si="197"/>
        <v>0</v>
      </c>
      <c r="T129" s="61">
        <f>SUM(N129:S129)</f>
        <v>0</v>
      </c>
      <c r="U129" s="61">
        <f>T129+L129</f>
        <v>0</v>
      </c>
      <c r="V129" s="61">
        <f>V124</f>
        <v>0</v>
      </c>
      <c r="W129" s="72">
        <f>V129-U129</f>
        <v>0</v>
      </c>
      <c r="X129" s="63">
        <f>U124-U129</f>
        <v>0</v>
      </c>
    </row>
    <row r="130" spans="1:24" s="43" customFormat="1" ht="18" hidden="1" customHeight="1">
      <c r="A130" s="610"/>
      <c r="B130" s="581"/>
      <c r="C130" s="583"/>
      <c r="D130" s="202" t="str">
        <f>серпень!D130</f>
        <v>план</v>
      </c>
      <c r="E130" s="42"/>
      <c r="F130" s="42">
        <f t="shared" ref="F130:K130" si="198">F124</f>
        <v>0</v>
      </c>
      <c r="G130" s="42">
        <f t="shared" si="198"/>
        <v>0</v>
      </c>
      <c r="H130" s="42">
        <f t="shared" si="198"/>
        <v>0</v>
      </c>
      <c r="I130" s="42">
        <f t="shared" si="198"/>
        <v>0</v>
      </c>
      <c r="J130" s="42">
        <f t="shared" si="198"/>
        <v>0</v>
      </c>
      <c r="K130" s="42">
        <f t="shared" si="198"/>
        <v>0</v>
      </c>
      <c r="L130" s="42">
        <f>SUM(F130:K130)</f>
        <v>0</v>
      </c>
      <c r="M130" s="42">
        <f>L130/6</f>
        <v>0</v>
      </c>
      <c r="N130" s="42">
        <f t="shared" ref="N130:S130" si="199">N124+N123</f>
        <v>0</v>
      </c>
      <c r="O130" s="42">
        <f t="shared" si="199"/>
        <v>0</v>
      </c>
      <c r="P130" s="42">
        <f t="shared" si="199"/>
        <v>0</v>
      </c>
      <c r="Q130" s="42">
        <f t="shared" si="199"/>
        <v>0</v>
      </c>
      <c r="R130" s="42">
        <f t="shared" si="199"/>
        <v>0</v>
      </c>
      <c r="S130" s="42">
        <f t="shared" si="199"/>
        <v>0</v>
      </c>
      <c r="T130" s="42">
        <f>SUM(N130:S130)</f>
        <v>0</v>
      </c>
      <c r="U130" s="42">
        <f>T130+L130</f>
        <v>0</v>
      </c>
      <c r="V130" s="42">
        <f>V127</f>
        <v>0</v>
      </c>
      <c r="W130" s="42">
        <f>V130-U130</f>
        <v>0</v>
      </c>
    </row>
    <row r="131" spans="1:24" s="43" customFormat="1" ht="18" hidden="1" customHeight="1">
      <c r="A131" s="610"/>
      <c r="B131" s="581"/>
      <c r="C131" s="583"/>
      <c r="D131" s="202" t="str">
        <f>серпень!D131</f>
        <v xml:space="preserve">відхилення </v>
      </c>
      <c r="E131" s="42"/>
      <c r="F131" s="42">
        <f t="shared" ref="F131:K131" si="200">F127-F130</f>
        <v>0</v>
      </c>
      <c r="G131" s="42">
        <f t="shared" si="200"/>
        <v>0</v>
      </c>
      <c r="H131" s="42">
        <f t="shared" si="200"/>
        <v>0</v>
      </c>
      <c r="I131" s="42">
        <f t="shared" si="200"/>
        <v>0</v>
      </c>
      <c r="J131" s="42">
        <f t="shared" si="200"/>
        <v>0</v>
      </c>
      <c r="K131" s="42">
        <f t="shared" si="200"/>
        <v>0</v>
      </c>
      <c r="L131" s="42"/>
      <c r="M131" s="42"/>
      <c r="N131" s="42">
        <f t="shared" ref="N131:S131" si="201">N127-N130</f>
        <v>0</v>
      </c>
      <c r="O131" s="42">
        <f t="shared" si="201"/>
        <v>0</v>
      </c>
      <c r="P131" s="42">
        <f t="shared" si="201"/>
        <v>0</v>
      </c>
      <c r="Q131" s="42">
        <f t="shared" si="201"/>
        <v>0</v>
      </c>
      <c r="R131" s="42">
        <f t="shared" si="201"/>
        <v>0</v>
      </c>
      <c r="S131" s="42">
        <f t="shared" si="201"/>
        <v>0</v>
      </c>
      <c r="T131" s="42"/>
      <c r="U131" s="42"/>
      <c r="V131" s="42"/>
      <c r="W131" s="42"/>
    </row>
    <row r="132" spans="1:24" s="43" customFormat="1" ht="18" hidden="1" customHeight="1">
      <c r="A132" s="610"/>
      <c r="B132" s="581"/>
      <c r="C132" s="584"/>
      <c r="D132" s="202" t="str">
        <f>серпень!D132</f>
        <v>відхилення з наростаючим</v>
      </c>
      <c r="E132" s="42"/>
      <c r="F132" s="42">
        <f>F131</f>
        <v>0</v>
      </c>
      <c r="G132" s="42">
        <f>G131+F132</f>
        <v>0</v>
      </c>
      <c r="H132" s="42">
        <f>H131+G132</f>
        <v>0</v>
      </c>
      <c r="I132" s="42">
        <f>I131+H132</f>
        <v>0</v>
      </c>
      <c r="J132" s="42">
        <f>J131+I132</f>
        <v>0</v>
      </c>
      <c r="K132" s="42">
        <f>K131+J132</f>
        <v>0</v>
      </c>
      <c r="L132" s="42"/>
      <c r="M132" s="42"/>
      <c r="N132" s="42">
        <f>N131+K132</f>
        <v>0</v>
      </c>
      <c r="O132" s="42">
        <f>O131+N132</f>
        <v>0</v>
      </c>
      <c r="P132" s="42">
        <f>P131+O132</f>
        <v>0</v>
      </c>
      <c r="Q132" s="42">
        <f>Q131+P132</f>
        <v>0</v>
      </c>
      <c r="R132" s="42">
        <f>R131+Q132</f>
        <v>0</v>
      </c>
      <c r="S132" s="42">
        <f>S131+R132</f>
        <v>0</v>
      </c>
      <c r="T132" s="42"/>
      <c r="U132" s="42"/>
      <c r="V132" s="42"/>
      <c r="W132" s="42"/>
    </row>
    <row r="133" spans="1:24" s="47" customFormat="1" ht="18" customHeight="1">
      <c r="A133" s="610"/>
      <c r="B133" s="581"/>
      <c r="C133" s="582" t="s">
        <v>99</v>
      </c>
      <c r="D133" s="178" t="str">
        <f>серпень!D133</f>
        <v>факт. нат.п-ки 2023</v>
      </c>
      <c r="E133" s="11"/>
      <c r="F133" s="12">
        <v>38.1</v>
      </c>
      <c r="G133" s="12">
        <v>26.6</v>
      </c>
      <c r="H133" s="12">
        <v>16.2</v>
      </c>
      <c r="I133" s="12">
        <v>0</v>
      </c>
      <c r="J133" s="12">
        <v>0</v>
      </c>
      <c r="K133" s="12">
        <v>0</v>
      </c>
      <c r="L133" s="65">
        <f>SUM(F133:K133)</f>
        <v>80.900000000000006</v>
      </c>
      <c r="M133" s="65">
        <f>L133/6</f>
        <v>13.5</v>
      </c>
      <c r="N133" s="12">
        <v>0</v>
      </c>
      <c r="O133" s="12">
        <v>0</v>
      </c>
      <c r="P133" s="12">
        <v>0</v>
      </c>
      <c r="Q133" s="12">
        <v>0</v>
      </c>
      <c r="R133" s="12">
        <v>3</v>
      </c>
      <c r="S133" s="12">
        <v>16.2</v>
      </c>
      <c r="T133" s="65">
        <f>SUM(N133:S133)</f>
        <v>19.2</v>
      </c>
      <c r="U133" s="65">
        <f>T133+L133</f>
        <v>100.1</v>
      </c>
      <c r="V133" s="46"/>
      <c r="W133" s="38"/>
    </row>
    <row r="134" spans="1:24" s="47" customFormat="1" ht="18" customHeight="1">
      <c r="A134" s="610"/>
      <c r="B134" s="581"/>
      <c r="C134" s="583"/>
      <c r="D134" s="178" t="str">
        <f>серпень!D134</f>
        <v>факт. нат.п-ки 2024</v>
      </c>
      <c r="E134" s="11"/>
      <c r="F134" s="12">
        <v>24.2</v>
      </c>
      <c r="G134" s="12">
        <v>22.1</v>
      </c>
      <c r="H134" s="12">
        <v>21.2</v>
      </c>
      <c r="I134" s="12">
        <v>0</v>
      </c>
      <c r="J134" s="12">
        <v>0</v>
      </c>
      <c r="K134" s="12">
        <v>0</v>
      </c>
      <c r="L134" s="65">
        <f>SUM(F134:K134)</f>
        <v>67.5</v>
      </c>
      <c r="M134" s="65">
        <f>L134/6</f>
        <v>11.3</v>
      </c>
      <c r="N134" s="112">
        <v>0</v>
      </c>
      <c r="O134" s="112">
        <v>0</v>
      </c>
      <c r="P134" s="112">
        <v>0</v>
      </c>
      <c r="Q134" s="112">
        <v>0</v>
      </c>
      <c r="R134" s="112">
        <v>3</v>
      </c>
      <c r="S134" s="112">
        <v>16.2</v>
      </c>
      <c r="T134" s="65">
        <f>SUM(N134:S134)</f>
        <v>19.2</v>
      </c>
      <c r="U134" s="65">
        <f>T134+L134</f>
        <v>86.7</v>
      </c>
      <c r="V134" s="46">
        <v>100.1</v>
      </c>
      <c r="W134" s="38"/>
    </row>
    <row r="135" spans="1:24" s="47" customFormat="1" ht="18" customHeight="1">
      <c r="A135" s="610"/>
      <c r="B135" s="581"/>
      <c r="C135" s="583"/>
      <c r="D135" s="178" t="str">
        <f>серпень!D135</f>
        <v>факт. нат.п-ки 2025</v>
      </c>
      <c r="E135" s="11"/>
      <c r="F135" s="12">
        <v>30.4</v>
      </c>
      <c r="G135" s="12">
        <v>21.8</v>
      </c>
      <c r="H135" s="12">
        <v>14.3</v>
      </c>
      <c r="I135" s="12">
        <v>0</v>
      </c>
      <c r="J135" s="12">
        <v>0</v>
      </c>
      <c r="K135" s="12">
        <v>0</v>
      </c>
      <c r="L135" s="65">
        <f>SUM(F135:K135)</f>
        <v>66.5</v>
      </c>
      <c r="M135" s="65">
        <f>L135/6</f>
        <v>11.1</v>
      </c>
      <c r="N135" s="112">
        <v>0</v>
      </c>
      <c r="O135" s="112">
        <v>0</v>
      </c>
      <c r="P135" s="112">
        <v>0</v>
      </c>
      <c r="Q135" s="112">
        <v>0</v>
      </c>
      <c r="R135" s="112">
        <v>9.5</v>
      </c>
      <c r="S135" s="112">
        <v>16.2</v>
      </c>
      <c r="T135" s="65">
        <f>SUM(N135:S135)</f>
        <v>25.7</v>
      </c>
      <c r="U135" s="65">
        <f>T135+L135</f>
        <v>92.2</v>
      </c>
      <c r="V135" s="11">
        <v>93.2</v>
      </c>
      <c r="W135" s="38">
        <f>V135-U135</f>
        <v>1</v>
      </c>
    </row>
    <row r="136" spans="1:24" s="47" customFormat="1" ht="18" customHeight="1">
      <c r="A136" s="610"/>
      <c r="B136" s="581"/>
      <c r="C136" s="583"/>
      <c r="D136" s="187" t="str">
        <f>серпень!D136</f>
        <v>тариф, грн.</v>
      </c>
      <c r="E136" s="49" t="e">
        <f t="shared" ref="E136:K136" si="202">E137/E135*1000</f>
        <v>#DIV/0!</v>
      </c>
      <c r="F136" s="49">
        <f t="shared" si="202"/>
        <v>1655.625</v>
      </c>
      <c r="G136" s="49">
        <f t="shared" si="202"/>
        <v>1653.9449999999999</v>
      </c>
      <c r="H136" s="49">
        <f t="shared" si="202"/>
        <v>1656.5730000000001</v>
      </c>
      <c r="I136" s="49" t="e">
        <f t="shared" si="202"/>
        <v>#DIV/0!</v>
      </c>
      <c r="J136" s="49" t="e">
        <f t="shared" si="202"/>
        <v>#DIV/0!</v>
      </c>
      <c r="K136" s="49" t="e">
        <f t="shared" si="202"/>
        <v>#DIV/0!</v>
      </c>
      <c r="L136" s="68">
        <f>L137/L135*1000</f>
        <v>1655.278</v>
      </c>
      <c r="M136" s="68">
        <f>M137/M135*1000</f>
        <v>1652.7929999999999</v>
      </c>
      <c r="N136" s="68">
        <v>1655.08</v>
      </c>
      <c r="O136" s="68">
        <v>1655.08</v>
      </c>
      <c r="P136" s="68">
        <v>1655.08</v>
      </c>
      <c r="Q136" s="68">
        <v>1655.08</v>
      </c>
      <c r="R136" s="68">
        <v>1655.08</v>
      </c>
      <c r="S136" s="68">
        <v>1655.08</v>
      </c>
      <c r="T136" s="121">
        <f>T137/T135*1000</f>
        <v>1655.06</v>
      </c>
      <c r="U136" s="121">
        <f>U137/U135*1000</f>
        <v>1655.22</v>
      </c>
      <c r="V136" s="68">
        <f>V137/V135*1000</f>
        <v>1655.075</v>
      </c>
      <c r="W136" s="14">
        <f>W137/W135*1000</f>
        <v>1642</v>
      </c>
    </row>
    <row r="137" spans="1:24" s="47" customFormat="1" ht="18" customHeight="1">
      <c r="A137" s="610"/>
      <c r="B137" s="581"/>
      <c r="C137" s="583"/>
      <c r="D137" s="191" t="str">
        <f>серпень!D137</f>
        <v>сума, тис.грн.</v>
      </c>
      <c r="E137" s="52"/>
      <c r="F137" s="52">
        <v>50.331000000000003</v>
      </c>
      <c r="G137" s="52">
        <v>36.055999999999997</v>
      </c>
      <c r="H137" s="52">
        <f>23.687+0.002</f>
        <v>23.689</v>
      </c>
      <c r="I137" s="52">
        <v>0</v>
      </c>
      <c r="J137" s="52">
        <v>0</v>
      </c>
      <c r="K137" s="52">
        <v>0</v>
      </c>
      <c r="L137" s="69">
        <f>SUM(F137:K137)</f>
        <v>110.07599999999999</v>
      </c>
      <c r="M137" s="69">
        <f>L137/6</f>
        <v>18.346</v>
      </c>
      <c r="N137" s="52">
        <v>0</v>
      </c>
      <c r="O137" s="52">
        <v>0</v>
      </c>
      <c r="P137" s="52">
        <v>0</v>
      </c>
      <c r="Q137" s="52">
        <f t="shared" ref="Q137:R137" si="203">Q135*Q136/1000</f>
        <v>0</v>
      </c>
      <c r="R137" s="52">
        <f t="shared" si="203"/>
        <v>15.723000000000001</v>
      </c>
      <c r="S137" s="52">
        <f>S135*S136/1000</f>
        <v>26.812000000000001</v>
      </c>
      <c r="T137" s="69">
        <f>SUM(N137:S137)</f>
        <v>42.534999999999997</v>
      </c>
      <c r="U137" s="69">
        <f>T137+L137</f>
        <v>152.61099999999999</v>
      </c>
      <c r="V137" s="70">
        <f>V138+V139</f>
        <v>154.25299999999999</v>
      </c>
      <c r="W137" s="53">
        <f>V137-U137</f>
        <v>1.6419999999999999</v>
      </c>
    </row>
    <row r="138" spans="1:24" s="47" customFormat="1" ht="18" customHeight="1">
      <c r="A138" s="610"/>
      <c r="B138" s="581"/>
      <c r="C138" s="583"/>
      <c r="D138" s="174" t="str">
        <f>серпень!D138</f>
        <v>дотація</v>
      </c>
      <c r="E138" s="56"/>
      <c r="F138" s="52"/>
      <c r="G138" s="52"/>
      <c r="H138" s="52"/>
      <c r="I138" s="52"/>
      <c r="J138" s="52"/>
      <c r="K138" s="52"/>
      <c r="L138" s="69">
        <f>SUM(F138:K138)</f>
        <v>0</v>
      </c>
      <c r="M138" s="69">
        <f>L138/6</f>
        <v>0</v>
      </c>
      <c r="N138" s="52"/>
      <c r="O138" s="52"/>
      <c r="P138" s="52"/>
      <c r="Q138" s="52"/>
      <c r="R138" s="52"/>
      <c r="S138" s="52"/>
      <c r="T138" s="69">
        <f>SUM(N138:S138)</f>
        <v>0</v>
      </c>
      <c r="U138" s="69">
        <f>T138+L138</f>
        <v>0</v>
      </c>
      <c r="V138" s="70"/>
      <c r="W138" s="53">
        <f>V138-U138</f>
        <v>0</v>
      </c>
    </row>
    <row r="139" spans="1:24" s="47" customFormat="1" ht="18" customHeight="1">
      <c r="A139" s="610"/>
      <c r="B139" s="581"/>
      <c r="C139" s="583"/>
      <c r="D139" s="174" t="str">
        <f>серпень!D139</f>
        <v>місцевий (план), тис.грн</v>
      </c>
      <c r="E139" s="56"/>
      <c r="F139" s="52">
        <f>18.868-18.868</f>
        <v>0</v>
      </c>
      <c r="G139" s="52">
        <v>40.052999999999997</v>
      </c>
      <c r="H139" s="52">
        <v>36.576999999999998</v>
      </c>
      <c r="I139" s="52">
        <v>35.088000000000001</v>
      </c>
      <c r="J139" s="52">
        <v>0</v>
      </c>
      <c r="K139" s="52">
        <v>0</v>
      </c>
      <c r="L139" s="69">
        <f>SUM(F139:K139)</f>
        <v>111.718</v>
      </c>
      <c r="M139" s="69">
        <f>L139/6</f>
        <v>18.62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42.534999999999997</v>
      </c>
      <c r="T139" s="69">
        <f>SUM(N139:S139)</f>
        <v>42.534999999999997</v>
      </c>
      <c r="U139" s="69">
        <f>T139+L139</f>
        <v>154.25299999999999</v>
      </c>
      <c r="V139" s="70">
        <v>154.25299999999999</v>
      </c>
      <c r="W139" s="53">
        <f>V139-U139</f>
        <v>0</v>
      </c>
    </row>
    <row r="140" spans="1:24" s="47" customFormat="1" ht="18" customHeight="1">
      <c r="A140" s="610"/>
      <c r="B140" s="581"/>
      <c r="C140" s="583"/>
      <c r="D140" s="178" t="str">
        <f>серпень!D140</f>
        <v>касові нат.п-ки 2025</v>
      </c>
      <c r="E140" s="11"/>
      <c r="F140" s="83">
        <v>0</v>
      </c>
      <c r="G140" s="151">
        <v>30.4</v>
      </c>
      <c r="H140" s="151">
        <v>21.8</v>
      </c>
      <c r="I140" s="151">
        <v>14.3</v>
      </c>
      <c r="J140" s="151">
        <v>0</v>
      </c>
      <c r="K140" s="151">
        <v>0</v>
      </c>
      <c r="L140" s="65">
        <f>SUM(F140:K140)</f>
        <v>66.5</v>
      </c>
      <c r="M140" s="65">
        <f>L140/6</f>
        <v>11.1</v>
      </c>
      <c r="N140" s="151">
        <v>0</v>
      </c>
      <c r="O140" s="151">
        <v>0</v>
      </c>
      <c r="P140" s="151">
        <v>0</v>
      </c>
      <c r="Q140" s="151">
        <v>0</v>
      </c>
      <c r="R140" s="151">
        <v>0</v>
      </c>
      <c r="S140" s="83">
        <f>R135+S135</f>
        <v>25.7</v>
      </c>
      <c r="T140" s="65">
        <f>SUM(N140:S140)</f>
        <v>25.7</v>
      </c>
      <c r="U140" s="65">
        <f>T140+L140</f>
        <v>92.2</v>
      </c>
      <c r="V140" s="11">
        <f>V135</f>
        <v>93.2</v>
      </c>
      <c r="W140" s="38">
        <f>V140-U140</f>
        <v>1</v>
      </c>
      <c r="X140" s="47">
        <v>0</v>
      </c>
    </row>
    <row r="141" spans="1:24" s="47" customFormat="1" ht="18" customHeight="1">
      <c r="A141" s="610"/>
      <c r="B141" s="581"/>
      <c r="C141" s="583"/>
      <c r="D141" s="187" t="str">
        <f>серпень!D141</f>
        <v>тариф, грн.</v>
      </c>
      <c r="E141" s="49" t="e">
        <f>E142/E140*1000</f>
        <v>#DIV/0!</v>
      </c>
      <c r="F141" s="49" t="e">
        <f t="shared" ref="F141:H141" si="204">F142/F140*1000</f>
        <v>#DIV/0!</v>
      </c>
      <c r="G141" s="49">
        <f t="shared" si="204"/>
        <v>1655.625</v>
      </c>
      <c r="H141" s="49">
        <f t="shared" si="204"/>
        <v>1653.9449999999999</v>
      </c>
      <c r="I141" s="49">
        <v>1656.46</v>
      </c>
      <c r="J141" s="49">
        <v>1656.46</v>
      </c>
      <c r="K141" s="49">
        <v>1656.46</v>
      </c>
      <c r="L141" s="49">
        <f t="shared" ref="L141" si="205">L142/L140*1000</f>
        <v>1655.278</v>
      </c>
      <c r="M141" s="68">
        <f>M142/M140*1000</f>
        <v>1652.7929999999999</v>
      </c>
      <c r="N141" s="68">
        <v>1655.08</v>
      </c>
      <c r="O141" s="68">
        <v>1655.08</v>
      </c>
      <c r="P141" s="68">
        <v>1655.08</v>
      </c>
      <c r="Q141" s="68">
        <v>1655.08</v>
      </c>
      <c r="R141" s="68">
        <v>1655.08</v>
      </c>
      <c r="S141" s="49">
        <v>1655.08</v>
      </c>
      <c r="T141" s="121">
        <f>T142/T140*1000</f>
        <v>1655.06</v>
      </c>
      <c r="U141" s="121">
        <f>U142/U140*1000</f>
        <v>1655.22</v>
      </c>
      <c r="V141" s="68">
        <f>V142/V140*1000</f>
        <v>1655.075</v>
      </c>
      <c r="W141" s="14">
        <f>W142/W140*1000</f>
        <v>1642</v>
      </c>
    </row>
    <row r="142" spans="1:24" s="63" customFormat="1" ht="18" customHeight="1">
      <c r="A142" s="610"/>
      <c r="B142" s="581"/>
      <c r="C142" s="583"/>
      <c r="D142" s="198" t="str">
        <f>серпень!D142</f>
        <v>касові видатки, тис.грн.</v>
      </c>
      <c r="E142" s="71"/>
      <c r="F142" s="61">
        <v>0</v>
      </c>
      <c r="G142" s="61">
        <v>50.331000000000003</v>
      </c>
      <c r="H142" s="61">
        <v>36.055999999999997</v>
      </c>
      <c r="I142" s="61">
        <f>23.687+0.002</f>
        <v>23.689</v>
      </c>
      <c r="J142" s="61">
        <v>0</v>
      </c>
      <c r="K142" s="61">
        <v>0</v>
      </c>
      <c r="L142" s="61">
        <f>SUM(F142:K142)</f>
        <v>110.07599999999999</v>
      </c>
      <c r="M142" s="61">
        <f>L142/6</f>
        <v>18.346</v>
      </c>
      <c r="N142" s="61">
        <f>N140*N141/1000</f>
        <v>0</v>
      </c>
      <c r="O142" s="61">
        <f t="shared" ref="O142" si="206">O140*O141/1000</f>
        <v>0</v>
      </c>
      <c r="P142" s="61">
        <f t="shared" ref="P142" si="207">P140*P141/1000</f>
        <v>0</v>
      </c>
      <c r="Q142" s="61">
        <f t="shared" ref="Q142" si="208">Q140*Q141/1000</f>
        <v>0</v>
      </c>
      <c r="R142" s="61">
        <f t="shared" ref="R142" si="209">R140*R141/1000</f>
        <v>0</v>
      </c>
      <c r="S142" s="61">
        <f>S140*S141/1000-0.001</f>
        <v>42.534999999999997</v>
      </c>
      <c r="T142" s="61">
        <f>SUM(N142:S142)</f>
        <v>42.534999999999997</v>
      </c>
      <c r="U142" s="61">
        <f>T142+L142</f>
        <v>152.61099999999999</v>
      </c>
      <c r="V142" s="61">
        <f>V137</f>
        <v>154.25299999999999</v>
      </c>
      <c r="W142" s="72">
        <f>V142-U142</f>
        <v>1.6419999999999999</v>
      </c>
      <c r="X142" s="63">
        <f>U137-U142</f>
        <v>0</v>
      </c>
    </row>
    <row r="143" spans="1:24" s="63" customFormat="1" ht="18" customHeight="1">
      <c r="A143" s="610"/>
      <c r="B143" s="581"/>
      <c r="C143" s="583"/>
      <c r="D143" s="201" t="str">
        <f>серпень!D143</f>
        <v>дотація</v>
      </c>
      <c r="E143" s="71"/>
      <c r="F143" s="61">
        <v>0</v>
      </c>
      <c r="G143" s="61">
        <v>0</v>
      </c>
      <c r="H143" s="61">
        <v>0</v>
      </c>
      <c r="I143" s="61">
        <v>0</v>
      </c>
      <c r="J143" s="61">
        <v>0</v>
      </c>
      <c r="K143" s="61">
        <v>0</v>
      </c>
      <c r="L143" s="61">
        <f>SUM(F143:K143)</f>
        <v>0</v>
      </c>
      <c r="M143" s="61">
        <f>L143/6</f>
        <v>0</v>
      </c>
      <c r="N143" s="61">
        <v>0</v>
      </c>
      <c r="O143" s="61">
        <v>0</v>
      </c>
      <c r="P143" s="61">
        <v>0</v>
      </c>
      <c r="Q143" s="61">
        <v>0</v>
      </c>
      <c r="R143" s="61">
        <v>0</v>
      </c>
      <c r="S143" s="61">
        <v>0</v>
      </c>
      <c r="T143" s="61">
        <f>SUM(N143:S143)</f>
        <v>0</v>
      </c>
      <c r="U143" s="61">
        <f>T143+L143</f>
        <v>0</v>
      </c>
      <c r="V143" s="61">
        <f>V138</f>
        <v>0</v>
      </c>
      <c r="W143" s="72">
        <f>V143-U143</f>
        <v>0</v>
      </c>
      <c r="X143" s="63">
        <f>U138-U143</f>
        <v>0</v>
      </c>
    </row>
    <row r="144" spans="1:24" s="63" customFormat="1" ht="18" customHeight="1">
      <c r="A144" s="610"/>
      <c r="B144" s="581"/>
      <c r="C144" s="583"/>
      <c r="D144" s="201" t="str">
        <f>серпень!D144</f>
        <v xml:space="preserve">місцевий </v>
      </c>
      <c r="E144" s="71"/>
      <c r="F144" s="61">
        <f t="shared" ref="F144:K144" si="210">F142-F143</f>
        <v>0</v>
      </c>
      <c r="G144" s="61">
        <f t="shared" si="210"/>
        <v>50.331000000000003</v>
      </c>
      <c r="H144" s="61">
        <f t="shared" si="210"/>
        <v>36.055999999999997</v>
      </c>
      <c r="I144" s="61">
        <f t="shared" si="210"/>
        <v>23.689</v>
      </c>
      <c r="J144" s="61">
        <f t="shared" si="210"/>
        <v>0</v>
      </c>
      <c r="K144" s="61">
        <f t="shared" si="210"/>
        <v>0</v>
      </c>
      <c r="L144" s="61">
        <f>SUM(F144:K144)</f>
        <v>110.07599999999999</v>
      </c>
      <c r="M144" s="61">
        <f>L144/6</f>
        <v>18.346</v>
      </c>
      <c r="N144" s="61">
        <f t="shared" ref="N144:S144" si="211">N142-N143</f>
        <v>0</v>
      </c>
      <c r="O144" s="61">
        <f t="shared" si="211"/>
        <v>0</v>
      </c>
      <c r="P144" s="61">
        <f t="shared" si="211"/>
        <v>0</v>
      </c>
      <c r="Q144" s="61">
        <f t="shared" si="211"/>
        <v>0</v>
      </c>
      <c r="R144" s="61">
        <f t="shared" si="211"/>
        <v>0</v>
      </c>
      <c r="S144" s="61">
        <f t="shared" si="211"/>
        <v>42.534999999999997</v>
      </c>
      <c r="T144" s="61">
        <f>SUM(N144:S144)</f>
        <v>42.534999999999997</v>
      </c>
      <c r="U144" s="61">
        <f>T144+L144</f>
        <v>152.61099999999999</v>
      </c>
      <c r="V144" s="61">
        <f>V139</f>
        <v>154.25299999999999</v>
      </c>
      <c r="W144" s="72">
        <f>V144-U144</f>
        <v>1.6419999999999999</v>
      </c>
      <c r="X144" s="63">
        <f>U139-U144</f>
        <v>1.6419999999999999</v>
      </c>
    </row>
    <row r="145" spans="1:24" s="43" customFormat="1" ht="18" customHeight="1">
      <c r="A145" s="610"/>
      <c r="B145" s="581"/>
      <c r="C145" s="583"/>
      <c r="D145" s="202" t="str">
        <f>серпень!D145</f>
        <v>план</v>
      </c>
      <c r="E145" s="42"/>
      <c r="F145" s="42">
        <f t="shared" ref="F145:K145" si="212">F139</f>
        <v>0</v>
      </c>
      <c r="G145" s="42">
        <f t="shared" si="212"/>
        <v>40.052999999999997</v>
      </c>
      <c r="H145" s="42">
        <f t="shared" si="212"/>
        <v>36.576999999999998</v>
      </c>
      <c r="I145" s="42">
        <f t="shared" si="212"/>
        <v>35.088000000000001</v>
      </c>
      <c r="J145" s="42">
        <f t="shared" si="212"/>
        <v>0</v>
      </c>
      <c r="K145" s="42">
        <f t="shared" si="212"/>
        <v>0</v>
      </c>
      <c r="L145" s="42">
        <f>SUM(F145:K145)</f>
        <v>111.718</v>
      </c>
      <c r="M145" s="42">
        <f>L145/6</f>
        <v>18.62</v>
      </c>
      <c r="N145" s="42">
        <f t="shared" ref="N145:S145" si="213">N139+N138</f>
        <v>0</v>
      </c>
      <c r="O145" s="42">
        <f t="shared" si="213"/>
        <v>0</v>
      </c>
      <c r="P145" s="42">
        <f t="shared" si="213"/>
        <v>0</v>
      </c>
      <c r="Q145" s="42">
        <f t="shared" si="213"/>
        <v>0</v>
      </c>
      <c r="R145" s="42">
        <f t="shared" si="213"/>
        <v>0</v>
      </c>
      <c r="S145" s="42">
        <f t="shared" si="213"/>
        <v>42.534999999999997</v>
      </c>
      <c r="T145" s="42">
        <f>SUM(N145:S145)</f>
        <v>42.534999999999997</v>
      </c>
      <c r="U145" s="42">
        <f>T145+L145</f>
        <v>154.25299999999999</v>
      </c>
      <c r="V145" s="42">
        <f>V142</f>
        <v>154.25299999999999</v>
      </c>
      <c r="W145" s="42">
        <f>V145-U145</f>
        <v>0</v>
      </c>
    </row>
    <row r="146" spans="1:24" s="43" customFormat="1" ht="18" customHeight="1">
      <c r="A146" s="610"/>
      <c r="B146" s="581"/>
      <c r="C146" s="583"/>
      <c r="D146" s="202" t="str">
        <f>серпень!D146</f>
        <v xml:space="preserve">відхилення </v>
      </c>
      <c r="E146" s="42"/>
      <c r="F146" s="42">
        <f t="shared" ref="F146:K146" si="214">F142-F145</f>
        <v>0</v>
      </c>
      <c r="G146" s="42">
        <f t="shared" si="214"/>
        <v>10.278</v>
      </c>
      <c r="H146" s="42">
        <f t="shared" si="214"/>
        <v>-0.52100000000000002</v>
      </c>
      <c r="I146" s="42">
        <f t="shared" si="214"/>
        <v>-11.398999999999999</v>
      </c>
      <c r="J146" s="42">
        <f t="shared" si="214"/>
        <v>0</v>
      </c>
      <c r="K146" s="42">
        <f t="shared" si="214"/>
        <v>0</v>
      </c>
      <c r="L146" s="42"/>
      <c r="M146" s="42"/>
      <c r="N146" s="42">
        <f t="shared" ref="N146:S146" si="215">N142-N145</f>
        <v>0</v>
      </c>
      <c r="O146" s="42">
        <f t="shared" si="215"/>
        <v>0</v>
      </c>
      <c r="P146" s="42">
        <f t="shared" si="215"/>
        <v>0</v>
      </c>
      <c r="Q146" s="42">
        <f t="shared" si="215"/>
        <v>0</v>
      </c>
      <c r="R146" s="42">
        <f t="shared" si="215"/>
        <v>0</v>
      </c>
      <c r="S146" s="42">
        <f t="shared" si="215"/>
        <v>0</v>
      </c>
      <c r="T146" s="42"/>
      <c r="U146" s="42"/>
      <c r="V146" s="42"/>
      <c r="W146" s="42"/>
    </row>
    <row r="147" spans="1:24" s="43" customFormat="1" ht="25.2" customHeight="1">
      <c r="A147" s="610"/>
      <c r="B147" s="581"/>
      <c r="C147" s="584"/>
      <c r="D147" s="202" t="str">
        <f>серпень!D147</f>
        <v>відхилення з наростаючим</v>
      </c>
      <c r="E147" s="42"/>
      <c r="F147" s="42">
        <f>F146</f>
        <v>0</v>
      </c>
      <c r="G147" s="42">
        <f>G146+F147</f>
        <v>10.278</v>
      </c>
      <c r="H147" s="42">
        <f>H146+G147</f>
        <v>9.7569999999999997</v>
      </c>
      <c r="I147" s="42">
        <f>I146+H147</f>
        <v>-1.6419999999999999</v>
      </c>
      <c r="J147" s="42">
        <f>J146+I147</f>
        <v>-1.6419999999999999</v>
      </c>
      <c r="K147" s="42">
        <f>K146+J147</f>
        <v>-1.6419999999999999</v>
      </c>
      <c r="L147" s="42"/>
      <c r="M147" s="42"/>
      <c r="N147" s="42">
        <f>N146+K147</f>
        <v>-1.6419999999999999</v>
      </c>
      <c r="O147" s="42">
        <f>O146+N147</f>
        <v>-1.6419999999999999</v>
      </c>
      <c r="P147" s="42">
        <f>P146+O147</f>
        <v>-1.6419999999999999</v>
      </c>
      <c r="Q147" s="42">
        <f>Q146+P147</f>
        <v>-1.6419999999999999</v>
      </c>
      <c r="R147" s="42">
        <f>R146+Q147</f>
        <v>-1.6419999999999999</v>
      </c>
      <c r="S147" s="42">
        <f>S146+R147</f>
        <v>-1.6419999999999999</v>
      </c>
      <c r="T147" s="42"/>
      <c r="U147" s="42"/>
      <c r="V147" s="42"/>
      <c r="W147" s="42"/>
    </row>
    <row r="148" spans="1:24" s="43" customFormat="1" ht="18" customHeight="1">
      <c r="A148" s="610"/>
      <c r="B148" s="581"/>
      <c r="C148" s="582" t="s">
        <v>96</v>
      </c>
      <c r="D148" s="178" t="str">
        <f>серпень!D148</f>
        <v>факт. нат.п-ки 2023</v>
      </c>
      <c r="E148" s="179"/>
      <c r="F148" s="184"/>
      <c r="G148" s="184"/>
      <c r="H148" s="179"/>
      <c r="I148" s="179"/>
      <c r="J148" s="179"/>
      <c r="K148" s="179"/>
      <c r="L148" s="215">
        <f>SUM(F148:K148)</f>
        <v>0</v>
      </c>
      <c r="M148" s="215">
        <f>L148/6</f>
        <v>0</v>
      </c>
      <c r="N148" s="179"/>
      <c r="O148" s="179"/>
      <c r="P148" s="179"/>
      <c r="Q148" s="179"/>
      <c r="R148" s="179"/>
      <c r="S148" s="179"/>
      <c r="T148" s="215">
        <f>SUM(N148:S148)</f>
        <v>0</v>
      </c>
      <c r="U148" s="215">
        <f>T148+L148</f>
        <v>0</v>
      </c>
      <c r="V148" s="179"/>
      <c r="W148" s="184"/>
    </row>
    <row r="149" spans="1:24" s="43" customFormat="1" ht="18" customHeight="1">
      <c r="A149" s="610"/>
      <c r="B149" s="581"/>
      <c r="C149" s="583"/>
      <c r="D149" s="178" t="str">
        <f>серпень!D149</f>
        <v>факт. нат.п-ки 2024</v>
      </c>
      <c r="E149" s="179"/>
      <c r="F149" s="184"/>
      <c r="G149" s="184"/>
      <c r="H149" s="179"/>
      <c r="I149" s="179"/>
      <c r="J149" s="179"/>
      <c r="K149" s="179"/>
      <c r="L149" s="215">
        <f>SUM(F149:K149)</f>
        <v>0</v>
      </c>
      <c r="M149" s="215">
        <f>L149/6</f>
        <v>0</v>
      </c>
      <c r="N149" s="179"/>
      <c r="O149" s="179"/>
      <c r="P149" s="179"/>
      <c r="Q149" s="179"/>
      <c r="R149" s="179"/>
      <c r="S149" s="179"/>
      <c r="T149" s="215">
        <f>SUM(N149:S149)</f>
        <v>0</v>
      </c>
      <c r="U149" s="215">
        <f>T149+L149</f>
        <v>0</v>
      </c>
      <c r="V149" s="179"/>
      <c r="W149" s="184"/>
    </row>
    <row r="150" spans="1:24" s="43" customFormat="1" ht="18" customHeight="1">
      <c r="A150" s="610"/>
      <c r="B150" s="581"/>
      <c r="C150" s="583"/>
      <c r="D150" s="178" t="str">
        <f>серпень!D150</f>
        <v>факт. нат.п-ки 2025</v>
      </c>
      <c r="E150" s="179"/>
      <c r="F150" s="184">
        <v>1</v>
      </c>
      <c r="G150" s="184">
        <v>1</v>
      </c>
      <c r="H150" s="184">
        <v>1</v>
      </c>
      <c r="I150" s="184">
        <v>1</v>
      </c>
      <c r="J150" s="184">
        <v>1</v>
      </c>
      <c r="K150" s="184">
        <v>1</v>
      </c>
      <c r="L150" s="215">
        <f>SUM(F150:K150)</f>
        <v>6</v>
      </c>
      <c r="M150" s="215">
        <f>L150/6</f>
        <v>1</v>
      </c>
      <c r="N150" s="179">
        <v>1</v>
      </c>
      <c r="O150" s="179">
        <v>1</v>
      </c>
      <c r="P150" s="179">
        <v>1</v>
      </c>
      <c r="Q150" s="179">
        <v>1</v>
      </c>
      <c r="R150" s="179">
        <v>1</v>
      </c>
      <c r="S150" s="179">
        <v>1</v>
      </c>
      <c r="T150" s="215">
        <f>SUM(N150:S150)</f>
        <v>6</v>
      </c>
      <c r="U150" s="215">
        <f>T150+L150</f>
        <v>12</v>
      </c>
      <c r="V150" s="179">
        <v>12</v>
      </c>
      <c r="W150" s="184">
        <f>V150-U150</f>
        <v>0</v>
      </c>
    </row>
    <row r="151" spans="1:24" s="43" customFormat="1" ht="18" customHeight="1">
      <c r="A151" s="610"/>
      <c r="B151" s="581"/>
      <c r="C151" s="583"/>
      <c r="D151" s="187" t="str">
        <f>серпень!D151</f>
        <v>тариф, грн.</v>
      </c>
      <c r="E151" s="188"/>
      <c r="F151" s="217">
        <v>24</v>
      </c>
      <c r="G151" s="217">
        <v>24</v>
      </c>
      <c r="H151" s="217">
        <v>24</v>
      </c>
      <c r="I151" s="217">
        <v>24</v>
      </c>
      <c r="J151" s="217">
        <v>24</v>
      </c>
      <c r="K151" s="217">
        <v>24</v>
      </c>
      <c r="L151" s="217">
        <f>L152/L150*1000</f>
        <v>24</v>
      </c>
      <c r="M151" s="217">
        <f>M152/M150*1000</f>
        <v>24</v>
      </c>
      <c r="N151" s="217">
        <v>24</v>
      </c>
      <c r="O151" s="217">
        <v>24</v>
      </c>
      <c r="P151" s="217">
        <v>24</v>
      </c>
      <c r="Q151" s="217">
        <v>24</v>
      </c>
      <c r="R151" s="217">
        <v>24</v>
      </c>
      <c r="S151" s="217">
        <v>24</v>
      </c>
      <c r="T151" s="217">
        <f>T152/T150*1000</f>
        <v>24</v>
      </c>
      <c r="U151" s="217">
        <f>U152/U150*1000</f>
        <v>24</v>
      </c>
      <c r="V151" s="218">
        <f>V152/V150*1000</f>
        <v>24</v>
      </c>
      <c r="W151" s="219" t="e">
        <f>W152/W150*1000</f>
        <v>#DIV/0!</v>
      </c>
    </row>
    <row r="152" spans="1:24" s="43" customFormat="1" ht="18" customHeight="1">
      <c r="A152" s="610"/>
      <c r="B152" s="581"/>
      <c r="C152" s="583"/>
      <c r="D152" s="191" t="str">
        <f>серпень!D152</f>
        <v>сума, тис.грн.</v>
      </c>
      <c r="E152" s="192"/>
      <c r="F152" s="192">
        <f>F150*F151/1000</f>
        <v>2.4E-2</v>
      </c>
      <c r="G152" s="192">
        <f t="shared" ref="G152:K152" si="216">G150*G151/1000</f>
        <v>2.4E-2</v>
      </c>
      <c r="H152" s="192">
        <f t="shared" si="216"/>
        <v>2.4E-2</v>
      </c>
      <c r="I152" s="192">
        <f t="shared" si="216"/>
        <v>2.4E-2</v>
      </c>
      <c r="J152" s="192">
        <f t="shared" si="216"/>
        <v>2.4E-2</v>
      </c>
      <c r="K152" s="192">
        <f t="shared" si="216"/>
        <v>2.4E-2</v>
      </c>
      <c r="L152" s="194">
        <f>SUM(F152:K152)</f>
        <v>0.14399999999999999</v>
      </c>
      <c r="M152" s="194">
        <f>L152/6</f>
        <v>2.4E-2</v>
      </c>
      <c r="N152" s="192">
        <f>N150*N151/1000</f>
        <v>2.4E-2</v>
      </c>
      <c r="O152" s="192">
        <f t="shared" ref="O152" si="217">O150*O151/1000</f>
        <v>2.4E-2</v>
      </c>
      <c r="P152" s="192">
        <f t="shared" ref="P152" si="218">P150*P151/1000</f>
        <v>2.4E-2</v>
      </c>
      <c r="Q152" s="192">
        <f t="shared" ref="Q152" si="219">Q150*Q151/1000</f>
        <v>2.4E-2</v>
      </c>
      <c r="R152" s="192">
        <f t="shared" ref="R152" si="220">R150*R151/1000</f>
        <v>2.4E-2</v>
      </c>
      <c r="S152" s="192">
        <f t="shared" ref="S152" si="221">S150*S151/1000</f>
        <v>2.4E-2</v>
      </c>
      <c r="T152" s="194">
        <f>SUM(N152:S152)</f>
        <v>0.14399999999999999</v>
      </c>
      <c r="U152" s="194">
        <f>T152+L152</f>
        <v>0.28799999999999998</v>
      </c>
      <c r="V152" s="171">
        <f>V153+V154</f>
        <v>0.28799999999999998</v>
      </c>
      <c r="W152" s="192">
        <f>V152-U152</f>
        <v>0</v>
      </c>
    </row>
    <row r="153" spans="1:24" s="43" customFormat="1" ht="18" customHeight="1">
      <c r="A153" s="610"/>
      <c r="B153" s="581"/>
      <c r="C153" s="583"/>
      <c r="D153" s="174" t="str">
        <f>серпень!D153</f>
        <v>дотація</v>
      </c>
      <c r="E153" s="210"/>
      <c r="F153" s="192"/>
      <c r="G153" s="192"/>
      <c r="H153" s="192"/>
      <c r="I153" s="192"/>
      <c r="J153" s="192"/>
      <c r="K153" s="192"/>
      <c r="L153" s="194">
        <f>SUM(F153:K153)</f>
        <v>0</v>
      </c>
      <c r="M153" s="194">
        <f>L153/6</f>
        <v>0</v>
      </c>
      <c r="N153" s="192"/>
      <c r="O153" s="192"/>
      <c r="P153" s="192"/>
      <c r="Q153" s="192"/>
      <c r="R153" s="192"/>
      <c r="S153" s="192"/>
      <c r="T153" s="194">
        <f>SUM(N153:S153)</f>
        <v>0</v>
      </c>
      <c r="U153" s="194">
        <f>T153+L153</f>
        <v>0</v>
      </c>
      <c r="V153" s="171"/>
      <c r="W153" s="192">
        <f>V153-U153</f>
        <v>0</v>
      </c>
    </row>
    <row r="154" spans="1:24" s="43" customFormat="1" ht="18" customHeight="1">
      <c r="A154" s="610"/>
      <c r="B154" s="581"/>
      <c r="C154" s="583"/>
      <c r="D154" s="174" t="str">
        <f>серпень!D154</f>
        <v>місцевий (план), тис.грн</v>
      </c>
      <c r="E154" s="210"/>
      <c r="F154" s="192">
        <f>0.024-0.024</f>
        <v>0</v>
      </c>
      <c r="G154" s="192">
        <v>2.4E-2</v>
      </c>
      <c r="H154" s="192">
        <v>2.4E-2</v>
      </c>
      <c r="I154" s="192">
        <v>2.4E-2</v>
      </c>
      <c r="J154" s="192">
        <v>2.4E-2</v>
      </c>
      <c r="K154" s="192">
        <v>2.4E-2</v>
      </c>
      <c r="L154" s="194">
        <f>SUM(F154:K154)</f>
        <v>0.12</v>
      </c>
      <c r="M154" s="194">
        <f>L154/6</f>
        <v>0.02</v>
      </c>
      <c r="N154" s="192">
        <v>2.4E-2</v>
      </c>
      <c r="O154" s="192">
        <v>2.4E-2</v>
      </c>
      <c r="P154" s="192">
        <v>2.4E-2</v>
      </c>
      <c r="Q154" s="192">
        <v>2.4E-2</v>
      </c>
      <c r="R154" s="192">
        <v>2.4E-2</v>
      </c>
      <c r="S154" s="192">
        <v>4.8000000000000001E-2</v>
      </c>
      <c r="T154" s="194">
        <f>SUM(N154:S154)</f>
        <v>0.16800000000000001</v>
      </c>
      <c r="U154" s="194">
        <f>T154+L154</f>
        <v>0.28799999999999998</v>
      </c>
      <c r="V154" s="171">
        <v>0.28799999999999998</v>
      </c>
      <c r="W154" s="192">
        <f>V154-U154</f>
        <v>0</v>
      </c>
    </row>
    <row r="155" spans="1:24" s="43" customFormat="1" ht="18" customHeight="1">
      <c r="A155" s="610"/>
      <c r="B155" s="581"/>
      <c r="C155" s="583"/>
      <c r="D155" s="178" t="str">
        <f>серпень!D155</f>
        <v>касові нат.п-ки 2025</v>
      </c>
      <c r="E155" s="179"/>
      <c r="F155" s="184">
        <v>0</v>
      </c>
      <c r="G155" s="184">
        <v>1</v>
      </c>
      <c r="H155" s="179">
        <v>1</v>
      </c>
      <c r="I155" s="179">
        <v>1</v>
      </c>
      <c r="J155" s="256">
        <v>1</v>
      </c>
      <c r="K155" s="256">
        <v>1</v>
      </c>
      <c r="L155" s="215">
        <f>SUM(F155:K155)</f>
        <v>5</v>
      </c>
      <c r="M155" s="215">
        <f>L155/6</f>
        <v>0.8</v>
      </c>
      <c r="N155" s="179">
        <v>1</v>
      </c>
      <c r="O155" s="179">
        <v>1</v>
      </c>
      <c r="P155" s="179">
        <v>1</v>
      </c>
      <c r="Q155" s="179">
        <v>1</v>
      </c>
      <c r="R155" s="179">
        <v>1</v>
      </c>
      <c r="S155" s="179">
        <v>2</v>
      </c>
      <c r="T155" s="215">
        <f>SUM(N155:S155)</f>
        <v>7</v>
      </c>
      <c r="U155" s="215">
        <f>T155+L155</f>
        <v>12</v>
      </c>
      <c r="V155" s="179">
        <f>V150</f>
        <v>12</v>
      </c>
      <c r="W155" s="184">
        <f>V155-U155</f>
        <v>0</v>
      </c>
      <c r="X155" s="47">
        <f>U150-U155</f>
        <v>0</v>
      </c>
    </row>
    <row r="156" spans="1:24" s="43" customFormat="1" ht="18" customHeight="1">
      <c r="A156" s="610"/>
      <c r="B156" s="581"/>
      <c r="C156" s="583"/>
      <c r="D156" s="187" t="str">
        <f>серпень!D156</f>
        <v>тариф, грн.</v>
      </c>
      <c r="E156" s="188" t="e">
        <f t="shared" ref="E156:F156" si="222">E157/E155*1000</f>
        <v>#DIV/0!</v>
      </c>
      <c r="F156" s="188" t="e">
        <f t="shared" si="222"/>
        <v>#DIV/0!</v>
      </c>
      <c r="G156" s="188">
        <v>24</v>
      </c>
      <c r="H156" s="188">
        <v>24</v>
      </c>
      <c r="I156" s="188">
        <v>24</v>
      </c>
      <c r="J156" s="188">
        <v>24</v>
      </c>
      <c r="K156" s="188">
        <v>24</v>
      </c>
      <c r="L156" s="217">
        <f>L157/L155*1000</f>
        <v>24</v>
      </c>
      <c r="M156" s="217">
        <f>M157/M155*1000</f>
        <v>25</v>
      </c>
      <c r="N156" s="217">
        <v>24</v>
      </c>
      <c r="O156" s="217">
        <v>24</v>
      </c>
      <c r="P156" s="217">
        <v>24</v>
      </c>
      <c r="Q156" s="217">
        <v>24</v>
      </c>
      <c r="R156" s="217">
        <v>24</v>
      </c>
      <c r="S156" s="188">
        <v>24</v>
      </c>
      <c r="T156" s="217">
        <f>T157/T155*1000</f>
        <v>24</v>
      </c>
      <c r="U156" s="217">
        <f>U157/U155*1000</f>
        <v>24</v>
      </c>
      <c r="V156" s="218">
        <f>V157/V155*1000</f>
        <v>24</v>
      </c>
      <c r="W156" s="219" t="e">
        <f>W157/W155*1000</f>
        <v>#DIV/0!</v>
      </c>
      <c r="X156" s="47"/>
    </row>
    <row r="157" spans="1:24" s="43" customFormat="1" ht="18" customHeight="1">
      <c r="A157" s="610"/>
      <c r="B157" s="581"/>
      <c r="C157" s="583"/>
      <c r="D157" s="198" t="str">
        <f>серпень!D157</f>
        <v>касові видатки, тис.грн.</v>
      </c>
      <c r="E157" s="220"/>
      <c r="F157" s="199">
        <v>0</v>
      </c>
      <c r="G157" s="199">
        <f t="shared" ref="G157" si="223">G155*G156/1000</f>
        <v>2.4E-2</v>
      </c>
      <c r="H157" s="199">
        <f t="shared" ref="H157" si="224">H155*H156/1000</f>
        <v>2.4E-2</v>
      </c>
      <c r="I157" s="199">
        <f t="shared" ref="I157" si="225">I155*I156/1000</f>
        <v>2.4E-2</v>
      </c>
      <c r="J157" s="199">
        <f t="shared" ref="J157" si="226">J155*J156/1000</f>
        <v>2.4E-2</v>
      </c>
      <c r="K157" s="199">
        <f t="shared" ref="K157" si="227">K155*K156/1000</f>
        <v>2.4E-2</v>
      </c>
      <c r="L157" s="199">
        <f>SUM(F157:K157)</f>
        <v>0.12</v>
      </c>
      <c r="M157" s="199">
        <f>L157/6</f>
        <v>0.02</v>
      </c>
      <c r="N157" s="199">
        <f>N155*N156/1000</f>
        <v>2.4E-2</v>
      </c>
      <c r="O157" s="199">
        <f t="shared" ref="O157" si="228">O155*O156/1000</f>
        <v>2.4E-2</v>
      </c>
      <c r="P157" s="199">
        <f t="shared" ref="P157" si="229">P155*P156/1000</f>
        <v>2.4E-2</v>
      </c>
      <c r="Q157" s="199">
        <f t="shared" ref="Q157" si="230">Q155*Q156/1000</f>
        <v>2.4E-2</v>
      </c>
      <c r="R157" s="199">
        <f t="shared" ref="R157" si="231">R155*R156/1000</f>
        <v>2.4E-2</v>
      </c>
      <c r="S157" s="199">
        <f t="shared" ref="S157" si="232">S155*S156/1000</f>
        <v>4.8000000000000001E-2</v>
      </c>
      <c r="T157" s="199">
        <f>SUM(N157:S157)</f>
        <v>0.16800000000000001</v>
      </c>
      <c r="U157" s="199">
        <f>T157+L157</f>
        <v>0.28799999999999998</v>
      </c>
      <c r="V157" s="199">
        <f>V152</f>
        <v>0.28799999999999998</v>
      </c>
      <c r="W157" s="221">
        <f>V157-U157</f>
        <v>0</v>
      </c>
      <c r="X157" s="63">
        <f>U152-U157</f>
        <v>0</v>
      </c>
    </row>
    <row r="158" spans="1:24" s="43" customFormat="1" ht="18" customHeight="1">
      <c r="A158" s="610"/>
      <c r="B158" s="581"/>
      <c r="C158" s="583"/>
      <c r="D158" s="201" t="str">
        <f>серпень!D158</f>
        <v>дотація</v>
      </c>
      <c r="E158" s="220"/>
      <c r="F158" s="199">
        <v>0</v>
      </c>
      <c r="G158" s="199">
        <v>0</v>
      </c>
      <c r="H158" s="199">
        <v>0</v>
      </c>
      <c r="I158" s="199">
        <v>0</v>
      </c>
      <c r="J158" s="199">
        <v>0</v>
      </c>
      <c r="K158" s="199">
        <v>0</v>
      </c>
      <c r="L158" s="199">
        <f>SUM(F158:K158)</f>
        <v>0</v>
      </c>
      <c r="M158" s="199">
        <f>L158/6</f>
        <v>0</v>
      </c>
      <c r="N158" s="199">
        <v>0</v>
      </c>
      <c r="O158" s="199">
        <v>0</v>
      </c>
      <c r="P158" s="199">
        <v>0</v>
      </c>
      <c r="Q158" s="199">
        <v>0</v>
      </c>
      <c r="R158" s="199">
        <v>0</v>
      </c>
      <c r="S158" s="199">
        <v>0</v>
      </c>
      <c r="T158" s="199">
        <f>SUM(N158:S158)</f>
        <v>0</v>
      </c>
      <c r="U158" s="199">
        <f>T158+L158</f>
        <v>0</v>
      </c>
      <c r="V158" s="199">
        <f>V153</f>
        <v>0</v>
      </c>
      <c r="W158" s="221">
        <f>V158-U158</f>
        <v>0</v>
      </c>
      <c r="X158" s="63">
        <f>U153-U158</f>
        <v>0</v>
      </c>
    </row>
    <row r="159" spans="1:24" s="43" customFormat="1" ht="18" customHeight="1">
      <c r="A159" s="610"/>
      <c r="B159" s="581"/>
      <c r="C159" s="583"/>
      <c r="D159" s="201" t="str">
        <f>серпень!D159</f>
        <v xml:space="preserve">місцевий </v>
      </c>
      <c r="E159" s="220"/>
      <c r="F159" s="199">
        <f t="shared" ref="F159:K159" si="233">F157-F158</f>
        <v>0</v>
      </c>
      <c r="G159" s="199">
        <f t="shared" si="233"/>
        <v>2.4E-2</v>
      </c>
      <c r="H159" s="199">
        <f t="shared" si="233"/>
        <v>2.4E-2</v>
      </c>
      <c r="I159" s="199">
        <f t="shared" si="233"/>
        <v>2.4E-2</v>
      </c>
      <c r="J159" s="199">
        <f t="shared" si="233"/>
        <v>2.4E-2</v>
      </c>
      <c r="K159" s="199">
        <f t="shared" si="233"/>
        <v>2.4E-2</v>
      </c>
      <c r="L159" s="199">
        <f>SUM(F159:K159)</f>
        <v>0.12</v>
      </c>
      <c r="M159" s="199">
        <f>L159/6</f>
        <v>0.02</v>
      </c>
      <c r="N159" s="199">
        <f t="shared" ref="N159:S159" si="234">N157-N158</f>
        <v>2.4E-2</v>
      </c>
      <c r="O159" s="199">
        <f t="shared" si="234"/>
        <v>2.4E-2</v>
      </c>
      <c r="P159" s="199">
        <f t="shared" si="234"/>
        <v>2.4E-2</v>
      </c>
      <c r="Q159" s="199">
        <f t="shared" si="234"/>
        <v>2.4E-2</v>
      </c>
      <c r="R159" s="199">
        <f t="shared" si="234"/>
        <v>2.4E-2</v>
      </c>
      <c r="S159" s="199">
        <f t="shared" si="234"/>
        <v>4.8000000000000001E-2</v>
      </c>
      <c r="T159" s="199">
        <f>SUM(N159:S159)</f>
        <v>0.16800000000000001</v>
      </c>
      <c r="U159" s="199">
        <f>T159+L159</f>
        <v>0.28799999999999998</v>
      </c>
      <c r="V159" s="199">
        <f>V154</f>
        <v>0.28799999999999998</v>
      </c>
      <c r="W159" s="221">
        <f>V159-U159</f>
        <v>0</v>
      </c>
      <c r="X159" s="63">
        <f>U154-U159</f>
        <v>0</v>
      </c>
    </row>
    <row r="160" spans="1:24" s="43" customFormat="1" ht="18" customHeight="1">
      <c r="A160" s="610"/>
      <c r="B160" s="581"/>
      <c r="C160" s="583"/>
      <c r="D160" s="202" t="str">
        <f>серпень!D160</f>
        <v>план</v>
      </c>
      <c r="E160" s="203"/>
      <c r="F160" s="203">
        <f t="shared" ref="F160:K160" si="235">F153+F154</f>
        <v>0</v>
      </c>
      <c r="G160" s="203">
        <f t="shared" si="235"/>
        <v>2.4E-2</v>
      </c>
      <c r="H160" s="203">
        <f t="shared" si="235"/>
        <v>2.4E-2</v>
      </c>
      <c r="I160" s="203">
        <f t="shared" si="235"/>
        <v>2.4E-2</v>
      </c>
      <c r="J160" s="203">
        <f t="shared" si="235"/>
        <v>2.4E-2</v>
      </c>
      <c r="K160" s="203">
        <f t="shared" si="235"/>
        <v>2.4E-2</v>
      </c>
      <c r="L160" s="203">
        <f>SUM(F160:K160)</f>
        <v>0.12</v>
      </c>
      <c r="M160" s="203">
        <f>L160/6</f>
        <v>0.02</v>
      </c>
      <c r="N160" s="203">
        <f t="shared" ref="N160:S160" si="236">N154+N153</f>
        <v>2.4E-2</v>
      </c>
      <c r="O160" s="203">
        <f t="shared" si="236"/>
        <v>2.4E-2</v>
      </c>
      <c r="P160" s="203">
        <f t="shared" si="236"/>
        <v>2.4E-2</v>
      </c>
      <c r="Q160" s="203">
        <f t="shared" si="236"/>
        <v>2.4E-2</v>
      </c>
      <c r="R160" s="203">
        <f t="shared" si="236"/>
        <v>2.4E-2</v>
      </c>
      <c r="S160" s="203">
        <f t="shared" si="236"/>
        <v>4.8000000000000001E-2</v>
      </c>
      <c r="T160" s="203">
        <f>SUM(N160:S160)</f>
        <v>0.16800000000000001</v>
      </c>
      <c r="U160" s="203">
        <f>T160+L160</f>
        <v>0.28799999999999998</v>
      </c>
      <c r="V160" s="203">
        <f>V157</f>
        <v>0.28799999999999998</v>
      </c>
      <c r="W160" s="203">
        <f>V160-U160</f>
        <v>0</v>
      </c>
    </row>
    <row r="161" spans="1:24" s="43" customFormat="1" ht="18" customHeight="1">
      <c r="A161" s="610"/>
      <c r="B161" s="581"/>
      <c r="C161" s="583"/>
      <c r="D161" s="202" t="str">
        <f>серпень!D161</f>
        <v xml:space="preserve">відхилення </v>
      </c>
      <c r="E161" s="203"/>
      <c r="F161" s="203">
        <f t="shared" ref="F161:K161" si="237">F157-F160</f>
        <v>0</v>
      </c>
      <c r="G161" s="203">
        <f t="shared" si="237"/>
        <v>0</v>
      </c>
      <c r="H161" s="203">
        <f t="shared" si="237"/>
        <v>0</v>
      </c>
      <c r="I161" s="203">
        <f t="shared" si="237"/>
        <v>0</v>
      </c>
      <c r="J161" s="203">
        <f t="shared" si="237"/>
        <v>0</v>
      </c>
      <c r="K161" s="203">
        <f t="shared" si="237"/>
        <v>0</v>
      </c>
      <c r="L161" s="203"/>
      <c r="M161" s="203"/>
      <c r="N161" s="203">
        <f t="shared" ref="N161:S161" si="238">N157-N160</f>
        <v>0</v>
      </c>
      <c r="O161" s="203">
        <f t="shared" si="238"/>
        <v>0</v>
      </c>
      <c r="P161" s="203">
        <f t="shared" si="238"/>
        <v>0</v>
      </c>
      <c r="Q161" s="203">
        <f t="shared" si="238"/>
        <v>0</v>
      </c>
      <c r="R161" s="203">
        <f t="shared" si="238"/>
        <v>0</v>
      </c>
      <c r="S161" s="203">
        <f t="shared" si="238"/>
        <v>0</v>
      </c>
      <c r="T161" s="203"/>
      <c r="U161" s="203"/>
      <c r="V161" s="203"/>
      <c r="W161" s="203"/>
    </row>
    <row r="162" spans="1:24" s="43" customFormat="1" ht="18" customHeight="1">
      <c r="A162" s="610"/>
      <c r="B162" s="581"/>
      <c r="C162" s="584"/>
      <c r="D162" s="202" t="str">
        <f>серпень!D162</f>
        <v>відхилення з наростаючим</v>
      </c>
      <c r="E162" s="203"/>
      <c r="F162" s="203">
        <f>F161</f>
        <v>0</v>
      </c>
      <c r="G162" s="203">
        <f>G161+F162</f>
        <v>0</v>
      </c>
      <c r="H162" s="203">
        <f>H161+G162</f>
        <v>0</v>
      </c>
      <c r="I162" s="203">
        <f>I161+H162</f>
        <v>0</v>
      </c>
      <c r="J162" s="203">
        <f>J161+I162</f>
        <v>0</v>
      </c>
      <c r="K162" s="203">
        <f>K161+J162</f>
        <v>0</v>
      </c>
      <c r="L162" s="203"/>
      <c r="M162" s="203"/>
      <c r="N162" s="203">
        <f>N161+K162</f>
        <v>0</v>
      </c>
      <c r="O162" s="203">
        <f>O161+N162</f>
        <v>0</v>
      </c>
      <c r="P162" s="203">
        <f>P161+O162</f>
        <v>0</v>
      </c>
      <c r="Q162" s="203">
        <f>Q161+P162</f>
        <v>0</v>
      </c>
      <c r="R162" s="203">
        <f>R161+Q162</f>
        <v>0</v>
      </c>
      <c r="S162" s="203">
        <f>S161+R162</f>
        <v>0</v>
      </c>
      <c r="T162" s="203"/>
      <c r="U162" s="203"/>
      <c r="V162" s="203"/>
      <c r="W162" s="203"/>
    </row>
    <row r="163" spans="1:24" s="48" customFormat="1" ht="18" hidden="1" customHeight="1">
      <c r="A163" s="610"/>
      <c r="B163" s="576" t="s">
        <v>61</v>
      </c>
      <c r="C163" s="577"/>
      <c r="D163" s="178" t="str">
        <f>серпень!D163</f>
        <v>факт. нат.п-ки 2023</v>
      </c>
      <c r="E163" s="11"/>
      <c r="F163" s="12">
        <f t="shared" ref="F163:K165" si="239">F178+F193</f>
        <v>0</v>
      </c>
      <c r="G163" s="12">
        <f t="shared" si="239"/>
        <v>0</v>
      </c>
      <c r="H163" s="12">
        <f t="shared" si="239"/>
        <v>0</v>
      </c>
      <c r="I163" s="12">
        <f t="shared" si="239"/>
        <v>0</v>
      </c>
      <c r="J163" s="12">
        <f t="shared" si="239"/>
        <v>0</v>
      </c>
      <c r="K163" s="12">
        <f t="shared" si="239"/>
        <v>0</v>
      </c>
      <c r="L163" s="44">
        <f>SUM(F163:K163)</f>
        <v>0</v>
      </c>
      <c r="M163" s="44">
        <f>L163/6</f>
        <v>0</v>
      </c>
      <c r="N163" s="12">
        <f t="shared" ref="N163:S165" si="240">N178+N193</f>
        <v>0</v>
      </c>
      <c r="O163" s="12">
        <f t="shared" si="240"/>
        <v>0</v>
      </c>
      <c r="P163" s="12">
        <f t="shared" si="240"/>
        <v>0</v>
      </c>
      <c r="Q163" s="12">
        <f t="shared" si="240"/>
        <v>0</v>
      </c>
      <c r="R163" s="12">
        <f t="shared" si="240"/>
        <v>0</v>
      </c>
      <c r="S163" s="12">
        <f t="shared" si="240"/>
        <v>0</v>
      </c>
      <c r="T163" s="44">
        <f>SUM(N163:S163)</f>
        <v>0</v>
      </c>
      <c r="U163" s="45">
        <f>T163+L163</f>
        <v>0</v>
      </c>
      <c r="V163" s="46">
        <f>V178+V193</f>
        <v>0</v>
      </c>
      <c r="W163" s="38">
        <f>V163-U163</f>
        <v>0</v>
      </c>
      <c r="X163" s="47"/>
    </row>
    <row r="164" spans="1:24" s="48" customFormat="1" ht="18" hidden="1" customHeight="1">
      <c r="A164" s="610"/>
      <c r="B164" s="576"/>
      <c r="C164" s="577"/>
      <c r="D164" s="178" t="str">
        <f>серпень!D164</f>
        <v>факт. нат.п-ки 2024</v>
      </c>
      <c r="E164" s="11"/>
      <c r="F164" s="12">
        <f t="shared" si="239"/>
        <v>0</v>
      </c>
      <c r="G164" s="12">
        <f t="shared" si="239"/>
        <v>0</v>
      </c>
      <c r="H164" s="12">
        <f t="shared" si="239"/>
        <v>0</v>
      </c>
      <c r="I164" s="12">
        <f t="shared" si="239"/>
        <v>0</v>
      </c>
      <c r="J164" s="12">
        <f t="shared" si="239"/>
        <v>0</v>
      </c>
      <c r="K164" s="12">
        <f t="shared" si="239"/>
        <v>0</v>
      </c>
      <c r="L164" s="44">
        <f>SUM(F164:K164)</f>
        <v>0</v>
      </c>
      <c r="M164" s="44">
        <f>L164/6</f>
        <v>0</v>
      </c>
      <c r="N164" s="11">
        <f t="shared" si="240"/>
        <v>0</v>
      </c>
      <c r="O164" s="11">
        <f t="shared" si="240"/>
        <v>0</v>
      </c>
      <c r="P164" s="11">
        <f t="shared" si="240"/>
        <v>0</v>
      </c>
      <c r="Q164" s="11">
        <f t="shared" si="240"/>
        <v>0</v>
      </c>
      <c r="R164" s="11">
        <f t="shared" si="240"/>
        <v>0</v>
      </c>
      <c r="S164" s="11">
        <f t="shared" si="240"/>
        <v>0</v>
      </c>
      <c r="T164" s="44">
        <f>SUM(N164:S164)</f>
        <v>0</v>
      </c>
      <c r="U164" s="45">
        <f>T164+L164</f>
        <v>0</v>
      </c>
      <c r="V164" s="46">
        <f>V179+V194</f>
        <v>0</v>
      </c>
      <c r="W164" s="38">
        <f>V164-U164</f>
        <v>0</v>
      </c>
      <c r="X164" s="47"/>
    </row>
    <row r="165" spans="1:24" s="48" customFormat="1" ht="18" hidden="1" customHeight="1">
      <c r="A165" s="610"/>
      <c r="B165" s="576"/>
      <c r="C165" s="577"/>
      <c r="D165" s="178" t="str">
        <f>серпень!D165</f>
        <v>факт. нат.п-ки 2025</v>
      </c>
      <c r="E165" s="11"/>
      <c r="F165" s="12">
        <f t="shared" si="239"/>
        <v>0</v>
      </c>
      <c r="G165" s="12">
        <f t="shared" si="239"/>
        <v>0</v>
      </c>
      <c r="H165" s="12">
        <f t="shared" si="239"/>
        <v>0</v>
      </c>
      <c r="I165" s="12">
        <f t="shared" si="239"/>
        <v>0</v>
      </c>
      <c r="J165" s="12">
        <f t="shared" si="239"/>
        <v>0</v>
      </c>
      <c r="K165" s="12">
        <f t="shared" si="239"/>
        <v>0</v>
      </c>
      <c r="L165" s="44">
        <f>SUM(F165:K165)</f>
        <v>0</v>
      </c>
      <c r="M165" s="44">
        <f>L165/6</f>
        <v>0</v>
      </c>
      <c r="N165" s="12">
        <f t="shared" si="240"/>
        <v>0</v>
      </c>
      <c r="O165" s="12">
        <f t="shared" si="240"/>
        <v>0</v>
      </c>
      <c r="P165" s="12">
        <f t="shared" si="240"/>
        <v>0</v>
      </c>
      <c r="Q165" s="12">
        <f t="shared" si="240"/>
        <v>0</v>
      </c>
      <c r="R165" s="12">
        <f t="shared" si="240"/>
        <v>0</v>
      </c>
      <c r="S165" s="12">
        <f t="shared" si="240"/>
        <v>0</v>
      </c>
      <c r="T165" s="44">
        <f>SUM(N165:S165)</f>
        <v>0</v>
      </c>
      <c r="U165" s="45">
        <f>T165+L165</f>
        <v>0</v>
      </c>
      <c r="V165" s="46">
        <f>V180+V195</f>
        <v>0</v>
      </c>
      <c r="W165" s="38">
        <f>V165-U165</f>
        <v>0</v>
      </c>
      <c r="X165" s="47"/>
    </row>
    <row r="166" spans="1:24" s="51" customFormat="1" ht="18" hidden="1" customHeight="1">
      <c r="A166" s="610"/>
      <c r="B166" s="576"/>
      <c r="C166" s="577"/>
      <c r="D166" s="187" t="str">
        <f>серпень!D166</f>
        <v>тариф, грн.</v>
      </c>
      <c r="E166" s="49"/>
      <c r="F166" s="49" t="e">
        <f>F167/F165*1000</f>
        <v>#DIV/0!</v>
      </c>
      <c r="G166" s="49" t="e">
        <f>G167/G165*1000</f>
        <v>#DIV/0!</v>
      </c>
      <c r="H166" s="49" t="e">
        <f>H167/H165*1000</f>
        <v>#DIV/0!</v>
      </c>
      <c r="I166" s="49" t="e">
        <f>I167/I165*1000</f>
        <v>#DIV/0!</v>
      </c>
      <c r="J166" s="49" t="e">
        <f>J167/J165*1000</f>
        <v>#DIV/0!</v>
      </c>
      <c r="K166" s="49" t="e">
        <f t="shared" ref="K166:S166" si="241">K167/K165*1000</f>
        <v>#DIV/0!</v>
      </c>
      <c r="L166" s="49" t="e">
        <f t="shared" si="241"/>
        <v>#DIV/0!</v>
      </c>
      <c r="M166" s="49" t="e">
        <f t="shared" si="241"/>
        <v>#DIV/0!</v>
      </c>
      <c r="N166" s="49" t="e">
        <f t="shared" si="241"/>
        <v>#DIV/0!</v>
      </c>
      <c r="O166" s="49" t="e">
        <f t="shared" si="241"/>
        <v>#DIV/0!</v>
      </c>
      <c r="P166" s="49" t="e">
        <f t="shared" si="241"/>
        <v>#DIV/0!</v>
      </c>
      <c r="Q166" s="49" t="e">
        <f t="shared" si="241"/>
        <v>#DIV/0!</v>
      </c>
      <c r="R166" s="49" t="e">
        <f t="shared" si="241"/>
        <v>#DIV/0!</v>
      </c>
      <c r="S166" s="49" t="e">
        <f t="shared" si="241"/>
        <v>#DIV/0!</v>
      </c>
      <c r="T166" s="49" t="e">
        <f>T167/T165*1000</f>
        <v>#DIV/0!</v>
      </c>
      <c r="U166" s="49" t="e">
        <f>U167/U165*1000</f>
        <v>#DIV/0!</v>
      </c>
      <c r="V166" s="49" t="e">
        <f>V167/V165*1000</f>
        <v>#DIV/0!</v>
      </c>
      <c r="W166" s="14" t="e">
        <f>W167/W165*1000</f>
        <v>#DIV/0!</v>
      </c>
      <c r="X166" s="50"/>
    </row>
    <row r="167" spans="1:24" s="55" customFormat="1" ht="18" hidden="1" customHeight="1">
      <c r="A167" s="610"/>
      <c r="B167" s="576"/>
      <c r="C167" s="577"/>
      <c r="D167" s="191" t="str">
        <f>серпень!D167</f>
        <v>сума, тис.грн.</v>
      </c>
      <c r="E167" s="52"/>
      <c r="F167" s="52">
        <f t="shared" ref="F167:K170" si="242">F182+F197</f>
        <v>0</v>
      </c>
      <c r="G167" s="52">
        <f t="shared" si="242"/>
        <v>0</v>
      </c>
      <c r="H167" s="52">
        <f t="shared" si="242"/>
        <v>0</v>
      </c>
      <c r="I167" s="52">
        <f t="shared" si="242"/>
        <v>0</v>
      </c>
      <c r="J167" s="52">
        <f t="shared" si="242"/>
        <v>0</v>
      </c>
      <c r="K167" s="52">
        <f t="shared" si="242"/>
        <v>0</v>
      </c>
      <c r="L167" s="52">
        <f>SUM(F167:K167)</f>
        <v>0</v>
      </c>
      <c r="M167" s="52">
        <f>L167/6</f>
        <v>0</v>
      </c>
      <c r="N167" s="52">
        <f t="shared" ref="N167:S170" si="243">N182+N197</f>
        <v>0</v>
      </c>
      <c r="O167" s="52">
        <f t="shared" si="243"/>
        <v>0</v>
      </c>
      <c r="P167" s="52">
        <f t="shared" si="243"/>
        <v>0</v>
      </c>
      <c r="Q167" s="52">
        <f t="shared" si="243"/>
        <v>0</v>
      </c>
      <c r="R167" s="52">
        <f t="shared" si="243"/>
        <v>0</v>
      </c>
      <c r="S167" s="52">
        <f t="shared" si="243"/>
        <v>0</v>
      </c>
      <c r="T167" s="52">
        <f>SUM(N167:S167)</f>
        <v>0</v>
      </c>
      <c r="U167" s="52">
        <f>T167+L167</f>
        <v>0</v>
      </c>
      <c r="V167" s="53">
        <f>V182+V197</f>
        <v>0</v>
      </c>
      <c r="W167" s="53">
        <f>V167-U167</f>
        <v>0</v>
      </c>
      <c r="X167" s="54">
        <f>9891253.845/1000</f>
        <v>9891.2540000000008</v>
      </c>
    </row>
    <row r="168" spans="1:24" s="55" customFormat="1" ht="18" hidden="1" customHeight="1">
      <c r="A168" s="610"/>
      <c r="B168" s="576"/>
      <c r="C168" s="577"/>
      <c r="D168" s="174" t="str">
        <f>серпень!D168</f>
        <v>дотація</v>
      </c>
      <c r="E168" s="56"/>
      <c r="F168" s="52">
        <f t="shared" si="242"/>
        <v>0</v>
      </c>
      <c r="G168" s="52">
        <f t="shared" si="242"/>
        <v>0</v>
      </c>
      <c r="H168" s="52">
        <f t="shared" si="242"/>
        <v>0</v>
      </c>
      <c r="I168" s="52">
        <f t="shared" si="242"/>
        <v>0</v>
      </c>
      <c r="J168" s="52">
        <f t="shared" si="242"/>
        <v>0</v>
      </c>
      <c r="K168" s="52">
        <f t="shared" si="242"/>
        <v>0</v>
      </c>
      <c r="L168" s="52">
        <f>SUM(F168:K168)</f>
        <v>0</v>
      </c>
      <c r="M168" s="52">
        <f>L168/6</f>
        <v>0</v>
      </c>
      <c r="N168" s="52">
        <f t="shared" si="243"/>
        <v>0</v>
      </c>
      <c r="O168" s="52">
        <f t="shared" si="243"/>
        <v>0</v>
      </c>
      <c r="P168" s="52">
        <f t="shared" si="243"/>
        <v>0</v>
      </c>
      <c r="Q168" s="52">
        <f t="shared" si="243"/>
        <v>0</v>
      </c>
      <c r="R168" s="52">
        <f t="shared" si="243"/>
        <v>0</v>
      </c>
      <c r="S168" s="52">
        <f t="shared" si="243"/>
        <v>0</v>
      </c>
      <c r="T168" s="52">
        <f>SUM(N168:S168)</f>
        <v>0</v>
      </c>
      <c r="U168" s="52">
        <f>T168+L168</f>
        <v>0</v>
      </c>
      <c r="V168" s="53">
        <f>V183+V198</f>
        <v>0</v>
      </c>
      <c r="W168" s="57">
        <f>V168-U168</f>
        <v>0</v>
      </c>
      <c r="X168" s="58"/>
    </row>
    <row r="169" spans="1:24" s="55" customFormat="1" ht="18" hidden="1" customHeight="1">
      <c r="A169" s="610"/>
      <c r="B169" s="576"/>
      <c r="C169" s="577"/>
      <c r="D169" s="174" t="str">
        <f>серпень!D169</f>
        <v>місцевий (план), тис.грн</v>
      </c>
      <c r="E169" s="56"/>
      <c r="F169" s="52">
        <f t="shared" si="242"/>
        <v>0</v>
      </c>
      <c r="G169" s="52">
        <f t="shared" si="242"/>
        <v>0</v>
      </c>
      <c r="H169" s="52">
        <f t="shared" si="242"/>
        <v>0</v>
      </c>
      <c r="I169" s="52">
        <f t="shared" si="242"/>
        <v>0</v>
      </c>
      <c r="J169" s="52">
        <f t="shared" si="242"/>
        <v>0</v>
      </c>
      <c r="K169" s="52">
        <f t="shared" si="242"/>
        <v>0</v>
      </c>
      <c r="L169" s="52">
        <f>SUM(F169:K169)</f>
        <v>0</v>
      </c>
      <c r="M169" s="52">
        <f>L169/6</f>
        <v>0</v>
      </c>
      <c r="N169" s="52">
        <f t="shared" si="243"/>
        <v>0</v>
      </c>
      <c r="O169" s="52">
        <f t="shared" si="243"/>
        <v>0</v>
      </c>
      <c r="P169" s="52">
        <f t="shared" si="243"/>
        <v>0</v>
      </c>
      <c r="Q169" s="52">
        <f t="shared" si="243"/>
        <v>0</v>
      </c>
      <c r="R169" s="52">
        <f t="shared" si="243"/>
        <v>0</v>
      </c>
      <c r="S169" s="52">
        <f t="shared" si="243"/>
        <v>0</v>
      </c>
      <c r="T169" s="52">
        <f>SUM(N169:S169)</f>
        <v>0</v>
      </c>
      <c r="U169" s="52">
        <f>T169+L169</f>
        <v>0</v>
      </c>
      <c r="V169" s="53">
        <f>V184+V199</f>
        <v>0</v>
      </c>
      <c r="W169" s="53">
        <f>V169-U169</f>
        <v>0</v>
      </c>
      <c r="X169" s="58"/>
    </row>
    <row r="170" spans="1:24" s="48" customFormat="1" ht="18" hidden="1" customHeight="1">
      <c r="A170" s="610"/>
      <c r="B170" s="576"/>
      <c r="C170" s="577"/>
      <c r="D170" s="178" t="str">
        <f>серпень!D170</f>
        <v>касові нат.п-ки 2025</v>
      </c>
      <c r="E170" s="11">
        <f>E185+E200</f>
        <v>0</v>
      </c>
      <c r="F170" s="11">
        <f t="shared" si="242"/>
        <v>0</v>
      </c>
      <c r="G170" s="11">
        <f t="shared" si="242"/>
        <v>0</v>
      </c>
      <c r="H170" s="11">
        <f t="shared" si="242"/>
        <v>0</v>
      </c>
      <c r="I170" s="11">
        <f t="shared" si="242"/>
        <v>0</v>
      </c>
      <c r="J170" s="11">
        <f t="shared" si="242"/>
        <v>0</v>
      </c>
      <c r="K170" s="11">
        <f t="shared" si="242"/>
        <v>0</v>
      </c>
      <c r="L170" s="44">
        <f>SUM(F170:K170)</f>
        <v>0</v>
      </c>
      <c r="M170" s="44">
        <f>L170/6</f>
        <v>0</v>
      </c>
      <c r="N170" s="11">
        <f t="shared" si="243"/>
        <v>0</v>
      </c>
      <c r="O170" s="11">
        <f t="shared" si="243"/>
        <v>0</v>
      </c>
      <c r="P170" s="11">
        <f t="shared" si="243"/>
        <v>0</v>
      </c>
      <c r="Q170" s="11">
        <f t="shared" si="243"/>
        <v>0</v>
      </c>
      <c r="R170" s="11">
        <f t="shared" si="243"/>
        <v>0</v>
      </c>
      <c r="S170" s="11">
        <f t="shared" si="243"/>
        <v>0</v>
      </c>
      <c r="T170" s="44">
        <f>SUM(N170:S170)</f>
        <v>0</v>
      </c>
      <c r="U170" s="44">
        <f>T170+L170</f>
        <v>0</v>
      </c>
      <c r="V170" s="38">
        <f>V185+V200</f>
        <v>0</v>
      </c>
      <c r="W170" s="38">
        <f>V170-U170</f>
        <v>0</v>
      </c>
      <c r="X170" s="47">
        <f>U165-U170</f>
        <v>0</v>
      </c>
    </row>
    <row r="171" spans="1:24" s="51" customFormat="1" ht="18" hidden="1" customHeight="1">
      <c r="A171" s="610"/>
      <c r="B171" s="576"/>
      <c r="C171" s="577"/>
      <c r="D171" s="187" t="str">
        <f>серпень!D171</f>
        <v>тариф, грн.</v>
      </c>
      <c r="E171" s="49" t="e">
        <f t="shared" ref="E171:S171" si="244">E172/E170*1000</f>
        <v>#DIV/0!</v>
      </c>
      <c r="F171" s="49" t="e">
        <f t="shared" si="244"/>
        <v>#DIV/0!</v>
      </c>
      <c r="G171" s="49" t="e">
        <f t="shared" si="244"/>
        <v>#DIV/0!</v>
      </c>
      <c r="H171" s="49" t="e">
        <f t="shared" si="244"/>
        <v>#DIV/0!</v>
      </c>
      <c r="I171" s="49" t="e">
        <f t="shared" si="244"/>
        <v>#DIV/0!</v>
      </c>
      <c r="J171" s="49" t="e">
        <f t="shared" si="244"/>
        <v>#DIV/0!</v>
      </c>
      <c r="K171" s="49" t="e">
        <f t="shared" si="244"/>
        <v>#DIV/0!</v>
      </c>
      <c r="L171" s="49" t="e">
        <f t="shared" si="244"/>
        <v>#DIV/0!</v>
      </c>
      <c r="M171" s="49" t="e">
        <f t="shared" si="244"/>
        <v>#DIV/0!</v>
      </c>
      <c r="N171" s="49" t="e">
        <f t="shared" si="244"/>
        <v>#DIV/0!</v>
      </c>
      <c r="O171" s="49" t="e">
        <f t="shared" si="244"/>
        <v>#DIV/0!</v>
      </c>
      <c r="P171" s="49" t="e">
        <f t="shared" si="244"/>
        <v>#DIV/0!</v>
      </c>
      <c r="Q171" s="49" t="e">
        <f t="shared" si="244"/>
        <v>#DIV/0!</v>
      </c>
      <c r="R171" s="49" t="e">
        <f t="shared" si="244"/>
        <v>#DIV/0!</v>
      </c>
      <c r="S171" s="49" t="e">
        <f t="shared" si="244"/>
        <v>#DIV/0!</v>
      </c>
      <c r="T171" s="49" t="e">
        <f>T172/T170*1000</f>
        <v>#DIV/0!</v>
      </c>
      <c r="U171" s="49" t="e">
        <f>U172/U170*1000</f>
        <v>#DIV/0!</v>
      </c>
      <c r="V171" s="49" t="e">
        <f>V172/V170*1000</f>
        <v>#DIV/0!</v>
      </c>
      <c r="W171" s="14" t="e">
        <f>W172/W170*1000</f>
        <v>#DIV/0!</v>
      </c>
      <c r="X171" s="59"/>
    </row>
    <row r="172" spans="1:24" s="63" customFormat="1" ht="18" hidden="1" customHeight="1">
      <c r="A172" s="610"/>
      <c r="B172" s="576"/>
      <c r="C172" s="577"/>
      <c r="D172" s="198" t="str">
        <f>серпень!D172</f>
        <v>касові видатки, тис.грн.</v>
      </c>
      <c r="E172" s="60">
        <f t="shared" ref="E172:K174" si="245">E187+E202</f>
        <v>0</v>
      </c>
      <c r="F172" s="61">
        <f t="shared" si="245"/>
        <v>0</v>
      </c>
      <c r="G172" s="61">
        <f t="shared" si="245"/>
        <v>0</v>
      </c>
      <c r="H172" s="61">
        <f t="shared" si="245"/>
        <v>0</v>
      </c>
      <c r="I172" s="61">
        <f t="shared" si="245"/>
        <v>0</v>
      </c>
      <c r="J172" s="61">
        <f t="shared" si="245"/>
        <v>0</v>
      </c>
      <c r="K172" s="61">
        <f t="shared" si="245"/>
        <v>0</v>
      </c>
      <c r="L172" s="61">
        <f>SUM(F172:K172)</f>
        <v>0</v>
      </c>
      <c r="M172" s="61">
        <f>L172/6</f>
        <v>0</v>
      </c>
      <c r="N172" s="61">
        <f t="shared" ref="N172:S174" si="246">N187+N202</f>
        <v>0</v>
      </c>
      <c r="O172" s="61">
        <f t="shared" si="246"/>
        <v>0</v>
      </c>
      <c r="P172" s="61">
        <f t="shared" si="246"/>
        <v>0</v>
      </c>
      <c r="Q172" s="61">
        <f t="shared" si="246"/>
        <v>0</v>
      </c>
      <c r="R172" s="61">
        <f t="shared" si="246"/>
        <v>0</v>
      </c>
      <c r="S172" s="61">
        <f t="shared" si="246"/>
        <v>0</v>
      </c>
      <c r="T172" s="61">
        <f>SUM(N172:S172)</f>
        <v>0</v>
      </c>
      <c r="U172" s="61">
        <f>T172+L172</f>
        <v>0</v>
      </c>
      <c r="V172" s="62">
        <f>V187+V202</f>
        <v>0</v>
      </c>
      <c r="W172" s="62">
        <f>V172-U172</f>
        <v>0</v>
      </c>
      <c r="X172" s="63">
        <f>U167-U172</f>
        <v>0</v>
      </c>
    </row>
    <row r="173" spans="1:24" s="63" customFormat="1" ht="18" hidden="1" customHeight="1">
      <c r="A173" s="610"/>
      <c r="B173" s="576"/>
      <c r="C173" s="577"/>
      <c r="D173" s="201" t="str">
        <f>серпень!D173</f>
        <v>дотація</v>
      </c>
      <c r="E173" s="60"/>
      <c r="F173" s="61">
        <f t="shared" si="245"/>
        <v>0</v>
      </c>
      <c r="G173" s="61">
        <f t="shared" si="245"/>
        <v>0</v>
      </c>
      <c r="H173" s="61">
        <f t="shared" si="245"/>
        <v>0</v>
      </c>
      <c r="I173" s="61">
        <f t="shared" si="245"/>
        <v>0</v>
      </c>
      <c r="J173" s="61">
        <f>J188+J203</f>
        <v>0</v>
      </c>
      <c r="K173" s="61">
        <f t="shared" si="245"/>
        <v>0</v>
      </c>
      <c r="L173" s="61">
        <f>SUM(F173:K173)</f>
        <v>0</v>
      </c>
      <c r="M173" s="61">
        <f>L173/6</f>
        <v>0</v>
      </c>
      <c r="N173" s="61">
        <f t="shared" si="246"/>
        <v>0</v>
      </c>
      <c r="O173" s="61">
        <f t="shared" si="246"/>
        <v>0</v>
      </c>
      <c r="P173" s="61">
        <f t="shared" si="246"/>
        <v>0</v>
      </c>
      <c r="Q173" s="61">
        <f t="shared" si="246"/>
        <v>0</v>
      </c>
      <c r="R173" s="61">
        <f t="shared" si="246"/>
        <v>0</v>
      </c>
      <c r="S173" s="61">
        <f t="shared" si="246"/>
        <v>0</v>
      </c>
      <c r="T173" s="61">
        <f>SUM(N173:S173)</f>
        <v>0</v>
      </c>
      <c r="U173" s="61">
        <f>T173+L173</f>
        <v>0</v>
      </c>
      <c r="V173" s="62">
        <f>V188+V203</f>
        <v>0</v>
      </c>
      <c r="W173" s="62">
        <f>V173-U173</f>
        <v>0</v>
      </c>
      <c r="X173" s="63">
        <f>U168-U173</f>
        <v>0</v>
      </c>
    </row>
    <row r="174" spans="1:24" s="63" customFormat="1" ht="18" hidden="1" customHeight="1">
      <c r="A174" s="610"/>
      <c r="B174" s="576"/>
      <c r="C174" s="577"/>
      <c r="D174" s="201" t="str">
        <f>серпень!D174</f>
        <v xml:space="preserve">місцевий </v>
      </c>
      <c r="E174" s="60"/>
      <c r="F174" s="61">
        <f t="shared" si="245"/>
        <v>0</v>
      </c>
      <c r="G174" s="61">
        <f t="shared" si="245"/>
        <v>0</v>
      </c>
      <c r="H174" s="61">
        <f t="shared" si="245"/>
        <v>0</v>
      </c>
      <c r="I174" s="61">
        <f t="shared" si="245"/>
        <v>0</v>
      </c>
      <c r="J174" s="61">
        <f>J189+J204</f>
        <v>0</v>
      </c>
      <c r="K174" s="61">
        <f t="shared" si="245"/>
        <v>0</v>
      </c>
      <c r="L174" s="61">
        <f>SUM(F174:K174)</f>
        <v>0</v>
      </c>
      <c r="M174" s="61">
        <f>L174/6</f>
        <v>0</v>
      </c>
      <c r="N174" s="61">
        <f t="shared" si="246"/>
        <v>0</v>
      </c>
      <c r="O174" s="61">
        <f t="shared" si="246"/>
        <v>0</v>
      </c>
      <c r="P174" s="61">
        <f t="shared" si="246"/>
        <v>0</v>
      </c>
      <c r="Q174" s="61">
        <f t="shared" si="246"/>
        <v>0</v>
      </c>
      <c r="R174" s="61">
        <f t="shared" si="246"/>
        <v>0</v>
      </c>
      <c r="S174" s="61">
        <f t="shared" si="246"/>
        <v>0</v>
      </c>
      <c r="T174" s="61">
        <f>SUM(N174:S174)</f>
        <v>0</v>
      </c>
      <c r="U174" s="61">
        <f>T174+L174</f>
        <v>0</v>
      </c>
      <c r="V174" s="62">
        <f>V189+V204</f>
        <v>0</v>
      </c>
      <c r="W174" s="62">
        <f>V174-U174</f>
        <v>0</v>
      </c>
      <c r="X174" s="63">
        <f>U169-U174</f>
        <v>0</v>
      </c>
    </row>
    <row r="175" spans="1:24" s="43" customFormat="1" ht="18" hidden="1" customHeight="1">
      <c r="A175" s="610"/>
      <c r="B175" s="576"/>
      <c r="C175" s="577"/>
      <c r="D175" s="202" t="str">
        <f>серпень!D175</f>
        <v>план</v>
      </c>
      <c r="E175" s="42"/>
      <c r="F175" s="42">
        <f t="shared" ref="F175:K175" si="247">F169</f>
        <v>0</v>
      </c>
      <c r="G175" s="42">
        <f t="shared" si="247"/>
        <v>0</v>
      </c>
      <c r="H175" s="42">
        <f t="shared" si="247"/>
        <v>0</v>
      </c>
      <c r="I175" s="42">
        <f t="shared" si="247"/>
        <v>0</v>
      </c>
      <c r="J175" s="42">
        <f t="shared" si="247"/>
        <v>0</v>
      </c>
      <c r="K175" s="42">
        <f t="shared" si="247"/>
        <v>0</v>
      </c>
      <c r="L175" s="42">
        <f>SUM(F175:K175)</f>
        <v>0</v>
      </c>
      <c r="M175" s="42">
        <f>L175/6</f>
        <v>0</v>
      </c>
      <c r="N175" s="42">
        <f t="shared" ref="N175:S175" si="248">N169+N168</f>
        <v>0</v>
      </c>
      <c r="O175" s="42">
        <f t="shared" si="248"/>
        <v>0</v>
      </c>
      <c r="P175" s="42">
        <f t="shared" si="248"/>
        <v>0</v>
      </c>
      <c r="Q175" s="42">
        <f t="shared" si="248"/>
        <v>0</v>
      </c>
      <c r="R175" s="42">
        <f t="shared" si="248"/>
        <v>0</v>
      </c>
      <c r="S175" s="42">
        <f t="shared" si="248"/>
        <v>0</v>
      </c>
      <c r="T175" s="42">
        <f>SUM(N175:S175)</f>
        <v>0</v>
      </c>
      <c r="U175" s="42">
        <f>T175+L175</f>
        <v>0</v>
      </c>
      <c r="V175" s="64">
        <f>V190+V205</f>
        <v>0</v>
      </c>
      <c r="W175" s="64">
        <f>V175-U175</f>
        <v>0</v>
      </c>
    </row>
    <row r="176" spans="1:24" s="43" customFormat="1" ht="18" hidden="1" customHeight="1">
      <c r="A176" s="610"/>
      <c r="B176" s="576"/>
      <c r="C176" s="577"/>
      <c r="D176" s="202" t="str">
        <f>серпень!D176</f>
        <v xml:space="preserve">відхилення </v>
      </c>
      <c r="E176" s="42"/>
      <c r="F176" s="42">
        <f t="shared" ref="F176:K176" si="249">F172-F175</f>
        <v>0</v>
      </c>
      <c r="G176" s="42">
        <f t="shared" si="249"/>
        <v>0</v>
      </c>
      <c r="H176" s="42">
        <f t="shared" si="249"/>
        <v>0</v>
      </c>
      <c r="I176" s="42">
        <f t="shared" si="249"/>
        <v>0</v>
      </c>
      <c r="J176" s="42">
        <f t="shared" si="249"/>
        <v>0</v>
      </c>
      <c r="K176" s="42">
        <f t="shared" si="249"/>
        <v>0</v>
      </c>
      <c r="L176" s="42"/>
      <c r="M176" s="42"/>
      <c r="N176" s="42">
        <f t="shared" ref="N176:S176" si="250">N172-N175</f>
        <v>0</v>
      </c>
      <c r="O176" s="42">
        <f t="shared" si="250"/>
        <v>0</v>
      </c>
      <c r="P176" s="42">
        <f t="shared" si="250"/>
        <v>0</v>
      </c>
      <c r="Q176" s="42">
        <f t="shared" si="250"/>
        <v>0</v>
      </c>
      <c r="R176" s="42">
        <f t="shared" si="250"/>
        <v>0</v>
      </c>
      <c r="S176" s="42">
        <f t="shared" si="250"/>
        <v>0</v>
      </c>
      <c r="T176" s="42"/>
      <c r="U176" s="42"/>
      <c r="V176" s="42"/>
      <c r="W176" s="42"/>
    </row>
    <row r="177" spans="1:24" s="43" customFormat="1" ht="18" hidden="1" customHeight="1">
      <c r="A177" s="610"/>
      <c r="B177" s="576"/>
      <c r="C177" s="577"/>
      <c r="D177" s="202" t="str">
        <f>серпень!D177</f>
        <v>відхилення з наростаючим</v>
      </c>
      <c r="E177" s="42"/>
      <c r="F177" s="42">
        <f>F176</f>
        <v>0</v>
      </c>
      <c r="G177" s="42">
        <f>G176+F177</f>
        <v>0</v>
      </c>
      <c r="H177" s="42">
        <f>H176+G177</f>
        <v>0</v>
      </c>
      <c r="I177" s="42">
        <f>I176+H177</f>
        <v>0</v>
      </c>
      <c r="J177" s="42">
        <f>J176+I177</f>
        <v>0</v>
      </c>
      <c r="K177" s="42">
        <f>K176+J177</f>
        <v>0</v>
      </c>
      <c r="L177" s="42"/>
      <c r="M177" s="42"/>
      <c r="N177" s="42">
        <f>N176+K177</f>
        <v>0</v>
      </c>
      <c r="O177" s="42">
        <f>O176+N177</f>
        <v>0</v>
      </c>
      <c r="P177" s="42">
        <f>P176+O177</f>
        <v>0</v>
      </c>
      <c r="Q177" s="42">
        <f>Q176+P177</f>
        <v>0</v>
      </c>
      <c r="R177" s="42">
        <f>R176+Q177</f>
        <v>0</v>
      </c>
      <c r="S177" s="42">
        <f>S176+R177</f>
        <v>0</v>
      </c>
      <c r="T177" s="42"/>
      <c r="U177" s="42"/>
      <c r="V177" s="42"/>
      <c r="W177" s="42"/>
    </row>
    <row r="178" spans="1:24" s="47" customFormat="1" ht="18" hidden="1" customHeight="1">
      <c r="A178" s="610"/>
      <c r="B178" s="581" t="s">
        <v>89</v>
      </c>
      <c r="C178" s="581"/>
      <c r="D178" s="178" t="str">
        <f>серпень!D178</f>
        <v>факт. нат.п-ки 2023</v>
      </c>
      <c r="E178" s="11"/>
      <c r="F178" s="12"/>
      <c r="G178" s="12"/>
      <c r="H178" s="12"/>
      <c r="I178" s="12"/>
      <c r="J178" s="12"/>
      <c r="K178" s="12"/>
      <c r="L178" s="65">
        <f>SUM(F178:K178)</f>
        <v>0</v>
      </c>
      <c r="M178" s="65">
        <f>L178/6</f>
        <v>0</v>
      </c>
      <c r="N178" s="12"/>
      <c r="O178" s="12"/>
      <c r="P178" s="12"/>
      <c r="Q178" s="12"/>
      <c r="R178" s="12"/>
      <c r="S178" s="12"/>
      <c r="T178" s="65">
        <f>SUM(N178:S178)</f>
        <v>0</v>
      </c>
      <c r="U178" s="66">
        <f>T178+L178</f>
        <v>0</v>
      </c>
      <c r="V178" s="67"/>
      <c r="W178" s="38">
        <f>V178-U178</f>
        <v>0</v>
      </c>
    </row>
    <row r="179" spans="1:24" s="47" customFormat="1" ht="18" hidden="1" customHeight="1">
      <c r="A179" s="610"/>
      <c r="B179" s="581"/>
      <c r="C179" s="581"/>
      <c r="D179" s="178" t="str">
        <f>серпень!D179</f>
        <v>факт. нат.п-ки 2024</v>
      </c>
      <c r="E179" s="11"/>
      <c r="F179" s="12"/>
      <c r="G179" s="12"/>
      <c r="H179" s="12"/>
      <c r="I179" s="12"/>
      <c r="J179" s="12"/>
      <c r="K179" s="12"/>
      <c r="L179" s="65">
        <f>SUM(F179:K179)</f>
        <v>0</v>
      </c>
      <c r="M179" s="65">
        <f>L179/6</f>
        <v>0</v>
      </c>
      <c r="N179" s="11"/>
      <c r="O179" s="11"/>
      <c r="P179" s="11"/>
      <c r="Q179" s="11"/>
      <c r="R179" s="11"/>
      <c r="S179" s="11"/>
      <c r="T179" s="65">
        <f>SUM(N179:S179)</f>
        <v>0</v>
      </c>
      <c r="U179" s="66">
        <f>T179+L179</f>
        <v>0</v>
      </c>
      <c r="V179" s="67"/>
      <c r="W179" s="38">
        <f>V179-U179</f>
        <v>0</v>
      </c>
    </row>
    <row r="180" spans="1:24" s="47" customFormat="1" ht="18" hidden="1" customHeight="1">
      <c r="A180" s="610"/>
      <c r="B180" s="581"/>
      <c r="C180" s="581"/>
      <c r="D180" s="178" t="str">
        <f>серпень!D180</f>
        <v>факт. нат.п-ки 2025</v>
      </c>
      <c r="E180" s="11"/>
      <c r="F180" s="12"/>
      <c r="G180" s="12"/>
      <c r="H180" s="12"/>
      <c r="I180" s="12"/>
      <c r="J180" s="12"/>
      <c r="K180" s="12"/>
      <c r="L180" s="65">
        <f>SUM(F180:K180)</f>
        <v>0</v>
      </c>
      <c r="M180" s="65">
        <f>L180/6</f>
        <v>0</v>
      </c>
      <c r="N180" s="12"/>
      <c r="O180" s="12"/>
      <c r="P180" s="12"/>
      <c r="Q180" s="12"/>
      <c r="R180" s="12"/>
      <c r="S180" s="11"/>
      <c r="T180" s="65">
        <f>SUM(N180:S180)</f>
        <v>0</v>
      </c>
      <c r="U180" s="66">
        <f>T180+L180</f>
        <v>0</v>
      </c>
      <c r="V180" s="11"/>
      <c r="W180" s="38">
        <f>V180-U180</f>
        <v>0</v>
      </c>
    </row>
    <row r="181" spans="1:24" s="47" customFormat="1" ht="18" hidden="1" customHeight="1">
      <c r="A181" s="610"/>
      <c r="B181" s="581"/>
      <c r="C181" s="581"/>
      <c r="D181" s="187" t="str">
        <f>серпень!D181</f>
        <v>тариф, грн.</v>
      </c>
      <c r="E181" s="49"/>
      <c r="F181" s="49">
        <v>2665.4160000000002</v>
      </c>
      <c r="G181" s="49">
        <v>2665.4160000000002</v>
      </c>
      <c r="H181" s="49">
        <v>2665.4160000000002</v>
      </c>
      <c r="I181" s="49">
        <v>2665.4160000000002</v>
      </c>
      <c r="J181" s="49">
        <v>2665.4160000000002</v>
      </c>
      <c r="K181" s="49">
        <v>2665.4160000000002</v>
      </c>
      <c r="L181" s="49" t="e">
        <f>L182/L180*1000</f>
        <v>#DIV/0!</v>
      </c>
      <c r="M181" s="49" t="e">
        <f>M182/M180*1000</f>
        <v>#DIV/0!</v>
      </c>
      <c r="N181" s="49">
        <v>2665.4160000000002</v>
      </c>
      <c r="O181" s="49">
        <v>2665.4160000000002</v>
      </c>
      <c r="P181" s="49">
        <v>2665.4160000000002</v>
      </c>
      <c r="Q181" s="49">
        <v>2665.4160000000002</v>
      </c>
      <c r="R181" s="49">
        <v>2665.4160000000002</v>
      </c>
      <c r="S181" s="49">
        <v>2665.4160000000002</v>
      </c>
      <c r="T181" s="49" t="e">
        <f>T182/T180*1000</f>
        <v>#DIV/0!</v>
      </c>
      <c r="U181" s="49" t="e">
        <f>U182/U180*1000</f>
        <v>#DIV/0!</v>
      </c>
      <c r="V181" s="68" t="e">
        <f>V182/V180*1000</f>
        <v>#DIV/0!</v>
      </c>
      <c r="W181" s="14" t="e">
        <f>W182/W180*1000</f>
        <v>#DIV/0!</v>
      </c>
    </row>
    <row r="182" spans="1:24" s="47" customFormat="1" ht="18" hidden="1" customHeight="1">
      <c r="A182" s="610"/>
      <c r="B182" s="581"/>
      <c r="C182" s="581"/>
      <c r="D182" s="191" t="str">
        <f>серпень!D182</f>
        <v>сума, тис.грн.</v>
      </c>
      <c r="E182" s="52"/>
      <c r="F182" s="52">
        <f t="shared" ref="F182:K182" si="251">F180*F181/1000</f>
        <v>0</v>
      </c>
      <c r="G182" s="52">
        <f t="shared" si="251"/>
        <v>0</v>
      </c>
      <c r="H182" s="52">
        <f t="shared" si="251"/>
        <v>0</v>
      </c>
      <c r="I182" s="52">
        <f t="shared" si="251"/>
        <v>0</v>
      </c>
      <c r="J182" s="52">
        <f t="shared" si="251"/>
        <v>0</v>
      </c>
      <c r="K182" s="52">
        <f t="shared" si="251"/>
        <v>0</v>
      </c>
      <c r="L182" s="69">
        <f>SUM(F182:K182)</f>
        <v>0</v>
      </c>
      <c r="M182" s="69">
        <f>L182/6</f>
        <v>0</v>
      </c>
      <c r="N182" s="52">
        <f t="shared" ref="N182:S182" si="252">N180*N181/1000</f>
        <v>0</v>
      </c>
      <c r="O182" s="52">
        <f t="shared" si="252"/>
        <v>0</v>
      </c>
      <c r="P182" s="52">
        <f t="shared" si="252"/>
        <v>0</v>
      </c>
      <c r="Q182" s="52">
        <f t="shared" si="252"/>
        <v>0</v>
      </c>
      <c r="R182" s="52">
        <f t="shared" si="252"/>
        <v>0</v>
      </c>
      <c r="S182" s="52">
        <f t="shared" si="252"/>
        <v>0</v>
      </c>
      <c r="T182" s="69">
        <f>SUM(N182:S182)</f>
        <v>0</v>
      </c>
      <c r="U182" s="69">
        <f>T182+L182</f>
        <v>0</v>
      </c>
      <c r="V182" s="70">
        <f>V183+V184</f>
        <v>0</v>
      </c>
      <c r="W182" s="53">
        <f>V182-U182</f>
        <v>0</v>
      </c>
    </row>
    <row r="183" spans="1:24" s="47" customFormat="1" ht="18" hidden="1" customHeight="1">
      <c r="A183" s="610"/>
      <c r="B183" s="581"/>
      <c r="C183" s="581"/>
      <c r="D183" s="174" t="str">
        <f>серпень!D183</f>
        <v>дотація</v>
      </c>
      <c r="E183" s="56"/>
      <c r="F183" s="52"/>
      <c r="G183" s="52"/>
      <c r="H183" s="52"/>
      <c r="I183" s="52"/>
      <c r="J183" s="52"/>
      <c r="K183" s="52"/>
      <c r="L183" s="69">
        <f>SUM(F183:K183)</f>
        <v>0</v>
      </c>
      <c r="M183" s="69">
        <f>L183/6</f>
        <v>0</v>
      </c>
      <c r="N183" s="52"/>
      <c r="O183" s="52"/>
      <c r="P183" s="52"/>
      <c r="Q183" s="52"/>
      <c r="R183" s="52"/>
      <c r="S183" s="52"/>
      <c r="T183" s="69">
        <f>SUM(N183:S183)</f>
        <v>0</v>
      </c>
      <c r="U183" s="69">
        <f>T183+L183</f>
        <v>0</v>
      </c>
      <c r="V183" s="70"/>
      <c r="W183" s="53">
        <f>V183-U183</f>
        <v>0</v>
      </c>
    </row>
    <row r="184" spans="1:24" s="47" customFormat="1" ht="18" hidden="1" customHeight="1">
      <c r="A184" s="610"/>
      <c r="B184" s="581"/>
      <c r="C184" s="581"/>
      <c r="D184" s="174" t="str">
        <f>серпень!D184</f>
        <v>місцевий (план), тис.грн</v>
      </c>
      <c r="E184" s="56"/>
      <c r="F184" s="52"/>
      <c r="G184" s="52"/>
      <c r="H184" s="52"/>
      <c r="I184" s="52"/>
      <c r="J184" s="52"/>
      <c r="K184" s="52"/>
      <c r="L184" s="69">
        <f>SUM(F184:K184)</f>
        <v>0</v>
      </c>
      <c r="M184" s="69">
        <f>L184/6</f>
        <v>0</v>
      </c>
      <c r="N184" s="52"/>
      <c r="O184" s="52"/>
      <c r="P184" s="52"/>
      <c r="Q184" s="52"/>
      <c r="R184" s="52"/>
      <c r="S184" s="52"/>
      <c r="T184" s="69">
        <f>SUM(N184:S184)</f>
        <v>0</v>
      </c>
      <c r="U184" s="69">
        <f>T184+L184</f>
        <v>0</v>
      </c>
      <c r="V184" s="70"/>
      <c r="W184" s="53">
        <f>V184-U184</f>
        <v>0</v>
      </c>
    </row>
    <row r="185" spans="1:24" s="47" customFormat="1" ht="18" hidden="1" customHeight="1">
      <c r="A185" s="610"/>
      <c r="B185" s="581"/>
      <c r="C185" s="581"/>
      <c r="D185" s="178" t="str">
        <f>серпень!D185</f>
        <v>касові нат.п-ки 2025</v>
      </c>
      <c r="E185" s="11"/>
      <c r="F185" s="11"/>
      <c r="G185" s="11"/>
      <c r="H185" s="11"/>
      <c r="I185" s="11"/>
      <c r="J185" s="11"/>
      <c r="K185" s="11"/>
      <c r="L185" s="65">
        <f>SUM(F185:K185)</f>
        <v>0</v>
      </c>
      <c r="M185" s="65">
        <f>L185/6</f>
        <v>0</v>
      </c>
      <c r="N185" s="11"/>
      <c r="O185" s="11"/>
      <c r="P185" s="11"/>
      <c r="Q185" s="11"/>
      <c r="R185" s="11"/>
      <c r="S185" s="11">
        <f>S180+R180</f>
        <v>0</v>
      </c>
      <c r="T185" s="65">
        <f>SUM(N185:S185)</f>
        <v>0</v>
      </c>
      <c r="U185" s="65">
        <f>T185+L185</f>
        <v>0</v>
      </c>
      <c r="V185" s="11">
        <f>V180</f>
        <v>0</v>
      </c>
      <c r="W185" s="38">
        <f>V185-U185</f>
        <v>0</v>
      </c>
      <c r="X185" s="47">
        <f>U180-U185</f>
        <v>0</v>
      </c>
    </row>
    <row r="186" spans="1:24" s="47" customFormat="1" ht="18" hidden="1" customHeight="1">
      <c r="A186" s="610"/>
      <c r="B186" s="581"/>
      <c r="C186" s="581"/>
      <c r="D186" s="187" t="str">
        <f>серпень!D186</f>
        <v>тариф, грн.</v>
      </c>
      <c r="E186" s="49" t="e">
        <f>E187/E185*1000</f>
        <v>#DIV/0!</v>
      </c>
      <c r="F186" s="49">
        <v>2665.4160000000002</v>
      </c>
      <c r="G186" s="49">
        <v>2665.4160000000002</v>
      </c>
      <c r="H186" s="49">
        <v>2665.4160000000002</v>
      </c>
      <c r="I186" s="49">
        <v>2665.4160000000002</v>
      </c>
      <c r="J186" s="49">
        <v>2665.4160000000002</v>
      </c>
      <c r="K186" s="49">
        <v>2665.4160000000002</v>
      </c>
      <c r="L186" s="49" t="e">
        <f>L187/L185*1000</f>
        <v>#DIV/0!</v>
      </c>
      <c r="M186" s="49" t="e">
        <f>M187/M185*1000</f>
        <v>#DIV/0!</v>
      </c>
      <c r="N186" s="49">
        <v>2665.4160000000002</v>
      </c>
      <c r="O186" s="49">
        <v>2665.4160000000002</v>
      </c>
      <c r="P186" s="49">
        <v>2665.4160000000002</v>
      </c>
      <c r="Q186" s="49">
        <v>2665.4160000000002</v>
      </c>
      <c r="R186" s="49">
        <v>2665.4160000000002</v>
      </c>
      <c r="S186" s="49">
        <v>2665.4160000000002</v>
      </c>
      <c r="T186" s="49" t="e">
        <f>T187/T185*1000</f>
        <v>#DIV/0!</v>
      </c>
      <c r="U186" s="49" t="e">
        <f>U187/U185*1000</f>
        <v>#DIV/0!</v>
      </c>
      <c r="V186" s="68" t="e">
        <f>V187/V185*1000</f>
        <v>#DIV/0!</v>
      </c>
      <c r="W186" s="14" t="e">
        <f>W187/W185*1000</f>
        <v>#DIV/0!</v>
      </c>
    </row>
    <row r="187" spans="1:24" s="63" customFormat="1" ht="18" hidden="1" customHeight="1">
      <c r="A187" s="610"/>
      <c r="B187" s="581"/>
      <c r="C187" s="581"/>
      <c r="D187" s="198" t="str">
        <f>серпень!D187</f>
        <v>касові видатки, тис.грн.</v>
      </c>
      <c r="E187" s="71"/>
      <c r="F187" s="61">
        <f t="shared" ref="F187:K187" si="253">F185*F186/1000</f>
        <v>0</v>
      </c>
      <c r="G187" s="61">
        <f t="shared" si="253"/>
        <v>0</v>
      </c>
      <c r="H187" s="61">
        <f t="shared" si="253"/>
        <v>0</v>
      </c>
      <c r="I187" s="61">
        <f t="shared" si="253"/>
        <v>0</v>
      </c>
      <c r="J187" s="61">
        <f t="shared" si="253"/>
        <v>0</v>
      </c>
      <c r="K187" s="61">
        <f t="shared" si="253"/>
        <v>0</v>
      </c>
      <c r="L187" s="61">
        <f>SUM(F187:K187)</f>
        <v>0</v>
      </c>
      <c r="M187" s="61">
        <f>L187/6</f>
        <v>0</v>
      </c>
      <c r="N187" s="61">
        <f t="shared" ref="N187:S187" si="254">N185*N186/1000</f>
        <v>0</v>
      </c>
      <c r="O187" s="61">
        <f t="shared" si="254"/>
        <v>0</v>
      </c>
      <c r="P187" s="61">
        <f t="shared" si="254"/>
        <v>0</v>
      </c>
      <c r="Q187" s="61">
        <f t="shared" si="254"/>
        <v>0</v>
      </c>
      <c r="R187" s="61">
        <f t="shared" si="254"/>
        <v>0</v>
      </c>
      <c r="S187" s="61">
        <f t="shared" si="254"/>
        <v>0</v>
      </c>
      <c r="T187" s="61">
        <f>SUM(N187:S187)</f>
        <v>0</v>
      </c>
      <c r="U187" s="61">
        <f>T187+L187</f>
        <v>0</v>
      </c>
      <c r="V187" s="61">
        <f>V182</f>
        <v>0</v>
      </c>
      <c r="W187" s="72">
        <f>V187-U187</f>
        <v>0</v>
      </c>
      <c r="X187" s="63">
        <f>U182-U187</f>
        <v>0</v>
      </c>
    </row>
    <row r="188" spans="1:24" s="63" customFormat="1" ht="18" hidden="1" customHeight="1">
      <c r="A188" s="610"/>
      <c r="B188" s="581"/>
      <c r="C188" s="581"/>
      <c r="D188" s="201" t="str">
        <f>серпень!D188</f>
        <v>дотація</v>
      </c>
      <c r="E188" s="71"/>
      <c r="F188" s="61"/>
      <c r="G188" s="61"/>
      <c r="H188" s="61"/>
      <c r="I188" s="61"/>
      <c r="J188" s="61"/>
      <c r="K188" s="61"/>
      <c r="L188" s="61">
        <f>SUM(F188:K188)</f>
        <v>0</v>
      </c>
      <c r="M188" s="61">
        <f>L188/6</f>
        <v>0</v>
      </c>
      <c r="N188" s="61"/>
      <c r="O188" s="61"/>
      <c r="P188" s="61"/>
      <c r="Q188" s="61"/>
      <c r="R188" s="61"/>
      <c r="S188" s="61"/>
      <c r="T188" s="61">
        <f>SUM(N188:S188)</f>
        <v>0</v>
      </c>
      <c r="U188" s="61">
        <f>T188+L188</f>
        <v>0</v>
      </c>
      <c r="V188" s="61">
        <f>V183</f>
        <v>0</v>
      </c>
      <c r="W188" s="72">
        <f>V188-U188</f>
        <v>0</v>
      </c>
      <c r="X188" s="63">
        <f>U183-U188</f>
        <v>0</v>
      </c>
    </row>
    <row r="189" spans="1:24" s="63" customFormat="1" ht="18" hidden="1" customHeight="1">
      <c r="A189" s="610"/>
      <c r="B189" s="581"/>
      <c r="C189" s="581"/>
      <c r="D189" s="201" t="str">
        <f>серпень!D189</f>
        <v xml:space="preserve">місцевий </v>
      </c>
      <c r="E189" s="71"/>
      <c r="F189" s="61">
        <f t="shared" ref="F189:K189" si="255">F187-F188</f>
        <v>0</v>
      </c>
      <c r="G189" s="61">
        <f t="shared" si="255"/>
        <v>0</v>
      </c>
      <c r="H189" s="61">
        <f t="shared" si="255"/>
        <v>0</v>
      </c>
      <c r="I189" s="61">
        <f t="shared" si="255"/>
        <v>0</v>
      </c>
      <c r="J189" s="61">
        <f t="shared" si="255"/>
        <v>0</v>
      </c>
      <c r="K189" s="61">
        <f t="shared" si="255"/>
        <v>0</v>
      </c>
      <c r="L189" s="61">
        <f>SUM(F189:K189)</f>
        <v>0</v>
      </c>
      <c r="M189" s="61">
        <f>L189/6</f>
        <v>0</v>
      </c>
      <c r="N189" s="61">
        <f t="shared" ref="N189:S189" si="256">N187-N188</f>
        <v>0</v>
      </c>
      <c r="O189" s="61">
        <f t="shared" si="256"/>
        <v>0</v>
      </c>
      <c r="P189" s="61">
        <f t="shared" si="256"/>
        <v>0</v>
      </c>
      <c r="Q189" s="61">
        <f t="shared" si="256"/>
        <v>0</v>
      </c>
      <c r="R189" s="61">
        <f t="shared" si="256"/>
        <v>0</v>
      </c>
      <c r="S189" s="61">
        <f t="shared" si="256"/>
        <v>0</v>
      </c>
      <c r="T189" s="61">
        <f>SUM(N189:S189)</f>
        <v>0</v>
      </c>
      <c r="U189" s="61">
        <f>T189+L189</f>
        <v>0</v>
      </c>
      <c r="V189" s="61">
        <f>V184</f>
        <v>0</v>
      </c>
      <c r="W189" s="72">
        <f>V189-U189</f>
        <v>0</v>
      </c>
      <c r="X189" s="63">
        <f>U184-U189</f>
        <v>0</v>
      </c>
    </row>
    <row r="190" spans="1:24" s="43" customFormat="1" ht="18" hidden="1" customHeight="1">
      <c r="A190" s="610"/>
      <c r="B190" s="581"/>
      <c r="C190" s="581"/>
      <c r="D190" s="202" t="str">
        <f>серпень!D190</f>
        <v>план</v>
      </c>
      <c r="E190" s="42"/>
      <c r="F190" s="42">
        <f t="shared" ref="F190:K190" si="257">F184</f>
        <v>0</v>
      </c>
      <c r="G190" s="42">
        <f t="shared" si="257"/>
        <v>0</v>
      </c>
      <c r="H190" s="42">
        <f t="shared" si="257"/>
        <v>0</v>
      </c>
      <c r="I190" s="42">
        <f t="shared" si="257"/>
        <v>0</v>
      </c>
      <c r="J190" s="42">
        <f t="shared" si="257"/>
        <v>0</v>
      </c>
      <c r="K190" s="42">
        <f t="shared" si="257"/>
        <v>0</v>
      </c>
      <c r="L190" s="42">
        <f>SUM(F190:K190)</f>
        <v>0</v>
      </c>
      <c r="M190" s="42">
        <f>L190/6</f>
        <v>0</v>
      </c>
      <c r="N190" s="42">
        <f t="shared" ref="N190:S190" si="258">N184+N183</f>
        <v>0</v>
      </c>
      <c r="O190" s="42">
        <f t="shared" si="258"/>
        <v>0</v>
      </c>
      <c r="P190" s="42">
        <f t="shared" si="258"/>
        <v>0</v>
      </c>
      <c r="Q190" s="42">
        <f t="shared" si="258"/>
        <v>0</v>
      </c>
      <c r="R190" s="42">
        <f t="shared" si="258"/>
        <v>0</v>
      </c>
      <c r="S190" s="42">
        <f t="shared" si="258"/>
        <v>0</v>
      </c>
      <c r="T190" s="42">
        <f>SUM(N190:S190)</f>
        <v>0</v>
      </c>
      <c r="U190" s="42">
        <f>T190+L190</f>
        <v>0</v>
      </c>
      <c r="V190" s="42">
        <f>V187</f>
        <v>0</v>
      </c>
      <c r="W190" s="42">
        <f>V190-U190</f>
        <v>0</v>
      </c>
    </row>
    <row r="191" spans="1:24" s="43" customFormat="1" ht="18" hidden="1" customHeight="1">
      <c r="A191" s="610"/>
      <c r="B191" s="581"/>
      <c r="C191" s="581"/>
      <c r="D191" s="202" t="str">
        <f>серпень!D191</f>
        <v xml:space="preserve">відхилення </v>
      </c>
      <c r="E191" s="42"/>
      <c r="F191" s="42">
        <f t="shared" ref="F191:K191" si="259">F187-F190</f>
        <v>0</v>
      </c>
      <c r="G191" s="42">
        <f t="shared" si="259"/>
        <v>0</v>
      </c>
      <c r="H191" s="42">
        <f t="shared" si="259"/>
        <v>0</v>
      </c>
      <c r="I191" s="42">
        <f t="shared" si="259"/>
        <v>0</v>
      </c>
      <c r="J191" s="42">
        <f t="shared" si="259"/>
        <v>0</v>
      </c>
      <c r="K191" s="42">
        <f t="shared" si="259"/>
        <v>0</v>
      </c>
      <c r="L191" s="42"/>
      <c r="M191" s="42"/>
      <c r="N191" s="42">
        <f t="shared" ref="N191:S191" si="260">N187-N190</f>
        <v>0</v>
      </c>
      <c r="O191" s="42">
        <f t="shared" si="260"/>
        <v>0</v>
      </c>
      <c r="P191" s="42">
        <f t="shared" si="260"/>
        <v>0</v>
      </c>
      <c r="Q191" s="42">
        <f t="shared" si="260"/>
        <v>0</v>
      </c>
      <c r="R191" s="42">
        <f t="shared" si="260"/>
        <v>0</v>
      </c>
      <c r="S191" s="42">
        <f t="shared" si="260"/>
        <v>0</v>
      </c>
      <c r="T191" s="42"/>
      <c r="U191" s="42"/>
      <c r="V191" s="42"/>
      <c r="W191" s="42"/>
    </row>
    <row r="192" spans="1:24" s="43" customFormat="1" ht="27.1" hidden="1" customHeight="1">
      <c r="A192" s="610"/>
      <c r="B192" s="581"/>
      <c r="C192" s="581"/>
      <c r="D192" s="202" t="str">
        <f>серпень!D192</f>
        <v>відхилення з наростаючим</v>
      </c>
      <c r="E192" s="42"/>
      <c r="F192" s="42">
        <f>F191</f>
        <v>0</v>
      </c>
      <c r="G192" s="42">
        <f>G191+F192</f>
        <v>0</v>
      </c>
      <c r="H192" s="42">
        <f>H191+G192</f>
        <v>0</v>
      </c>
      <c r="I192" s="42">
        <f>I191+H192</f>
        <v>0</v>
      </c>
      <c r="J192" s="42">
        <f>J191+I192</f>
        <v>0</v>
      </c>
      <c r="K192" s="42">
        <f>K191+J192</f>
        <v>0</v>
      </c>
      <c r="L192" s="42"/>
      <c r="M192" s="42"/>
      <c r="N192" s="42">
        <f>N191+K192</f>
        <v>0</v>
      </c>
      <c r="O192" s="42">
        <f>O191+N192</f>
        <v>0</v>
      </c>
      <c r="P192" s="42">
        <f>P191+O192</f>
        <v>0</v>
      </c>
      <c r="Q192" s="42">
        <f>Q191+P192</f>
        <v>0</v>
      </c>
      <c r="R192" s="42">
        <f>R191+Q192</f>
        <v>0</v>
      </c>
      <c r="S192" s="42">
        <f>S191+R192</f>
        <v>0</v>
      </c>
      <c r="T192" s="42"/>
      <c r="U192" s="42"/>
      <c r="V192" s="42"/>
      <c r="W192" s="42"/>
    </row>
    <row r="193" spans="1:24" s="48" customFormat="1" ht="18" hidden="1" customHeight="1">
      <c r="A193" s="610"/>
      <c r="B193" s="576" t="s">
        <v>69</v>
      </c>
      <c r="C193" s="577"/>
      <c r="D193" s="178" t="str">
        <f>серпень!D193</f>
        <v>факт. нат.п-ки 2023</v>
      </c>
      <c r="E193" s="11"/>
      <c r="F193" s="12"/>
      <c r="G193" s="12"/>
      <c r="H193" s="12"/>
      <c r="I193" s="12"/>
      <c r="J193" s="12"/>
      <c r="K193" s="12"/>
      <c r="L193" s="65">
        <f>SUM(F193:K193)</f>
        <v>0</v>
      </c>
      <c r="M193" s="65">
        <f>L193/6</f>
        <v>0</v>
      </c>
      <c r="N193" s="12"/>
      <c r="O193" s="12"/>
      <c r="P193" s="12"/>
      <c r="Q193" s="12"/>
      <c r="R193" s="12"/>
      <c r="S193" s="12"/>
      <c r="T193" s="65">
        <f>SUM(N193:S193)</f>
        <v>0</v>
      </c>
      <c r="U193" s="66">
        <f>T193+L193</f>
        <v>0</v>
      </c>
      <c r="V193" s="67"/>
      <c r="W193" s="38">
        <f>V193-U193</f>
        <v>0</v>
      </c>
      <c r="X193" s="47"/>
    </row>
    <row r="194" spans="1:24" s="48" customFormat="1" ht="18" hidden="1" customHeight="1">
      <c r="A194" s="610"/>
      <c r="B194" s="576"/>
      <c r="C194" s="577"/>
      <c r="D194" s="178" t="str">
        <f>серпень!D194</f>
        <v>факт. нат.п-ки 2024</v>
      </c>
      <c r="E194" s="11"/>
      <c r="F194" s="12"/>
      <c r="G194" s="12"/>
      <c r="H194" s="12"/>
      <c r="I194" s="12"/>
      <c r="J194" s="12"/>
      <c r="K194" s="12"/>
      <c r="L194" s="65">
        <f>SUM(F194:K194)</f>
        <v>0</v>
      </c>
      <c r="M194" s="65">
        <f>L194/6</f>
        <v>0</v>
      </c>
      <c r="N194" s="11"/>
      <c r="O194" s="11"/>
      <c r="P194" s="11"/>
      <c r="Q194" s="11"/>
      <c r="R194" s="11"/>
      <c r="S194" s="11"/>
      <c r="T194" s="65">
        <f>SUM(N194:S194)</f>
        <v>0</v>
      </c>
      <c r="U194" s="66">
        <f>T194+L194</f>
        <v>0</v>
      </c>
      <c r="V194" s="67"/>
      <c r="W194" s="38">
        <f>V194-U194</f>
        <v>0</v>
      </c>
      <c r="X194" s="47"/>
    </row>
    <row r="195" spans="1:24" s="48" customFormat="1" ht="18" hidden="1" customHeight="1">
      <c r="A195" s="610"/>
      <c r="B195" s="576"/>
      <c r="C195" s="577"/>
      <c r="D195" s="178" t="str">
        <f>серпень!D195</f>
        <v>факт. нат.п-ки 2025</v>
      </c>
      <c r="E195" s="11"/>
      <c r="F195" s="12"/>
      <c r="G195" s="12"/>
      <c r="H195" s="12"/>
      <c r="I195" s="12"/>
      <c r="J195" s="12"/>
      <c r="K195" s="12"/>
      <c r="L195" s="65">
        <f>SUM(F195:K195)</f>
        <v>0</v>
      </c>
      <c r="M195" s="65">
        <f>L195/6</f>
        <v>0</v>
      </c>
      <c r="N195" s="12"/>
      <c r="O195" s="12"/>
      <c r="P195" s="12"/>
      <c r="Q195" s="12"/>
      <c r="R195" s="12"/>
      <c r="S195" s="11"/>
      <c r="T195" s="65">
        <f>SUM(N195:S195)</f>
        <v>0</v>
      </c>
      <c r="U195" s="66">
        <f>T195+L195</f>
        <v>0</v>
      </c>
      <c r="V195" s="11"/>
      <c r="W195" s="38">
        <f>V195-U195</f>
        <v>0</v>
      </c>
      <c r="X195" s="47"/>
    </row>
    <row r="196" spans="1:24" s="51" customFormat="1" ht="18" hidden="1" customHeight="1">
      <c r="A196" s="610"/>
      <c r="B196" s="576"/>
      <c r="C196" s="577"/>
      <c r="D196" s="187" t="str">
        <f>серпень!D196</f>
        <v>тариф, грн.</v>
      </c>
      <c r="E196" s="49"/>
      <c r="F196" s="49">
        <v>1441.6559999999999</v>
      </c>
      <c r="G196" s="49">
        <v>1441.6559999999999</v>
      </c>
      <c r="H196" s="49">
        <v>1441.6559999999999</v>
      </c>
      <c r="I196" s="49">
        <v>1441.6559999999999</v>
      </c>
      <c r="J196" s="49">
        <v>1441.6559999999999</v>
      </c>
      <c r="K196" s="49">
        <v>1441.6559999999999</v>
      </c>
      <c r="L196" s="49" t="e">
        <f>L197/L195*1000</f>
        <v>#DIV/0!</v>
      </c>
      <c r="M196" s="49" t="e">
        <f>M197/M195*1000</f>
        <v>#DIV/0!</v>
      </c>
      <c r="N196" s="49">
        <v>1441.6559999999999</v>
      </c>
      <c r="O196" s="49">
        <v>1441.6559999999999</v>
      </c>
      <c r="P196" s="49">
        <v>1441.6559999999999</v>
      </c>
      <c r="Q196" s="49">
        <v>1441.6559999999999</v>
      </c>
      <c r="R196" s="49">
        <v>1441.6559999999999</v>
      </c>
      <c r="S196" s="49">
        <v>1441.6559999999999</v>
      </c>
      <c r="T196" s="49" t="e">
        <f>T197/T195*1000</f>
        <v>#DIV/0!</v>
      </c>
      <c r="U196" s="49" t="e">
        <f>U197/U195*1000</f>
        <v>#DIV/0!</v>
      </c>
      <c r="V196" s="68" t="e">
        <f>V197/V195*1000</f>
        <v>#DIV/0!</v>
      </c>
      <c r="W196" s="14" t="e">
        <f>W197/W195*1000</f>
        <v>#DIV/0!</v>
      </c>
      <c r="X196" s="59"/>
    </row>
    <row r="197" spans="1:24" s="55" customFormat="1" ht="18" hidden="1" customHeight="1">
      <c r="A197" s="610"/>
      <c r="B197" s="576"/>
      <c r="C197" s="577"/>
      <c r="D197" s="191" t="str">
        <f>серпень!D197</f>
        <v>сума, тис.грн.</v>
      </c>
      <c r="E197" s="52"/>
      <c r="F197" s="52">
        <f t="shared" ref="F197:K197" si="261">F195*F196/1000</f>
        <v>0</v>
      </c>
      <c r="G197" s="52">
        <f t="shared" si="261"/>
        <v>0</v>
      </c>
      <c r="H197" s="52">
        <f t="shared" si="261"/>
        <v>0</v>
      </c>
      <c r="I197" s="52">
        <f t="shared" si="261"/>
        <v>0</v>
      </c>
      <c r="J197" s="52">
        <f t="shared" si="261"/>
        <v>0</v>
      </c>
      <c r="K197" s="52">
        <f t="shared" si="261"/>
        <v>0</v>
      </c>
      <c r="L197" s="69">
        <f>SUM(F197:K197)</f>
        <v>0</v>
      </c>
      <c r="M197" s="69">
        <f>L197/6</f>
        <v>0</v>
      </c>
      <c r="N197" s="52">
        <f t="shared" ref="N197:S197" si="262">N195*N196/1000</f>
        <v>0</v>
      </c>
      <c r="O197" s="52">
        <f t="shared" si="262"/>
        <v>0</v>
      </c>
      <c r="P197" s="52">
        <f t="shared" si="262"/>
        <v>0</v>
      </c>
      <c r="Q197" s="52">
        <f t="shared" si="262"/>
        <v>0</v>
      </c>
      <c r="R197" s="52">
        <f t="shared" si="262"/>
        <v>0</v>
      </c>
      <c r="S197" s="52">
        <f t="shared" si="262"/>
        <v>0</v>
      </c>
      <c r="T197" s="69">
        <f>SUM(N197:S197)</f>
        <v>0</v>
      </c>
      <c r="U197" s="69">
        <f>T197+L197</f>
        <v>0</v>
      </c>
      <c r="V197" s="70">
        <f>V198+V199</f>
        <v>0</v>
      </c>
      <c r="W197" s="53">
        <f>V197-U197</f>
        <v>0</v>
      </c>
      <c r="X197" s="54">
        <f>2726951.723/1000</f>
        <v>2726.9520000000002</v>
      </c>
    </row>
    <row r="198" spans="1:24" s="55" customFormat="1" ht="18" hidden="1" customHeight="1">
      <c r="A198" s="610"/>
      <c r="B198" s="576"/>
      <c r="C198" s="577"/>
      <c r="D198" s="174" t="str">
        <f>серпень!D198</f>
        <v>дотація</v>
      </c>
      <c r="E198" s="56"/>
      <c r="F198" s="52"/>
      <c r="G198" s="52"/>
      <c r="H198" s="52"/>
      <c r="I198" s="52"/>
      <c r="J198" s="52"/>
      <c r="K198" s="52"/>
      <c r="L198" s="69">
        <f>SUM(F198:K198)</f>
        <v>0</v>
      </c>
      <c r="M198" s="69">
        <f>L198/6</f>
        <v>0</v>
      </c>
      <c r="N198" s="52"/>
      <c r="O198" s="52"/>
      <c r="P198" s="52"/>
      <c r="Q198" s="52"/>
      <c r="R198" s="52"/>
      <c r="S198" s="52"/>
      <c r="T198" s="69">
        <f>SUM(N198:S198)</f>
        <v>0</v>
      </c>
      <c r="U198" s="69">
        <f>T198+L198</f>
        <v>0</v>
      </c>
      <c r="V198" s="70">
        <v>0</v>
      </c>
      <c r="W198" s="53">
        <f>V198-U198</f>
        <v>0</v>
      </c>
      <c r="X198" s="58"/>
    </row>
    <row r="199" spans="1:24" s="55" customFormat="1" ht="18" hidden="1" customHeight="1">
      <c r="A199" s="610"/>
      <c r="B199" s="576"/>
      <c r="C199" s="577"/>
      <c r="D199" s="174" t="str">
        <f>серпень!D199</f>
        <v>місцевий (план), тис.грн</v>
      </c>
      <c r="E199" s="56"/>
      <c r="F199" s="52"/>
      <c r="G199" s="52"/>
      <c r="H199" s="52"/>
      <c r="I199" s="52"/>
      <c r="J199" s="52"/>
      <c r="K199" s="52"/>
      <c r="L199" s="69">
        <f>SUM(F199:K199)</f>
        <v>0</v>
      </c>
      <c r="M199" s="69">
        <f>L199/6</f>
        <v>0</v>
      </c>
      <c r="N199" s="52"/>
      <c r="O199" s="52"/>
      <c r="P199" s="52"/>
      <c r="Q199" s="52"/>
      <c r="R199" s="52"/>
      <c r="S199" s="52"/>
      <c r="T199" s="69">
        <f>SUM(N199:S199)</f>
        <v>0</v>
      </c>
      <c r="U199" s="69">
        <f>T199+L199</f>
        <v>0</v>
      </c>
      <c r="V199" s="70"/>
      <c r="W199" s="53">
        <f>V199-U199</f>
        <v>0</v>
      </c>
      <c r="X199" s="58"/>
    </row>
    <row r="200" spans="1:24" s="48" customFormat="1" ht="18" hidden="1" customHeight="1">
      <c r="A200" s="610"/>
      <c r="B200" s="576"/>
      <c r="C200" s="577"/>
      <c r="D200" s="178" t="str">
        <f>серпень!D200</f>
        <v>касові нат.п-ки 2025</v>
      </c>
      <c r="E200" s="11"/>
      <c r="F200" s="11"/>
      <c r="G200" s="11"/>
      <c r="H200" s="11"/>
      <c r="I200" s="11"/>
      <c r="J200" s="11"/>
      <c r="K200" s="11"/>
      <c r="L200" s="65">
        <f>SUM(F200:K200)</f>
        <v>0</v>
      </c>
      <c r="M200" s="65">
        <f>L200/6</f>
        <v>0</v>
      </c>
      <c r="N200" s="11"/>
      <c r="O200" s="11"/>
      <c r="P200" s="11"/>
      <c r="Q200" s="11"/>
      <c r="R200" s="11"/>
      <c r="S200" s="11">
        <f>S195+R195</f>
        <v>0</v>
      </c>
      <c r="T200" s="65">
        <f>SUM(N200:S200)</f>
        <v>0</v>
      </c>
      <c r="U200" s="65">
        <f>T200+L200</f>
        <v>0</v>
      </c>
      <c r="V200" s="11">
        <f>V195</f>
        <v>0</v>
      </c>
      <c r="W200" s="38">
        <f>V200-U200</f>
        <v>0</v>
      </c>
      <c r="X200" s="47">
        <f>U195-U200</f>
        <v>0</v>
      </c>
    </row>
    <row r="201" spans="1:24" s="51" customFormat="1" ht="18" hidden="1" customHeight="1">
      <c r="A201" s="610"/>
      <c r="B201" s="576"/>
      <c r="C201" s="577"/>
      <c r="D201" s="187" t="str">
        <f>серпень!D201</f>
        <v>тариф, грн.</v>
      </c>
      <c r="E201" s="49" t="e">
        <f>E202/E200*1000</f>
        <v>#DIV/0!</v>
      </c>
      <c r="F201" s="49">
        <v>1441.6559999999999</v>
      </c>
      <c r="G201" s="49">
        <v>1441.6559999999999</v>
      </c>
      <c r="H201" s="49">
        <v>1441.6559999999999</v>
      </c>
      <c r="I201" s="49">
        <v>1441.6559999999999</v>
      </c>
      <c r="J201" s="49">
        <v>1441.6559999999999</v>
      </c>
      <c r="K201" s="49">
        <v>1441.6559999999999</v>
      </c>
      <c r="L201" s="49" t="e">
        <f>L202/L200*1000</f>
        <v>#DIV/0!</v>
      </c>
      <c r="M201" s="49" t="e">
        <f>M202/M200*1000</f>
        <v>#DIV/0!</v>
      </c>
      <c r="N201" s="49">
        <v>1441.6559999999999</v>
      </c>
      <c r="O201" s="49">
        <v>1441.6559999999999</v>
      </c>
      <c r="P201" s="49">
        <v>1441.6559999999999</v>
      </c>
      <c r="Q201" s="49">
        <v>1441.6559999999999</v>
      </c>
      <c r="R201" s="49">
        <v>1441.6559999999999</v>
      </c>
      <c r="S201" s="49">
        <v>1441.6559999999999</v>
      </c>
      <c r="T201" s="49" t="e">
        <f>T202/T200*1000</f>
        <v>#DIV/0!</v>
      </c>
      <c r="U201" s="49" t="e">
        <f>U202/U200*1000</f>
        <v>#DIV/0!</v>
      </c>
      <c r="V201" s="68" t="e">
        <f>V202/V200*1000</f>
        <v>#DIV/0!</v>
      </c>
      <c r="W201" s="14" t="e">
        <f>W202/W200*1000</f>
        <v>#DIV/0!</v>
      </c>
      <c r="X201" s="59"/>
    </row>
    <row r="202" spans="1:24" s="63" customFormat="1" ht="18" hidden="1" customHeight="1">
      <c r="A202" s="610"/>
      <c r="B202" s="576"/>
      <c r="C202" s="577"/>
      <c r="D202" s="198" t="str">
        <f>серпень!D202</f>
        <v>касові видатки, тис.грн.</v>
      </c>
      <c r="E202" s="71"/>
      <c r="F202" s="61">
        <f t="shared" ref="F202:K202" si="263">F200*F201/1000</f>
        <v>0</v>
      </c>
      <c r="G202" s="61">
        <f t="shared" si="263"/>
        <v>0</v>
      </c>
      <c r="H202" s="61">
        <f t="shared" si="263"/>
        <v>0</v>
      </c>
      <c r="I202" s="61">
        <f t="shared" si="263"/>
        <v>0</v>
      </c>
      <c r="J202" s="61">
        <f t="shared" si="263"/>
        <v>0</v>
      </c>
      <c r="K202" s="61">
        <f t="shared" si="263"/>
        <v>0</v>
      </c>
      <c r="L202" s="61">
        <f>SUM(F202:K202)</f>
        <v>0</v>
      </c>
      <c r="M202" s="61">
        <f>L202/6</f>
        <v>0</v>
      </c>
      <c r="N202" s="61">
        <f t="shared" ref="N202:S202" si="264">N200*N201/1000</f>
        <v>0</v>
      </c>
      <c r="O202" s="61">
        <f t="shared" si="264"/>
        <v>0</v>
      </c>
      <c r="P202" s="61">
        <f t="shared" si="264"/>
        <v>0</v>
      </c>
      <c r="Q202" s="61">
        <f t="shared" si="264"/>
        <v>0</v>
      </c>
      <c r="R202" s="61">
        <f t="shared" si="264"/>
        <v>0</v>
      </c>
      <c r="S202" s="61">
        <f t="shared" si="264"/>
        <v>0</v>
      </c>
      <c r="T202" s="61">
        <f>SUM(N202:S202)</f>
        <v>0</v>
      </c>
      <c r="U202" s="61">
        <f>T202+L202</f>
        <v>0</v>
      </c>
      <c r="V202" s="61">
        <f>V197</f>
        <v>0</v>
      </c>
      <c r="W202" s="72">
        <f>V202-U202</f>
        <v>0</v>
      </c>
      <c r="X202" s="63">
        <f>U197-U202</f>
        <v>0</v>
      </c>
    </row>
    <row r="203" spans="1:24" s="63" customFormat="1" ht="18" hidden="1" customHeight="1">
      <c r="A203" s="610"/>
      <c r="B203" s="576"/>
      <c r="C203" s="577"/>
      <c r="D203" s="201" t="str">
        <f>серпень!D203</f>
        <v>дотація</v>
      </c>
      <c r="E203" s="71"/>
      <c r="F203" s="61"/>
      <c r="G203" s="61"/>
      <c r="H203" s="61"/>
      <c r="I203" s="61"/>
      <c r="J203" s="61"/>
      <c r="K203" s="61"/>
      <c r="L203" s="61">
        <f>SUM(F203:K203)</f>
        <v>0</v>
      </c>
      <c r="M203" s="61">
        <f>L203/6</f>
        <v>0</v>
      </c>
      <c r="N203" s="61"/>
      <c r="O203" s="61"/>
      <c r="P203" s="61"/>
      <c r="Q203" s="61"/>
      <c r="R203" s="61"/>
      <c r="S203" s="61"/>
      <c r="T203" s="61">
        <f>SUM(N203:S203)</f>
        <v>0</v>
      </c>
      <c r="U203" s="61">
        <f>T203+L203</f>
        <v>0</v>
      </c>
      <c r="V203" s="61">
        <f>V198</f>
        <v>0</v>
      </c>
      <c r="W203" s="72">
        <f>V203-U203</f>
        <v>0</v>
      </c>
      <c r="X203" s="63">
        <f>U198-U203</f>
        <v>0</v>
      </c>
    </row>
    <row r="204" spans="1:24" s="63" customFormat="1" ht="18" hidden="1" customHeight="1">
      <c r="A204" s="610"/>
      <c r="B204" s="576"/>
      <c r="C204" s="577"/>
      <c r="D204" s="201" t="str">
        <f>серпень!D204</f>
        <v xml:space="preserve">місцевий </v>
      </c>
      <c r="E204" s="71"/>
      <c r="F204" s="61">
        <f t="shared" ref="F204:K204" si="265">F202-F203</f>
        <v>0</v>
      </c>
      <c r="G204" s="61">
        <f t="shared" si="265"/>
        <v>0</v>
      </c>
      <c r="H204" s="61">
        <f t="shared" si="265"/>
        <v>0</v>
      </c>
      <c r="I204" s="61">
        <f t="shared" si="265"/>
        <v>0</v>
      </c>
      <c r="J204" s="61">
        <f t="shared" si="265"/>
        <v>0</v>
      </c>
      <c r="K204" s="61">
        <f t="shared" si="265"/>
        <v>0</v>
      </c>
      <c r="L204" s="61">
        <f>SUM(F204:K204)</f>
        <v>0</v>
      </c>
      <c r="M204" s="61">
        <f>L204/6</f>
        <v>0</v>
      </c>
      <c r="N204" s="61">
        <f t="shared" ref="N204:S204" si="266">N202-N203</f>
        <v>0</v>
      </c>
      <c r="O204" s="61">
        <f t="shared" si="266"/>
        <v>0</v>
      </c>
      <c r="P204" s="61">
        <f t="shared" si="266"/>
        <v>0</v>
      </c>
      <c r="Q204" s="61">
        <f t="shared" si="266"/>
        <v>0</v>
      </c>
      <c r="R204" s="61">
        <f t="shared" si="266"/>
        <v>0</v>
      </c>
      <c r="S204" s="61">
        <f t="shared" si="266"/>
        <v>0</v>
      </c>
      <c r="T204" s="61">
        <f>SUM(N204:S204)</f>
        <v>0</v>
      </c>
      <c r="U204" s="61">
        <f>T204+L204</f>
        <v>0</v>
      </c>
      <c r="V204" s="61">
        <f>V199</f>
        <v>0</v>
      </c>
      <c r="W204" s="72">
        <f>V204-U204</f>
        <v>0</v>
      </c>
      <c r="X204" s="63">
        <f>U199-U204</f>
        <v>0</v>
      </c>
    </row>
    <row r="205" spans="1:24" s="43" customFormat="1" ht="18" hidden="1" customHeight="1">
      <c r="A205" s="610"/>
      <c r="B205" s="576"/>
      <c r="C205" s="577"/>
      <c r="D205" s="202" t="str">
        <f>серпень!D205</f>
        <v>план</v>
      </c>
      <c r="E205" s="42"/>
      <c r="F205" s="42">
        <f t="shared" ref="F205:K205" si="267">F199</f>
        <v>0</v>
      </c>
      <c r="G205" s="42">
        <f t="shared" si="267"/>
        <v>0</v>
      </c>
      <c r="H205" s="42">
        <f t="shared" si="267"/>
        <v>0</v>
      </c>
      <c r="I205" s="42">
        <f t="shared" si="267"/>
        <v>0</v>
      </c>
      <c r="J205" s="42">
        <f t="shared" si="267"/>
        <v>0</v>
      </c>
      <c r="K205" s="42">
        <f t="shared" si="267"/>
        <v>0</v>
      </c>
      <c r="L205" s="42">
        <f>SUM(F205:K205)</f>
        <v>0</v>
      </c>
      <c r="M205" s="42">
        <f>L205/6</f>
        <v>0</v>
      </c>
      <c r="N205" s="42">
        <f t="shared" ref="N205:S205" si="268">N199+N198</f>
        <v>0</v>
      </c>
      <c r="O205" s="42">
        <f t="shared" si="268"/>
        <v>0</v>
      </c>
      <c r="P205" s="42">
        <f t="shared" si="268"/>
        <v>0</v>
      </c>
      <c r="Q205" s="42">
        <f t="shared" si="268"/>
        <v>0</v>
      </c>
      <c r="R205" s="42">
        <f t="shared" si="268"/>
        <v>0</v>
      </c>
      <c r="S205" s="42">
        <f t="shared" si="268"/>
        <v>0</v>
      </c>
      <c r="T205" s="42">
        <f>SUM(N205:S205)</f>
        <v>0</v>
      </c>
      <c r="U205" s="42">
        <f>T205+L205</f>
        <v>0</v>
      </c>
      <c r="V205" s="42">
        <f>V202</f>
        <v>0</v>
      </c>
      <c r="W205" s="42">
        <f>V205-U205</f>
        <v>0</v>
      </c>
    </row>
    <row r="206" spans="1:24" s="43" customFormat="1" ht="18" hidden="1" customHeight="1">
      <c r="A206" s="610"/>
      <c r="B206" s="576"/>
      <c r="C206" s="577"/>
      <c r="D206" s="202" t="str">
        <f>серпень!D206</f>
        <v xml:space="preserve">відхилення </v>
      </c>
      <c r="E206" s="42"/>
      <c r="F206" s="42">
        <f t="shared" ref="F206:K206" si="269">F202-F205</f>
        <v>0</v>
      </c>
      <c r="G206" s="42">
        <f t="shared" si="269"/>
        <v>0</v>
      </c>
      <c r="H206" s="42">
        <f t="shared" si="269"/>
        <v>0</v>
      </c>
      <c r="I206" s="42">
        <f t="shared" si="269"/>
        <v>0</v>
      </c>
      <c r="J206" s="42">
        <f t="shared" si="269"/>
        <v>0</v>
      </c>
      <c r="K206" s="42">
        <f t="shared" si="269"/>
        <v>0</v>
      </c>
      <c r="L206" s="42"/>
      <c r="M206" s="42"/>
      <c r="N206" s="42">
        <f t="shared" ref="N206:S206" si="270">N202-N205</f>
        <v>0</v>
      </c>
      <c r="O206" s="42">
        <f t="shared" si="270"/>
        <v>0</v>
      </c>
      <c r="P206" s="42">
        <f t="shared" si="270"/>
        <v>0</v>
      </c>
      <c r="Q206" s="42">
        <f t="shared" si="270"/>
        <v>0</v>
      </c>
      <c r="R206" s="42">
        <f t="shared" si="270"/>
        <v>0</v>
      </c>
      <c r="S206" s="42">
        <f t="shared" si="270"/>
        <v>0</v>
      </c>
      <c r="T206" s="42"/>
      <c r="U206" s="42"/>
      <c r="V206" s="42"/>
      <c r="W206" s="42"/>
    </row>
    <row r="207" spans="1:24" s="43" customFormat="1" ht="18" hidden="1" customHeight="1">
      <c r="A207" s="611"/>
      <c r="B207" s="578"/>
      <c r="C207" s="579"/>
      <c r="D207" s="202" t="str">
        <f>серпень!D207</f>
        <v>відхилення з наростаючим</v>
      </c>
      <c r="E207" s="42"/>
      <c r="F207" s="42">
        <f>F206</f>
        <v>0</v>
      </c>
      <c r="G207" s="42">
        <f>G206+F207</f>
        <v>0</v>
      </c>
      <c r="H207" s="42">
        <f>H206+G207</f>
        <v>0</v>
      </c>
      <c r="I207" s="42">
        <f>I206+H207</f>
        <v>0</v>
      </c>
      <c r="J207" s="42">
        <f>J206+I207</f>
        <v>0</v>
      </c>
      <c r="K207" s="42">
        <f>K206+J207</f>
        <v>0</v>
      </c>
      <c r="L207" s="42"/>
      <c r="M207" s="42"/>
      <c r="N207" s="42">
        <f>N206+K207</f>
        <v>0</v>
      </c>
      <c r="O207" s="42">
        <f>O206+N207</f>
        <v>0</v>
      </c>
      <c r="P207" s="42">
        <f>P206+O207</f>
        <v>0</v>
      </c>
      <c r="Q207" s="42">
        <f>Q206+P207</f>
        <v>0</v>
      </c>
      <c r="R207" s="42">
        <f>R206+Q207</f>
        <v>0</v>
      </c>
      <c r="S207" s="42">
        <f>S206+R207</f>
        <v>0</v>
      </c>
      <c r="T207" s="42"/>
      <c r="U207" s="42"/>
      <c r="V207" s="42"/>
      <c r="W207" s="42"/>
    </row>
    <row r="208" spans="1:24" s="47" customFormat="1" ht="18" hidden="1" customHeight="1">
      <c r="A208" s="609"/>
      <c r="B208" s="580" t="s">
        <v>92</v>
      </c>
      <c r="C208" s="575"/>
      <c r="D208" s="178" t="str">
        <f>серпень!D208</f>
        <v>факт. нат.п-ки 2023</v>
      </c>
      <c r="E208" s="11"/>
      <c r="F208" s="12">
        <f t="shared" ref="F208:K210" si="271">F223+F238</f>
        <v>0</v>
      </c>
      <c r="G208" s="12">
        <f t="shared" si="271"/>
        <v>0</v>
      </c>
      <c r="H208" s="12">
        <f t="shared" si="271"/>
        <v>0</v>
      </c>
      <c r="I208" s="12">
        <f t="shared" si="271"/>
        <v>0</v>
      </c>
      <c r="J208" s="12">
        <f t="shared" si="271"/>
        <v>0</v>
      </c>
      <c r="K208" s="12">
        <f t="shared" si="271"/>
        <v>0</v>
      </c>
      <c r="L208" s="44">
        <f>SUM(F208:K208)</f>
        <v>0</v>
      </c>
      <c r="M208" s="44">
        <f>L208/6</f>
        <v>0</v>
      </c>
      <c r="N208" s="12">
        <f t="shared" ref="N208:S210" si="272">N223+N238</f>
        <v>0</v>
      </c>
      <c r="O208" s="12">
        <f t="shared" si="272"/>
        <v>0</v>
      </c>
      <c r="P208" s="12">
        <f t="shared" si="272"/>
        <v>0</v>
      </c>
      <c r="Q208" s="12">
        <f t="shared" si="272"/>
        <v>0</v>
      </c>
      <c r="R208" s="12">
        <f t="shared" si="272"/>
        <v>0</v>
      </c>
      <c r="S208" s="12">
        <f t="shared" si="272"/>
        <v>0</v>
      </c>
      <c r="T208" s="44">
        <f>SUM(N208:S208)</f>
        <v>0</v>
      </c>
      <c r="U208" s="45">
        <f>T208+L208</f>
        <v>0</v>
      </c>
      <c r="V208" s="46">
        <f>V223+V238</f>
        <v>0</v>
      </c>
      <c r="W208" s="38">
        <f>V208-U208</f>
        <v>0</v>
      </c>
    </row>
    <row r="209" spans="1:24" s="47" customFormat="1" ht="18" hidden="1" customHeight="1">
      <c r="A209" s="610"/>
      <c r="B209" s="576"/>
      <c r="C209" s="577"/>
      <c r="D209" s="178" t="str">
        <f>серпень!D209</f>
        <v>факт. нат.п-ки 2024</v>
      </c>
      <c r="E209" s="11"/>
      <c r="F209" s="12">
        <f t="shared" si="271"/>
        <v>0</v>
      </c>
      <c r="G209" s="12">
        <f t="shared" si="271"/>
        <v>0</v>
      </c>
      <c r="H209" s="12">
        <f t="shared" si="271"/>
        <v>0</v>
      </c>
      <c r="I209" s="12">
        <f t="shared" si="271"/>
        <v>0</v>
      </c>
      <c r="J209" s="12">
        <f>J224+J239</f>
        <v>0</v>
      </c>
      <c r="K209" s="12">
        <f t="shared" si="271"/>
        <v>0</v>
      </c>
      <c r="L209" s="44">
        <f>SUM(F209:K209)</f>
        <v>0</v>
      </c>
      <c r="M209" s="44">
        <f>L209/6</f>
        <v>0</v>
      </c>
      <c r="N209" s="11">
        <f t="shared" si="272"/>
        <v>0</v>
      </c>
      <c r="O209" s="11">
        <f t="shared" si="272"/>
        <v>0</v>
      </c>
      <c r="P209" s="11">
        <f t="shared" si="272"/>
        <v>0</v>
      </c>
      <c r="Q209" s="11">
        <f t="shared" si="272"/>
        <v>0</v>
      </c>
      <c r="R209" s="11">
        <f t="shared" si="272"/>
        <v>0</v>
      </c>
      <c r="S209" s="11">
        <f t="shared" si="272"/>
        <v>0</v>
      </c>
      <c r="T209" s="44">
        <f>SUM(N209:S209)</f>
        <v>0</v>
      </c>
      <c r="U209" s="45">
        <f>T209+L209</f>
        <v>0</v>
      </c>
      <c r="V209" s="46">
        <f>V224+V239</f>
        <v>0</v>
      </c>
      <c r="W209" s="38">
        <f>V209-U209</f>
        <v>0</v>
      </c>
    </row>
    <row r="210" spans="1:24" s="47" customFormat="1" ht="18" hidden="1" customHeight="1">
      <c r="A210" s="610"/>
      <c r="B210" s="576"/>
      <c r="C210" s="577"/>
      <c r="D210" s="178" t="str">
        <f>серпень!D210</f>
        <v>факт. нат.п-ки 2025</v>
      </c>
      <c r="E210" s="11"/>
      <c r="F210" s="12">
        <f t="shared" si="271"/>
        <v>0</v>
      </c>
      <c r="G210" s="12">
        <f t="shared" si="271"/>
        <v>0</v>
      </c>
      <c r="H210" s="12">
        <f t="shared" si="271"/>
        <v>0</v>
      </c>
      <c r="I210" s="12">
        <f t="shared" si="271"/>
        <v>0</v>
      </c>
      <c r="J210" s="12">
        <f>J225+J240</f>
        <v>0</v>
      </c>
      <c r="K210" s="12">
        <f t="shared" si="271"/>
        <v>0</v>
      </c>
      <c r="L210" s="44">
        <f>SUM(F210:K210)</f>
        <v>0</v>
      </c>
      <c r="M210" s="44">
        <f>L210/6</f>
        <v>0</v>
      </c>
      <c r="N210" s="12">
        <f t="shared" si="272"/>
        <v>0</v>
      </c>
      <c r="O210" s="12">
        <f t="shared" si="272"/>
        <v>0</v>
      </c>
      <c r="P210" s="12">
        <f t="shared" si="272"/>
        <v>0</v>
      </c>
      <c r="Q210" s="12">
        <f t="shared" si="272"/>
        <v>0</v>
      </c>
      <c r="R210" s="12">
        <f t="shared" si="272"/>
        <v>0</v>
      </c>
      <c r="S210" s="12">
        <f t="shared" si="272"/>
        <v>0</v>
      </c>
      <c r="T210" s="44">
        <f>SUM(N210:S210)</f>
        <v>0</v>
      </c>
      <c r="U210" s="45">
        <f>T210+L210</f>
        <v>0</v>
      </c>
      <c r="V210" s="46">
        <f>V225+V240</f>
        <v>0</v>
      </c>
      <c r="W210" s="38">
        <f>V210-U210</f>
        <v>0</v>
      </c>
    </row>
    <row r="211" spans="1:24" s="47" customFormat="1" ht="18" hidden="1" customHeight="1">
      <c r="A211" s="610"/>
      <c r="B211" s="576"/>
      <c r="C211" s="577"/>
      <c r="D211" s="187" t="str">
        <f>серпень!D211</f>
        <v>тариф, грн.</v>
      </c>
      <c r="E211" s="49"/>
      <c r="F211" s="49" t="e">
        <f>F212/F210*1000</f>
        <v>#DIV/0!</v>
      </c>
      <c r="G211" s="49" t="e">
        <f>G212/G210*1000</f>
        <v>#DIV/0!</v>
      </c>
      <c r="H211" s="49" t="e">
        <f>H212/H210*1000</f>
        <v>#DIV/0!</v>
      </c>
      <c r="I211" s="49" t="e">
        <f>I212/I210*1000</f>
        <v>#DIV/0!</v>
      </c>
      <c r="J211" s="49" t="e">
        <f>J212/J210*1000</f>
        <v>#DIV/0!</v>
      </c>
      <c r="K211" s="49" t="e">
        <f t="shared" ref="K211:S211" si="273">K212/K210*1000</f>
        <v>#DIV/0!</v>
      </c>
      <c r="L211" s="49" t="e">
        <f t="shared" si="273"/>
        <v>#DIV/0!</v>
      </c>
      <c r="M211" s="49" t="e">
        <f t="shared" si="273"/>
        <v>#DIV/0!</v>
      </c>
      <c r="N211" s="49" t="e">
        <f t="shared" si="273"/>
        <v>#DIV/0!</v>
      </c>
      <c r="O211" s="49" t="e">
        <f t="shared" si="273"/>
        <v>#DIV/0!</v>
      </c>
      <c r="P211" s="49" t="e">
        <f t="shared" si="273"/>
        <v>#DIV/0!</v>
      </c>
      <c r="Q211" s="49" t="e">
        <f t="shared" si="273"/>
        <v>#DIV/0!</v>
      </c>
      <c r="R211" s="49" t="e">
        <f t="shared" si="273"/>
        <v>#DIV/0!</v>
      </c>
      <c r="S211" s="49" t="e">
        <f t="shared" si="273"/>
        <v>#DIV/0!</v>
      </c>
      <c r="T211" s="49" t="e">
        <f>T212/T210*1000</f>
        <v>#DIV/0!</v>
      </c>
      <c r="U211" s="49" t="e">
        <f>U212/U210*1000</f>
        <v>#DIV/0!</v>
      </c>
      <c r="V211" s="49" t="e">
        <f>V212/V210*1000</f>
        <v>#DIV/0!</v>
      </c>
      <c r="W211" s="14" t="e">
        <f>W212/W210*1000</f>
        <v>#DIV/0!</v>
      </c>
    </row>
    <row r="212" spans="1:24" s="47" customFormat="1" ht="18" hidden="1" customHeight="1">
      <c r="A212" s="610"/>
      <c r="B212" s="576"/>
      <c r="C212" s="577"/>
      <c r="D212" s="191" t="str">
        <f>серпень!D212</f>
        <v>сума, тис.грн.</v>
      </c>
      <c r="E212" s="52"/>
      <c r="F212" s="52">
        <f t="shared" ref="F212:K215" si="274">F227+F242</f>
        <v>0</v>
      </c>
      <c r="G212" s="52">
        <f t="shared" si="274"/>
        <v>0</v>
      </c>
      <c r="H212" s="52">
        <f t="shared" si="274"/>
        <v>0</v>
      </c>
      <c r="I212" s="52">
        <f t="shared" si="274"/>
        <v>0</v>
      </c>
      <c r="J212" s="52">
        <f t="shared" si="274"/>
        <v>0</v>
      </c>
      <c r="K212" s="52">
        <f t="shared" si="274"/>
        <v>0</v>
      </c>
      <c r="L212" s="52">
        <f>SUM(F212:K212)</f>
        <v>0</v>
      </c>
      <c r="M212" s="52">
        <f>L212/6</f>
        <v>0</v>
      </c>
      <c r="N212" s="52">
        <f t="shared" ref="N212:S215" si="275">N227+N242</f>
        <v>0</v>
      </c>
      <c r="O212" s="52">
        <f t="shared" si="275"/>
        <v>0</v>
      </c>
      <c r="P212" s="52">
        <f t="shared" si="275"/>
        <v>0</v>
      </c>
      <c r="Q212" s="52">
        <f t="shared" si="275"/>
        <v>0</v>
      </c>
      <c r="R212" s="52">
        <f t="shared" si="275"/>
        <v>0</v>
      </c>
      <c r="S212" s="52">
        <f t="shared" si="275"/>
        <v>0</v>
      </c>
      <c r="T212" s="52">
        <f>SUM(N212:S212)</f>
        <v>0</v>
      </c>
      <c r="U212" s="52">
        <f>T212+L212</f>
        <v>0</v>
      </c>
      <c r="V212" s="53">
        <f>V227+V242</f>
        <v>0</v>
      </c>
      <c r="W212" s="53">
        <f>V212-U212</f>
        <v>0</v>
      </c>
    </row>
    <row r="213" spans="1:24" s="47" customFormat="1" ht="18" hidden="1" customHeight="1">
      <c r="A213" s="610"/>
      <c r="B213" s="576"/>
      <c r="C213" s="577"/>
      <c r="D213" s="174" t="str">
        <f>серпень!D213</f>
        <v>дотація</v>
      </c>
      <c r="E213" s="56"/>
      <c r="F213" s="52">
        <f t="shared" si="274"/>
        <v>0</v>
      </c>
      <c r="G213" s="52">
        <f t="shared" si="274"/>
        <v>0</v>
      </c>
      <c r="H213" s="52">
        <f t="shared" si="274"/>
        <v>0</v>
      </c>
      <c r="I213" s="52">
        <f t="shared" si="274"/>
        <v>0</v>
      </c>
      <c r="J213" s="52">
        <f>J228+J243</f>
        <v>0</v>
      </c>
      <c r="K213" s="52">
        <f t="shared" si="274"/>
        <v>0</v>
      </c>
      <c r="L213" s="52">
        <f>SUM(F213:K213)</f>
        <v>0</v>
      </c>
      <c r="M213" s="52">
        <f>L213/6</f>
        <v>0</v>
      </c>
      <c r="N213" s="52">
        <f t="shared" si="275"/>
        <v>0</v>
      </c>
      <c r="O213" s="52">
        <f t="shared" si="275"/>
        <v>0</v>
      </c>
      <c r="P213" s="52">
        <f t="shared" si="275"/>
        <v>0</v>
      </c>
      <c r="Q213" s="52">
        <f t="shared" si="275"/>
        <v>0</v>
      </c>
      <c r="R213" s="52">
        <f t="shared" si="275"/>
        <v>0</v>
      </c>
      <c r="S213" s="52">
        <f t="shared" si="275"/>
        <v>0</v>
      </c>
      <c r="T213" s="52">
        <f>SUM(N213:S213)</f>
        <v>0</v>
      </c>
      <c r="U213" s="52">
        <f>T213+L213</f>
        <v>0</v>
      </c>
      <c r="V213" s="53">
        <f>V228+V243</f>
        <v>0</v>
      </c>
      <c r="W213" s="57">
        <f>V213-U213</f>
        <v>0</v>
      </c>
    </row>
    <row r="214" spans="1:24" s="47" customFormat="1" ht="18" hidden="1" customHeight="1">
      <c r="A214" s="610"/>
      <c r="B214" s="576"/>
      <c r="C214" s="577"/>
      <c r="D214" s="174" t="str">
        <f>серпень!D214</f>
        <v>місцевий (план), тис.грн</v>
      </c>
      <c r="E214" s="56"/>
      <c r="F214" s="52">
        <f t="shared" si="274"/>
        <v>0</v>
      </c>
      <c r="G214" s="52">
        <f t="shared" si="274"/>
        <v>0</v>
      </c>
      <c r="H214" s="52">
        <f t="shared" si="274"/>
        <v>0</v>
      </c>
      <c r="I214" s="52">
        <f t="shared" si="274"/>
        <v>0</v>
      </c>
      <c r="J214" s="52">
        <f>J229+J244</f>
        <v>0</v>
      </c>
      <c r="K214" s="52">
        <f t="shared" si="274"/>
        <v>0</v>
      </c>
      <c r="L214" s="52">
        <f>SUM(F214:K214)</f>
        <v>0</v>
      </c>
      <c r="M214" s="52">
        <f>L214/6</f>
        <v>0</v>
      </c>
      <c r="N214" s="52">
        <f t="shared" si="275"/>
        <v>0</v>
      </c>
      <c r="O214" s="52">
        <f t="shared" si="275"/>
        <v>0</v>
      </c>
      <c r="P214" s="52">
        <f t="shared" si="275"/>
        <v>0</v>
      </c>
      <c r="Q214" s="52">
        <f t="shared" si="275"/>
        <v>0</v>
      </c>
      <c r="R214" s="52">
        <f t="shared" si="275"/>
        <v>0</v>
      </c>
      <c r="S214" s="52">
        <f t="shared" si="275"/>
        <v>0</v>
      </c>
      <c r="T214" s="52">
        <f>SUM(N214:S214)</f>
        <v>0</v>
      </c>
      <c r="U214" s="52">
        <f>T214+L214</f>
        <v>0</v>
      </c>
      <c r="V214" s="53">
        <f>V229+V244</f>
        <v>0</v>
      </c>
      <c r="W214" s="53">
        <f>V214-U214</f>
        <v>0</v>
      </c>
    </row>
    <row r="215" spans="1:24" s="47" customFormat="1" ht="18" hidden="1" customHeight="1">
      <c r="A215" s="610"/>
      <c r="B215" s="576"/>
      <c r="C215" s="577"/>
      <c r="D215" s="178" t="str">
        <f>серпень!D215</f>
        <v>касові нат.п-ки 2025</v>
      </c>
      <c r="E215" s="11">
        <f>E230+E245</f>
        <v>0</v>
      </c>
      <c r="F215" s="11">
        <f t="shared" si="274"/>
        <v>0</v>
      </c>
      <c r="G215" s="11">
        <f t="shared" si="274"/>
        <v>0</v>
      </c>
      <c r="H215" s="11">
        <f t="shared" si="274"/>
        <v>0</v>
      </c>
      <c r="I215" s="11">
        <f t="shared" si="274"/>
        <v>0</v>
      </c>
      <c r="J215" s="11">
        <f>J230+J245</f>
        <v>0</v>
      </c>
      <c r="K215" s="11">
        <f t="shared" si="274"/>
        <v>0</v>
      </c>
      <c r="L215" s="44">
        <f>SUM(F215:K215)</f>
        <v>0</v>
      </c>
      <c r="M215" s="44">
        <f>L215/6</f>
        <v>0</v>
      </c>
      <c r="N215" s="11">
        <f t="shared" si="275"/>
        <v>0</v>
      </c>
      <c r="O215" s="11">
        <f t="shared" si="275"/>
        <v>0</v>
      </c>
      <c r="P215" s="11">
        <f t="shared" si="275"/>
        <v>0</v>
      </c>
      <c r="Q215" s="11">
        <f t="shared" si="275"/>
        <v>0</v>
      </c>
      <c r="R215" s="11">
        <f t="shared" si="275"/>
        <v>0</v>
      </c>
      <c r="S215" s="11">
        <f t="shared" si="275"/>
        <v>0</v>
      </c>
      <c r="T215" s="44">
        <f>SUM(N215:S215)</f>
        <v>0</v>
      </c>
      <c r="U215" s="44">
        <f>T215+L215</f>
        <v>0</v>
      </c>
      <c r="V215" s="38">
        <f>V230+V245</f>
        <v>0</v>
      </c>
      <c r="W215" s="38">
        <f>V215-U215</f>
        <v>0</v>
      </c>
      <c r="X215" s="47">
        <f>U210-U215</f>
        <v>0</v>
      </c>
    </row>
    <row r="216" spans="1:24" s="47" customFormat="1" ht="18" hidden="1" customHeight="1">
      <c r="A216" s="610"/>
      <c r="B216" s="576"/>
      <c r="C216" s="577"/>
      <c r="D216" s="187" t="str">
        <f>серпень!D216</f>
        <v>тариф, грн.</v>
      </c>
      <c r="E216" s="49" t="e">
        <f t="shared" ref="E216:S216" si="276">E217/E215*1000</f>
        <v>#DIV/0!</v>
      </c>
      <c r="F216" s="49" t="e">
        <f t="shared" si="276"/>
        <v>#DIV/0!</v>
      </c>
      <c r="G216" s="49" t="e">
        <f t="shared" si="276"/>
        <v>#DIV/0!</v>
      </c>
      <c r="H216" s="49" t="e">
        <f t="shared" si="276"/>
        <v>#DIV/0!</v>
      </c>
      <c r="I216" s="49" t="e">
        <f t="shared" si="276"/>
        <v>#DIV/0!</v>
      </c>
      <c r="J216" s="49" t="e">
        <f t="shared" si="276"/>
        <v>#DIV/0!</v>
      </c>
      <c r="K216" s="49" t="e">
        <f t="shared" si="276"/>
        <v>#DIV/0!</v>
      </c>
      <c r="L216" s="49" t="e">
        <f t="shared" si="276"/>
        <v>#DIV/0!</v>
      </c>
      <c r="M216" s="49" t="e">
        <f t="shared" si="276"/>
        <v>#DIV/0!</v>
      </c>
      <c r="N216" s="49" t="e">
        <f t="shared" si="276"/>
        <v>#DIV/0!</v>
      </c>
      <c r="O216" s="49" t="e">
        <f t="shared" si="276"/>
        <v>#DIV/0!</v>
      </c>
      <c r="P216" s="49" t="e">
        <f t="shared" si="276"/>
        <v>#DIV/0!</v>
      </c>
      <c r="Q216" s="49" t="e">
        <f t="shared" si="276"/>
        <v>#DIV/0!</v>
      </c>
      <c r="R216" s="49" t="e">
        <f t="shared" si="276"/>
        <v>#DIV/0!</v>
      </c>
      <c r="S216" s="49" t="e">
        <f t="shared" si="276"/>
        <v>#DIV/0!</v>
      </c>
      <c r="T216" s="49" t="e">
        <f>T217/T215*1000</f>
        <v>#DIV/0!</v>
      </c>
      <c r="U216" s="49" t="e">
        <f>U217/U215*1000</f>
        <v>#DIV/0!</v>
      </c>
      <c r="V216" s="49" t="e">
        <f>V217/V215*1000</f>
        <v>#DIV/0!</v>
      </c>
      <c r="W216" s="14" t="e">
        <f>W217/W215*1000</f>
        <v>#DIV/0!</v>
      </c>
    </row>
    <row r="217" spans="1:24" s="63" customFormat="1" ht="18" hidden="1" customHeight="1">
      <c r="A217" s="610"/>
      <c r="B217" s="576"/>
      <c r="C217" s="577"/>
      <c r="D217" s="198" t="str">
        <f>серпень!D217</f>
        <v>касові видатки, тис.грн.</v>
      </c>
      <c r="E217" s="60">
        <f t="shared" ref="E217:K219" si="277">E232+E247</f>
        <v>0</v>
      </c>
      <c r="F217" s="61">
        <f t="shared" si="277"/>
        <v>0</v>
      </c>
      <c r="G217" s="61">
        <f t="shared" si="277"/>
        <v>0</v>
      </c>
      <c r="H217" s="61">
        <f t="shared" si="277"/>
        <v>0</v>
      </c>
      <c r="I217" s="61">
        <f t="shared" si="277"/>
        <v>0</v>
      </c>
      <c r="J217" s="61">
        <f t="shared" si="277"/>
        <v>0</v>
      </c>
      <c r="K217" s="61">
        <f t="shared" si="277"/>
        <v>0</v>
      </c>
      <c r="L217" s="61">
        <f>SUM(F217:K217)</f>
        <v>0</v>
      </c>
      <c r="M217" s="61">
        <f>L217/6</f>
        <v>0</v>
      </c>
      <c r="N217" s="61">
        <f t="shared" ref="N217:S219" si="278">N232+N247</f>
        <v>0</v>
      </c>
      <c r="O217" s="61">
        <f t="shared" si="278"/>
        <v>0</v>
      </c>
      <c r="P217" s="61">
        <f t="shared" si="278"/>
        <v>0</v>
      </c>
      <c r="Q217" s="61">
        <f t="shared" si="278"/>
        <v>0</v>
      </c>
      <c r="R217" s="61">
        <f t="shared" si="278"/>
        <v>0</v>
      </c>
      <c r="S217" s="61">
        <f t="shared" si="278"/>
        <v>0</v>
      </c>
      <c r="T217" s="61">
        <f>SUM(N217:S217)</f>
        <v>0</v>
      </c>
      <c r="U217" s="61">
        <f>T217+L217</f>
        <v>0</v>
      </c>
      <c r="V217" s="62">
        <f>V232+V247</f>
        <v>0</v>
      </c>
      <c r="W217" s="62">
        <f>V217-U217</f>
        <v>0</v>
      </c>
      <c r="X217" s="63">
        <f>U212-U217</f>
        <v>0</v>
      </c>
    </row>
    <row r="218" spans="1:24" s="63" customFormat="1" ht="18" hidden="1" customHeight="1">
      <c r="A218" s="610"/>
      <c r="B218" s="576"/>
      <c r="C218" s="577"/>
      <c r="D218" s="201" t="str">
        <f>серпень!D218</f>
        <v>дотація</v>
      </c>
      <c r="E218" s="60"/>
      <c r="F218" s="61">
        <f t="shared" si="277"/>
        <v>0</v>
      </c>
      <c r="G218" s="61">
        <f t="shared" si="277"/>
        <v>0</v>
      </c>
      <c r="H218" s="61">
        <f t="shared" si="277"/>
        <v>0</v>
      </c>
      <c r="I218" s="61">
        <f t="shared" si="277"/>
        <v>0</v>
      </c>
      <c r="J218" s="61">
        <f>J233+J248</f>
        <v>0</v>
      </c>
      <c r="K218" s="61">
        <f t="shared" si="277"/>
        <v>0</v>
      </c>
      <c r="L218" s="61">
        <f>SUM(F218:K218)</f>
        <v>0</v>
      </c>
      <c r="M218" s="61">
        <f>L218/6</f>
        <v>0</v>
      </c>
      <c r="N218" s="61">
        <f t="shared" si="278"/>
        <v>0</v>
      </c>
      <c r="O218" s="61">
        <f t="shared" si="278"/>
        <v>0</v>
      </c>
      <c r="P218" s="61">
        <f t="shared" si="278"/>
        <v>0</v>
      </c>
      <c r="Q218" s="61">
        <f t="shared" si="278"/>
        <v>0</v>
      </c>
      <c r="R218" s="61">
        <f t="shared" si="278"/>
        <v>0</v>
      </c>
      <c r="S218" s="61">
        <f t="shared" si="278"/>
        <v>0</v>
      </c>
      <c r="T218" s="61">
        <f>SUM(N218:S218)</f>
        <v>0</v>
      </c>
      <c r="U218" s="61">
        <f>T218+L218</f>
        <v>0</v>
      </c>
      <c r="V218" s="62">
        <f>V233+V248</f>
        <v>0</v>
      </c>
      <c r="W218" s="62">
        <f>V218-U218</f>
        <v>0</v>
      </c>
      <c r="X218" s="63">
        <f>U213-U218</f>
        <v>0</v>
      </c>
    </row>
    <row r="219" spans="1:24" s="63" customFormat="1" ht="18" hidden="1" customHeight="1">
      <c r="A219" s="610"/>
      <c r="B219" s="576"/>
      <c r="C219" s="577"/>
      <c r="D219" s="201" t="str">
        <f>серпень!D219</f>
        <v xml:space="preserve">місцевий </v>
      </c>
      <c r="E219" s="60"/>
      <c r="F219" s="61">
        <f t="shared" si="277"/>
        <v>0</v>
      </c>
      <c r="G219" s="61">
        <f t="shared" si="277"/>
        <v>0</v>
      </c>
      <c r="H219" s="61">
        <f t="shared" si="277"/>
        <v>0</v>
      </c>
      <c r="I219" s="61">
        <f t="shared" si="277"/>
        <v>0</v>
      </c>
      <c r="J219" s="61">
        <f>J234+J249</f>
        <v>0</v>
      </c>
      <c r="K219" s="61">
        <f t="shared" si="277"/>
        <v>0</v>
      </c>
      <c r="L219" s="61">
        <f>SUM(F219:K219)</f>
        <v>0</v>
      </c>
      <c r="M219" s="61">
        <f>L219/6</f>
        <v>0</v>
      </c>
      <c r="N219" s="61">
        <f t="shared" si="278"/>
        <v>0</v>
      </c>
      <c r="O219" s="61">
        <f t="shared" si="278"/>
        <v>0</v>
      </c>
      <c r="P219" s="61">
        <f t="shared" si="278"/>
        <v>0</v>
      </c>
      <c r="Q219" s="61">
        <f t="shared" si="278"/>
        <v>0</v>
      </c>
      <c r="R219" s="61">
        <f t="shared" si="278"/>
        <v>0</v>
      </c>
      <c r="S219" s="61">
        <f t="shared" si="278"/>
        <v>0</v>
      </c>
      <c r="T219" s="61">
        <f>SUM(N219:S219)</f>
        <v>0</v>
      </c>
      <c r="U219" s="61">
        <f>T219+L219</f>
        <v>0</v>
      </c>
      <c r="V219" s="62">
        <f>V234+V249</f>
        <v>0</v>
      </c>
      <c r="W219" s="62">
        <f>V219-U219</f>
        <v>0</v>
      </c>
      <c r="X219" s="63">
        <f>U214-U219</f>
        <v>0</v>
      </c>
    </row>
    <row r="220" spans="1:24" s="43" customFormat="1" ht="18" hidden="1" customHeight="1">
      <c r="A220" s="610"/>
      <c r="B220" s="576"/>
      <c r="C220" s="577"/>
      <c r="D220" s="202" t="str">
        <f>серпень!D220</f>
        <v>план</v>
      </c>
      <c r="E220" s="42"/>
      <c r="F220" s="42">
        <f t="shared" ref="F220:K220" si="279">F214</f>
        <v>0</v>
      </c>
      <c r="G220" s="42">
        <f t="shared" si="279"/>
        <v>0</v>
      </c>
      <c r="H220" s="42">
        <f t="shared" si="279"/>
        <v>0</v>
      </c>
      <c r="I220" s="42">
        <f t="shared" si="279"/>
        <v>0</v>
      </c>
      <c r="J220" s="42">
        <f t="shared" si="279"/>
        <v>0</v>
      </c>
      <c r="K220" s="42">
        <f t="shared" si="279"/>
        <v>0</v>
      </c>
      <c r="L220" s="42">
        <f>SUM(F220:K220)</f>
        <v>0</v>
      </c>
      <c r="M220" s="42">
        <f>L220/6</f>
        <v>0</v>
      </c>
      <c r="N220" s="42">
        <f t="shared" ref="N220:S220" si="280">N214+N213</f>
        <v>0</v>
      </c>
      <c r="O220" s="42">
        <f t="shared" si="280"/>
        <v>0</v>
      </c>
      <c r="P220" s="42">
        <f t="shared" si="280"/>
        <v>0</v>
      </c>
      <c r="Q220" s="42">
        <f t="shared" si="280"/>
        <v>0</v>
      </c>
      <c r="R220" s="42">
        <f t="shared" si="280"/>
        <v>0</v>
      </c>
      <c r="S220" s="42">
        <f t="shared" si="280"/>
        <v>0</v>
      </c>
      <c r="T220" s="42">
        <f>SUM(N220:S220)</f>
        <v>0</v>
      </c>
      <c r="U220" s="42">
        <f>T220+L220</f>
        <v>0</v>
      </c>
      <c r="V220" s="64">
        <f>V235+V250</f>
        <v>0</v>
      </c>
      <c r="W220" s="64">
        <f>V220-U220</f>
        <v>0</v>
      </c>
    </row>
    <row r="221" spans="1:24" s="43" customFormat="1" ht="18" hidden="1" customHeight="1">
      <c r="A221" s="610"/>
      <c r="B221" s="576"/>
      <c r="C221" s="577"/>
      <c r="D221" s="202" t="str">
        <f>серпень!D221</f>
        <v xml:space="preserve">відхилення </v>
      </c>
      <c r="E221" s="42"/>
      <c r="F221" s="42">
        <f t="shared" ref="F221:K221" si="281">F217-F220</f>
        <v>0</v>
      </c>
      <c r="G221" s="42">
        <f t="shared" si="281"/>
        <v>0</v>
      </c>
      <c r="H221" s="42">
        <f t="shared" si="281"/>
        <v>0</v>
      </c>
      <c r="I221" s="42">
        <f t="shared" si="281"/>
        <v>0</v>
      </c>
      <c r="J221" s="42">
        <f t="shared" si="281"/>
        <v>0</v>
      </c>
      <c r="K221" s="42">
        <f t="shared" si="281"/>
        <v>0</v>
      </c>
      <c r="L221" s="42"/>
      <c r="M221" s="42"/>
      <c r="N221" s="42">
        <f t="shared" ref="N221:S221" si="282">N217-N220</f>
        <v>0</v>
      </c>
      <c r="O221" s="42">
        <f t="shared" si="282"/>
        <v>0</v>
      </c>
      <c r="P221" s="42">
        <f t="shared" si="282"/>
        <v>0</v>
      </c>
      <c r="Q221" s="42">
        <f t="shared" si="282"/>
        <v>0</v>
      </c>
      <c r="R221" s="42">
        <f t="shared" si="282"/>
        <v>0</v>
      </c>
      <c r="S221" s="42">
        <f t="shared" si="282"/>
        <v>0</v>
      </c>
      <c r="T221" s="42"/>
      <c r="U221" s="42"/>
      <c r="V221" s="42"/>
      <c r="W221" s="42"/>
    </row>
    <row r="222" spans="1:24" s="43" customFormat="1" ht="18" hidden="1" customHeight="1">
      <c r="A222" s="610"/>
      <c r="B222" s="576"/>
      <c r="C222" s="577"/>
      <c r="D222" s="202" t="str">
        <f>серпень!D222</f>
        <v>відхилення з наростаючим</v>
      </c>
      <c r="E222" s="42"/>
      <c r="F222" s="42">
        <f>F221</f>
        <v>0</v>
      </c>
      <c r="G222" s="42">
        <f>G221+F222</f>
        <v>0</v>
      </c>
      <c r="H222" s="42">
        <f>H221+G222</f>
        <v>0</v>
      </c>
      <c r="I222" s="42">
        <f>I221+H222</f>
        <v>0</v>
      </c>
      <c r="J222" s="42">
        <f>J221+I222</f>
        <v>0</v>
      </c>
      <c r="K222" s="42">
        <f>K221+J222</f>
        <v>0</v>
      </c>
      <c r="L222" s="42"/>
      <c r="M222" s="42"/>
      <c r="N222" s="42">
        <f>N221+K222</f>
        <v>0</v>
      </c>
      <c r="O222" s="42">
        <f>O221+N222</f>
        <v>0</v>
      </c>
      <c r="P222" s="42">
        <f>P221+O222</f>
        <v>0</v>
      </c>
      <c r="Q222" s="42">
        <f>Q221+P222</f>
        <v>0</v>
      </c>
      <c r="R222" s="42">
        <f>R221+Q222</f>
        <v>0</v>
      </c>
      <c r="S222" s="42">
        <f>S221+R222</f>
        <v>0</v>
      </c>
      <c r="T222" s="42"/>
      <c r="U222" s="42"/>
      <c r="V222" s="42"/>
      <c r="W222" s="42"/>
    </row>
    <row r="223" spans="1:24" s="48" customFormat="1" ht="18" hidden="1" customHeight="1">
      <c r="A223" s="610"/>
      <c r="B223" s="581" t="s">
        <v>91</v>
      </c>
      <c r="C223" s="581"/>
      <c r="D223" s="178" t="str">
        <f>серпень!D223</f>
        <v>факт. нат.п-ки 2023</v>
      </c>
      <c r="E223" s="11"/>
      <c r="F223" s="12"/>
      <c r="G223" s="12"/>
      <c r="H223" s="12"/>
      <c r="I223" s="12"/>
      <c r="J223" s="12"/>
      <c r="K223" s="12"/>
      <c r="L223" s="65">
        <f>SUM(F223:K223)</f>
        <v>0</v>
      </c>
      <c r="M223" s="65">
        <f>L223/6</f>
        <v>0</v>
      </c>
      <c r="N223" s="12"/>
      <c r="O223" s="12"/>
      <c r="P223" s="12"/>
      <c r="Q223" s="12"/>
      <c r="R223" s="12"/>
      <c r="S223" s="12"/>
      <c r="T223" s="65">
        <f>SUM(N223:S223)</f>
        <v>0</v>
      </c>
      <c r="U223" s="66">
        <f>T223+L223</f>
        <v>0</v>
      </c>
      <c r="V223" s="67"/>
      <c r="W223" s="38">
        <f>V223-U223</f>
        <v>0</v>
      </c>
      <c r="X223" s="47"/>
    </row>
    <row r="224" spans="1:24" s="48" customFormat="1" ht="18" hidden="1" customHeight="1">
      <c r="A224" s="610"/>
      <c r="B224" s="581"/>
      <c r="C224" s="581"/>
      <c r="D224" s="178" t="str">
        <f>серпень!D224</f>
        <v>факт. нат.п-ки 2024</v>
      </c>
      <c r="E224" s="11"/>
      <c r="F224" s="12"/>
      <c r="G224" s="12"/>
      <c r="H224" s="12"/>
      <c r="I224" s="12"/>
      <c r="J224" s="12"/>
      <c r="K224" s="12"/>
      <c r="L224" s="65">
        <f>SUM(F224:K224)</f>
        <v>0</v>
      </c>
      <c r="M224" s="65">
        <f>L224/6</f>
        <v>0</v>
      </c>
      <c r="N224" s="11"/>
      <c r="O224" s="11"/>
      <c r="P224" s="11"/>
      <c r="Q224" s="11"/>
      <c r="R224" s="11"/>
      <c r="S224" s="11"/>
      <c r="T224" s="65">
        <f>SUM(N224:S224)</f>
        <v>0</v>
      </c>
      <c r="U224" s="66">
        <f>T224+L224</f>
        <v>0</v>
      </c>
      <c r="V224" s="67"/>
      <c r="W224" s="38">
        <f>V224-U224</f>
        <v>0</v>
      </c>
      <c r="X224" s="47"/>
    </row>
    <row r="225" spans="1:24" s="48" customFormat="1" ht="18" hidden="1" customHeight="1">
      <c r="A225" s="610"/>
      <c r="B225" s="581"/>
      <c r="C225" s="581"/>
      <c r="D225" s="178" t="str">
        <f>серпень!D225</f>
        <v>факт. нат.п-ки 2025</v>
      </c>
      <c r="E225" s="11"/>
      <c r="F225" s="12"/>
      <c r="G225" s="12"/>
      <c r="H225" s="12"/>
      <c r="I225" s="12"/>
      <c r="J225" s="12"/>
      <c r="K225" s="12"/>
      <c r="L225" s="65">
        <f>SUM(F225:K225)</f>
        <v>0</v>
      </c>
      <c r="M225" s="65">
        <f>L225/6</f>
        <v>0</v>
      </c>
      <c r="N225" s="12"/>
      <c r="O225" s="12"/>
      <c r="P225" s="12"/>
      <c r="Q225" s="12"/>
      <c r="R225" s="12"/>
      <c r="S225" s="11"/>
      <c r="T225" s="65">
        <f>SUM(N225:S225)</f>
        <v>0</v>
      </c>
      <c r="U225" s="66">
        <f>T225+L225</f>
        <v>0</v>
      </c>
      <c r="V225" s="11"/>
      <c r="W225" s="38">
        <f>V225-U225</f>
        <v>0</v>
      </c>
      <c r="X225" s="47"/>
    </row>
    <row r="226" spans="1:24" s="51" customFormat="1" ht="18" hidden="1" customHeight="1">
      <c r="A226" s="610"/>
      <c r="B226" s="581"/>
      <c r="C226" s="581"/>
      <c r="D226" s="187" t="str">
        <f>серпень!D226</f>
        <v>тариф, грн.</v>
      </c>
      <c r="E226" s="49"/>
      <c r="F226" s="49">
        <v>3501.96</v>
      </c>
      <c r="G226" s="49">
        <v>3501.96</v>
      </c>
      <c r="H226" s="49">
        <v>3501.96</v>
      </c>
      <c r="I226" s="49">
        <v>3501.96</v>
      </c>
      <c r="J226" s="49">
        <v>3501.96</v>
      </c>
      <c r="K226" s="49">
        <v>3501.96</v>
      </c>
      <c r="L226" s="49" t="e">
        <f>L227/L225*1000</f>
        <v>#DIV/0!</v>
      </c>
      <c r="M226" s="49" t="e">
        <f>M227/M225*1000</f>
        <v>#DIV/0!</v>
      </c>
      <c r="N226" s="49">
        <v>3501.96</v>
      </c>
      <c r="O226" s="49">
        <v>3501.96</v>
      </c>
      <c r="P226" s="49">
        <v>3501.96</v>
      </c>
      <c r="Q226" s="49">
        <v>3501.96</v>
      </c>
      <c r="R226" s="49">
        <v>3501.96</v>
      </c>
      <c r="S226" s="49">
        <v>3501.96</v>
      </c>
      <c r="T226" s="49" t="e">
        <f>T227/T225*1000</f>
        <v>#DIV/0!</v>
      </c>
      <c r="U226" s="49" t="e">
        <f>U227/U225*1000</f>
        <v>#DIV/0!</v>
      </c>
      <c r="V226" s="68" t="e">
        <f>V227/V225*1000</f>
        <v>#DIV/0!</v>
      </c>
      <c r="W226" s="14" t="e">
        <f>W227/W225*1000</f>
        <v>#DIV/0!</v>
      </c>
      <c r="X226" s="59"/>
    </row>
    <row r="227" spans="1:24" s="55" customFormat="1" ht="18" hidden="1" customHeight="1">
      <c r="A227" s="610"/>
      <c r="B227" s="581"/>
      <c r="C227" s="581"/>
      <c r="D227" s="191" t="str">
        <f>серпень!D227</f>
        <v>сума, тис.грн.</v>
      </c>
      <c r="E227" s="52"/>
      <c r="F227" s="52">
        <f t="shared" ref="F227:K227" si="283">F225*F226/1000</f>
        <v>0</v>
      </c>
      <c r="G227" s="52">
        <f t="shared" si="283"/>
        <v>0</v>
      </c>
      <c r="H227" s="52">
        <f t="shared" si="283"/>
        <v>0</v>
      </c>
      <c r="I227" s="52">
        <f t="shared" si="283"/>
        <v>0</v>
      </c>
      <c r="J227" s="52">
        <f t="shared" si="283"/>
        <v>0</v>
      </c>
      <c r="K227" s="52">
        <f t="shared" si="283"/>
        <v>0</v>
      </c>
      <c r="L227" s="69">
        <f>SUM(F227:K227)</f>
        <v>0</v>
      </c>
      <c r="M227" s="69">
        <f>L227/6</f>
        <v>0</v>
      </c>
      <c r="N227" s="52">
        <f t="shared" ref="N227:S227" si="284">N225*N226/1000</f>
        <v>0</v>
      </c>
      <c r="O227" s="52">
        <f t="shared" si="284"/>
        <v>0</v>
      </c>
      <c r="P227" s="52">
        <f t="shared" si="284"/>
        <v>0</v>
      </c>
      <c r="Q227" s="52">
        <f t="shared" si="284"/>
        <v>0</v>
      </c>
      <c r="R227" s="52">
        <f t="shared" si="284"/>
        <v>0</v>
      </c>
      <c r="S227" s="52">
        <f t="shared" si="284"/>
        <v>0</v>
      </c>
      <c r="T227" s="69">
        <f>SUM(N227:S227)</f>
        <v>0</v>
      </c>
      <c r="U227" s="69">
        <f>T227+L227</f>
        <v>0</v>
      </c>
      <c r="V227" s="70">
        <f>V228+V229</f>
        <v>0</v>
      </c>
      <c r="W227" s="53">
        <f>V227-U227</f>
        <v>0</v>
      </c>
      <c r="X227" s="54">
        <f>2726951.723/1000</f>
        <v>2726.9520000000002</v>
      </c>
    </row>
    <row r="228" spans="1:24" s="55" customFormat="1" ht="18" hidden="1" customHeight="1">
      <c r="A228" s="610"/>
      <c r="B228" s="581"/>
      <c r="C228" s="581"/>
      <c r="D228" s="174" t="str">
        <f>серпень!D228</f>
        <v>дотація</v>
      </c>
      <c r="E228" s="56"/>
      <c r="F228" s="52"/>
      <c r="G228" s="52"/>
      <c r="H228" s="52"/>
      <c r="I228" s="52"/>
      <c r="J228" s="52"/>
      <c r="K228" s="52"/>
      <c r="L228" s="69">
        <f>SUM(F228:K228)</f>
        <v>0</v>
      </c>
      <c r="M228" s="69">
        <f>L228/6</f>
        <v>0</v>
      </c>
      <c r="N228" s="52"/>
      <c r="O228" s="52"/>
      <c r="P228" s="52"/>
      <c r="Q228" s="52"/>
      <c r="R228" s="52"/>
      <c r="S228" s="52"/>
      <c r="T228" s="69">
        <f>SUM(N228:S228)</f>
        <v>0</v>
      </c>
      <c r="U228" s="69">
        <f>T228+L228</f>
        <v>0</v>
      </c>
      <c r="V228" s="70">
        <v>0</v>
      </c>
      <c r="W228" s="53">
        <f>V228-U228</f>
        <v>0</v>
      </c>
      <c r="X228" s="58"/>
    </row>
    <row r="229" spans="1:24" s="55" customFormat="1" ht="18" hidden="1" customHeight="1">
      <c r="A229" s="610"/>
      <c r="B229" s="581"/>
      <c r="C229" s="581"/>
      <c r="D229" s="174" t="str">
        <f>серпень!D229</f>
        <v>місцевий (план), тис.грн</v>
      </c>
      <c r="E229" s="56"/>
      <c r="F229" s="52"/>
      <c r="G229" s="52"/>
      <c r="H229" s="52"/>
      <c r="I229" s="52"/>
      <c r="J229" s="52"/>
      <c r="K229" s="52"/>
      <c r="L229" s="69">
        <f>SUM(F229:K229)</f>
        <v>0</v>
      </c>
      <c r="M229" s="69">
        <f>L229/6</f>
        <v>0</v>
      </c>
      <c r="N229" s="52"/>
      <c r="O229" s="52"/>
      <c r="P229" s="52"/>
      <c r="Q229" s="52"/>
      <c r="R229" s="52"/>
      <c r="S229" s="52"/>
      <c r="T229" s="69">
        <f>SUM(N229:S229)</f>
        <v>0</v>
      </c>
      <c r="U229" s="69">
        <f>T229+L229</f>
        <v>0</v>
      </c>
      <c r="V229" s="70"/>
      <c r="W229" s="53">
        <f>V229-U229</f>
        <v>0</v>
      </c>
      <c r="X229" s="58"/>
    </row>
    <row r="230" spans="1:24" s="48" customFormat="1" ht="18" hidden="1" customHeight="1">
      <c r="A230" s="610"/>
      <c r="B230" s="581"/>
      <c r="C230" s="581"/>
      <c r="D230" s="178" t="str">
        <f>серпень!D230</f>
        <v>касові нат.п-ки 2025</v>
      </c>
      <c r="E230" s="11"/>
      <c r="F230" s="11"/>
      <c r="G230" s="11"/>
      <c r="H230" s="11"/>
      <c r="I230" s="11"/>
      <c r="J230" s="11"/>
      <c r="K230" s="11"/>
      <c r="L230" s="65">
        <f>SUM(F230:K230)</f>
        <v>0</v>
      </c>
      <c r="M230" s="65">
        <f>L230/6</f>
        <v>0</v>
      </c>
      <c r="N230" s="11"/>
      <c r="O230" s="11"/>
      <c r="P230" s="11"/>
      <c r="Q230" s="11"/>
      <c r="R230" s="11"/>
      <c r="S230" s="11">
        <f>S225+R225</f>
        <v>0</v>
      </c>
      <c r="T230" s="65">
        <f>SUM(N230:S230)</f>
        <v>0</v>
      </c>
      <c r="U230" s="65">
        <f>T230+L230</f>
        <v>0</v>
      </c>
      <c r="V230" s="11">
        <f>V225</f>
        <v>0</v>
      </c>
      <c r="W230" s="38">
        <f>V230-U230</f>
        <v>0</v>
      </c>
      <c r="X230" s="47">
        <f>U225-U230</f>
        <v>0</v>
      </c>
    </row>
    <row r="231" spans="1:24" s="51" customFormat="1" ht="18" hidden="1" customHeight="1">
      <c r="A231" s="610"/>
      <c r="B231" s="581"/>
      <c r="C231" s="581"/>
      <c r="D231" s="187" t="str">
        <f>серпень!D231</f>
        <v>тариф, грн.</v>
      </c>
      <c r="E231" s="49" t="e">
        <f>E232/E230*1000</f>
        <v>#DIV/0!</v>
      </c>
      <c r="F231" s="49">
        <v>3501.96</v>
      </c>
      <c r="G231" s="49">
        <v>3501.96</v>
      </c>
      <c r="H231" s="49">
        <v>3501.96</v>
      </c>
      <c r="I231" s="49">
        <v>3501.96</v>
      </c>
      <c r="J231" s="49">
        <v>3501.96</v>
      </c>
      <c r="K231" s="49">
        <v>3501.96</v>
      </c>
      <c r="L231" s="49" t="e">
        <f>L232/L230*1000</f>
        <v>#DIV/0!</v>
      </c>
      <c r="M231" s="49" t="e">
        <f>M232/M230*1000</f>
        <v>#DIV/0!</v>
      </c>
      <c r="N231" s="49">
        <v>3501.96</v>
      </c>
      <c r="O231" s="49">
        <v>3501.96</v>
      </c>
      <c r="P231" s="49">
        <v>3501.96</v>
      </c>
      <c r="Q231" s="49">
        <v>3501.96</v>
      </c>
      <c r="R231" s="49">
        <v>3501.96</v>
      </c>
      <c r="S231" s="49">
        <v>3501.96</v>
      </c>
      <c r="T231" s="49" t="e">
        <f>T232/T230*1000</f>
        <v>#DIV/0!</v>
      </c>
      <c r="U231" s="49" t="e">
        <f>U232/U230*1000</f>
        <v>#DIV/0!</v>
      </c>
      <c r="V231" s="68" t="e">
        <f>V232/V230*1000</f>
        <v>#DIV/0!</v>
      </c>
      <c r="W231" s="14" t="e">
        <f>W232/W230*1000</f>
        <v>#DIV/0!</v>
      </c>
      <c r="X231" s="59"/>
    </row>
    <row r="232" spans="1:24" s="63" customFormat="1" ht="18" hidden="1" customHeight="1">
      <c r="A232" s="610"/>
      <c r="B232" s="581"/>
      <c r="C232" s="581"/>
      <c r="D232" s="198" t="str">
        <f>серпень!D232</f>
        <v>касові видатки, тис.грн.</v>
      </c>
      <c r="E232" s="71"/>
      <c r="F232" s="61">
        <f t="shared" ref="F232:K232" si="285">F230*F231/1000</f>
        <v>0</v>
      </c>
      <c r="G232" s="61">
        <f t="shared" si="285"/>
        <v>0</v>
      </c>
      <c r="H232" s="61">
        <f t="shared" si="285"/>
        <v>0</v>
      </c>
      <c r="I232" s="61">
        <f t="shared" si="285"/>
        <v>0</v>
      </c>
      <c r="J232" s="61">
        <f t="shared" si="285"/>
        <v>0</v>
      </c>
      <c r="K232" s="61">
        <f t="shared" si="285"/>
        <v>0</v>
      </c>
      <c r="L232" s="61">
        <f>SUM(F232:K232)</f>
        <v>0</v>
      </c>
      <c r="M232" s="61">
        <f>L232/6</f>
        <v>0</v>
      </c>
      <c r="N232" s="61">
        <f t="shared" ref="N232:S232" si="286">N230*N231/1000</f>
        <v>0</v>
      </c>
      <c r="O232" s="61">
        <f t="shared" si="286"/>
        <v>0</v>
      </c>
      <c r="P232" s="61">
        <f t="shared" si="286"/>
        <v>0</v>
      </c>
      <c r="Q232" s="61">
        <f t="shared" si="286"/>
        <v>0</v>
      </c>
      <c r="R232" s="61">
        <f t="shared" si="286"/>
        <v>0</v>
      </c>
      <c r="S232" s="61">
        <f t="shared" si="286"/>
        <v>0</v>
      </c>
      <c r="T232" s="61">
        <f>SUM(N232:S232)</f>
        <v>0</v>
      </c>
      <c r="U232" s="61">
        <f>T232+L232</f>
        <v>0</v>
      </c>
      <c r="V232" s="61">
        <f>V227</f>
        <v>0</v>
      </c>
      <c r="W232" s="72">
        <f>V232-U232</f>
        <v>0</v>
      </c>
      <c r="X232" s="63">
        <f>U227-U232</f>
        <v>0</v>
      </c>
    </row>
    <row r="233" spans="1:24" s="63" customFormat="1" ht="18" hidden="1" customHeight="1">
      <c r="A233" s="610"/>
      <c r="B233" s="581"/>
      <c r="C233" s="581"/>
      <c r="D233" s="201" t="str">
        <f>серпень!D233</f>
        <v>дотація</v>
      </c>
      <c r="E233" s="71"/>
      <c r="F233" s="61"/>
      <c r="G233" s="61"/>
      <c r="H233" s="61"/>
      <c r="I233" s="61"/>
      <c r="J233" s="61"/>
      <c r="K233" s="61"/>
      <c r="L233" s="61">
        <f>SUM(F233:K233)</f>
        <v>0</v>
      </c>
      <c r="M233" s="61">
        <f>L233/6</f>
        <v>0</v>
      </c>
      <c r="N233" s="61"/>
      <c r="O233" s="61"/>
      <c r="P233" s="61"/>
      <c r="Q233" s="61"/>
      <c r="R233" s="61"/>
      <c r="S233" s="61"/>
      <c r="T233" s="61">
        <f>SUM(N233:S233)</f>
        <v>0</v>
      </c>
      <c r="U233" s="61">
        <f>T233+L233</f>
        <v>0</v>
      </c>
      <c r="V233" s="61">
        <f>V228</f>
        <v>0</v>
      </c>
      <c r="W233" s="72">
        <f>V233-U233</f>
        <v>0</v>
      </c>
      <c r="X233" s="63">
        <f>U228-U233</f>
        <v>0</v>
      </c>
    </row>
    <row r="234" spans="1:24" s="63" customFormat="1" ht="18" hidden="1" customHeight="1">
      <c r="A234" s="610"/>
      <c r="B234" s="581"/>
      <c r="C234" s="581"/>
      <c r="D234" s="201" t="str">
        <f>серпень!D234</f>
        <v xml:space="preserve">місцевий </v>
      </c>
      <c r="E234" s="71"/>
      <c r="F234" s="61">
        <f t="shared" ref="F234:K234" si="287">F232-F233</f>
        <v>0</v>
      </c>
      <c r="G234" s="61">
        <f t="shared" si="287"/>
        <v>0</v>
      </c>
      <c r="H234" s="61">
        <f t="shared" si="287"/>
        <v>0</v>
      </c>
      <c r="I234" s="61">
        <f t="shared" si="287"/>
        <v>0</v>
      </c>
      <c r="J234" s="61">
        <f t="shared" si="287"/>
        <v>0</v>
      </c>
      <c r="K234" s="61">
        <f t="shared" si="287"/>
        <v>0</v>
      </c>
      <c r="L234" s="61">
        <f>SUM(F234:K234)</f>
        <v>0</v>
      </c>
      <c r="M234" s="61">
        <f>L234/6</f>
        <v>0</v>
      </c>
      <c r="N234" s="61">
        <f t="shared" ref="N234:S234" si="288">N232-N233</f>
        <v>0</v>
      </c>
      <c r="O234" s="61">
        <f t="shared" si="288"/>
        <v>0</v>
      </c>
      <c r="P234" s="61">
        <f t="shared" si="288"/>
        <v>0</v>
      </c>
      <c r="Q234" s="61">
        <f t="shared" si="288"/>
        <v>0</v>
      </c>
      <c r="R234" s="61">
        <f t="shared" si="288"/>
        <v>0</v>
      </c>
      <c r="S234" s="61">
        <f t="shared" si="288"/>
        <v>0</v>
      </c>
      <c r="T234" s="61">
        <f>SUM(N234:S234)</f>
        <v>0</v>
      </c>
      <c r="U234" s="61">
        <f>T234+L234</f>
        <v>0</v>
      </c>
      <c r="V234" s="61">
        <f>V229</f>
        <v>0</v>
      </c>
      <c r="W234" s="72">
        <f>V234-U234</f>
        <v>0</v>
      </c>
      <c r="X234" s="63">
        <f>U229-U234</f>
        <v>0</v>
      </c>
    </row>
    <row r="235" spans="1:24" s="43" customFormat="1" ht="18" hidden="1" customHeight="1">
      <c r="A235" s="610"/>
      <c r="B235" s="581"/>
      <c r="C235" s="581"/>
      <c r="D235" s="202" t="str">
        <f>серпень!D235</f>
        <v>план</v>
      </c>
      <c r="E235" s="42"/>
      <c r="F235" s="42">
        <f t="shared" ref="F235:K235" si="289">F229</f>
        <v>0</v>
      </c>
      <c r="G235" s="42">
        <f t="shared" si="289"/>
        <v>0</v>
      </c>
      <c r="H235" s="42">
        <f t="shared" si="289"/>
        <v>0</v>
      </c>
      <c r="I235" s="42">
        <f t="shared" si="289"/>
        <v>0</v>
      </c>
      <c r="J235" s="42">
        <f t="shared" si="289"/>
        <v>0</v>
      </c>
      <c r="K235" s="42">
        <f t="shared" si="289"/>
        <v>0</v>
      </c>
      <c r="L235" s="42">
        <f>SUM(F235:K235)</f>
        <v>0</v>
      </c>
      <c r="M235" s="42">
        <f>L235/6</f>
        <v>0</v>
      </c>
      <c r="N235" s="42">
        <f t="shared" ref="N235:S235" si="290">N229+N228</f>
        <v>0</v>
      </c>
      <c r="O235" s="42">
        <f t="shared" si="290"/>
        <v>0</v>
      </c>
      <c r="P235" s="42">
        <f t="shared" si="290"/>
        <v>0</v>
      </c>
      <c r="Q235" s="42">
        <f t="shared" si="290"/>
        <v>0</v>
      </c>
      <c r="R235" s="42">
        <f t="shared" si="290"/>
        <v>0</v>
      </c>
      <c r="S235" s="42">
        <f t="shared" si="290"/>
        <v>0</v>
      </c>
      <c r="T235" s="42">
        <f>SUM(N235:S235)</f>
        <v>0</v>
      </c>
      <c r="U235" s="42">
        <f>T235+L235</f>
        <v>0</v>
      </c>
      <c r="V235" s="42">
        <f>V232</f>
        <v>0</v>
      </c>
      <c r="W235" s="42">
        <f>V235-U235</f>
        <v>0</v>
      </c>
    </row>
    <row r="236" spans="1:24" s="43" customFormat="1" ht="18" hidden="1" customHeight="1">
      <c r="A236" s="610"/>
      <c r="B236" s="581"/>
      <c r="C236" s="581"/>
      <c r="D236" s="202" t="str">
        <f>серпень!D236</f>
        <v xml:space="preserve">відхилення </v>
      </c>
      <c r="E236" s="42"/>
      <c r="F236" s="42">
        <f t="shared" ref="F236:K236" si="291">F232-F235</f>
        <v>0</v>
      </c>
      <c r="G236" s="42">
        <f t="shared" si="291"/>
        <v>0</v>
      </c>
      <c r="H236" s="42">
        <f t="shared" si="291"/>
        <v>0</v>
      </c>
      <c r="I236" s="42">
        <f t="shared" si="291"/>
        <v>0</v>
      </c>
      <c r="J236" s="42">
        <f t="shared" si="291"/>
        <v>0</v>
      </c>
      <c r="K236" s="42">
        <f t="shared" si="291"/>
        <v>0</v>
      </c>
      <c r="L236" s="42"/>
      <c r="M236" s="42"/>
      <c r="N236" s="42">
        <f t="shared" ref="N236:S236" si="292">N232-N235</f>
        <v>0</v>
      </c>
      <c r="O236" s="42">
        <f t="shared" si="292"/>
        <v>0</v>
      </c>
      <c r="P236" s="42">
        <f t="shared" si="292"/>
        <v>0</v>
      </c>
      <c r="Q236" s="42">
        <f t="shared" si="292"/>
        <v>0</v>
      </c>
      <c r="R236" s="42">
        <f t="shared" si="292"/>
        <v>0</v>
      </c>
      <c r="S236" s="42">
        <f t="shared" si="292"/>
        <v>0</v>
      </c>
      <c r="T236" s="42"/>
      <c r="U236" s="42"/>
      <c r="V236" s="42"/>
      <c r="W236" s="42"/>
    </row>
    <row r="237" spans="1:24" s="43" customFormat="1" ht="18" hidden="1" customHeight="1">
      <c r="A237" s="610"/>
      <c r="B237" s="581"/>
      <c r="C237" s="581"/>
      <c r="D237" s="202" t="str">
        <f>серпень!D237</f>
        <v>відхилення з наростаючим</v>
      </c>
      <c r="E237" s="42"/>
      <c r="F237" s="42">
        <f>F236</f>
        <v>0</v>
      </c>
      <c r="G237" s="42">
        <f>G236+F237</f>
        <v>0</v>
      </c>
      <c r="H237" s="42">
        <f>H236+G237</f>
        <v>0</v>
      </c>
      <c r="I237" s="42">
        <f>I236+H237</f>
        <v>0</v>
      </c>
      <c r="J237" s="42">
        <f>J236+I237</f>
        <v>0</v>
      </c>
      <c r="K237" s="42">
        <f>K236+J237</f>
        <v>0</v>
      </c>
      <c r="L237" s="42"/>
      <c r="M237" s="42"/>
      <c r="N237" s="42">
        <f>N236+K237</f>
        <v>0</v>
      </c>
      <c r="O237" s="42">
        <f>O236+N237</f>
        <v>0</v>
      </c>
      <c r="P237" s="42">
        <f>P236+O237</f>
        <v>0</v>
      </c>
      <c r="Q237" s="42">
        <f>Q236+P237</f>
        <v>0</v>
      </c>
      <c r="R237" s="42">
        <f>R236+Q237</f>
        <v>0</v>
      </c>
      <c r="S237" s="42">
        <f>S236+R237</f>
        <v>0</v>
      </c>
      <c r="T237" s="42"/>
      <c r="U237" s="42"/>
      <c r="V237" s="42"/>
      <c r="W237" s="42"/>
    </row>
    <row r="238" spans="1:24" s="48" customFormat="1" ht="18" hidden="1" customHeight="1">
      <c r="A238" s="610"/>
      <c r="B238" s="576" t="s">
        <v>56</v>
      </c>
      <c r="C238" s="577"/>
      <c r="D238" s="178" t="str">
        <f>серпень!D238</f>
        <v>факт. нат.п-ки 2023</v>
      </c>
      <c r="E238" s="11"/>
      <c r="F238" s="12"/>
      <c r="G238" s="12"/>
      <c r="H238" s="12"/>
      <c r="I238" s="12"/>
      <c r="J238" s="12"/>
      <c r="K238" s="12"/>
      <c r="L238" s="65">
        <f>SUM(F238:K238)</f>
        <v>0</v>
      </c>
      <c r="M238" s="65">
        <f>L238/6</f>
        <v>0</v>
      </c>
      <c r="N238" s="12"/>
      <c r="O238" s="12"/>
      <c r="P238" s="12"/>
      <c r="Q238" s="12"/>
      <c r="R238" s="12"/>
      <c r="S238" s="12"/>
      <c r="T238" s="65">
        <f>SUM(N238:S238)</f>
        <v>0</v>
      </c>
      <c r="U238" s="66">
        <f>T238+L238</f>
        <v>0</v>
      </c>
      <c r="V238" s="67"/>
      <c r="W238" s="38">
        <f>V238-U238</f>
        <v>0</v>
      </c>
      <c r="X238" s="47"/>
    </row>
    <row r="239" spans="1:24" s="48" customFormat="1" ht="18" hidden="1" customHeight="1">
      <c r="A239" s="610"/>
      <c r="B239" s="576"/>
      <c r="C239" s="577"/>
      <c r="D239" s="178" t="str">
        <f>серпень!D239</f>
        <v>факт. нат.п-ки 2024</v>
      </c>
      <c r="E239" s="11"/>
      <c r="F239" s="12"/>
      <c r="G239" s="12"/>
      <c r="H239" s="12"/>
      <c r="I239" s="12"/>
      <c r="J239" s="12"/>
      <c r="K239" s="12"/>
      <c r="L239" s="65">
        <f>SUM(F239:K239)</f>
        <v>0</v>
      </c>
      <c r="M239" s="65">
        <f>L239/6</f>
        <v>0</v>
      </c>
      <c r="N239" s="11"/>
      <c r="O239" s="11"/>
      <c r="P239" s="11"/>
      <c r="Q239" s="11"/>
      <c r="R239" s="11"/>
      <c r="S239" s="11"/>
      <c r="T239" s="65">
        <f>SUM(N239:S239)</f>
        <v>0</v>
      </c>
      <c r="U239" s="66">
        <f>T239+L239</f>
        <v>0</v>
      </c>
      <c r="V239" s="67"/>
      <c r="W239" s="38">
        <f>V239-U239</f>
        <v>0</v>
      </c>
      <c r="X239" s="47"/>
    </row>
    <row r="240" spans="1:24" s="48" customFormat="1" ht="18" hidden="1" customHeight="1">
      <c r="A240" s="610"/>
      <c r="B240" s="576"/>
      <c r="C240" s="577"/>
      <c r="D240" s="178" t="str">
        <f>серпень!D240</f>
        <v>факт. нат.п-ки 2025</v>
      </c>
      <c r="E240" s="11"/>
      <c r="F240" s="12"/>
      <c r="G240" s="12"/>
      <c r="H240" s="12"/>
      <c r="I240" s="12"/>
      <c r="J240" s="12"/>
      <c r="K240" s="12"/>
      <c r="L240" s="65">
        <f>SUM(F240:K240)</f>
        <v>0</v>
      </c>
      <c r="M240" s="65">
        <f>L240/6</f>
        <v>0</v>
      </c>
      <c r="N240" s="12"/>
      <c r="O240" s="12"/>
      <c r="P240" s="12"/>
      <c r="Q240" s="12"/>
      <c r="R240" s="12"/>
      <c r="S240" s="11"/>
      <c r="T240" s="65">
        <f>SUM(N240:S240)</f>
        <v>0</v>
      </c>
      <c r="U240" s="66">
        <f>T240+L240</f>
        <v>0</v>
      </c>
      <c r="V240" s="11"/>
      <c r="W240" s="38">
        <f>V240-U240</f>
        <v>0</v>
      </c>
      <c r="X240" s="47"/>
    </row>
    <row r="241" spans="1:24" s="51" customFormat="1" ht="18" hidden="1" customHeight="1">
      <c r="A241" s="610"/>
      <c r="B241" s="576"/>
      <c r="C241" s="577"/>
      <c r="D241" s="187" t="str">
        <f>серпень!D241</f>
        <v>тариф, грн.</v>
      </c>
      <c r="E241" s="49"/>
      <c r="F241" s="49">
        <v>1655.08</v>
      </c>
      <c r="G241" s="49">
        <v>1655.08</v>
      </c>
      <c r="H241" s="49">
        <v>1655.08</v>
      </c>
      <c r="I241" s="49">
        <v>1655.08</v>
      </c>
      <c r="J241" s="49">
        <v>1655.08</v>
      </c>
      <c r="K241" s="49">
        <v>1655.08</v>
      </c>
      <c r="L241" s="49" t="e">
        <f>L242/L240*1000</f>
        <v>#DIV/0!</v>
      </c>
      <c r="M241" s="49" t="e">
        <f>M242/M240*1000</f>
        <v>#DIV/0!</v>
      </c>
      <c r="N241" s="49">
        <v>1655.08</v>
      </c>
      <c r="O241" s="49">
        <v>1655.08</v>
      </c>
      <c r="P241" s="49">
        <v>1655.08</v>
      </c>
      <c r="Q241" s="49">
        <v>1655.08</v>
      </c>
      <c r="R241" s="49">
        <v>1655.08</v>
      </c>
      <c r="S241" s="49">
        <v>1655.08</v>
      </c>
      <c r="T241" s="49" t="e">
        <f>T242/T240*1000</f>
        <v>#DIV/0!</v>
      </c>
      <c r="U241" s="49" t="e">
        <f>U242/U240*1000</f>
        <v>#DIV/0!</v>
      </c>
      <c r="V241" s="68" t="e">
        <f>V242/V240*1000</f>
        <v>#DIV/0!</v>
      </c>
      <c r="W241" s="14" t="e">
        <f>W242/W240*1000</f>
        <v>#DIV/0!</v>
      </c>
      <c r="X241" s="59"/>
    </row>
    <row r="242" spans="1:24" s="55" customFormat="1" ht="18" hidden="1" customHeight="1">
      <c r="A242" s="610"/>
      <c r="B242" s="576"/>
      <c r="C242" s="577"/>
      <c r="D242" s="191" t="str">
        <f>серпень!D242</f>
        <v>сума, тис.грн.</v>
      </c>
      <c r="E242" s="52"/>
      <c r="F242" s="52">
        <f t="shared" ref="F242:K242" si="293">F240*F241/1000</f>
        <v>0</v>
      </c>
      <c r="G242" s="52">
        <f t="shared" si="293"/>
        <v>0</v>
      </c>
      <c r="H242" s="52">
        <f t="shared" si="293"/>
        <v>0</v>
      </c>
      <c r="I242" s="52">
        <f t="shared" si="293"/>
        <v>0</v>
      </c>
      <c r="J242" s="52">
        <f t="shared" si="293"/>
        <v>0</v>
      </c>
      <c r="K242" s="52">
        <f t="shared" si="293"/>
        <v>0</v>
      </c>
      <c r="L242" s="69">
        <f>SUM(F242:K242)</f>
        <v>0</v>
      </c>
      <c r="M242" s="69">
        <f>L242/6</f>
        <v>0</v>
      </c>
      <c r="N242" s="52">
        <f t="shared" ref="N242:S242" si="294">N240*N241/1000</f>
        <v>0</v>
      </c>
      <c r="O242" s="52">
        <f t="shared" si="294"/>
        <v>0</v>
      </c>
      <c r="P242" s="52">
        <f t="shared" si="294"/>
        <v>0</v>
      </c>
      <c r="Q242" s="52">
        <f t="shared" si="294"/>
        <v>0</v>
      </c>
      <c r="R242" s="52">
        <f t="shared" si="294"/>
        <v>0</v>
      </c>
      <c r="S242" s="52">
        <f t="shared" si="294"/>
        <v>0</v>
      </c>
      <c r="T242" s="69">
        <f>SUM(N242:S242)</f>
        <v>0</v>
      </c>
      <c r="U242" s="69">
        <f>T242+L242</f>
        <v>0</v>
      </c>
      <c r="V242" s="70">
        <f>V243+V244</f>
        <v>0</v>
      </c>
      <c r="W242" s="53">
        <f>V242-U242</f>
        <v>0</v>
      </c>
      <c r="X242" s="54">
        <f>2726951.723/1000</f>
        <v>2726.9520000000002</v>
      </c>
    </row>
    <row r="243" spans="1:24" s="55" customFormat="1" ht="18" hidden="1" customHeight="1">
      <c r="A243" s="610"/>
      <c r="B243" s="576"/>
      <c r="C243" s="577"/>
      <c r="D243" s="174" t="str">
        <f>серпень!D243</f>
        <v>дотація</v>
      </c>
      <c r="E243" s="56"/>
      <c r="F243" s="52"/>
      <c r="G243" s="52"/>
      <c r="H243" s="52"/>
      <c r="I243" s="52"/>
      <c r="J243" s="52"/>
      <c r="K243" s="52"/>
      <c r="L243" s="69">
        <f>SUM(F243:K243)</f>
        <v>0</v>
      </c>
      <c r="M243" s="69">
        <f>L243/6</f>
        <v>0</v>
      </c>
      <c r="N243" s="52"/>
      <c r="O243" s="52"/>
      <c r="P243" s="52"/>
      <c r="Q243" s="52"/>
      <c r="R243" s="52"/>
      <c r="S243" s="52"/>
      <c r="T243" s="69">
        <f>SUM(N243:S243)</f>
        <v>0</v>
      </c>
      <c r="U243" s="69">
        <f>T243+L243</f>
        <v>0</v>
      </c>
      <c r="V243" s="70">
        <v>0</v>
      </c>
      <c r="W243" s="53">
        <f>V243-U243</f>
        <v>0</v>
      </c>
      <c r="X243" s="58"/>
    </row>
    <row r="244" spans="1:24" s="55" customFormat="1" ht="18" hidden="1" customHeight="1">
      <c r="A244" s="610"/>
      <c r="B244" s="576"/>
      <c r="C244" s="577"/>
      <c r="D244" s="174" t="str">
        <f>серпень!D244</f>
        <v>місцевий (план), тис.грн</v>
      </c>
      <c r="E244" s="56"/>
      <c r="F244" s="52"/>
      <c r="G244" s="52"/>
      <c r="H244" s="52"/>
      <c r="I244" s="52"/>
      <c r="J244" s="52"/>
      <c r="K244" s="52"/>
      <c r="L244" s="69">
        <f>SUM(F244:K244)</f>
        <v>0</v>
      </c>
      <c r="M244" s="69">
        <f>L244/6</f>
        <v>0</v>
      </c>
      <c r="N244" s="52"/>
      <c r="O244" s="52"/>
      <c r="P244" s="52"/>
      <c r="Q244" s="52"/>
      <c r="R244" s="52"/>
      <c r="S244" s="52"/>
      <c r="T244" s="69">
        <f>SUM(N244:S244)</f>
        <v>0</v>
      </c>
      <c r="U244" s="69">
        <f>T244+L244</f>
        <v>0</v>
      </c>
      <c r="V244" s="70"/>
      <c r="W244" s="53">
        <f>V244-U244</f>
        <v>0</v>
      </c>
      <c r="X244" s="58"/>
    </row>
    <row r="245" spans="1:24" s="48" customFormat="1" ht="18" hidden="1" customHeight="1">
      <c r="A245" s="610"/>
      <c r="B245" s="576"/>
      <c r="C245" s="577"/>
      <c r="D245" s="178" t="str">
        <f>серпень!D245</f>
        <v>касові нат.п-ки 2025</v>
      </c>
      <c r="E245" s="11"/>
      <c r="F245" s="11"/>
      <c r="G245" s="11"/>
      <c r="H245" s="11"/>
      <c r="I245" s="11"/>
      <c r="J245" s="11"/>
      <c r="K245" s="11"/>
      <c r="L245" s="65">
        <f>SUM(F245:K245)</f>
        <v>0</v>
      </c>
      <c r="M245" s="65">
        <f>L245/6</f>
        <v>0</v>
      </c>
      <c r="N245" s="11"/>
      <c r="O245" s="11"/>
      <c r="P245" s="11"/>
      <c r="Q245" s="11"/>
      <c r="R245" s="11"/>
      <c r="S245" s="11">
        <f>S240+R240</f>
        <v>0</v>
      </c>
      <c r="T245" s="65">
        <f>SUM(N245:S245)</f>
        <v>0</v>
      </c>
      <c r="U245" s="65">
        <f>T245+L245</f>
        <v>0</v>
      </c>
      <c r="V245" s="11">
        <f>V240</f>
        <v>0</v>
      </c>
      <c r="W245" s="38">
        <f>V245-U245</f>
        <v>0</v>
      </c>
      <c r="X245" s="47">
        <f>U240-U245</f>
        <v>0</v>
      </c>
    </row>
    <row r="246" spans="1:24" s="51" customFormat="1" ht="18" hidden="1" customHeight="1">
      <c r="A246" s="610"/>
      <c r="B246" s="576"/>
      <c r="C246" s="577"/>
      <c r="D246" s="187" t="str">
        <f>серпень!D246</f>
        <v>тариф, грн.</v>
      </c>
      <c r="E246" s="49" t="e">
        <f>E247/E245*1000</f>
        <v>#DIV/0!</v>
      </c>
      <c r="F246" s="49">
        <v>1655.08</v>
      </c>
      <c r="G246" s="49">
        <v>1655.08</v>
      </c>
      <c r="H246" s="49">
        <v>1655.08</v>
      </c>
      <c r="I246" s="49">
        <v>1655.08</v>
      </c>
      <c r="J246" s="49">
        <v>1655.08</v>
      </c>
      <c r="K246" s="49">
        <v>1655.08</v>
      </c>
      <c r="L246" s="49" t="e">
        <f>L247/L245*1000</f>
        <v>#DIV/0!</v>
      </c>
      <c r="M246" s="49" t="e">
        <f>M247/M245*1000</f>
        <v>#DIV/0!</v>
      </c>
      <c r="N246" s="49">
        <v>1655.08</v>
      </c>
      <c r="O246" s="49">
        <v>1655.08</v>
      </c>
      <c r="P246" s="49">
        <v>1655.08</v>
      </c>
      <c r="Q246" s="49">
        <v>1655.08</v>
      </c>
      <c r="R246" s="49">
        <v>1655.08</v>
      </c>
      <c r="S246" s="49">
        <v>1655.08</v>
      </c>
      <c r="T246" s="49" t="e">
        <f>T247/T245*1000</f>
        <v>#DIV/0!</v>
      </c>
      <c r="U246" s="49" t="e">
        <f>U247/U245*1000</f>
        <v>#DIV/0!</v>
      </c>
      <c r="V246" s="68" t="e">
        <f>V247/V245*1000</f>
        <v>#DIV/0!</v>
      </c>
      <c r="W246" s="14" t="e">
        <f>W247/W245*1000</f>
        <v>#DIV/0!</v>
      </c>
      <c r="X246" s="59"/>
    </row>
    <row r="247" spans="1:24" s="63" customFormat="1" ht="18" hidden="1" customHeight="1">
      <c r="A247" s="610"/>
      <c r="B247" s="576"/>
      <c r="C247" s="577"/>
      <c r="D247" s="198" t="str">
        <f>серпень!D247</f>
        <v>касові видатки, тис.грн.</v>
      </c>
      <c r="E247" s="71"/>
      <c r="F247" s="61">
        <f t="shared" ref="F247:K247" si="295">F245*F246/1000</f>
        <v>0</v>
      </c>
      <c r="G247" s="61">
        <f t="shared" si="295"/>
        <v>0</v>
      </c>
      <c r="H247" s="61">
        <f t="shared" si="295"/>
        <v>0</v>
      </c>
      <c r="I247" s="61">
        <f t="shared" si="295"/>
        <v>0</v>
      </c>
      <c r="J247" s="61">
        <f t="shared" si="295"/>
        <v>0</v>
      </c>
      <c r="K247" s="61">
        <f t="shared" si="295"/>
        <v>0</v>
      </c>
      <c r="L247" s="61">
        <f>SUM(F247:K247)</f>
        <v>0</v>
      </c>
      <c r="M247" s="61">
        <f>L247/6</f>
        <v>0</v>
      </c>
      <c r="N247" s="61">
        <f t="shared" ref="N247:S247" si="296">N245*N246/1000</f>
        <v>0</v>
      </c>
      <c r="O247" s="61">
        <f t="shared" si="296"/>
        <v>0</v>
      </c>
      <c r="P247" s="61">
        <f t="shared" si="296"/>
        <v>0</v>
      </c>
      <c r="Q247" s="61">
        <f t="shared" si="296"/>
        <v>0</v>
      </c>
      <c r="R247" s="61">
        <f t="shared" si="296"/>
        <v>0</v>
      </c>
      <c r="S247" s="61">
        <f t="shared" si="296"/>
        <v>0</v>
      </c>
      <c r="T247" s="61">
        <f>SUM(N247:S247)</f>
        <v>0</v>
      </c>
      <c r="U247" s="61">
        <f>T247+L247</f>
        <v>0</v>
      </c>
      <c r="V247" s="61">
        <f>V242</f>
        <v>0</v>
      </c>
      <c r="W247" s="72">
        <f>V247-U247</f>
        <v>0</v>
      </c>
      <c r="X247" s="63">
        <f>U242-U247</f>
        <v>0</v>
      </c>
    </row>
    <row r="248" spans="1:24" s="63" customFormat="1" ht="18" hidden="1" customHeight="1">
      <c r="A248" s="610"/>
      <c r="B248" s="576"/>
      <c r="C248" s="577"/>
      <c r="D248" s="201" t="str">
        <f>серпень!D248</f>
        <v>дотація</v>
      </c>
      <c r="E248" s="71"/>
      <c r="F248" s="61"/>
      <c r="G248" s="61"/>
      <c r="H248" s="61"/>
      <c r="I248" s="61"/>
      <c r="J248" s="61"/>
      <c r="K248" s="61"/>
      <c r="L248" s="61">
        <f>SUM(F248:K248)</f>
        <v>0</v>
      </c>
      <c r="M248" s="61">
        <f>L248/6</f>
        <v>0</v>
      </c>
      <c r="N248" s="61"/>
      <c r="O248" s="61"/>
      <c r="P248" s="61"/>
      <c r="Q248" s="61"/>
      <c r="R248" s="61"/>
      <c r="S248" s="61"/>
      <c r="T248" s="61">
        <f>SUM(N248:S248)</f>
        <v>0</v>
      </c>
      <c r="U248" s="61">
        <f>T248+L248</f>
        <v>0</v>
      </c>
      <c r="V248" s="61">
        <f>V243</f>
        <v>0</v>
      </c>
      <c r="W248" s="72">
        <f>V248-U248</f>
        <v>0</v>
      </c>
      <c r="X248" s="63">
        <f>U243-U248</f>
        <v>0</v>
      </c>
    </row>
    <row r="249" spans="1:24" s="63" customFormat="1" ht="18" hidden="1" customHeight="1">
      <c r="A249" s="610"/>
      <c r="B249" s="576"/>
      <c r="C249" s="577"/>
      <c r="D249" s="201" t="str">
        <f>серпень!D249</f>
        <v xml:space="preserve">місцевий </v>
      </c>
      <c r="E249" s="71"/>
      <c r="F249" s="61">
        <f t="shared" ref="F249:K249" si="297">F247-F248</f>
        <v>0</v>
      </c>
      <c r="G249" s="61">
        <f t="shared" si="297"/>
        <v>0</v>
      </c>
      <c r="H249" s="61">
        <f t="shared" si="297"/>
        <v>0</v>
      </c>
      <c r="I249" s="61">
        <f t="shared" si="297"/>
        <v>0</v>
      </c>
      <c r="J249" s="61">
        <f t="shared" si="297"/>
        <v>0</v>
      </c>
      <c r="K249" s="61">
        <f t="shared" si="297"/>
        <v>0</v>
      </c>
      <c r="L249" s="61">
        <f>SUM(F249:K249)</f>
        <v>0</v>
      </c>
      <c r="M249" s="61">
        <f>L249/6</f>
        <v>0</v>
      </c>
      <c r="N249" s="61">
        <f t="shared" ref="N249:S249" si="298">N247-N248</f>
        <v>0</v>
      </c>
      <c r="O249" s="61">
        <f t="shared" si="298"/>
        <v>0</v>
      </c>
      <c r="P249" s="61">
        <f t="shared" si="298"/>
        <v>0</v>
      </c>
      <c r="Q249" s="61">
        <f t="shared" si="298"/>
        <v>0</v>
      </c>
      <c r="R249" s="61">
        <f t="shared" si="298"/>
        <v>0</v>
      </c>
      <c r="S249" s="61">
        <f t="shared" si="298"/>
        <v>0</v>
      </c>
      <c r="T249" s="61">
        <f>SUM(N249:S249)</f>
        <v>0</v>
      </c>
      <c r="U249" s="61">
        <f>T249+L249</f>
        <v>0</v>
      </c>
      <c r="V249" s="61">
        <f>V244</f>
        <v>0</v>
      </c>
      <c r="W249" s="72">
        <f>V249-U249</f>
        <v>0</v>
      </c>
      <c r="X249" s="63">
        <f>U244-U249</f>
        <v>0</v>
      </c>
    </row>
    <row r="250" spans="1:24" s="43" customFormat="1" ht="18" hidden="1" customHeight="1">
      <c r="A250" s="610"/>
      <c r="B250" s="576"/>
      <c r="C250" s="577"/>
      <c r="D250" s="202" t="str">
        <f>серпень!D250</f>
        <v>план</v>
      </c>
      <c r="E250" s="42"/>
      <c r="F250" s="42">
        <f t="shared" ref="F250:K250" si="299">F244</f>
        <v>0</v>
      </c>
      <c r="G250" s="42">
        <f t="shared" si="299"/>
        <v>0</v>
      </c>
      <c r="H250" s="42">
        <f t="shared" si="299"/>
        <v>0</v>
      </c>
      <c r="I250" s="42">
        <f t="shared" si="299"/>
        <v>0</v>
      </c>
      <c r="J250" s="42">
        <f t="shared" si="299"/>
        <v>0</v>
      </c>
      <c r="K250" s="42">
        <f t="shared" si="299"/>
        <v>0</v>
      </c>
      <c r="L250" s="42">
        <f>SUM(F250:K250)</f>
        <v>0</v>
      </c>
      <c r="M250" s="42">
        <f>L250/6</f>
        <v>0</v>
      </c>
      <c r="N250" s="42">
        <f t="shared" ref="N250:S250" si="300">N244+N243</f>
        <v>0</v>
      </c>
      <c r="O250" s="42">
        <f t="shared" si="300"/>
        <v>0</v>
      </c>
      <c r="P250" s="42">
        <f t="shared" si="300"/>
        <v>0</v>
      </c>
      <c r="Q250" s="42">
        <f t="shared" si="300"/>
        <v>0</v>
      </c>
      <c r="R250" s="42">
        <f t="shared" si="300"/>
        <v>0</v>
      </c>
      <c r="S250" s="42">
        <f t="shared" si="300"/>
        <v>0</v>
      </c>
      <c r="T250" s="42">
        <f>SUM(N250:S250)</f>
        <v>0</v>
      </c>
      <c r="U250" s="42">
        <f>T250+L250</f>
        <v>0</v>
      </c>
      <c r="V250" s="42">
        <f>V247</f>
        <v>0</v>
      </c>
      <c r="W250" s="42">
        <f>V250-U250</f>
        <v>0</v>
      </c>
    </row>
    <row r="251" spans="1:24" s="43" customFormat="1" ht="18" hidden="1" customHeight="1">
      <c r="A251" s="610"/>
      <c r="B251" s="576"/>
      <c r="C251" s="577"/>
      <c r="D251" s="202" t="str">
        <f>серпень!D251</f>
        <v xml:space="preserve">відхилення </v>
      </c>
      <c r="E251" s="42"/>
      <c r="F251" s="42">
        <f t="shared" ref="F251:K251" si="301">F247-F250</f>
        <v>0</v>
      </c>
      <c r="G251" s="42">
        <f t="shared" si="301"/>
        <v>0</v>
      </c>
      <c r="H251" s="42">
        <f t="shared" si="301"/>
        <v>0</v>
      </c>
      <c r="I251" s="42">
        <f t="shared" si="301"/>
        <v>0</v>
      </c>
      <c r="J251" s="42">
        <f t="shared" si="301"/>
        <v>0</v>
      </c>
      <c r="K251" s="42">
        <f t="shared" si="301"/>
        <v>0</v>
      </c>
      <c r="L251" s="42"/>
      <c r="M251" s="42"/>
      <c r="N251" s="42">
        <f t="shared" ref="N251:S251" si="302">N247-N250</f>
        <v>0</v>
      </c>
      <c r="O251" s="42">
        <f t="shared" si="302"/>
        <v>0</v>
      </c>
      <c r="P251" s="42">
        <f t="shared" si="302"/>
        <v>0</v>
      </c>
      <c r="Q251" s="42">
        <f t="shared" si="302"/>
        <v>0</v>
      </c>
      <c r="R251" s="42">
        <f t="shared" si="302"/>
        <v>0</v>
      </c>
      <c r="S251" s="42">
        <f t="shared" si="302"/>
        <v>0</v>
      </c>
      <c r="T251" s="42"/>
      <c r="U251" s="42"/>
      <c r="V251" s="42"/>
      <c r="W251" s="42"/>
    </row>
    <row r="252" spans="1:24" s="43" customFormat="1" ht="27.1" hidden="1" customHeight="1">
      <c r="A252" s="611"/>
      <c r="B252" s="578"/>
      <c r="C252" s="579"/>
      <c r="D252" s="202" t="str">
        <f>серпень!D252</f>
        <v>відхилення з наростаючим</v>
      </c>
      <c r="E252" s="42"/>
      <c r="F252" s="42">
        <f>F251</f>
        <v>0</v>
      </c>
      <c r="G252" s="42">
        <f>G251+F252</f>
        <v>0</v>
      </c>
      <c r="H252" s="42">
        <f>H251+G252</f>
        <v>0</v>
      </c>
      <c r="I252" s="42">
        <f>I251+H252</f>
        <v>0</v>
      </c>
      <c r="J252" s="42">
        <f>J251+I252</f>
        <v>0</v>
      </c>
      <c r="K252" s="42">
        <f>K251+J252</f>
        <v>0</v>
      </c>
      <c r="L252" s="42"/>
      <c r="M252" s="42"/>
      <c r="N252" s="42">
        <f>N251+K252</f>
        <v>0</v>
      </c>
      <c r="O252" s="42">
        <f>O251+N252</f>
        <v>0</v>
      </c>
      <c r="P252" s="42">
        <f>P251+O252</f>
        <v>0</v>
      </c>
      <c r="Q252" s="42">
        <f>Q251+P252</f>
        <v>0</v>
      </c>
      <c r="R252" s="42">
        <f>R251+Q252</f>
        <v>0</v>
      </c>
      <c r="S252" s="42">
        <f>S251+R252</f>
        <v>0</v>
      </c>
      <c r="T252" s="42"/>
      <c r="U252" s="42"/>
      <c r="V252" s="42"/>
      <c r="W252" s="42"/>
    </row>
    <row r="253" spans="1:24" s="48" customFormat="1" ht="18" hidden="1" customHeight="1">
      <c r="A253" s="609" t="s">
        <v>58</v>
      </c>
      <c r="B253" s="659" t="s">
        <v>62</v>
      </c>
      <c r="C253" s="660"/>
      <c r="D253" s="178" t="str">
        <f>серпень!D253</f>
        <v>факт. нат.п-ки 2023</v>
      </c>
      <c r="E253" s="11"/>
      <c r="F253" s="12">
        <f t="shared" ref="F253:K255" si="303">F270+F300</f>
        <v>0</v>
      </c>
      <c r="G253" s="12">
        <f t="shared" si="303"/>
        <v>0</v>
      </c>
      <c r="H253" s="12">
        <f t="shared" si="303"/>
        <v>0</v>
      </c>
      <c r="I253" s="12">
        <f t="shared" si="303"/>
        <v>0</v>
      </c>
      <c r="J253" s="12">
        <f t="shared" si="303"/>
        <v>0</v>
      </c>
      <c r="K253" s="12">
        <f t="shared" si="303"/>
        <v>0</v>
      </c>
      <c r="L253" s="44">
        <f>SUM(F253:K253)</f>
        <v>0</v>
      </c>
      <c r="M253" s="44">
        <f>L253/6</f>
        <v>0</v>
      </c>
      <c r="N253" s="12">
        <f t="shared" ref="N253:S255" si="304">N270+N300</f>
        <v>0</v>
      </c>
      <c r="O253" s="12">
        <f t="shared" si="304"/>
        <v>0</v>
      </c>
      <c r="P253" s="12">
        <f t="shared" si="304"/>
        <v>13</v>
      </c>
      <c r="Q253" s="12">
        <f t="shared" si="304"/>
        <v>23</v>
      </c>
      <c r="R253" s="12">
        <f t="shared" si="304"/>
        <v>50</v>
      </c>
      <c r="S253" s="12">
        <f t="shared" si="304"/>
        <v>50</v>
      </c>
      <c r="T253" s="44">
        <f>SUM(N253:S253)</f>
        <v>136</v>
      </c>
      <c r="U253" s="45">
        <f>T253+L253</f>
        <v>136</v>
      </c>
      <c r="V253" s="46">
        <f>V270+V300</f>
        <v>0</v>
      </c>
      <c r="W253" s="38"/>
      <c r="X253" s="47"/>
    </row>
    <row r="254" spans="1:24" s="48" customFormat="1" ht="18" hidden="1" customHeight="1">
      <c r="A254" s="610"/>
      <c r="B254" s="661"/>
      <c r="C254" s="662"/>
      <c r="D254" s="178" t="str">
        <f>серпень!D254</f>
        <v>факт. нат.п-ки 2024</v>
      </c>
      <c r="E254" s="11"/>
      <c r="F254" s="12">
        <f t="shared" si="303"/>
        <v>0</v>
      </c>
      <c r="G254" s="12">
        <f t="shared" si="303"/>
        <v>0</v>
      </c>
      <c r="H254" s="12">
        <f t="shared" si="303"/>
        <v>0</v>
      </c>
      <c r="I254" s="12">
        <f t="shared" si="303"/>
        <v>0</v>
      </c>
      <c r="J254" s="12">
        <f t="shared" si="303"/>
        <v>0</v>
      </c>
      <c r="K254" s="12">
        <f t="shared" si="303"/>
        <v>0</v>
      </c>
      <c r="L254" s="44">
        <f>SUM(F254:K254)</f>
        <v>0</v>
      </c>
      <c r="M254" s="44">
        <f>L254/6</f>
        <v>0</v>
      </c>
      <c r="N254" s="11">
        <f t="shared" si="304"/>
        <v>0</v>
      </c>
      <c r="O254" s="11">
        <f t="shared" si="304"/>
        <v>0</v>
      </c>
      <c r="P254" s="11">
        <f t="shared" si="304"/>
        <v>0</v>
      </c>
      <c r="Q254" s="11">
        <f t="shared" si="304"/>
        <v>0</v>
      </c>
      <c r="R254" s="11">
        <f t="shared" si="304"/>
        <v>0</v>
      </c>
      <c r="S254" s="11">
        <f t="shared" si="304"/>
        <v>0</v>
      </c>
      <c r="T254" s="44">
        <f>SUM(N254:S254)</f>
        <v>0</v>
      </c>
      <c r="U254" s="45">
        <f>T254+L254</f>
        <v>0</v>
      </c>
      <c r="V254" s="46">
        <f>V271+V301</f>
        <v>0</v>
      </c>
      <c r="W254" s="38"/>
      <c r="X254" s="47"/>
    </row>
    <row r="255" spans="1:24" s="186" customFormat="1" ht="18" hidden="1" customHeight="1">
      <c r="A255" s="610"/>
      <c r="B255" s="661"/>
      <c r="C255" s="662"/>
      <c r="D255" s="178" t="str">
        <f>серпень!D255</f>
        <v>факт. нат.п-ки 2025</v>
      </c>
      <c r="E255" s="179"/>
      <c r="F255" s="180">
        <f>F272+F302</f>
        <v>0</v>
      </c>
      <c r="G255" s="180">
        <f t="shared" si="303"/>
        <v>0</v>
      </c>
      <c r="H255" s="180">
        <f t="shared" si="303"/>
        <v>0</v>
      </c>
      <c r="I255" s="180">
        <f t="shared" si="303"/>
        <v>0</v>
      </c>
      <c r="J255" s="180">
        <f t="shared" si="303"/>
        <v>0</v>
      </c>
      <c r="K255" s="180">
        <f t="shared" si="303"/>
        <v>0</v>
      </c>
      <c r="L255" s="207">
        <f>SUM(F255:K255)</f>
        <v>0</v>
      </c>
      <c r="M255" s="207">
        <f>L255/6</f>
        <v>0</v>
      </c>
      <c r="N255" s="180">
        <f>N272+N302</f>
        <v>0</v>
      </c>
      <c r="O255" s="180">
        <f t="shared" si="304"/>
        <v>0</v>
      </c>
      <c r="P255" s="180">
        <f t="shared" si="304"/>
        <v>0</v>
      </c>
      <c r="Q255" s="180">
        <f t="shared" si="304"/>
        <v>0</v>
      </c>
      <c r="R255" s="180">
        <f t="shared" si="304"/>
        <v>0</v>
      </c>
      <c r="S255" s="180">
        <f t="shared" si="304"/>
        <v>0</v>
      </c>
      <c r="T255" s="207">
        <f>SUM(N255:S255)</f>
        <v>0</v>
      </c>
      <c r="U255" s="222">
        <f>T255+L255</f>
        <v>0</v>
      </c>
      <c r="V255" s="183">
        <f>V272+V287+V302+V317</f>
        <v>0</v>
      </c>
      <c r="W255" s="184">
        <f>V255-U255</f>
        <v>0</v>
      </c>
      <c r="X255" s="185"/>
    </row>
    <row r="256" spans="1:24" s="190" customFormat="1" ht="18" hidden="1" customHeight="1">
      <c r="A256" s="610"/>
      <c r="B256" s="661"/>
      <c r="C256" s="662"/>
      <c r="D256" s="187" t="str">
        <f>серпень!D256</f>
        <v>тариф, грн.</v>
      </c>
      <c r="E256" s="188"/>
      <c r="F256" s="188" t="e">
        <f>F257/F255*1000</f>
        <v>#DIV/0!</v>
      </c>
      <c r="G256" s="188" t="e">
        <f>G257/G255*1000</f>
        <v>#DIV/0!</v>
      </c>
      <c r="H256" s="188" t="e">
        <f>H257/H255*1000</f>
        <v>#DIV/0!</v>
      </c>
      <c r="I256" s="188" t="e">
        <f>I257/I255*1000</f>
        <v>#DIV/0!</v>
      </c>
      <c r="J256" s="188" t="e">
        <f>J257/J255*1000</f>
        <v>#DIV/0!</v>
      </c>
      <c r="K256" s="188" t="e">
        <f t="shared" ref="K256:S256" si="305">K257/K255*1000</f>
        <v>#DIV/0!</v>
      </c>
      <c r="L256" s="188" t="e">
        <f t="shared" si="305"/>
        <v>#DIV/0!</v>
      </c>
      <c r="M256" s="188" t="e">
        <f t="shared" si="305"/>
        <v>#DIV/0!</v>
      </c>
      <c r="N256" s="188" t="e">
        <f t="shared" si="305"/>
        <v>#DIV/0!</v>
      </c>
      <c r="O256" s="188" t="e">
        <f t="shared" si="305"/>
        <v>#DIV/0!</v>
      </c>
      <c r="P256" s="188" t="e">
        <f t="shared" si="305"/>
        <v>#DIV/0!</v>
      </c>
      <c r="Q256" s="188" t="e">
        <f t="shared" si="305"/>
        <v>#DIV/0!</v>
      </c>
      <c r="R256" s="188" t="e">
        <f t="shared" si="305"/>
        <v>#DIV/0!</v>
      </c>
      <c r="S256" s="188" t="e">
        <f t="shared" si="305"/>
        <v>#DIV/0!</v>
      </c>
      <c r="T256" s="188" t="e">
        <f>T257/T255*1000</f>
        <v>#DIV/0!</v>
      </c>
      <c r="U256" s="188" t="e">
        <f>U257/U255*1000</f>
        <v>#DIV/0!</v>
      </c>
      <c r="V256" s="188" t="e">
        <f>V257/V255*1000</f>
        <v>#DIV/0!</v>
      </c>
      <c r="W256" s="189" t="e">
        <f>W257/W255*1000</f>
        <v>#DIV/0!</v>
      </c>
      <c r="X256" s="225"/>
    </row>
    <row r="257" spans="1:28" s="228" customFormat="1" ht="18" hidden="1" customHeight="1">
      <c r="A257" s="610"/>
      <c r="B257" s="661"/>
      <c r="C257" s="662"/>
      <c r="D257" s="191" t="str">
        <f>серпень!D257</f>
        <v>сума, тис.грн.</v>
      </c>
      <c r="E257" s="192"/>
      <c r="F257" s="192">
        <f>F274+F304</f>
        <v>0</v>
      </c>
      <c r="G257" s="192">
        <f t="shared" ref="G257:K257" si="306">G274+G304</f>
        <v>0</v>
      </c>
      <c r="H257" s="192">
        <f t="shared" si="306"/>
        <v>0</v>
      </c>
      <c r="I257" s="192">
        <f t="shared" si="306"/>
        <v>0</v>
      </c>
      <c r="J257" s="192">
        <f t="shared" si="306"/>
        <v>0</v>
      </c>
      <c r="K257" s="192">
        <f t="shared" si="306"/>
        <v>0</v>
      </c>
      <c r="L257" s="192">
        <f t="shared" ref="L257:L262" si="307">SUM(F257:K257)</f>
        <v>0</v>
      </c>
      <c r="M257" s="192">
        <f t="shared" ref="M257:M262" si="308">L257/6</f>
        <v>0</v>
      </c>
      <c r="N257" s="192">
        <f>N274+N304</f>
        <v>0</v>
      </c>
      <c r="O257" s="192">
        <f t="shared" ref="O257:R257" si="309">O274+O304</f>
        <v>0</v>
      </c>
      <c r="P257" s="192">
        <f t="shared" si="309"/>
        <v>0</v>
      </c>
      <c r="Q257" s="192">
        <f t="shared" si="309"/>
        <v>0</v>
      </c>
      <c r="R257" s="192">
        <f t="shared" si="309"/>
        <v>0</v>
      </c>
      <c r="S257" s="192">
        <f t="shared" ref="S257" si="310">S274+S304</f>
        <v>0</v>
      </c>
      <c r="T257" s="192">
        <f t="shared" ref="T257:T262" si="311">SUM(N257:S257)</f>
        <v>0</v>
      </c>
      <c r="U257" s="192">
        <f t="shared" ref="U257:U262" si="312">T257+L257</f>
        <v>0</v>
      </c>
      <c r="V257" s="193">
        <f>V274+V289+V304+V319</f>
        <v>0</v>
      </c>
      <c r="W257" s="193">
        <f t="shared" ref="W257:W262" si="313">V257-U257</f>
        <v>0</v>
      </c>
      <c r="X257" s="209"/>
      <c r="Y257" s="209"/>
      <c r="Z257" s="209"/>
      <c r="AA257" s="209"/>
      <c r="AB257" s="209"/>
    </row>
    <row r="258" spans="1:28" s="228" customFormat="1" ht="18" hidden="1" customHeight="1">
      <c r="A258" s="610"/>
      <c r="B258" s="661"/>
      <c r="C258" s="662"/>
      <c r="D258" s="174" t="str">
        <f>серпень!D258</f>
        <v>абоненська плата, тис.грн.</v>
      </c>
      <c r="E258" s="192"/>
      <c r="F258" s="192">
        <f>F289+F319</f>
        <v>0</v>
      </c>
      <c r="G258" s="192">
        <f t="shared" ref="G258:K258" si="314">G289+G319</f>
        <v>0</v>
      </c>
      <c r="H258" s="192">
        <f t="shared" si="314"/>
        <v>0</v>
      </c>
      <c r="I258" s="192">
        <f t="shared" si="314"/>
        <v>0</v>
      </c>
      <c r="J258" s="192">
        <f t="shared" si="314"/>
        <v>0</v>
      </c>
      <c r="K258" s="192">
        <f t="shared" si="314"/>
        <v>0</v>
      </c>
      <c r="L258" s="192">
        <f t="shared" si="307"/>
        <v>0</v>
      </c>
      <c r="M258" s="192">
        <f t="shared" si="308"/>
        <v>0</v>
      </c>
      <c r="N258" s="192">
        <f>N289+N319</f>
        <v>0</v>
      </c>
      <c r="O258" s="192">
        <f t="shared" ref="O258:R258" si="315">O289+O319</f>
        <v>0</v>
      </c>
      <c r="P258" s="192">
        <f t="shared" si="315"/>
        <v>0</v>
      </c>
      <c r="Q258" s="192">
        <f t="shared" si="315"/>
        <v>0</v>
      </c>
      <c r="R258" s="192">
        <f t="shared" si="315"/>
        <v>0</v>
      </c>
      <c r="S258" s="192">
        <f t="shared" ref="S258" si="316">S289+S319</f>
        <v>0</v>
      </c>
      <c r="T258" s="192">
        <f t="shared" si="311"/>
        <v>0</v>
      </c>
      <c r="U258" s="192">
        <f t="shared" si="312"/>
        <v>0</v>
      </c>
      <c r="V258" s="193">
        <f>V289+V319</f>
        <v>0</v>
      </c>
      <c r="W258" s="193">
        <f t="shared" si="313"/>
        <v>0</v>
      </c>
      <c r="X258" s="209"/>
      <c r="Y258" s="209"/>
      <c r="Z258" s="209"/>
      <c r="AA258" s="209"/>
      <c r="AB258" s="209"/>
    </row>
    <row r="259" spans="1:28" s="228" customFormat="1" ht="18" hidden="1" customHeight="1">
      <c r="A259" s="610"/>
      <c r="B259" s="661"/>
      <c r="C259" s="662"/>
      <c r="D259" s="174" t="str">
        <f>серпень!D259</f>
        <v>разом сума тис. грн+абонплата</v>
      </c>
      <c r="E259" s="192"/>
      <c r="F259" s="192">
        <f>F257+F258</f>
        <v>0</v>
      </c>
      <c r="G259" s="192">
        <f t="shared" ref="G259:K259" si="317">G257+G258</f>
        <v>0</v>
      </c>
      <c r="H259" s="192">
        <f t="shared" si="317"/>
        <v>0</v>
      </c>
      <c r="I259" s="192">
        <f t="shared" si="317"/>
        <v>0</v>
      </c>
      <c r="J259" s="192">
        <f t="shared" si="317"/>
        <v>0</v>
      </c>
      <c r="K259" s="192">
        <f t="shared" si="317"/>
        <v>0</v>
      </c>
      <c r="L259" s="192">
        <f t="shared" si="307"/>
        <v>0</v>
      </c>
      <c r="M259" s="192">
        <f t="shared" si="308"/>
        <v>0</v>
      </c>
      <c r="N259" s="192">
        <f>N257+N258</f>
        <v>0</v>
      </c>
      <c r="O259" s="192">
        <f t="shared" ref="O259:R259" si="318">O257+O258</f>
        <v>0</v>
      </c>
      <c r="P259" s="192">
        <f t="shared" si="318"/>
        <v>0</v>
      </c>
      <c r="Q259" s="192">
        <f t="shared" si="318"/>
        <v>0</v>
      </c>
      <c r="R259" s="192">
        <f t="shared" si="318"/>
        <v>0</v>
      </c>
      <c r="S259" s="192">
        <f t="shared" ref="S259" si="319">S257+S258</f>
        <v>0</v>
      </c>
      <c r="T259" s="192">
        <f t="shared" si="311"/>
        <v>0</v>
      </c>
      <c r="U259" s="192">
        <f t="shared" si="312"/>
        <v>0</v>
      </c>
      <c r="V259" s="193">
        <f>V290+V320</f>
        <v>0</v>
      </c>
      <c r="W259" s="193">
        <f t="shared" si="313"/>
        <v>0</v>
      </c>
      <c r="X259" s="209"/>
      <c r="Y259" s="209"/>
      <c r="Z259" s="209"/>
      <c r="AA259" s="209"/>
      <c r="AB259" s="209"/>
    </row>
    <row r="260" spans="1:28" s="228" customFormat="1" ht="18" hidden="1" customHeight="1">
      <c r="A260" s="610"/>
      <c r="B260" s="661"/>
      <c r="C260" s="662"/>
      <c r="D260" s="174" t="str">
        <f>серпень!D260</f>
        <v>дотація</v>
      </c>
      <c r="E260" s="210"/>
      <c r="F260" s="192">
        <f t="shared" ref="F260:K261" si="320">F275+F290+F305+F320</f>
        <v>0</v>
      </c>
      <c r="G260" s="192">
        <f t="shared" si="320"/>
        <v>0</v>
      </c>
      <c r="H260" s="192">
        <f t="shared" si="320"/>
        <v>0</v>
      </c>
      <c r="I260" s="192">
        <f t="shared" si="320"/>
        <v>0</v>
      </c>
      <c r="J260" s="192">
        <f t="shared" si="320"/>
        <v>0</v>
      </c>
      <c r="K260" s="192">
        <f t="shared" si="320"/>
        <v>0</v>
      </c>
      <c r="L260" s="192">
        <f t="shared" si="307"/>
        <v>0</v>
      </c>
      <c r="M260" s="192">
        <f t="shared" si="308"/>
        <v>0</v>
      </c>
      <c r="N260" s="192">
        <f t="shared" ref="N260:S262" si="321">N275+N290+N305+N320</f>
        <v>0</v>
      </c>
      <c r="O260" s="192">
        <f t="shared" si="321"/>
        <v>0</v>
      </c>
      <c r="P260" s="192">
        <f t="shared" si="321"/>
        <v>0</v>
      </c>
      <c r="Q260" s="192">
        <f t="shared" si="321"/>
        <v>0</v>
      </c>
      <c r="R260" s="192">
        <f t="shared" si="321"/>
        <v>0</v>
      </c>
      <c r="S260" s="192">
        <f t="shared" si="321"/>
        <v>0</v>
      </c>
      <c r="T260" s="192">
        <f t="shared" si="311"/>
        <v>0</v>
      </c>
      <c r="U260" s="192">
        <f t="shared" si="312"/>
        <v>0</v>
      </c>
      <c r="V260" s="193">
        <f t="shared" ref="V260:V262" si="322">V275+V290+V305+V320</f>
        <v>0</v>
      </c>
      <c r="W260" s="211">
        <f t="shared" si="313"/>
        <v>0</v>
      </c>
      <c r="X260" s="209"/>
      <c r="Y260" s="209"/>
      <c r="Z260" s="209"/>
      <c r="AA260" s="209"/>
      <c r="AB260" s="209"/>
    </row>
    <row r="261" spans="1:28" s="228" customFormat="1" ht="18" hidden="1" customHeight="1">
      <c r="A261" s="610"/>
      <c r="B261" s="661"/>
      <c r="C261" s="662"/>
      <c r="D261" s="174" t="str">
        <f>серпень!D261</f>
        <v>місцевий (план), тис.грн</v>
      </c>
      <c r="E261" s="210"/>
      <c r="F261" s="192">
        <f t="shared" si="320"/>
        <v>0</v>
      </c>
      <c r="G261" s="192">
        <f t="shared" si="320"/>
        <v>0</v>
      </c>
      <c r="H261" s="192">
        <f t="shared" si="320"/>
        <v>0</v>
      </c>
      <c r="I261" s="192">
        <f t="shared" si="320"/>
        <v>0</v>
      </c>
      <c r="J261" s="192">
        <f t="shared" si="320"/>
        <v>0</v>
      </c>
      <c r="K261" s="192">
        <f t="shared" si="320"/>
        <v>0</v>
      </c>
      <c r="L261" s="192">
        <f t="shared" si="307"/>
        <v>0</v>
      </c>
      <c r="M261" s="192">
        <f t="shared" si="308"/>
        <v>0</v>
      </c>
      <c r="N261" s="192">
        <f t="shared" si="321"/>
        <v>0</v>
      </c>
      <c r="O261" s="192">
        <f t="shared" si="321"/>
        <v>0</v>
      </c>
      <c r="P261" s="192">
        <f t="shared" si="321"/>
        <v>0</v>
      </c>
      <c r="Q261" s="192">
        <f t="shared" si="321"/>
        <v>0</v>
      </c>
      <c r="R261" s="192">
        <f t="shared" si="321"/>
        <v>0</v>
      </c>
      <c r="S261" s="192">
        <f t="shared" si="321"/>
        <v>0</v>
      </c>
      <c r="T261" s="192">
        <f t="shared" si="311"/>
        <v>0</v>
      </c>
      <c r="U261" s="192">
        <f t="shared" si="312"/>
        <v>0</v>
      </c>
      <c r="V261" s="193">
        <f t="shared" si="322"/>
        <v>0</v>
      </c>
      <c r="W261" s="193">
        <f t="shared" si="313"/>
        <v>0</v>
      </c>
      <c r="X261" s="209"/>
      <c r="Y261" s="209"/>
      <c r="Z261" s="209"/>
      <c r="AA261" s="209"/>
      <c r="AB261" s="209"/>
    </row>
    <row r="262" spans="1:28" s="186" customFormat="1" ht="18" hidden="1" customHeight="1">
      <c r="A262" s="610"/>
      <c r="B262" s="661"/>
      <c r="C262" s="662"/>
      <c r="D262" s="178" t="str">
        <f>серпень!D262</f>
        <v>касові нат.п-ки 2025</v>
      </c>
      <c r="E262" s="179">
        <f>E277+E307</f>
        <v>0</v>
      </c>
      <c r="F262" s="179">
        <f>F277+F307</f>
        <v>0</v>
      </c>
      <c r="G262" s="179">
        <f t="shared" ref="G262:K262" si="323">G277+G307</f>
        <v>0</v>
      </c>
      <c r="H262" s="179">
        <f t="shared" si="323"/>
        <v>0</v>
      </c>
      <c r="I262" s="179">
        <f t="shared" si="323"/>
        <v>0</v>
      </c>
      <c r="J262" s="179">
        <f t="shared" si="323"/>
        <v>0</v>
      </c>
      <c r="K262" s="179">
        <f t="shared" si="323"/>
        <v>0</v>
      </c>
      <c r="L262" s="207">
        <f t="shared" si="307"/>
        <v>0</v>
      </c>
      <c r="M262" s="207">
        <f t="shared" si="308"/>
        <v>0</v>
      </c>
      <c r="N262" s="179">
        <f t="shared" si="321"/>
        <v>0</v>
      </c>
      <c r="O262" s="179">
        <f t="shared" si="321"/>
        <v>0</v>
      </c>
      <c r="P262" s="179">
        <f t="shared" si="321"/>
        <v>0</v>
      </c>
      <c r="Q262" s="179">
        <f t="shared" si="321"/>
        <v>0</v>
      </c>
      <c r="R262" s="179">
        <f t="shared" si="321"/>
        <v>0</v>
      </c>
      <c r="S262" s="179">
        <f t="shared" si="321"/>
        <v>0</v>
      </c>
      <c r="T262" s="207">
        <f t="shared" si="311"/>
        <v>0</v>
      </c>
      <c r="U262" s="207">
        <f t="shared" si="312"/>
        <v>0</v>
      </c>
      <c r="V262" s="184">
        <f t="shared" si="322"/>
        <v>0</v>
      </c>
      <c r="W262" s="184">
        <f t="shared" si="313"/>
        <v>0</v>
      </c>
      <c r="X262" s="185">
        <f>U255-U262</f>
        <v>0</v>
      </c>
    </row>
    <row r="263" spans="1:28" s="190" customFormat="1" ht="18" hidden="1" customHeight="1">
      <c r="A263" s="610"/>
      <c r="B263" s="661"/>
      <c r="C263" s="662"/>
      <c r="D263" s="187" t="str">
        <f>серпень!D263</f>
        <v>тариф, грн.</v>
      </c>
      <c r="E263" s="188" t="e">
        <f t="shared" ref="E263:S263" si="324">E264/E262*1000</f>
        <v>#DIV/0!</v>
      </c>
      <c r="F263" s="188" t="e">
        <f t="shared" si="324"/>
        <v>#DIV/0!</v>
      </c>
      <c r="G263" s="188" t="e">
        <f t="shared" si="324"/>
        <v>#DIV/0!</v>
      </c>
      <c r="H263" s="188" t="e">
        <f t="shared" si="324"/>
        <v>#DIV/0!</v>
      </c>
      <c r="I263" s="188" t="e">
        <f t="shared" si="324"/>
        <v>#DIV/0!</v>
      </c>
      <c r="J263" s="188" t="e">
        <f t="shared" si="324"/>
        <v>#DIV/0!</v>
      </c>
      <c r="K263" s="188" t="e">
        <f t="shared" si="324"/>
        <v>#DIV/0!</v>
      </c>
      <c r="L263" s="188" t="e">
        <f t="shared" si="324"/>
        <v>#DIV/0!</v>
      </c>
      <c r="M263" s="188" t="e">
        <f t="shared" si="324"/>
        <v>#DIV/0!</v>
      </c>
      <c r="N263" s="188" t="e">
        <f t="shared" si="324"/>
        <v>#DIV/0!</v>
      </c>
      <c r="O263" s="188" t="e">
        <f t="shared" si="324"/>
        <v>#DIV/0!</v>
      </c>
      <c r="P263" s="188" t="e">
        <f t="shared" si="324"/>
        <v>#DIV/0!</v>
      </c>
      <c r="Q263" s="188" t="e">
        <f t="shared" si="324"/>
        <v>#DIV/0!</v>
      </c>
      <c r="R263" s="188" t="e">
        <f t="shared" si="324"/>
        <v>#DIV/0!</v>
      </c>
      <c r="S263" s="188" t="e">
        <f t="shared" si="324"/>
        <v>#DIV/0!</v>
      </c>
      <c r="T263" s="188" t="e">
        <f>T264/T262*1000</f>
        <v>#DIV/0!</v>
      </c>
      <c r="U263" s="188" t="e">
        <f>U264/U262*1000</f>
        <v>#DIV/0!</v>
      </c>
      <c r="V263" s="188" t="e">
        <f>V264/V262*1000</f>
        <v>#DIV/0!</v>
      </c>
      <c r="W263" s="189" t="e">
        <f>W264/W262*1000</f>
        <v>#DIV/0!</v>
      </c>
      <c r="X263" s="225"/>
    </row>
    <row r="264" spans="1:28" s="213" customFormat="1" ht="18" hidden="1" customHeight="1">
      <c r="A264" s="610"/>
      <c r="B264" s="661"/>
      <c r="C264" s="662"/>
      <c r="D264" s="198" t="str">
        <f>серпень!D264</f>
        <v>касові видатки, тис.грн.</v>
      </c>
      <c r="E264" s="212">
        <f>E279+E309</f>
        <v>0</v>
      </c>
      <c r="F264" s="199">
        <f>F279+F294+F309+F324</f>
        <v>0</v>
      </c>
      <c r="G264" s="199">
        <f t="shared" ref="G264:K264" si="325">G279+G294+G309+G324</f>
        <v>0</v>
      </c>
      <c r="H264" s="199">
        <f t="shared" si="325"/>
        <v>0</v>
      </c>
      <c r="I264" s="199">
        <f t="shared" si="325"/>
        <v>0</v>
      </c>
      <c r="J264" s="199">
        <f t="shared" si="325"/>
        <v>0</v>
      </c>
      <c r="K264" s="199">
        <f t="shared" si="325"/>
        <v>0</v>
      </c>
      <c r="L264" s="199">
        <f>SUM(F264:K264)</f>
        <v>0</v>
      </c>
      <c r="M264" s="199">
        <f>L264/6</f>
        <v>0</v>
      </c>
      <c r="N264" s="199">
        <f t="shared" ref="N264:S266" si="326">N279+N294+N309+N324</f>
        <v>0</v>
      </c>
      <c r="O264" s="199">
        <f t="shared" si="326"/>
        <v>0</v>
      </c>
      <c r="P264" s="199">
        <f t="shared" si="326"/>
        <v>0</v>
      </c>
      <c r="Q264" s="199">
        <f t="shared" si="326"/>
        <v>0</v>
      </c>
      <c r="R264" s="199">
        <f t="shared" si="326"/>
        <v>0</v>
      </c>
      <c r="S264" s="199">
        <f t="shared" si="326"/>
        <v>0</v>
      </c>
      <c r="T264" s="199">
        <f>SUM(N264:S264)</f>
        <v>0</v>
      </c>
      <c r="U264" s="199">
        <f>T264+L264</f>
        <v>0</v>
      </c>
      <c r="V264" s="175">
        <f t="shared" ref="V264:V267" si="327">V279+V294+V309+V324</f>
        <v>0</v>
      </c>
      <c r="W264" s="175">
        <f>V264-U264</f>
        <v>0</v>
      </c>
      <c r="X264" s="176">
        <f>U259-U264</f>
        <v>0</v>
      </c>
    </row>
    <row r="265" spans="1:28" s="213" customFormat="1" ht="18" hidden="1" customHeight="1">
      <c r="A265" s="610"/>
      <c r="B265" s="661"/>
      <c r="C265" s="662"/>
      <c r="D265" s="201" t="str">
        <f>серпень!D265</f>
        <v>дотація</v>
      </c>
      <c r="E265" s="212"/>
      <c r="F265" s="199">
        <f t="shared" ref="F265:K266" si="328">F280+F295+F310+F325</f>
        <v>0</v>
      </c>
      <c r="G265" s="199">
        <f t="shared" si="328"/>
        <v>0</v>
      </c>
      <c r="H265" s="199">
        <f t="shared" si="328"/>
        <v>0</v>
      </c>
      <c r="I265" s="199">
        <f t="shared" si="328"/>
        <v>0</v>
      </c>
      <c r="J265" s="199">
        <f t="shared" si="328"/>
        <v>0</v>
      </c>
      <c r="K265" s="199">
        <f t="shared" si="328"/>
        <v>0</v>
      </c>
      <c r="L265" s="199">
        <f>SUM(F265:K265)</f>
        <v>0</v>
      </c>
      <c r="M265" s="199">
        <f>L265/6</f>
        <v>0</v>
      </c>
      <c r="N265" s="199">
        <f t="shared" si="326"/>
        <v>0</v>
      </c>
      <c r="O265" s="199">
        <f t="shared" si="326"/>
        <v>0</v>
      </c>
      <c r="P265" s="199">
        <f t="shared" si="326"/>
        <v>0</v>
      </c>
      <c r="Q265" s="199">
        <f t="shared" si="326"/>
        <v>0</v>
      </c>
      <c r="R265" s="199">
        <f t="shared" si="326"/>
        <v>0</v>
      </c>
      <c r="S265" s="199">
        <f t="shared" si="326"/>
        <v>0</v>
      </c>
      <c r="T265" s="199">
        <f>SUM(N265:S265)</f>
        <v>0</v>
      </c>
      <c r="U265" s="199">
        <f>T265+L265</f>
        <v>0</v>
      </c>
      <c r="V265" s="175">
        <f t="shared" si="327"/>
        <v>0</v>
      </c>
      <c r="W265" s="175">
        <f>V265-U265</f>
        <v>0</v>
      </c>
      <c r="X265" s="176">
        <f>U260-U265</f>
        <v>0</v>
      </c>
    </row>
    <row r="266" spans="1:28" s="213" customFormat="1" ht="18" hidden="1" customHeight="1">
      <c r="A266" s="610"/>
      <c r="B266" s="661"/>
      <c r="C266" s="662"/>
      <c r="D266" s="201" t="str">
        <f>серпень!D266</f>
        <v xml:space="preserve">місцевий </v>
      </c>
      <c r="E266" s="212"/>
      <c r="F266" s="199">
        <f t="shared" si="328"/>
        <v>0</v>
      </c>
      <c r="G266" s="199">
        <f t="shared" si="328"/>
        <v>0</v>
      </c>
      <c r="H266" s="199">
        <f t="shared" si="328"/>
        <v>0</v>
      </c>
      <c r="I266" s="199">
        <f t="shared" si="328"/>
        <v>0</v>
      </c>
      <c r="J266" s="199">
        <f t="shared" si="328"/>
        <v>0</v>
      </c>
      <c r="K266" s="199">
        <f t="shared" si="328"/>
        <v>0</v>
      </c>
      <c r="L266" s="199">
        <f>SUM(F266:K266)</f>
        <v>0</v>
      </c>
      <c r="M266" s="199">
        <f>L266/6</f>
        <v>0</v>
      </c>
      <c r="N266" s="199">
        <f t="shared" si="326"/>
        <v>0</v>
      </c>
      <c r="O266" s="199">
        <f t="shared" si="326"/>
        <v>0</v>
      </c>
      <c r="P266" s="199">
        <f t="shared" si="326"/>
        <v>0</v>
      </c>
      <c r="Q266" s="199">
        <f t="shared" si="326"/>
        <v>0</v>
      </c>
      <c r="R266" s="199">
        <f t="shared" si="326"/>
        <v>0</v>
      </c>
      <c r="S266" s="199">
        <f t="shared" si="326"/>
        <v>0</v>
      </c>
      <c r="T266" s="199">
        <f>SUM(N266:S266)</f>
        <v>0</v>
      </c>
      <c r="U266" s="199">
        <f>T266+L266</f>
        <v>0</v>
      </c>
      <c r="V266" s="175">
        <f t="shared" si="327"/>
        <v>0</v>
      </c>
      <c r="W266" s="175">
        <f>V266-U266</f>
        <v>0</v>
      </c>
      <c r="X266" s="176">
        <f>U261-U266</f>
        <v>0</v>
      </c>
    </row>
    <row r="267" spans="1:28" s="205" customFormat="1" ht="18" hidden="1" customHeight="1">
      <c r="A267" s="610"/>
      <c r="B267" s="661"/>
      <c r="C267" s="662"/>
      <c r="D267" s="202" t="str">
        <f>серпень!D267</f>
        <v>план</v>
      </c>
      <c r="E267" s="203"/>
      <c r="F267" s="203">
        <f>F261</f>
        <v>0</v>
      </c>
      <c r="G267" s="203">
        <f t="shared" ref="G267:K267" si="329">G261</f>
        <v>0</v>
      </c>
      <c r="H267" s="203">
        <f t="shared" si="329"/>
        <v>0</v>
      </c>
      <c r="I267" s="203">
        <f t="shared" si="329"/>
        <v>0</v>
      </c>
      <c r="J267" s="203">
        <f t="shared" si="329"/>
        <v>0</v>
      </c>
      <c r="K267" s="203">
        <f t="shared" si="329"/>
        <v>0</v>
      </c>
      <c r="L267" s="203">
        <f>SUM(F267:K267)</f>
        <v>0</v>
      </c>
      <c r="M267" s="203">
        <f>L267/6</f>
        <v>0</v>
      </c>
      <c r="N267" s="203">
        <f t="shared" ref="N267:S267" si="330">N261+N260</f>
        <v>0</v>
      </c>
      <c r="O267" s="203">
        <f t="shared" si="330"/>
        <v>0</v>
      </c>
      <c r="P267" s="203">
        <f t="shared" si="330"/>
        <v>0</v>
      </c>
      <c r="Q267" s="203">
        <f t="shared" si="330"/>
        <v>0</v>
      </c>
      <c r="R267" s="203">
        <f t="shared" si="330"/>
        <v>0</v>
      </c>
      <c r="S267" s="203">
        <f t="shared" si="330"/>
        <v>0</v>
      </c>
      <c r="T267" s="203">
        <f>SUM(N267:S267)</f>
        <v>0</v>
      </c>
      <c r="U267" s="203">
        <f>T267+L267</f>
        <v>0</v>
      </c>
      <c r="V267" s="204">
        <f t="shared" si="327"/>
        <v>0</v>
      </c>
      <c r="W267" s="204">
        <f>V267-U267</f>
        <v>0</v>
      </c>
    </row>
    <row r="268" spans="1:28" s="205" customFormat="1" ht="18" hidden="1" customHeight="1">
      <c r="A268" s="610"/>
      <c r="B268" s="661"/>
      <c r="C268" s="662"/>
      <c r="D268" s="202" t="str">
        <f>серпень!D268</f>
        <v xml:space="preserve">відхилення </v>
      </c>
      <c r="E268" s="203"/>
      <c r="F268" s="203">
        <f t="shared" ref="F268:K268" si="331">F264-F267</f>
        <v>0</v>
      </c>
      <c r="G268" s="203">
        <f t="shared" si="331"/>
        <v>0</v>
      </c>
      <c r="H268" s="203">
        <f t="shared" si="331"/>
        <v>0</v>
      </c>
      <c r="I268" s="203">
        <f t="shared" si="331"/>
        <v>0</v>
      </c>
      <c r="J268" s="203">
        <f t="shared" si="331"/>
        <v>0</v>
      </c>
      <c r="K268" s="203">
        <f t="shared" si="331"/>
        <v>0</v>
      </c>
      <c r="L268" s="203"/>
      <c r="M268" s="203"/>
      <c r="N268" s="203">
        <f t="shared" ref="N268:S268" si="332">N264-N267</f>
        <v>0</v>
      </c>
      <c r="O268" s="203">
        <f t="shared" si="332"/>
        <v>0</v>
      </c>
      <c r="P268" s="203">
        <f t="shared" si="332"/>
        <v>0</v>
      </c>
      <c r="Q268" s="203">
        <f t="shared" si="332"/>
        <v>0</v>
      </c>
      <c r="R268" s="203">
        <f t="shared" si="332"/>
        <v>0</v>
      </c>
      <c r="S268" s="203">
        <f t="shared" si="332"/>
        <v>0</v>
      </c>
      <c r="T268" s="203"/>
      <c r="U268" s="203"/>
      <c r="V268" s="203"/>
      <c r="W268" s="203"/>
    </row>
    <row r="269" spans="1:28" s="205" customFormat="1" ht="18" hidden="1" customHeight="1">
      <c r="A269" s="610"/>
      <c r="B269" s="663"/>
      <c r="C269" s="664"/>
      <c r="D269" s="202" t="str">
        <f>серпень!D269</f>
        <v>відхилення з наростаючим</v>
      </c>
      <c r="E269" s="203"/>
      <c r="F269" s="203">
        <f>F268</f>
        <v>0</v>
      </c>
      <c r="G269" s="203">
        <f>G268+F269</f>
        <v>0</v>
      </c>
      <c r="H269" s="203">
        <f>H268+G269</f>
        <v>0</v>
      </c>
      <c r="I269" s="203">
        <f>I268+H269</f>
        <v>0</v>
      </c>
      <c r="J269" s="203">
        <f>J268+I269</f>
        <v>0</v>
      </c>
      <c r="K269" s="203">
        <f>K268+J269</f>
        <v>0</v>
      </c>
      <c r="L269" s="203"/>
      <c r="M269" s="203"/>
      <c r="N269" s="203">
        <f>N268+K269</f>
        <v>0</v>
      </c>
      <c r="O269" s="203">
        <f>O268+N269</f>
        <v>0</v>
      </c>
      <c r="P269" s="203">
        <f>P268+O269</f>
        <v>0</v>
      </c>
      <c r="Q269" s="203">
        <f>Q268+P269</f>
        <v>0</v>
      </c>
      <c r="R269" s="203">
        <f>R268+Q269</f>
        <v>0</v>
      </c>
      <c r="S269" s="203">
        <f>S268+R269</f>
        <v>0</v>
      </c>
      <c r="T269" s="203"/>
      <c r="U269" s="203"/>
      <c r="V269" s="203"/>
      <c r="W269" s="203"/>
    </row>
    <row r="270" spans="1:28" s="48" customFormat="1" ht="18" hidden="1" customHeight="1">
      <c r="A270" s="610"/>
      <c r="B270" s="582" t="s">
        <v>60</v>
      </c>
      <c r="C270" s="582" t="s">
        <v>97</v>
      </c>
      <c r="D270" s="178" t="str">
        <f>серпень!D270</f>
        <v>факт. нат.п-ки 2023</v>
      </c>
      <c r="E270" s="11"/>
      <c r="F270" s="12"/>
      <c r="G270" s="12"/>
      <c r="H270" s="12"/>
      <c r="I270" s="12"/>
      <c r="J270" s="12"/>
      <c r="K270" s="12"/>
      <c r="L270" s="65">
        <f>SUM(F270:K270)</f>
        <v>0</v>
      </c>
      <c r="M270" s="65">
        <f>L270/6</f>
        <v>0</v>
      </c>
      <c r="N270" s="12"/>
      <c r="O270" s="12"/>
      <c r="P270" s="12"/>
      <c r="Q270" s="12"/>
      <c r="R270" s="12"/>
      <c r="S270" s="12"/>
      <c r="T270" s="65">
        <f>SUM(N270:S270)</f>
        <v>0</v>
      </c>
      <c r="U270" s="66">
        <f>T270+L270</f>
        <v>0</v>
      </c>
      <c r="V270" s="67"/>
      <c r="W270" s="38">
        <f>V270-U270</f>
        <v>0</v>
      </c>
      <c r="X270" s="47"/>
    </row>
    <row r="271" spans="1:28" s="48" customFormat="1" ht="18" hidden="1" customHeight="1">
      <c r="A271" s="610"/>
      <c r="B271" s="583"/>
      <c r="C271" s="583"/>
      <c r="D271" s="178" t="str">
        <f>серпень!D271</f>
        <v>факт. нат.п-ки 2024</v>
      </c>
      <c r="E271" s="11"/>
      <c r="F271" s="12"/>
      <c r="G271" s="12"/>
      <c r="H271" s="12"/>
      <c r="I271" s="12"/>
      <c r="J271" s="12"/>
      <c r="K271" s="12"/>
      <c r="L271" s="65">
        <f>SUM(F271:K271)</f>
        <v>0</v>
      </c>
      <c r="M271" s="65">
        <f>L271/6</f>
        <v>0</v>
      </c>
      <c r="N271" s="11"/>
      <c r="O271" s="11"/>
      <c r="P271" s="11"/>
      <c r="Q271" s="11"/>
      <c r="R271" s="11"/>
      <c r="S271" s="11"/>
      <c r="T271" s="65">
        <f>SUM(N271:S271)</f>
        <v>0</v>
      </c>
      <c r="U271" s="66">
        <f>T271+L271</f>
        <v>0</v>
      </c>
      <c r="V271" s="67"/>
      <c r="W271" s="38">
        <f>V271-U271</f>
        <v>0</v>
      </c>
      <c r="X271" s="47"/>
    </row>
    <row r="272" spans="1:28" s="48" customFormat="1" ht="18" hidden="1" customHeight="1">
      <c r="A272" s="610"/>
      <c r="B272" s="583"/>
      <c r="C272" s="583"/>
      <c r="D272" s="178" t="str">
        <f>серпень!D272</f>
        <v>факт. нат.п-ки 2025</v>
      </c>
      <c r="E272" s="11"/>
      <c r="F272" s="12"/>
      <c r="G272" s="12"/>
      <c r="H272" s="12"/>
      <c r="I272" s="12"/>
      <c r="J272" s="12"/>
      <c r="K272" s="12"/>
      <c r="L272" s="65">
        <f>SUM(F272:K272)</f>
        <v>0</v>
      </c>
      <c r="M272" s="65">
        <f>L272/6</f>
        <v>0</v>
      </c>
      <c r="N272" s="12"/>
      <c r="O272" s="12"/>
      <c r="P272" s="12"/>
      <c r="Q272" s="12"/>
      <c r="R272" s="12"/>
      <c r="S272" s="11"/>
      <c r="T272" s="65">
        <f>SUM(N272:S272)</f>
        <v>0</v>
      </c>
      <c r="U272" s="66">
        <f>T272+L272</f>
        <v>0</v>
      </c>
      <c r="V272" s="11"/>
      <c r="W272" s="38">
        <f>V272-U272</f>
        <v>0</v>
      </c>
      <c r="X272" s="47"/>
    </row>
    <row r="273" spans="1:24" s="51" customFormat="1" ht="18" hidden="1" customHeight="1">
      <c r="A273" s="610"/>
      <c r="B273" s="583"/>
      <c r="C273" s="583"/>
      <c r="D273" s="187" t="str">
        <f>серпень!D273</f>
        <v>тариф, грн.</v>
      </c>
      <c r="E273" s="49"/>
      <c r="F273" s="49"/>
      <c r="G273" s="49"/>
      <c r="H273" s="49"/>
      <c r="I273" s="49"/>
      <c r="J273" s="49"/>
      <c r="K273" s="49"/>
      <c r="L273" s="49" t="e">
        <f>L274/L272*1000</f>
        <v>#DIV/0!</v>
      </c>
      <c r="M273" s="49" t="e">
        <f>M274/M272*1000</f>
        <v>#DIV/0!</v>
      </c>
      <c r="N273" s="49"/>
      <c r="O273" s="49"/>
      <c r="P273" s="49"/>
      <c r="Q273" s="49"/>
      <c r="R273" s="49"/>
      <c r="S273" s="49"/>
      <c r="T273" s="49" t="e">
        <f>T274/T272*1000</f>
        <v>#DIV/0!</v>
      </c>
      <c r="U273" s="49" t="e">
        <f>U274/U272*1000</f>
        <v>#DIV/0!</v>
      </c>
      <c r="V273" s="68" t="e">
        <f>V274/V272*1000</f>
        <v>#DIV/0!</v>
      </c>
      <c r="W273" s="14" t="e">
        <f>W274/W272*1000</f>
        <v>#DIV/0!</v>
      </c>
      <c r="X273" s="50"/>
    </row>
    <row r="274" spans="1:24" s="55" customFormat="1" ht="18" hidden="1" customHeight="1">
      <c r="A274" s="610"/>
      <c r="B274" s="583"/>
      <c r="C274" s="583"/>
      <c r="D274" s="191" t="str">
        <f>серпень!D274</f>
        <v>сума, тис.грн.</v>
      </c>
      <c r="E274" s="52"/>
      <c r="F274" s="52">
        <f t="shared" ref="F274:K274" si="333">F272*F273/1000</f>
        <v>0</v>
      </c>
      <c r="G274" s="52">
        <f t="shared" si="333"/>
        <v>0</v>
      </c>
      <c r="H274" s="52">
        <f t="shared" si="333"/>
        <v>0</v>
      </c>
      <c r="I274" s="52">
        <f t="shared" si="333"/>
        <v>0</v>
      </c>
      <c r="J274" s="52">
        <f t="shared" si="333"/>
        <v>0</v>
      </c>
      <c r="K274" s="52">
        <f t="shared" si="333"/>
        <v>0</v>
      </c>
      <c r="L274" s="69">
        <f>SUM(F274:K274)</f>
        <v>0</v>
      </c>
      <c r="M274" s="69">
        <f>L274/6</f>
        <v>0</v>
      </c>
      <c r="N274" s="52">
        <f t="shared" ref="N274:S274" si="334">N272*N273/1000</f>
        <v>0</v>
      </c>
      <c r="O274" s="52">
        <f t="shared" si="334"/>
        <v>0</v>
      </c>
      <c r="P274" s="52">
        <f t="shared" si="334"/>
        <v>0</v>
      </c>
      <c r="Q274" s="52">
        <f t="shared" si="334"/>
        <v>0</v>
      </c>
      <c r="R274" s="52">
        <f t="shared" si="334"/>
        <v>0</v>
      </c>
      <c r="S274" s="52">
        <f t="shared" si="334"/>
        <v>0</v>
      </c>
      <c r="T274" s="69">
        <f>SUM(N274:S274)</f>
        <v>0</v>
      </c>
      <c r="U274" s="69">
        <f>T274+L274</f>
        <v>0</v>
      </c>
      <c r="V274" s="70">
        <f>V275+V276</f>
        <v>0</v>
      </c>
      <c r="W274" s="53">
        <f>V274-U274</f>
        <v>0</v>
      </c>
      <c r="X274" s="54">
        <f>9891253.845/1000</f>
        <v>9891.2540000000008</v>
      </c>
    </row>
    <row r="275" spans="1:24" s="55" customFormat="1" ht="18" hidden="1" customHeight="1">
      <c r="A275" s="610"/>
      <c r="B275" s="583"/>
      <c r="C275" s="583"/>
      <c r="D275" s="174" t="str">
        <f>серпень!D275</f>
        <v>абоненська плата, тис.грн.</v>
      </c>
      <c r="E275" s="56"/>
      <c r="F275" s="52"/>
      <c r="G275" s="52"/>
      <c r="H275" s="52"/>
      <c r="I275" s="52"/>
      <c r="J275" s="52"/>
      <c r="K275" s="52"/>
      <c r="L275" s="69">
        <f>SUM(F275:K275)</f>
        <v>0</v>
      </c>
      <c r="M275" s="69">
        <f>L275/6</f>
        <v>0</v>
      </c>
      <c r="N275" s="52"/>
      <c r="O275" s="52"/>
      <c r="P275" s="52"/>
      <c r="Q275" s="52"/>
      <c r="R275" s="52"/>
      <c r="S275" s="52"/>
      <c r="T275" s="69">
        <f>SUM(N275:S275)</f>
        <v>0</v>
      </c>
      <c r="U275" s="69">
        <f>T275+L275</f>
        <v>0</v>
      </c>
      <c r="V275" s="70"/>
      <c r="W275" s="53">
        <f>V275-U275</f>
        <v>0</v>
      </c>
      <c r="X275" s="58"/>
    </row>
    <row r="276" spans="1:24" s="55" customFormat="1" ht="18" hidden="1" customHeight="1">
      <c r="A276" s="610"/>
      <c r="B276" s="583"/>
      <c r="C276" s="583"/>
      <c r="D276" s="174" t="str">
        <f>серпень!D276</f>
        <v>разом сума тис. грн+абонплата</v>
      </c>
      <c r="E276" s="56"/>
      <c r="F276" s="52"/>
      <c r="G276" s="52"/>
      <c r="H276" s="52"/>
      <c r="I276" s="52"/>
      <c r="J276" s="52"/>
      <c r="K276" s="52"/>
      <c r="L276" s="69">
        <f>SUM(F276:K276)</f>
        <v>0</v>
      </c>
      <c r="M276" s="69">
        <f>L276/6</f>
        <v>0</v>
      </c>
      <c r="N276" s="52"/>
      <c r="O276" s="52"/>
      <c r="P276" s="52"/>
      <c r="Q276" s="52"/>
      <c r="R276" s="52"/>
      <c r="S276" s="52"/>
      <c r="T276" s="69">
        <f>SUM(N276:S276)</f>
        <v>0</v>
      </c>
      <c r="U276" s="69">
        <f>T276+L276</f>
        <v>0</v>
      </c>
      <c r="V276" s="70"/>
      <c r="W276" s="53">
        <f>V276-U276</f>
        <v>0</v>
      </c>
      <c r="X276" s="58"/>
    </row>
    <row r="277" spans="1:24" s="48" customFormat="1" ht="18" hidden="1" customHeight="1">
      <c r="A277" s="610"/>
      <c r="B277" s="583"/>
      <c r="C277" s="583"/>
      <c r="D277" s="178" t="str">
        <f>серпень!D277</f>
        <v>дотація</v>
      </c>
      <c r="E277" s="11"/>
      <c r="F277" s="11"/>
      <c r="G277" s="11"/>
      <c r="H277" s="11"/>
      <c r="I277" s="11"/>
      <c r="J277" s="11"/>
      <c r="K277" s="11"/>
      <c r="L277" s="65">
        <f>SUM(F277:K277)</f>
        <v>0</v>
      </c>
      <c r="M277" s="65">
        <f>L277/6</f>
        <v>0</v>
      </c>
      <c r="N277" s="11"/>
      <c r="O277" s="11"/>
      <c r="P277" s="11"/>
      <c r="Q277" s="11"/>
      <c r="R277" s="11"/>
      <c r="S277" s="11">
        <f>S272+R272</f>
        <v>0</v>
      </c>
      <c r="T277" s="65">
        <f>SUM(N277:S277)</f>
        <v>0</v>
      </c>
      <c r="U277" s="65">
        <f>T277+L277</f>
        <v>0</v>
      </c>
      <c r="V277" s="11">
        <f>V272</f>
        <v>0</v>
      </c>
      <c r="W277" s="38">
        <f>V277-U277</f>
        <v>0</v>
      </c>
      <c r="X277" s="47">
        <f>U272-U277</f>
        <v>0</v>
      </c>
    </row>
    <row r="278" spans="1:24" s="51" customFormat="1" ht="18" hidden="1" customHeight="1">
      <c r="A278" s="610"/>
      <c r="B278" s="583"/>
      <c r="C278" s="583"/>
      <c r="D278" s="187" t="str">
        <f>серпень!D278</f>
        <v>місцевий (план), тис.грн</v>
      </c>
      <c r="E278" s="49" t="e">
        <f>E279/E277*1000</f>
        <v>#DIV/0!</v>
      </c>
      <c r="F278" s="49"/>
      <c r="G278" s="49"/>
      <c r="H278" s="49"/>
      <c r="I278" s="49"/>
      <c r="J278" s="49"/>
      <c r="K278" s="49"/>
      <c r="L278" s="49" t="e">
        <f>L279/L277*1000</f>
        <v>#DIV/0!</v>
      </c>
      <c r="M278" s="49" t="e">
        <f>M279/M277*1000</f>
        <v>#DIV/0!</v>
      </c>
      <c r="N278" s="49"/>
      <c r="O278" s="49"/>
      <c r="P278" s="49"/>
      <c r="Q278" s="49"/>
      <c r="R278" s="49"/>
      <c r="S278" s="49"/>
      <c r="T278" s="49" t="e">
        <f>T279/T277*1000</f>
        <v>#DIV/0!</v>
      </c>
      <c r="U278" s="49" t="e">
        <f>U279/U277*1000</f>
        <v>#DIV/0!</v>
      </c>
      <c r="V278" s="68" t="e">
        <f>V279/V277*1000</f>
        <v>#DIV/0!</v>
      </c>
      <c r="W278" s="14" t="e">
        <f>W279/W277*1000</f>
        <v>#DIV/0!</v>
      </c>
      <c r="X278" s="59"/>
    </row>
    <row r="279" spans="1:24" s="63" customFormat="1" ht="18" hidden="1" customHeight="1">
      <c r="A279" s="610"/>
      <c r="B279" s="583"/>
      <c r="C279" s="583"/>
      <c r="D279" s="198" t="str">
        <f>серпень!D279</f>
        <v>касові нат.п-ки 2025</v>
      </c>
      <c r="E279" s="71"/>
      <c r="F279" s="61">
        <f t="shared" ref="F279:K279" si="335">F277*F278/1000</f>
        <v>0</v>
      </c>
      <c r="G279" s="61">
        <f t="shared" si="335"/>
        <v>0</v>
      </c>
      <c r="H279" s="61">
        <f t="shared" si="335"/>
        <v>0</v>
      </c>
      <c r="I279" s="61">
        <f t="shared" si="335"/>
        <v>0</v>
      </c>
      <c r="J279" s="61">
        <f t="shared" si="335"/>
        <v>0</v>
      </c>
      <c r="K279" s="61">
        <f t="shared" si="335"/>
        <v>0</v>
      </c>
      <c r="L279" s="61">
        <f>SUM(F279:K279)</f>
        <v>0</v>
      </c>
      <c r="M279" s="61">
        <f>L279/6</f>
        <v>0</v>
      </c>
      <c r="N279" s="61">
        <f t="shared" ref="N279:S279" si="336">N277*N278/1000</f>
        <v>0</v>
      </c>
      <c r="O279" s="61">
        <f t="shared" si="336"/>
        <v>0</v>
      </c>
      <c r="P279" s="61">
        <f t="shared" si="336"/>
        <v>0</v>
      </c>
      <c r="Q279" s="61">
        <f t="shared" si="336"/>
        <v>0</v>
      </c>
      <c r="R279" s="61">
        <f t="shared" si="336"/>
        <v>0</v>
      </c>
      <c r="S279" s="61">
        <f t="shared" si="336"/>
        <v>0</v>
      </c>
      <c r="T279" s="61">
        <f>SUM(N279:S279)</f>
        <v>0</v>
      </c>
      <c r="U279" s="61">
        <f>T279+L279</f>
        <v>0</v>
      </c>
      <c r="V279" s="61">
        <f>V274</f>
        <v>0</v>
      </c>
      <c r="W279" s="72">
        <f>V279-U279</f>
        <v>0</v>
      </c>
      <c r="X279" s="63">
        <f>U274-U279</f>
        <v>0</v>
      </c>
    </row>
    <row r="280" spans="1:24" s="63" customFormat="1" ht="18" hidden="1" customHeight="1">
      <c r="A280" s="610"/>
      <c r="B280" s="583"/>
      <c r="C280" s="583"/>
      <c r="D280" s="201" t="str">
        <f>серпень!D280</f>
        <v>тариф, грн.</v>
      </c>
      <c r="E280" s="71"/>
      <c r="F280" s="61"/>
      <c r="G280" s="61"/>
      <c r="H280" s="61"/>
      <c r="I280" s="61"/>
      <c r="J280" s="61"/>
      <c r="K280" s="61"/>
      <c r="L280" s="61">
        <f>SUM(F280:K280)</f>
        <v>0</v>
      </c>
      <c r="M280" s="61">
        <f>L280/6</f>
        <v>0</v>
      </c>
      <c r="N280" s="61"/>
      <c r="O280" s="61"/>
      <c r="P280" s="61"/>
      <c r="Q280" s="61"/>
      <c r="R280" s="61"/>
      <c r="S280" s="61"/>
      <c r="T280" s="61">
        <f>SUM(N280:S280)</f>
        <v>0</v>
      </c>
      <c r="U280" s="61">
        <f>T280+L280</f>
        <v>0</v>
      </c>
      <c r="V280" s="61">
        <f>V275</f>
        <v>0</v>
      </c>
      <c r="W280" s="72">
        <f>V280-U280</f>
        <v>0</v>
      </c>
      <c r="X280" s="63">
        <f>U275-U280</f>
        <v>0</v>
      </c>
    </row>
    <row r="281" spans="1:24" s="63" customFormat="1" ht="18" hidden="1" customHeight="1">
      <c r="A281" s="610"/>
      <c r="B281" s="583"/>
      <c r="C281" s="583"/>
      <c r="D281" s="201" t="str">
        <f>серпень!D281</f>
        <v>касові видатки, тис.грн.</v>
      </c>
      <c r="E281" s="71"/>
      <c r="F281" s="61">
        <f t="shared" ref="F281:K281" si="337">F279-F280</f>
        <v>0</v>
      </c>
      <c r="G281" s="61">
        <f t="shared" si="337"/>
        <v>0</v>
      </c>
      <c r="H281" s="61">
        <f t="shared" si="337"/>
        <v>0</v>
      </c>
      <c r="I281" s="61">
        <f t="shared" si="337"/>
        <v>0</v>
      </c>
      <c r="J281" s="61">
        <f t="shared" si="337"/>
        <v>0</v>
      </c>
      <c r="K281" s="61">
        <f t="shared" si="337"/>
        <v>0</v>
      </c>
      <c r="L281" s="61">
        <f>SUM(F281:K281)</f>
        <v>0</v>
      </c>
      <c r="M281" s="61">
        <f>L281/6</f>
        <v>0</v>
      </c>
      <c r="N281" s="61">
        <f t="shared" ref="N281:S281" si="338">N279-N280</f>
        <v>0</v>
      </c>
      <c r="O281" s="61">
        <f t="shared" si="338"/>
        <v>0</v>
      </c>
      <c r="P281" s="61">
        <f t="shared" si="338"/>
        <v>0</v>
      </c>
      <c r="Q281" s="61">
        <f t="shared" si="338"/>
        <v>0</v>
      </c>
      <c r="R281" s="61">
        <f t="shared" si="338"/>
        <v>0</v>
      </c>
      <c r="S281" s="61">
        <f t="shared" si="338"/>
        <v>0</v>
      </c>
      <c r="T281" s="61">
        <f>SUM(N281:S281)</f>
        <v>0</v>
      </c>
      <c r="U281" s="61">
        <f>T281+L281</f>
        <v>0</v>
      </c>
      <c r="V281" s="61">
        <f>V276</f>
        <v>0</v>
      </c>
      <c r="W281" s="72">
        <f>V281-U281</f>
        <v>0</v>
      </c>
      <c r="X281" s="63">
        <f>U276-U281</f>
        <v>0</v>
      </c>
    </row>
    <row r="282" spans="1:24" s="43" customFormat="1" ht="18" hidden="1" customHeight="1">
      <c r="A282" s="610"/>
      <c r="B282" s="583"/>
      <c r="C282" s="583"/>
      <c r="D282" s="202" t="str">
        <f>серпень!D282</f>
        <v>дотація</v>
      </c>
      <c r="E282" s="42"/>
      <c r="F282" s="42">
        <f t="shared" ref="F282:K282" si="339">F276</f>
        <v>0</v>
      </c>
      <c r="G282" s="42">
        <f t="shared" si="339"/>
        <v>0</v>
      </c>
      <c r="H282" s="42">
        <f t="shared" si="339"/>
        <v>0</v>
      </c>
      <c r="I282" s="42">
        <f t="shared" si="339"/>
        <v>0</v>
      </c>
      <c r="J282" s="42">
        <f t="shared" si="339"/>
        <v>0</v>
      </c>
      <c r="K282" s="42">
        <f t="shared" si="339"/>
        <v>0</v>
      </c>
      <c r="L282" s="42">
        <f>SUM(F282:K282)</f>
        <v>0</v>
      </c>
      <c r="M282" s="42">
        <f>L282/6</f>
        <v>0</v>
      </c>
      <c r="N282" s="42">
        <f t="shared" ref="N282:S282" si="340">N276+N275</f>
        <v>0</v>
      </c>
      <c r="O282" s="42">
        <f t="shared" si="340"/>
        <v>0</v>
      </c>
      <c r="P282" s="42">
        <f t="shared" si="340"/>
        <v>0</v>
      </c>
      <c r="Q282" s="42">
        <f t="shared" si="340"/>
        <v>0</v>
      </c>
      <c r="R282" s="42">
        <f t="shared" si="340"/>
        <v>0</v>
      </c>
      <c r="S282" s="42">
        <f t="shared" si="340"/>
        <v>0</v>
      </c>
      <c r="T282" s="42">
        <f>SUM(N282:S282)</f>
        <v>0</v>
      </c>
      <c r="U282" s="42">
        <f>T282+L282</f>
        <v>0</v>
      </c>
      <c r="V282" s="42">
        <f>V279</f>
        <v>0</v>
      </c>
      <c r="W282" s="42">
        <f>V282-U282</f>
        <v>0</v>
      </c>
    </row>
    <row r="283" spans="1:24" s="43" customFormat="1" ht="18" hidden="1" customHeight="1">
      <c r="A283" s="610"/>
      <c r="B283" s="583"/>
      <c r="C283" s="583"/>
      <c r="D283" s="202" t="str">
        <f>серпень!D283</f>
        <v xml:space="preserve">місцевий </v>
      </c>
      <c r="E283" s="42"/>
      <c r="F283" s="42">
        <f t="shared" ref="F283:K283" si="341">F279-F282</f>
        <v>0</v>
      </c>
      <c r="G283" s="42">
        <f t="shared" si="341"/>
        <v>0</v>
      </c>
      <c r="H283" s="42">
        <f t="shared" si="341"/>
        <v>0</v>
      </c>
      <c r="I283" s="42">
        <f t="shared" si="341"/>
        <v>0</v>
      </c>
      <c r="J283" s="42">
        <f t="shared" si="341"/>
        <v>0</v>
      </c>
      <c r="K283" s="42">
        <f t="shared" si="341"/>
        <v>0</v>
      </c>
      <c r="L283" s="42"/>
      <c r="M283" s="42"/>
      <c r="N283" s="42">
        <f t="shared" ref="N283:S283" si="342">N279-N282</f>
        <v>0</v>
      </c>
      <c r="O283" s="42">
        <f t="shared" si="342"/>
        <v>0</v>
      </c>
      <c r="P283" s="42">
        <f t="shared" si="342"/>
        <v>0</v>
      </c>
      <c r="Q283" s="42">
        <f t="shared" si="342"/>
        <v>0</v>
      </c>
      <c r="R283" s="42">
        <f t="shared" si="342"/>
        <v>0</v>
      </c>
      <c r="S283" s="42">
        <f t="shared" si="342"/>
        <v>0</v>
      </c>
      <c r="T283" s="42"/>
      <c r="U283" s="42"/>
      <c r="V283" s="42"/>
      <c r="W283" s="42"/>
    </row>
    <row r="284" spans="1:24" s="43" customFormat="1" ht="18" hidden="1" customHeight="1">
      <c r="A284" s="610"/>
      <c r="B284" s="583"/>
      <c r="C284" s="584"/>
      <c r="D284" s="202" t="str">
        <f>серпень!D284</f>
        <v>план</v>
      </c>
      <c r="E284" s="42"/>
      <c r="F284" s="42">
        <f>F283</f>
        <v>0</v>
      </c>
      <c r="G284" s="42">
        <f>G283+F284</f>
        <v>0</v>
      </c>
      <c r="H284" s="42">
        <f>H283+G284</f>
        <v>0</v>
      </c>
      <c r="I284" s="42">
        <f>I283+H284</f>
        <v>0</v>
      </c>
      <c r="J284" s="42">
        <f>J283+I284</f>
        <v>0</v>
      </c>
      <c r="K284" s="42">
        <f>K283+J284</f>
        <v>0</v>
      </c>
      <c r="L284" s="42"/>
      <c r="M284" s="42"/>
      <c r="N284" s="42">
        <f>N283+K284</f>
        <v>0</v>
      </c>
      <c r="O284" s="42">
        <f>O283+N284</f>
        <v>0</v>
      </c>
      <c r="P284" s="42">
        <f>P283+O284</f>
        <v>0</v>
      </c>
      <c r="Q284" s="42">
        <f>Q283+P284</f>
        <v>0</v>
      </c>
      <c r="R284" s="42">
        <f>R283+Q284</f>
        <v>0</v>
      </c>
      <c r="S284" s="42">
        <f>S283+R284</f>
        <v>0</v>
      </c>
      <c r="T284" s="42"/>
      <c r="U284" s="42"/>
      <c r="V284" s="42"/>
      <c r="W284" s="42"/>
    </row>
    <row r="285" spans="1:24" s="48" customFormat="1" ht="18" hidden="1" customHeight="1">
      <c r="A285" s="610"/>
      <c r="B285" s="583"/>
      <c r="C285" s="582" t="s">
        <v>96</v>
      </c>
      <c r="D285" s="178" t="s">
        <v>93</v>
      </c>
      <c r="E285" s="11"/>
      <c r="F285" s="12"/>
      <c r="G285" s="12"/>
      <c r="H285" s="12"/>
      <c r="I285" s="12"/>
      <c r="J285" s="12"/>
      <c r="K285" s="12"/>
      <c r="L285" s="65">
        <f>SUM(F285:K285)</f>
        <v>0</v>
      </c>
      <c r="M285" s="65">
        <f>L285/6</f>
        <v>0</v>
      </c>
      <c r="N285" s="12"/>
      <c r="O285" s="12"/>
      <c r="P285" s="12"/>
      <c r="Q285" s="12"/>
      <c r="R285" s="12"/>
      <c r="S285" s="12"/>
      <c r="T285" s="65">
        <f>SUM(N285:S285)</f>
        <v>0</v>
      </c>
      <c r="U285" s="66">
        <f>T285+L285</f>
        <v>0</v>
      </c>
      <c r="V285" s="67"/>
      <c r="W285" s="38">
        <f>V285-U285</f>
        <v>0</v>
      </c>
      <c r="X285" s="47"/>
    </row>
    <row r="286" spans="1:24" s="48" customFormat="1" ht="18" hidden="1" customHeight="1">
      <c r="A286" s="610"/>
      <c r="B286" s="583"/>
      <c r="C286" s="583"/>
      <c r="D286" s="178" t="s">
        <v>95</v>
      </c>
      <c r="E286" s="11"/>
      <c r="F286" s="12"/>
      <c r="G286" s="12"/>
      <c r="H286" s="12"/>
      <c r="I286" s="12"/>
      <c r="J286" s="12"/>
      <c r="K286" s="12"/>
      <c r="L286" s="65">
        <f>SUM(F286:K286)</f>
        <v>0</v>
      </c>
      <c r="M286" s="65">
        <f>L286/6</f>
        <v>0</v>
      </c>
      <c r="N286" s="11"/>
      <c r="O286" s="11"/>
      <c r="P286" s="11"/>
      <c r="Q286" s="11"/>
      <c r="R286" s="11"/>
      <c r="S286" s="11"/>
      <c r="T286" s="65">
        <f>SUM(N286:S286)</f>
        <v>0</v>
      </c>
      <c r="U286" s="66">
        <f>T286+L286</f>
        <v>0</v>
      </c>
      <c r="V286" s="67"/>
      <c r="W286" s="38">
        <f>V286-U286</f>
        <v>0</v>
      </c>
      <c r="X286" s="47"/>
    </row>
    <row r="287" spans="1:24" s="48" customFormat="1" ht="18" hidden="1" customHeight="1">
      <c r="A287" s="610"/>
      <c r="B287" s="583"/>
      <c r="C287" s="583"/>
      <c r="D287" s="178" t="s">
        <v>105</v>
      </c>
      <c r="E287" s="11"/>
      <c r="F287" s="12"/>
      <c r="G287" s="12"/>
      <c r="H287" s="12"/>
      <c r="I287" s="12"/>
      <c r="J287" s="12"/>
      <c r="K287" s="12"/>
      <c r="L287" s="65">
        <f>SUM(F287:K287)</f>
        <v>0</v>
      </c>
      <c r="M287" s="65">
        <f>L287/6</f>
        <v>0</v>
      </c>
      <c r="N287" s="12"/>
      <c r="O287" s="12"/>
      <c r="P287" s="12"/>
      <c r="Q287" s="12"/>
      <c r="R287" s="12"/>
      <c r="S287" s="11"/>
      <c r="T287" s="65">
        <f>SUM(N287:S287)</f>
        <v>0</v>
      </c>
      <c r="U287" s="66">
        <f>T287+L287</f>
        <v>0</v>
      </c>
      <c r="V287" s="11"/>
      <c r="W287" s="38">
        <f>V287-U287</f>
        <v>0</v>
      </c>
      <c r="X287" s="47"/>
    </row>
    <row r="288" spans="1:24" s="51" customFormat="1" ht="18" hidden="1" customHeight="1">
      <c r="A288" s="610"/>
      <c r="B288" s="583"/>
      <c r="C288" s="583"/>
      <c r="D288" s="187" t="s">
        <v>27</v>
      </c>
      <c r="E288" s="49"/>
      <c r="F288" s="49"/>
      <c r="G288" s="49"/>
      <c r="H288" s="49"/>
      <c r="I288" s="49"/>
      <c r="J288" s="49"/>
      <c r="K288" s="49"/>
      <c r="L288" s="49" t="e">
        <f>L289/L287*1000</f>
        <v>#DIV/0!</v>
      </c>
      <c r="M288" s="49" t="e">
        <f>M289/M287*1000</f>
        <v>#DIV/0!</v>
      </c>
      <c r="N288" s="49"/>
      <c r="O288" s="49"/>
      <c r="P288" s="49"/>
      <c r="Q288" s="49"/>
      <c r="R288" s="49"/>
      <c r="S288" s="49"/>
      <c r="T288" s="49" t="e">
        <f>T289/T287*1000</f>
        <v>#DIV/0!</v>
      </c>
      <c r="U288" s="49" t="e">
        <f>U289/U287*1000</f>
        <v>#DIV/0!</v>
      </c>
      <c r="V288" s="68" t="e">
        <f>V289/V287*1000</f>
        <v>#DIV/0!</v>
      </c>
      <c r="W288" s="14" t="e">
        <f>W289/W287*1000</f>
        <v>#DIV/0!</v>
      </c>
      <c r="X288" s="50"/>
    </row>
    <row r="289" spans="1:24" s="55" customFormat="1" ht="18" hidden="1" customHeight="1">
      <c r="A289" s="610"/>
      <c r="B289" s="583"/>
      <c r="C289" s="583"/>
      <c r="D289" s="191" t="s">
        <v>0</v>
      </c>
      <c r="E289" s="52"/>
      <c r="F289" s="52">
        <f t="shared" ref="F289:K289" si="343">F287*F288/1000</f>
        <v>0</v>
      </c>
      <c r="G289" s="52">
        <f t="shared" si="343"/>
        <v>0</v>
      </c>
      <c r="H289" s="52">
        <f t="shared" si="343"/>
        <v>0</v>
      </c>
      <c r="I289" s="52">
        <f t="shared" si="343"/>
        <v>0</v>
      </c>
      <c r="J289" s="52">
        <f t="shared" si="343"/>
        <v>0</v>
      </c>
      <c r="K289" s="52">
        <f t="shared" si="343"/>
        <v>0</v>
      </c>
      <c r="L289" s="69">
        <f>SUM(F289:K289)</f>
        <v>0</v>
      </c>
      <c r="M289" s="69">
        <f>L289/6</f>
        <v>0</v>
      </c>
      <c r="N289" s="52">
        <f t="shared" ref="N289:S289" si="344">N287*N288/1000</f>
        <v>0</v>
      </c>
      <c r="O289" s="52">
        <f t="shared" si="344"/>
        <v>0</v>
      </c>
      <c r="P289" s="52">
        <f t="shared" si="344"/>
        <v>0</v>
      </c>
      <c r="Q289" s="52">
        <f t="shared" si="344"/>
        <v>0</v>
      </c>
      <c r="R289" s="52">
        <f t="shared" si="344"/>
        <v>0</v>
      </c>
      <c r="S289" s="52">
        <f t="shared" si="344"/>
        <v>0</v>
      </c>
      <c r="T289" s="69">
        <f>SUM(N289:S289)</f>
        <v>0</v>
      </c>
      <c r="U289" s="69">
        <f>T289+L289</f>
        <v>0</v>
      </c>
      <c r="V289" s="70">
        <f>V290+V291</f>
        <v>0</v>
      </c>
      <c r="W289" s="53">
        <f>V289-U289</f>
        <v>0</v>
      </c>
      <c r="X289" s="54">
        <f>9891253.845/1000</f>
        <v>9891.2540000000008</v>
      </c>
    </row>
    <row r="290" spans="1:24" s="55" customFormat="1" ht="18" hidden="1" customHeight="1">
      <c r="A290" s="610"/>
      <c r="B290" s="583"/>
      <c r="C290" s="583"/>
      <c r="D290" s="174" t="s">
        <v>55</v>
      </c>
      <c r="E290" s="56"/>
      <c r="F290" s="52"/>
      <c r="G290" s="52"/>
      <c r="H290" s="52"/>
      <c r="I290" s="52"/>
      <c r="J290" s="52"/>
      <c r="K290" s="52"/>
      <c r="L290" s="69">
        <f>SUM(F290:K290)</f>
        <v>0</v>
      </c>
      <c r="M290" s="69">
        <f>L290/6</f>
        <v>0</v>
      </c>
      <c r="N290" s="52"/>
      <c r="O290" s="52"/>
      <c r="P290" s="52"/>
      <c r="Q290" s="52"/>
      <c r="R290" s="52"/>
      <c r="S290" s="52"/>
      <c r="T290" s="69">
        <f>SUM(N290:S290)</f>
        <v>0</v>
      </c>
      <c r="U290" s="69">
        <f>T290+L290</f>
        <v>0</v>
      </c>
      <c r="V290" s="70"/>
      <c r="W290" s="53">
        <f>V290-U290</f>
        <v>0</v>
      </c>
      <c r="X290" s="58"/>
    </row>
    <row r="291" spans="1:24" s="55" customFormat="1" ht="18" hidden="1" customHeight="1">
      <c r="A291" s="610"/>
      <c r="B291" s="583"/>
      <c r="C291" s="583"/>
      <c r="D291" s="174" t="s">
        <v>28</v>
      </c>
      <c r="E291" s="56"/>
      <c r="F291" s="52"/>
      <c r="G291" s="52"/>
      <c r="H291" s="52"/>
      <c r="I291" s="52"/>
      <c r="J291" s="52"/>
      <c r="K291" s="52"/>
      <c r="L291" s="69">
        <f>SUM(F291:K291)</f>
        <v>0</v>
      </c>
      <c r="M291" s="69">
        <f>L291/6</f>
        <v>0</v>
      </c>
      <c r="N291" s="52"/>
      <c r="O291" s="52"/>
      <c r="P291" s="52"/>
      <c r="Q291" s="52"/>
      <c r="R291" s="52"/>
      <c r="S291" s="52"/>
      <c r="T291" s="69">
        <f>SUM(N291:S291)</f>
        <v>0</v>
      </c>
      <c r="U291" s="69">
        <f>T291+L291</f>
        <v>0</v>
      </c>
      <c r="V291" s="70"/>
      <c r="W291" s="53">
        <f>V291-U291</f>
        <v>0</v>
      </c>
      <c r="X291" s="58"/>
    </row>
    <row r="292" spans="1:24" s="48" customFormat="1" ht="18" hidden="1" customHeight="1">
      <c r="A292" s="610"/>
      <c r="B292" s="583"/>
      <c r="C292" s="583"/>
      <c r="D292" s="178" t="s">
        <v>106</v>
      </c>
      <c r="E292" s="11"/>
      <c r="F292" s="11"/>
      <c r="G292" s="11"/>
      <c r="H292" s="11"/>
      <c r="I292" s="11"/>
      <c r="J292" s="11"/>
      <c r="K292" s="11"/>
      <c r="L292" s="65">
        <f>SUM(F292:K292)</f>
        <v>0</v>
      </c>
      <c r="M292" s="65">
        <f>L292/6</f>
        <v>0</v>
      </c>
      <c r="N292" s="11"/>
      <c r="O292" s="11"/>
      <c r="P292" s="11"/>
      <c r="Q292" s="11"/>
      <c r="R292" s="11"/>
      <c r="S292" s="11"/>
      <c r="T292" s="65">
        <f>SUM(N292:S292)</f>
        <v>0</v>
      </c>
      <c r="U292" s="65">
        <f>T292+L292</f>
        <v>0</v>
      </c>
      <c r="V292" s="11">
        <f>V287</f>
        <v>0</v>
      </c>
      <c r="W292" s="38">
        <f>V292-U292</f>
        <v>0</v>
      </c>
      <c r="X292" s="47">
        <f>U287-U292</f>
        <v>0</v>
      </c>
    </row>
    <row r="293" spans="1:24" s="51" customFormat="1" ht="18" hidden="1" customHeight="1">
      <c r="A293" s="610"/>
      <c r="B293" s="583"/>
      <c r="C293" s="583"/>
      <c r="D293" s="187" t="s">
        <v>27</v>
      </c>
      <c r="E293" s="49" t="e">
        <f>E294/E292*1000</f>
        <v>#DIV/0!</v>
      </c>
      <c r="F293" s="49"/>
      <c r="G293" s="49"/>
      <c r="H293" s="49"/>
      <c r="I293" s="49"/>
      <c r="J293" s="49"/>
      <c r="K293" s="49"/>
      <c r="L293" s="49" t="e">
        <f>L294/L292*1000</f>
        <v>#DIV/0!</v>
      </c>
      <c r="M293" s="49" t="e">
        <f>M294/M292*1000</f>
        <v>#DIV/0!</v>
      </c>
      <c r="N293" s="49"/>
      <c r="O293" s="49"/>
      <c r="P293" s="49"/>
      <c r="Q293" s="49"/>
      <c r="R293" s="49"/>
      <c r="S293" s="49"/>
      <c r="T293" s="49" t="e">
        <f>T294/T292*1000</f>
        <v>#DIV/0!</v>
      </c>
      <c r="U293" s="49" t="e">
        <f>U294/U292*1000</f>
        <v>#DIV/0!</v>
      </c>
      <c r="V293" s="68" t="e">
        <f>V294/V292*1000</f>
        <v>#DIV/0!</v>
      </c>
      <c r="W293" s="14" t="e">
        <f>W294/W292*1000</f>
        <v>#DIV/0!</v>
      </c>
      <c r="X293" s="59"/>
    </row>
    <row r="294" spans="1:24" s="63" customFormat="1" ht="17.7" hidden="1" customHeight="1">
      <c r="A294" s="610"/>
      <c r="B294" s="583"/>
      <c r="C294" s="583"/>
      <c r="D294" s="198" t="s">
        <v>25</v>
      </c>
      <c r="E294" s="71"/>
      <c r="F294" s="61">
        <f t="shared" ref="F294:K294" si="345">F292*F293/1000</f>
        <v>0</v>
      </c>
      <c r="G294" s="61">
        <f t="shared" si="345"/>
        <v>0</v>
      </c>
      <c r="H294" s="61">
        <f t="shared" si="345"/>
        <v>0</v>
      </c>
      <c r="I294" s="61">
        <f t="shared" si="345"/>
        <v>0</v>
      </c>
      <c r="J294" s="61">
        <f t="shared" si="345"/>
        <v>0</v>
      </c>
      <c r="K294" s="61">
        <f t="shared" si="345"/>
        <v>0</v>
      </c>
      <c r="L294" s="61">
        <f>SUM(F294:K294)</f>
        <v>0</v>
      </c>
      <c r="M294" s="61">
        <f>L294/6</f>
        <v>0</v>
      </c>
      <c r="N294" s="61">
        <f t="shared" ref="N294:S294" si="346">N292*N293/1000</f>
        <v>0</v>
      </c>
      <c r="O294" s="61">
        <f t="shared" si="346"/>
        <v>0</v>
      </c>
      <c r="P294" s="61">
        <f t="shared" si="346"/>
        <v>0</v>
      </c>
      <c r="Q294" s="61">
        <f t="shared" si="346"/>
        <v>0</v>
      </c>
      <c r="R294" s="61">
        <f t="shared" si="346"/>
        <v>0</v>
      </c>
      <c r="S294" s="61">
        <f t="shared" si="346"/>
        <v>0</v>
      </c>
      <c r="T294" s="61">
        <f>SUM(N294:S294)</f>
        <v>0</v>
      </c>
      <c r="U294" s="61">
        <f>T294+L294</f>
        <v>0</v>
      </c>
      <c r="V294" s="61">
        <f>V289</f>
        <v>0</v>
      </c>
      <c r="W294" s="72">
        <f>V294-U294</f>
        <v>0</v>
      </c>
      <c r="X294" s="63">
        <f>U289-U294</f>
        <v>0</v>
      </c>
    </row>
    <row r="295" spans="1:24" s="63" customFormat="1" ht="18" hidden="1" customHeight="1">
      <c r="A295" s="610"/>
      <c r="B295" s="583"/>
      <c r="C295" s="583"/>
      <c r="D295" s="201" t="s">
        <v>55</v>
      </c>
      <c r="E295" s="71"/>
      <c r="F295" s="61"/>
      <c r="G295" s="61"/>
      <c r="H295" s="61"/>
      <c r="I295" s="61"/>
      <c r="J295" s="61"/>
      <c r="K295" s="61"/>
      <c r="L295" s="61">
        <f>SUM(F295:K295)</f>
        <v>0</v>
      </c>
      <c r="M295" s="61">
        <f>L295/6</f>
        <v>0</v>
      </c>
      <c r="N295" s="61"/>
      <c r="O295" s="61"/>
      <c r="P295" s="61"/>
      <c r="Q295" s="61"/>
      <c r="R295" s="61"/>
      <c r="S295" s="61"/>
      <c r="T295" s="61">
        <f>SUM(N295:S295)</f>
        <v>0</v>
      </c>
      <c r="U295" s="61">
        <f>T295+L295</f>
        <v>0</v>
      </c>
      <c r="V295" s="61">
        <f>V290</f>
        <v>0</v>
      </c>
      <c r="W295" s="72">
        <f>V295-U295</f>
        <v>0</v>
      </c>
      <c r="X295" s="63">
        <f>U290-U295</f>
        <v>0</v>
      </c>
    </row>
    <row r="296" spans="1:24" s="63" customFormat="1" ht="18" hidden="1" customHeight="1">
      <c r="A296" s="610"/>
      <c r="B296" s="583"/>
      <c r="C296" s="583"/>
      <c r="D296" s="201" t="s">
        <v>24</v>
      </c>
      <c r="E296" s="71"/>
      <c r="F296" s="61">
        <f t="shared" ref="F296:K296" si="347">F294-F295</f>
        <v>0</v>
      </c>
      <c r="G296" s="61">
        <f t="shared" si="347"/>
        <v>0</v>
      </c>
      <c r="H296" s="61">
        <f t="shared" si="347"/>
        <v>0</v>
      </c>
      <c r="I296" s="61">
        <f t="shared" si="347"/>
        <v>0</v>
      </c>
      <c r="J296" s="61">
        <f t="shared" si="347"/>
        <v>0</v>
      </c>
      <c r="K296" s="61">
        <f t="shared" si="347"/>
        <v>0</v>
      </c>
      <c r="L296" s="61">
        <f>SUM(F296:K296)</f>
        <v>0</v>
      </c>
      <c r="M296" s="61">
        <f>L296/6</f>
        <v>0</v>
      </c>
      <c r="N296" s="61">
        <f t="shared" ref="N296:S296" si="348">N294-N295</f>
        <v>0</v>
      </c>
      <c r="O296" s="61">
        <f t="shared" si="348"/>
        <v>0</v>
      </c>
      <c r="P296" s="61">
        <f t="shared" si="348"/>
        <v>0</v>
      </c>
      <c r="Q296" s="61">
        <f t="shared" si="348"/>
        <v>0</v>
      </c>
      <c r="R296" s="61">
        <f t="shared" si="348"/>
        <v>0</v>
      </c>
      <c r="S296" s="61">
        <f t="shared" si="348"/>
        <v>0</v>
      </c>
      <c r="T296" s="61">
        <f>SUM(N296:S296)</f>
        <v>0</v>
      </c>
      <c r="U296" s="61">
        <f>T296+L296</f>
        <v>0</v>
      </c>
      <c r="V296" s="61">
        <f>V291</f>
        <v>0</v>
      </c>
      <c r="W296" s="72">
        <f>V296-U296</f>
        <v>0</v>
      </c>
      <c r="X296" s="63">
        <f>U291-U296</f>
        <v>0</v>
      </c>
    </row>
    <row r="297" spans="1:24" s="43" customFormat="1" ht="18" hidden="1" customHeight="1">
      <c r="A297" s="610"/>
      <c r="B297" s="583"/>
      <c r="C297" s="583"/>
      <c r="D297" s="202" t="s">
        <v>29</v>
      </c>
      <c r="E297" s="42"/>
      <c r="F297" s="42">
        <f t="shared" ref="F297:K297" si="349">F291</f>
        <v>0</v>
      </c>
      <c r="G297" s="42">
        <f t="shared" si="349"/>
        <v>0</v>
      </c>
      <c r="H297" s="42">
        <f t="shared" si="349"/>
        <v>0</v>
      </c>
      <c r="I297" s="42">
        <f t="shared" si="349"/>
        <v>0</v>
      </c>
      <c r="J297" s="42">
        <f t="shared" si="349"/>
        <v>0</v>
      </c>
      <c r="K297" s="42">
        <f t="shared" si="349"/>
        <v>0</v>
      </c>
      <c r="L297" s="42">
        <f>SUM(F297:K297)</f>
        <v>0</v>
      </c>
      <c r="M297" s="42">
        <f>L297/6</f>
        <v>0</v>
      </c>
      <c r="N297" s="42">
        <f t="shared" ref="N297:S297" si="350">N291+N290</f>
        <v>0</v>
      </c>
      <c r="O297" s="42">
        <f t="shared" si="350"/>
        <v>0</v>
      </c>
      <c r="P297" s="42">
        <f t="shared" si="350"/>
        <v>0</v>
      </c>
      <c r="Q297" s="42">
        <f t="shared" si="350"/>
        <v>0</v>
      </c>
      <c r="R297" s="42">
        <f t="shared" si="350"/>
        <v>0</v>
      </c>
      <c r="S297" s="42">
        <f t="shared" si="350"/>
        <v>0</v>
      </c>
      <c r="T297" s="42">
        <f>SUM(N297:S297)</f>
        <v>0</v>
      </c>
      <c r="U297" s="42">
        <f>T297+L297</f>
        <v>0</v>
      </c>
      <c r="V297" s="42">
        <f>V294</f>
        <v>0</v>
      </c>
      <c r="W297" s="42">
        <f>V297-U297</f>
        <v>0</v>
      </c>
    </row>
    <row r="298" spans="1:24" s="43" customFormat="1" ht="18" hidden="1" customHeight="1">
      <c r="A298" s="610"/>
      <c r="B298" s="583"/>
      <c r="C298" s="583"/>
      <c r="D298" s="202" t="s">
        <v>30</v>
      </c>
      <c r="E298" s="42"/>
      <c r="F298" s="42">
        <f t="shared" ref="F298:K298" si="351">F294-F297</f>
        <v>0</v>
      </c>
      <c r="G298" s="42">
        <f t="shared" si="351"/>
        <v>0</v>
      </c>
      <c r="H298" s="42">
        <f t="shared" si="351"/>
        <v>0</v>
      </c>
      <c r="I298" s="42">
        <f t="shared" si="351"/>
        <v>0</v>
      </c>
      <c r="J298" s="42">
        <f t="shared" si="351"/>
        <v>0</v>
      </c>
      <c r="K298" s="42">
        <f t="shared" si="351"/>
        <v>0</v>
      </c>
      <c r="L298" s="42"/>
      <c r="M298" s="42"/>
      <c r="N298" s="42">
        <f t="shared" ref="N298:S298" si="352">N294-N297</f>
        <v>0</v>
      </c>
      <c r="O298" s="42">
        <f t="shared" si="352"/>
        <v>0</v>
      </c>
      <c r="P298" s="42">
        <f t="shared" si="352"/>
        <v>0</v>
      </c>
      <c r="Q298" s="42">
        <f t="shared" si="352"/>
        <v>0</v>
      </c>
      <c r="R298" s="42">
        <f t="shared" si="352"/>
        <v>0</v>
      </c>
      <c r="S298" s="42">
        <f t="shared" si="352"/>
        <v>0</v>
      </c>
      <c r="T298" s="42"/>
      <c r="U298" s="42"/>
      <c r="V298" s="42"/>
      <c r="W298" s="42"/>
    </row>
    <row r="299" spans="1:24" s="43" customFormat="1" ht="18" hidden="1" customHeight="1">
      <c r="A299" s="610"/>
      <c r="B299" s="583"/>
      <c r="C299" s="584"/>
      <c r="D299" s="202" t="s">
        <v>31</v>
      </c>
      <c r="E299" s="42"/>
      <c r="F299" s="42">
        <f>F298</f>
        <v>0</v>
      </c>
      <c r="G299" s="42">
        <f>G298+F299</f>
        <v>0</v>
      </c>
      <c r="H299" s="42">
        <f>H298+G299</f>
        <v>0</v>
      </c>
      <c r="I299" s="42">
        <f>I298+H299</f>
        <v>0</v>
      </c>
      <c r="J299" s="42">
        <f>J298+I299</f>
        <v>0</v>
      </c>
      <c r="K299" s="42">
        <f>K298+J299</f>
        <v>0</v>
      </c>
      <c r="L299" s="42"/>
      <c r="M299" s="42"/>
      <c r="N299" s="42">
        <f>N298+K299</f>
        <v>0</v>
      </c>
      <c r="O299" s="42">
        <f>O298+N299</f>
        <v>0</v>
      </c>
      <c r="P299" s="42">
        <f>P298+O299</f>
        <v>0</v>
      </c>
      <c r="Q299" s="42">
        <f>Q298+P299</f>
        <v>0</v>
      </c>
      <c r="R299" s="42">
        <f>R298+Q299</f>
        <v>0</v>
      </c>
      <c r="S299" s="42">
        <f>S298+R299</f>
        <v>0</v>
      </c>
      <c r="T299" s="42"/>
      <c r="U299" s="42"/>
      <c r="V299" s="42"/>
      <c r="W299" s="42"/>
    </row>
    <row r="300" spans="1:24" s="47" customFormat="1" ht="18" hidden="1" customHeight="1">
      <c r="A300" s="610"/>
      <c r="B300" s="581" t="s">
        <v>59</v>
      </c>
      <c r="C300" s="582" t="s">
        <v>97</v>
      </c>
      <c r="D300" s="178" t="s">
        <v>93</v>
      </c>
      <c r="E300" s="11"/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65">
        <f>SUM(F300:K300)</f>
        <v>0</v>
      </c>
      <c r="M300" s="65">
        <f>L300/6</f>
        <v>0</v>
      </c>
      <c r="N300" s="112">
        <v>0</v>
      </c>
      <c r="O300" s="112">
        <v>0</v>
      </c>
      <c r="P300" s="112">
        <v>13</v>
      </c>
      <c r="Q300" s="112">
        <v>23</v>
      </c>
      <c r="R300" s="112">
        <v>50</v>
      </c>
      <c r="S300" s="112">
        <v>50</v>
      </c>
      <c r="T300" s="65">
        <f>SUM(N300:S300)</f>
        <v>136</v>
      </c>
      <c r="U300" s="66">
        <f>T300+L300</f>
        <v>136</v>
      </c>
      <c r="V300" s="46"/>
      <c r="W300" s="38"/>
    </row>
    <row r="301" spans="1:24" s="47" customFormat="1" ht="18" hidden="1" customHeight="1">
      <c r="A301" s="610"/>
      <c r="B301" s="581"/>
      <c r="C301" s="583"/>
      <c r="D301" s="178" t="s">
        <v>95</v>
      </c>
      <c r="E301" s="11"/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65">
        <f>SUM(F301:K301)</f>
        <v>0</v>
      </c>
      <c r="M301" s="65">
        <f>L301/6</f>
        <v>0</v>
      </c>
      <c r="N301" s="112">
        <v>0</v>
      </c>
      <c r="O301" s="112">
        <v>0</v>
      </c>
      <c r="P301" s="112">
        <v>0</v>
      </c>
      <c r="Q301" s="112">
        <v>0</v>
      </c>
      <c r="R301" s="112">
        <v>0</v>
      </c>
      <c r="S301" s="112">
        <v>0</v>
      </c>
      <c r="T301" s="65">
        <f>SUM(N301:S301)</f>
        <v>0</v>
      </c>
      <c r="U301" s="66">
        <f>T301+L301</f>
        <v>0</v>
      </c>
      <c r="V301" s="46"/>
      <c r="W301" s="38"/>
    </row>
    <row r="302" spans="1:24" s="47" customFormat="1" ht="18" hidden="1" customHeight="1">
      <c r="A302" s="610"/>
      <c r="B302" s="581"/>
      <c r="C302" s="583"/>
      <c r="D302" s="178" t="s">
        <v>105</v>
      </c>
      <c r="E302" s="11"/>
      <c r="F302" s="12"/>
      <c r="G302" s="12"/>
      <c r="H302" s="12"/>
      <c r="I302" s="12"/>
      <c r="J302" s="12"/>
      <c r="K302" s="12"/>
      <c r="L302" s="65">
        <f>SUM(F302:K302)</f>
        <v>0</v>
      </c>
      <c r="M302" s="65">
        <f>L302/6</f>
        <v>0</v>
      </c>
      <c r="N302" s="112"/>
      <c r="O302" s="112"/>
      <c r="P302" s="12"/>
      <c r="Q302" s="12"/>
      <c r="R302" s="12"/>
      <c r="S302" s="12"/>
      <c r="T302" s="65">
        <f>SUM(N302:S302)</f>
        <v>0</v>
      </c>
      <c r="U302" s="66">
        <f>T302+L302</f>
        <v>0</v>
      </c>
      <c r="V302" s="11"/>
      <c r="W302" s="38">
        <f>V302-U302</f>
        <v>0</v>
      </c>
    </row>
    <row r="303" spans="1:24" s="47" customFormat="1" ht="18" hidden="1" customHeight="1">
      <c r="A303" s="610"/>
      <c r="B303" s="581"/>
      <c r="C303" s="583"/>
      <c r="D303" s="187" t="s">
        <v>27</v>
      </c>
      <c r="E303" s="49"/>
      <c r="F303" s="49"/>
      <c r="G303" s="49"/>
      <c r="H303" s="49"/>
      <c r="I303" s="49"/>
      <c r="J303" s="49"/>
      <c r="K303" s="49"/>
      <c r="L303" s="49" t="e">
        <f>L304/L302*1000</f>
        <v>#DIV/0!</v>
      </c>
      <c r="M303" s="49" t="e">
        <f>M304/M302*1000</f>
        <v>#DIV/0!</v>
      </c>
      <c r="N303" s="49"/>
      <c r="O303" s="49"/>
      <c r="P303" s="49"/>
      <c r="Q303" s="49"/>
      <c r="R303" s="49"/>
      <c r="S303" s="49"/>
      <c r="T303" s="49" t="e">
        <f>T304/T302*1000</f>
        <v>#DIV/0!</v>
      </c>
      <c r="U303" s="49" t="e">
        <f>U304/U302*1000</f>
        <v>#DIV/0!</v>
      </c>
      <c r="V303" s="68" t="e">
        <f>V304/V302*1000</f>
        <v>#DIV/0!</v>
      </c>
      <c r="W303" s="14" t="e">
        <f>W304/W302*1000</f>
        <v>#DIV/0!</v>
      </c>
    </row>
    <row r="304" spans="1:24" s="47" customFormat="1" ht="18" hidden="1" customHeight="1">
      <c r="A304" s="610"/>
      <c r="B304" s="581"/>
      <c r="C304" s="583"/>
      <c r="D304" s="191" t="s">
        <v>0</v>
      </c>
      <c r="E304" s="52"/>
      <c r="F304" s="52">
        <v>0</v>
      </c>
      <c r="G304" s="52">
        <v>0</v>
      </c>
      <c r="H304" s="52">
        <v>0</v>
      </c>
      <c r="I304" s="52">
        <v>0</v>
      </c>
      <c r="J304" s="52">
        <f>J302*J303/1000</f>
        <v>0</v>
      </c>
      <c r="K304" s="52">
        <f>K302*K303/1000</f>
        <v>0</v>
      </c>
      <c r="L304" s="69">
        <f>SUM(F304:K304)</f>
        <v>0</v>
      </c>
      <c r="M304" s="69">
        <f>L304/6</f>
        <v>0</v>
      </c>
      <c r="N304" s="52">
        <f t="shared" ref="N304:S304" si="353">N302*N303/1000</f>
        <v>0</v>
      </c>
      <c r="O304" s="52">
        <f t="shared" si="353"/>
        <v>0</v>
      </c>
      <c r="P304" s="52">
        <f t="shared" si="353"/>
        <v>0</v>
      </c>
      <c r="Q304" s="52">
        <f t="shared" si="353"/>
        <v>0</v>
      </c>
      <c r="R304" s="52">
        <f t="shared" si="353"/>
        <v>0</v>
      </c>
      <c r="S304" s="52">
        <f t="shared" si="353"/>
        <v>0</v>
      </c>
      <c r="T304" s="69">
        <f>SUM(N304:S304)</f>
        <v>0</v>
      </c>
      <c r="U304" s="69">
        <f>T304+L304</f>
        <v>0</v>
      </c>
      <c r="V304" s="70">
        <f>V305+V306</f>
        <v>0</v>
      </c>
      <c r="W304" s="53">
        <f>V304-U304</f>
        <v>0</v>
      </c>
    </row>
    <row r="305" spans="1:24" s="47" customFormat="1" ht="18" hidden="1" customHeight="1">
      <c r="A305" s="610"/>
      <c r="B305" s="581"/>
      <c r="C305" s="583"/>
      <c r="D305" s="174" t="s">
        <v>55</v>
      </c>
      <c r="E305" s="56"/>
      <c r="F305" s="52"/>
      <c r="G305" s="52"/>
      <c r="H305" s="52"/>
      <c r="I305" s="52"/>
      <c r="J305" s="52"/>
      <c r="K305" s="52"/>
      <c r="L305" s="69">
        <f>SUM(F305:K305)</f>
        <v>0</v>
      </c>
      <c r="M305" s="69">
        <f>L305/6</f>
        <v>0</v>
      </c>
      <c r="N305" s="52"/>
      <c r="O305" s="52"/>
      <c r="P305" s="52"/>
      <c r="Q305" s="52"/>
      <c r="R305" s="52"/>
      <c r="S305" s="52"/>
      <c r="T305" s="69">
        <f>SUM(N305:S305)</f>
        <v>0</v>
      </c>
      <c r="U305" s="69">
        <f>T305+L305</f>
        <v>0</v>
      </c>
      <c r="V305" s="70"/>
      <c r="W305" s="53">
        <f>V305-U305</f>
        <v>0</v>
      </c>
    </row>
    <row r="306" spans="1:24" s="47" customFormat="1" ht="18" hidden="1" customHeight="1">
      <c r="A306" s="610"/>
      <c r="B306" s="581"/>
      <c r="C306" s="583"/>
      <c r="D306" s="174" t="s">
        <v>28</v>
      </c>
      <c r="E306" s="56"/>
      <c r="F306" s="52"/>
      <c r="G306" s="52"/>
      <c r="H306" s="52"/>
      <c r="I306" s="52"/>
      <c r="J306" s="52"/>
      <c r="K306" s="52"/>
      <c r="L306" s="69">
        <f>SUM(F306:K306)</f>
        <v>0</v>
      </c>
      <c r="M306" s="69">
        <f>L306/6</f>
        <v>0</v>
      </c>
      <c r="N306" s="52"/>
      <c r="O306" s="52"/>
      <c r="P306" s="52"/>
      <c r="Q306" s="52"/>
      <c r="R306" s="52"/>
      <c r="S306" s="52"/>
      <c r="T306" s="69">
        <f>SUM(N306:S306)</f>
        <v>0</v>
      </c>
      <c r="U306" s="69">
        <f>T306+L306</f>
        <v>0</v>
      </c>
      <c r="V306" s="70"/>
      <c r="W306" s="53">
        <f>V306-U306</f>
        <v>0</v>
      </c>
    </row>
    <row r="307" spans="1:24" s="47" customFormat="1" ht="18" hidden="1" customHeight="1">
      <c r="A307" s="610"/>
      <c r="B307" s="581"/>
      <c r="C307" s="583"/>
      <c r="D307" s="178" t="s">
        <v>106</v>
      </c>
      <c r="E307" s="11"/>
      <c r="F307" s="11"/>
      <c r="G307" s="12"/>
      <c r="H307" s="12"/>
      <c r="I307" s="12"/>
      <c r="J307" s="12"/>
      <c r="K307" s="12"/>
      <c r="L307" s="65">
        <f>SUM(F307:K307)</f>
        <v>0</v>
      </c>
      <c r="M307" s="65">
        <f>L307/6</f>
        <v>0</v>
      </c>
      <c r="N307" s="11"/>
      <c r="O307" s="11"/>
      <c r="P307" s="11"/>
      <c r="Q307" s="11"/>
      <c r="R307" s="11"/>
      <c r="S307" s="11"/>
      <c r="T307" s="65">
        <f>SUM(N307:S307)</f>
        <v>0</v>
      </c>
      <c r="U307" s="65">
        <f>T307+L307</f>
        <v>0</v>
      </c>
      <c r="V307" s="11">
        <f>V302</f>
        <v>0</v>
      </c>
      <c r="W307" s="38">
        <f>V307-U307</f>
        <v>0</v>
      </c>
      <c r="X307" s="47">
        <f>U302-U307</f>
        <v>0</v>
      </c>
    </row>
    <row r="308" spans="1:24" s="47" customFormat="1" ht="18" hidden="1" customHeight="1">
      <c r="A308" s="610"/>
      <c r="B308" s="581"/>
      <c r="C308" s="583"/>
      <c r="D308" s="187" t="s">
        <v>27</v>
      </c>
      <c r="E308" s="49" t="e">
        <f t="shared" ref="E308" si="354">E309/E307*1000</f>
        <v>#DIV/0!</v>
      </c>
      <c r="F308" s="49"/>
      <c r="G308" s="49"/>
      <c r="H308" s="49"/>
      <c r="I308" s="49"/>
      <c r="J308" s="49"/>
      <c r="K308" s="49"/>
      <c r="L308" s="49" t="e">
        <f>L309/L307*1000</f>
        <v>#DIV/0!</v>
      </c>
      <c r="M308" s="49" t="e">
        <f>M309/M307*1000</f>
        <v>#DIV/0!</v>
      </c>
      <c r="N308" s="49"/>
      <c r="O308" s="49"/>
      <c r="P308" s="49"/>
      <c r="Q308" s="49"/>
      <c r="R308" s="49"/>
      <c r="S308" s="49"/>
      <c r="T308" s="49" t="e">
        <f>T309/T307*1000</f>
        <v>#DIV/0!</v>
      </c>
      <c r="U308" s="49" t="e">
        <f>U309/U307*1000</f>
        <v>#DIV/0!</v>
      </c>
      <c r="V308" s="68" t="e">
        <f>V309/V307*1000</f>
        <v>#DIV/0!</v>
      </c>
      <c r="W308" s="14" t="e">
        <f>W309/W307*1000</f>
        <v>#DIV/0!</v>
      </c>
    </row>
    <row r="309" spans="1:24" s="63" customFormat="1" ht="18" hidden="1" customHeight="1">
      <c r="A309" s="610"/>
      <c r="B309" s="581"/>
      <c r="C309" s="583"/>
      <c r="D309" s="198" t="s">
        <v>25</v>
      </c>
      <c r="E309" s="71"/>
      <c r="F309" s="61">
        <v>0</v>
      </c>
      <c r="G309" s="61">
        <v>0</v>
      </c>
      <c r="H309" s="61">
        <v>0</v>
      </c>
      <c r="I309" s="61">
        <v>0</v>
      </c>
      <c r="J309" s="61">
        <v>0</v>
      </c>
      <c r="K309" s="61">
        <f>K307*K308/1000</f>
        <v>0</v>
      </c>
      <c r="L309" s="61">
        <f>SUM(F309:K309)</f>
        <v>0</v>
      </c>
      <c r="M309" s="61">
        <f>L309/6</f>
        <v>0</v>
      </c>
      <c r="N309" s="61">
        <f t="shared" ref="N309:S309" si="355">N307*N308/1000</f>
        <v>0</v>
      </c>
      <c r="O309" s="61">
        <f t="shared" si="355"/>
        <v>0</v>
      </c>
      <c r="P309" s="61">
        <f t="shared" si="355"/>
        <v>0</v>
      </c>
      <c r="Q309" s="61">
        <f t="shared" si="355"/>
        <v>0</v>
      </c>
      <c r="R309" s="61">
        <f t="shared" si="355"/>
        <v>0</v>
      </c>
      <c r="S309" s="61">
        <f t="shared" si="355"/>
        <v>0</v>
      </c>
      <c r="T309" s="61">
        <f>SUM(N309:S309)</f>
        <v>0</v>
      </c>
      <c r="U309" s="61">
        <f>T309+L309</f>
        <v>0</v>
      </c>
      <c r="V309" s="61">
        <f>V304</f>
        <v>0</v>
      </c>
      <c r="W309" s="72">
        <f>V309-U309</f>
        <v>0</v>
      </c>
      <c r="X309" s="63">
        <f>U304-U309</f>
        <v>0</v>
      </c>
    </row>
    <row r="310" spans="1:24" s="63" customFormat="1" ht="18" hidden="1" customHeight="1">
      <c r="A310" s="610"/>
      <c r="B310" s="581"/>
      <c r="C310" s="583"/>
      <c r="D310" s="201" t="s">
        <v>55</v>
      </c>
      <c r="E310" s="71"/>
      <c r="F310" s="61"/>
      <c r="G310" s="61"/>
      <c r="H310" s="61"/>
      <c r="I310" s="61"/>
      <c r="J310" s="61"/>
      <c r="K310" s="61"/>
      <c r="L310" s="61">
        <f>SUM(F310:K310)</f>
        <v>0</v>
      </c>
      <c r="M310" s="61">
        <f>L310/6</f>
        <v>0</v>
      </c>
      <c r="N310" s="61"/>
      <c r="O310" s="61"/>
      <c r="P310" s="61"/>
      <c r="Q310" s="61"/>
      <c r="R310" s="61"/>
      <c r="S310" s="61"/>
      <c r="T310" s="61">
        <f>SUM(N310:S310)</f>
        <v>0</v>
      </c>
      <c r="U310" s="61">
        <f>T310+L310</f>
        <v>0</v>
      </c>
      <c r="V310" s="61">
        <f>V305</f>
        <v>0</v>
      </c>
      <c r="W310" s="72">
        <f>V310-U310</f>
        <v>0</v>
      </c>
      <c r="X310" s="63">
        <f>U305-U310</f>
        <v>0</v>
      </c>
    </row>
    <row r="311" spans="1:24" s="63" customFormat="1" ht="18" hidden="1" customHeight="1">
      <c r="A311" s="610"/>
      <c r="B311" s="581"/>
      <c r="C311" s="583"/>
      <c r="D311" s="201" t="s">
        <v>24</v>
      </c>
      <c r="E311" s="71"/>
      <c r="F311" s="61">
        <f t="shared" ref="F311:K311" si="356">F309-F310</f>
        <v>0</v>
      </c>
      <c r="G311" s="61">
        <f t="shared" si="356"/>
        <v>0</v>
      </c>
      <c r="H311" s="61">
        <f t="shared" si="356"/>
        <v>0</v>
      </c>
      <c r="I311" s="61">
        <f t="shared" si="356"/>
        <v>0</v>
      </c>
      <c r="J311" s="61">
        <f t="shared" si="356"/>
        <v>0</v>
      </c>
      <c r="K311" s="61">
        <f t="shared" si="356"/>
        <v>0</v>
      </c>
      <c r="L311" s="61">
        <f>SUM(F311:K311)</f>
        <v>0</v>
      </c>
      <c r="M311" s="61">
        <f>L311/6</f>
        <v>0</v>
      </c>
      <c r="N311" s="61">
        <f t="shared" ref="N311:S311" si="357">N309-N310</f>
        <v>0</v>
      </c>
      <c r="O311" s="61">
        <f t="shared" si="357"/>
        <v>0</v>
      </c>
      <c r="P311" s="61">
        <f t="shared" si="357"/>
        <v>0</v>
      </c>
      <c r="Q311" s="61">
        <f t="shared" si="357"/>
        <v>0</v>
      </c>
      <c r="R311" s="61">
        <f t="shared" si="357"/>
        <v>0</v>
      </c>
      <c r="S311" s="61">
        <f t="shared" si="357"/>
        <v>0</v>
      </c>
      <c r="T311" s="61">
        <f>SUM(N311:S311)</f>
        <v>0</v>
      </c>
      <c r="U311" s="61">
        <f>T311+L311</f>
        <v>0</v>
      </c>
      <c r="V311" s="61">
        <f>V306</f>
        <v>0</v>
      </c>
      <c r="W311" s="72">
        <f>V311-U311</f>
        <v>0</v>
      </c>
      <c r="X311" s="63">
        <f>U306-U311</f>
        <v>0</v>
      </c>
    </row>
    <row r="312" spans="1:24" s="43" customFormat="1" ht="18" hidden="1" customHeight="1">
      <c r="A312" s="610"/>
      <c r="B312" s="581"/>
      <c r="C312" s="583"/>
      <c r="D312" s="202" t="s">
        <v>29</v>
      </c>
      <c r="E312" s="42"/>
      <c r="F312" s="42">
        <f t="shared" ref="F312:K312" si="358">F306</f>
        <v>0</v>
      </c>
      <c r="G312" s="42">
        <f t="shared" si="358"/>
        <v>0</v>
      </c>
      <c r="H312" s="42">
        <f t="shared" si="358"/>
        <v>0</v>
      </c>
      <c r="I312" s="42">
        <f t="shared" si="358"/>
        <v>0</v>
      </c>
      <c r="J312" s="42">
        <f t="shared" si="358"/>
        <v>0</v>
      </c>
      <c r="K312" s="42">
        <f t="shared" si="358"/>
        <v>0</v>
      </c>
      <c r="L312" s="42">
        <f>SUM(F312:K312)</f>
        <v>0</v>
      </c>
      <c r="M312" s="42">
        <f>L312/6</f>
        <v>0</v>
      </c>
      <c r="N312" s="42">
        <f t="shared" ref="N312:S312" si="359">N306+N305</f>
        <v>0</v>
      </c>
      <c r="O312" s="42">
        <f t="shared" si="359"/>
        <v>0</v>
      </c>
      <c r="P312" s="42">
        <f t="shared" si="359"/>
        <v>0</v>
      </c>
      <c r="Q312" s="42">
        <f t="shared" si="359"/>
        <v>0</v>
      </c>
      <c r="R312" s="42">
        <f t="shared" si="359"/>
        <v>0</v>
      </c>
      <c r="S312" s="42">
        <f t="shared" si="359"/>
        <v>0</v>
      </c>
      <c r="T312" s="42">
        <f>SUM(N312:S312)</f>
        <v>0</v>
      </c>
      <c r="U312" s="42">
        <f>T312+L312</f>
        <v>0</v>
      </c>
      <c r="V312" s="42">
        <f>V309</f>
        <v>0</v>
      </c>
      <c r="W312" s="42">
        <f>V312-U312</f>
        <v>0</v>
      </c>
    </row>
    <row r="313" spans="1:24" s="43" customFormat="1" ht="18" hidden="1" customHeight="1">
      <c r="A313" s="610"/>
      <c r="B313" s="581"/>
      <c r="C313" s="583"/>
      <c r="D313" s="202" t="s">
        <v>30</v>
      </c>
      <c r="E313" s="42"/>
      <c r="F313" s="42">
        <f t="shared" ref="F313:K313" si="360">F309-F312</f>
        <v>0</v>
      </c>
      <c r="G313" s="42">
        <f t="shared" si="360"/>
        <v>0</v>
      </c>
      <c r="H313" s="42">
        <f t="shared" si="360"/>
        <v>0</v>
      </c>
      <c r="I313" s="42">
        <f t="shared" si="360"/>
        <v>0</v>
      </c>
      <c r="J313" s="42">
        <f t="shared" si="360"/>
        <v>0</v>
      </c>
      <c r="K313" s="42">
        <f t="shared" si="360"/>
        <v>0</v>
      </c>
      <c r="L313" s="42"/>
      <c r="M313" s="42"/>
      <c r="N313" s="42">
        <f t="shared" ref="N313:S313" si="361">N309-N312</f>
        <v>0</v>
      </c>
      <c r="O313" s="42">
        <f t="shared" si="361"/>
        <v>0</v>
      </c>
      <c r="P313" s="42">
        <f t="shared" si="361"/>
        <v>0</v>
      </c>
      <c r="Q313" s="42">
        <f t="shared" si="361"/>
        <v>0</v>
      </c>
      <c r="R313" s="42">
        <f t="shared" si="361"/>
        <v>0</v>
      </c>
      <c r="S313" s="42">
        <f t="shared" si="361"/>
        <v>0</v>
      </c>
      <c r="T313" s="42"/>
      <c r="U313" s="42"/>
      <c r="V313" s="42"/>
      <c r="W313" s="42"/>
    </row>
    <row r="314" spans="1:24" s="43" customFormat="1" ht="18" hidden="1" customHeight="1">
      <c r="A314" s="610"/>
      <c r="B314" s="581"/>
      <c r="C314" s="584"/>
      <c r="D314" s="202" t="s">
        <v>31</v>
      </c>
      <c r="E314" s="42"/>
      <c r="F314" s="42">
        <f>F313</f>
        <v>0</v>
      </c>
      <c r="G314" s="42">
        <f>G313+F314</f>
        <v>0</v>
      </c>
      <c r="H314" s="42">
        <f>H313+G314</f>
        <v>0</v>
      </c>
      <c r="I314" s="42">
        <f>I313+H314</f>
        <v>0</v>
      </c>
      <c r="J314" s="42">
        <f>J313+I314</f>
        <v>0</v>
      </c>
      <c r="K314" s="42">
        <f>K313+J314</f>
        <v>0</v>
      </c>
      <c r="L314" s="42"/>
      <c r="M314" s="42"/>
      <c r="N314" s="42">
        <f>N313+K314</f>
        <v>0</v>
      </c>
      <c r="O314" s="42">
        <f>O313+N314</f>
        <v>0</v>
      </c>
      <c r="P314" s="42">
        <f>P313+O314</f>
        <v>0</v>
      </c>
      <c r="Q314" s="42">
        <f>Q313+P314</f>
        <v>0</v>
      </c>
      <c r="R314" s="42">
        <f>R313+Q314</f>
        <v>0</v>
      </c>
      <c r="S314" s="42">
        <f>S313+R314</f>
        <v>0</v>
      </c>
      <c r="T314" s="42"/>
      <c r="U314" s="42"/>
      <c r="V314" s="42"/>
      <c r="W314" s="42"/>
    </row>
    <row r="315" spans="1:24" s="48" customFormat="1" ht="18" hidden="1" customHeight="1">
      <c r="A315" s="610"/>
      <c r="B315" s="581"/>
      <c r="C315" s="582" t="s">
        <v>96</v>
      </c>
      <c r="D315" s="178" t="s">
        <v>93</v>
      </c>
      <c r="E315" s="11"/>
      <c r="F315" s="12"/>
      <c r="G315" s="12"/>
      <c r="H315" s="12"/>
      <c r="I315" s="12"/>
      <c r="J315" s="12"/>
      <c r="K315" s="12"/>
      <c r="L315" s="65">
        <f>SUM(F315:K315)</f>
        <v>0</v>
      </c>
      <c r="M315" s="65">
        <f>L315/6</f>
        <v>0</v>
      </c>
      <c r="N315" s="12"/>
      <c r="O315" s="12"/>
      <c r="P315" s="12"/>
      <c r="Q315" s="12"/>
      <c r="R315" s="12"/>
      <c r="S315" s="12"/>
      <c r="T315" s="65">
        <f>SUM(N315:S315)</f>
        <v>0</v>
      </c>
      <c r="U315" s="66">
        <f>T315+L315</f>
        <v>0</v>
      </c>
      <c r="V315" s="67"/>
      <c r="W315" s="38">
        <f>V315-U315</f>
        <v>0</v>
      </c>
      <c r="X315" s="47"/>
    </row>
    <row r="316" spans="1:24" s="48" customFormat="1" ht="18" hidden="1" customHeight="1">
      <c r="A316" s="610"/>
      <c r="B316" s="581"/>
      <c r="C316" s="583"/>
      <c r="D316" s="178" t="s">
        <v>95</v>
      </c>
      <c r="E316" s="11"/>
      <c r="F316" s="12"/>
      <c r="G316" s="12"/>
      <c r="H316" s="12"/>
      <c r="I316" s="12"/>
      <c r="J316" s="12"/>
      <c r="K316" s="12"/>
      <c r="L316" s="65">
        <f>SUM(F316:K316)</f>
        <v>0</v>
      </c>
      <c r="M316" s="65">
        <f>L316/6</f>
        <v>0</v>
      </c>
      <c r="N316" s="11"/>
      <c r="O316" s="11"/>
      <c r="P316" s="11"/>
      <c r="Q316" s="11"/>
      <c r="R316" s="11"/>
      <c r="S316" s="11"/>
      <c r="T316" s="65">
        <f>SUM(N316:S316)</f>
        <v>0</v>
      </c>
      <c r="U316" s="66">
        <f>T316+L316</f>
        <v>0</v>
      </c>
      <c r="V316" s="67"/>
      <c r="W316" s="38">
        <f>V316-U316</f>
        <v>0</v>
      </c>
      <c r="X316" s="47"/>
    </row>
    <row r="317" spans="1:24" s="48" customFormat="1" ht="18" hidden="1" customHeight="1">
      <c r="A317" s="610"/>
      <c r="B317" s="581"/>
      <c r="C317" s="583"/>
      <c r="D317" s="178" t="s">
        <v>105</v>
      </c>
      <c r="E317" s="11"/>
      <c r="F317" s="12"/>
      <c r="G317" s="12"/>
      <c r="H317" s="12"/>
      <c r="I317" s="12"/>
      <c r="J317" s="12"/>
      <c r="K317" s="12"/>
      <c r="L317" s="65">
        <f>SUM(F317:K317)</f>
        <v>0</v>
      </c>
      <c r="M317" s="65">
        <f>L317/6</f>
        <v>0</v>
      </c>
      <c r="N317" s="12"/>
      <c r="O317" s="12"/>
      <c r="P317" s="12"/>
      <c r="Q317" s="12"/>
      <c r="R317" s="12"/>
      <c r="S317" s="11"/>
      <c r="T317" s="65">
        <f>SUM(N317:S317)</f>
        <v>0</v>
      </c>
      <c r="U317" s="66">
        <f>T317+L317</f>
        <v>0</v>
      </c>
      <c r="V317" s="11"/>
      <c r="W317" s="38">
        <f>V317-U317</f>
        <v>0</v>
      </c>
      <c r="X317" s="47"/>
    </row>
    <row r="318" spans="1:24" s="51" customFormat="1" ht="18" hidden="1" customHeight="1">
      <c r="A318" s="610"/>
      <c r="B318" s="581"/>
      <c r="C318" s="583"/>
      <c r="D318" s="187" t="s">
        <v>27</v>
      </c>
      <c r="E318" s="49"/>
      <c r="F318" s="49" t="e">
        <f t="shared" ref="F318:K318" si="362">F319/F317*1000</f>
        <v>#DIV/0!</v>
      </c>
      <c r="G318" s="49" t="e">
        <f t="shared" si="362"/>
        <v>#DIV/0!</v>
      </c>
      <c r="H318" s="49" t="e">
        <f t="shared" si="362"/>
        <v>#DIV/0!</v>
      </c>
      <c r="I318" s="49" t="e">
        <f t="shared" si="362"/>
        <v>#DIV/0!</v>
      </c>
      <c r="J318" s="49" t="e">
        <f t="shared" si="362"/>
        <v>#DIV/0!</v>
      </c>
      <c r="K318" s="49" t="e">
        <f t="shared" si="362"/>
        <v>#DIV/0!</v>
      </c>
      <c r="L318" s="49" t="e">
        <f>L319/L317*1000</f>
        <v>#DIV/0!</v>
      </c>
      <c r="M318" s="49" t="e">
        <f>M319/M317*1000</f>
        <v>#DIV/0!</v>
      </c>
      <c r="N318" s="49"/>
      <c r="O318" s="49"/>
      <c r="P318" s="49"/>
      <c r="Q318" s="49"/>
      <c r="R318" s="49"/>
      <c r="S318" s="49"/>
      <c r="T318" s="49" t="e">
        <f>T319/T317*1000</f>
        <v>#DIV/0!</v>
      </c>
      <c r="U318" s="49" t="e">
        <f>U319/U317*1000</f>
        <v>#DIV/0!</v>
      </c>
      <c r="V318" s="68" t="e">
        <f>V319/V317*1000</f>
        <v>#DIV/0!</v>
      </c>
      <c r="W318" s="14" t="e">
        <f>W319/W317*1000</f>
        <v>#DIV/0!</v>
      </c>
      <c r="X318" s="50"/>
    </row>
    <row r="319" spans="1:24" s="205" customFormat="1" ht="23.5" hidden="1" customHeight="1">
      <c r="A319" s="610"/>
      <c r="B319" s="581"/>
      <c r="C319" s="583"/>
      <c r="D319" s="191" t="s">
        <v>0</v>
      </c>
      <c r="E319" s="192"/>
      <c r="F319" s="192">
        <v>0</v>
      </c>
      <c r="G319" s="192">
        <v>0</v>
      </c>
      <c r="H319" s="192">
        <v>0</v>
      </c>
      <c r="I319" s="192">
        <v>0</v>
      </c>
      <c r="J319" s="192">
        <v>0</v>
      </c>
      <c r="K319" s="192">
        <v>0</v>
      </c>
      <c r="L319" s="194">
        <f>SUM(F319:K319)</f>
        <v>0</v>
      </c>
      <c r="M319" s="194">
        <f>L319/6</f>
        <v>0</v>
      </c>
      <c r="N319" s="192">
        <v>0</v>
      </c>
      <c r="O319" s="192">
        <v>0</v>
      </c>
      <c r="P319" s="192">
        <v>0</v>
      </c>
      <c r="Q319" s="192">
        <v>0</v>
      </c>
      <c r="R319" s="192">
        <v>0</v>
      </c>
      <c r="S319" s="192">
        <v>0</v>
      </c>
      <c r="T319" s="194">
        <f>SUM(N319:S319)</f>
        <v>0</v>
      </c>
      <c r="U319" s="194">
        <f>T319+L319</f>
        <v>0</v>
      </c>
      <c r="V319" s="171">
        <f>V320+V321</f>
        <v>0</v>
      </c>
      <c r="W319" s="192">
        <f>V319-U319</f>
        <v>0</v>
      </c>
    </row>
    <row r="320" spans="1:24" s="205" customFormat="1" ht="23.5" hidden="1" customHeight="1">
      <c r="A320" s="610"/>
      <c r="B320" s="581"/>
      <c r="C320" s="583"/>
      <c r="D320" s="174" t="s">
        <v>55</v>
      </c>
      <c r="E320" s="210"/>
      <c r="F320" s="192"/>
      <c r="G320" s="192"/>
      <c r="H320" s="192"/>
      <c r="I320" s="192"/>
      <c r="J320" s="192"/>
      <c r="K320" s="192"/>
      <c r="L320" s="194">
        <f>SUM(F320:K320)</f>
        <v>0</v>
      </c>
      <c r="M320" s="194">
        <f>L320/6</f>
        <v>0</v>
      </c>
      <c r="N320" s="192"/>
      <c r="O320" s="192"/>
      <c r="P320" s="192"/>
      <c r="Q320" s="192"/>
      <c r="R320" s="192"/>
      <c r="S320" s="192"/>
      <c r="T320" s="194">
        <f>SUM(N320:S320)</f>
        <v>0</v>
      </c>
      <c r="U320" s="194">
        <f>T320+L320</f>
        <v>0</v>
      </c>
      <c r="V320" s="171"/>
      <c r="W320" s="192">
        <f>V320-U320</f>
        <v>0</v>
      </c>
    </row>
    <row r="321" spans="1:24" s="205" customFormat="1" ht="23.5" hidden="1" customHeight="1">
      <c r="A321" s="610"/>
      <c r="B321" s="581"/>
      <c r="C321" s="583"/>
      <c r="D321" s="174" t="s">
        <v>28</v>
      </c>
      <c r="E321" s="210"/>
      <c r="F321" s="192"/>
      <c r="G321" s="192"/>
      <c r="H321" s="192"/>
      <c r="I321" s="192"/>
      <c r="J321" s="192"/>
      <c r="K321" s="192"/>
      <c r="L321" s="194">
        <f>SUM(F321:K321)</f>
        <v>0</v>
      </c>
      <c r="M321" s="194">
        <f>L321/6</f>
        <v>0</v>
      </c>
      <c r="N321" s="192"/>
      <c r="O321" s="192"/>
      <c r="P321" s="192"/>
      <c r="Q321" s="192"/>
      <c r="R321" s="192"/>
      <c r="S321" s="192"/>
      <c r="T321" s="194">
        <f>SUM(N321:S321)</f>
        <v>0</v>
      </c>
      <c r="U321" s="194">
        <f>T321+L321</f>
        <v>0</v>
      </c>
      <c r="V321" s="171"/>
      <c r="W321" s="192">
        <f>V321-U321</f>
        <v>0</v>
      </c>
    </row>
    <row r="322" spans="1:24" s="205" customFormat="1" ht="23.5" hidden="1" customHeight="1">
      <c r="A322" s="610"/>
      <c r="B322" s="581"/>
      <c r="C322" s="583"/>
      <c r="D322" s="178" t="s">
        <v>106</v>
      </c>
      <c r="E322" s="179"/>
      <c r="F322" s="184"/>
      <c r="G322" s="184"/>
      <c r="H322" s="179"/>
      <c r="I322" s="179"/>
      <c r="J322" s="216"/>
      <c r="K322" s="179"/>
      <c r="L322" s="215">
        <f>SUM(F322:K322)</f>
        <v>0</v>
      </c>
      <c r="M322" s="215">
        <f>L322/6</f>
        <v>0</v>
      </c>
      <c r="N322" s="179"/>
      <c r="O322" s="179"/>
      <c r="P322" s="179"/>
      <c r="Q322" s="179"/>
      <c r="R322" s="179"/>
      <c r="S322" s="179"/>
      <c r="T322" s="215">
        <f>SUM(N322:S322)</f>
        <v>0</v>
      </c>
      <c r="U322" s="215">
        <f>T322+L322</f>
        <v>0</v>
      </c>
      <c r="V322" s="179">
        <f>V317</f>
        <v>0</v>
      </c>
      <c r="W322" s="184">
        <f>V322-U322</f>
        <v>0</v>
      </c>
      <c r="X322" s="185">
        <f>U317-U322</f>
        <v>0</v>
      </c>
    </row>
    <row r="323" spans="1:24" s="205" customFormat="1" ht="23.5" hidden="1" customHeight="1">
      <c r="A323" s="610"/>
      <c r="B323" s="581"/>
      <c r="C323" s="583"/>
      <c r="D323" s="187" t="s">
        <v>27</v>
      </c>
      <c r="E323" s="188" t="e">
        <f t="shared" ref="E323:F323" si="363">E324/E322*1000</f>
        <v>#DIV/0!</v>
      </c>
      <c r="F323" s="188" t="e">
        <f t="shared" si="363"/>
        <v>#DIV/0!</v>
      </c>
      <c r="G323" s="188" t="e">
        <f t="shared" ref="G323:K323" si="364">G324/G322*1000</f>
        <v>#DIV/0!</v>
      </c>
      <c r="H323" s="188" t="e">
        <f t="shared" si="364"/>
        <v>#DIV/0!</v>
      </c>
      <c r="I323" s="188" t="e">
        <f t="shared" si="364"/>
        <v>#DIV/0!</v>
      </c>
      <c r="J323" s="188" t="e">
        <f t="shared" si="364"/>
        <v>#DIV/0!</v>
      </c>
      <c r="K323" s="188" t="e">
        <f t="shared" si="364"/>
        <v>#DIV/0!</v>
      </c>
      <c r="L323" s="217" t="e">
        <f>L324/L322*1000</f>
        <v>#DIV/0!</v>
      </c>
      <c r="M323" s="217" t="e">
        <f>M324/M322*1000</f>
        <v>#DIV/0!</v>
      </c>
      <c r="N323" s="188" t="e">
        <f t="shared" ref="N323" si="365">N324/N322*1000</f>
        <v>#DIV/0!</v>
      </c>
      <c r="O323" s="188"/>
      <c r="P323" s="188"/>
      <c r="Q323" s="218"/>
      <c r="R323" s="218"/>
      <c r="S323" s="218"/>
      <c r="T323" s="217" t="e">
        <f>T324/T322*1000</f>
        <v>#DIV/0!</v>
      </c>
      <c r="U323" s="217" t="e">
        <f>U324/U322*1000</f>
        <v>#DIV/0!</v>
      </c>
      <c r="V323" s="218" t="e">
        <f>V324/V322*1000</f>
        <v>#DIV/0!</v>
      </c>
      <c r="W323" s="219" t="e">
        <f>W324/W322*1000</f>
        <v>#DIV/0!</v>
      </c>
      <c r="X323" s="185"/>
    </row>
    <row r="324" spans="1:24" s="205" customFormat="1" ht="23.5" hidden="1" customHeight="1">
      <c r="A324" s="610"/>
      <c r="B324" s="581"/>
      <c r="C324" s="583"/>
      <c r="D324" s="198" t="s">
        <v>25</v>
      </c>
      <c r="E324" s="220"/>
      <c r="F324" s="199">
        <v>0</v>
      </c>
      <c r="G324" s="199">
        <v>0</v>
      </c>
      <c r="H324" s="199">
        <v>0</v>
      </c>
      <c r="I324" s="199">
        <v>0</v>
      </c>
      <c r="J324" s="199">
        <v>0</v>
      </c>
      <c r="K324" s="199">
        <v>0</v>
      </c>
      <c r="L324" s="199">
        <f>SUM(F324:K324)</f>
        <v>0</v>
      </c>
      <c r="M324" s="199">
        <f>L324/6</f>
        <v>0</v>
      </c>
      <c r="N324" s="199">
        <v>0</v>
      </c>
      <c r="O324" s="199">
        <v>0</v>
      </c>
      <c r="P324" s="199">
        <v>0</v>
      </c>
      <c r="Q324" s="199">
        <v>0</v>
      </c>
      <c r="R324" s="199">
        <v>0</v>
      </c>
      <c r="S324" s="199">
        <v>0</v>
      </c>
      <c r="T324" s="199">
        <f>SUM(N324:S324)</f>
        <v>0</v>
      </c>
      <c r="U324" s="199">
        <f>T324+L324</f>
        <v>0</v>
      </c>
      <c r="V324" s="199">
        <f>V319</f>
        <v>0</v>
      </c>
      <c r="W324" s="221">
        <f>V324-U324</f>
        <v>0</v>
      </c>
      <c r="X324" s="176">
        <f>U319-U324</f>
        <v>0</v>
      </c>
    </row>
    <row r="325" spans="1:24" s="205" customFormat="1" ht="23.5" hidden="1" customHeight="1">
      <c r="A325" s="610"/>
      <c r="B325" s="581"/>
      <c r="C325" s="583"/>
      <c r="D325" s="201" t="s">
        <v>55</v>
      </c>
      <c r="E325" s="220"/>
      <c r="F325" s="199">
        <v>0</v>
      </c>
      <c r="G325" s="199">
        <v>0</v>
      </c>
      <c r="H325" s="199">
        <v>0</v>
      </c>
      <c r="I325" s="199">
        <v>0</v>
      </c>
      <c r="J325" s="199">
        <v>0</v>
      </c>
      <c r="K325" s="199">
        <v>0</v>
      </c>
      <c r="L325" s="199">
        <f>SUM(F325:K325)</f>
        <v>0</v>
      </c>
      <c r="M325" s="199">
        <f>L325/6</f>
        <v>0</v>
      </c>
      <c r="N325" s="199">
        <v>0</v>
      </c>
      <c r="O325" s="199">
        <v>0</v>
      </c>
      <c r="P325" s="199">
        <v>0</v>
      </c>
      <c r="Q325" s="199">
        <v>0</v>
      </c>
      <c r="R325" s="199">
        <v>0</v>
      </c>
      <c r="S325" s="199">
        <v>0</v>
      </c>
      <c r="T325" s="199">
        <f>SUM(N325:S325)</f>
        <v>0</v>
      </c>
      <c r="U325" s="199">
        <f>T325+L325</f>
        <v>0</v>
      </c>
      <c r="V325" s="199">
        <f>V320</f>
        <v>0</v>
      </c>
      <c r="W325" s="221">
        <f>V325-U325</f>
        <v>0</v>
      </c>
      <c r="X325" s="176">
        <f>U320-U325</f>
        <v>0</v>
      </c>
    </row>
    <row r="326" spans="1:24" s="205" customFormat="1" ht="23.5" hidden="1" customHeight="1">
      <c r="A326" s="610"/>
      <c r="B326" s="581"/>
      <c r="C326" s="583"/>
      <c r="D326" s="201" t="s">
        <v>24</v>
      </c>
      <c r="E326" s="220"/>
      <c r="F326" s="199">
        <f t="shared" ref="F326:K326" si="366">F324-F325</f>
        <v>0</v>
      </c>
      <c r="G326" s="199">
        <f t="shared" si="366"/>
        <v>0</v>
      </c>
      <c r="H326" s="199">
        <f t="shared" si="366"/>
        <v>0</v>
      </c>
      <c r="I326" s="199">
        <f t="shared" si="366"/>
        <v>0</v>
      </c>
      <c r="J326" s="199">
        <f t="shared" si="366"/>
        <v>0</v>
      </c>
      <c r="K326" s="199">
        <f t="shared" si="366"/>
        <v>0</v>
      </c>
      <c r="L326" s="199">
        <f>SUM(F326:K326)</f>
        <v>0</v>
      </c>
      <c r="M326" s="199">
        <f>L326/6</f>
        <v>0</v>
      </c>
      <c r="N326" s="199">
        <f t="shared" ref="N326:S326" si="367">N324-N325</f>
        <v>0</v>
      </c>
      <c r="O326" s="199">
        <f t="shared" si="367"/>
        <v>0</v>
      </c>
      <c r="P326" s="199">
        <f t="shared" si="367"/>
        <v>0</v>
      </c>
      <c r="Q326" s="199">
        <f t="shared" si="367"/>
        <v>0</v>
      </c>
      <c r="R326" s="199">
        <f t="shared" si="367"/>
        <v>0</v>
      </c>
      <c r="S326" s="199">
        <f t="shared" si="367"/>
        <v>0</v>
      </c>
      <c r="T326" s="199">
        <f>SUM(N326:S326)</f>
        <v>0</v>
      </c>
      <c r="U326" s="199">
        <f>T326+L326</f>
        <v>0</v>
      </c>
      <c r="V326" s="199">
        <f>V321</f>
        <v>0</v>
      </c>
      <c r="W326" s="221">
        <f>V326-U326</f>
        <v>0</v>
      </c>
      <c r="X326" s="176">
        <f>U321-U326</f>
        <v>0</v>
      </c>
    </row>
    <row r="327" spans="1:24" s="43" customFormat="1" ht="18" hidden="1" customHeight="1">
      <c r="A327" s="610"/>
      <c r="B327" s="581"/>
      <c r="C327" s="583"/>
      <c r="D327" s="202" t="s">
        <v>29</v>
      </c>
      <c r="E327" s="42"/>
      <c r="F327" s="42">
        <f t="shared" ref="F327:K327" si="368">F321</f>
        <v>0</v>
      </c>
      <c r="G327" s="42">
        <f t="shared" si="368"/>
        <v>0</v>
      </c>
      <c r="H327" s="42">
        <f t="shared" si="368"/>
        <v>0</v>
      </c>
      <c r="I327" s="42">
        <f t="shared" si="368"/>
        <v>0</v>
      </c>
      <c r="J327" s="42">
        <f t="shared" si="368"/>
        <v>0</v>
      </c>
      <c r="K327" s="42">
        <f t="shared" si="368"/>
        <v>0</v>
      </c>
      <c r="L327" s="42">
        <f>SUM(F327:K327)</f>
        <v>0</v>
      </c>
      <c r="M327" s="42">
        <f>L327/6</f>
        <v>0</v>
      </c>
      <c r="N327" s="42">
        <f t="shared" ref="N327:S327" si="369">N321+N320</f>
        <v>0</v>
      </c>
      <c r="O327" s="42">
        <f t="shared" si="369"/>
        <v>0</v>
      </c>
      <c r="P327" s="42">
        <f t="shared" si="369"/>
        <v>0</v>
      </c>
      <c r="Q327" s="42">
        <f t="shared" si="369"/>
        <v>0</v>
      </c>
      <c r="R327" s="42">
        <f t="shared" si="369"/>
        <v>0</v>
      </c>
      <c r="S327" s="42">
        <f t="shared" si="369"/>
        <v>0</v>
      </c>
      <c r="T327" s="42">
        <f>SUM(N327:S327)</f>
        <v>0</v>
      </c>
      <c r="U327" s="42">
        <f>T327+L327</f>
        <v>0</v>
      </c>
      <c r="V327" s="42">
        <f>V324</f>
        <v>0</v>
      </c>
      <c r="W327" s="42">
        <f>V327-U327</f>
        <v>0</v>
      </c>
    </row>
    <row r="328" spans="1:24" s="43" customFormat="1" ht="18" hidden="1" customHeight="1">
      <c r="A328" s="610"/>
      <c r="B328" s="581"/>
      <c r="C328" s="583"/>
      <c r="D328" s="202" t="s">
        <v>30</v>
      </c>
      <c r="E328" s="42"/>
      <c r="F328" s="42">
        <f t="shared" ref="F328:K328" si="370">F324-F327</f>
        <v>0</v>
      </c>
      <c r="G328" s="42">
        <f t="shared" si="370"/>
        <v>0</v>
      </c>
      <c r="H328" s="42">
        <f t="shared" si="370"/>
        <v>0</v>
      </c>
      <c r="I328" s="42">
        <f t="shared" si="370"/>
        <v>0</v>
      </c>
      <c r="J328" s="42">
        <f t="shared" si="370"/>
        <v>0</v>
      </c>
      <c r="K328" s="42">
        <f t="shared" si="370"/>
        <v>0</v>
      </c>
      <c r="L328" s="42"/>
      <c r="M328" s="42"/>
      <c r="N328" s="42">
        <f t="shared" ref="N328:S328" si="371">N324-N327</f>
        <v>0</v>
      </c>
      <c r="O328" s="42">
        <f t="shared" si="371"/>
        <v>0</v>
      </c>
      <c r="P328" s="42">
        <f t="shared" si="371"/>
        <v>0</v>
      </c>
      <c r="Q328" s="42">
        <f t="shared" si="371"/>
        <v>0</v>
      </c>
      <c r="R328" s="42">
        <f t="shared" si="371"/>
        <v>0</v>
      </c>
      <c r="S328" s="42">
        <f t="shared" si="371"/>
        <v>0</v>
      </c>
      <c r="T328" s="42"/>
      <c r="U328" s="42"/>
      <c r="V328" s="42"/>
      <c r="W328" s="42"/>
    </row>
    <row r="329" spans="1:24" s="43" customFormat="1" ht="18" hidden="1" customHeight="1">
      <c r="A329" s="611"/>
      <c r="B329" s="581"/>
      <c r="C329" s="584"/>
      <c r="D329" s="202" t="s">
        <v>31</v>
      </c>
      <c r="E329" s="42"/>
      <c r="F329" s="42">
        <f>F328</f>
        <v>0</v>
      </c>
      <c r="G329" s="42">
        <f>G328+F329</f>
        <v>0</v>
      </c>
      <c r="H329" s="42">
        <f>H328+G329</f>
        <v>0</v>
      </c>
      <c r="I329" s="42">
        <f>I328+H329</f>
        <v>0</v>
      </c>
      <c r="J329" s="42">
        <f>J328+I329</f>
        <v>0</v>
      </c>
      <c r="K329" s="42">
        <f>K328+J329</f>
        <v>0</v>
      </c>
      <c r="L329" s="42"/>
      <c r="M329" s="42"/>
      <c r="N329" s="42">
        <f>N328+K329</f>
        <v>0</v>
      </c>
      <c r="O329" s="42">
        <f>O328+N329</f>
        <v>0</v>
      </c>
      <c r="P329" s="42">
        <f>P328+O329</f>
        <v>0</v>
      </c>
      <c r="Q329" s="42">
        <f>Q328+P329</f>
        <v>0</v>
      </c>
      <c r="R329" s="42">
        <f>R328+Q329</f>
        <v>0</v>
      </c>
      <c r="S329" s="42">
        <f>S328+R329</f>
        <v>0</v>
      </c>
      <c r="T329" s="42"/>
      <c r="U329" s="42"/>
      <c r="V329" s="42"/>
      <c r="W329" s="42"/>
    </row>
    <row r="330" spans="1:24" s="48" customFormat="1" ht="23.35" customHeight="1">
      <c r="A330" s="591">
        <v>2272</v>
      </c>
      <c r="B330" s="659" t="s">
        <v>34</v>
      </c>
      <c r="C330" s="660"/>
      <c r="D330" s="178" t="str">
        <f>серпень!D253</f>
        <v>факт. нат.п-ки 2023</v>
      </c>
      <c r="E330" s="11"/>
      <c r="F330" s="12">
        <f t="shared" ref="F330:K332" si="372">F347+F409</f>
        <v>244</v>
      </c>
      <c r="G330" s="12">
        <f t="shared" si="372"/>
        <v>148</v>
      </c>
      <c r="H330" s="12">
        <f t="shared" si="372"/>
        <v>148</v>
      </c>
      <c r="I330" s="12">
        <f t="shared" si="372"/>
        <v>168</v>
      </c>
      <c r="J330" s="12">
        <f t="shared" si="372"/>
        <v>146</v>
      </c>
      <c r="K330" s="12">
        <f t="shared" si="372"/>
        <v>204</v>
      </c>
      <c r="L330" s="65">
        <f>SUM(F330:K330)</f>
        <v>1058</v>
      </c>
      <c r="M330" s="65">
        <f>L330/6</f>
        <v>176.3</v>
      </c>
      <c r="N330" s="12">
        <f t="shared" ref="N330:S332" si="373">N347+N409</f>
        <v>198</v>
      </c>
      <c r="O330" s="12">
        <f t="shared" si="373"/>
        <v>210</v>
      </c>
      <c r="P330" s="11">
        <f t="shared" si="373"/>
        <v>256.5</v>
      </c>
      <c r="Q330" s="12">
        <f t="shared" si="373"/>
        <v>233</v>
      </c>
      <c r="R330" s="12">
        <f t="shared" si="373"/>
        <v>314</v>
      </c>
      <c r="S330" s="12">
        <f t="shared" si="373"/>
        <v>254</v>
      </c>
      <c r="T330" s="65">
        <f>SUM(N330:S330)</f>
        <v>1465.5</v>
      </c>
      <c r="U330" s="65">
        <f>T330+L330</f>
        <v>2523.5</v>
      </c>
      <c r="V330" s="75">
        <f>V347+V409</f>
        <v>0</v>
      </c>
      <c r="W330" s="38"/>
      <c r="X330" s="47"/>
    </row>
    <row r="331" spans="1:24" s="48" customFormat="1" ht="23.35" customHeight="1">
      <c r="A331" s="592"/>
      <c r="B331" s="661"/>
      <c r="C331" s="662"/>
      <c r="D331" s="178" t="str">
        <f>серпень!D254</f>
        <v>факт. нат.п-ки 2024</v>
      </c>
      <c r="E331" s="11"/>
      <c r="F331" s="12">
        <f t="shared" si="372"/>
        <v>202</v>
      </c>
      <c r="G331" s="12">
        <f t="shared" si="372"/>
        <v>376.8</v>
      </c>
      <c r="H331" s="12">
        <f t="shared" si="372"/>
        <v>345.6</v>
      </c>
      <c r="I331" s="12">
        <f t="shared" si="372"/>
        <v>310</v>
      </c>
      <c r="J331" s="12">
        <f t="shared" si="372"/>
        <v>378</v>
      </c>
      <c r="K331" s="12">
        <f t="shared" si="372"/>
        <v>478</v>
      </c>
      <c r="L331" s="65">
        <f>SUM(F331:K331)</f>
        <v>2090.4</v>
      </c>
      <c r="M331" s="65">
        <f>L331/6</f>
        <v>348.4</v>
      </c>
      <c r="N331" s="12">
        <f t="shared" si="373"/>
        <v>447.6</v>
      </c>
      <c r="O331" s="12">
        <f t="shared" si="373"/>
        <v>617.70000000000005</v>
      </c>
      <c r="P331" s="11">
        <f t="shared" si="373"/>
        <v>606.4</v>
      </c>
      <c r="Q331" s="12">
        <f t="shared" si="373"/>
        <v>536.9</v>
      </c>
      <c r="R331" s="12">
        <f t="shared" si="373"/>
        <v>664</v>
      </c>
      <c r="S331" s="12">
        <f t="shared" si="373"/>
        <v>928.3</v>
      </c>
      <c r="T331" s="65">
        <f>SUM(N331:S331)</f>
        <v>3800.9</v>
      </c>
      <c r="U331" s="65">
        <f>T331+L331</f>
        <v>5891.3</v>
      </c>
      <c r="V331" s="75">
        <f>V348+V410</f>
        <v>5170</v>
      </c>
      <c r="W331" s="38"/>
      <c r="X331" s="47"/>
    </row>
    <row r="332" spans="1:24" s="48" customFormat="1" ht="23.35" customHeight="1">
      <c r="A332" s="592"/>
      <c r="B332" s="661"/>
      <c r="C332" s="662"/>
      <c r="D332" s="178" t="str">
        <f>серпень!D255</f>
        <v>факт. нат.п-ки 2025</v>
      </c>
      <c r="E332" s="11"/>
      <c r="F332" s="12">
        <f t="shared" si="372"/>
        <v>220</v>
      </c>
      <c r="G332" s="12">
        <f t="shared" si="372"/>
        <v>526.79999999999995</v>
      </c>
      <c r="H332" s="12">
        <f t="shared" si="372"/>
        <v>240.9</v>
      </c>
      <c r="I332" s="12">
        <f t="shared" si="372"/>
        <v>219.8</v>
      </c>
      <c r="J332" s="12">
        <f t="shared" si="372"/>
        <v>190.8</v>
      </c>
      <c r="K332" s="12">
        <f t="shared" si="372"/>
        <v>509.2</v>
      </c>
      <c r="L332" s="122">
        <f>SUM(F332:K332)</f>
        <v>1907.5</v>
      </c>
      <c r="M332" s="65">
        <f>L332/6</f>
        <v>317.89999999999998</v>
      </c>
      <c r="N332" s="12">
        <f t="shared" si="373"/>
        <v>327.60000000000002</v>
      </c>
      <c r="O332" s="12">
        <f t="shared" si="373"/>
        <v>90.3</v>
      </c>
      <c r="P332" s="12">
        <f t="shared" si="373"/>
        <v>668.8</v>
      </c>
      <c r="Q332" s="12">
        <f t="shared" si="373"/>
        <v>798</v>
      </c>
      <c r="R332" s="12">
        <f t="shared" si="373"/>
        <v>851</v>
      </c>
      <c r="S332" s="12">
        <f t="shared" si="373"/>
        <v>888.3</v>
      </c>
      <c r="T332" s="65">
        <f>SUM(N332:S332)</f>
        <v>3624</v>
      </c>
      <c r="U332" s="118">
        <f>T332+L332</f>
        <v>5531.5</v>
      </c>
      <c r="V332" s="75">
        <f>V349+V411</f>
        <v>5369.9</v>
      </c>
      <c r="W332" s="38">
        <f>V332-U332</f>
        <v>-161.6</v>
      </c>
      <c r="X332" s="47"/>
    </row>
    <row r="333" spans="1:24" s="51" customFormat="1" ht="23.35" customHeight="1">
      <c r="A333" s="592"/>
      <c r="B333" s="661"/>
      <c r="C333" s="662"/>
      <c r="D333" s="187" t="str">
        <f>серпень!D256</f>
        <v>тариф, грн.</v>
      </c>
      <c r="E333" s="49"/>
      <c r="F333" s="49">
        <f t="shared" ref="F333:S333" si="374">F334/F332*1000</f>
        <v>25.15</v>
      </c>
      <c r="G333" s="49">
        <f t="shared" si="374"/>
        <v>26.16</v>
      </c>
      <c r="H333" s="49">
        <f t="shared" si="374"/>
        <v>26.16</v>
      </c>
      <c r="I333" s="49">
        <f t="shared" si="374"/>
        <v>26.16</v>
      </c>
      <c r="J333" s="49">
        <f t="shared" si="374"/>
        <v>26.152999999999999</v>
      </c>
      <c r="K333" s="49">
        <f t="shared" si="374"/>
        <v>26.158999999999999</v>
      </c>
      <c r="L333" s="49">
        <f t="shared" si="374"/>
        <v>26.042000000000002</v>
      </c>
      <c r="M333" s="49">
        <f t="shared" si="374"/>
        <v>26.042999999999999</v>
      </c>
      <c r="N333" s="49">
        <f t="shared" si="374"/>
        <v>26.16</v>
      </c>
      <c r="O333" s="49">
        <f t="shared" si="374"/>
        <v>26.157</v>
      </c>
      <c r="P333" s="49">
        <f t="shared" si="374"/>
        <v>24.39</v>
      </c>
      <c r="Q333" s="49">
        <f t="shared" si="374"/>
        <v>24.689</v>
      </c>
      <c r="R333" s="49">
        <f t="shared" si="374"/>
        <v>24.823</v>
      </c>
      <c r="S333" s="49">
        <f t="shared" si="374"/>
        <v>24.841000000000001</v>
      </c>
      <c r="T333" s="49">
        <f>T334/T332*1000</f>
        <v>24.872</v>
      </c>
      <c r="U333" s="49">
        <f>U334/U332*1000</f>
        <v>25.276</v>
      </c>
      <c r="V333" s="49">
        <f>V334/V332*1000</f>
        <v>21.471</v>
      </c>
      <c r="W333" s="14">
        <f>W334/W332*1000</f>
        <v>151.714</v>
      </c>
      <c r="X333" s="59"/>
    </row>
    <row r="334" spans="1:24" s="113" customFormat="1" ht="18" customHeight="1">
      <c r="A334" s="670"/>
      <c r="B334" s="661"/>
      <c r="C334" s="662"/>
      <c r="D334" s="191" t="str">
        <f>серпень!D257</f>
        <v>сума, тис.грн.</v>
      </c>
      <c r="E334" s="52"/>
      <c r="F334" s="52">
        <f t="shared" ref="F334:K335" si="375">F351+F413</f>
        <v>5.5330000000000004</v>
      </c>
      <c r="G334" s="52">
        <f t="shared" si="375"/>
        <v>13.781000000000001</v>
      </c>
      <c r="H334" s="52">
        <f t="shared" si="375"/>
        <v>6.3019999999999996</v>
      </c>
      <c r="I334" s="52">
        <f t="shared" si="375"/>
        <v>5.75</v>
      </c>
      <c r="J334" s="52">
        <f t="shared" si="375"/>
        <v>4.99</v>
      </c>
      <c r="K334" s="52">
        <f t="shared" si="375"/>
        <v>13.32</v>
      </c>
      <c r="L334" s="69">
        <f>SUM(F334:K334)</f>
        <v>49.676000000000002</v>
      </c>
      <c r="M334" s="69">
        <f>L334/6</f>
        <v>8.2789999999999999</v>
      </c>
      <c r="N334" s="52">
        <f t="shared" ref="N334:S335" si="376">N351+N413</f>
        <v>8.57</v>
      </c>
      <c r="O334" s="52">
        <f t="shared" si="376"/>
        <v>2.3620000000000001</v>
      </c>
      <c r="P334" s="52">
        <f t="shared" si="376"/>
        <v>16.312000000000001</v>
      </c>
      <c r="Q334" s="52">
        <f t="shared" si="376"/>
        <v>19.702000000000002</v>
      </c>
      <c r="R334" s="52">
        <f t="shared" si="376"/>
        <v>21.123999999999999</v>
      </c>
      <c r="S334" s="52">
        <f t="shared" si="376"/>
        <v>22.065999999999999</v>
      </c>
      <c r="T334" s="69">
        <f t="shared" ref="T334:T339" si="377">SUM(N334:S334)</f>
        <v>90.135999999999996</v>
      </c>
      <c r="U334" s="69">
        <f t="shared" ref="U334:U339" si="378">T334+L334</f>
        <v>139.81200000000001</v>
      </c>
      <c r="V334" s="69">
        <f>V351+V413</f>
        <v>115.295</v>
      </c>
      <c r="W334" s="52">
        <f>V334-U334</f>
        <v>-24.516999999999999</v>
      </c>
    </row>
    <row r="335" spans="1:24" s="113" customFormat="1" ht="18" customHeight="1">
      <c r="A335" s="670"/>
      <c r="B335" s="661"/>
      <c r="C335" s="662"/>
      <c r="D335" s="174" t="str">
        <f>серпень!D258</f>
        <v>абоненська плата, тис.грн.</v>
      </c>
      <c r="E335" s="52"/>
      <c r="F335" s="52">
        <f>F352+F414</f>
        <v>0</v>
      </c>
      <c r="G335" s="52">
        <f t="shared" si="375"/>
        <v>0</v>
      </c>
      <c r="H335" s="52">
        <f t="shared" si="375"/>
        <v>0</v>
      </c>
      <c r="I335" s="52">
        <f t="shared" si="375"/>
        <v>0</v>
      </c>
      <c r="J335" s="52">
        <f t="shared" si="375"/>
        <v>0</v>
      </c>
      <c r="K335" s="52">
        <f t="shared" si="375"/>
        <v>0</v>
      </c>
      <c r="L335" s="69">
        <f t="shared" ref="L335:L337" si="379">SUM(F335:K335)</f>
        <v>0</v>
      </c>
      <c r="M335" s="69">
        <f t="shared" ref="M335:M337" si="380">L335/6</f>
        <v>0</v>
      </c>
      <c r="N335" s="52">
        <f t="shared" si="376"/>
        <v>0</v>
      </c>
      <c r="O335" s="52">
        <f t="shared" si="376"/>
        <v>0</v>
      </c>
      <c r="P335" s="52">
        <f t="shared" si="376"/>
        <v>0</v>
      </c>
      <c r="Q335" s="52">
        <f t="shared" si="376"/>
        <v>0</v>
      </c>
      <c r="R335" s="52">
        <f t="shared" si="376"/>
        <v>0</v>
      </c>
      <c r="S335" s="52">
        <f t="shared" si="376"/>
        <v>0</v>
      </c>
      <c r="T335" s="69">
        <f t="shared" si="377"/>
        <v>0</v>
      </c>
      <c r="U335" s="69">
        <f t="shared" si="378"/>
        <v>0</v>
      </c>
      <c r="V335" s="69">
        <f t="shared" ref="V335:V337" si="381">V352+V414</f>
        <v>0</v>
      </c>
      <c r="W335" s="52">
        <f t="shared" ref="W335:W337" si="382">V335-U335</f>
        <v>0</v>
      </c>
    </row>
    <row r="336" spans="1:24" s="113" customFormat="1" ht="18" customHeight="1">
      <c r="A336" s="670"/>
      <c r="B336" s="661"/>
      <c r="C336" s="662"/>
      <c r="D336" s="174" t="str">
        <f>серпень!D259</f>
        <v>разом сума тис. грн+абонплата</v>
      </c>
      <c r="E336" s="52"/>
      <c r="F336" s="52">
        <f>F334+F335</f>
        <v>5.5330000000000004</v>
      </c>
      <c r="G336" s="52">
        <f t="shared" ref="G336:K336" si="383">G334+G335</f>
        <v>13.781000000000001</v>
      </c>
      <c r="H336" s="52">
        <f t="shared" si="383"/>
        <v>6.3019999999999996</v>
      </c>
      <c r="I336" s="52">
        <f t="shared" si="383"/>
        <v>5.75</v>
      </c>
      <c r="J336" s="52">
        <f t="shared" si="383"/>
        <v>4.99</v>
      </c>
      <c r="K336" s="52">
        <f t="shared" si="383"/>
        <v>13.32</v>
      </c>
      <c r="L336" s="69">
        <f t="shared" si="379"/>
        <v>49.676000000000002</v>
      </c>
      <c r="M336" s="69">
        <f t="shared" si="380"/>
        <v>8.2789999999999999</v>
      </c>
      <c r="N336" s="52">
        <f>N334+N335</f>
        <v>8.57</v>
      </c>
      <c r="O336" s="52">
        <f t="shared" ref="O336:S336" si="384">O334+O335</f>
        <v>2.3620000000000001</v>
      </c>
      <c r="P336" s="52">
        <f t="shared" si="384"/>
        <v>16.312000000000001</v>
      </c>
      <c r="Q336" s="52">
        <f t="shared" si="384"/>
        <v>19.702000000000002</v>
      </c>
      <c r="R336" s="52">
        <f t="shared" si="384"/>
        <v>21.123999999999999</v>
      </c>
      <c r="S336" s="52">
        <f t="shared" si="384"/>
        <v>22.065999999999999</v>
      </c>
      <c r="T336" s="69">
        <f t="shared" si="377"/>
        <v>90.135999999999996</v>
      </c>
      <c r="U336" s="69">
        <f t="shared" si="378"/>
        <v>139.81200000000001</v>
      </c>
      <c r="V336" s="69">
        <f t="shared" si="381"/>
        <v>115.295</v>
      </c>
      <c r="W336" s="52">
        <f t="shared" si="382"/>
        <v>-24.516999999999999</v>
      </c>
    </row>
    <row r="337" spans="1:24" s="113" customFormat="1" ht="18" customHeight="1">
      <c r="A337" s="670"/>
      <c r="B337" s="661"/>
      <c r="C337" s="662"/>
      <c r="D337" s="174" t="str">
        <f>серпень!D260</f>
        <v>дотація</v>
      </c>
      <c r="E337" s="52"/>
      <c r="F337" s="52">
        <f t="shared" ref="F337:K339" si="385">F354+F416</f>
        <v>0</v>
      </c>
      <c r="G337" s="52">
        <f t="shared" si="385"/>
        <v>0</v>
      </c>
      <c r="H337" s="52">
        <f t="shared" si="385"/>
        <v>0</v>
      </c>
      <c r="I337" s="52">
        <f t="shared" si="385"/>
        <v>0</v>
      </c>
      <c r="J337" s="52">
        <f t="shared" si="385"/>
        <v>0</v>
      </c>
      <c r="K337" s="52">
        <f t="shared" si="385"/>
        <v>0</v>
      </c>
      <c r="L337" s="69">
        <f t="shared" si="379"/>
        <v>0</v>
      </c>
      <c r="M337" s="69">
        <f t="shared" si="380"/>
        <v>0</v>
      </c>
      <c r="N337" s="52">
        <f t="shared" ref="N337:S339" si="386">N354+N416</f>
        <v>0</v>
      </c>
      <c r="O337" s="52">
        <f t="shared" si="386"/>
        <v>0</v>
      </c>
      <c r="P337" s="52">
        <f t="shared" si="386"/>
        <v>0</v>
      </c>
      <c r="Q337" s="52">
        <f t="shared" si="386"/>
        <v>0</v>
      </c>
      <c r="R337" s="52">
        <f t="shared" si="386"/>
        <v>0</v>
      </c>
      <c r="S337" s="52">
        <f t="shared" si="386"/>
        <v>0</v>
      </c>
      <c r="T337" s="69">
        <f t="shared" si="377"/>
        <v>0</v>
      </c>
      <c r="U337" s="69">
        <f t="shared" si="378"/>
        <v>0</v>
      </c>
      <c r="V337" s="69">
        <f t="shared" si="381"/>
        <v>0</v>
      </c>
      <c r="W337" s="52">
        <f t="shared" si="382"/>
        <v>0</v>
      </c>
    </row>
    <row r="338" spans="1:24" s="113" customFormat="1" ht="18" customHeight="1">
      <c r="A338" s="670"/>
      <c r="B338" s="661"/>
      <c r="C338" s="662"/>
      <c r="D338" s="174" t="str">
        <f>серпень!D261</f>
        <v>місцевий (план), тис.грн</v>
      </c>
      <c r="E338" s="52"/>
      <c r="F338" s="52">
        <f t="shared" si="385"/>
        <v>12.025</v>
      </c>
      <c r="G338" s="52">
        <f t="shared" si="385"/>
        <v>8.4410000000000007</v>
      </c>
      <c r="H338" s="52">
        <f t="shared" si="385"/>
        <v>12.622</v>
      </c>
      <c r="I338" s="52">
        <f t="shared" si="385"/>
        <v>14.423999999999999</v>
      </c>
      <c r="J338" s="52">
        <f t="shared" si="385"/>
        <v>6.17</v>
      </c>
      <c r="K338" s="52">
        <f t="shared" si="385"/>
        <v>8.3659999999999997</v>
      </c>
      <c r="L338" s="69">
        <f>SUM(F338:K338)</f>
        <v>62.048000000000002</v>
      </c>
      <c r="M338" s="69">
        <f>L338/6</f>
        <v>10.340999999999999</v>
      </c>
      <c r="N338" s="52">
        <f t="shared" si="386"/>
        <v>0</v>
      </c>
      <c r="O338" s="52">
        <f t="shared" si="386"/>
        <v>10.057</v>
      </c>
      <c r="P338" s="52">
        <f t="shared" si="386"/>
        <v>2.125</v>
      </c>
      <c r="Q338" s="52">
        <f t="shared" si="386"/>
        <v>1.744</v>
      </c>
      <c r="R338" s="52">
        <f t="shared" si="386"/>
        <v>19.231999999999999</v>
      </c>
      <c r="S338" s="52">
        <f t="shared" si="386"/>
        <v>20.088999999999999</v>
      </c>
      <c r="T338" s="69">
        <f t="shared" si="377"/>
        <v>53.247</v>
      </c>
      <c r="U338" s="69">
        <f t="shared" si="378"/>
        <v>115.295</v>
      </c>
      <c r="V338" s="69">
        <f>V355+V417</f>
        <v>115.295</v>
      </c>
      <c r="W338" s="52">
        <f>V338-U338</f>
        <v>0</v>
      </c>
    </row>
    <row r="339" spans="1:24" s="48" customFormat="1" ht="23.35" customHeight="1">
      <c r="A339" s="592"/>
      <c r="B339" s="661"/>
      <c r="C339" s="662"/>
      <c r="D339" s="178" t="str">
        <f>серпень!D262</f>
        <v>касові нат.п-ки 2025</v>
      </c>
      <c r="E339" s="11">
        <f>E371</f>
        <v>0</v>
      </c>
      <c r="F339" s="11">
        <f t="shared" si="385"/>
        <v>220</v>
      </c>
      <c r="G339" s="11">
        <f t="shared" si="385"/>
        <v>570.79999999999995</v>
      </c>
      <c r="H339" s="11">
        <f t="shared" si="385"/>
        <v>391.2</v>
      </c>
      <c r="I339" s="11">
        <f t="shared" si="385"/>
        <v>344</v>
      </c>
      <c r="J339" s="11">
        <f t="shared" si="385"/>
        <v>345.1</v>
      </c>
      <c r="K339" s="11">
        <f t="shared" si="385"/>
        <v>509.2</v>
      </c>
      <c r="L339" s="123">
        <f>SUM(F339:K339)</f>
        <v>2380.3000000000002</v>
      </c>
      <c r="M339" s="65">
        <f>L339/6</f>
        <v>396.7</v>
      </c>
      <c r="N339" s="11">
        <f t="shared" si="386"/>
        <v>-145.30000000000001</v>
      </c>
      <c r="O339" s="11">
        <f t="shared" si="386"/>
        <v>90.3</v>
      </c>
      <c r="P339" s="11">
        <f t="shared" si="386"/>
        <v>668.8</v>
      </c>
      <c r="Q339" s="11">
        <f t="shared" si="386"/>
        <v>798</v>
      </c>
      <c r="R339" s="11">
        <f t="shared" si="386"/>
        <v>851</v>
      </c>
      <c r="S339" s="11">
        <f t="shared" si="386"/>
        <v>888.3</v>
      </c>
      <c r="T339" s="65">
        <f t="shared" si="377"/>
        <v>3151.1</v>
      </c>
      <c r="U339" s="65">
        <f t="shared" si="378"/>
        <v>5531.4</v>
      </c>
      <c r="V339" s="124">
        <f>V356+V418</f>
        <v>5369.9</v>
      </c>
      <c r="W339" s="124">
        <f>V339-U339</f>
        <v>-161.5</v>
      </c>
      <c r="X339" s="47">
        <f>U332-U339</f>
        <v>0.1</v>
      </c>
    </row>
    <row r="340" spans="1:24" s="51" customFormat="1" ht="23.35" customHeight="1">
      <c r="A340" s="592"/>
      <c r="B340" s="661"/>
      <c r="C340" s="662"/>
      <c r="D340" s="187" t="str">
        <f>серпень!D263</f>
        <v>тариф, грн.</v>
      </c>
      <c r="E340" s="49" t="e">
        <f t="shared" ref="E340:S340" si="387">E341/E339*1000</f>
        <v>#DIV/0!</v>
      </c>
      <c r="F340" s="49">
        <f t="shared" si="387"/>
        <v>25.15</v>
      </c>
      <c r="G340" s="49">
        <f t="shared" si="387"/>
        <v>26.16</v>
      </c>
      <c r="H340" s="49">
        <f t="shared" si="387"/>
        <v>26.161000000000001</v>
      </c>
      <c r="I340" s="49">
        <f t="shared" si="387"/>
        <v>26.163</v>
      </c>
      <c r="J340" s="49">
        <f t="shared" si="387"/>
        <v>26.158000000000001</v>
      </c>
      <c r="K340" s="49">
        <f t="shared" si="387"/>
        <v>26.158999999999999</v>
      </c>
      <c r="L340" s="49">
        <f t="shared" si="387"/>
        <v>26.065999999999999</v>
      </c>
      <c r="M340" s="49">
        <f t="shared" si="387"/>
        <v>26.068000000000001</v>
      </c>
      <c r="N340" s="49">
        <f t="shared" si="387"/>
        <v>26.16</v>
      </c>
      <c r="O340" s="49">
        <f t="shared" si="387"/>
        <v>26.167999999999999</v>
      </c>
      <c r="P340" s="49">
        <f t="shared" si="387"/>
        <v>24.39</v>
      </c>
      <c r="Q340" s="49">
        <f t="shared" si="387"/>
        <v>24.689</v>
      </c>
      <c r="R340" s="49">
        <f t="shared" si="387"/>
        <v>24.823</v>
      </c>
      <c r="S340" s="49">
        <f t="shared" si="387"/>
        <v>24.841000000000001</v>
      </c>
      <c r="T340" s="49">
        <f>T341/T339*1000</f>
        <v>24.678999999999998</v>
      </c>
      <c r="U340" s="49">
        <f>U341/U339*1000</f>
        <v>25.276</v>
      </c>
      <c r="V340" s="49">
        <f>V341/V339*1000</f>
        <v>21.471</v>
      </c>
      <c r="W340" s="14">
        <f>W341/W339*1000</f>
        <v>151.80799999999999</v>
      </c>
      <c r="X340" s="47"/>
    </row>
    <row r="341" spans="1:24" s="74" customFormat="1" ht="23.35" customHeight="1">
      <c r="A341" s="592"/>
      <c r="B341" s="661"/>
      <c r="C341" s="662"/>
      <c r="D341" s="198" t="str">
        <f>серпень!D264</f>
        <v>касові видатки, тис.грн.</v>
      </c>
      <c r="E341" s="71">
        <f t="shared" ref="E341:K343" si="388">E358+E420</f>
        <v>0</v>
      </c>
      <c r="F341" s="61">
        <f t="shared" si="388"/>
        <v>5.5330000000000004</v>
      </c>
      <c r="G341" s="61">
        <f t="shared" si="388"/>
        <v>14.932</v>
      </c>
      <c r="H341" s="61">
        <f t="shared" si="388"/>
        <v>10.234</v>
      </c>
      <c r="I341" s="61">
        <f t="shared" si="388"/>
        <v>9</v>
      </c>
      <c r="J341" s="61">
        <f t="shared" si="388"/>
        <v>9.0269999999999992</v>
      </c>
      <c r="K341" s="61">
        <f t="shared" si="388"/>
        <v>13.32</v>
      </c>
      <c r="L341" s="61">
        <f>SUM(F341:K341)</f>
        <v>62.045999999999999</v>
      </c>
      <c r="M341" s="61">
        <f>L341/6</f>
        <v>10.340999999999999</v>
      </c>
      <c r="N341" s="61">
        <f t="shared" ref="N341:S343" si="389">N358+N420</f>
        <v>-3.8010000000000002</v>
      </c>
      <c r="O341" s="61">
        <f t="shared" si="389"/>
        <v>2.363</v>
      </c>
      <c r="P341" s="61">
        <f t="shared" si="389"/>
        <v>16.312000000000001</v>
      </c>
      <c r="Q341" s="61">
        <f t="shared" si="389"/>
        <v>19.702000000000002</v>
      </c>
      <c r="R341" s="61">
        <f t="shared" si="389"/>
        <v>21.123999999999999</v>
      </c>
      <c r="S341" s="61">
        <f t="shared" si="389"/>
        <v>22.065999999999999</v>
      </c>
      <c r="T341" s="61">
        <f>SUM(N341:S341)</f>
        <v>77.766000000000005</v>
      </c>
      <c r="U341" s="61">
        <f>T341+L341</f>
        <v>139.81200000000001</v>
      </c>
      <c r="V341" s="61">
        <f>V358+V420</f>
        <v>115.295</v>
      </c>
      <c r="W341" s="72">
        <f>V341-U341</f>
        <v>-24.516999999999999</v>
      </c>
      <c r="X341" s="63">
        <f>U334-U341</f>
        <v>0</v>
      </c>
    </row>
    <row r="342" spans="1:24" s="74" customFormat="1" ht="23.35" customHeight="1">
      <c r="A342" s="592"/>
      <c r="B342" s="661"/>
      <c r="C342" s="662"/>
      <c r="D342" s="201" t="str">
        <f>серпень!D265</f>
        <v>дотація</v>
      </c>
      <c r="E342" s="71"/>
      <c r="F342" s="61">
        <f t="shared" si="388"/>
        <v>0</v>
      </c>
      <c r="G342" s="61">
        <f t="shared" si="388"/>
        <v>0</v>
      </c>
      <c r="H342" s="61">
        <f t="shared" si="388"/>
        <v>0</v>
      </c>
      <c r="I342" s="61">
        <f t="shared" si="388"/>
        <v>0</v>
      </c>
      <c r="J342" s="61">
        <f t="shared" si="388"/>
        <v>0</v>
      </c>
      <c r="K342" s="61">
        <f t="shared" si="388"/>
        <v>0</v>
      </c>
      <c r="L342" s="61">
        <f>SUM(F342:K342)</f>
        <v>0</v>
      </c>
      <c r="M342" s="61">
        <f>L342/6</f>
        <v>0</v>
      </c>
      <c r="N342" s="61">
        <f t="shared" si="389"/>
        <v>0</v>
      </c>
      <c r="O342" s="61">
        <f t="shared" si="389"/>
        <v>0</v>
      </c>
      <c r="P342" s="61">
        <f t="shared" si="389"/>
        <v>0</v>
      </c>
      <c r="Q342" s="61">
        <f t="shared" si="389"/>
        <v>0</v>
      </c>
      <c r="R342" s="61">
        <f t="shared" si="389"/>
        <v>0</v>
      </c>
      <c r="S342" s="61">
        <f t="shared" si="389"/>
        <v>0</v>
      </c>
      <c r="T342" s="61">
        <f>SUM(N342:S342)</f>
        <v>0</v>
      </c>
      <c r="U342" s="61">
        <f>T342+L342</f>
        <v>0</v>
      </c>
      <c r="V342" s="61">
        <f>V359+V421</f>
        <v>0</v>
      </c>
      <c r="W342" s="72">
        <f>V342-U342</f>
        <v>0</v>
      </c>
      <c r="X342" s="63">
        <f>U337-U342</f>
        <v>0</v>
      </c>
    </row>
    <row r="343" spans="1:24" s="74" customFormat="1" ht="23.35" customHeight="1">
      <c r="A343" s="592"/>
      <c r="B343" s="661"/>
      <c r="C343" s="662"/>
      <c r="D343" s="201" t="str">
        <f>серпень!D266</f>
        <v xml:space="preserve">місцевий </v>
      </c>
      <c r="E343" s="61"/>
      <c r="F343" s="61">
        <f t="shared" si="388"/>
        <v>5.5330000000000004</v>
      </c>
      <c r="G343" s="61">
        <f t="shared" si="388"/>
        <v>14.932</v>
      </c>
      <c r="H343" s="61">
        <f t="shared" si="388"/>
        <v>10.234</v>
      </c>
      <c r="I343" s="61">
        <f t="shared" si="388"/>
        <v>9</v>
      </c>
      <c r="J343" s="61">
        <f t="shared" si="388"/>
        <v>9.0269999999999992</v>
      </c>
      <c r="K343" s="61">
        <f t="shared" si="388"/>
        <v>13.32</v>
      </c>
      <c r="L343" s="61">
        <f>SUM(F343:K343)</f>
        <v>62.045999999999999</v>
      </c>
      <c r="M343" s="61">
        <f>L343/6</f>
        <v>10.340999999999999</v>
      </c>
      <c r="N343" s="61">
        <f t="shared" si="389"/>
        <v>-3.8010000000000002</v>
      </c>
      <c r="O343" s="61">
        <f t="shared" si="389"/>
        <v>2.363</v>
      </c>
      <c r="P343" s="61">
        <f t="shared" si="389"/>
        <v>16.312000000000001</v>
      </c>
      <c r="Q343" s="61">
        <f t="shared" si="389"/>
        <v>19.702000000000002</v>
      </c>
      <c r="R343" s="61">
        <f t="shared" si="389"/>
        <v>21.123999999999999</v>
      </c>
      <c r="S343" s="61">
        <f t="shared" si="389"/>
        <v>22.065999999999999</v>
      </c>
      <c r="T343" s="61">
        <f>SUM(N343:S343)</f>
        <v>77.766000000000005</v>
      </c>
      <c r="U343" s="61">
        <f>T343+L343</f>
        <v>139.81200000000001</v>
      </c>
      <c r="V343" s="61">
        <f>V360+V422</f>
        <v>115.295</v>
      </c>
      <c r="W343" s="72">
        <f>V343-U343</f>
        <v>-24.516999999999999</v>
      </c>
      <c r="X343" s="63">
        <f>U338-U343</f>
        <v>-24.516999999999999</v>
      </c>
    </row>
    <row r="344" spans="1:24" s="43" customFormat="1" ht="18.8" customHeight="1">
      <c r="A344" s="592"/>
      <c r="B344" s="661"/>
      <c r="C344" s="662"/>
      <c r="D344" s="202" t="str">
        <f>серпень!D267</f>
        <v>план</v>
      </c>
      <c r="E344" s="42"/>
      <c r="F344" s="42">
        <f t="shared" ref="F344:K344" si="390">F338</f>
        <v>12.025</v>
      </c>
      <c r="G344" s="42">
        <f t="shared" si="390"/>
        <v>8.4410000000000007</v>
      </c>
      <c r="H344" s="42">
        <f t="shared" si="390"/>
        <v>12.622</v>
      </c>
      <c r="I344" s="42">
        <f t="shared" si="390"/>
        <v>14.423999999999999</v>
      </c>
      <c r="J344" s="42">
        <f t="shared" si="390"/>
        <v>6.17</v>
      </c>
      <c r="K344" s="42">
        <f t="shared" si="390"/>
        <v>8.3659999999999997</v>
      </c>
      <c r="L344" s="42">
        <f>SUM(F344:K344)</f>
        <v>62.048000000000002</v>
      </c>
      <c r="M344" s="42">
        <f>L344/6</f>
        <v>10.340999999999999</v>
      </c>
      <c r="N344" s="42">
        <f t="shared" ref="N344:S344" si="391">N338+N337</f>
        <v>0</v>
      </c>
      <c r="O344" s="42">
        <f t="shared" si="391"/>
        <v>10.057</v>
      </c>
      <c r="P344" s="42">
        <f t="shared" si="391"/>
        <v>2.125</v>
      </c>
      <c r="Q344" s="42">
        <f t="shared" si="391"/>
        <v>1.744</v>
      </c>
      <c r="R344" s="42">
        <f t="shared" si="391"/>
        <v>19.231999999999999</v>
      </c>
      <c r="S344" s="42">
        <f t="shared" si="391"/>
        <v>20.088999999999999</v>
      </c>
      <c r="T344" s="42">
        <f>SUM(N344:S344)</f>
        <v>53.247</v>
      </c>
      <c r="U344" s="42">
        <f>T344+L344</f>
        <v>115.295</v>
      </c>
      <c r="V344" s="42">
        <f>V338+V337</f>
        <v>115.295</v>
      </c>
      <c r="W344" s="42">
        <f>V344-U344</f>
        <v>0</v>
      </c>
    </row>
    <row r="345" spans="1:24" s="43" customFormat="1" ht="18.8" customHeight="1">
      <c r="A345" s="592"/>
      <c r="B345" s="661"/>
      <c r="C345" s="662"/>
      <c r="D345" s="202" t="str">
        <f>серпень!D268</f>
        <v xml:space="preserve">відхилення </v>
      </c>
      <c r="E345" s="42"/>
      <c r="F345" s="42">
        <f t="shared" ref="F345:K345" si="392">F341-F344</f>
        <v>-6.492</v>
      </c>
      <c r="G345" s="42">
        <f t="shared" si="392"/>
        <v>6.4909999999999997</v>
      </c>
      <c r="H345" s="42">
        <f t="shared" si="392"/>
        <v>-2.3879999999999999</v>
      </c>
      <c r="I345" s="42">
        <f t="shared" si="392"/>
        <v>-5.4240000000000004</v>
      </c>
      <c r="J345" s="42">
        <f t="shared" si="392"/>
        <v>2.8570000000000002</v>
      </c>
      <c r="K345" s="42">
        <f t="shared" si="392"/>
        <v>4.9539999999999997</v>
      </c>
      <c r="L345" s="42"/>
      <c r="M345" s="42"/>
      <c r="N345" s="42">
        <f t="shared" ref="N345:S345" si="393">N341-N344</f>
        <v>-3.8010000000000002</v>
      </c>
      <c r="O345" s="42">
        <f t="shared" si="393"/>
        <v>-7.694</v>
      </c>
      <c r="P345" s="42">
        <f t="shared" si="393"/>
        <v>14.186999999999999</v>
      </c>
      <c r="Q345" s="42">
        <f t="shared" si="393"/>
        <v>17.957999999999998</v>
      </c>
      <c r="R345" s="42">
        <f t="shared" si="393"/>
        <v>1.8919999999999999</v>
      </c>
      <c r="S345" s="42">
        <f t="shared" si="393"/>
        <v>1.9770000000000001</v>
      </c>
      <c r="T345" s="42"/>
      <c r="U345" s="42"/>
      <c r="V345" s="42"/>
      <c r="W345" s="42"/>
    </row>
    <row r="346" spans="1:24" s="43" customFormat="1" ht="18.8" customHeight="1">
      <c r="A346" s="593"/>
      <c r="B346" s="663"/>
      <c r="C346" s="664"/>
      <c r="D346" s="202" t="str">
        <f>серпень!D269</f>
        <v>відхилення з наростаючим</v>
      </c>
      <c r="E346" s="42"/>
      <c r="F346" s="42">
        <f>F345</f>
        <v>-6.492</v>
      </c>
      <c r="G346" s="42">
        <f>G345+F346</f>
        <v>-1E-3</v>
      </c>
      <c r="H346" s="42">
        <f>H345+G346</f>
        <v>-2.3889999999999998</v>
      </c>
      <c r="I346" s="42">
        <f>I345+H346</f>
        <v>-7.8129999999999997</v>
      </c>
      <c r="J346" s="42">
        <f>J345+I346</f>
        <v>-4.9560000000000004</v>
      </c>
      <c r="K346" s="42">
        <f>K345+J346</f>
        <v>-2E-3</v>
      </c>
      <c r="L346" s="42"/>
      <c r="M346" s="42"/>
      <c r="N346" s="42">
        <f>N345+K346</f>
        <v>-3.8029999999999999</v>
      </c>
      <c r="O346" s="42">
        <f>O345+N346</f>
        <v>-11.497</v>
      </c>
      <c r="P346" s="42">
        <f>P345+O346</f>
        <v>2.69</v>
      </c>
      <c r="Q346" s="42">
        <f>Q345+P346</f>
        <v>20.648</v>
      </c>
      <c r="R346" s="42">
        <f>R345+Q346</f>
        <v>22.54</v>
      </c>
      <c r="S346" s="42">
        <f>S345+R346</f>
        <v>24.516999999999999</v>
      </c>
      <c r="T346" s="42"/>
      <c r="U346" s="42"/>
      <c r="V346" s="42"/>
      <c r="W346" s="42"/>
    </row>
    <row r="347" spans="1:24" s="186" customFormat="1" ht="18" customHeight="1">
      <c r="A347" s="595" t="s">
        <v>35</v>
      </c>
      <c r="B347" s="665" t="s">
        <v>36</v>
      </c>
      <c r="C347" s="665"/>
      <c r="D347" s="178" t="str">
        <f>серпень!D270</f>
        <v>факт. нат.п-ки 2023</v>
      </c>
      <c r="E347" s="179"/>
      <c r="F347" s="180">
        <f t="shared" ref="F347:K349" si="394">F364+F379+F394</f>
        <v>172</v>
      </c>
      <c r="G347" s="180">
        <f t="shared" si="394"/>
        <v>148</v>
      </c>
      <c r="H347" s="180">
        <f t="shared" si="394"/>
        <v>148</v>
      </c>
      <c r="I347" s="180">
        <f t="shared" si="394"/>
        <v>168</v>
      </c>
      <c r="J347" s="180">
        <f t="shared" si="394"/>
        <v>146</v>
      </c>
      <c r="K347" s="180">
        <f t="shared" si="394"/>
        <v>204</v>
      </c>
      <c r="L347" s="215">
        <f>SUM(F347:K347)</f>
        <v>986</v>
      </c>
      <c r="M347" s="215">
        <f>L347/6</f>
        <v>164.3</v>
      </c>
      <c r="N347" s="180">
        <f t="shared" ref="N347:S349" si="395">N364+N379+N394</f>
        <v>130</v>
      </c>
      <c r="O347" s="180">
        <f t="shared" si="395"/>
        <v>100</v>
      </c>
      <c r="P347" s="180">
        <f t="shared" si="395"/>
        <v>132.5</v>
      </c>
      <c r="Q347" s="180">
        <f t="shared" si="395"/>
        <v>131</v>
      </c>
      <c r="R347" s="180">
        <f t="shared" si="395"/>
        <v>176</v>
      </c>
      <c r="S347" s="180">
        <f t="shared" si="395"/>
        <v>254</v>
      </c>
      <c r="T347" s="215">
        <f>SUM(N347:S347)</f>
        <v>923.5</v>
      </c>
      <c r="U347" s="215">
        <f>T347+L347</f>
        <v>1909.5</v>
      </c>
      <c r="V347" s="233">
        <f>V364+V394</f>
        <v>0</v>
      </c>
      <c r="W347" s="184"/>
      <c r="X347" s="185"/>
    </row>
    <row r="348" spans="1:24" s="186" customFormat="1" ht="18" customHeight="1">
      <c r="A348" s="595"/>
      <c r="B348" s="665"/>
      <c r="C348" s="665"/>
      <c r="D348" s="178" t="str">
        <f>серпень!D271</f>
        <v>факт. нат.п-ки 2024</v>
      </c>
      <c r="E348" s="179"/>
      <c r="F348" s="180">
        <f t="shared" si="394"/>
        <v>88</v>
      </c>
      <c r="G348" s="180">
        <f t="shared" si="394"/>
        <v>144.80000000000001</v>
      </c>
      <c r="H348" s="180">
        <f t="shared" si="394"/>
        <v>149.6</v>
      </c>
      <c r="I348" s="180">
        <f t="shared" si="394"/>
        <v>128</v>
      </c>
      <c r="J348" s="180">
        <f t="shared" si="394"/>
        <v>152</v>
      </c>
      <c r="K348" s="180">
        <f t="shared" si="394"/>
        <v>160.9</v>
      </c>
      <c r="L348" s="215">
        <f>SUM(F348:K348)</f>
        <v>823.3</v>
      </c>
      <c r="M348" s="215">
        <f>L348/6</f>
        <v>137.19999999999999</v>
      </c>
      <c r="N348" s="180">
        <f t="shared" si="395"/>
        <v>124</v>
      </c>
      <c r="O348" s="180">
        <f t="shared" si="395"/>
        <v>124</v>
      </c>
      <c r="P348" s="180">
        <f t="shared" si="395"/>
        <v>166</v>
      </c>
      <c r="Q348" s="180">
        <f t="shared" si="395"/>
        <v>200</v>
      </c>
      <c r="R348" s="180">
        <f t="shared" si="395"/>
        <v>526</v>
      </c>
      <c r="S348" s="180">
        <f t="shared" si="395"/>
        <v>790.3</v>
      </c>
      <c r="T348" s="215">
        <f>SUM(N348:S348)</f>
        <v>1930.3</v>
      </c>
      <c r="U348" s="215">
        <f>T348+L348</f>
        <v>2753.6</v>
      </c>
      <c r="V348" s="233">
        <f>V365+V395</f>
        <v>4130</v>
      </c>
      <c r="W348" s="184"/>
      <c r="X348" s="185"/>
    </row>
    <row r="349" spans="1:24" s="186" customFormat="1" ht="18" customHeight="1">
      <c r="A349" s="595"/>
      <c r="B349" s="665"/>
      <c r="C349" s="665"/>
      <c r="D349" s="178" t="str">
        <f>серпень!D272</f>
        <v>факт. нат.п-ки 2025</v>
      </c>
      <c r="E349" s="179"/>
      <c r="F349" s="180">
        <f>F366+F381+F396</f>
        <v>220</v>
      </c>
      <c r="G349" s="180">
        <f t="shared" si="394"/>
        <v>526.79999999999995</v>
      </c>
      <c r="H349" s="180">
        <f t="shared" si="394"/>
        <v>240.9</v>
      </c>
      <c r="I349" s="180">
        <f t="shared" si="394"/>
        <v>219.8</v>
      </c>
      <c r="J349" s="180">
        <f t="shared" si="394"/>
        <v>190.8</v>
      </c>
      <c r="K349" s="180">
        <f t="shared" si="394"/>
        <v>509.2</v>
      </c>
      <c r="L349" s="234">
        <f>SUM(F349:K349)</f>
        <v>1907.5</v>
      </c>
      <c r="M349" s="215">
        <f>L349/6</f>
        <v>317.89999999999998</v>
      </c>
      <c r="N349" s="180">
        <f t="shared" si="395"/>
        <v>327.60000000000002</v>
      </c>
      <c r="O349" s="180">
        <f t="shared" si="395"/>
        <v>90.3</v>
      </c>
      <c r="P349" s="180">
        <f t="shared" si="395"/>
        <v>570</v>
      </c>
      <c r="Q349" s="180">
        <f t="shared" si="395"/>
        <v>700</v>
      </c>
      <c r="R349" s="180">
        <f t="shared" si="395"/>
        <v>756</v>
      </c>
      <c r="S349" s="180">
        <f t="shared" si="395"/>
        <v>790.3</v>
      </c>
      <c r="T349" s="215">
        <f>SUM(N349:S349)</f>
        <v>3234.2</v>
      </c>
      <c r="U349" s="215">
        <f>T349+L349</f>
        <v>5141.7</v>
      </c>
      <c r="V349" s="233">
        <f>V366+V381+V396</f>
        <v>4130</v>
      </c>
      <c r="W349" s="184">
        <f>V349-U349</f>
        <v>-1011.7</v>
      </c>
      <c r="X349" s="185"/>
    </row>
    <row r="350" spans="1:24" s="190" customFormat="1" ht="18" customHeight="1">
      <c r="A350" s="595"/>
      <c r="B350" s="665"/>
      <c r="C350" s="665"/>
      <c r="D350" s="187" t="str">
        <f>серпень!D273</f>
        <v>тариф, грн.</v>
      </c>
      <c r="E350" s="188"/>
      <c r="F350" s="188">
        <f t="shared" ref="F350:S350" si="396">F351/F349*1000</f>
        <v>25.15</v>
      </c>
      <c r="G350" s="188">
        <f t="shared" si="396"/>
        <v>26.16</v>
      </c>
      <c r="H350" s="188">
        <f t="shared" si="396"/>
        <v>26.16</v>
      </c>
      <c r="I350" s="188">
        <f t="shared" si="396"/>
        <v>26.16</v>
      </c>
      <c r="J350" s="188">
        <f t="shared" si="396"/>
        <v>26.152999999999999</v>
      </c>
      <c r="K350" s="188">
        <f t="shared" si="396"/>
        <v>26.158999999999999</v>
      </c>
      <c r="L350" s="188">
        <f t="shared" si="396"/>
        <v>26.042000000000002</v>
      </c>
      <c r="M350" s="188">
        <f t="shared" si="396"/>
        <v>26.042999999999999</v>
      </c>
      <c r="N350" s="188">
        <f t="shared" si="396"/>
        <v>26.16</v>
      </c>
      <c r="O350" s="188">
        <f t="shared" si="396"/>
        <v>26.157</v>
      </c>
      <c r="P350" s="188">
        <f t="shared" si="396"/>
        <v>26.16</v>
      </c>
      <c r="Q350" s="188">
        <f t="shared" si="396"/>
        <v>26.16</v>
      </c>
      <c r="R350" s="188">
        <f t="shared" si="396"/>
        <v>26.16</v>
      </c>
      <c r="S350" s="188">
        <f t="shared" si="396"/>
        <v>26.161000000000001</v>
      </c>
      <c r="T350" s="188">
        <f>T351/T349*1000</f>
        <v>26.16</v>
      </c>
      <c r="U350" s="188">
        <f>U351/U349*1000</f>
        <v>26.116</v>
      </c>
      <c r="V350" s="188">
        <f>V351/V349*1000</f>
        <v>23.658000000000001</v>
      </c>
      <c r="W350" s="189">
        <f>W351/W349*1000</f>
        <v>36.152000000000001</v>
      </c>
      <c r="X350" s="225"/>
    </row>
    <row r="351" spans="1:24" s="172" customFormat="1" ht="18" customHeight="1">
      <c r="A351" s="671"/>
      <c r="B351" s="665"/>
      <c r="C351" s="665"/>
      <c r="D351" s="191" t="str">
        <f>серпень!D274</f>
        <v>сума, тис.грн.</v>
      </c>
      <c r="E351" s="192"/>
      <c r="F351" s="192">
        <f t="shared" ref="F351:K351" si="397">F368+F383+F398</f>
        <v>5.5330000000000004</v>
      </c>
      <c r="G351" s="192">
        <f t="shared" si="397"/>
        <v>13.781000000000001</v>
      </c>
      <c r="H351" s="192">
        <f t="shared" si="397"/>
        <v>6.3019999999999996</v>
      </c>
      <c r="I351" s="192">
        <f t="shared" si="397"/>
        <v>5.75</v>
      </c>
      <c r="J351" s="192">
        <f t="shared" si="397"/>
        <v>4.99</v>
      </c>
      <c r="K351" s="192">
        <f t="shared" si="397"/>
        <v>13.32</v>
      </c>
      <c r="L351" s="194">
        <f t="shared" ref="L351:L356" si="398">SUM(F351:K351)</f>
        <v>49.676000000000002</v>
      </c>
      <c r="M351" s="194">
        <f t="shared" ref="M351:M356" si="399">L351/6</f>
        <v>8.2789999999999999</v>
      </c>
      <c r="N351" s="192">
        <f t="shared" ref="N351:S351" si="400">N368+N383+N398</f>
        <v>8.57</v>
      </c>
      <c r="O351" s="192">
        <f t="shared" si="400"/>
        <v>2.3620000000000001</v>
      </c>
      <c r="P351" s="192">
        <f t="shared" si="400"/>
        <v>14.911</v>
      </c>
      <c r="Q351" s="192">
        <f t="shared" si="400"/>
        <v>18.312000000000001</v>
      </c>
      <c r="R351" s="192">
        <f t="shared" si="400"/>
        <v>19.777000000000001</v>
      </c>
      <c r="S351" s="192">
        <f t="shared" si="400"/>
        <v>20.675000000000001</v>
      </c>
      <c r="T351" s="194">
        <f t="shared" ref="T351:T356" si="401">SUM(N351:S351)</f>
        <v>84.606999999999999</v>
      </c>
      <c r="U351" s="194">
        <f t="shared" ref="U351:U356" si="402">T351+L351</f>
        <v>134.28299999999999</v>
      </c>
      <c r="V351" s="192">
        <f t="shared" ref="V351" si="403">V368+V383+V398</f>
        <v>97.707999999999998</v>
      </c>
      <c r="W351" s="192">
        <f>V351-U351</f>
        <v>-36.575000000000003</v>
      </c>
    </row>
    <row r="352" spans="1:24" s="172" customFormat="1" ht="18" customHeight="1">
      <c r="A352" s="671"/>
      <c r="B352" s="665"/>
      <c r="C352" s="665"/>
      <c r="D352" s="174" t="str">
        <f>серпень!D275</f>
        <v>абоненська плата, тис.грн.</v>
      </c>
      <c r="E352" s="192"/>
      <c r="F352" s="192">
        <f>F383</f>
        <v>0</v>
      </c>
      <c r="G352" s="192">
        <f t="shared" ref="G352:K352" si="404">G383</f>
        <v>0</v>
      </c>
      <c r="H352" s="192">
        <f t="shared" si="404"/>
        <v>0</v>
      </c>
      <c r="I352" s="192">
        <f t="shared" si="404"/>
        <v>0</v>
      </c>
      <c r="J352" s="192">
        <f t="shared" si="404"/>
        <v>0</v>
      </c>
      <c r="K352" s="192">
        <f t="shared" si="404"/>
        <v>0</v>
      </c>
      <c r="L352" s="194">
        <f t="shared" si="398"/>
        <v>0</v>
      </c>
      <c r="M352" s="194">
        <f t="shared" si="399"/>
        <v>0</v>
      </c>
      <c r="N352" s="192">
        <f>N383</f>
        <v>0</v>
      </c>
      <c r="O352" s="192">
        <f t="shared" ref="O352:S352" si="405">O383</f>
        <v>0</v>
      </c>
      <c r="P352" s="192">
        <f t="shared" si="405"/>
        <v>0</v>
      </c>
      <c r="Q352" s="192">
        <f t="shared" si="405"/>
        <v>0</v>
      </c>
      <c r="R352" s="192">
        <f t="shared" si="405"/>
        <v>0</v>
      </c>
      <c r="S352" s="192">
        <f t="shared" si="405"/>
        <v>0</v>
      </c>
      <c r="T352" s="194">
        <f t="shared" si="401"/>
        <v>0</v>
      </c>
      <c r="U352" s="194">
        <f t="shared" si="402"/>
        <v>0</v>
      </c>
      <c r="V352" s="192">
        <f t="shared" ref="V352" si="406">V383</f>
        <v>0</v>
      </c>
      <c r="W352" s="192">
        <f t="shared" ref="W352:W353" si="407">V352-U352</f>
        <v>0</v>
      </c>
    </row>
    <row r="353" spans="1:28" s="172" customFormat="1" ht="18" customHeight="1">
      <c r="A353" s="671"/>
      <c r="B353" s="665"/>
      <c r="C353" s="665"/>
      <c r="D353" s="174" t="str">
        <f>серпень!D276</f>
        <v>разом сума тис. грн+абонплата</v>
      </c>
      <c r="E353" s="192"/>
      <c r="F353" s="192">
        <f>F351+F352</f>
        <v>5.5330000000000004</v>
      </c>
      <c r="G353" s="192">
        <f t="shared" ref="G353:K353" si="408">G351+G352</f>
        <v>13.781000000000001</v>
      </c>
      <c r="H353" s="192">
        <f t="shared" si="408"/>
        <v>6.3019999999999996</v>
      </c>
      <c r="I353" s="192">
        <f t="shared" si="408"/>
        <v>5.75</v>
      </c>
      <c r="J353" s="192">
        <f t="shared" si="408"/>
        <v>4.99</v>
      </c>
      <c r="K353" s="192">
        <f t="shared" si="408"/>
        <v>13.32</v>
      </c>
      <c r="L353" s="194">
        <f t="shared" si="398"/>
        <v>49.676000000000002</v>
      </c>
      <c r="M353" s="194">
        <f t="shared" si="399"/>
        <v>8.2789999999999999</v>
      </c>
      <c r="N353" s="192">
        <f>N351+N352</f>
        <v>8.57</v>
      </c>
      <c r="O353" s="192">
        <f t="shared" ref="O353:S353" si="409">O351+O352</f>
        <v>2.3620000000000001</v>
      </c>
      <c r="P353" s="192">
        <f t="shared" si="409"/>
        <v>14.911</v>
      </c>
      <c r="Q353" s="192">
        <f t="shared" si="409"/>
        <v>18.312000000000001</v>
      </c>
      <c r="R353" s="192">
        <f t="shared" si="409"/>
        <v>19.777000000000001</v>
      </c>
      <c r="S353" s="192">
        <f t="shared" si="409"/>
        <v>20.675000000000001</v>
      </c>
      <c r="T353" s="194">
        <f t="shared" si="401"/>
        <v>84.606999999999999</v>
      </c>
      <c r="U353" s="194">
        <f t="shared" si="402"/>
        <v>134.28299999999999</v>
      </c>
      <c r="V353" s="192">
        <f t="shared" ref="V353" si="410">V351+V352</f>
        <v>97.707999999999998</v>
      </c>
      <c r="W353" s="192">
        <f t="shared" si="407"/>
        <v>-36.575000000000003</v>
      </c>
    </row>
    <row r="354" spans="1:28" s="172" customFormat="1" ht="18" customHeight="1">
      <c r="A354" s="671"/>
      <c r="B354" s="665"/>
      <c r="C354" s="665"/>
      <c r="D354" s="174" t="str">
        <f>серпень!D277</f>
        <v>дотація</v>
      </c>
      <c r="E354" s="192"/>
      <c r="F354" s="192">
        <f t="shared" ref="F354:K356" si="411">F369+F384+F399</f>
        <v>0</v>
      </c>
      <c r="G354" s="192">
        <f t="shared" si="411"/>
        <v>0</v>
      </c>
      <c r="H354" s="192">
        <f t="shared" si="411"/>
        <v>0</v>
      </c>
      <c r="I354" s="192">
        <f t="shared" si="411"/>
        <v>0</v>
      </c>
      <c r="J354" s="192">
        <f t="shared" si="411"/>
        <v>0</v>
      </c>
      <c r="K354" s="192">
        <f t="shared" si="411"/>
        <v>0</v>
      </c>
      <c r="L354" s="194">
        <f t="shared" si="398"/>
        <v>0</v>
      </c>
      <c r="M354" s="194">
        <f t="shared" si="399"/>
        <v>0</v>
      </c>
      <c r="N354" s="192">
        <f t="shared" ref="N354:S356" si="412">N369+N384+N399</f>
        <v>0</v>
      </c>
      <c r="O354" s="192">
        <f t="shared" si="412"/>
        <v>0</v>
      </c>
      <c r="P354" s="192">
        <f t="shared" si="412"/>
        <v>0</v>
      </c>
      <c r="Q354" s="192">
        <f t="shared" si="412"/>
        <v>0</v>
      </c>
      <c r="R354" s="192">
        <f t="shared" si="412"/>
        <v>0</v>
      </c>
      <c r="S354" s="192">
        <f t="shared" si="412"/>
        <v>0</v>
      </c>
      <c r="T354" s="194">
        <f t="shared" si="401"/>
        <v>0</v>
      </c>
      <c r="U354" s="194">
        <f t="shared" si="402"/>
        <v>0</v>
      </c>
      <c r="V354" s="192">
        <f t="shared" ref="V354:V355" si="413">V369+V384+V399</f>
        <v>0</v>
      </c>
      <c r="W354" s="192">
        <f>V354-U354</f>
        <v>0</v>
      </c>
    </row>
    <row r="355" spans="1:28" s="172" customFormat="1" ht="18" customHeight="1">
      <c r="A355" s="671"/>
      <c r="B355" s="665"/>
      <c r="C355" s="665"/>
      <c r="D355" s="174" t="str">
        <f>серпень!D278</f>
        <v>місцевий (план), тис.грн</v>
      </c>
      <c r="E355" s="192"/>
      <c r="F355" s="192">
        <f t="shared" si="411"/>
        <v>10.407999999999999</v>
      </c>
      <c r="G355" s="192">
        <f t="shared" si="411"/>
        <v>6.569</v>
      </c>
      <c r="H355" s="192">
        <f t="shared" si="411"/>
        <v>11.837</v>
      </c>
      <c r="I355" s="192">
        <f t="shared" si="411"/>
        <v>12.651</v>
      </c>
      <c r="J355" s="192">
        <f t="shared" si="411"/>
        <v>4.78</v>
      </c>
      <c r="K355" s="192">
        <f t="shared" si="411"/>
        <v>6.7039999999999997</v>
      </c>
      <c r="L355" s="194">
        <f t="shared" si="398"/>
        <v>52.948999999999998</v>
      </c>
      <c r="M355" s="194">
        <f t="shared" si="399"/>
        <v>8.8249999999999993</v>
      </c>
      <c r="N355" s="192">
        <f t="shared" si="412"/>
        <v>0</v>
      </c>
      <c r="O355" s="192">
        <f t="shared" si="412"/>
        <v>7.5730000000000004</v>
      </c>
      <c r="P355" s="192">
        <f t="shared" si="412"/>
        <v>0.249</v>
      </c>
      <c r="Q355" s="192">
        <f t="shared" si="412"/>
        <v>0.35399999999999998</v>
      </c>
      <c r="R355" s="192">
        <f t="shared" si="412"/>
        <v>17.885000000000002</v>
      </c>
      <c r="S355" s="192">
        <f t="shared" si="412"/>
        <v>18.698</v>
      </c>
      <c r="T355" s="194">
        <f t="shared" si="401"/>
        <v>44.759</v>
      </c>
      <c r="U355" s="194">
        <f t="shared" si="402"/>
        <v>97.707999999999998</v>
      </c>
      <c r="V355" s="192">
        <f t="shared" si="413"/>
        <v>97.707999999999998</v>
      </c>
      <c r="W355" s="192">
        <f>V355-U355</f>
        <v>0</v>
      </c>
    </row>
    <row r="356" spans="1:28" s="186" customFormat="1" ht="18" customHeight="1">
      <c r="A356" s="595"/>
      <c r="B356" s="665"/>
      <c r="C356" s="665"/>
      <c r="D356" s="178" t="str">
        <f>серпень!D279</f>
        <v>касові нат.п-ки 2025</v>
      </c>
      <c r="E356" s="179">
        <f>E371</f>
        <v>0</v>
      </c>
      <c r="F356" s="179">
        <f t="shared" si="411"/>
        <v>220</v>
      </c>
      <c r="G356" s="179">
        <f t="shared" si="411"/>
        <v>570.79999999999995</v>
      </c>
      <c r="H356" s="179">
        <f t="shared" si="411"/>
        <v>391.2</v>
      </c>
      <c r="I356" s="179">
        <f t="shared" si="411"/>
        <v>344</v>
      </c>
      <c r="J356" s="179">
        <f t="shared" si="411"/>
        <v>345.1</v>
      </c>
      <c r="K356" s="179">
        <f t="shared" si="411"/>
        <v>509.2</v>
      </c>
      <c r="L356" s="215">
        <f t="shared" si="398"/>
        <v>2380.3000000000002</v>
      </c>
      <c r="M356" s="215">
        <f t="shared" si="399"/>
        <v>396.7</v>
      </c>
      <c r="N356" s="179">
        <f t="shared" si="412"/>
        <v>-145.30000000000001</v>
      </c>
      <c r="O356" s="179">
        <f t="shared" si="412"/>
        <v>90.3</v>
      </c>
      <c r="P356" s="179">
        <f t="shared" si="412"/>
        <v>570</v>
      </c>
      <c r="Q356" s="179">
        <f t="shared" si="412"/>
        <v>700</v>
      </c>
      <c r="R356" s="179">
        <f t="shared" si="412"/>
        <v>756</v>
      </c>
      <c r="S356" s="179">
        <f t="shared" si="412"/>
        <v>790.3</v>
      </c>
      <c r="T356" s="215">
        <f t="shared" si="401"/>
        <v>2761.3</v>
      </c>
      <c r="U356" s="215">
        <f t="shared" si="402"/>
        <v>5141.6000000000004</v>
      </c>
      <c r="V356" s="179">
        <f>V371+V401</f>
        <v>4130</v>
      </c>
      <c r="W356" s="184">
        <f>V356-U356</f>
        <v>-1011.6</v>
      </c>
      <c r="X356" s="185">
        <f>U349-U356</f>
        <v>0.1</v>
      </c>
    </row>
    <row r="357" spans="1:28" s="190" customFormat="1" ht="18" customHeight="1">
      <c r="A357" s="595"/>
      <c r="B357" s="665"/>
      <c r="C357" s="665"/>
      <c r="D357" s="187" t="str">
        <f>серпень!D280</f>
        <v>тариф, грн.</v>
      </c>
      <c r="E357" s="188" t="e">
        <f t="shared" ref="E357:S357" si="414">E358/E356*1000</f>
        <v>#DIV/0!</v>
      </c>
      <c r="F357" s="188">
        <f t="shared" si="414"/>
        <v>25.15</v>
      </c>
      <c r="G357" s="188">
        <f t="shared" si="414"/>
        <v>26.16</v>
      </c>
      <c r="H357" s="188">
        <f t="shared" si="414"/>
        <v>26.161000000000001</v>
      </c>
      <c r="I357" s="188">
        <f t="shared" si="414"/>
        <v>26.163</v>
      </c>
      <c r="J357" s="188">
        <f t="shared" si="414"/>
        <v>26.158000000000001</v>
      </c>
      <c r="K357" s="188">
        <f t="shared" si="414"/>
        <v>26.158999999999999</v>
      </c>
      <c r="L357" s="188">
        <f t="shared" si="414"/>
        <v>26.065999999999999</v>
      </c>
      <c r="M357" s="188">
        <f t="shared" si="414"/>
        <v>26.068000000000001</v>
      </c>
      <c r="N357" s="188">
        <f t="shared" si="414"/>
        <v>26.16</v>
      </c>
      <c r="O357" s="188">
        <f t="shared" si="414"/>
        <v>26.167999999999999</v>
      </c>
      <c r="P357" s="188">
        <f t="shared" si="414"/>
        <v>26.16</v>
      </c>
      <c r="Q357" s="188">
        <f t="shared" si="414"/>
        <v>26.16</v>
      </c>
      <c r="R357" s="188">
        <f t="shared" si="414"/>
        <v>26.16</v>
      </c>
      <c r="S357" s="188">
        <f t="shared" si="414"/>
        <v>26.161000000000001</v>
      </c>
      <c r="T357" s="188">
        <f>T358/T356*1000</f>
        <v>26.161000000000001</v>
      </c>
      <c r="U357" s="188">
        <f>U358/U356*1000</f>
        <v>26.117000000000001</v>
      </c>
      <c r="V357" s="188">
        <f>V358/V356*1000</f>
        <v>23.658000000000001</v>
      </c>
      <c r="W357" s="189">
        <f>W358/W356*1000</f>
        <v>36.155999999999999</v>
      </c>
      <c r="X357" s="225"/>
    </row>
    <row r="358" spans="1:28" s="213" customFormat="1" ht="18" customHeight="1">
      <c r="A358" s="595"/>
      <c r="B358" s="665"/>
      <c r="C358" s="665"/>
      <c r="D358" s="198" t="str">
        <f>серпень!D281</f>
        <v>касові видатки, тис.грн.</v>
      </c>
      <c r="E358" s="220">
        <f>E373+E403</f>
        <v>0</v>
      </c>
      <c r="F358" s="199">
        <f t="shared" ref="F358:K360" si="415">F373+F388+F403</f>
        <v>5.5330000000000004</v>
      </c>
      <c r="G358" s="199">
        <f t="shared" si="415"/>
        <v>14.932</v>
      </c>
      <c r="H358" s="199">
        <f t="shared" si="415"/>
        <v>10.234</v>
      </c>
      <c r="I358" s="199">
        <f t="shared" si="415"/>
        <v>9</v>
      </c>
      <c r="J358" s="199">
        <f t="shared" si="415"/>
        <v>9.0269999999999992</v>
      </c>
      <c r="K358" s="199">
        <f t="shared" si="415"/>
        <v>13.32</v>
      </c>
      <c r="L358" s="199">
        <f>SUM(F358:K358)</f>
        <v>62.045999999999999</v>
      </c>
      <c r="M358" s="199">
        <f>L358/6</f>
        <v>10.340999999999999</v>
      </c>
      <c r="N358" s="199">
        <f t="shared" ref="N358:S360" si="416">N373+N388+N403</f>
        <v>-3.8010000000000002</v>
      </c>
      <c r="O358" s="199">
        <f t="shared" si="416"/>
        <v>2.363</v>
      </c>
      <c r="P358" s="199">
        <f t="shared" si="416"/>
        <v>14.911</v>
      </c>
      <c r="Q358" s="199">
        <f t="shared" si="416"/>
        <v>18.312000000000001</v>
      </c>
      <c r="R358" s="199">
        <f t="shared" si="416"/>
        <v>19.777000000000001</v>
      </c>
      <c r="S358" s="199">
        <f t="shared" si="416"/>
        <v>20.675000000000001</v>
      </c>
      <c r="T358" s="199">
        <f>SUM(N358:S358)</f>
        <v>72.236999999999995</v>
      </c>
      <c r="U358" s="199">
        <f>T358+L358</f>
        <v>134.28299999999999</v>
      </c>
      <c r="V358" s="199">
        <f>V373+V403</f>
        <v>97.707999999999998</v>
      </c>
      <c r="W358" s="221">
        <f>V358-U358</f>
        <v>-36.575000000000003</v>
      </c>
      <c r="X358" s="176">
        <f>U351-U358</f>
        <v>0</v>
      </c>
    </row>
    <row r="359" spans="1:28" s="213" customFormat="1" ht="18" customHeight="1">
      <c r="A359" s="595"/>
      <c r="B359" s="665"/>
      <c r="C359" s="665"/>
      <c r="D359" s="201" t="str">
        <f>серпень!D282</f>
        <v>дотація</v>
      </c>
      <c r="E359" s="220"/>
      <c r="F359" s="199">
        <f t="shared" si="415"/>
        <v>0</v>
      </c>
      <c r="G359" s="199">
        <f t="shared" si="415"/>
        <v>0</v>
      </c>
      <c r="H359" s="199">
        <f t="shared" si="415"/>
        <v>0</v>
      </c>
      <c r="I359" s="199">
        <f t="shared" si="415"/>
        <v>0</v>
      </c>
      <c r="J359" s="199">
        <f t="shared" si="415"/>
        <v>0</v>
      </c>
      <c r="K359" s="199">
        <f t="shared" si="415"/>
        <v>0</v>
      </c>
      <c r="L359" s="199">
        <f>SUM(F359:K359)</f>
        <v>0</v>
      </c>
      <c r="M359" s="199">
        <f>L359/6</f>
        <v>0</v>
      </c>
      <c r="N359" s="199">
        <f t="shared" si="416"/>
        <v>0</v>
      </c>
      <c r="O359" s="199">
        <f t="shared" si="416"/>
        <v>0</v>
      </c>
      <c r="P359" s="199">
        <f t="shared" si="416"/>
        <v>0</v>
      </c>
      <c r="Q359" s="199">
        <f t="shared" si="416"/>
        <v>0</v>
      </c>
      <c r="R359" s="199">
        <f t="shared" si="416"/>
        <v>0</v>
      </c>
      <c r="S359" s="199">
        <f t="shared" si="416"/>
        <v>0</v>
      </c>
      <c r="T359" s="199">
        <f>SUM(N359:S359)</f>
        <v>0</v>
      </c>
      <c r="U359" s="199">
        <f>T359+L359</f>
        <v>0</v>
      </c>
      <c r="V359" s="199">
        <f>V374+V404</f>
        <v>0</v>
      </c>
      <c r="W359" s="221">
        <f>V359-U359</f>
        <v>0</v>
      </c>
      <c r="X359" s="176">
        <f>U354-U359</f>
        <v>0</v>
      </c>
    </row>
    <row r="360" spans="1:28" s="213" customFormat="1" ht="18" customHeight="1">
      <c r="A360" s="595"/>
      <c r="B360" s="665"/>
      <c r="C360" s="665"/>
      <c r="D360" s="201" t="str">
        <f>серпень!D283</f>
        <v xml:space="preserve">місцевий </v>
      </c>
      <c r="E360" s="220"/>
      <c r="F360" s="199">
        <f t="shared" si="415"/>
        <v>5.5330000000000004</v>
      </c>
      <c r="G360" s="199">
        <f t="shared" si="415"/>
        <v>14.932</v>
      </c>
      <c r="H360" s="199">
        <f t="shared" si="415"/>
        <v>10.234</v>
      </c>
      <c r="I360" s="199">
        <f t="shared" si="415"/>
        <v>9</v>
      </c>
      <c r="J360" s="199">
        <f t="shared" si="415"/>
        <v>9.0269999999999992</v>
      </c>
      <c r="K360" s="199">
        <f t="shared" si="415"/>
        <v>13.32</v>
      </c>
      <c r="L360" s="199">
        <f>SUM(F360:K360)</f>
        <v>62.045999999999999</v>
      </c>
      <c r="M360" s="199">
        <f>L360/6</f>
        <v>10.340999999999999</v>
      </c>
      <c r="N360" s="199">
        <f t="shared" si="416"/>
        <v>-3.8010000000000002</v>
      </c>
      <c r="O360" s="199">
        <f t="shared" si="416"/>
        <v>2.363</v>
      </c>
      <c r="P360" s="199">
        <f t="shared" si="416"/>
        <v>14.911</v>
      </c>
      <c r="Q360" s="199">
        <f t="shared" si="416"/>
        <v>18.312000000000001</v>
      </c>
      <c r="R360" s="199">
        <f t="shared" si="416"/>
        <v>19.777000000000001</v>
      </c>
      <c r="S360" s="199">
        <f t="shared" si="416"/>
        <v>20.675000000000001</v>
      </c>
      <c r="T360" s="199">
        <f>SUM(N360:S360)</f>
        <v>72.236999999999995</v>
      </c>
      <c r="U360" s="199">
        <f>T360+L360</f>
        <v>134.28299999999999</v>
      </c>
      <c r="V360" s="199">
        <f>V375+V405</f>
        <v>97.707999999999998</v>
      </c>
      <c r="W360" s="221">
        <f>V360-U360</f>
        <v>-36.575000000000003</v>
      </c>
      <c r="X360" s="176">
        <f>U355-U360</f>
        <v>-36.575000000000003</v>
      </c>
    </row>
    <row r="361" spans="1:28" s="205" customFormat="1" ht="18" customHeight="1">
      <c r="A361" s="595"/>
      <c r="B361" s="665"/>
      <c r="C361" s="665"/>
      <c r="D361" s="202" t="str">
        <f>серпень!D284</f>
        <v>план</v>
      </c>
      <c r="E361" s="203"/>
      <c r="F361" s="203">
        <f t="shared" ref="F361:K361" si="417">F355</f>
        <v>10.407999999999999</v>
      </c>
      <c r="G361" s="203">
        <f t="shared" si="417"/>
        <v>6.569</v>
      </c>
      <c r="H361" s="203">
        <f t="shared" si="417"/>
        <v>11.837</v>
      </c>
      <c r="I361" s="203">
        <f t="shared" si="417"/>
        <v>12.651</v>
      </c>
      <c r="J361" s="203">
        <f t="shared" si="417"/>
        <v>4.78</v>
      </c>
      <c r="K361" s="203">
        <f t="shared" si="417"/>
        <v>6.7039999999999997</v>
      </c>
      <c r="L361" s="203">
        <f>SUM(F361:K361)</f>
        <v>52.948999999999998</v>
      </c>
      <c r="M361" s="203">
        <f>L361/6</f>
        <v>8.8249999999999993</v>
      </c>
      <c r="N361" s="203">
        <f t="shared" ref="N361:S361" si="418">N376+N406</f>
        <v>0</v>
      </c>
      <c r="O361" s="203">
        <f t="shared" si="418"/>
        <v>7.5730000000000004</v>
      </c>
      <c r="P361" s="203">
        <f t="shared" si="418"/>
        <v>0.249</v>
      </c>
      <c r="Q361" s="203">
        <f t="shared" si="418"/>
        <v>0.35399999999999998</v>
      </c>
      <c r="R361" s="203">
        <f t="shared" si="418"/>
        <v>17.885000000000002</v>
      </c>
      <c r="S361" s="203">
        <f t="shared" si="418"/>
        <v>18.698</v>
      </c>
      <c r="T361" s="203">
        <f>SUM(N361:S361)</f>
        <v>44.759</v>
      </c>
      <c r="U361" s="203">
        <f>T361+L361</f>
        <v>97.707999999999998</v>
      </c>
      <c r="V361" s="203">
        <f>V355+V354</f>
        <v>97.707999999999998</v>
      </c>
      <c r="W361" s="203">
        <f>V361-U361</f>
        <v>0</v>
      </c>
    </row>
    <row r="362" spans="1:28" s="205" customFormat="1" ht="18" customHeight="1">
      <c r="A362" s="595"/>
      <c r="B362" s="665"/>
      <c r="C362" s="665"/>
      <c r="D362" s="202" t="str">
        <f>серпень!D285</f>
        <v xml:space="preserve">відхилення </v>
      </c>
      <c r="E362" s="203"/>
      <c r="F362" s="203">
        <f t="shared" ref="F362:K362" si="419">F358-F361</f>
        <v>-4.875</v>
      </c>
      <c r="G362" s="203">
        <f t="shared" si="419"/>
        <v>8.3629999999999995</v>
      </c>
      <c r="H362" s="203">
        <f t="shared" si="419"/>
        <v>-1.603</v>
      </c>
      <c r="I362" s="203">
        <f t="shared" si="419"/>
        <v>-3.6509999999999998</v>
      </c>
      <c r="J362" s="203">
        <f t="shared" si="419"/>
        <v>4.2469999999999999</v>
      </c>
      <c r="K362" s="203">
        <f t="shared" si="419"/>
        <v>6.6159999999999997</v>
      </c>
      <c r="L362" s="203"/>
      <c r="M362" s="203"/>
      <c r="N362" s="203">
        <f t="shared" ref="N362:S362" si="420">N358-N361</f>
        <v>-3.8010000000000002</v>
      </c>
      <c r="O362" s="203">
        <f t="shared" si="420"/>
        <v>-5.21</v>
      </c>
      <c r="P362" s="203">
        <f t="shared" si="420"/>
        <v>14.662000000000001</v>
      </c>
      <c r="Q362" s="203">
        <f t="shared" si="420"/>
        <v>17.957999999999998</v>
      </c>
      <c r="R362" s="203">
        <f t="shared" si="420"/>
        <v>1.8919999999999999</v>
      </c>
      <c r="S362" s="203">
        <f t="shared" si="420"/>
        <v>1.9770000000000001</v>
      </c>
      <c r="T362" s="203"/>
      <c r="U362" s="203"/>
      <c r="V362" s="203"/>
      <c r="W362" s="203"/>
    </row>
    <row r="363" spans="1:28" s="205" customFormat="1" ht="23.5" customHeight="1">
      <c r="A363" s="595"/>
      <c r="B363" s="665"/>
      <c r="C363" s="665"/>
      <c r="D363" s="202" t="str">
        <f>серпень!D286</f>
        <v>відхилення з наростаючим</v>
      </c>
      <c r="E363" s="203"/>
      <c r="F363" s="203">
        <f>F362</f>
        <v>-4.875</v>
      </c>
      <c r="G363" s="203">
        <f>G362+F363</f>
        <v>3.488</v>
      </c>
      <c r="H363" s="203">
        <f>H362+G363</f>
        <v>1.885</v>
      </c>
      <c r="I363" s="203">
        <f>I362+H363</f>
        <v>-1.766</v>
      </c>
      <c r="J363" s="203">
        <f>J362+I363</f>
        <v>2.4809999999999999</v>
      </c>
      <c r="K363" s="203">
        <f>K362+J363</f>
        <v>9.0969999999999995</v>
      </c>
      <c r="L363" s="203"/>
      <c r="M363" s="203"/>
      <c r="N363" s="203">
        <f>N362+K363</f>
        <v>5.2960000000000003</v>
      </c>
      <c r="O363" s="203">
        <f>O362+N363</f>
        <v>8.5999999999999993E-2</v>
      </c>
      <c r="P363" s="203">
        <f>P362+O363</f>
        <v>14.747999999999999</v>
      </c>
      <c r="Q363" s="203">
        <f>Q362+P363</f>
        <v>32.706000000000003</v>
      </c>
      <c r="R363" s="203">
        <f>R362+Q363</f>
        <v>34.597999999999999</v>
      </c>
      <c r="S363" s="203">
        <f>S362+R363</f>
        <v>36.575000000000003</v>
      </c>
      <c r="T363" s="203"/>
      <c r="U363" s="203"/>
      <c r="V363" s="203"/>
      <c r="W363" s="203"/>
    </row>
    <row r="364" spans="1:28" s="10" customFormat="1" ht="18" customHeight="1">
      <c r="A364" s="595"/>
      <c r="B364" s="580" t="s">
        <v>37</v>
      </c>
      <c r="C364" s="575"/>
      <c r="D364" s="178" t="str">
        <f>серпень!D287</f>
        <v>факт. нат.п-ки 2023</v>
      </c>
      <c r="E364" s="11"/>
      <c r="F364" s="82">
        <v>172</v>
      </c>
      <c r="G364" s="82">
        <v>148</v>
      </c>
      <c r="H364" s="82">
        <v>148</v>
      </c>
      <c r="I364" s="82">
        <v>168</v>
      </c>
      <c r="J364" s="82">
        <v>146</v>
      </c>
      <c r="K364" s="82">
        <v>204</v>
      </c>
      <c r="L364" s="125">
        <f>SUM(F364:K364)</f>
        <v>986</v>
      </c>
      <c r="M364" s="125">
        <f>L364/6</f>
        <v>164.333</v>
      </c>
      <c r="N364" s="349">
        <v>130</v>
      </c>
      <c r="O364" s="349">
        <v>100</v>
      </c>
      <c r="P364" s="349">
        <v>119.5</v>
      </c>
      <c r="Q364" s="349">
        <v>108</v>
      </c>
      <c r="R364" s="349">
        <v>126</v>
      </c>
      <c r="S364" s="349">
        <v>204</v>
      </c>
      <c r="T364" s="125">
        <f>SUM(N364:S364)</f>
        <v>787.5</v>
      </c>
      <c r="U364" s="125">
        <f>T364+L364</f>
        <v>1773.5</v>
      </c>
      <c r="V364" s="505"/>
      <c r="W364" s="505"/>
      <c r="X364" s="36"/>
    </row>
    <row r="365" spans="1:28" s="48" customFormat="1" ht="18" customHeight="1">
      <c r="A365" s="595"/>
      <c r="B365" s="576"/>
      <c r="C365" s="577"/>
      <c r="D365" s="178" t="str">
        <f>серпень!D288</f>
        <v>факт. нат.п-ки 2024</v>
      </c>
      <c r="E365" s="11"/>
      <c r="F365" s="82">
        <v>88</v>
      </c>
      <c r="G365" s="82">
        <v>144.80000000000001</v>
      </c>
      <c r="H365" s="82">
        <v>149.6</v>
      </c>
      <c r="I365" s="82">
        <v>128</v>
      </c>
      <c r="J365" s="82">
        <v>152</v>
      </c>
      <c r="K365" s="82">
        <v>160.9</v>
      </c>
      <c r="L365" s="125">
        <f>SUM(F365:K365)</f>
        <v>823.3</v>
      </c>
      <c r="M365" s="125">
        <f>L365/6</f>
        <v>137.21700000000001</v>
      </c>
      <c r="N365" s="349">
        <v>124</v>
      </c>
      <c r="O365" s="349">
        <v>124</v>
      </c>
      <c r="P365" s="349">
        <v>166</v>
      </c>
      <c r="Q365" s="349">
        <v>200</v>
      </c>
      <c r="R365" s="349">
        <v>526</v>
      </c>
      <c r="S365" s="349">
        <v>790.3</v>
      </c>
      <c r="T365" s="125">
        <f>SUM(N365:S365)</f>
        <v>1930.3</v>
      </c>
      <c r="U365" s="125">
        <f>T365+L365</f>
        <v>2753.6</v>
      </c>
      <c r="V365" s="505">
        <v>4130</v>
      </c>
      <c r="W365" s="505"/>
      <c r="X365" s="47"/>
    </row>
    <row r="366" spans="1:28" s="10" customFormat="1" ht="18" customHeight="1">
      <c r="A366" s="595"/>
      <c r="B366" s="576"/>
      <c r="C366" s="577"/>
      <c r="D366" s="178" t="str">
        <f>серпень!D289</f>
        <v>факт. нат.п-ки 2025</v>
      </c>
      <c r="E366" s="11"/>
      <c r="F366" s="82">
        <v>220</v>
      </c>
      <c r="G366" s="569">
        <f>570.8-44</f>
        <v>526.79999999999995</v>
      </c>
      <c r="H366" s="569">
        <f>391.2-150.32</f>
        <v>240.88</v>
      </c>
      <c r="I366" s="569">
        <f>344.046-124.24</f>
        <v>219.80600000000001</v>
      </c>
      <c r="J366" s="569">
        <f>345.086-154.32</f>
        <v>190.76599999999999</v>
      </c>
      <c r="K366" s="82">
        <f>509.18</f>
        <v>509.18</v>
      </c>
      <c r="L366" s="125">
        <f>SUM(F366:K366)</f>
        <v>1907.432</v>
      </c>
      <c r="M366" s="125">
        <f>L366/6</f>
        <v>317.90499999999997</v>
      </c>
      <c r="N366" s="349">
        <v>327.60000000000002</v>
      </c>
      <c r="O366" s="349">
        <v>90.328999999999994</v>
      </c>
      <c r="P366" s="349">
        <v>570</v>
      </c>
      <c r="Q366" s="349">
        <v>700</v>
      </c>
      <c r="R366" s="349">
        <v>756</v>
      </c>
      <c r="S366" s="349">
        <v>790.3</v>
      </c>
      <c r="T366" s="125">
        <f>SUM(N366:S366)</f>
        <v>3234.2289999999998</v>
      </c>
      <c r="U366" s="125">
        <f>T366+L366</f>
        <v>5141.6610000000001</v>
      </c>
      <c r="V366" s="349">
        <v>4130</v>
      </c>
      <c r="W366" s="505">
        <f>V366-U366</f>
        <v>-1011.6609999999999</v>
      </c>
      <c r="X366" s="36"/>
      <c r="Y366" s="3"/>
      <c r="Z366" s="3"/>
      <c r="AA366" s="3"/>
      <c r="AB366" s="3"/>
    </row>
    <row r="367" spans="1:28" s="114" customFormat="1" ht="18" customHeight="1">
      <c r="A367" s="595"/>
      <c r="B367" s="576"/>
      <c r="C367" s="577"/>
      <c r="D367" s="187" t="str">
        <f>серпень!D290</f>
        <v>тариф, грн.</v>
      </c>
      <c r="E367" s="49" t="e">
        <f t="shared" ref="E367:K367" si="421">E368/E366*1000</f>
        <v>#DIV/0!</v>
      </c>
      <c r="F367" s="49">
        <f t="shared" si="421"/>
        <v>25.15</v>
      </c>
      <c r="G367" s="49">
        <f t="shared" si="421"/>
        <v>26.16</v>
      </c>
      <c r="H367" s="49">
        <f t="shared" si="421"/>
        <v>26.161999999999999</v>
      </c>
      <c r="I367" s="49">
        <f t="shared" si="421"/>
        <v>26.158999999999999</v>
      </c>
      <c r="J367" s="49">
        <f t="shared" si="421"/>
        <v>26.158000000000001</v>
      </c>
      <c r="K367" s="49">
        <f t="shared" si="421"/>
        <v>26.16</v>
      </c>
      <c r="L367" s="68">
        <f>L368/L366*1000</f>
        <v>26.042999999999999</v>
      </c>
      <c r="M367" s="68">
        <f>M368/M366*1000</f>
        <v>26.042000000000002</v>
      </c>
      <c r="N367" s="68">
        <f>N368/N366*1000</f>
        <v>26.16</v>
      </c>
      <c r="O367" s="68">
        <v>26.16</v>
      </c>
      <c r="P367" s="68">
        <v>26.16</v>
      </c>
      <c r="Q367" s="68">
        <v>26.16</v>
      </c>
      <c r="R367" s="49">
        <v>26.16</v>
      </c>
      <c r="S367" s="68">
        <v>26.16</v>
      </c>
      <c r="T367" s="68">
        <f>T368/T366*1000</f>
        <v>26.16</v>
      </c>
      <c r="U367" s="68">
        <f>U368/U366*1000</f>
        <v>26.117000000000001</v>
      </c>
      <c r="V367" s="68">
        <f>V368/V366*1000</f>
        <v>23.658000000000001</v>
      </c>
      <c r="W367" s="14">
        <f>W368/W366*1000</f>
        <v>36.152999999999999</v>
      </c>
      <c r="X367" s="36"/>
      <c r="Y367" s="3"/>
      <c r="Z367" s="3"/>
      <c r="AA367" s="3"/>
      <c r="AB367" s="3"/>
    </row>
    <row r="368" spans="1:28" s="114" customFormat="1" ht="18" customHeight="1">
      <c r="A368" s="595"/>
      <c r="B368" s="576"/>
      <c r="C368" s="577"/>
      <c r="D368" s="191" t="str">
        <f>серпень!D291</f>
        <v>сума, тис.грн.</v>
      </c>
      <c r="E368" s="52"/>
      <c r="F368" s="52">
        <v>5.5330000000000004</v>
      </c>
      <c r="G368" s="570">
        <f>14.932-1.15104</f>
        <v>13.781000000000001</v>
      </c>
      <c r="H368" s="570">
        <f>10.234-3.93237</f>
        <v>6.3019999999999996</v>
      </c>
      <c r="I368" s="570">
        <f>9-3.25012</f>
        <v>5.75</v>
      </c>
      <c r="J368" s="570">
        <f>9.027-4.03701</f>
        <v>4.99</v>
      </c>
      <c r="K368" s="52">
        <f>13.32</f>
        <v>13.32</v>
      </c>
      <c r="L368" s="69">
        <f>SUM(F368:K368)</f>
        <v>49.676000000000002</v>
      </c>
      <c r="M368" s="69">
        <f>L368/6</f>
        <v>8.2789999999999999</v>
      </c>
      <c r="N368" s="52">
        <v>8.57</v>
      </c>
      <c r="O368" s="52">
        <f>O366*O367/1000-0.001</f>
        <v>2.3620000000000001</v>
      </c>
      <c r="P368" s="52">
        <f t="shared" ref="P368" si="422">P366*P367/1000</f>
        <v>14.911</v>
      </c>
      <c r="Q368" s="52">
        <f t="shared" ref="Q368" si="423">Q366*Q367/1000</f>
        <v>18.312000000000001</v>
      </c>
      <c r="R368" s="52">
        <f t="shared" ref="R368" si="424">R366*R367/1000</f>
        <v>19.777000000000001</v>
      </c>
      <c r="S368" s="52">
        <f>S366*S367/1000+0.001</f>
        <v>20.675000000000001</v>
      </c>
      <c r="T368" s="69">
        <f>SUM(N368:S368)</f>
        <v>84.606999999999999</v>
      </c>
      <c r="U368" s="69">
        <f>T368+L368</f>
        <v>134.28299999999999</v>
      </c>
      <c r="V368" s="70">
        <f>V370+V369</f>
        <v>97.707999999999998</v>
      </c>
      <c r="W368" s="53">
        <f>V368-U368</f>
        <v>-36.575000000000003</v>
      </c>
      <c r="X368" s="113"/>
    </row>
    <row r="369" spans="1:28" s="114" customFormat="1" ht="18" customHeight="1">
      <c r="A369" s="595"/>
      <c r="B369" s="576"/>
      <c r="C369" s="577"/>
      <c r="D369" s="174" t="str">
        <f>серпень!D292</f>
        <v>дотація</v>
      </c>
      <c r="E369" s="56"/>
      <c r="F369" s="52"/>
      <c r="G369" s="52"/>
      <c r="H369" s="52"/>
      <c r="I369" s="52"/>
      <c r="J369" s="52"/>
      <c r="K369" s="52"/>
      <c r="L369" s="69">
        <f>SUM(F369:K369)</f>
        <v>0</v>
      </c>
      <c r="M369" s="69">
        <f>L369/6</f>
        <v>0</v>
      </c>
      <c r="N369" s="52"/>
      <c r="O369" s="52"/>
      <c r="P369" s="52"/>
      <c r="Q369" s="52"/>
      <c r="R369" s="52"/>
      <c r="S369" s="52"/>
      <c r="T369" s="69">
        <f>SUM(N369:S369)</f>
        <v>0</v>
      </c>
      <c r="U369" s="69">
        <f>T369+L369</f>
        <v>0</v>
      </c>
      <c r="V369" s="70">
        <v>0</v>
      </c>
      <c r="W369" s="53">
        <f>V369-U369</f>
        <v>0</v>
      </c>
      <c r="X369" s="113"/>
    </row>
    <row r="370" spans="1:28" s="114" customFormat="1" ht="18" customHeight="1">
      <c r="A370" s="595"/>
      <c r="B370" s="576"/>
      <c r="C370" s="577"/>
      <c r="D370" s="174" t="str">
        <f>серпень!D293</f>
        <v>місцевий (план), тис.грн</v>
      </c>
      <c r="E370" s="56"/>
      <c r="F370" s="52">
        <f>4.069+6.339</f>
        <v>10.407999999999999</v>
      </c>
      <c r="G370" s="52">
        <f>3.501+3.068</f>
        <v>6.569</v>
      </c>
      <c r="H370" s="52">
        <f>3.539+5.931+2.367</f>
        <v>11.837</v>
      </c>
      <c r="I370" s="52">
        <f>3.975-3.238+7.305+4.609</f>
        <v>12.651</v>
      </c>
      <c r="J370" s="52">
        <f>3.596-3.237+4.421</f>
        <v>4.78</v>
      </c>
      <c r="K370" s="52">
        <f>4.826-2.932+4.81</f>
        <v>6.7039999999999997</v>
      </c>
      <c r="L370" s="69">
        <f>SUM(F370:K370)</f>
        <v>52.948999999999998</v>
      </c>
      <c r="M370" s="69">
        <f>L370/6</f>
        <v>8.8249999999999993</v>
      </c>
      <c r="N370" s="52">
        <f>3.076-3.076</f>
        <v>0</v>
      </c>
      <c r="O370" s="52">
        <f>4.497+3.076</f>
        <v>7.5730000000000004</v>
      </c>
      <c r="P370" s="52">
        <f>13.485-5.931-7.305</f>
        <v>0.249</v>
      </c>
      <c r="Q370" s="52">
        <f>16.561-9.03-7.177</f>
        <v>0.35399999999999998</v>
      </c>
      <c r="R370" s="52">
        <v>17.885000000000002</v>
      </c>
      <c r="S370" s="52">
        <v>18.698</v>
      </c>
      <c r="T370" s="69">
        <f>SUM(N370:S370)</f>
        <v>44.759</v>
      </c>
      <c r="U370" s="69">
        <f>T370+L370</f>
        <v>97.707999999999998</v>
      </c>
      <c r="V370" s="70">
        <v>97.707999999999998</v>
      </c>
      <c r="W370" s="53">
        <f>V370-U370</f>
        <v>0</v>
      </c>
      <c r="X370" s="113"/>
    </row>
    <row r="371" spans="1:28" s="3" customFormat="1" ht="18" customHeight="1">
      <c r="A371" s="595"/>
      <c r="B371" s="576"/>
      <c r="C371" s="577"/>
      <c r="D371" s="178" t="str">
        <f>серпень!D294</f>
        <v>касові нат.п-ки 2025</v>
      </c>
      <c r="E371" s="11"/>
      <c r="F371" s="12">
        <v>220</v>
      </c>
      <c r="G371" s="12">
        <v>570.79999999999995</v>
      </c>
      <c r="H371" s="12">
        <v>391.2</v>
      </c>
      <c r="I371" s="82">
        <v>344.04599999999999</v>
      </c>
      <c r="J371" s="82">
        <v>345.08600000000001</v>
      </c>
      <c r="K371" s="82">
        <v>509.18</v>
      </c>
      <c r="L371" s="465">
        <f>SUM(F371:K371)</f>
        <v>2380.3119999999999</v>
      </c>
      <c r="M371" s="465">
        <f>L371/6</f>
        <v>396.71899999999999</v>
      </c>
      <c r="N371" s="349">
        <f>-3800/26.16</f>
        <v>-145.26</v>
      </c>
      <c r="O371" s="349">
        <f>2363/26.16</f>
        <v>90.328999999999994</v>
      </c>
      <c r="P371" s="349">
        <v>570</v>
      </c>
      <c r="Q371" s="349">
        <v>700</v>
      </c>
      <c r="R371" s="349">
        <v>756</v>
      </c>
      <c r="S371" s="349">
        <v>790.3</v>
      </c>
      <c r="T371" s="465">
        <f>SUM(N371:S371)</f>
        <v>2761.3690000000001</v>
      </c>
      <c r="U371" s="465">
        <f>T371+L371</f>
        <v>5141.6809999999996</v>
      </c>
      <c r="V371" s="11">
        <f>V366</f>
        <v>4130</v>
      </c>
      <c r="W371" s="38">
        <f>V371-U371</f>
        <v>-1011.7</v>
      </c>
      <c r="X371" s="315">
        <f>U366-U371</f>
        <v>0</v>
      </c>
    </row>
    <row r="372" spans="1:28" s="73" customFormat="1" ht="18" customHeight="1">
      <c r="A372" s="595"/>
      <c r="B372" s="576"/>
      <c r="C372" s="577"/>
      <c r="D372" s="187" t="str">
        <f>серпень!D295</f>
        <v>тариф, грн.</v>
      </c>
      <c r="E372" s="49" t="e">
        <f t="shared" ref="E372:K372" si="425">E373/E371*1000</f>
        <v>#DIV/0!</v>
      </c>
      <c r="F372" s="49">
        <f t="shared" si="425"/>
        <v>25.15</v>
      </c>
      <c r="G372" s="49">
        <f t="shared" si="425"/>
        <v>26.16</v>
      </c>
      <c r="H372" s="49">
        <f t="shared" si="425"/>
        <v>26.161000000000001</v>
      </c>
      <c r="I372" s="49">
        <f t="shared" si="425"/>
        <v>26.158999999999999</v>
      </c>
      <c r="J372" s="49">
        <f t="shared" si="425"/>
        <v>26.158999999999999</v>
      </c>
      <c r="K372" s="49">
        <f t="shared" si="425"/>
        <v>26.16</v>
      </c>
      <c r="L372" s="68">
        <f t="shared" ref="L372:O372" si="426">L373/L371*1000</f>
        <v>26.065999999999999</v>
      </c>
      <c r="M372" s="68">
        <f t="shared" si="426"/>
        <v>26.065999999999999</v>
      </c>
      <c r="N372" s="68">
        <f t="shared" si="426"/>
        <v>26.167000000000002</v>
      </c>
      <c r="O372" s="68">
        <f t="shared" si="426"/>
        <v>26.16</v>
      </c>
      <c r="P372" s="68">
        <v>26.16</v>
      </c>
      <c r="Q372" s="68">
        <v>26.16</v>
      </c>
      <c r="R372" s="68">
        <v>26.16</v>
      </c>
      <c r="S372" s="49">
        <v>26.16</v>
      </c>
      <c r="T372" s="68">
        <f>T373/T371*1000</f>
        <v>26.16</v>
      </c>
      <c r="U372" s="68">
        <f>U373/U371*1000</f>
        <v>26.117000000000001</v>
      </c>
      <c r="V372" s="68">
        <f>V373/V371*1000</f>
        <v>23.658000000000001</v>
      </c>
      <c r="W372" s="14">
        <f>W373/W371*1000</f>
        <v>36.152000000000001</v>
      </c>
      <c r="X372" s="59"/>
      <c r="Y372" s="36"/>
      <c r="Z372" s="36"/>
      <c r="AA372" s="36"/>
      <c r="AB372" s="36"/>
    </row>
    <row r="373" spans="1:28" s="126" customFormat="1" ht="18" customHeight="1">
      <c r="A373" s="595"/>
      <c r="B373" s="576"/>
      <c r="C373" s="577"/>
      <c r="D373" s="198" t="str">
        <f>серпень!D296</f>
        <v>касові видатки, тис.грн.</v>
      </c>
      <c r="E373" s="71"/>
      <c r="F373" s="61">
        <v>5.5330000000000004</v>
      </c>
      <c r="G373" s="61">
        <v>14.932</v>
      </c>
      <c r="H373" s="61">
        <v>10.234</v>
      </c>
      <c r="I373" s="61">
        <v>9</v>
      </c>
      <c r="J373" s="61">
        <v>9.0269999999999992</v>
      </c>
      <c r="K373" s="61">
        <f>13.111+0.209</f>
        <v>13.32</v>
      </c>
      <c r="L373" s="61">
        <f>SUM(F373:K373)</f>
        <v>62.045999999999999</v>
      </c>
      <c r="M373" s="61">
        <f>L373/6</f>
        <v>10.340999999999999</v>
      </c>
      <c r="N373" s="61">
        <v>-3.8010000000000002</v>
      </c>
      <c r="O373" s="61">
        <v>2.363</v>
      </c>
      <c r="P373" s="61">
        <f t="shared" ref="P373" si="427">P371*P372/1000</f>
        <v>14.911</v>
      </c>
      <c r="Q373" s="61">
        <f t="shared" ref="Q373" si="428">Q371*Q372/1000</f>
        <v>18.312000000000001</v>
      </c>
      <c r="R373" s="61">
        <f t="shared" ref="R373" si="429">R371*R372/1000</f>
        <v>19.777000000000001</v>
      </c>
      <c r="S373" s="61">
        <f>S371*S372/1000+0.001</f>
        <v>20.675000000000001</v>
      </c>
      <c r="T373" s="61">
        <f>SUM(N373:S373)</f>
        <v>72.236999999999995</v>
      </c>
      <c r="U373" s="61">
        <f>T373+L373</f>
        <v>134.28299999999999</v>
      </c>
      <c r="V373" s="61">
        <f>V368</f>
        <v>97.707999999999998</v>
      </c>
      <c r="W373" s="72">
        <f>V373-U373</f>
        <v>-36.575000000000003</v>
      </c>
      <c r="X373" s="63">
        <f>U368-U373</f>
        <v>0</v>
      </c>
    </row>
    <row r="374" spans="1:28" s="126" customFormat="1" ht="18" customHeight="1">
      <c r="A374" s="595"/>
      <c r="B374" s="576"/>
      <c r="C374" s="577"/>
      <c r="D374" s="201" t="str">
        <f>серпень!D297</f>
        <v>дотація</v>
      </c>
      <c r="E374" s="71"/>
      <c r="F374" s="61">
        <v>0</v>
      </c>
      <c r="G374" s="61">
        <v>0</v>
      </c>
      <c r="H374" s="61">
        <v>0</v>
      </c>
      <c r="I374" s="61">
        <v>0</v>
      </c>
      <c r="J374" s="61">
        <v>0</v>
      </c>
      <c r="K374" s="61">
        <v>0</v>
      </c>
      <c r="L374" s="61">
        <f>SUM(F374:K374)</f>
        <v>0</v>
      </c>
      <c r="M374" s="61">
        <f>L374/6</f>
        <v>0</v>
      </c>
      <c r="N374" s="61">
        <v>0</v>
      </c>
      <c r="O374" s="61">
        <v>0</v>
      </c>
      <c r="P374" s="61">
        <v>0</v>
      </c>
      <c r="Q374" s="61">
        <v>0</v>
      </c>
      <c r="R374" s="61">
        <v>0</v>
      </c>
      <c r="S374" s="61">
        <v>0</v>
      </c>
      <c r="T374" s="61">
        <f>SUM(N374:S374)</f>
        <v>0</v>
      </c>
      <c r="U374" s="61">
        <f>T374+L374</f>
        <v>0</v>
      </c>
      <c r="V374" s="61">
        <f>V369</f>
        <v>0</v>
      </c>
      <c r="W374" s="72">
        <f>V374-U374</f>
        <v>0</v>
      </c>
      <c r="X374" s="63">
        <f>U369-U374</f>
        <v>0</v>
      </c>
    </row>
    <row r="375" spans="1:28" s="126" customFormat="1" ht="18" customHeight="1">
      <c r="A375" s="595"/>
      <c r="B375" s="576"/>
      <c r="C375" s="577"/>
      <c r="D375" s="201" t="str">
        <f>серпень!D298</f>
        <v xml:space="preserve">місцевий </v>
      </c>
      <c r="E375" s="71"/>
      <c r="F375" s="61">
        <f t="shared" ref="F375:K375" si="430">F373-F374</f>
        <v>5.5330000000000004</v>
      </c>
      <c r="G375" s="61">
        <f t="shared" si="430"/>
        <v>14.932</v>
      </c>
      <c r="H375" s="61">
        <f t="shared" si="430"/>
        <v>10.234</v>
      </c>
      <c r="I375" s="61">
        <f t="shared" si="430"/>
        <v>9</v>
      </c>
      <c r="J375" s="61">
        <f t="shared" si="430"/>
        <v>9.0269999999999992</v>
      </c>
      <c r="K375" s="61">
        <f t="shared" si="430"/>
        <v>13.32</v>
      </c>
      <c r="L375" s="61">
        <f>SUM(F375:K375)</f>
        <v>62.045999999999999</v>
      </c>
      <c r="M375" s="61">
        <f>L375/6</f>
        <v>10.340999999999999</v>
      </c>
      <c r="N375" s="61">
        <f t="shared" ref="N375:S375" si="431">N373-N374</f>
        <v>-3.8010000000000002</v>
      </c>
      <c r="O375" s="61">
        <f t="shared" si="431"/>
        <v>2.363</v>
      </c>
      <c r="P375" s="61">
        <f t="shared" si="431"/>
        <v>14.911</v>
      </c>
      <c r="Q375" s="61">
        <f t="shared" si="431"/>
        <v>18.312000000000001</v>
      </c>
      <c r="R375" s="61">
        <f t="shared" si="431"/>
        <v>19.777000000000001</v>
      </c>
      <c r="S375" s="61">
        <f t="shared" si="431"/>
        <v>20.675000000000001</v>
      </c>
      <c r="T375" s="61">
        <f>SUM(N375:S375)</f>
        <v>72.236999999999995</v>
      </c>
      <c r="U375" s="61">
        <f>T375+L375</f>
        <v>134.28299999999999</v>
      </c>
      <c r="V375" s="61">
        <f>V370</f>
        <v>97.707999999999998</v>
      </c>
      <c r="W375" s="72">
        <f>V375-U375</f>
        <v>-36.575000000000003</v>
      </c>
      <c r="X375" s="63">
        <f>U370-U375</f>
        <v>-36.575000000000003</v>
      </c>
    </row>
    <row r="376" spans="1:28" s="43" customFormat="1" ht="18" customHeight="1">
      <c r="A376" s="595"/>
      <c r="B376" s="576"/>
      <c r="C376" s="577"/>
      <c r="D376" s="202" t="str">
        <f>серпень!D299</f>
        <v>план</v>
      </c>
      <c r="E376" s="42"/>
      <c r="F376" s="42">
        <f t="shared" ref="F376:K376" si="432">F369+F370</f>
        <v>10.407999999999999</v>
      </c>
      <c r="G376" s="42">
        <f t="shared" si="432"/>
        <v>6.569</v>
      </c>
      <c r="H376" s="42">
        <f t="shared" si="432"/>
        <v>11.837</v>
      </c>
      <c r="I376" s="42">
        <f t="shared" si="432"/>
        <v>12.651</v>
      </c>
      <c r="J376" s="42">
        <f t="shared" si="432"/>
        <v>4.78</v>
      </c>
      <c r="K376" s="42">
        <f t="shared" si="432"/>
        <v>6.7039999999999997</v>
      </c>
      <c r="L376" s="42">
        <f>SUM(F376:K376)</f>
        <v>52.948999999999998</v>
      </c>
      <c r="M376" s="42">
        <f>L376/6</f>
        <v>8.8249999999999993</v>
      </c>
      <c r="N376" s="42">
        <f t="shared" ref="N376:S376" si="433">N370+N369</f>
        <v>0</v>
      </c>
      <c r="O376" s="42">
        <f t="shared" si="433"/>
        <v>7.5730000000000004</v>
      </c>
      <c r="P376" s="42">
        <f t="shared" si="433"/>
        <v>0.249</v>
      </c>
      <c r="Q376" s="42">
        <f t="shared" si="433"/>
        <v>0.35399999999999998</v>
      </c>
      <c r="R376" s="42">
        <f t="shared" si="433"/>
        <v>17.885000000000002</v>
      </c>
      <c r="S376" s="42">
        <f t="shared" si="433"/>
        <v>18.698</v>
      </c>
      <c r="T376" s="42">
        <f>SUM(N376:S376)</f>
        <v>44.759</v>
      </c>
      <c r="U376" s="42">
        <f>T376+L376</f>
        <v>97.707999999999998</v>
      </c>
      <c r="V376" s="42">
        <f>V373</f>
        <v>97.707999999999998</v>
      </c>
      <c r="W376" s="42">
        <f>V376-U376</f>
        <v>0</v>
      </c>
    </row>
    <row r="377" spans="1:28" s="43" customFormat="1" ht="18" customHeight="1">
      <c r="A377" s="595"/>
      <c r="B377" s="576"/>
      <c r="C377" s="577"/>
      <c r="D377" s="202" t="str">
        <f>серпень!D300</f>
        <v xml:space="preserve">відхилення </v>
      </c>
      <c r="E377" s="42"/>
      <c r="F377" s="42">
        <f t="shared" ref="F377:K377" si="434">F373-F376</f>
        <v>-4.875</v>
      </c>
      <c r="G377" s="42">
        <f t="shared" si="434"/>
        <v>8.3629999999999995</v>
      </c>
      <c r="H377" s="42">
        <f t="shared" si="434"/>
        <v>-1.603</v>
      </c>
      <c r="I377" s="42">
        <f t="shared" si="434"/>
        <v>-3.6509999999999998</v>
      </c>
      <c r="J377" s="42">
        <f t="shared" si="434"/>
        <v>4.2469999999999999</v>
      </c>
      <c r="K377" s="42">
        <f t="shared" si="434"/>
        <v>6.6159999999999997</v>
      </c>
      <c r="L377" s="42"/>
      <c r="M377" s="42"/>
      <c r="N377" s="42">
        <f t="shared" ref="N377:S377" si="435">N373-N376</f>
        <v>-3.8010000000000002</v>
      </c>
      <c r="O377" s="42">
        <f t="shared" si="435"/>
        <v>-5.21</v>
      </c>
      <c r="P377" s="42">
        <f t="shared" si="435"/>
        <v>14.662000000000001</v>
      </c>
      <c r="Q377" s="42">
        <f t="shared" si="435"/>
        <v>17.957999999999998</v>
      </c>
      <c r="R377" s="42">
        <f t="shared" si="435"/>
        <v>1.8919999999999999</v>
      </c>
      <c r="S377" s="42">
        <f t="shared" si="435"/>
        <v>1.9770000000000001</v>
      </c>
      <c r="T377" s="42"/>
      <c r="U377" s="42"/>
      <c r="V377" s="42"/>
      <c r="W377" s="42"/>
    </row>
    <row r="378" spans="1:28" s="43" customFormat="1" ht="18" customHeight="1">
      <c r="A378" s="595"/>
      <c r="B378" s="576"/>
      <c r="C378" s="577"/>
      <c r="D378" s="202" t="str">
        <f>серпень!D301</f>
        <v>відхилення з наростаючим</v>
      </c>
      <c r="E378" s="42"/>
      <c r="F378" s="42">
        <f>F377</f>
        <v>-4.875</v>
      </c>
      <c r="G378" s="42">
        <f>G377+F378</f>
        <v>3.488</v>
      </c>
      <c r="H378" s="42">
        <f>H377+G378</f>
        <v>1.885</v>
      </c>
      <c r="I378" s="42">
        <f>I377+H378</f>
        <v>-1.766</v>
      </c>
      <c r="J378" s="42">
        <f>J377+I378</f>
        <v>2.4809999999999999</v>
      </c>
      <c r="K378" s="42">
        <f>K377+J378</f>
        <v>9.0969999999999995</v>
      </c>
      <c r="L378" s="42"/>
      <c r="M378" s="42"/>
      <c r="N378" s="42">
        <f>N377+K378</f>
        <v>5.2960000000000003</v>
      </c>
      <c r="O378" s="42">
        <f>O377+N378</f>
        <v>8.5999999999999993E-2</v>
      </c>
      <c r="P378" s="42">
        <f>P377+O378</f>
        <v>14.747999999999999</v>
      </c>
      <c r="Q378" s="42">
        <f>Q377+P378</f>
        <v>32.706000000000003</v>
      </c>
      <c r="R378" s="42">
        <f>R377+Q378</f>
        <v>34.597999999999999</v>
      </c>
      <c r="S378" s="42">
        <f>S377+R378</f>
        <v>36.575000000000003</v>
      </c>
      <c r="T378" s="42"/>
      <c r="U378" s="42"/>
      <c r="V378" s="42"/>
      <c r="W378" s="42"/>
    </row>
    <row r="379" spans="1:28" s="48" customFormat="1" ht="23.95" hidden="1" customHeight="1">
      <c r="A379" s="595"/>
      <c r="B379" s="580" t="s">
        <v>96</v>
      </c>
      <c r="C379" s="575"/>
      <c r="D379" s="178" t="str">
        <f>серпень!D302</f>
        <v>факт. нат.п-ки 2023</v>
      </c>
      <c r="E379" s="11"/>
      <c r="F379" s="12"/>
      <c r="G379" s="12"/>
      <c r="H379" s="12"/>
      <c r="I379" s="12"/>
      <c r="J379" s="12"/>
      <c r="K379" s="12"/>
      <c r="L379" s="65">
        <f>SUM(F379:K379)</f>
        <v>0</v>
      </c>
      <c r="M379" s="65">
        <f>L379/6</f>
        <v>0</v>
      </c>
      <c r="N379" s="12"/>
      <c r="O379" s="12"/>
      <c r="P379" s="12"/>
      <c r="Q379" s="12"/>
      <c r="R379" s="12"/>
      <c r="S379" s="12"/>
      <c r="T379" s="65">
        <f>SUM(N379:S379)</f>
        <v>0</v>
      </c>
      <c r="U379" s="66">
        <f>T379+L379</f>
        <v>0</v>
      </c>
      <c r="V379" s="67"/>
      <c r="W379" s="38"/>
      <c r="X379" s="47"/>
    </row>
    <row r="380" spans="1:28" s="48" customFormat="1" ht="18" hidden="1" customHeight="1">
      <c r="A380" s="595"/>
      <c r="B380" s="576"/>
      <c r="C380" s="577"/>
      <c r="D380" s="178" t="str">
        <f>серпень!D303</f>
        <v>факт. нат.п-ки 2024</v>
      </c>
      <c r="E380" s="11"/>
      <c r="F380" s="12"/>
      <c r="G380" s="12"/>
      <c r="H380" s="12"/>
      <c r="I380" s="12"/>
      <c r="J380" s="12"/>
      <c r="K380" s="12"/>
      <c r="L380" s="65">
        <f>SUM(F380:K380)</f>
        <v>0</v>
      </c>
      <c r="M380" s="65">
        <f>L380/6</f>
        <v>0</v>
      </c>
      <c r="N380" s="11"/>
      <c r="O380" s="11"/>
      <c r="P380" s="11"/>
      <c r="Q380" s="11"/>
      <c r="R380" s="11"/>
      <c r="S380" s="11"/>
      <c r="T380" s="65">
        <f>SUM(N380:S380)</f>
        <v>0</v>
      </c>
      <c r="U380" s="66">
        <f>T380+L380</f>
        <v>0</v>
      </c>
      <c r="V380" s="67"/>
      <c r="W380" s="38"/>
      <c r="X380" s="47"/>
    </row>
    <row r="381" spans="1:28" s="48" customFormat="1" ht="18" hidden="1" customHeight="1">
      <c r="A381" s="595"/>
      <c r="B381" s="576"/>
      <c r="C381" s="577"/>
      <c r="D381" s="178" t="str">
        <f>серпень!D304</f>
        <v>факт. нат.п-ки 2025</v>
      </c>
      <c r="E381" s="11"/>
      <c r="F381" s="12"/>
      <c r="G381" s="12"/>
      <c r="H381" s="12"/>
      <c r="I381" s="12"/>
      <c r="J381" s="12"/>
      <c r="K381" s="12"/>
      <c r="L381" s="65">
        <f>SUM(F381:K381)</f>
        <v>0</v>
      </c>
      <c r="M381" s="65">
        <f>L381/6</f>
        <v>0</v>
      </c>
      <c r="N381" s="12"/>
      <c r="O381" s="12"/>
      <c r="P381" s="12"/>
      <c r="Q381" s="12"/>
      <c r="R381" s="12"/>
      <c r="S381" s="11"/>
      <c r="T381" s="65">
        <f>SUM(N381:S381)</f>
        <v>0</v>
      </c>
      <c r="U381" s="66">
        <f>T381+L381</f>
        <v>0</v>
      </c>
      <c r="V381" s="11"/>
      <c r="W381" s="38">
        <f>V381-U381</f>
        <v>0</v>
      </c>
      <c r="X381" s="47"/>
    </row>
    <row r="382" spans="1:28" s="51" customFormat="1" ht="18" hidden="1" customHeight="1">
      <c r="A382" s="595"/>
      <c r="B382" s="576"/>
      <c r="C382" s="577"/>
      <c r="D382" s="187" t="str">
        <f>серпень!D305</f>
        <v>тариф, грн.</v>
      </c>
      <c r="E382" s="49"/>
      <c r="F382" s="49"/>
      <c r="G382" s="49"/>
      <c r="H382" s="49"/>
      <c r="I382" s="49"/>
      <c r="J382" s="49"/>
      <c r="K382" s="49"/>
      <c r="L382" s="49" t="e">
        <f>L383/L381*1000</f>
        <v>#DIV/0!</v>
      </c>
      <c r="M382" s="49" t="e">
        <f>M383/M381*1000</f>
        <v>#DIV/0!</v>
      </c>
      <c r="N382" s="49"/>
      <c r="O382" s="49"/>
      <c r="P382" s="49"/>
      <c r="Q382" s="49"/>
      <c r="R382" s="49"/>
      <c r="S382" s="49"/>
      <c r="T382" s="49" t="e">
        <f>T383/T381*1000</f>
        <v>#DIV/0!</v>
      </c>
      <c r="U382" s="49" t="e">
        <f>U383/U381*1000</f>
        <v>#DIV/0!</v>
      </c>
      <c r="V382" s="68" t="e">
        <f>V383/V381*1000</f>
        <v>#DIV/0!</v>
      </c>
      <c r="W382" s="14" t="e">
        <f>W383/W381*1000</f>
        <v>#DIV/0!</v>
      </c>
      <c r="X382" s="50"/>
    </row>
    <row r="383" spans="1:28" s="55" customFormat="1" ht="18" hidden="1" customHeight="1">
      <c r="A383" s="595"/>
      <c r="B383" s="576"/>
      <c r="C383" s="577"/>
      <c r="D383" s="191" t="str">
        <f>серпень!D306</f>
        <v>сума, тис.грн.</v>
      </c>
      <c r="E383" s="52"/>
      <c r="F383" s="52">
        <f t="shared" ref="F383:K383" si="436">F381*F382/1000</f>
        <v>0</v>
      </c>
      <c r="G383" s="52">
        <f t="shared" si="436"/>
        <v>0</v>
      </c>
      <c r="H383" s="52">
        <f t="shared" si="436"/>
        <v>0</v>
      </c>
      <c r="I383" s="52">
        <f t="shared" si="436"/>
        <v>0</v>
      </c>
      <c r="J383" s="52">
        <f t="shared" si="436"/>
        <v>0</v>
      </c>
      <c r="K383" s="52">
        <f t="shared" si="436"/>
        <v>0</v>
      </c>
      <c r="L383" s="69">
        <f>SUM(F383:K383)</f>
        <v>0</v>
      </c>
      <c r="M383" s="69">
        <f>L383/6</f>
        <v>0</v>
      </c>
      <c r="N383" s="52">
        <f t="shared" ref="N383:S383" si="437">N381*N382/1000</f>
        <v>0</v>
      </c>
      <c r="O383" s="52">
        <f t="shared" si="437"/>
        <v>0</v>
      </c>
      <c r="P383" s="52">
        <f t="shared" si="437"/>
        <v>0</v>
      </c>
      <c r="Q383" s="52">
        <f t="shared" si="437"/>
        <v>0</v>
      </c>
      <c r="R383" s="52">
        <f t="shared" si="437"/>
        <v>0</v>
      </c>
      <c r="S383" s="52">
        <f t="shared" si="437"/>
        <v>0</v>
      </c>
      <c r="T383" s="69">
        <f>SUM(N383:S383)</f>
        <v>0</v>
      </c>
      <c r="U383" s="69">
        <f>T383+L383</f>
        <v>0</v>
      </c>
      <c r="V383" s="70">
        <f>V384+V385</f>
        <v>0</v>
      </c>
      <c r="W383" s="53">
        <f>V383-U383</f>
        <v>0</v>
      </c>
      <c r="X383" s="54">
        <f>9891253.845/1000</f>
        <v>9891.2540000000008</v>
      </c>
    </row>
    <row r="384" spans="1:28" s="55" customFormat="1" ht="18" hidden="1" customHeight="1">
      <c r="A384" s="595"/>
      <c r="B384" s="576"/>
      <c r="C384" s="577"/>
      <c r="D384" s="174" t="str">
        <f>серпень!D307</f>
        <v>дотація</v>
      </c>
      <c r="E384" s="56"/>
      <c r="F384" s="52"/>
      <c r="G384" s="52"/>
      <c r="H384" s="52"/>
      <c r="I384" s="52"/>
      <c r="J384" s="52"/>
      <c r="K384" s="52"/>
      <c r="L384" s="69">
        <f>SUM(F384:K384)</f>
        <v>0</v>
      </c>
      <c r="M384" s="69">
        <f>L384/6</f>
        <v>0</v>
      </c>
      <c r="N384" s="52"/>
      <c r="O384" s="52"/>
      <c r="P384" s="52"/>
      <c r="Q384" s="52"/>
      <c r="R384" s="52"/>
      <c r="S384" s="52"/>
      <c r="T384" s="69">
        <f>SUM(N384:S384)</f>
        <v>0</v>
      </c>
      <c r="U384" s="69">
        <f>T384+L384</f>
        <v>0</v>
      </c>
      <c r="V384" s="70"/>
      <c r="W384" s="53">
        <f>V384-U384</f>
        <v>0</v>
      </c>
      <c r="X384" s="58"/>
    </row>
    <row r="385" spans="1:28" s="55" customFormat="1" ht="18" hidden="1" customHeight="1">
      <c r="A385" s="595"/>
      <c r="B385" s="576"/>
      <c r="C385" s="577"/>
      <c r="D385" s="174" t="str">
        <f>серпень!D308</f>
        <v>місцевий (план), тис.грн</v>
      </c>
      <c r="E385" s="56"/>
      <c r="F385" s="52"/>
      <c r="G385" s="52"/>
      <c r="H385" s="52"/>
      <c r="I385" s="52"/>
      <c r="J385" s="52"/>
      <c r="K385" s="52"/>
      <c r="L385" s="69">
        <f>SUM(F385:K385)</f>
        <v>0</v>
      </c>
      <c r="M385" s="69">
        <f>L385/6</f>
        <v>0</v>
      </c>
      <c r="N385" s="52"/>
      <c r="O385" s="52"/>
      <c r="P385" s="52"/>
      <c r="Q385" s="52"/>
      <c r="R385" s="52"/>
      <c r="S385" s="52"/>
      <c r="T385" s="69">
        <f>SUM(N385:S385)</f>
        <v>0</v>
      </c>
      <c r="U385" s="69">
        <f>T385+L385</f>
        <v>0</v>
      </c>
      <c r="V385" s="70"/>
      <c r="W385" s="53">
        <f>V385-U385</f>
        <v>0</v>
      </c>
      <c r="X385" s="58"/>
    </row>
    <row r="386" spans="1:28" s="48" customFormat="1" ht="18" hidden="1" customHeight="1">
      <c r="A386" s="595"/>
      <c r="B386" s="576"/>
      <c r="C386" s="577"/>
      <c r="D386" s="178" t="str">
        <f>серпень!D309</f>
        <v>касові нат.п-ки 2025</v>
      </c>
      <c r="E386" s="11"/>
      <c r="F386" s="11"/>
      <c r="G386" s="11"/>
      <c r="H386" s="11"/>
      <c r="I386" s="11"/>
      <c r="J386" s="11"/>
      <c r="K386" s="11"/>
      <c r="L386" s="65">
        <f>SUM(F386:K386)</f>
        <v>0</v>
      </c>
      <c r="M386" s="65">
        <f>L386/6</f>
        <v>0</v>
      </c>
      <c r="N386" s="11"/>
      <c r="O386" s="11"/>
      <c r="P386" s="11"/>
      <c r="Q386" s="11"/>
      <c r="R386" s="11"/>
      <c r="S386" s="11"/>
      <c r="T386" s="65">
        <f>SUM(N386:S386)</f>
        <v>0</v>
      </c>
      <c r="U386" s="65">
        <f>T386+L386</f>
        <v>0</v>
      </c>
      <c r="V386" s="11">
        <f>V381</f>
        <v>0</v>
      </c>
      <c r="W386" s="38">
        <f>V386-U386</f>
        <v>0</v>
      </c>
      <c r="X386" s="47">
        <f>U381-U386</f>
        <v>0</v>
      </c>
    </row>
    <row r="387" spans="1:28" s="51" customFormat="1" ht="18" hidden="1" customHeight="1">
      <c r="A387" s="595"/>
      <c r="B387" s="576"/>
      <c r="C387" s="577"/>
      <c r="D387" s="187" t="str">
        <f>серпень!D310</f>
        <v>тариф, грн.</v>
      </c>
      <c r="E387" s="49" t="e">
        <f>E388/E386*1000</f>
        <v>#DIV/0!</v>
      </c>
      <c r="F387" s="49"/>
      <c r="G387" s="49"/>
      <c r="H387" s="49"/>
      <c r="I387" s="49"/>
      <c r="J387" s="49"/>
      <c r="K387" s="49"/>
      <c r="L387" s="49" t="e">
        <f>L388/L386*1000</f>
        <v>#DIV/0!</v>
      </c>
      <c r="M387" s="49" t="e">
        <f>M388/M386*1000</f>
        <v>#DIV/0!</v>
      </c>
      <c r="N387" s="49"/>
      <c r="O387" s="49"/>
      <c r="P387" s="49"/>
      <c r="Q387" s="49"/>
      <c r="R387" s="49"/>
      <c r="S387" s="49"/>
      <c r="T387" s="49" t="e">
        <f>T388/T386*1000</f>
        <v>#DIV/0!</v>
      </c>
      <c r="U387" s="49" t="e">
        <f>U388/U386*1000</f>
        <v>#DIV/0!</v>
      </c>
      <c r="V387" s="68" t="e">
        <f>V388/V386*1000</f>
        <v>#DIV/0!</v>
      </c>
      <c r="W387" s="14" t="e">
        <f>W388/W386*1000</f>
        <v>#DIV/0!</v>
      </c>
      <c r="X387" s="59"/>
    </row>
    <row r="388" spans="1:28" s="63" customFormat="1" ht="17.7" hidden="1" customHeight="1">
      <c r="A388" s="595"/>
      <c r="B388" s="576"/>
      <c r="C388" s="577"/>
      <c r="D388" s="198" t="str">
        <f>серпень!D311</f>
        <v>касові видатки, тис.грн.</v>
      </c>
      <c r="E388" s="71"/>
      <c r="F388" s="61">
        <f t="shared" ref="F388:K388" si="438">F386*F387/1000</f>
        <v>0</v>
      </c>
      <c r="G388" s="61">
        <f t="shared" si="438"/>
        <v>0</v>
      </c>
      <c r="H388" s="61">
        <f t="shared" si="438"/>
        <v>0</v>
      </c>
      <c r="I388" s="61">
        <f t="shared" si="438"/>
        <v>0</v>
      </c>
      <c r="J388" s="61">
        <f t="shared" si="438"/>
        <v>0</v>
      </c>
      <c r="K388" s="61">
        <f t="shared" si="438"/>
        <v>0</v>
      </c>
      <c r="L388" s="61">
        <f>SUM(F388:K388)</f>
        <v>0</v>
      </c>
      <c r="M388" s="61">
        <f>L388/6</f>
        <v>0</v>
      </c>
      <c r="N388" s="61">
        <f t="shared" ref="N388:S388" si="439">N386*N387/1000</f>
        <v>0</v>
      </c>
      <c r="O388" s="61">
        <f t="shared" si="439"/>
        <v>0</v>
      </c>
      <c r="P388" s="61">
        <f t="shared" si="439"/>
        <v>0</v>
      </c>
      <c r="Q388" s="61">
        <f t="shared" si="439"/>
        <v>0</v>
      </c>
      <c r="R388" s="61">
        <f t="shared" si="439"/>
        <v>0</v>
      </c>
      <c r="S388" s="61">
        <f t="shared" si="439"/>
        <v>0</v>
      </c>
      <c r="T388" s="61">
        <f>SUM(N388:S388)</f>
        <v>0</v>
      </c>
      <c r="U388" s="61">
        <f>T388+L388</f>
        <v>0</v>
      </c>
      <c r="V388" s="61">
        <f>V383</f>
        <v>0</v>
      </c>
      <c r="W388" s="72">
        <f>V388-U388</f>
        <v>0</v>
      </c>
      <c r="X388" s="63">
        <f>U383-U388</f>
        <v>0</v>
      </c>
    </row>
    <row r="389" spans="1:28" s="63" customFormat="1" ht="18" hidden="1" customHeight="1">
      <c r="A389" s="595"/>
      <c r="B389" s="576"/>
      <c r="C389" s="577"/>
      <c r="D389" s="201" t="str">
        <f>серпень!D312</f>
        <v>дотація</v>
      </c>
      <c r="E389" s="71"/>
      <c r="F389" s="61"/>
      <c r="G389" s="61"/>
      <c r="H389" s="61"/>
      <c r="I389" s="61"/>
      <c r="J389" s="61"/>
      <c r="K389" s="61"/>
      <c r="L389" s="61">
        <f>SUM(F389:K389)</f>
        <v>0</v>
      </c>
      <c r="M389" s="61">
        <f>L389/6</f>
        <v>0</v>
      </c>
      <c r="N389" s="61"/>
      <c r="O389" s="61"/>
      <c r="P389" s="61"/>
      <c r="Q389" s="61"/>
      <c r="R389" s="61"/>
      <c r="S389" s="61"/>
      <c r="T389" s="61">
        <f>SUM(N389:S389)</f>
        <v>0</v>
      </c>
      <c r="U389" s="61">
        <f>T389+L389</f>
        <v>0</v>
      </c>
      <c r="V389" s="61">
        <f>V384</f>
        <v>0</v>
      </c>
      <c r="W389" s="72">
        <f>V389-U389</f>
        <v>0</v>
      </c>
      <c r="X389" s="63">
        <f>U384-U389</f>
        <v>0</v>
      </c>
    </row>
    <row r="390" spans="1:28" s="63" customFormat="1" ht="18" hidden="1" customHeight="1">
      <c r="A390" s="595"/>
      <c r="B390" s="576"/>
      <c r="C390" s="577"/>
      <c r="D390" s="201" t="str">
        <f>серпень!D313</f>
        <v xml:space="preserve">місцевий </v>
      </c>
      <c r="E390" s="71"/>
      <c r="F390" s="61">
        <f t="shared" ref="F390:K390" si="440">F388-F389</f>
        <v>0</v>
      </c>
      <c r="G390" s="61">
        <f t="shared" si="440"/>
        <v>0</v>
      </c>
      <c r="H390" s="61">
        <f t="shared" si="440"/>
        <v>0</v>
      </c>
      <c r="I390" s="61">
        <f t="shared" si="440"/>
        <v>0</v>
      </c>
      <c r="J390" s="61">
        <f t="shared" si="440"/>
        <v>0</v>
      </c>
      <c r="K390" s="61">
        <f t="shared" si="440"/>
        <v>0</v>
      </c>
      <c r="L390" s="61">
        <f>SUM(F390:K390)</f>
        <v>0</v>
      </c>
      <c r="M390" s="61">
        <f>L390/6</f>
        <v>0</v>
      </c>
      <c r="N390" s="61">
        <f t="shared" ref="N390:S390" si="441">N388-N389</f>
        <v>0</v>
      </c>
      <c r="O390" s="61">
        <f t="shared" si="441"/>
        <v>0</v>
      </c>
      <c r="P390" s="61">
        <f t="shared" si="441"/>
        <v>0</v>
      </c>
      <c r="Q390" s="61">
        <f t="shared" si="441"/>
        <v>0</v>
      </c>
      <c r="R390" s="61">
        <f t="shared" si="441"/>
        <v>0</v>
      </c>
      <c r="S390" s="61">
        <f t="shared" si="441"/>
        <v>0</v>
      </c>
      <c r="T390" s="61">
        <f>SUM(N390:S390)</f>
        <v>0</v>
      </c>
      <c r="U390" s="61">
        <f>T390+L390</f>
        <v>0</v>
      </c>
      <c r="V390" s="61">
        <f>V385</f>
        <v>0</v>
      </c>
      <c r="W390" s="72">
        <f>V390-U390</f>
        <v>0</v>
      </c>
      <c r="X390" s="63">
        <f>U385-U390</f>
        <v>0</v>
      </c>
    </row>
    <row r="391" spans="1:28" s="43" customFormat="1" ht="18" hidden="1" customHeight="1">
      <c r="A391" s="595"/>
      <c r="B391" s="576"/>
      <c r="C391" s="577"/>
      <c r="D391" s="202" t="str">
        <f>серпень!D314</f>
        <v>план</v>
      </c>
      <c r="E391" s="42"/>
      <c r="F391" s="42">
        <f t="shared" ref="F391:K391" si="442">F385</f>
        <v>0</v>
      </c>
      <c r="G391" s="42">
        <f t="shared" si="442"/>
        <v>0</v>
      </c>
      <c r="H391" s="42">
        <f t="shared" si="442"/>
        <v>0</v>
      </c>
      <c r="I391" s="42">
        <f t="shared" si="442"/>
        <v>0</v>
      </c>
      <c r="J391" s="42">
        <f t="shared" si="442"/>
        <v>0</v>
      </c>
      <c r="K391" s="42">
        <f t="shared" si="442"/>
        <v>0</v>
      </c>
      <c r="L391" s="42">
        <f>SUM(F391:K391)</f>
        <v>0</v>
      </c>
      <c r="M391" s="42">
        <f>L391/6</f>
        <v>0</v>
      </c>
      <c r="N391" s="42">
        <f t="shared" ref="N391:S391" si="443">N385+N384</f>
        <v>0</v>
      </c>
      <c r="O391" s="42">
        <f t="shared" si="443"/>
        <v>0</v>
      </c>
      <c r="P391" s="42">
        <f t="shared" si="443"/>
        <v>0</v>
      </c>
      <c r="Q391" s="42">
        <f t="shared" si="443"/>
        <v>0</v>
      </c>
      <c r="R391" s="42">
        <f t="shared" si="443"/>
        <v>0</v>
      </c>
      <c r="S391" s="42">
        <f t="shared" si="443"/>
        <v>0</v>
      </c>
      <c r="T391" s="42">
        <f>SUM(N391:S391)</f>
        <v>0</v>
      </c>
      <c r="U391" s="42">
        <f>T391+L391</f>
        <v>0</v>
      </c>
      <c r="V391" s="42">
        <f>V388</f>
        <v>0</v>
      </c>
      <c r="W391" s="42">
        <f>V391-U391</f>
        <v>0</v>
      </c>
    </row>
    <row r="392" spans="1:28" s="43" customFormat="1" ht="18" hidden="1" customHeight="1">
      <c r="A392" s="595"/>
      <c r="B392" s="576"/>
      <c r="C392" s="577"/>
      <c r="D392" s="202" t="str">
        <f>серпень!D315</f>
        <v xml:space="preserve">відхилення </v>
      </c>
      <c r="E392" s="42"/>
      <c r="F392" s="42">
        <f t="shared" ref="F392:K392" si="444">F388-F391</f>
        <v>0</v>
      </c>
      <c r="G392" s="42">
        <f t="shared" si="444"/>
        <v>0</v>
      </c>
      <c r="H392" s="42">
        <f t="shared" si="444"/>
        <v>0</v>
      </c>
      <c r="I392" s="42">
        <f t="shared" si="444"/>
        <v>0</v>
      </c>
      <c r="J392" s="42">
        <f t="shared" si="444"/>
        <v>0</v>
      </c>
      <c r="K392" s="42">
        <f t="shared" si="444"/>
        <v>0</v>
      </c>
      <c r="L392" s="42"/>
      <c r="M392" s="42"/>
      <c r="N392" s="42">
        <f t="shared" ref="N392:S392" si="445">N388-N391</f>
        <v>0</v>
      </c>
      <c r="O392" s="42">
        <f t="shared" si="445"/>
        <v>0</v>
      </c>
      <c r="P392" s="42">
        <f t="shared" si="445"/>
        <v>0</v>
      </c>
      <c r="Q392" s="42">
        <f t="shared" si="445"/>
        <v>0</v>
      </c>
      <c r="R392" s="42">
        <f t="shared" si="445"/>
        <v>0</v>
      </c>
      <c r="S392" s="42">
        <f t="shared" si="445"/>
        <v>0</v>
      </c>
      <c r="T392" s="42"/>
      <c r="U392" s="42"/>
      <c r="V392" s="42"/>
      <c r="W392" s="42"/>
    </row>
    <row r="393" spans="1:28" s="43" customFormat="1" ht="21.6" hidden="1" customHeight="1">
      <c r="A393" s="595"/>
      <c r="B393" s="578"/>
      <c r="C393" s="579"/>
      <c r="D393" s="202" t="str">
        <f>серпень!D316</f>
        <v>відхилення з наростаючим</v>
      </c>
      <c r="E393" s="42"/>
      <c r="F393" s="42">
        <f>F392</f>
        <v>0</v>
      </c>
      <c r="G393" s="42">
        <f>G392+F393</f>
        <v>0</v>
      </c>
      <c r="H393" s="42">
        <f>H392+G393</f>
        <v>0</v>
      </c>
      <c r="I393" s="42">
        <f>I392+H393</f>
        <v>0</v>
      </c>
      <c r="J393" s="42">
        <f>J392+I393</f>
        <v>0</v>
      </c>
      <c r="K393" s="42">
        <f>K392+J393</f>
        <v>0</v>
      </c>
      <c r="L393" s="42"/>
      <c r="M393" s="42"/>
      <c r="N393" s="42">
        <f>N392+K393</f>
        <v>0</v>
      </c>
      <c r="O393" s="42">
        <f>O392+N393</f>
        <v>0</v>
      </c>
      <c r="P393" s="42">
        <f>P392+O393</f>
        <v>0</v>
      </c>
      <c r="Q393" s="42">
        <f>Q392+P393</f>
        <v>0</v>
      </c>
      <c r="R393" s="42">
        <f>R392+Q393</f>
        <v>0</v>
      </c>
      <c r="S393" s="42">
        <f>S392+R393</f>
        <v>0</v>
      </c>
      <c r="T393" s="42"/>
      <c r="U393" s="42"/>
      <c r="V393" s="42"/>
      <c r="W393" s="42"/>
    </row>
    <row r="394" spans="1:28" s="10" customFormat="1" ht="18" hidden="1" customHeight="1">
      <c r="A394" s="595"/>
      <c r="B394" s="580" t="s">
        <v>38</v>
      </c>
      <c r="C394" s="575"/>
      <c r="D394" s="178" t="str">
        <f>серпень!D317</f>
        <v>факт. нат.п-ки 2023</v>
      </c>
      <c r="E394" s="11"/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65">
        <f>SUM(F394:K394)</f>
        <v>0</v>
      </c>
      <c r="M394" s="65">
        <f>L394/6</f>
        <v>0</v>
      </c>
      <c r="N394" s="11">
        <v>0</v>
      </c>
      <c r="O394" s="11">
        <v>0</v>
      </c>
      <c r="P394" s="11">
        <v>13</v>
      </c>
      <c r="Q394" s="11">
        <v>23</v>
      </c>
      <c r="R394" s="11">
        <v>50</v>
      </c>
      <c r="S394" s="11">
        <v>50</v>
      </c>
      <c r="T394" s="65">
        <f>SUM(N394:S394)</f>
        <v>136</v>
      </c>
      <c r="U394" s="118">
        <f>T394+L394</f>
        <v>136</v>
      </c>
      <c r="V394" s="67"/>
      <c r="W394" s="38"/>
      <c r="X394" s="36"/>
      <c r="Y394" s="3"/>
      <c r="Z394" s="3"/>
      <c r="AA394" s="3"/>
      <c r="AB394" s="3"/>
    </row>
    <row r="395" spans="1:28" s="48" customFormat="1" ht="18" hidden="1" customHeight="1">
      <c r="A395" s="595"/>
      <c r="B395" s="576"/>
      <c r="C395" s="577"/>
      <c r="D395" s="178" t="str">
        <f>серпень!D318</f>
        <v>факт. нат.п-ки 2024</v>
      </c>
      <c r="E395" s="11"/>
      <c r="F395" s="12"/>
      <c r="G395" s="12"/>
      <c r="H395" s="12"/>
      <c r="I395" s="12"/>
      <c r="J395" s="12"/>
      <c r="K395" s="12"/>
      <c r="L395" s="65">
        <f>SUM(F395:K395)</f>
        <v>0</v>
      </c>
      <c r="M395" s="65">
        <f>L395/6</f>
        <v>0</v>
      </c>
      <c r="N395" s="11"/>
      <c r="O395" s="11"/>
      <c r="P395" s="11"/>
      <c r="Q395" s="11"/>
      <c r="R395" s="11"/>
      <c r="S395" s="11"/>
      <c r="T395" s="65">
        <f>SUM(N395:S395)</f>
        <v>0</v>
      </c>
      <c r="U395" s="118">
        <f>T395+L395</f>
        <v>0</v>
      </c>
      <c r="V395" s="67"/>
      <c r="W395" s="38"/>
      <c r="X395" s="47"/>
    </row>
    <row r="396" spans="1:28" s="10" customFormat="1" ht="18" hidden="1" customHeight="1">
      <c r="A396" s="595"/>
      <c r="B396" s="576"/>
      <c r="C396" s="577"/>
      <c r="D396" s="178" t="str">
        <f>серпень!D319</f>
        <v>факт. нат.п-ки 2025</v>
      </c>
      <c r="E396" s="11"/>
      <c r="F396" s="12"/>
      <c r="G396" s="12"/>
      <c r="H396" s="12"/>
      <c r="I396" s="12"/>
      <c r="J396" s="12"/>
      <c r="K396" s="12"/>
      <c r="L396" s="65">
        <f>SUM(F396:K396)</f>
        <v>0</v>
      </c>
      <c r="M396" s="65">
        <f>L396/6</f>
        <v>0</v>
      </c>
      <c r="N396" s="12"/>
      <c r="O396" s="12"/>
      <c r="P396" s="12"/>
      <c r="Q396" s="12"/>
      <c r="R396" s="12"/>
      <c r="S396" s="11"/>
      <c r="T396" s="65">
        <f>SUM(N396:S396)</f>
        <v>0</v>
      </c>
      <c r="U396" s="118">
        <f>T396+L396</f>
        <v>0</v>
      </c>
      <c r="V396" s="11"/>
      <c r="W396" s="38"/>
      <c r="X396" s="36"/>
      <c r="Y396" s="3"/>
      <c r="Z396" s="3"/>
      <c r="AA396" s="3"/>
      <c r="AB396" s="3"/>
    </row>
    <row r="397" spans="1:28" s="114" customFormat="1" ht="18" hidden="1" customHeight="1">
      <c r="A397" s="595"/>
      <c r="B397" s="576"/>
      <c r="C397" s="577"/>
      <c r="D397" s="187" t="str">
        <f>серпень!D320</f>
        <v>тариф, грн.</v>
      </c>
      <c r="E397" s="49" t="e">
        <f t="shared" ref="E397" si="446">E398/E396*1000</f>
        <v>#DIV/0!</v>
      </c>
      <c r="F397" s="49">
        <v>10.56</v>
      </c>
      <c r="G397" s="49">
        <v>10.56</v>
      </c>
      <c r="H397" s="49">
        <v>10.56</v>
      </c>
      <c r="I397" s="49">
        <v>10.56</v>
      </c>
      <c r="J397" s="49">
        <v>10.56</v>
      </c>
      <c r="K397" s="49">
        <v>10.56</v>
      </c>
      <c r="L397" s="49" t="e">
        <f>L398/L396*1000</f>
        <v>#DIV/0!</v>
      </c>
      <c r="M397" s="49" t="e">
        <f>M398/M396*1000</f>
        <v>#DIV/0!</v>
      </c>
      <c r="N397" s="49">
        <v>10.56</v>
      </c>
      <c r="O397" s="49">
        <v>10.56</v>
      </c>
      <c r="P397" s="49">
        <v>10.56</v>
      </c>
      <c r="Q397" s="49">
        <v>10.56</v>
      </c>
      <c r="R397" s="49">
        <v>10.56</v>
      </c>
      <c r="S397" s="49">
        <v>10.56</v>
      </c>
      <c r="T397" s="49" t="e">
        <f>T398/T396*1000</f>
        <v>#DIV/0!</v>
      </c>
      <c r="U397" s="49" t="e">
        <f>U398/U396*1000</f>
        <v>#DIV/0!</v>
      </c>
      <c r="V397" s="68" t="e">
        <f>V398/V396*1000</f>
        <v>#DIV/0!</v>
      </c>
      <c r="W397" s="14" t="e">
        <f>W398/W396*1000</f>
        <v>#DIV/0!</v>
      </c>
      <c r="X397" s="47"/>
      <c r="Y397" s="3"/>
      <c r="Z397" s="3"/>
      <c r="AA397" s="3"/>
      <c r="AB397" s="3"/>
    </row>
    <row r="398" spans="1:28" s="114" customFormat="1" ht="18" hidden="1" customHeight="1">
      <c r="A398" s="595"/>
      <c r="B398" s="576"/>
      <c r="C398" s="577"/>
      <c r="D398" s="191" t="str">
        <f>серпень!D321</f>
        <v>сума, тис.грн.</v>
      </c>
      <c r="E398" s="52"/>
      <c r="F398" s="52">
        <f t="shared" ref="F398:K398" si="447">F396*F397/1000</f>
        <v>0</v>
      </c>
      <c r="G398" s="52">
        <f t="shared" si="447"/>
        <v>0</v>
      </c>
      <c r="H398" s="52">
        <f t="shared" si="447"/>
        <v>0</v>
      </c>
      <c r="I398" s="52">
        <f t="shared" si="447"/>
        <v>0</v>
      </c>
      <c r="J398" s="52">
        <f t="shared" si="447"/>
        <v>0</v>
      </c>
      <c r="K398" s="52">
        <f t="shared" si="447"/>
        <v>0</v>
      </c>
      <c r="L398" s="69">
        <f>SUM(F398:K398)</f>
        <v>0</v>
      </c>
      <c r="M398" s="69">
        <f>L398/6</f>
        <v>0</v>
      </c>
      <c r="N398" s="52">
        <f t="shared" ref="N398:S398" si="448">N396*N397/1000</f>
        <v>0</v>
      </c>
      <c r="O398" s="52">
        <f t="shared" si="448"/>
        <v>0</v>
      </c>
      <c r="P398" s="52">
        <f t="shared" si="448"/>
        <v>0</v>
      </c>
      <c r="Q398" s="52">
        <f t="shared" si="448"/>
        <v>0</v>
      </c>
      <c r="R398" s="52">
        <f t="shared" si="448"/>
        <v>0</v>
      </c>
      <c r="S398" s="52">
        <f t="shared" si="448"/>
        <v>0</v>
      </c>
      <c r="T398" s="69">
        <f>SUM(N398:S398)</f>
        <v>0</v>
      </c>
      <c r="U398" s="69">
        <f>T398+L398</f>
        <v>0</v>
      </c>
      <c r="V398" s="70">
        <f>V399+V400</f>
        <v>0</v>
      </c>
      <c r="W398" s="53">
        <f>V398-U398</f>
        <v>0</v>
      </c>
      <c r="X398" s="113"/>
    </row>
    <row r="399" spans="1:28" s="114" customFormat="1" ht="18" hidden="1" customHeight="1">
      <c r="A399" s="595"/>
      <c r="B399" s="576"/>
      <c r="C399" s="577"/>
      <c r="D399" s="174" t="str">
        <f>серпень!D322</f>
        <v>дотація</v>
      </c>
      <c r="E399" s="56"/>
      <c r="F399" s="52"/>
      <c r="G399" s="52"/>
      <c r="H399" s="52"/>
      <c r="I399" s="52"/>
      <c r="J399" s="52"/>
      <c r="K399" s="52"/>
      <c r="L399" s="69">
        <f>SUM(F399:K399)</f>
        <v>0</v>
      </c>
      <c r="M399" s="69">
        <f>L399/6</f>
        <v>0</v>
      </c>
      <c r="N399" s="52"/>
      <c r="O399" s="52"/>
      <c r="P399" s="52"/>
      <c r="Q399" s="52"/>
      <c r="R399" s="52"/>
      <c r="S399" s="52"/>
      <c r="T399" s="69">
        <f>SUM(N399:S399)</f>
        <v>0</v>
      </c>
      <c r="U399" s="69">
        <f>T399+L399</f>
        <v>0</v>
      </c>
      <c r="V399" s="70">
        <v>0</v>
      </c>
      <c r="W399" s="53">
        <f>V399-U399</f>
        <v>0</v>
      </c>
      <c r="X399" s="113"/>
    </row>
    <row r="400" spans="1:28" s="114" customFormat="1" ht="18" hidden="1" customHeight="1">
      <c r="A400" s="595"/>
      <c r="B400" s="576"/>
      <c r="C400" s="577"/>
      <c r="D400" s="174" t="str">
        <f>серпень!D323</f>
        <v>місцевий (план), тис.грн</v>
      </c>
      <c r="E400" s="56"/>
      <c r="F400" s="52"/>
      <c r="G400" s="52"/>
      <c r="H400" s="52"/>
      <c r="I400" s="52"/>
      <c r="J400" s="52"/>
      <c r="K400" s="52"/>
      <c r="L400" s="69">
        <f>SUM(F400:K400)</f>
        <v>0</v>
      </c>
      <c r="M400" s="69">
        <f>L400/6</f>
        <v>0</v>
      </c>
      <c r="N400" s="52"/>
      <c r="O400" s="52"/>
      <c r="P400" s="52"/>
      <c r="Q400" s="52"/>
      <c r="R400" s="52"/>
      <c r="S400" s="52"/>
      <c r="T400" s="69">
        <f>SUM(N400:S400)</f>
        <v>0</v>
      </c>
      <c r="U400" s="69">
        <f>T400+L400</f>
        <v>0</v>
      </c>
      <c r="V400" s="70"/>
      <c r="W400" s="53">
        <f>V400-U400</f>
        <v>0</v>
      </c>
      <c r="X400" s="113"/>
    </row>
    <row r="401" spans="1:28" s="3" customFormat="1" ht="18" hidden="1" customHeight="1">
      <c r="A401" s="595"/>
      <c r="B401" s="576"/>
      <c r="C401" s="577"/>
      <c r="D401" s="178" t="str">
        <f>серпень!D324</f>
        <v>касові нат.п-ки 2025</v>
      </c>
      <c r="E401" s="11"/>
      <c r="F401" s="11"/>
      <c r="G401" s="11"/>
      <c r="H401" s="11"/>
      <c r="I401" s="11"/>
      <c r="J401" s="11"/>
      <c r="K401" s="11"/>
      <c r="L401" s="65">
        <f>SUM(F401:K401)</f>
        <v>0</v>
      </c>
      <c r="M401" s="65">
        <f>L401/6</f>
        <v>0</v>
      </c>
      <c r="N401" s="11"/>
      <c r="O401" s="11"/>
      <c r="P401" s="11"/>
      <c r="Q401" s="11"/>
      <c r="R401" s="11"/>
      <c r="S401" s="11">
        <f>S396+R396</f>
        <v>0</v>
      </c>
      <c r="T401" s="65">
        <f>SUM(N401:S401)</f>
        <v>0</v>
      </c>
      <c r="U401" s="65">
        <f>T401+L401</f>
        <v>0</v>
      </c>
      <c r="V401" s="11">
        <f>V396</f>
        <v>0</v>
      </c>
      <c r="W401" s="38">
        <f>V401-U401</f>
        <v>0</v>
      </c>
      <c r="X401" s="47">
        <f>U396-U401</f>
        <v>0</v>
      </c>
    </row>
    <row r="402" spans="1:28" s="73" customFormat="1" ht="18" hidden="1" customHeight="1">
      <c r="A402" s="595"/>
      <c r="B402" s="576"/>
      <c r="C402" s="577"/>
      <c r="D402" s="187" t="str">
        <f>серпень!D325</f>
        <v>тариф, грн.</v>
      </c>
      <c r="E402" s="49" t="e">
        <f t="shared" ref="E402" si="449">E403/E401*1000</f>
        <v>#DIV/0!</v>
      </c>
      <c r="F402" s="49">
        <v>10.56</v>
      </c>
      <c r="G402" s="49">
        <v>10.56</v>
      </c>
      <c r="H402" s="49">
        <v>10.56</v>
      </c>
      <c r="I402" s="49">
        <v>10.56</v>
      </c>
      <c r="J402" s="49">
        <v>10.56</v>
      </c>
      <c r="K402" s="49">
        <v>10.56</v>
      </c>
      <c r="L402" s="49" t="e">
        <f>L403/L401*1000</f>
        <v>#DIV/0!</v>
      </c>
      <c r="M402" s="49" t="e">
        <f>M403/M401*1000</f>
        <v>#DIV/0!</v>
      </c>
      <c r="N402" s="49">
        <v>10.56</v>
      </c>
      <c r="O402" s="49">
        <v>10.56</v>
      </c>
      <c r="P402" s="49">
        <v>10.56</v>
      </c>
      <c r="Q402" s="49">
        <v>10.56</v>
      </c>
      <c r="R402" s="49">
        <v>10.56</v>
      </c>
      <c r="S402" s="49">
        <v>10.56</v>
      </c>
      <c r="T402" s="49" t="e">
        <f>T403/T401*1000</f>
        <v>#DIV/0!</v>
      </c>
      <c r="U402" s="49" t="e">
        <f>U403/U401*1000</f>
        <v>#DIV/0!</v>
      </c>
      <c r="V402" s="68" t="e">
        <f>V403/V401*1000</f>
        <v>#DIV/0!</v>
      </c>
      <c r="W402" s="14" t="e">
        <f>W403/W401*1000</f>
        <v>#DIV/0!</v>
      </c>
      <c r="X402" s="59"/>
      <c r="Y402" s="36"/>
      <c r="Z402" s="36"/>
      <c r="AA402" s="36"/>
      <c r="AB402" s="36"/>
    </row>
    <row r="403" spans="1:28" s="126" customFormat="1" ht="18" hidden="1" customHeight="1">
      <c r="A403" s="595"/>
      <c r="B403" s="576"/>
      <c r="C403" s="577"/>
      <c r="D403" s="198" t="str">
        <f>серпень!D326</f>
        <v>касові видатки, тис.грн.</v>
      </c>
      <c r="E403" s="71"/>
      <c r="F403" s="61">
        <f t="shared" ref="F403:K403" si="450">F401*F402/1000</f>
        <v>0</v>
      </c>
      <c r="G403" s="61">
        <f t="shared" si="450"/>
        <v>0</v>
      </c>
      <c r="H403" s="61">
        <f t="shared" si="450"/>
        <v>0</v>
      </c>
      <c r="I403" s="61">
        <f t="shared" si="450"/>
        <v>0</v>
      </c>
      <c r="J403" s="61">
        <f t="shared" si="450"/>
        <v>0</v>
      </c>
      <c r="K403" s="61">
        <f t="shared" si="450"/>
        <v>0</v>
      </c>
      <c r="L403" s="61">
        <f>SUM(F403:K403)</f>
        <v>0</v>
      </c>
      <c r="M403" s="61">
        <f>L403/6</f>
        <v>0</v>
      </c>
      <c r="N403" s="61">
        <f t="shared" ref="N403:S403" si="451">N401*N402/1000</f>
        <v>0</v>
      </c>
      <c r="O403" s="61">
        <f t="shared" si="451"/>
        <v>0</v>
      </c>
      <c r="P403" s="61">
        <f t="shared" si="451"/>
        <v>0</v>
      </c>
      <c r="Q403" s="61">
        <f t="shared" si="451"/>
        <v>0</v>
      </c>
      <c r="R403" s="61">
        <f t="shared" si="451"/>
        <v>0</v>
      </c>
      <c r="S403" s="61">
        <f t="shared" si="451"/>
        <v>0</v>
      </c>
      <c r="T403" s="61">
        <f>SUM(N403:S403)</f>
        <v>0</v>
      </c>
      <c r="U403" s="61">
        <f>T403+L403</f>
        <v>0</v>
      </c>
      <c r="V403" s="61">
        <f>V398</f>
        <v>0</v>
      </c>
      <c r="W403" s="72">
        <f>V403-U403</f>
        <v>0</v>
      </c>
      <c r="X403" s="63">
        <f>U398-U403</f>
        <v>0</v>
      </c>
    </row>
    <row r="404" spans="1:28" s="126" customFormat="1" ht="18" hidden="1" customHeight="1">
      <c r="A404" s="595"/>
      <c r="B404" s="576"/>
      <c r="C404" s="577"/>
      <c r="D404" s="201" t="str">
        <f>серпень!D327</f>
        <v>дотація</v>
      </c>
      <c r="E404" s="71"/>
      <c r="F404" s="61"/>
      <c r="G404" s="61"/>
      <c r="H404" s="61"/>
      <c r="I404" s="61"/>
      <c r="J404" s="61"/>
      <c r="K404" s="61"/>
      <c r="L404" s="61">
        <f>SUM(F404:K404)</f>
        <v>0</v>
      </c>
      <c r="M404" s="61">
        <f>L404/6</f>
        <v>0</v>
      </c>
      <c r="N404" s="61"/>
      <c r="O404" s="61"/>
      <c r="P404" s="61"/>
      <c r="Q404" s="61"/>
      <c r="R404" s="61"/>
      <c r="S404" s="61"/>
      <c r="T404" s="61">
        <f>SUM(N404:S404)</f>
        <v>0</v>
      </c>
      <c r="U404" s="61">
        <f>T404+L404</f>
        <v>0</v>
      </c>
      <c r="V404" s="61">
        <f>V399</f>
        <v>0</v>
      </c>
      <c r="W404" s="72">
        <f>V404-U404</f>
        <v>0</v>
      </c>
      <c r="X404" s="63">
        <f>U399-U404</f>
        <v>0</v>
      </c>
    </row>
    <row r="405" spans="1:28" s="126" customFormat="1" ht="18" hidden="1" customHeight="1">
      <c r="A405" s="595"/>
      <c r="B405" s="576"/>
      <c r="C405" s="577"/>
      <c r="D405" s="201" t="str">
        <f>серпень!D328</f>
        <v xml:space="preserve">місцевий </v>
      </c>
      <c r="E405" s="71"/>
      <c r="F405" s="61">
        <f t="shared" ref="F405:K405" si="452">F403-F404</f>
        <v>0</v>
      </c>
      <c r="G405" s="61">
        <f t="shared" si="452"/>
        <v>0</v>
      </c>
      <c r="H405" s="61">
        <f t="shared" si="452"/>
        <v>0</v>
      </c>
      <c r="I405" s="61">
        <f t="shared" si="452"/>
        <v>0</v>
      </c>
      <c r="J405" s="61">
        <f t="shared" si="452"/>
        <v>0</v>
      </c>
      <c r="K405" s="61">
        <f t="shared" si="452"/>
        <v>0</v>
      </c>
      <c r="L405" s="61">
        <f>SUM(F405:K405)</f>
        <v>0</v>
      </c>
      <c r="M405" s="61">
        <f>L405/6</f>
        <v>0</v>
      </c>
      <c r="N405" s="61">
        <f t="shared" ref="N405:S405" si="453">N403-N404</f>
        <v>0</v>
      </c>
      <c r="O405" s="61">
        <f t="shared" si="453"/>
        <v>0</v>
      </c>
      <c r="P405" s="61">
        <f t="shared" si="453"/>
        <v>0</v>
      </c>
      <c r="Q405" s="61">
        <f t="shared" si="453"/>
        <v>0</v>
      </c>
      <c r="R405" s="61">
        <f t="shared" si="453"/>
        <v>0</v>
      </c>
      <c r="S405" s="61">
        <f t="shared" si="453"/>
        <v>0</v>
      </c>
      <c r="T405" s="61">
        <f>SUM(N405:S405)</f>
        <v>0</v>
      </c>
      <c r="U405" s="61">
        <f>T405+L405</f>
        <v>0</v>
      </c>
      <c r="V405" s="61">
        <f>V400</f>
        <v>0</v>
      </c>
      <c r="W405" s="72">
        <f>V405-U405</f>
        <v>0</v>
      </c>
      <c r="X405" s="63">
        <f>U400-U405</f>
        <v>0</v>
      </c>
    </row>
    <row r="406" spans="1:28" s="43" customFormat="1" ht="18" hidden="1" customHeight="1">
      <c r="A406" s="595"/>
      <c r="B406" s="576"/>
      <c r="C406" s="577"/>
      <c r="D406" s="202" t="str">
        <f>серпень!D329</f>
        <v>план</v>
      </c>
      <c r="E406" s="42"/>
      <c r="F406" s="42">
        <f t="shared" ref="F406:K406" si="454">F400</f>
        <v>0</v>
      </c>
      <c r="G406" s="42">
        <f t="shared" si="454"/>
        <v>0</v>
      </c>
      <c r="H406" s="42">
        <f t="shared" si="454"/>
        <v>0</v>
      </c>
      <c r="I406" s="42">
        <f t="shared" si="454"/>
        <v>0</v>
      </c>
      <c r="J406" s="42">
        <f t="shared" si="454"/>
        <v>0</v>
      </c>
      <c r="K406" s="42">
        <f t="shared" si="454"/>
        <v>0</v>
      </c>
      <c r="L406" s="42">
        <f>SUM(F406:K406)</f>
        <v>0</v>
      </c>
      <c r="M406" s="42">
        <f>L406/6</f>
        <v>0</v>
      </c>
      <c r="N406" s="42">
        <f t="shared" ref="N406:S406" si="455">N400+N399</f>
        <v>0</v>
      </c>
      <c r="O406" s="42">
        <f t="shared" si="455"/>
        <v>0</v>
      </c>
      <c r="P406" s="42">
        <f t="shared" si="455"/>
        <v>0</v>
      </c>
      <c r="Q406" s="42">
        <f t="shared" si="455"/>
        <v>0</v>
      </c>
      <c r="R406" s="42">
        <f t="shared" si="455"/>
        <v>0</v>
      </c>
      <c r="S406" s="42">
        <f t="shared" si="455"/>
        <v>0</v>
      </c>
      <c r="T406" s="42">
        <f>SUM(N406:S406)</f>
        <v>0</v>
      </c>
      <c r="U406" s="42">
        <f>T406+L406</f>
        <v>0</v>
      </c>
      <c r="V406" s="42">
        <f>V403</f>
        <v>0</v>
      </c>
      <c r="W406" s="42">
        <f>V406-U406</f>
        <v>0</v>
      </c>
    </row>
    <row r="407" spans="1:28" s="43" customFormat="1" ht="18" hidden="1" customHeight="1">
      <c r="A407" s="595"/>
      <c r="B407" s="576"/>
      <c r="C407" s="577"/>
      <c r="D407" s="202" t="str">
        <f>серпень!D330</f>
        <v xml:space="preserve">відхилення </v>
      </c>
      <c r="E407" s="42"/>
      <c r="F407" s="42">
        <f t="shared" ref="F407:K407" si="456">F403-F406</f>
        <v>0</v>
      </c>
      <c r="G407" s="42">
        <f t="shared" si="456"/>
        <v>0</v>
      </c>
      <c r="H407" s="42">
        <f t="shared" si="456"/>
        <v>0</v>
      </c>
      <c r="I407" s="42">
        <f t="shared" si="456"/>
        <v>0</v>
      </c>
      <c r="J407" s="42">
        <f t="shared" si="456"/>
        <v>0</v>
      </c>
      <c r="K407" s="42">
        <f t="shared" si="456"/>
        <v>0</v>
      </c>
      <c r="L407" s="42"/>
      <c r="M407" s="42"/>
      <c r="N407" s="42">
        <f t="shared" ref="N407:S407" si="457">N403-N406</f>
        <v>0</v>
      </c>
      <c r="O407" s="42">
        <f t="shared" si="457"/>
        <v>0</v>
      </c>
      <c r="P407" s="42">
        <f t="shared" si="457"/>
        <v>0</v>
      </c>
      <c r="Q407" s="42">
        <f t="shared" si="457"/>
        <v>0</v>
      </c>
      <c r="R407" s="42">
        <f t="shared" si="457"/>
        <v>0</v>
      </c>
      <c r="S407" s="42">
        <f t="shared" si="457"/>
        <v>0</v>
      </c>
      <c r="T407" s="42"/>
      <c r="U407" s="42"/>
      <c r="V407" s="42"/>
      <c r="W407" s="42"/>
    </row>
    <row r="408" spans="1:28" s="43" customFormat="1" ht="18" hidden="1" customHeight="1">
      <c r="A408" s="596"/>
      <c r="B408" s="578"/>
      <c r="C408" s="579"/>
      <c r="D408" s="202" t="str">
        <f>серпень!D331</f>
        <v>відхилення з наростаючим</v>
      </c>
      <c r="E408" s="42"/>
      <c r="F408" s="42">
        <f>F407</f>
        <v>0</v>
      </c>
      <c r="G408" s="42">
        <f>G407+F408</f>
        <v>0</v>
      </c>
      <c r="H408" s="42">
        <f>H407+G408</f>
        <v>0</v>
      </c>
      <c r="I408" s="42">
        <f>I407+H408</f>
        <v>0</v>
      </c>
      <c r="J408" s="42">
        <f>J407+I408</f>
        <v>0</v>
      </c>
      <c r="K408" s="42">
        <f>K407+J408</f>
        <v>0</v>
      </c>
      <c r="L408" s="42"/>
      <c r="M408" s="42"/>
      <c r="N408" s="42">
        <f>N407+K408</f>
        <v>0</v>
      </c>
      <c r="O408" s="42">
        <f>O407+N408</f>
        <v>0</v>
      </c>
      <c r="P408" s="42">
        <f>P407+O408</f>
        <v>0</v>
      </c>
      <c r="Q408" s="42">
        <f>Q407+P408</f>
        <v>0</v>
      </c>
      <c r="R408" s="42">
        <f>R407+Q408</f>
        <v>0</v>
      </c>
      <c r="S408" s="42">
        <f>S407+R408</f>
        <v>0</v>
      </c>
      <c r="T408" s="42"/>
      <c r="U408" s="42"/>
      <c r="V408" s="42"/>
      <c r="W408" s="42"/>
    </row>
    <row r="409" spans="1:28" s="157" customFormat="1" ht="18" customHeight="1">
      <c r="A409" s="582" t="s">
        <v>39</v>
      </c>
      <c r="B409" s="655" t="s">
        <v>40</v>
      </c>
      <c r="C409" s="656"/>
      <c r="D409" s="178" t="str">
        <f>серпень!D332</f>
        <v>факт. нат.п-ки 2023</v>
      </c>
      <c r="E409" s="179"/>
      <c r="F409" s="180">
        <f t="shared" ref="F409:K411" si="458">F426+F441+F456</f>
        <v>72</v>
      </c>
      <c r="G409" s="180">
        <f t="shared" si="458"/>
        <v>0</v>
      </c>
      <c r="H409" s="180">
        <f t="shared" si="458"/>
        <v>0</v>
      </c>
      <c r="I409" s="180">
        <f t="shared" si="458"/>
        <v>0</v>
      </c>
      <c r="J409" s="180">
        <f t="shared" si="458"/>
        <v>0</v>
      </c>
      <c r="K409" s="180">
        <f t="shared" si="458"/>
        <v>0</v>
      </c>
      <c r="L409" s="215">
        <f>SUM(F409:K409)</f>
        <v>72</v>
      </c>
      <c r="M409" s="215">
        <f>L409/6</f>
        <v>12</v>
      </c>
      <c r="N409" s="180">
        <f t="shared" ref="N409:S411" si="459">N426+N441+N456</f>
        <v>68</v>
      </c>
      <c r="O409" s="180">
        <f t="shared" si="459"/>
        <v>110</v>
      </c>
      <c r="P409" s="180">
        <f t="shared" si="459"/>
        <v>124</v>
      </c>
      <c r="Q409" s="180">
        <f t="shared" si="459"/>
        <v>102</v>
      </c>
      <c r="R409" s="180">
        <f t="shared" si="459"/>
        <v>138</v>
      </c>
      <c r="S409" s="180">
        <f t="shared" si="459"/>
        <v>0</v>
      </c>
      <c r="T409" s="215">
        <f>SUM(N409:S409)</f>
        <v>542</v>
      </c>
      <c r="U409" s="215">
        <f>T409+L409</f>
        <v>614</v>
      </c>
      <c r="V409" s="233">
        <f>V426+V456</f>
        <v>0</v>
      </c>
      <c r="W409" s="184"/>
      <c r="X409" s="209"/>
    </row>
    <row r="410" spans="1:28" s="157" customFormat="1" ht="18" customHeight="1">
      <c r="A410" s="583"/>
      <c r="B410" s="657"/>
      <c r="C410" s="658"/>
      <c r="D410" s="178" t="str">
        <f>серпень!D333</f>
        <v>факт. нат.п-ки 2024</v>
      </c>
      <c r="E410" s="179"/>
      <c r="F410" s="180">
        <f t="shared" si="458"/>
        <v>114</v>
      </c>
      <c r="G410" s="180">
        <f t="shared" si="458"/>
        <v>232</v>
      </c>
      <c r="H410" s="180">
        <f t="shared" si="458"/>
        <v>196</v>
      </c>
      <c r="I410" s="180">
        <f t="shared" si="458"/>
        <v>182</v>
      </c>
      <c r="J410" s="180">
        <f t="shared" si="458"/>
        <v>226</v>
      </c>
      <c r="K410" s="180">
        <f t="shared" si="458"/>
        <v>317.10000000000002</v>
      </c>
      <c r="L410" s="215">
        <f>SUM(F410:K410)</f>
        <v>1267.0999999999999</v>
      </c>
      <c r="M410" s="215">
        <f>L410/6</f>
        <v>211.2</v>
      </c>
      <c r="N410" s="180">
        <f t="shared" si="459"/>
        <v>323.60000000000002</v>
      </c>
      <c r="O410" s="180">
        <f t="shared" si="459"/>
        <v>493.7</v>
      </c>
      <c r="P410" s="180">
        <f t="shared" si="459"/>
        <v>440.4</v>
      </c>
      <c r="Q410" s="180">
        <f t="shared" si="459"/>
        <v>336.9</v>
      </c>
      <c r="R410" s="180">
        <f t="shared" si="459"/>
        <v>138</v>
      </c>
      <c r="S410" s="180">
        <f t="shared" si="459"/>
        <v>138</v>
      </c>
      <c r="T410" s="215">
        <f>SUM(N410:S410)</f>
        <v>1870.6</v>
      </c>
      <c r="U410" s="215">
        <f>T410+L410</f>
        <v>3137.7</v>
      </c>
      <c r="V410" s="233">
        <f>V427+V457</f>
        <v>1040</v>
      </c>
      <c r="W410" s="184"/>
      <c r="X410" s="209"/>
    </row>
    <row r="411" spans="1:28" s="157" customFormat="1" ht="18" customHeight="1">
      <c r="A411" s="583"/>
      <c r="B411" s="657"/>
      <c r="C411" s="658"/>
      <c r="D411" s="178" t="str">
        <f>серпень!D334</f>
        <v>факт. нат.п-ки 2025</v>
      </c>
      <c r="E411" s="179"/>
      <c r="F411" s="180">
        <f>F428+F443+F458</f>
        <v>0</v>
      </c>
      <c r="G411" s="180">
        <f t="shared" si="458"/>
        <v>0</v>
      </c>
      <c r="H411" s="180">
        <f t="shared" si="458"/>
        <v>0</v>
      </c>
      <c r="I411" s="180">
        <f t="shared" si="458"/>
        <v>0</v>
      </c>
      <c r="J411" s="180">
        <f t="shared" si="458"/>
        <v>0</v>
      </c>
      <c r="K411" s="180">
        <f t="shared" si="458"/>
        <v>0</v>
      </c>
      <c r="L411" s="234">
        <f>SUM(F411:K411)</f>
        <v>0</v>
      </c>
      <c r="M411" s="215">
        <f>L411/6</f>
        <v>0</v>
      </c>
      <c r="N411" s="180">
        <f t="shared" si="459"/>
        <v>0</v>
      </c>
      <c r="O411" s="180">
        <f t="shared" si="459"/>
        <v>0</v>
      </c>
      <c r="P411" s="180">
        <f t="shared" si="459"/>
        <v>98.8</v>
      </c>
      <c r="Q411" s="180">
        <f t="shared" si="459"/>
        <v>98</v>
      </c>
      <c r="R411" s="180">
        <f t="shared" si="459"/>
        <v>95</v>
      </c>
      <c r="S411" s="180">
        <f t="shared" si="459"/>
        <v>98</v>
      </c>
      <c r="T411" s="215">
        <f>SUM(N411:S411)</f>
        <v>389.8</v>
      </c>
      <c r="U411" s="215">
        <f>T411+L411</f>
        <v>389.8</v>
      </c>
      <c r="V411" s="233">
        <f>V428+V443+V458</f>
        <v>1239.9000000000001</v>
      </c>
      <c r="W411" s="184">
        <f>V411-U411</f>
        <v>850.1</v>
      </c>
      <c r="X411" s="209"/>
    </row>
    <row r="412" spans="1:28" s="241" customFormat="1" ht="18" customHeight="1">
      <c r="A412" s="583"/>
      <c r="B412" s="657"/>
      <c r="C412" s="658"/>
      <c r="D412" s="187" t="str">
        <f>серпень!D335</f>
        <v>тариф, грн.</v>
      </c>
      <c r="E412" s="188"/>
      <c r="F412" s="188" t="e">
        <f t="shared" ref="F412:S412" si="460">F413/F411*1000</f>
        <v>#DIV/0!</v>
      </c>
      <c r="G412" s="188" t="e">
        <f t="shared" si="460"/>
        <v>#DIV/0!</v>
      </c>
      <c r="H412" s="188" t="e">
        <f t="shared" si="460"/>
        <v>#DIV/0!</v>
      </c>
      <c r="I412" s="188" t="e">
        <f t="shared" si="460"/>
        <v>#DIV/0!</v>
      </c>
      <c r="J412" s="188" t="e">
        <f t="shared" si="460"/>
        <v>#DIV/0!</v>
      </c>
      <c r="K412" s="188" t="e">
        <f t="shared" si="460"/>
        <v>#DIV/0!</v>
      </c>
      <c r="L412" s="188" t="e">
        <f t="shared" si="460"/>
        <v>#DIV/0!</v>
      </c>
      <c r="M412" s="188" t="e">
        <f t="shared" si="460"/>
        <v>#DIV/0!</v>
      </c>
      <c r="N412" s="188" t="e">
        <f t="shared" si="460"/>
        <v>#DIV/0!</v>
      </c>
      <c r="O412" s="188" t="e">
        <f t="shared" si="460"/>
        <v>#DIV/0!</v>
      </c>
      <c r="P412" s="188">
        <f t="shared" si="460"/>
        <v>14.18</v>
      </c>
      <c r="Q412" s="188">
        <f t="shared" si="460"/>
        <v>14.183999999999999</v>
      </c>
      <c r="R412" s="188">
        <f t="shared" si="460"/>
        <v>14.179</v>
      </c>
      <c r="S412" s="188">
        <f t="shared" si="460"/>
        <v>14.194000000000001</v>
      </c>
      <c r="T412" s="188">
        <f>T413/T411*1000</f>
        <v>14.183999999999999</v>
      </c>
      <c r="U412" s="188">
        <f>U413/U411*1000</f>
        <v>14.183999999999999</v>
      </c>
      <c r="V412" s="188">
        <f>V413/V411*1000</f>
        <v>14.183999999999999</v>
      </c>
      <c r="W412" s="189">
        <f>W413/W411*1000</f>
        <v>14.183999999999999</v>
      </c>
      <c r="X412" s="240"/>
    </row>
    <row r="413" spans="1:28" s="172" customFormat="1" ht="18" customHeight="1">
      <c r="A413" s="583"/>
      <c r="B413" s="657"/>
      <c r="C413" s="658"/>
      <c r="D413" s="191" t="str">
        <f>серпень!D336</f>
        <v>сума, тис.грн.</v>
      </c>
      <c r="E413" s="192"/>
      <c r="F413" s="192">
        <f t="shared" ref="F413:K413" si="461">F430+F445+F460</f>
        <v>0</v>
      </c>
      <c r="G413" s="192">
        <f t="shared" si="461"/>
        <v>0</v>
      </c>
      <c r="H413" s="192">
        <f t="shared" si="461"/>
        <v>0</v>
      </c>
      <c r="I413" s="192">
        <f t="shared" si="461"/>
        <v>0</v>
      </c>
      <c r="J413" s="192">
        <f t="shared" si="461"/>
        <v>0</v>
      </c>
      <c r="K413" s="192">
        <f t="shared" si="461"/>
        <v>0</v>
      </c>
      <c r="L413" s="194">
        <f t="shared" ref="L413:L418" si="462">SUM(F413:K413)</f>
        <v>0</v>
      </c>
      <c r="M413" s="194">
        <f t="shared" ref="M413:M418" si="463">L413/6</f>
        <v>0</v>
      </c>
      <c r="N413" s="192">
        <f t="shared" ref="N413:S413" si="464">N430+N445+N460</f>
        <v>0</v>
      </c>
      <c r="O413" s="192">
        <f t="shared" si="464"/>
        <v>0</v>
      </c>
      <c r="P413" s="192">
        <f t="shared" si="464"/>
        <v>1.401</v>
      </c>
      <c r="Q413" s="192">
        <f t="shared" si="464"/>
        <v>1.39</v>
      </c>
      <c r="R413" s="192">
        <f t="shared" si="464"/>
        <v>1.347</v>
      </c>
      <c r="S413" s="192">
        <f t="shared" si="464"/>
        <v>1.391</v>
      </c>
      <c r="T413" s="194">
        <f t="shared" ref="T413:T418" si="465">SUM(N413:S413)</f>
        <v>5.5289999999999999</v>
      </c>
      <c r="U413" s="194">
        <f t="shared" ref="U413:U418" si="466">T413+L413</f>
        <v>5.5289999999999999</v>
      </c>
      <c r="V413" s="192">
        <f t="shared" ref="V413" si="467">V430+V445+V460</f>
        <v>17.587</v>
      </c>
      <c r="W413" s="192">
        <f>V413-U413</f>
        <v>12.058</v>
      </c>
    </row>
    <row r="414" spans="1:28" s="172" customFormat="1" ht="18" customHeight="1">
      <c r="A414" s="583"/>
      <c r="B414" s="657"/>
      <c r="C414" s="658"/>
      <c r="D414" s="174" t="str">
        <f>серпень!D337</f>
        <v>абоненська плата, тис.грн.</v>
      </c>
      <c r="E414" s="192"/>
      <c r="F414" s="192">
        <f>F445</f>
        <v>0</v>
      </c>
      <c r="G414" s="192">
        <f t="shared" ref="G414:K414" si="468">G445</f>
        <v>0</v>
      </c>
      <c r="H414" s="192">
        <f t="shared" si="468"/>
        <v>0</v>
      </c>
      <c r="I414" s="192">
        <f t="shared" si="468"/>
        <v>0</v>
      </c>
      <c r="J414" s="192">
        <f t="shared" si="468"/>
        <v>0</v>
      </c>
      <c r="K414" s="192">
        <f t="shared" si="468"/>
        <v>0</v>
      </c>
      <c r="L414" s="194">
        <f t="shared" si="462"/>
        <v>0</v>
      </c>
      <c r="M414" s="194">
        <f t="shared" si="463"/>
        <v>0</v>
      </c>
      <c r="N414" s="192">
        <f>N445</f>
        <v>0</v>
      </c>
      <c r="O414" s="192">
        <f t="shared" ref="O414:S414" si="469">O445</f>
        <v>0</v>
      </c>
      <c r="P414" s="192">
        <f t="shared" si="469"/>
        <v>0</v>
      </c>
      <c r="Q414" s="192">
        <f t="shared" si="469"/>
        <v>0</v>
      </c>
      <c r="R414" s="192">
        <f t="shared" si="469"/>
        <v>0</v>
      </c>
      <c r="S414" s="192">
        <f t="shared" si="469"/>
        <v>0</v>
      </c>
      <c r="T414" s="194">
        <f t="shared" si="465"/>
        <v>0</v>
      </c>
      <c r="U414" s="194">
        <f t="shared" si="466"/>
        <v>0</v>
      </c>
      <c r="V414" s="192">
        <f t="shared" ref="V414" si="470">V445</f>
        <v>0</v>
      </c>
      <c r="W414" s="192">
        <f t="shared" ref="W414:W415" si="471">V414-U414</f>
        <v>0</v>
      </c>
    </row>
    <row r="415" spans="1:28" s="172" customFormat="1" ht="18" customHeight="1">
      <c r="A415" s="583"/>
      <c r="B415" s="657"/>
      <c r="C415" s="658"/>
      <c r="D415" s="174" t="str">
        <f>серпень!D338</f>
        <v>разом сума тис. грн+абонплата</v>
      </c>
      <c r="E415" s="192"/>
      <c r="F415" s="192">
        <f>F413+F414</f>
        <v>0</v>
      </c>
      <c r="G415" s="192">
        <f t="shared" ref="G415:K415" si="472">G413+G414</f>
        <v>0</v>
      </c>
      <c r="H415" s="192">
        <f t="shared" si="472"/>
        <v>0</v>
      </c>
      <c r="I415" s="192">
        <f t="shared" si="472"/>
        <v>0</v>
      </c>
      <c r="J415" s="192">
        <f t="shared" si="472"/>
        <v>0</v>
      </c>
      <c r="K415" s="192">
        <f t="shared" si="472"/>
        <v>0</v>
      </c>
      <c r="L415" s="194">
        <f t="shared" si="462"/>
        <v>0</v>
      </c>
      <c r="M415" s="194">
        <f t="shared" si="463"/>
        <v>0</v>
      </c>
      <c r="N415" s="192">
        <f>N413+N414</f>
        <v>0</v>
      </c>
      <c r="O415" s="192">
        <f t="shared" ref="O415:S415" si="473">O413+O414</f>
        <v>0</v>
      </c>
      <c r="P415" s="192">
        <f t="shared" si="473"/>
        <v>1.401</v>
      </c>
      <c r="Q415" s="192">
        <f t="shared" si="473"/>
        <v>1.39</v>
      </c>
      <c r="R415" s="192">
        <f t="shared" si="473"/>
        <v>1.347</v>
      </c>
      <c r="S415" s="192">
        <f t="shared" si="473"/>
        <v>1.391</v>
      </c>
      <c r="T415" s="194">
        <f t="shared" si="465"/>
        <v>5.5289999999999999</v>
      </c>
      <c r="U415" s="194">
        <f t="shared" si="466"/>
        <v>5.5289999999999999</v>
      </c>
      <c r="V415" s="192">
        <f t="shared" ref="V415" si="474">V413+V414</f>
        <v>17.587</v>
      </c>
      <c r="W415" s="192">
        <f t="shared" si="471"/>
        <v>12.058</v>
      </c>
    </row>
    <row r="416" spans="1:28" s="172" customFormat="1" ht="18" customHeight="1">
      <c r="A416" s="583"/>
      <c r="B416" s="657"/>
      <c r="C416" s="658"/>
      <c r="D416" s="174" t="str">
        <f>серпень!D339</f>
        <v>дотація</v>
      </c>
      <c r="E416" s="192"/>
      <c r="F416" s="192">
        <f t="shared" ref="F416:K418" si="475">F431+F446+F461</f>
        <v>0</v>
      </c>
      <c r="G416" s="192">
        <f t="shared" si="475"/>
        <v>0</v>
      </c>
      <c r="H416" s="192">
        <f t="shared" si="475"/>
        <v>0</v>
      </c>
      <c r="I416" s="192">
        <f t="shared" si="475"/>
        <v>0</v>
      </c>
      <c r="J416" s="192">
        <f t="shared" si="475"/>
        <v>0</v>
      </c>
      <c r="K416" s="192">
        <f t="shared" si="475"/>
        <v>0</v>
      </c>
      <c r="L416" s="194">
        <f t="shared" si="462"/>
        <v>0</v>
      </c>
      <c r="M416" s="194">
        <f t="shared" si="463"/>
        <v>0</v>
      </c>
      <c r="N416" s="192">
        <f t="shared" ref="N416:S418" si="476">N431+N446+N461</f>
        <v>0</v>
      </c>
      <c r="O416" s="192">
        <f t="shared" si="476"/>
        <v>0</v>
      </c>
      <c r="P416" s="192">
        <f t="shared" si="476"/>
        <v>0</v>
      </c>
      <c r="Q416" s="192">
        <f t="shared" si="476"/>
        <v>0</v>
      </c>
      <c r="R416" s="192">
        <f t="shared" si="476"/>
        <v>0</v>
      </c>
      <c r="S416" s="192">
        <f t="shared" si="476"/>
        <v>0</v>
      </c>
      <c r="T416" s="194">
        <f t="shared" si="465"/>
        <v>0</v>
      </c>
      <c r="U416" s="194">
        <f t="shared" si="466"/>
        <v>0</v>
      </c>
      <c r="V416" s="192">
        <f t="shared" ref="V416:V417" si="477">V431+V446+V461</f>
        <v>0</v>
      </c>
      <c r="W416" s="192">
        <f>V416-U416</f>
        <v>0</v>
      </c>
    </row>
    <row r="417" spans="1:28" s="172" customFormat="1" ht="18" customHeight="1">
      <c r="A417" s="583"/>
      <c r="B417" s="657"/>
      <c r="C417" s="658"/>
      <c r="D417" s="174" t="str">
        <f>серпень!D340</f>
        <v>місцевий (план), тис.грн</v>
      </c>
      <c r="E417" s="192"/>
      <c r="F417" s="192">
        <f t="shared" si="475"/>
        <v>1.617</v>
      </c>
      <c r="G417" s="192">
        <f t="shared" si="475"/>
        <v>1.8720000000000001</v>
      </c>
      <c r="H417" s="192">
        <f t="shared" si="475"/>
        <v>0.78500000000000003</v>
      </c>
      <c r="I417" s="192">
        <f t="shared" si="475"/>
        <v>1.7729999999999999</v>
      </c>
      <c r="J417" s="192">
        <f t="shared" si="475"/>
        <v>1.39</v>
      </c>
      <c r="K417" s="192">
        <f t="shared" si="475"/>
        <v>1.6619999999999999</v>
      </c>
      <c r="L417" s="194">
        <f t="shared" si="462"/>
        <v>9.0990000000000002</v>
      </c>
      <c r="M417" s="194">
        <f t="shared" si="463"/>
        <v>1.5169999999999999</v>
      </c>
      <c r="N417" s="192">
        <f t="shared" si="476"/>
        <v>0</v>
      </c>
      <c r="O417" s="192">
        <f t="shared" si="476"/>
        <v>2.484</v>
      </c>
      <c r="P417" s="192">
        <f t="shared" si="476"/>
        <v>1.8759999999999999</v>
      </c>
      <c r="Q417" s="192">
        <f t="shared" si="476"/>
        <v>1.39</v>
      </c>
      <c r="R417" s="192">
        <f t="shared" si="476"/>
        <v>1.347</v>
      </c>
      <c r="S417" s="192">
        <f t="shared" si="476"/>
        <v>1.391</v>
      </c>
      <c r="T417" s="194">
        <f t="shared" si="465"/>
        <v>8.4879999999999995</v>
      </c>
      <c r="U417" s="194">
        <f t="shared" si="466"/>
        <v>17.587</v>
      </c>
      <c r="V417" s="192">
        <f t="shared" si="477"/>
        <v>17.587</v>
      </c>
      <c r="W417" s="192">
        <f>V417-U417</f>
        <v>0</v>
      </c>
    </row>
    <row r="418" spans="1:28" s="157" customFormat="1" ht="18" customHeight="1">
      <c r="A418" s="583"/>
      <c r="B418" s="657"/>
      <c r="C418" s="658"/>
      <c r="D418" s="178" t="str">
        <f>серпень!D341</f>
        <v>касові нат.п-ки 2025</v>
      </c>
      <c r="E418" s="179">
        <f>E433</f>
        <v>0</v>
      </c>
      <c r="F418" s="179">
        <f t="shared" si="475"/>
        <v>0</v>
      </c>
      <c r="G418" s="179">
        <f t="shared" si="475"/>
        <v>0</v>
      </c>
      <c r="H418" s="179">
        <f t="shared" si="475"/>
        <v>0</v>
      </c>
      <c r="I418" s="179">
        <f t="shared" si="475"/>
        <v>0</v>
      </c>
      <c r="J418" s="179">
        <f t="shared" si="475"/>
        <v>0</v>
      </c>
      <c r="K418" s="179">
        <f t="shared" si="475"/>
        <v>0</v>
      </c>
      <c r="L418" s="215">
        <f t="shared" si="462"/>
        <v>0</v>
      </c>
      <c r="M418" s="215">
        <f t="shared" si="463"/>
        <v>0</v>
      </c>
      <c r="N418" s="179">
        <f t="shared" si="476"/>
        <v>0</v>
      </c>
      <c r="O418" s="179">
        <f t="shared" si="476"/>
        <v>0</v>
      </c>
      <c r="P418" s="179">
        <f t="shared" si="476"/>
        <v>98.8</v>
      </c>
      <c r="Q418" s="179">
        <f t="shared" si="476"/>
        <v>98</v>
      </c>
      <c r="R418" s="179">
        <f t="shared" si="476"/>
        <v>95</v>
      </c>
      <c r="S418" s="179">
        <f t="shared" si="476"/>
        <v>98</v>
      </c>
      <c r="T418" s="215">
        <f t="shared" si="465"/>
        <v>389.8</v>
      </c>
      <c r="U418" s="215">
        <f t="shared" si="466"/>
        <v>389.8</v>
      </c>
      <c r="V418" s="179">
        <f>V433+V463</f>
        <v>1239.9000000000001</v>
      </c>
      <c r="W418" s="184">
        <f>V418-U418</f>
        <v>850.1</v>
      </c>
      <c r="X418" s="209">
        <f>U411-U418</f>
        <v>0</v>
      </c>
    </row>
    <row r="419" spans="1:28" s="241" customFormat="1" ht="18" customHeight="1">
      <c r="A419" s="583"/>
      <c r="B419" s="657"/>
      <c r="C419" s="658"/>
      <c r="D419" s="187" t="str">
        <f>серпень!D342</f>
        <v>тариф, грн.</v>
      </c>
      <c r="E419" s="188" t="e">
        <f t="shared" ref="E419:S419" si="478">E420/E418*1000</f>
        <v>#DIV/0!</v>
      </c>
      <c r="F419" s="188" t="e">
        <f t="shared" si="478"/>
        <v>#DIV/0!</v>
      </c>
      <c r="G419" s="188" t="e">
        <f t="shared" si="478"/>
        <v>#DIV/0!</v>
      </c>
      <c r="H419" s="188" t="e">
        <f t="shared" si="478"/>
        <v>#DIV/0!</v>
      </c>
      <c r="I419" s="188" t="e">
        <f t="shared" si="478"/>
        <v>#DIV/0!</v>
      </c>
      <c r="J419" s="188" t="e">
        <f t="shared" si="478"/>
        <v>#DIV/0!</v>
      </c>
      <c r="K419" s="188" t="e">
        <f t="shared" si="478"/>
        <v>#DIV/0!</v>
      </c>
      <c r="L419" s="188" t="e">
        <f t="shared" si="478"/>
        <v>#DIV/0!</v>
      </c>
      <c r="M419" s="188" t="e">
        <f t="shared" si="478"/>
        <v>#DIV/0!</v>
      </c>
      <c r="N419" s="188" t="e">
        <f t="shared" si="478"/>
        <v>#DIV/0!</v>
      </c>
      <c r="O419" s="188" t="e">
        <f t="shared" si="478"/>
        <v>#DIV/0!</v>
      </c>
      <c r="P419" s="188">
        <f t="shared" si="478"/>
        <v>14.18</v>
      </c>
      <c r="Q419" s="188">
        <f t="shared" si="478"/>
        <v>14.183999999999999</v>
      </c>
      <c r="R419" s="188">
        <f t="shared" si="478"/>
        <v>14.179</v>
      </c>
      <c r="S419" s="188">
        <f t="shared" si="478"/>
        <v>14.194000000000001</v>
      </c>
      <c r="T419" s="188">
        <f>T420/T418*1000</f>
        <v>14.183999999999999</v>
      </c>
      <c r="U419" s="188">
        <f>U420/U418*1000</f>
        <v>14.183999999999999</v>
      </c>
      <c r="V419" s="188">
        <f>V420/V418*1000</f>
        <v>14.183999999999999</v>
      </c>
      <c r="W419" s="189">
        <f>W420/W418*1000</f>
        <v>14.183999999999999</v>
      </c>
      <c r="X419" s="240"/>
    </row>
    <row r="420" spans="1:28" s="213" customFormat="1" ht="18" customHeight="1">
      <c r="A420" s="583"/>
      <c r="B420" s="657"/>
      <c r="C420" s="658"/>
      <c r="D420" s="198" t="str">
        <f>серпень!D343</f>
        <v>касові видатки, тис.грн.</v>
      </c>
      <c r="E420" s="220">
        <f>E435+E465</f>
        <v>0</v>
      </c>
      <c r="F420" s="199">
        <f t="shared" ref="F420:K422" si="479">F435+F450+F465</f>
        <v>0</v>
      </c>
      <c r="G420" s="199">
        <f t="shared" si="479"/>
        <v>0</v>
      </c>
      <c r="H420" s="199">
        <f t="shared" si="479"/>
        <v>0</v>
      </c>
      <c r="I420" s="199">
        <f t="shared" si="479"/>
        <v>0</v>
      </c>
      <c r="J420" s="199">
        <f t="shared" si="479"/>
        <v>0</v>
      </c>
      <c r="K420" s="199">
        <f t="shared" si="479"/>
        <v>0</v>
      </c>
      <c r="L420" s="199">
        <f>SUM(F420:K420)</f>
        <v>0</v>
      </c>
      <c r="M420" s="199">
        <f>L420/6</f>
        <v>0</v>
      </c>
      <c r="N420" s="199">
        <f t="shared" ref="N420:S422" si="480">N435+N450+N465</f>
        <v>0</v>
      </c>
      <c r="O420" s="199">
        <f t="shared" si="480"/>
        <v>0</v>
      </c>
      <c r="P420" s="199">
        <f t="shared" si="480"/>
        <v>1.401</v>
      </c>
      <c r="Q420" s="199">
        <f t="shared" si="480"/>
        <v>1.39</v>
      </c>
      <c r="R420" s="199">
        <f t="shared" si="480"/>
        <v>1.347</v>
      </c>
      <c r="S420" s="199">
        <f t="shared" si="480"/>
        <v>1.391</v>
      </c>
      <c r="T420" s="199">
        <f>SUM(N420:S420)</f>
        <v>5.5289999999999999</v>
      </c>
      <c r="U420" s="199">
        <f>T420+L420</f>
        <v>5.5289999999999999</v>
      </c>
      <c r="V420" s="199">
        <f>V435+V465</f>
        <v>17.587</v>
      </c>
      <c r="W420" s="221">
        <f>V420-U420</f>
        <v>12.058</v>
      </c>
      <c r="X420" s="213">
        <f>U413-U420</f>
        <v>0</v>
      </c>
    </row>
    <row r="421" spans="1:28" s="213" customFormat="1" ht="18" customHeight="1">
      <c r="A421" s="583"/>
      <c r="B421" s="657"/>
      <c r="C421" s="658"/>
      <c r="D421" s="201" t="str">
        <f>серпень!D344</f>
        <v>дотація</v>
      </c>
      <c r="E421" s="220"/>
      <c r="F421" s="199">
        <f t="shared" si="479"/>
        <v>0</v>
      </c>
      <c r="G421" s="199">
        <f t="shared" si="479"/>
        <v>0</v>
      </c>
      <c r="H421" s="199">
        <f t="shared" si="479"/>
        <v>0</v>
      </c>
      <c r="I421" s="199">
        <f t="shared" si="479"/>
        <v>0</v>
      </c>
      <c r="J421" s="199">
        <f t="shared" si="479"/>
        <v>0</v>
      </c>
      <c r="K421" s="199">
        <f t="shared" si="479"/>
        <v>0</v>
      </c>
      <c r="L421" s="199">
        <f>SUM(F421:K421)</f>
        <v>0</v>
      </c>
      <c r="M421" s="199">
        <f>L421/6</f>
        <v>0</v>
      </c>
      <c r="N421" s="199">
        <f t="shared" si="480"/>
        <v>0</v>
      </c>
      <c r="O421" s="199">
        <f t="shared" si="480"/>
        <v>0</v>
      </c>
      <c r="P421" s="199">
        <f t="shared" si="480"/>
        <v>0</v>
      </c>
      <c r="Q421" s="199">
        <f t="shared" si="480"/>
        <v>0</v>
      </c>
      <c r="R421" s="199">
        <f t="shared" si="480"/>
        <v>0</v>
      </c>
      <c r="S421" s="199">
        <f t="shared" si="480"/>
        <v>0</v>
      </c>
      <c r="T421" s="199">
        <f>SUM(N421:S421)</f>
        <v>0</v>
      </c>
      <c r="U421" s="199">
        <f>T421+L421</f>
        <v>0</v>
      </c>
      <c r="V421" s="199">
        <f>V436+V466</f>
        <v>0</v>
      </c>
      <c r="W421" s="221">
        <f>V421-U421</f>
        <v>0</v>
      </c>
      <c r="X421" s="213">
        <f>U416-U421</f>
        <v>0</v>
      </c>
    </row>
    <row r="422" spans="1:28" s="213" customFormat="1" ht="18" customHeight="1">
      <c r="A422" s="583"/>
      <c r="B422" s="657"/>
      <c r="C422" s="658"/>
      <c r="D422" s="201" t="str">
        <f>серпень!D345</f>
        <v xml:space="preserve">місцевий </v>
      </c>
      <c r="E422" s="220"/>
      <c r="F422" s="199">
        <f t="shared" si="479"/>
        <v>0</v>
      </c>
      <c r="G422" s="199">
        <f t="shared" si="479"/>
        <v>0</v>
      </c>
      <c r="H422" s="199">
        <f t="shared" si="479"/>
        <v>0</v>
      </c>
      <c r="I422" s="199">
        <f t="shared" si="479"/>
        <v>0</v>
      </c>
      <c r="J422" s="199">
        <f t="shared" si="479"/>
        <v>0</v>
      </c>
      <c r="K422" s="199">
        <f t="shared" si="479"/>
        <v>0</v>
      </c>
      <c r="L422" s="199">
        <f>SUM(F422:K422)</f>
        <v>0</v>
      </c>
      <c r="M422" s="199">
        <f>L422/6</f>
        <v>0</v>
      </c>
      <c r="N422" s="199">
        <f t="shared" si="480"/>
        <v>0</v>
      </c>
      <c r="O422" s="199">
        <f t="shared" si="480"/>
        <v>0</v>
      </c>
      <c r="P422" s="199">
        <f t="shared" si="480"/>
        <v>1.401</v>
      </c>
      <c r="Q422" s="199">
        <f t="shared" si="480"/>
        <v>1.39</v>
      </c>
      <c r="R422" s="199">
        <f t="shared" si="480"/>
        <v>1.347</v>
      </c>
      <c r="S422" s="199">
        <f t="shared" si="480"/>
        <v>1.391</v>
      </c>
      <c r="T422" s="199">
        <f>SUM(N422:S422)</f>
        <v>5.5289999999999999</v>
      </c>
      <c r="U422" s="199">
        <f>T422+L422</f>
        <v>5.5289999999999999</v>
      </c>
      <c r="V422" s="199">
        <f>V437+V467</f>
        <v>17.587</v>
      </c>
      <c r="W422" s="221">
        <f>V422-U422</f>
        <v>12.058</v>
      </c>
      <c r="X422" s="213">
        <f>U417-U422</f>
        <v>12.058</v>
      </c>
    </row>
    <row r="423" spans="1:28" s="214" customFormat="1" ht="18" customHeight="1">
      <c r="A423" s="583"/>
      <c r="B423" s="657"/>
      <c r="C423" s="658"/>
      <c r="D423" s="202" t="str">
        <f>серпень!D346</f>
        <v>план</v>
      </c>
      <c r="E423" s="203"/>
      <c r="F423" s="203">
        <f t="shared" ref="F423:K423" si="481">F417</f>
        <v>1.617</v>
      </c>
      <c r="G423" s="203">
        <f t="shared" si="481"/>
        <v>1.8720000000000001</v>
      </c>
      <c r="H423" s="203">
        <f t="shared" si="481"/>
        <v>0.78500000000000003</v>
      </c>
      <c r="I423" s="203">
        <f t="shared" si="481"/>
        <v>1.7729999999999999</v>
      </c>
      <c r="J423" s="203">
        <f t="shared" si="481"/>
        <v>1.39</v>
      </c>
      <c r="K423" s="203">
        <f t="shared" si="481"/>
        <v>1.6619999999999999</v>
      </c>
      <c r="L423" s="203">
        <f>SUM(F423:K423)</f>
        <v>9.0990000000000002</v>
      </c>
      <c r="M423" s="203">
        <f>L423/6</f>
        <v>1.5169999999999999</v>
      </c>
      <c r="N423" s="203">
        <f t="shared" ref="N423:S423" si="482">N438+N468</f>
        <v>0</v>
      </c>
      <c r="O423" s="203">
        <f t="shared" si="482"/>
        <v>2.484</v>
      </c>
      <c r="P423" s="203">
        <f t="shared" si="482"/>
        <v>1.8759999999999999</v>
      </c>
      <c r="Q423" s="203">
        <f t="shared" si="482"/>
        <v>1.39</v>
      </c>
      <c r="R423" s="203">
        <f t="shared" si="482"/>
        <v>1.347</v>
      </c>
      <c r="S423" s="203">
        <f t="shared" si="482"/>
        <v>1.391</v>
      </c>
      <c r="T423" s="203">
        <f>SUM(N423:S423)</f>
        <v>8.4879999999999995</v>
      </c>
      <c r="U423" s="203">
        <f>T423+L423</f>
        <v>17.587</v>
      </c>
      <c r="V423" s="203">
        <f>V417+V416</f>
        <v>17.587</v>
      </c>
      <c r="W423" s="203">
        <f>V423-U423</f>
        <v>0</v>
      </c>
    </row>
    <row r="424" spans="1:28" s="214" customFormat="1" ht="18" customHeight="1">
      <c r="A424" s="583"/>
      <c r="B424" s="657"/>
      <c r="C424" s="658"/>
      <c r="D424" s="202" t="str">
        <f>серпень!D347</f>
        <v xml:space="preserve">відхилення </v>
      </c>
      <c r="E424" s="203"/>
      <c r="F424" s="203">
        <f t="shared" ref="F424:K424" si="483">F420-F423</f>
        <v>-1.617</v>
      </c>
      <c r="G424" s="203">
        <f t="shared" si="483"/>
        <v>-1.8720000000000001</v>
      </c>
      <c r="H424" s="203">
        <f t="shared" si="483"/>
        <v>-0.78500000000000003</v>
      </c>
      <c r="I424" s="203">
        <f t="shared" si="483"/>
        <v>-1.7729999999999999</v>
      </c>
      <c r="J424" s="203">
        <f t="shared" si="483"/>
        <v>-1.39</v>
      </c>
      <c r="K424" s="203">
        <f t="shared" si="483"/>
        <v>-1.6619999999999999</v>
      </c>
      <c r="L424" s="203"/>
      <c r="M424" s="203"/>
      <c r="N424" s="203">
        <f t="shared" ref="N424:S424" si="484">N420-N423</f>
        <v>0</v>
      </c>
      <c r="O424" s="203">
        <f t="shared" si="484"/>
        <v>-2.484</v>
      </c>
      <c r="P424" s="203">
        <f t="shared" si="484"/>
        <v>-0.47499999999999998</v>
      </c>
      <c r="Q424" s="203">
        <f t="shared" si="484"/>
        <v>0</v>
      </c>
      <c r="R424" s="203">
        <f t="shared" si="484"/>
        <v>0</v>
      </c>
      <c r="S424" s="203">
        <f t="shared" si="484"/>
        <v>0</v>
      </c>
      <c r="T424" s="203"/>
      <c r="U424" s="203"/>
      <c r="V424" s="203"/>
      <c r="W424" s="203"/>
    </row>
    <row r="425" spans="1:28" s="214" customFormat="1" ht="18" customHeight="1">
      <c r="A425" s="583"/>
      <c r="B425" s="657"/>
      <c r="C425" s="658"/>
      <c r="D425" s="202" t="str">
        <f>серпень!D348</f>
        <v>відхилення з наростаючим</v>
      </c>
      <c r="E425" s="203"/>
      <c r="F425" s="203">
        <f>F424</f>
        <v>-1.617</v>
      </c>
      <c r="G425" s="203">
        <f>G424+F425</f>
        <v>-3.4889999999999999</v>
      </c>
      <c r="H425" s="203">
        <f>H424+G425</f>
        <v>-4.274</v>
      </c>
      <c r="I425" s="203">
        <f>I424+H425</f>
        <v>-6.0469999999999997</v>
      </c>
      <c r="J425" s="203">
        <f>J424+I425</f>
        <v>-7.4370000000000003</v>
      </c>
      <c r="K425" s="203">
        <f>K424+J425</f>
        <v>-9.0990000000000002</v>
      </c>
      <c r="L425" s="203"/>
      <c r="M425" s="203"/>
      <c r="N425" s="203">
        <f>N424+K425</f>
        <v>-9.0990000000000002</v>
      </c>
      <c r="O425" s="203">
        <f>O424+N425</f>
        <v>-11.583</v>
      </c>
      <c r="P425" s="203">
        <f>P424+O425</f>
        <v>-12.058</v>
      </c>
      <c r="Q425" s="203">
        <f>Q424+P425</f>
        <v>-12.058</v>
      </c>
      <c r="R425" s="203">
        <f>R424+Q425</f>
        <v>-12.058</v>
      </c>
      <c r="S425" s="203">
        <f>S424+R425</f>
        <v>-12.058</v>
      </c>
      <c r="T425" s="203"/>
      <c r="U425" s="203"/>
      <c r="V425" s="203"/>
      <c r="W425" s="203"/>
    </row>
    <row r="426" spans="1:28" s="10" customFormat="1" ht="18" customHeight="1">
      <c r="A426" s="583"/>
      <c r="B426" s="581" t="s">
        <v>37</v>
      </c>
      <c r="C426" s="581"/>
      <c r="D426" s="178" t="str">
        <f>серпень!D349</f>
        <v>факт. нат.п-ки 2023</v>
      </c>
      <c r="E426" s="11"/>
      <c r="F426" s="82">
        <v>72</v>
      </c>
      <c r="G426" s="82">
        <v>0</v>
      </c>
      <c r="H426" s="82">
        <v>0</v>
      </c>
      <c r="I426" s="82">
        <v>0</v>
      </c>
      <c r="J426" s="82">
        <v>0</v>
      </c>
      <c r="K426" s="82">
        <v>0</v>
      </c>
      <c r="L426" s="125">
        <f>SUM(F426:K426)</f>
        <v>72</v>
      </c>
      <c r="M426" s="125">
        <f>L426/6</f>
        <v>12</v>
      </c>
      <c r="N426" s="82">
        <v>68</v>
      </c>
      <c r="O426" s="82">
        <v>110</v>
      </c>
      <c r="P426" s="82">
        <v>124</v>
      </c>
      <c r="Q426" s="82">
        <v>102</v>
      </c>
      <c r="R426" s="82">
        <v>138</v>
      </c>
      <c r="S426" s="82"/>
      <c r="T426" s="125">
        <f>SUM(N426:S426)</f>
        <v>542</v>
      </c>
      <c r="U426" s="125">
        <f>T426+L426</f>
        <v>614</v>
      </c>
      <c r="V426" s="524"/>
      <c r="W426" s="505"/>
      <c r="X426" s="36"/>
    </row>
    <row r="427" spans="1:28" s="48" customFormat="1" ht="18" customHeight="1">
      <c r="A427" s="583"/>
      <c r="B427" s="581"/>
      <c r="C427" s="581"/>
      <c r="D427" s="178" t="str">
        <f>серпень!D350</f>
        <v>факт. нат.п-ки 2024</v>
      </c>
      <c r="E427" s="11"/>
      <c r="F427" s="82">
        <v>114</v>
      </c>
      <c r="G427" s="82">
        <v>232</v>
      </c>
      <c r="H427" s="82">
        <v>196</v>
      </c>
      <c r="I427" s="82">
        <v>182</v>
      </c>
      <c r="J427" s="82">
        <v>226</v>
      </c>
      <c r="K427" s="82">
        <v>317.14400000000001</v>
      </c>
      <c r="L427" s="125">
        <f>SUM(F427:K427)</f>
        <v>1267.144</v>
      </c>
      <c r="M427" s="125">
        <f>L427/6</f>
        <v>211.191</v>
      </c>
      <c r="N427" s="82">
        <v>323.60399999999998</v>
      </c>
      <c r="O427" s="82">
        <v>493.72500000000002</v>
      </c>
      <c r="P427" s="82">
        <v>440.35500000000002</v>
      </c>
      <c r="Q427" s="82">
        <v>336.92899999999997</v>
      </c>
      <c r="R427" s="82">
        <v>138</v>
      </c>
      <c r="S427" s="349">
        <v>138</v>
      </c>
      <c r="T427" s="125">
        <f>SUM(N427:S427)</f>
        <v>1870.6130000000001</v>
      </c>
      <c r="U427" s="125">
        <f>T427+L427</f>
        <v>3137.7570000000001</v>
      </c>
      <c r="V427" s="524">
        <v>1040</v>
      </c>
      <c r="W427" s="505"/>
      <c r="X427" s="47"/>
    </row>
    <row r="428" spans="1:28" s="10" customFormat="1" ht="18" customHeight="1">
      <c r="A428" s="583"/>
      <c r="B428" s="581"/>
      <c r="C428" s="581"/>
      <c r="D428" s="178" t="str">
        <f>серпень!D351</f>
        <v>факт. нат.п-ки 2025</v>
      </c>
      <c r="E428" s="11"/>
      <c r="F428" s="82">
        <v>0</v>
      </c>
      <c r="G428" s="82">
        <v>0</v>
      </c>
      <c r="H428" s="82">
        <v>0</v>
      </c>
      <c r="I428" s="82">
        <v>0</v>
      </c>
      <c r="J428" s="82">
        <v>0</v>
      </c>
      <c r="K428" s="82">
        <v>0</v>
      </c>
      <c r="L428" s="125">
        <f>SUM(F428:K428)</f>
        <v>0</v>
      </c>
      <c r="M428" s="125">
        <f>L428/6</f>
        <v>0</v>
      </c>
      <c r="N428" s="82">
        <v>0</v>
      </c>
      <c r="O428" s="82">
        <v>0</v>
      </c>
      <c r="P428" s="82">
        <v>98.8</v>
      </c>
      <c r="Q428" s="82">
        <v>98</v>
      </c>
      <c r="R428" s="82">
        <v>95</v>
      </c>
      <c r="S428" s="349">
        <v>98</v>
      </c>
      <c r="T428" s="125">
        <f>SUM(N428:S428)</f>
        <v>389.8</v>
      </c>
      <c r="U428" s="125">
        <f>T428+L428</f>
        <v>389.8</v>
      </c>
      <c r="V428" s="349">
        <v>1239.9000000000001</v>
      </c>
      <c r="W428" s="505">
        <f>V428-U428</f>
        <v>850.1</v>
      </c>
      <c r="X428" s="36"/>
      <c r="Y428" s="3"/>
      <c r="Z428" s="3"/>
      <c r="AA428" s="3"/>
      <c r="AB428" s="3"/>
    </row>
    <row r="429" spans="1:28" s="114" customFormat="1" ht="18" customHeight="1">
      <c r="A429" s="583"/>
      <c r="B429" s="581"/>
      <c r="C429" s="581"/>
      <c r="D429" s="187" t="str">
        <f>серпень!D352</f>
        <v>тариф, грн.</v>
      </c>
      <c r="E429" s="49" t="e">
        <f>E430/E428*1000</f>
        <v>#DIV/0!</v>
      </c>
      <c r="F429" s="49" t="e">
        <f t="shared" ref="F429:K429" si="485">F430/F428*1000</f>
        <v>#DIV/0!</v>
      </c>
      <c r="G429" s="49" t="e">
        <f t="shared" si="485"/>
        <v>#DIV/0!</v>
      </c>
      <c r="H429" s="49" t="e">
        <f t="shared" si="485"/>
        <v>#DIV/0!</v>
      </c>
      <c r="I429" s="49" t="e">
        <f t="shared" si="485"/>
        <v>#DIV/0!</v>
      </c>
      <c r="J429" s="49" t="e">
        <f t="shared" si="485"/>
        <v>#DIV/0!</v>
      </c>
      <c r="K429" s="49" t="e">
        <f t="shared" si="485"/>
        <v>#DIV/0!</v>
      </c>
      <c r="L429" s="68" t="e">
        <f t="shared" ref="L429:N429" si="486">L430/L428*1000</f>
        <v>#DIV/0!</v>
      </c>
      <c r="M429" s="68" t="e">
        <f t="shared" si="486"/>
        <v>#DIV/0!</v>
      </c>
      <c r="N429" s="68" t="e">
        <f t="shared" si="486"/>
        <v>#DIV/0!</v>
      </c>
      <c r="O429" s="68">
        <v>14.183999999999999</v>
      </c>
      <c r="P429" s="68">
        <v>14.183999999999999</v>
      </c>
      <c r="Q429" s="68">
        <v>14.183999999999999</v>
      </c>
      <c r="R429" s="68">
        <v>14.183999999999999</v>
      </c>
      <c r="S429" s="49">
        <v>14.183999999999999</v>
      </c>
      <c r="T429" s="68">
        <f>T430/T428*1000</f>
        <v>14.183999999999999</v>
      </c>
      <c r="U429" s="68">
        <f>U430/U428*1000</f>
        <v>14.183999999999999</v>
      </c>
      <c r="V429" s="68">
        <f>V430/V428*1000</f>
        <v>14.183999999999999</v>
      </c>
      <c r="W429" s="14">
        <f>W430/W428*1000</f>
        <v>14.183999999999999</v>
      </c>
      <c r="X429" s="36"/>
      <c r="Y429" s="3"/>
      <c r="Z429" s="3"/>
      <c r="AA429" s="3"/>
      <c r="AB429" s="3"/>
    </row>
    <row r="430" spans="1:28" s="114" customFormat="1" ht="18" customHeight="1">
      <c r="A430" s="583"/>
      <c r="B430" s="581"/>
      <c r="C430" s="581"/>
      <c r="D430" s="191" t="str">
        <f>серпень!D353</f>
        <v>сума, тис.грн.</v>
      </c>
      <c r="E430" s="52"/>
      <c r="F430" s="52">
        <v>0</v>
      </c>
      <c r="G430" s="52">
        <v>0</v>
      </c>
      <c r="H430" s="52">
        <v>0</v>
      </c>
      <c r="I430" s="52">
        <v>0</v>
      </c>
      <c r="J430" s="52">
        <v>0</v>
      </c>
      <c r="K430" s="52">
        <v>0</v>
      </c>
      <c r="L430" s="69">
        <f>SUM(F430:K430)</f>
        <v>0</v>
      </c>
      <c r="M430" s="69">
        <f>L430/6</f>
        <v>0</v>
      </c>
      <c r="N430" s="52">
        <v>0</v>
      </c>
      <c r="O430" s="52">
        <f t="shared" ref="O430" si="487">O428*O429/1000</f>
        <v>0</v>
      </c>
      <c r="P430" s="52">
        <f t="shared" ref="P430" si="488">P428*P429/1000</f>
        <v>1.401</v>
      </c>
      <c r="Q430" s="52">
        <f t="shared" ref="Q430" si="489">Q428*Q429/1000</f>
        <v>1.39</v>
      </c>
      <c r="R430" s="52">
        <f t="shared" ref="R430" si="490">R428*R429/1000</f>
        <v>1.347</v>
      </c>
      <c r="S430" s="52">
        <f>S428*S429/1000+0.001</f>
        <v>1.391</v>
      </c>
      <c r="T430" s="69">
        <f>SUM(N430:S430)</f>
        <v>5.5289999999999999</v>
      </c>
      <c r="U430" s="69">
        <f>T430+L430</f>
        <v>5.5289999999999999</v>
      </c>
      <c r="V430" s="70">
        <f>V432+V431</f>
        <v>17.587</v>
      </c>
      <c r="W430" s="53">
        <f>V430-U430</f>
        <v>12.058</v>
      </c>
      <c r="X430" s="113"/>
    </row>
    <row r="431" spans="1:28" s="114" customFormat="1" ht="18" customHeight="1">
      <c r="A431" s="583"/>
      <c r="B431" s="581"/>
      <c r="C431" s="581"/>
      <c r="D431" s="174" t="str">
        <f>серпень!D354</f>
        <v>дотація</v>
      </c>
      <c r="E431" s="56"/>
      <c r="F431" s="52"/>
      <c r="G431" s="52"/>
      <c r="H431" s="52"/>
      <c r="I431" s="52"/>
      <c r="J431" s="52"/>
      <c r="K431" s="52"/>
      <c r="L431" s="69">
        <f>SUM(F431:K431)</f>
        <v>0</v>
      </c>
      <c r="M431" s="69">
        <f>L431/6</f>
        <v>0</v>
      </c>
      <c r="N431" s="52"/>
      <c r="O431" s="52"/>
      <c r="P431" s="52"/>
      <c r="Q431" s="52"/>
      <c r="R431" s="52"/>
      <c r="S431" s="52"/>
      <c r="T431" s="69">
        <f>SUM(N431:S431)</f>
        <v>0</v>
      </c>
      <c r="U431" s="69">
        <f>T431+L431</f>
        <v>0</v>
      </c>
      <c r="V431" s="70">
        <v>0</v>
      </c>
      <c r="W431" s="53">
        <f>V431-U431</f>
        <v>0</v>
      </c>
      <c r="X431" s="113"/>
    </row>
    <row r="432" spans="1:28" s="114" customFormat="1" ht="18" customHeight="1">
      <c r="A432" s="583"/>
      <c r="B432" s="581"/>
      <c r="C432" s="581"/>
      <c r="D432" s="174" t="str">
        <f>серпень!D355</f>
        <v>місцевий (план), тис.грн</v>
      </c>
      <c r="E432" s="56"/>
      <c r="F432" s="52">
        <v>1.617</v>
      </c>
      <c r="G432" s="52">
        <v>1.8720000000000001</v>
      </c>
      <c r="H432" s="52">
        <v>0.78500000000000003</v>
      </c>
      <c r="I432" s="52">
        <f>1.773</f>
        <v>1.7729999999999999</v>
      </c>
      <c r="J432" s="52">
        <v>1.39</v>
      </c>
      <c r="K432" s="52">
        <v>1.6619999999999999</v>
      </c>
      <c r="L432" s="69">
        <f>SUM(F432:K432)</f>
        <v>9.0990000000000002</v>
      </c>
      <c r="M432" s="69">
        <f>L432/6</f>
        <v>1.5169999999999999</v>
      </c>
      <c r="N432" s="52">
        <f>1.399-1.399</f>
        <v>0</v>
      </c>
      <c r="O432" s="52">
        <f>1.56+0.924</f>
        <v>2.484</v>
      </c>
      <c r="P432" s="52">
        <f>1.401+0.475</f>
        <v>1.8759999999999999</v>
      </c>
      <c r="Q432" s="52">
        <v>1.39</v>
      </c>
      <c r="R432" s="52">
        <v>1.347</v>
      </c>
      <c r="S432" s="52">
        <v>1.391</v>
      </c>
      <c r="T432" s="69">
        <f>SUM(N432:S432)</f>
        <v>8.4879999999999995</v>
      </c>
      <c r="U432" s="69">
        <f>T432+L432</f>
        <v>17.587</v>
      </c>
      <c r="V432" s="70">
        <v>17.587</v>
      </c>
      <c r="W432" s="53">
        <f>V432-U432</f>
        <v>0</v>
      </c>
      <c r="X432" s="113"/>
    </row>
    <row r="433" spans="1:28" s="3" customFormat="1" ht="18" customHeight="1">
      <c r="A433" s="583"/>
      <c r="B433" s="581"/>
      <c r="C433" s="581"/>
      <c r="D433" s="178" t="str">
        <f>серпень!D356</f>
        <v>касові нат.п-ки 2025</v>
      </c>
      <c r="E433" s="11"/>
      <c r="F433" s="11">
        <v>0</v>
      </c>
      <c r="G433" s="11">
        <v>0</v>
      </c>
      <c r="H433" s="11">
        <v>0</v>
      </c>
      <c r="I433" s="349">
        <v>0</v>
      </c>
      <c r="J433" s="349">
        <v>0</v>
      </c>
      <c r="K433" s="349">
        <v>0</v>
      </c>
      <c r="L433" s="465">
        <f>SUM(F433:K433)</f>
        <v>0</v>
      </c>
      <c r="M433" s="465">
        <f>L433/6</f>
        <v>0</v>
      </c>
      <c r="N433" s="349">
        <v>0</v>
      </c>
      <c r="O433" s="349">
        <v>0</v>
      </c>
      <c r="P433" s="349">
        <v>98.8</v>
      </c>
      <c r="Q433" s="349">
        <v>98</v>
      </c>
      <c r="R433" s="349">
        <v>95</v>
      </c>
      <c r="S433" s="349">
        <v>98</v>
      </c>
      <c r="T433" s="465">
        <f>SUM(N433:S433)</f>
        <v>389.8</v>
      </c>
      <c r="U433" s="465">
        <f>T433+L433</f>
        <v>389.8</v>
      </c>
      <c r="V433" s="548">
        <f>V428</f>
        <v>1239.9000000000001</v>
      </c>
      <c r="W433" s="38">
        <f>V433-U433</f>
        <v>850.1</v>
      </c>
      <c r="X433" s="47">
        <f>U428-U433</f>
        <v>0</v>
      </c>
    </row>
    <row r="434" spans="1:28" s="73" customFormat="1" ht="18" customHeight="1">
      <c r="A434" s="583"/>
      <c r="B434" s="581"/>
      <c r="C434" s="581"/>
      <c r="D434" s="187" t="str">
        <f>серпень!D357</f>
        <v>тариф, грн.</v>
      </c>
      <c r="E434" s="49" t="e">
        <f>E435/E433*1000</f>
        <v>#DIV/0!</v>
      </c>
      <c r="F434" s="49" t="e">
        <f t="shared" ref="F434:K434" si="491">F435/F433*1000</f>
        <v>#DIV/0!</v>
      </c>
      <c r="G434" s="49" t="e">
        <f t="shared" si="491"/>
        <v>#DIV/0!</v>
      </c>
      <c r="H434" s="49" t="e">
        <f t="shared" si="491"/>
        <v>#DIV/0!</v>
      </c>
      <c r="I434" s="49" t="e">
        <f t="shared" si="491"/>
        <v>#DIV/0!</v>
      </c>
      <c r="J434" s="49" t="e">
        <f t="shared" si="491"/>
        <v>#DIV/0!</v>
      </c>
      <c r="K434" s="49" t="e">
        <f t="shared" si="491"/>
        <v>#DIV/0!</v>
      </c>
      <c r="L434" s="68" t="e">
        <f t="shared" ref="L434:N434" si="492">L435/L433*1000</f>
        <v>#DIV/0!</v>
      </c>
      <c r="M434" s="68" t="e">
        <f t="shared" si="492"/>
        <v>#DIV/0!</v>
      </c>
      <c r="N434" s="68" t="e">
        <f t="shared" si="492"/>
        <v>#DIV/0!</v>
      </c>
      <c r="O434" s="68">
        <v>14.183999999999999</v>
      </c>
      <c r="P434" s="68">
        <v>14.183999999999999</v>
      </c>
      <c r="Q434" s="68">
        <v>14.183999999999999</v>
      </c>
      <c r="R434" s="68">
        <v>14.183999999999999</v>
      </c>
      <c r="S434" s="49">
        <v>14.183999999999999</v>
      </c>
      <c r="T434" s="68">
        <f>T435/T433*1000</f>
        <v>14.183999999999999</v>
      </c>
      <c r="U434" s="68">
        <f>U435/U433*1000</f>
        <v>14.183999999999999</v>
      </c>
      <c r="V434" s="68">
        <f>V435/V433*1000</f>
        <v>14.183999999999999</v>
      </c>
      <c r="W434" s="14">
        <f>W435/W433*1000</f>
        <v>14.183999999999999</v>
      </c>
      <c r="X434" s="59"/>
      <c r="Y434" s="36"/>
      <c r="Z434" s="36"/>
      <c r="AA434" s="36"/>
      <c r="AB434" s="36"/>
    </row>
    <row r="435" spans="1:28" s="126" customFormat="1" ht="17.7" customHeight="1">
      <c r="A435" s="583"/>
      <c r="B435" s="581"/>
      <c r="C435" s="581"/>
      <c r="D435" s="198" t="str">
        <f>серпень!D358</f>
        <v>касові видатки, тис.грн.</v>
      </c>
      <c r="E435" s="71"/>
      <c r="F435" s="61">
        <v>0</v>
      </c>
      <c r="G435" s="61">
        <v>0</v>
      </c>
      <c r="H435" s="61">
        <v>0</v>
      </c>
      <c r="I435" s="61">
        <v>0</v>
      </c>
      <c r="J435" s="61">
        <v>0</v>
      </c>
      <c r="K435" s="61">
        <v>0</v>
      </c>
      <c r="L435" s="61">
        <f>SUM(F435:K435)</f>
        <v>0</v>
      </c>
      <c r="M435" s="61">
        <f>L435/6</f>
        <v>0</v>
      </c>
      <c r="N435" s="61">
        <v>0</v>
      </c>
      <c r="O435" s="61">
        <f t="shared" ref="O435" si="493">O433*O434/1000</f>
        <v>0</v>
      </c>
      <c r="P435" s="61">
        <f t="shared" ref="P435" si="494">P433*P434/1000</f>
        <v>1.401</v>
      </c>
      <c r="Q435" s="61">
        <f t="shared" ref="Q435" si="495">Q433*Q434/1000</f>
        <v>1.39</v>
      </c>
      <c r="R435" s="61">
        <f t="shared" ref="R435" si="496">R433*R434/1000</f>
        <v>1.347</v>
      </c>
      <c r="S435" s="61">
        <f>S433*S434/1000+0.001</f>
        <v>1.391</v>
      </c>
      <c r="T435" s="61">
        <f>SUM(N435:S435)</f>
        <v>5.5289999999999999</v>
      </c>
      <c r="U435" s="61">
        <f>T435+L435</f>
        <v>5.5289999999999999</v>
      </c>
      <c r="V435" s="61">
        <f>V430</f>
        <v>17.587</v>
      </c>
      <c r="W435" s="72">
        <f>V435-U435</f>
        <v>12.058</v>
      </c>
      <c r="X435" s="63">
        <f>U430-U435</f>
        <v>0</v>
      </c>
    </row>
    <row r="436" spans="1:28" s="126" customFormat="1" ht="18" customHeight="1">
      <c r="A436" s="583"/>
      <c r="B436" s="581"/>
      <c r="C436" s="581"/>
      <c r="D436" s="201" t="str">
        <f>серпень!D359</f>
        <v>дотація</v>
      </c>
      <c r="E436" s="71"/>
      <c r="F436" s="61">
        <v>0</v>
      </c>
      <c r="G436" s="61">
        <v>0</v>
      </c>
      <c r="H436" s="61">
        <v>0</v>
      </c>
      <c r="I436" s="61">
        <v>0</v>
      </c>
      <c r="J436" s="61">
        <v>0</v>
      </c>
      <c r="K436" s="61">
        <v>0</v>
      </c>
      <c r="L436" s="61">
        <f>SUM(F436:K436)</f>
        <v>0</v>
      </c>
      <c r="M436" s="61">
        <f>L436/6</f>
        <v>0</v>
      </c>
      <c r="N436" s="61">
        <v>0</v>
      </c>
      <c r="O436" s="61">
        <v>0</v>
      </c>
      <c r="P436" s="61">
        <v>0</v>
      </c>
      <c r="Q436" s="61">
        <v>0</v>
      </c>
      <c r="R436" s="61">
        <v>0</v>
      </c>
      <c r="S436" s="61">
        <v>0</v>
      </c>
      <c r="T436" s="61">
        <f>SUM(N436:S436)</f>
        <v>0</v>
      </c>
      <c r="U436" s="61">
        <f>T436+L436</f>
        <v>0</v>
      </c>
      <c r="V436" s="61">
        <f>V431</f>
        <v>0</v>
      </c>
      <c r="W436" s="72">
        <f>V436-U436</f>
        <v>0</v>
      </c>
      <c r="X436" s="63">
        <f>U431-U436</f>
        <v>0</v>
      </c>
    </row>
    <row r="437" spans="1:28" s="126" customFormat="1" ht="18" customHeight="1">
      <c r="A437" s="583"/>
      <c r="B437" s="581"/>
      <c r="C437" s="581"/>
      <c r="D437" s="201" t="str">
        <f>серпень!D360</f>
        <v xml:space="preserve">місцевий </v>
      </c>
      <c r="E437" s="71"/>
      <c r="F437" s="61">
        <f t="shared" ref="F437:K437" si="497">F435-F436</f>
        <v>0</v>
      </c>
      <c r="G437" s="61">
        <f t="shared" si="497"/>
        <v>0</v>
      </c>
      <c r="H437" s="61">
        <f t="shared" si="497"/>
        <v>0</v>
      </c>
      <c r="I437" s="61">
        <f t="shared" si="497"/>
        <v>0</v>
      </c>
      <c r="J437" s="61">
        <f t="shared" si="497"/>
        <v>0</v>
      </c>
      <c r="K437" s="61">
        <f t="shared" si="497"/>
        <v>0</v>
      </c>
      <c r="L437" s="61">
        <f>SUM(F437:K437)</f>
        <v>0</v>
      </c>
      <c r="M437" s="61">
        <f>L437/6</f>
        <v>0</v>
      </c>
      <c r="N437" s="61">
        <f t="shared" ref="N437:S437" si="498">N435-N436</f>
        <v>0</v>
      </c>
      <c r="O437" s="61">
        <f t="shared" si="498"/>
        <v>0</v>
      </c>
      <c r="P437" s="61">
        <f t="shared" si="498"/>
        <v>1.401</v>
      </c>
      <c r="Q437" s="61">
        <f t="shared" si="498"/>
        <v>1.39</v>
      </c>
      <c r="R437" s="61">
        <f t="shared" si="498"/>
        <v>1.347</v>
      </c>
      <c r="S437" s="61">
        <f t="shared" si="498"/>
        <v>1.391</v>
      </c>
      <c r="T437" s="61">
        <f>SUM(N437:S437)</f>
        <v>5.5289999999999999</v>
      </c>
      <c r="U437" s="61">
        <f>T437+L437</f>
        <v>5.5289999999999999</v>
      </c>
      <c r="V437" s="61">
        <f>V432</f>
        <v>17.587</v>
      </c>
      <c r="W437" s="72">
        <f>V437-U437</f>
        <v>12.058</v>
      </c>
      <c r="X437" s="63">
        <f>U432-U437</f>
        <v>12.058</v>
      </c>
    </row>
    <row r="438" spans="1:28" s="43" customFormat="1" ht="18" customHeight="1">
      <c r="A438" s="583"/>
      <c r="B438" s="581"/>
      <c r="C438" s="581"/>
      <c r="D438" s="202" t="str">
        <f>серпень!D361</f>
        <v>план</v>
      </c>
      <c r="E438" s="42"/>
      <c r="F438" s="42">
        <f t="shared" ref="F438:K438" si="499">F431+F432</f>
        <v>1.617</v>
      </c>
      <c r="G438" s="42">
        <f t="shared" si="499"/>
        <v>1.8720000000000001</v>
      </c>
      <c r="H438" s="42">
        <f t="shared" si="499"/>
        <v>0.78500000000000003</v>
      </c>
      <c r="I438" s="42">
        <f t="shared" si="499"/>
        <v>1.7729999999999999</v>
      </c>
      <c r="J438" s="42">
        <f t="shared" si="499"/>
        <v>1.39</v>
      </c>
      <c r="K438" s="42">
        <f t="shared" si="499"/>
        <v>1.6619999999999999</v>
      </c>
      <c r="L438" s="42">
        <f>SUM(F438:K438)</f>
        <v>9.0990000000000002</v>
      </c>
      <c r="M438" s="42">
        <f>L438/6</f>
        <v>1.5169999999999999</v>
      </c>
      <c r="N438" s="42">
        <f t="shared" ref="N438:S438" si="500">N432+N431</f>
        <v>0</v>
      </c>
      <c r="O438" s="42">
        <f t="shared" si="500"/>
        <v>2.484</v>
      </c>
      <c r="P438" s="42">
        <f t="shared" si="500"/>
        <v>1.8759999999999999</v>
      </c>
      <c r="Q438" s="42">
        <f t="shared" si="500"/>
        <v>1.39</v>
      </c>
      <c r="R438" s="42">
        <f t="shared" si="500"/>
        <v>1.347</v>
      </c>
      <c r="S438" s="42">
        <f t="shared" si="500"/>
        <v>1.391</v>
      </c>
      <c r="T438" s="42">
        <f>SUM(N438:S438)</f>
        <v>8.4879999999999995</v>
      </c>
      <c r="U438" s="42">
        <f>T438+L438</f>
        <v>17.587</v>
      </c>
      <c r="V438" s="42">
        <f>V435</f>
        <v>17.587</v>
      </c>
      <c r="W438" s="42">
        <f>V438-U438</f>
        <v>0</v>
      </c>
    </row>
    <row r="439" spans="1:28" s="43" customFormat="1" ht="18" customHeight="1">
      <c r="A439" s="583"/>
      <c r="B439" s="581"/>
      <c r="C439" s="581"/>
      <c r="D439" s="202" t="str">
        <f>серпень!D362</f>
        <v xml:space="preserve">відхилення </v>
      </c>
      <c r="E439" s="42"/>
      <c r="F439" s="42">
        <f t="shared" ref="F439:K439" si="501">F435-F438</f>
        <v>-1.617</v>
      </c>
      <c r="G439" s="42">
        <f t="shared" si="501"/>
        <v>-1.8720000000000001</v>
      </c>
      <c r="H439" s="42">
        <f t="shared" si="501"/>
        <v>-0.78500000000000003</v>
      </c>
      <c r="I439" s="42">
        <f t="shared" si="501"/>
        <v>-1.7729999999999999</v>
      </c>
      <c r="J439" s="42">
        <f t="shared" si="501"/>
        <v>-1.39</v>
      </c>
      <c r="K439" s="42">
        <f t="shared" si="501"/>
        <v>-1.6619999999999999</v>
      </c>
      <c r="L439" s="42"/>
      <c r="M439" s="42"/>
      <c r="N439" s="42">
        <f t="shared" ref="N439:S439" si="502">N435-N438</f>
        <v>0</v>
      </c>
      <c r="O439" s="42">
        <f t="shared" si="502"/>
        <v>-2.484</v>
      </c>
      <c r="P439" s="42">
        <f t="shared" si="502"/>
        <v>-0.47499999999999998</v>
      </c>
      <c r="Q439" s="42">
        <f t="shared" si="502"/>
        <v>0</v>
      </c>
      <c r="R439" s="42">
        <f t="shared" si="502"/>
        <v>0</v>
      </c>
      <c r="S439" s="42">
        <f t="shared" si="502"/>
        <v>0</v>
      </c>
      <c r="T439" s="42"/>
      <c r="U439" s="42"/>
      <c r="V439" s="42"/>
      <c r="W439" s="42"/>
    </row>
    <row r="440" spans="1:28" s="43" customFormat="1" ht="18" customHeight="1">
      <c r="A440" s="583"/>
      <c r="B440" s="581"/>
      <c r="C440" s="581"/>
      <c r="D440" s="202" t="str">
        <f>серпень!D363</f>
        <v>відхилення з наростаючим</v>
      </c>
      <c r="E440" s="42"/>
      <c r="F440" s="42">
        <f>F439</f>
        <v>-1.617</v>
      </c>
      <c r="G440" s="42">
        <f>G439+F440</f>
        <v>-3.4889999999999999</v>
      </c>
      <c r="H440" s="42">
        <f>H439+G440</f>
        <v>-4.274</v>
      </c>
      <c r="I440" s="42">
        <f>I439+H440</f>
        <v>-6.0469999999999997</v>
      </c>
      <c r="J440" s="42">
        <f>J439+I440</f>
        <v>-7.4370000000000003</v>
      </c>
      <c r="K440" s="42">
        <f>K439+J440</f>
        <v>-9.0990000000000002</v>
      </c>
      <c r="L440" s="42"/>
      <c r="M440" s="42"/>
      <c r="N440" s="42">
        <f>N439+K440</f>
        <v>-9.0990000000000002</v>
      </c>
      <c r="O440" s="42">
        <f>O439+N440</f>
        <v>-11.583</v>
      </c>
      <c r="P440" s="42">
        <f>P439+O440</f>
        <v>-12.058</v>
      </c>
      <c r="Q440" s="42">
        <f>Q439+P440</f>
        <v>-12.058</v>
      </c>
      <c r="R440" s="42">
        <f>R439+Q440</f>
        <v>-12.058</v>
      </c>
      <c r="S440" s="42">
        <f>S439+R440</f>
        <v>-12.058</v>
      </c>
      <c r="T440" s="42"/>
      <c r="U440" s="42"/>
      <c r="V440" s="42"/>
      <c r="W440" s="42"/>
    </row>
    <row r="441" spans="1:28" s="48" customFormat="1" ht="23.95" hidden="1" customHeight="1">
      <c r="A441" s="583"/>
      <c r="B441" s="580" t="s">
        <v>96</v>
      </c>
      <c r="C441" s="575"/>
      <c r="D441" s="178" t="str">
        <f>серпень!D364</f>
        <v>факт. нат.п-ки 2023</v>
      </c>
      <c r="E441" s="11"/>
      <c r="F441" s="12"/>
      <c r="G441" s="12"/>
      <c r="H441" s="12"/>
      <c r="I441" s="12"/>
      <c r="J441" s="12"/>
      <c r="K441" s="12"/>
      <c r="L441" s="65">
        <f>SUM(F441:K441)</f>
        <v>0</v>
      </c>
      <c r="M441" s="65">
        <f>L441/6</f>
        <v>0</v>
      </c>
      <c r="N441" s="12"/>
      <c r="O441" s="12"/>
      <c r="P441" s="12"/>
      <c r="Q441" s="12"/>
      <c r="R441" s="12"/>
      <c r="S441" s="12"/>
      <c r="T441" s="65">
        <f>SUM(N441:S441)</f>
        <v>0</v>
      </c>
      <c r="U441" s="66">
        <f>T441+L441</f>
        <v>0</v>
      </c>
      <c r="V441" s="67"/>
      <c r="W441" s="38">
        <f>V441-U441</f>
        <v>0</v>
      </c>
      <c r="X441" s="47"/>
    </row>
    <row r="442" spans="1:28" s="48" customFormat="1" ht="18" hidden="1" customHeight="1">
      <c r="A442" s="583"/>
      <c r="B442" s="576"/>
      <c r="C442" s="577"/>
      <c r="D442" s="178" t="str">
        <f>серпень!D365</f>
        <v>факт. нат.п-ки 2024</v>
      </c>
      <c r="E442" s="11"/>
      <c r="F442" s="12"/>
      <c r="G442" s="12"/>
      <c r="H442" s="12"/>
      <c r="I442" s="12"/>
      <c r="J442" s="12"/>
      <c r="K442" s="12"/>
      <c r="L442" s="65">
        <f>SUM(F442:K442)</f>
        <v>0</v>
      </c>
      <c r="M442" s="65">
        <f>L442/6</f>
        <v>0</v>
      </c>
      <c r="N442" s="11"/>
      <c r="O442" s="11"/>
      <c r="P442" s="11"/>
      <c r="Q442" s="11"/>
      <c r="R442" s="11"/>
      <c r="S442" s="11"/>
      <c r="T442" s="65">
        <f>SUM(N442:S442)</f>
        <v>0</v>
      </c>
      <c r="U442" s="66">
        <f>T442+L442</f>
        <v>0</v>
      </c>
      <c r="V442" s="67"/>
      <c r="W442" s="38">
        <f>V442-U442</f>
        <v>0</v>
      </c>
      <c r="X442" s="47"/>
    </row>
    <row r="443" spans="1:28" s="48" customFormat="1" ht="18" hidden="1" customHeight="1">
      <c r="A443" s="583"/>
      <c r="B443" s="576"/>
      <c r="C443" s="577"/>
      <c r="D443" s="178" t="str">
        <f>серпень!D366</f>
        <v>факт. нат.п-ки 2025</v>
      </c>
      <c r="E443" s="11"/>
      <c r="F443" s="12"/>
      <c r="G443" s="12"/>
      <c r="H443" s="12"/>
      <c r="I443" s="12"/>
      <c r="J443" s="12"/>
      <c r="K443" s="12"/>
      <c r="L443" s="65">
        <f>SUM(F443:K443)</f>
        <v>0</v>
      </c>
      <c r="M443" s="65">
        <f>L443/6</f>
        <v>0</v>
      </c>
      <c r="N443" s="12"/>
      <c r="O443" s="12"/>
      <c r="P443" s="12"/>
      <c r="Q443" s="12"/>
      <c r="R443" s="12"/>
      <c r="S443" s="11"/>
      <c r="T443" s="65">
        <f>SUM(N443:S443)</f>
        <v>0</v>
      </c>
      <c r="U443" s="66">
        <f>T443+L443</f>
        <v>0</v>
      </c>
      <c r="V443" s="11"/>
      <c r="W443" s="38">
        <f>V443-U443</f>
        <v>0</v>
      </c>
      <c r="X443" s="47"/>
    </row>
    <row r="444" spans="1:28" s="51" customFormat="1" ht="18" hidden="1" customHeight="1">
      <c r="A444" s="583"/>
      <c r="B444" s="576"/>
      <c r="C444" s="577"/>
      <c r="D444" s="187" t="str">
        <f>серпень!D367</f>
        <v>тариф, грн.</v>
      </c>
      <c r="E444" s="49"/>
      <c r="F444" s="49"/>
      <c r="G444" s="49"/>
      <c r="H444" s="49"/>
      <c r="I444" s="49"/>
      <c r="J444" s="49"/>
      <c r="K444" s="49"/>
      <c r="L444" s="49" t="e">
        <f>L445/L443*1000</f>
        <v>#DIV/0!</v>
      </c>
      <c r="M444" s="49" t="e">
        <f>M445/M443*1000</f>
        <v>#DIV/0!</v>
      </c>
      <c r="N444" s="49"/>
      <c r="O444" s="49"/>
      <c r="P444" s="49"/>
      <c r="Q444" s="49"/>
      <c r="R444" s="49"/>
      <c r="S444" s="49"/>
      <c r="T444" s="49" t="e">
        <f>T445/T443*1000</f>
        <v>#DIV/0!</v>
      </c>
      <c r="U444" s="49" t="e">
        <f>U445/U443*1000</f>
        <v>#DIV/0!</v>
      </c>
      <c r="V444" s="68" t="e">
        <f>V445/V443*1000</f>
        <v>#DIV/0!</v>
      </c>
      <c r="W444" s="14" t="e">
        <f>W445/W443*1000</f>
        <v>#DIV/0!</v>
      </c>
      <c r="X444" s="50"/>
    </row>
    <row r="445" spans="1:28" s="55" customFormat="1" ht="18" hidden="1" customHeight="1">
      <c r="A445" s="583"/>
      <c r="B445" s="576"/>
      <c r="C445" s="577"/>
      <c r="D445" s="191" t="str">
        <f>серпень!D368</f>
        <v>сума, тис.грн.</v>
      </c>
      <c r="E445" s="52"/>
      <c r="F445" s="52">
        <f t="shared" ref="F445:K445" si="503">F443*F444/1000</f>
        <v>0</v>
      </c>
      <c r="G445" s="52">
        <f t="shared" si="503"/>
        <v>0</v>
      </c>
      <c r="H445" s="52">
        <f t="shared" si="503"/>
        <v>0</v>
      </c>
      <c r="I445" s="52">
        <f t="shared" si="503"/>
        <v>0</v>
      </c>
      <c r="J445" s="52">
        <f t="shared" si="503"/>
        <v>0</v>
      </c>
      <c r="K445" s="52">
        <f t="shared" si="503"/>
        <v>0</v>
      </c>
      <c r="L445" s="69">
        <f>SUM(F445:K445)</f>
        <v>0</v>
      </c>
      <c r="M445" s="69">
        <f>L445/6</f>
        <v>0</v>
      </c>
      <c r="N445" s="52">
        <f t="shared" ref="N445:S445" si="504">N443*N444/1000</f>
        <v>0</v>
      </c>
      <c r="O445" s="52">
        <f t="shared" si="504"/>
        <v>0</v>
      </c>
      <c r="P445" s="52">
        <f t="shared" si="504"/>
        <v>0</v>
      </c>
      <c r="Q445" s="52">
        <f t="shared" si="504"/>
        <v>0</v>
      </c>
      <c r="R445" s="52">
        <f t="shared" si="504"/>
        <v>0</v>
      </c>
      <c r="S445" s="52">
        <f t="shared" si="504"/>
        <v>0</v>
      </c>
      <c r="T445" s="69">
        <f>SUM(N445:S445)</f>
        <v>0</v>
      </c>
      <c r="U445" s="69">
        <f>T445+L445</f>
        <v>0</v>
      </c>
      <c r="V445" s="70">
        <f>V446+V447</f>
        <v>0</v>
      </c>
      <c r="W445" s="53">
        <f>V445-U445</f>
        <v>0</v>
      </c>
      <c r="X445" s="54">
        <f>9891253.845/1000</f>
        <v>9891.2540000000008</v>
      </c>
    </row>
    <row r="446" spans="1:28" s="55" customFormat="1" ht="18" hidden="1" customHeight="1">
      <c r="A446" s="583"/>
      <c r="B446" s="576"/>
      <c r="C446" s="577"/>
      <c r="D446" s="174" t="str">
        <f>серпень!D369</f>
        <v>дотація</v>
      </c>
      <c r="E446" s="56"/>
      <c r="F446" s="52"/>
      <c r="G446" s="52"/>
      <c r="H446" s="52"/>
      <c r="I446" s="52"/>
      <c r="J446" s="52"/>
      <c r="K446" s="52"/>
      <c r="L446" s="69">
        <f>SUM(F446:K446)</f>
        <v>0</v>
      </c>
      <c r="M446" s="69">
        <f>L446/6</f>
        <v>0</v>
      </c>
      <c r="N446" s="52"/>
      <c r="O446" s="52"/>
      <c r="P446" s="52"/>
      <c r="Q446" s="52"/>
      <c r="R446" s="52"/>
      <c r="S446" s="52"/>
      <c r="T446" s="69">
        <f>SUM(N446:S446)</f>
        <v>0</v>
      </c>
      <c r="U446" s="69">
        <f>T446+L446</f>
        <v>0</v>
      </c>
      <c r="V446" s="70"/>
      <c r="W446" s="53">
        <f>V446-U446</f>
        <v>0</v>
      </c>
      <c r="X446" s="58"/>
    </row>
    <row r="447" spans="1:28" s="55" customFormat="1" ht="18" hidden="1" customHeight="1">
      <c r="A447" s="583"/>
      <c r="B447" s="576"/>
      <c r="C447" s="577"/>
      <c r="D447" s="174" t="str">
        <f>серпень!D370</f>
        <v>місцевий (план), тис.грн</v>
      </c>
      <c r="E447" s="56"/>
      <c r="F447" s="52"/>
      <c r="G447" s="52"/>
      <c r="H447" s="52"/>
      <c r="I447" s="52"/>
      <c r="J447" s="52"/>
      <c r="K447" s="52"/>
      <c r="L447" s="69">
        <f>SUM(F447:K447)</f>
        <v>0</v>
      </c>
      <c r="M447" s="69">
        <f>L447/6</f>
        <v>0</v>
      </c>
      <c r="N447" s="52"/>
      <c r="O447" s="52"/>
      <c r="P447" s="52"/>
      <c r="Q447" s="52"/>
      <c r="R447" s="52"/>
      <c r="S447" s="52"/>
      <c r="T447" s="69">
        <f>SUM(N447:S447)</f>
        <v>0</v>
      </c>
      <c r="U447" s="69">
        <f>T447+L447</f>
        <v>0</v>
      </c>
      <c r="V447" s="70"/>
      <c r="W447" s="53">
        <f>V447-U447</f>
        <v>0</v>
      </c>
      <c r="X447" s="58"/>
    </row>
    <row r="448" spans="1:28" s="48" customFormat="1" ht="18" hidden="1" customHeight="1">
      <c r="A448" s="583"/>
      <c r="B448" s="576"/>
      <c r="C448" s="577"/>
      <c r="D448" s="178" t="str">
        <f>серпень!D371</f>
        <v>касові нат.п-ки 2025</v>
      </c>
      <c r="E448" s="11"/>
      <c r="F448" s="11"/>
      <c r="G448" s="11"/>
      <c r="H448" s="11"/>
      <c r="I448" s="11"/>
      <c r="J448" s="11"/>
      <c r="K448" s="11"/>
      <c r="L448" s="65">
        <f>SUM(F448:K448)</f>
        <v>0</v>
      </c>
      <c r="M448" s="65">
        <f>L448/6</f>
        <v>0</v>
      </c>
      <c r="N448" s="11"/>
      <c r="O448" s="11"/>
      <c r="P448" s="11"/>
      <c r="Q448" s="11"/>
      <c r="R448" s="11"/>
      <c r="S448" s="11"/>
      <c r="T448" s="65">
        <f>SUM(N448:S448)</f>
        <v>0</v>
      </c>
      <c r="U448" s="65">
        <f>T448+L448</f>
        <v>0</v>
      </c>
      <c r="V448" s="11">
        <f>V443</f>
        <v>0</v>
      </c>
      <c r="W448" s="38">
        <f>V448-U448</f>
        <v>0</v>
      </c>
      <c r="X448" s="47">
        <f>U443-U448</f>
        <v>0</v>
      </c>
    </row>
    <row r="449" spans="1:28" s="51" customFormat="1" ht="18" hidden="1" customHeight="1">
      <c r="A449" s="583"/>
      <c r="B449" s="576"/>
      <c r="C449" s="577"/>
      <c r="D449" s="187" t="str">
        <f>серпень!D372</f>
        <v>тариф, грн.</v>
      </c>
      <c r="E449" s="49" t="e">
        <f>E450/E448*1000</f>
        <v>#DIV/0!</v>
      </c>
      <c r="F449" s="49"/>
      <c r="G449" s="49"/>
      <c r="H449" s="49"/>
      <c r="I449" s="49"/>
      <c r="J449" s="49"/>
      <c r="K449" s="49"/>
      <c r="L449" s="49" t="e">
        <f>L450/L448*1000</f>
        <v>#DIV/0!</v>
      </c>
      <c r="M449" s="49" t="e">
        <f>M450/M448*1000</f>
        <v>#DIV/0!</v>
      </c>
      <c r="N449" s="49"/>
      <c r="O449" s="49"/>
      <c r="P449" s="49"/>
      <c r="Q449" s="49"/>
      <c r="R449" s="49"/>
      <c r="S449" s="49"/>
      <c r="T449" s="49" t="e">
        <f>T450/T448*1000</f>
        <v>#DIV/0!</v>
      </c>
      <c r="U449" s="49" t="e">
        <f>U450/U448*1000</f>
        <v>#DIV/0!</v>
      </c>
      <c r="V449" s="68" t="e">
        <f>V450/V448*1000</f>
        <v>#DIV/0!</v>
      </c>
      <c r="W449" s="14" t="e">
        <f>W450/W448*1000</f>
        <v>#DIV/0!</v>
      </c>
      <c r="X449" s="59"/>
    </row>
    <row r="450" spans="1:28" s="63" customFormat="1" ht="17.7" hidden="1" customHeight="1">
      <c r="A450" s="583"/>
      <c r="B450" s="576"/>
      <c r="C450" s="577"/>
      <c r="D450" s="198" t="str">
        <f>серпень!D373</f>
        <v>касові видатки, тис.грн.</v>
      </c>
      <c r="E450" s="71"/>
      <c r="F450" s="61">
        <f t="shared" ref="F450:K450" si="505">F448*F449/1000</f>
        <v>0</v>
      </c>
      <c r="G450" s="61">
        <f t="shared" si="505"/>
        <v>0</v>
      </c>
      <c r="H450" s="61">
        <f t="shared" si="505"/>
        <v>0</v>
      </c>
      <c r="I450" s="61">
        <f t="shared" si="505"/>
        <v>0</v>
      </c>
      <c r="J450" s="61">
        <f t="shared" si="505"/>
        <v>0</v>
      </c>
      <c r="K450" s="61">
        <f t="shared" si="505"/>
        <v>0</v>
      </c>
      <c r="L450" s="61">
        <f>SUM(F450:K450)</f>
        <v>0</v>
      </c>
      <c r="M450" s="61">
        <f>L450/6</f>
        <v>0</v>
      </c>
      <c r="N450" s="61">
        <f t="shared" ref="N450:S450" si="506">N448*N449/1000</f>
        <v>0</v>
      </c>
      <c r="O450" s="61">
        <f t="shared" si="506"/>
        <v>0</v>
      </c>
      <c r="P450" s="61">
        <f t="shared" si="506"/>
        <v>0</v>
      </c>
      <c r="Q450" s="61">
        <f t="shared" si="506"/>
        <v>0</v>
      </c>
      <c r="R450" s="61">
        <f t="shared" si="506"/>
        <v>0</v>
      </c>
      <c r="S450" s="61">
        <f t="shared" si="506"/>
        <v>0</v>
      </c>
      <c r="T450" s="61">
        <f>SUM(N450:S450)</f>
        <v>0</v>
      </c>
      <c r="U450" s="61">
        <f>T450+L450</f>
        <v>0</v>
      </c>
      <c r="V450" s="61">
        <f>V445</f>
        <v>0</v>
      </c>
      <c r="W450" s="72">
        <f>V450-U450</f>
        <v>0</v>
      </c>
      <c r="X450" s="63">
        <f>U445-U450</f>
        <v>0</v>
      </c>
    </row>
    <row r="451" spans="1:28" s="63" customFormat="1" ht="18" hidden="1" customHeight="1">
      <c r="A451" s="583"/>
      <c r="B451" s="576"/>
      <c r="C451" s="577"/>
      <c r="D451" s="201" t="str">
        <f>серпень!D374</f>
        <v>дотація</v>
      </c>
      <c r="E451" s="71"/>
      <c r="F451" s="61"/>
      <c r="G451" s="61"/>
      <c r="H451" s="61"/>
      <c r="I451" s="61"/>
      <c r="J451" s="61"/>
      <c r="K451" s="61"/>
      <c r="L451" s="61">
        <f>SUM(F451:K451)</f>
        <v>0</v>
      </c>
      <c r="M451" s="61">
        <f>L451/6</f>
        <v>0</v>
      </c>
      <c r="N451" s="61"/>
      <c r="O451" s="61"/>
      <c r="P451" s="61"/>
      <c r="Q451" s="61"/>
      <c r="R451" s="61"/>
      <c r="S451" s="61"/>
      <c r="T451" s="61">
        <f>SUM(N451:S451)</f>
        <v>0</v>
      </c>
      <c r="U451" s="61">
        <f>T451+L451</f>
        <v>0</v>
      </c>
      <c r="V451" s="61">
        <f>V446</f>
        <v>0</v>
      </c>
      <c r="W451" s="72">
        <f>V451-U451</f>
        <v>0</v>
      </c>
      <c r="X451" s="63">
        <f>U446-U451</f>
        <v>0</v>
      </c>
    </row>
    <row r="452" spans="1:28" s="63" customFormat="1" ht="18" hidden="1" customHeight="1">
      <c r="A452" s="583"/>
      <c r="B452" s="576"/>
      <c r="C452" s="577"/>
      <c r="D452" s="201" t="str">
        <f>серпень!D375</f>
        <v xml:space="preserve">місцевий </v>
      </c>
      <c r="E452" s="71"/>
      <c r="F452" s="61">
        <f t="shared" ref="F452:K452" si="507">F450-F451</f>
        <v>0</v>
      </c>
      <c r="G452" s="61">
        <f t="shared" si="507"/>
        <v>0</v>
      </c>
      <c r="H452" s="61">
        <f t="shared" si="507"/>
        <v>0</v>
      </c>
      <c r="I452" s="61">
        <f t="shared" si="507"/>
        <v>0</v>
      </c>
      <c r="J452" s="61">
        <f t="shared" si="507"/>
        <v>0</v>
      </c>
      <c r="K452" s="61">
        <f t="shared" si="507"/>
        <v>0</v>
      </c>
      <c r="L452" s="61">
        <f>SUM(F452:K452)</f>
        <v>0</v>
      </c>
      <c r="M452" s="61">
        <f>L452/6</f>
        <v>0</v>
      </c>
      <c r="N452" s="61">
        <f t="shared" ref="N452:S452" si="508">N450-N451</f>
        <v>0</v>
      </c>
      <c r="O452" s="61">
        <f t="shared" si="508"/>
        <v>0</v>
      </c>
      <c r="P452" s="61">
        <f t="shared" si="508"/>
        <v>0</v>
      </c>
      <c r="Q452" s="61">
        <f t="shared" si="508"/>
        <v>0</v>
      </c>
      <c r="R452" s="61">
        <f t="shared" si="508"/>
        <v>0</v>
      </c>
      <c r="S452" s="61">
        <f t="shared" si="508"/>
        <v>0</v>
      </c>
      <c r="T452" s="61">
        <f>SUM(N452:S452)</f>
        <v>0</v>
      </c>
      <c r="U452" s="61">
        <f>T452+L452</f>
        <v>0</v>
      </c>
      <c r="V452" s="61">
        <f>V447</f>
        <v>0</v>
      </c>
      <c r="W452" s="72">
        <f>V452-U452</f>
        <v>0</v>
      </c>
      <c r="X452" s="63">
        <f>U447-U452</f>
        <v>0</v>
      </c>
    </row>
    <row r="453" spans="1:28" s="43" customFormat="1" ht="18" hidden="1" customHeight="1">
      <c r="A453" s="583"/>
      <c r="B453" s="576"/>
      <c r="C453" s="577"/>
      <c r="D453" s="202" t="str">
        <f>серпень!D376</f>
        <v>план</v>
      </c>
      <c r="E453" s="42"/>
      <c r="F453" s="42">
        <f t="shared" ref="F453:K453" si="509">F447</f>
        <v>0</v>
      </c>
      <c r="G453" s="42">
        <f t="shared" si="509"/>
        <v>0</v>
      </c>
      <c r="H453" s="42">
        <f t="shared" si="509"/>
        <v>0</v>
      </c>
      <c r="I453" s="42">
        <f t="shared" si="509"/>
        <v>0</v>
      </c>
      <c r="J453" s="42">
        <f t="shared" si="509"/>
        <v>0</v>
      </c>
      <c r="K453" s="42">
        <f t="shared" si="509"/>
        <v>0</v>
      </c>
      <c r="L453" s="42">
        <f>SUM(F453:K453)</f>
        <v>0</v>
      </c>
      <c r="M453" s="42">
        <f>L453/6</f>
        <v>0</v>
      </c>
      <c r="N453" s="42">
        <f t="shared" ref="N453:S453" si="510">N447+N446</f>
        <v>0</v>
      </c>
      <c r="O453" s="42">
        <f t="shared" si="510"/>
        <v>0</v>
      </c>
      <c r="P453" s="42">
        <f t="shared" si="510"/>
        <v>0</v>
      </c>
      <c r="Q453" s="42">
        <f t="shared" si="510"/>
        <v>0</v>
      </c>
      <c r="R453" s="42">
        <f t="shared" si="510"/>
        <v>0</v>
      </c>
      <c r="S453" s="42">
        <f t="shared" si="510"/>
        <v>0</v>
      </c>
      <c r="T453" s="42">
        <f>SUM(N453:S453)</f>
        <v>0</v>
      </c>
      <c r="U453" s="42">
        <f>T453+L453</f>
        <v>0</v>
      </c>
      <c r="V453" s="42">
        <f>V450</f>
        <v>0</v>
      </c>
      <c r="W453" s="42">
        <f>V453-U453</f>
        <v>0</v>
      </c>
    </row>
    <row r="454" spans="1:28" s="43" customFormat="1" ht="18" hidden="1" customHeight="1">
      <c r="A454" s="583"/>
      <c r="B454" s="576"/>
      <c r="C454" s="577"/>
      <c r="D454" s="202" t="str">
        <f>серпень!D377</f>
        <v xml:space="preserve">відхилення </v>
      </c>
      <c r="E454" s="42"/>
      <c r="F454" s="42">
        <f t="shared" ref="F454:K454" si="511">F450-F453</f>
        <v>0</v>
      </c>
      <c r="G454" s="42">
        <f t="shared" si="511"/>
        <v>0</v>
      </c>
      <c r="H454" s="42">
        <f t="shared" si="511"/>
        <v>0</v>
      </c>
      <c r="I454" s="42">
        <f t="shared" si="511"/>
        <v>0</v>
      </c>
      <c r="J454" s="42">
        <f t="shared" si="511"/>
        <v>0</v>
      </c>
      <c r="K454" s="42">
        <f t="shared" si="511"/>
        <v>0</v>
      </c>
      <c r="L454" s="42"/>
      <c r="M454" s="42"/>
      <c r="N454" s="42">
        <f t="shared" ref="N454:S454" si="512">N450-N453</f>
        <v>0</v>
      </c>
      <c r="O454" s="42">
        <f t="shared" si="512"/>
        <v>0</v>
      </c>
      <c r="P454" s="42">
        <f t="shared" si="512"/>
        <v>0</v>
      </c>
      <c r="Q454" s="42">
        <f t="shared" si="512"/>
        <v>0</v>
      </c>
      <c r="R454" s="42">
        <f t="shared" si="512"/>
        <v>0</v>
      </c>
      <c r="S454" s="42">
        <f t="shared" si="512"/>
        <v>0</v>
      </c>
      <c r="T454" s="42"/>
      <c r="U454" s="42"/>
      <c r="V454" s="42"/>
      <c r="W454" s="42"/>
    </row>
    <row r="455" spans="1:28" s="43" customFormat="1" ht="18" hidden="1" customHeight="1">
      <c r="A455" s="583"/>
      <c r="B455" s="578"/>
      <c r="C455" s="579"/>
      <c r="D455" s="202" t="str">
        <f>серпень!D378</f>
        <v>відхилення з наростаючим</v>
      </c>
      <c r="E455" s="42"/>
      <c r="F455" s="42">
        <f>F454</f>
        <v>0</v>
      </c>
      <c r="G455" s="42">
        <f>G454+F455</f>
        <v>0</v>
      </c>
      <c r="H455" s="42">
        <f>H454+G455</f>
        <v>0</v>
      </c>
      <c r="I455" s="42">
        <f>I454+H455</f>
        <v>0</v>
      </c>
      <c r="J455" s="42">
        <f>J454+I455</f>
        <v>0</v>
      </c>
      <c r="K455" s="42">
        <f>K454+J455</f>
        <v>0</v>
      </c>
      <c r="L455" s="42"/>
      <c r="M455" s="42"/>
      <c r="N455" s="42">
        <f>N454+K455</f>
        <v>0</v>
      </c>
      <c r="O455" s="42">
        <f>O454+N455</f>
        <v>0</v>
      </c>
      <c r="P455" s="42">
        <f>P454+O455</f>
        <v>0</v>
      </c>
      <c r="Q455" s="42">
        <f>Q454+P455</f>
        <v>0</v>
      </c>
      <c r="R455" s="42">
        <f>R454+Q455</f>
        <v>0</v>
      </c>
      <c r="S455" s="42">
        <f>S454+R455</f>
        <v>0</v>
      </c>
      <c r="T455" s="42"/>
      <c r="U455" s="42"/>
      <c r="V455" s="42"/>
      <c r="W455" s="42"/>
    </row>
    <row r="456" spans="1:28" s="10" customFormat="1" ht="18" hidden="1" customHeight="1">
      <c r="A456" s="583"/>
      <c r="B456" s="580" t="s">
        <v>38</v>
      </c>
      <c r="C456" s="575"/>
      <c r="D456" s="178" t="str">
        <f>серпень!D379</f>
        <v>факт. нат.п-ки 2023</v>
      </c>
      <c r="E456" s="11"/>
      <c r="F456" s="12"/>
      <c r="G456" s="12"/>
      <c r="H456" s="12"/>
      <c r="I456" s="12"/>
      <c r="J456" s="12"/>
      <c r="K456" s="12"/>
      <c r="L456" s="65">
        <f>SUM(F456:K456)</f>
        <v>0</v>
      </c>
      <c r="M456" s="65">
        <f>L456/6</f>
        <v>0</v>
      </c>
      <c r="N456" s="12"/>
      <c r="O456" s="12"/>
      <c r="P456" s="12"/>
      <c r="Q456" s="12"/>
      <c r="R456" s="12"/>
      <c r="S456" s="12"/>
      <c r="T456" s="65">
        <f>SUM(N456:S456)</f>
        <v>0</v>
      </c>
      <c r="U456" s="66">
        <f>T456+L456</f>
        <v>0</v>
      </c>
      <c r="V456" s="67"/>
      <c r="W456" s="38">
        <f>V456-U456</f>
        <v>0</v>
      </c>
      <c r="X456" s="36"/>
      <c r="Y456" s="3"/>
      <c r="Z456" s="3"/>
      <c r="AA456" s="3"/>
      <c r="AB456" s="3"/>
    </row>
    <row r="457" spans="1:28" s="48" customFormat="1" ht="18" hidden="1" customHeight="1">
      <c r="A457" s="583"/>
      <c r="B457" s="576"/>
      <c r="C457" s="577"/>
      <c r="D457" s="178" t="str">
        <f>серпень!D380</f>
        <v>факт. нат.п-ки 2024</v>
      </c>
      <c r="E457" s="11"/>
      <c r="F457" s="12"/>
      <c r="G457" s="12"/>
      <c r="H457" s="12"/>
      <c r="I457" s="12"/>
      <c r="J457" s="12"/>
      <c r="K457" s="12"/>
      <c r="L457" s="65">
        <f>SUM(F457:K457)</f>
        <v>0</v>
      </c>
      <c r="M457" s="65">
        <f>L457/6</f>
        <v>0</v>
      </c>
      <c r="N457" s="11"/>
      <c r="O457" s="11"/>
      <c r="P457" s="11"/>
      <c r="Q457" s="11"/>
      <c r="R457" s="11"/>
      <c r="S457" s="11"/>
      <c r="T457" s="65">
        <f>SUM(N457:S457)</f>
        <v>0</v>
      </c>
      <c r="U457" s="66">
        <f>T457+L457</f>
        <v>0</v>
      </c>
      <c r="V457" s="46"/>
      <c r="W457" s="38">
        <f>V457-U457</f>
        <v>0</v>
      </c>
      <c r="X457" s="47"/>
    </row>
    <row r="458" spans="1:28" s="10" customFormat="1" ht="18" hidden="1" customHeight="1">
      <c r="A458" s="583"/>
      <c r="B458" s="576"/>
      <c r="C458" s="577"/>
      <c r="D458" s="178" t="str">
        <f>серпень!D381</f>
        <v>факт. нат.п-ки 2025</v>
      </c>
      <c r="E458" s="11"/>
      <c r="F458" s="12"/>
      <c r="G458" s="12"/>
      <c r="H458" s="12"/>
      <c r="I458" s="12"/>
      <c r="J458" s="12"/>
      <c r="K458" s="12"/>
      <c r="L458" s="65">
        <f>SUM(F458:K458)</f>
        <v>0</v>
      </c>
      <c r="M458" s="65">
        <f>L458/6</f>
        <v>0</v>
      </c>
      <c r="N458" s="12"/>
      <c r="O458" s="12"/>
      <c r="P458" s="12"/>
      <c r="Q458" s="12"/>
      <c r="R458" s="12"/>
      <c r="S458" s="12"/>
      <c r="T458" s="65">
        <f>SUM(N458:S458)</f>
        <v>0</v>
      </c>
      <c r="U458" s="66">
        <f>T458+L458</f>
        <v>0</v>
      </c>
      <c r="V458" s="11"/>
      <c r="W458" s="38">
        <f>V458-U458</f>
        <v>0</v>
      </c>
      <c r="X458" s="36"/>
      <c r="Y458" s="3"/>
      <c r="Z458" s="3"/>
      <c r="AA458" s="3"/>
      <c r="AB458" s="3"/>
    </row>
    <row r="459" spans="1:28" s="114" customFormat="1" ht="18" hidden="1" customHeight="1">
      <c r="A459" s="583"/>
      <c r="B459" s="576"/>
      <c r="C459" s="577"/>
      <c r="D459" s="187" t="str">
        <f>серпень!D382</f>
        <v>тариф, грн.</v>
      </c>
      <c r="E459" s="49"/>
      <c r="F459" s="49">
        <v>10.56</v>
      </c>
      <c r="G459" s="49">
        <v>10.56</v>
      </c>
      <c r="H459" s="49">
        <v>10.56</v>
      </c>
      <c r="I459" s="49">
        <v>10.56</v>
      </c>
      <c r="J459" s="49">
        <v>10.56</v>
      </c>
      <c r="K459" s="49">
        <v>10.56</v>
      </c>
      <c r="L459" s="49" t="e">
        <f>L460/L458*1000</f>
        <v>#DIV/0!</v>
      </c>
      <c r="M459" s="49" t="e">
        <f>M460/M458*1000</f>
        <v>#DIV/0!</v>
      </c>
      <c r="N459" s="49">
        <v>10.56</v>
      </c>
      <c r="O459" s="49">
        <v>10.56</v>
      </c>
      <c r="P459" s="49">
        <v>10.56</v>
      </c>
      <c r="Q459" s="49">
        <v>10.56</v>
      </c>
      <c r="R459" s="49">
        <v>10.56</v>
      </c>
      <c r="S459" s="49">
        <v>10.56</v>
      </c>
      <c r="T459" s="49" t="e">
        <f>T460/T458*1000</f>
        <v>#DIV/0!</v>
      </c>
      <c r="U459" s="49" t="e">
        <f>U460/U458*1000</f>
        <v>#DIV/0!</v>
      </c>
      <c r="V459" s="68" t="e">
        <f>V460/V458*1000</f>
        <v>#DIV/0!</v>
      </c>
      <c r="W459" s="14" t="e">
        <f>W460/W458*1000</f>
        <v>#DIV/0!</v>
      </c>
      <c r="X459" s="36"/>
      <c r="Y459" s="3"/>
      <c r="Z459" s="3"/>
      <c r="AA459" s="3"/>
      <c r="AB459" s="3"/>
    </row>
    <row r="460" spans="1:28" s="114" customFormat="1" ht="18" hidden="1" customHeight="1">
      <c r="A460" s="583"/>
      <c r="B460" s="576"/>
      <c r="C460" s="577"/>
      <c r="D460" s="191" t="str">
        <f>серпень!D383</f>
        <v>сума, тис.грн.</v>
      </c>
      <c r="E460" s="52"/>
      <c r="F460" s="52">
        <f t="shared" ref="F460:K460" si="513">F458*F459/1000</f>
        <v>0</v>
      </c>
      <c r="G460" s="52">
        <f t="shared" si="513"/>
        <v>0</v>
      </c>
      <c r="H460" s="52">
        <f t="shared" si="513"/>
        <v>0</v>
      </c>
      <c r="I460" s="52">
        <f t="shared" si="513"/>
        <v>0</v>
      </c>
      <c r="J460" s="52">
        <f t="shared" si="513"/>
        <v>0</v>
      </c>
      <c r="K460" s="52">
        <f t="shared" si="513"/>
        <v>0</v>
      </c>
      <c r="L460" s="69">
        <f>SUM(F460:K460)</f>
        <v>0</v>
      </c>
      <c r="M460" s="69">
        <f>L460/6</f>
        <v>0</v>
      </c>
      <c r="N460" s="52">
        <f t="shared" ref="N460:S460" si="514">N458*N459/1000</f>
        <v>0</v>
      </c>
      <c r="O460" s="52">
        <f t="shared" si="514"/>
        <v>0</v>
      </c>
      <c r="P460" s="52">
        <f t="shared" si="514"/>
        <v>0</v>
      </c>
      <c r="Q460" s="52">
        <f t="shared" si="514"/>
        <v>0</v>
      </c>
      <c r="R460" s="52">
        <f t="shared" si="514"/>
        <v>0</v>
      </c>
      <c r="S460" s="52">
        <f t="shared" si="514"/>
        <v>0</v>
      </c>
      <c r="T460" s="69">
        <f>SUM(N460:S460)</f>
        <v>0</v>
      </c>
      <c r="U460" s="69">
        <f>T460+L460</f>
        <v>0</v>
      </c>
      <c r="V460" s="70">
        <f>V461+V462</f>
        <v>0</v>
      </c>
      <c r="W460" s="53">
        <f>V460-U460</f>
        <v>0</v>
      </c>
      <c r="X460" s="113"/>
    </row>
    <row r="461" spans="1:28" s="114" customFormat="1" ht="18" hidden="1" customHeight="1">
      <c r="A461" s="583"/>
      <c r="B461" s="576"/>
      <c r="C461" s="577"/>
      <c r="D461" s="174" t="str">
        <f>серпень!D384</f>
        <v>дотація</v>
      </c>
      <c r="E461" s="56"/>
      <c r="F461" s="52"/>
      <c r="G461" s="52"/>
      <c r="H461" s="52"/>
      <c r="I461" s="52"/>
      <c r="J461" s="52"/>
      <c r="K461" s="52"/>
      <c r="L461" s="69">
        <f>SUM(F461:K461)</f>
        <v>0</v>
      </c>
      <c r="M461" s="69">
        <f>L461/6</f>
        <v>0</v>
      </c>
      <c r="N461" s="52"/>
      <c r="O461" s="52"/>
      <c r="P461" s="52"/>
      <c r="Q461" s="52"/>
      <c r="R461" s="52"/>
      <c r="S461" s="52"/>
      <c r="T461" s="69">
        <f>SUM(N461:S461)</f>
        <v>0</v>
      </c>
      <c r="U461" s="69">
        <f>T461+L461</f>
        <v>0</v>
      </c>
      <c r="V461" s="70">
        <v>0</v>
      </c>
      <c r="W461" s="53">
        <f>V461-U461</f>
        <v>0</v>
      </c>
      <c r="X461" s="113"/>
    </row>
    <row r="462" spans="1:28" s="114" customFormat="1" ht="18" hidden="1" customHeight="1">
      <c r="A462" s="583"/>
      <c r="B462" s="576"/>
      <c r="C462" s="577"/>
      <c r="D462" s="174" t="str">
        <f>серпень!D385</f>
        <v>місцевий (план), тис.грн</v>
      </c>
      <c r="E462" s="56"/>
      <c r="F462" s="52"/>
      <c r="G462" s="52"/>
      <c r="H462" s="52"/>
      <c r="I462" s="52"/>
      <c r="J462" s="52"/>
      <c r="K462" s="52"/>
      <c r="L462" s="69">
        <f>SUM(F462:K462)</f>
        <v>0</v>
      </c>
      <c r="M462" s="69">
        <f>L462/6</f>
        <v>0</v>
      </c>
      <c r="N462" s="52"/>
      <c r="O462" s="52"/>
      <c r="P462" s="52"/>
      <c r="Q462" s="52"/>
      <c r="R462" s="52"/>
      <c r="S462" s="52"/>
      <c r="T462" s="69">
        <f>SUM(N462:S462)</f>
        <v>0</v>
      </c>
      <c r="U462" s="69">
        <f>T462+L462</f>
        <v>0</v>
      </c>
      <c r="V462" s="70"/>
      <c r="W462" s="53">
        <f>V462-U462</f>
        <v>0</v>
      </c>
      <c r="X462" s="113"/>
    </row>
    <row r="463" spans="1:28" s="3" customFormat="1" ht="18" hidden="1" customHeight="1">
      <c r="A463" s="583"/>
      <c r="B463" s="576"/>
      <c r="C463" s="577"/>
      <c r="D463" s="178" t="str">
        <f>серпень!D386</f>
        <v>касові нат.п-ки 2025</v>
      </c>
      <c r="E463" s="11"/>
      <c r="F463" s="11"/>
      <c r="G463" s="11"/>
      <c r="H463" s="11"/>
      <c r="I463" s="11"/>
      <c r="J463" s="11"/>
      <c r="K463" s="11"/>
      <c r="L463" s="65">
        <f>SUM(F463:K463)</f>
        <v>0</v>
      </c>
      <c r="M463" s="65">
        <f>L463/6</f>
        <v>0</v>
      </c>
      <c r="N463" s="11"/>
      <c r="O463" s="11"/>
      <c r="P463" s="11"/>
      <c r="Q463" s="11"/>
      <c r="R463" s="11"/>
      <c r="S463" s="11">
        <f>S458+R458</f>
        <v>0</v>
      </c>
      <c r="T463" s="65">
        <f>SUM(N463:S463)</f>
        <v>0</v>
      </c>
      <c r="U463" s="65">
        <f>T463+L463</f>
        <v>0</v>
      </c>
      <c r="V463" s="11">
        <f>V458</f>
        <v>0</v>
      </c>
      <c r="W463" s="38">
        <f>V463-U463</f>
        <v>0</v>
      </c>
      <c r="X463" s="47">
        <f>U458-U463</f>
        <v>0</v>
      </c>
    </row>
    <row r="464" spans="1:28" s="73" customFormat="1" ht="18" hidden="1" customHeight="1">
      <c r="A464" s="583"/>
      <c r="B464" s="576"/>
      <c r="C464" s="577"/>
      <c r="D464" s="187" t="str">
        <f>серпень!D387</f>
        <v>тариф, грн.</v>
      </c>
      <c r="E464" s="49" t="e">
        <f>E465/E463*1000</f>
        <v>#DIV/0!</v>
      </c>
      <c r="F464" s="49">
        <v>10.56</v>
      </c>
      <c r="G464" s="49">
        <v>10.56</v>
      </c>
      <c r="H464" s="49">
        <v>10.56</v>
      </c>
      <c r="I464" s="49">
        <v>10.56</v>
      </c>
      <c r="J464" s="49">
        <v>10.56</v>
      </c>
      <c r="K464" s="49">
        <v>10.56</v>
      </c>
      <c r="L464" s="49" t="e">
        <f>L465/L463*1000</f>
        <v>#DIV/0!</v>
      </c>
      <c r="M464" s="49" t="e">
        <f>M465/M463*1000</f>
        <v>#DIV/0!</v>
      </c>
      <c r="N464" s="49">
        <v>10.56</v>
      </c>
      <c r="O464" s="49">
        <v>10.56</v>
      </c>
      <c r="P464" s="49">
        <v>10.56</v>
      </c>
      <c r="Q464" s="49">
        <v>10.56</v>
      </c>
      <c r="R464" s="49">
        <v>10.56</v>
      </c>
      <c r="S464" s="49">
        <v>10.56</v>
      </c>
      <c r="T464" s="49" t="e">
        <f>T465/T463*1000</f>
        <v>#DIV/0!</v>
      </c>
      <c r="U464" s="49" t="e">
        <f>U465/U463*1000</f>
        <v>#DIV/0!</v>
      </c>
      <c r="V464" s="68" t="e">
        <f>V465/V463*1000</f>
        <v>#DIV/0!</v>
      </c>
      <c r="W464" s="14" t="e">
        <f>W465/W463*1000</f>
        <v>#DIV/0!</v>
      </c>
      <c r="X464" s="59"/>
      <c r="Y464" s="36"/>
      <c r="Z464" s="36"/>
      <c r="AA464" s="36"/>
      <c r="AB464" s="36"/>
    </row>
    <row r="465" spans="1:24" s="126" customFormat="1" ht="18" hidden="1" customHeight="1">
      <c r="A465" s="583"/>
      <c r="B465" s="576"/>
      <c r="C465" s="577"/>
      <c r="D465" s="198" t="str">
        <f>серпень!D388</f>
        <v>касові видатки, тис.грн.</v>
      </c>
      <c r="E465" s="71"/>
      <c r="F465" s="61">
        <f t="shared" ref="F465:K465" si="515">F463*F464/1000</f>
        <v>0</v>
      </c>
      <c r="G465" s="61">
        <f t="shared" si="515"/>
        <v>0</v>
      </c>
      <c r="H465" s="61">
        <f t="shared" si="515"/>
        <v>0</v>
      </c>
      <c r="I465" s="61">
        <f t="shared" si="515"/>
        <v>0</v>
      </c>
      <c r="J465" s="61">
        <f t="shared" si="515"/>
        <v>0</v>
      </c>
      <c r="K465" s="61">
        <f t="shared" si="515"/>
        <v>0</v>
      </c>
      <c r="L465" s="61">
        <f>SUM(F465:K465)</f>
        <v>0</v>
      </c>
      <c r="M465" s="61">
        <f>L465/6</f>
        <v>0</v>
      </c>
      <c r="N465" s="61">
        <f t="shared" ref="N465:S465" si="516">N463*N464/1000</f>
        <v>0</v>
      </c>
      <c r="O465" s="61">
        <f t="shared" si="516"/>
        <v>0</v>
      </c>
      <c r="P465" s="61">
        <f t="shared" si="516"/>
        <v>0</v>
      </c>
      <c r="Q465" s="61">
        <f t="shared" si="516"/>
        <v>0</v>
      </c>
      <c r="R465" s="61">
        <f t="shared" si="516"/>
        <v>0</v>
      </c>
      <c r="S465" s="61">
        <f t="shared" si="516"/>
        <v>0</v>
      </c>
      <c r="T465" s="61">
        <f>SUM(N465:S465)</f>
        <v>0</v>
      </c>
      <c r="U465" s="61">
        <f>T465+L465</f>
        <v>0</v>
      </c>
      <c r="V465" s="61">
        <f>V460</f>
        <v>0</v>
      </c>
      <c r="W465" s="72">
        <f>V465-U465</f>
        <v>0</v>
      </c>
      <c r="X465" s="63">
        <f>U460-U465</f>
        <v>0</v>
      </c>
    </row>
    <row r="466" spans="1:24" s="126" customFormat="1" ht="18" hidden="1" customHeight="1">
      <c r="A466" s="583"/>
      <c r="B466" s="576"/>
      <c r="C466" s="577"/>
      <c r="D466" s="201" t="str">
        <f>серпень!D389</f>
        <v>дотація</v>
      </c>
      <c r="E466" s="71"/>
      <c r="F466" s="61"/>
      <c r="G466" s="61"/>
      <c r="H466" s="61"/>
      <c r="I466" s="61"/>
      <c r="J466" s="61"/>
      <c r="K466" s="61"/>
      <c r="L466" s="61">
        <f>SUM(F466:K466)</f>
        <v>0</v>
      </c>
      <c r="M466" s="61">
        <f>L466/6</f>
        <v>0</v>
      </c>
      <c r="N466" s="61"/>
      <c r="O466" s="61"/>
      <c r="P466" s="61"/>
      <c r="Q466" s="61"/>
      <c r="R466" s="61"/>
      <c r="S466" s="61"/>
      <c r="T466" s="61">
        <f>SUM(N466:S466)</f>
        <v>0</v>
      </c>
      <c r="U466" s="61">
        <f>T466+L466</f>
        <v>0</v>
      </c>
      <c r="V466" s="61">
        <f>V461</f>
        <v>0</v>
      </c>
      <c r="W466" s="72">
        <f>V466-U466</f>
        <v>0</v>
      </c>
      <c r="X466" s="63">
        <f>U461-U466</f>
        <v>0</v>
      </c>
    </row>
    <row r="467" spans="1:24" s="126" customFormat="1" ht="18" hidden="1" customHeight="1">
      <c r="A467" s="583"/>
      <c r="B467" s="576"/>
      <c r="C467" s="577"/>
      <c r="D467" s="201" t="str">
        <f>серпень!D390</f>
        <v xml:space="preserve">місцевий </v>
      </c>
      <c r="E467" s="71"/>
      <c r="F467" s="61">
        <f t="shared" ref="F467:K467" si="517">F465-F466</f>
        <v>0</v>
      </c>
      <c r="G467" s="61">
        <f t="shared" si="517"/>
        <v>0</v>
      </c>
      <c r="H467" s="61">
        <f t="shared" si="517"/>
        <v>0</v>
      </c>
      <c r="I467" s="61">
        <f t="shared" si="517"/>
        <v>0</v>
      </c>
      <c r="J467" s="61">
        <f t="shared" si="517"/>
        <v>0</v>
      </c>
      <c r="K467" s="61">
        <f t="shared" si="517"/>
        <v>0</v>
      </c>
      <c r="L467" s="61">
        <f>SUM(F467:K467)</f>
        <v>0</v>
      </c>
      <c r="M467" s="61">
        <f>L467/6</f>
        <v>0</v>
      </c>
      <c r="N467" s="61">
        <f t="shared" ref="N467:S467" si="518">N465-N466</f>
        <v>0</v>
      </c>
      <c r="O467" s="61">
        <f t="shared" si="518"/>
        <v>0</v>
      </c>
      <c r="P467" s="61">
        <f t="shared" si="518"/>
        <v>0</v>
      </c>
      <c r="Q467" s="61">
        <f t="shared" si="518"/>
        <v>0</v>
      </c>
      <c r="R467" s="61">
        <f t="shared" si="518"/>
        <v>0</v>
      </c>
      <c r="S467" s="61">
        <f t="shared" si="518"/>
        <v>0</v>
      </c>
      <c r="T467" s="61">
        <f>SUM(N467:S467)</f>
        <v>0</v>
      </c>
      <c r="U467" s="61">
        <f>T467+L467</f>
        <v>0</v>
      </c>
      <c r="V467" s="61">
        <f>V462</f>
        <v>0</v>
      </c>
      <c r="W467" s="72">
        <f>V467-U467</f>
        <v>0</v>
      </c>
      <c r="X467" s="63">
        <f>U462-U467</f>
        <v>0</v>
      </c>
    </row>
    <row r="468" spans="1:24" s="43" customFormat="1" ht="18" hidden="1" customHeight="1">
      <c r="A468" s="583"/>
      <c r="B468" s="576"/>
      <c r="C468" s="577"/>
      <c r="D468" s="202" t="str">
        <f>серпень!D391</f>
        <v>план</v>
      </c>
      <c r="E468" s="42"/>
      <c r="F468" s="42">
        <f t="shared" ref="F468:K468" si="519">F462</f>
        <v>0</v>
      </c>
      <c r="G468" s="42">
        <f t="shared" si="519"/>
        <v>0</v>
      </c>
      <c r="H468" s="42">
        <f t="shared" si="519"/>
        <v>0</v>
      </c>
      <c r="I468" s="42">
        <f t="shared" si="519"/>
        <v>0</v>
      </c>
      <c r="J468" s="42">
        <f t="shared" si="519"/>
        <v>0</v>
      </c>
      <c r="K468" s="42">
        <f t="shared" si="519"/>
        <v>0</v>
      </c>
      <c r="L468" s="42">
        <f>SUM(F468:K468)</f>
        <v>0</v>
      </c>
      <c r="M468" s="42">
        <f>L468/6</f>
        <v>0</v>
      </c>
      <c r="N468" s="42">
        <f t="shared" ref="N468:S468" si="520">N462+N461</f>
        <v>0</v>
      </c>
      <c r="O468" s="42">
        <f t="shared" si="520"/>
        <v>0</v>
      </c>
      <c r="P468" s="42">
        <f t="shared" si="520"/>
        <v>0</v>
      </c>
      <c r="Q468" s="42">
        <f t="shared" si="520"/>
        <v>0</v>
      </c>
      <c r="R468" s="42">
        <f t="shared" si="520"/>
        <v>0</v>
      </c>
      <c r="S468" s="42">
        <f t="shared" si="520"/>
        <v>0</v>
      </c>
      <c r="T468" s="42">
        <f>SUM(N468:S468)</f>
        <v>0</v>
      </c>
      <c r="U468" s="42">
        <f>T468+L468</f>
        <v>0</v>
      </c>
      <c r="V468" s="42">
        <f>V465</f>
        <v>0</v>
      </c>
      <c r="W468" s="42">
        <f>V468-U468</f>
        <v>0</v>
      </c>
    </row>
    <row r="469" spans="1:24" s="43" customFormat="1" ht="18" hidden="1" customHeight="1">
      <c r="A469" s="583"/>
      <c r="B469" s="576"/>
      <c r="C469" s="577"/>
      <c r="D469" s="202" t="str">
        <f>серпень!D392</f>
        <v xml:space="preserve">відхилення </v>
      </c>
      <c r="E469" s="42"/>
      <c r="F469" s="42">
        <f t="shared" ref="F469:K469" si="521">F465-F468</f>
        <v>0</v>
      </c>
      <c r="G469" s="42">
        <f t="shared" si="521"/>
        <v>0</v>
      </c>
      <c r="H469" s="42">
        <f t="shared" si="521"/>
        <v>0</v>
      </c>
      <c r="I469" s="42">
        <f t="shared" si="521"/>
        <v>0</v>
      </c>
      <c r="J469" s="42">
        <f t="shared" si="521"/>
        <v>0</v>
      </c>
      <c r="K469" s="42">
        <f t="shared" si="521"/>
        <v>0</v>
      </c>
      <c r="L469" s="42"/>
      <c r="M469" s="42"/>
      <c r="N469" s="42">
        <f t="shared" ref="N469:S469" si="522">N465-N468</f>
        <v>0</v>
      </c>
      <c r="O469" s="42">
        <f t="shared" si="522"/>
        <v>0</v>
      </c>
      <c r="P469" s="42">
        <f t="shared" si="522"/>
        <v>0</v>
      </c>
      <c r="Q469" s="42">
        <f t="shared" si="522"/>
        <v>0</v>
      </c>
      <c r="R469" s="42">
        <f t="shared" si="522"/>
        <v>0</v>
      </c>
      <c r="S469" s="42">
        <f t="shared" si="522"/>
        <v>0</v>
      </c>
      <c r="T469" s="42"/>
      <c r="U469" s="42"/>
      <c r="V469" s="42"/>
      <c r="W469" s="42"/>
    </row>
    <row r="470" spans="1:24" s="43" customFormat="1" ht="18" hidden="1" customHeight="1">
      <c r="A470" s="584"/>
      <c r="B470" s="578"/>
      <c r="C470" s="579"/>
      <c r="D470" s="202" t="str">
        <f>серпень!D393</f>
        <v>відхилення з наростаючим</v>
      </c>
      <c r="E470" s="42"/>
      <c r="F470" s="42">
        <f>F469</f>
        <v>0</v>
      </c>
      <c r="G470" s="42">
        <f>G469+F470</f>
        <v>0</v>
      </c>
      <c r="H470" s="42">
        <f>H469+G470</f>
        <v>0</v>
      </c>
      <c r="I470" s="42">
        <f>I469+H470</f>
        <v>0</v>
      </c>
      <c r="J470" s="42">
        <f>J469+I470</f>
        <v>0</v>
      </c>
      <c r="K470" s="42">
        <f>K469+J470</f>
        <v>0</v>
      </c>
      <c r="L470" s="42"/>
      <c r="M470" s="42"/>
      <c r="N470" s="42">
        <f>N469+K470</f>
        <v>0</v>
      </c>
      <c r="O470" s="42">
        <f>O469+N470</f>
        <v>0</v>
      </c>
      <c r="P470" s="42">
        <f>P469+O470</f>
        <v>0</v>
      </c>
      <c r="Q470" s="42">
        <f>Q469+P470</f>
        <v>0</v>
      </c>
      <c r="R470" s="42">
        <f>R469+Q470</f>
        <v>0</v>
      </c>
      <c r="S470" s="42">
        <f>S469+R470</f>
        <v>0</v>
      </c>
      <c r="T470" s="42"/>
      <c r="U470" s="42"/>
      <c r="V470" s="42"/>
      <c r="W470" s="42"/>
    </row>
    <row r="471" spans="1:24" s="55" customFormat="1" ht="18" customHeight="1">
      <c r="A471" s="591">
        <v>2273</v>
      </c>
      <c r="B471" s="580" t="s">
        <v>26</v>
      </c>
      <c r="C471" s="575"/>
      <c r="D471" s="178" t="str">
        <f>серпень!D394</f>
        <v>факт. нат.п-ки 2023</v>
      </c>
      <c r="E471" s="11"/>
      <c r="F471" s="12">
        <f t="shared" ref="F471:K473" si="523">F486+F501</f>
        <v>1950</v>
      </c>
      <c r="G471" s="12">
        <f t="shared" si="523"/>
        <v>1179</v>
      </c>
      <c r="H471" s="12">
        <f t="shared" si="523"/>
        <v>1799.9</v>
      </c>
      <c r="I471" s="12">
        <f t="shared" si="523"/>
        <v>3094</v>
      </c>
      <c r="J471" s="12">
        <f t="shared" si="523"/>
        <v>2024</v>
      </c>
      <c r="K471" s="12">
        <f t="shared" si="523"/>
        <v>2180</v>
      </c>
      <c r="L471" s="65">
        <f>SUM(F471:K471)</f>
        <v>12226.9</v>
      </c>
      <c r="M471" s="65">
        <f>L471/6</f>
        <v>2037.8</v>
      </c>
      <c r="N471" s="12">
        <f t="shared" ref="N471:S473" si="524">N486+N501</f>
        <v>1959</v>
      </c>
      <c r="O471" s="12">
        <f t="shared" si="524"/>
        <v>2409.6</v>
      </c>
      <c r="P471" s="12">
        <f t="shared" si="524"/>
        <v>2770</v>
      </c>
      <c r="Q471" s="12">
        <f t="shared" si="524"/>
        <v>4516</v>
      </c>
      <c r="R471" s="12">
        <f t="shared" si="524"/>
        <v>6612</v>
      </c>
      <c r="S471" s="12">
        <f t="shared" si="524"/>
        <v>8294</v>
      </c>
      <c r="T471" s="65">
        <f>SUM(N471:S471)</f>
        <v>26560.6</v>
      </c>
      <c r="U471" s="65">
        <f>T471+L471</f>
        <v>38787.5</v>
      </c>
      <c r="V471" s="76">
        <f>V486+V501</f>
        <v>0</v>
      </c>
      <c r="W471" s="38"/>
      <c r="X471" s="47"/>
    </row>
    <row r="472" spans="1:24" s="48" customFormat="1" ht="18" customHeight="1">
      <c r="A472" s="592"/>
      <c r="B472" s="576"/>
      <c r="C472" s="577"/>
      <c r="D472" s="178" t="str">
        <f>серпень!D395</f>
        <v>факт. нат.п-ки 2024</v>
      </c>
      <c r="E472" s="11"/>
      <c r="F472" s="12">
        <f t="shared" si="523"/>
        <v>7463.2</v>
      </c>
      <c r="G472" s="12">
        <f t="shared" si="523"/>
        <v>8186.2</v>
      </c>
      <c r="H472" s="12">
        <f t="shared" si="523"/>
        <v>7673</v>
      </c>
      <c r="I472" s="12">
        <f t="shared" si="523"/>
        <v>4498</v>
      </c>
      <c r="J472" s="12">
        <f>J487+J502</f>
        <v>4791.2</v>
      </c>
      <c r="K472" s="12">
        <f t="shared" si="523"/>
        <v>3332.5</v>
      </c>
      <c r="L472" s="65">
        <f>SUM(F472:K472)</f>
        <v>35944.1</v>
      </c>
      <c r="M472" s="65">
        <f>L472/6</f>
        <v>5990.7</v>
      </c>
      <c r="N472" s="12">
        <f t="shared" si="524"/>
        <v>2814</v>
      </c>
      <c r="O472" s="12">
        <f t="shared" si="524"/>
        <v>3201</v>
      </c>
      <c r="P472" s="12">
        <f t="shared" si="524"/>
        <v>4170.2</v>
      </c>
      <c r="Q472" s="12">
        <f t="shared" si="524"/>
        <v>7061</v>
      </c>
      <c r="R472" s="12">
        <f t="shared" si="524"/>
        <v>9402</v>
      </c>
      <c r="S472" s="12">
        <f t="shared" si="524"/>
        <v>12175.9</v>
      </c>
      <c r="T472" s="65">
        <f>SUM(N472:S472)</f>
        <v>38824.1</v>
      </c>
      <c r="U472" s="65">
        <f>T472+L472</f>
        <v>74768.2</v>
      </c>
      <c r="V472" s="76">
        <f>V487+V502</f>
        <v>89518.9</v>
      </c>
      <c r="W472" s="38"/>
      <c r="X472" s="47"/>
    </row>
    <row r="473" spans="1:24" s="48" customFormat="1" ht="18" customHeight="1">
      <c r="A473" s="592"/>
      <c r="B473" s="576"/>
      <c r="C473" s="577"/>
      <c r="D473" s="178" t="str">
        <f>серпень!D396</f>
        <v>факт. нат.п-ки 2025</v>
      </c>
      <c r="E473" s="11"/>
      <c r="F473" s="12">
        <f t="shared" si="523"/>
        <v>6407.9</v>
      </c>
      <c r="G473" s="12">
        <f t="shared" si="523"/>
        <v>9633</v>
      </c>
      <c r="H473" s="12">
        <f t="shared" si="523"/>
        <v>8789.2000000000007</v>
      </c>
      <c r="I473" s="12">
        <f t="shared" si="523"/>
        <v>9619.4</v>
      </c>
      <c r="J473" s="12">
        <f>J488+J503</f>
        <v>5820.8</v>
      </c>
      <c r="K473" s="12">
        <f>K488+K503</f>
        <v>7040.2</v>
      </c>
      <c r="L473" s="125">
        <f>SUM(F473:K473)</f>
        <v>47310.5</v>
      </c>
      <c r="M473" s="65">
        <f>L473/6</f>
        <v>7885.1</v>
      </c>
      <c r="N473" s="12">
        <f t="shared" ref="N473" si="525">N488+N503</f>
        <v>7552.9</v>
      </c>
      <c r="O473" s="12">
        <f t="shared" si="524"/>
        <v>7080</v>
      </c>
      <c r="P473" s="12">
        <f t="shared" si="524"/>
        <v>7170.2</v>
      </c>
      <c r="Q473" s="12">
        <f t="shared" si="524"/>
        <v>9061</v>
      </c>
      <c r="R473" s="12">
        <f t="shared" si="524"/>
        <v>9402</v>
      </c>
      <c r="S473" s="12">
        <f t="shared" si="524"/>
        <v>12175.9</v>
      </c>
      <c r="T473" s="65">
        <f>SUM(N473:S473)</f>
        <v>52442</v>
      </c>
      <c r="U473" s="65">
        <f>T473+L473</f>
        <v>99752.5</v>
      </c>
      <c r="V473" s="76">
        <f>V488+V503</f>
        <v>83551.100000000006</v>
      </c>
      <c r="W473" s="38">
        <f>V473-U473</f>
        <v>-16201.4</v>
      </c>
      <c r="X473" s="47"/>
    </row>
    <row r="474" spans="1:24" s="51" customFormat="1" ht="18" customHeight="1">
      <c r="A474" s="592"/>
      <c r="B474" s="576"/>
      <c r="C474" s="577"/>
      <c r="D474" s="187" t="str">
        <f>серпень!D397</f>
        <v>тариф, грн.</v>
      </c>
      <c r="E474" s="49"/>
      <c r="F474" s="131">
        <f t="shared" ref="F474:S474" si="526">F475/F473*1000</f>
        <v>8.5794099999999993</v>
      </c>
      <c r="G474" s="131">
        <f t="shared" si="526"/>
        <v>8.4035089999999997</v>
      </c>
      <c r="H474" s="131">
        <f t="shared" si="526"/>
        <v>8.0480590000000003</v>
      </c>
      <c r="I474" s="131">
        <f t="shared" si="526"/>
        <v>7.8118179999999997</v>
      </c>
      <c r="J474" s="131">
        <f t="shared" si="526"/>
        <v>6.9473269999999996</v>
      </c>
      <c r="K474" s="131">
        <f t="shared" si="526"/>
        <v>7.832732</v>
      </c>
      <c r="L474" s="129">
        <f t="shared" si="526"/>
        <v>7.9768999999999997</v>
      </c>
      <c r="M474" s="129">
        <f t="shared" si="526"/>
        <v>7.9769399999999999</v>
      </c>
      <c r="N474" s="131">
        <f t="shared" si="526"/>
        <v>9.0111080000000001</v>
      </c>
      <c r="O474" s="131">
        <f t="shared" si="526"/>
        <v>8.9101689999999998</v>
      </c>
      <c r="P474" s="131">
        <f t="shared" si="526"/>
        <v>9.1471649999999993</v>
      </c>
      <c r="Q474" s="131">
        <f t="shared" si="526"/>
        <v>8.6301729999999992</v>
      </c>
      <c r="R474" s="131">
        <f t="shared" si="526"/>
        <v>9.5095720000000004</v>
      </c>
      <c r="S474" s="131">
        <f t="shared" si="526"/>
        <v>9.1919280000000008</v>
      </c>
      <c r="T474" s="129">
        <f>T475/T473*1000</f>
        <v>9.0816099999999995</v>
      </c>
      <c r="U474" s="129">
        <f>U475/U473*1000</f>
        <v>8.5576699999999999</v>
      </c>
      <c r="V474" s="49">
        <f>V475/V473*1000</f>
        <v>8.3160000000000007</v>
      </c>
      <c r="W474" s="14">
        <f>W475/W473*1000</f>
        <v>9.8049999999999997</v>
      </c>
      <c r="X474" s="59"/>
    </row>
    <row r="475" spans="1:24" s="130" customFormat="1" ht="18" customHeight="1">
      <c r="A475" s="592"/>
      <c r="B475" s="576"/>
      <c r="C475" s="577"/>
      <c r="D475" s="191" t="str">
        <f>серпень!D398</f>
        <v>сума, тис.грн.</v>
      </c>
      <c r="E475" s="52"/>
      <c r="F475" s="52">
        <f t="shared" ref="F475:K478" si="527">F490+F505</f>
        <v>54.975999999999999</v>
      </c>
      <c r="G475" s="52">
        <f t="shared" si="527"/>
        <v>80.950999999999993</v>
      </c>
      <c r="H475" s="52">
        <f t="shared" si="527"/>
        <v>70.736000000000004</v>
      </c>
      <c r="I475" s="52">
        <f t="shared" si="527"/>
        <v>75.144999999999996</v>
      </c>
      <c r="J475" s="52">
        <f t="shared" si="527"/>
        <v>40.439</v>
      </c>
      <c r="K475" s="52">
        <f t="shared" si="527"/>
        <v>55.143999999999998</v>
      </c>
      <c r="L475" s="69">
        <f>SUM(F475:K475)</f>
        <v>377.39100000000002</v>
      </c>
      <c r="M475" s="69">
        <f>L475/6</f>
        <v>62.899000000000001</v>
      </c>
      <c r="N475" s="52">
        <f t="shared" ref="N475:R478" si="528">N490+N505</f>
        <v>68.06</v>
      </c>
      <c r="O475" s="52">
        <f t="shared" si="528"/>
        <v>63.084000000000003</v>
      </c>
      <c r="P475" s="52">
        <f t="shared" si="528"/>
        <v>65.587000000000003</v>
      </c>
      <c r="Q475" s="52">
        <f t="shared" si="528"/>
        <v>78.197999999999993</v>
      </c>
      <c r="R475" s="52">
        <f t="shared" si="528"/>
        <v>89.409000000000006</v>
      </c>
      <c r="S475" s="52">
        <f t="shared" ref="N475:S478" si="529">S490+S505</f>
        <v>111.92</v>
      </c>
      <c r="T475" s="69">
        <f>SUM(N475:S475)</f>
        <v>476.25799999999998</v>
      </c>
      <c r="U475" s="69">
        <f>T475+L475</f>
        <v>853.649</v>
      </c>
      <c r="V475" s="52">
        <f>V490+V505</f>
        <v>694.798</v>
      </c>
      <c r="W475" s="52">
        <f>V475-U475</f>
        <v>-158.851</v>
      </c>
    </row>
    <row r="476" spans="1:24" s="130" customFormat="1" ht="18" customHeight="1">
      <c r="A476" s="592"/>
      <c r="B476" s="576"/>
      <c r="C476" s="577"/>
      <c r="D476" s="174" t="str">
        <f>серпень!D399</f>
        <v>дотація</v>
      </c>
      <c r="E476" s="52"/>
      <c r="F476" s="52">
        <f t="shared" si="527"/>
        <v>0</v>
      </c>
      <c r="G476" s="52">
        <f t="shared" si="527"/>
        <v>0</v>
      </c>
      <c r="H476" s="52">
        <f t="shared" si="527"/>
        <v>0</v>
      </c>
      <c r="I476" s="52">
        <f t="shared" si="527"/>
        <v>0</v>
      </c>
      <c r="J476" s="52">
        <f>J491+J506</f>
        <v>0</v>
      </c>
      <c r="K476" s="52">
        <f t="shared" si="527"/>
        <v>0</v>
      </c>
      <c r="L476" s="69">
        <f>SUM(F476:K476)</f>
        <v>0</v>
      </c>
      <c r="M476" s="69">
        <f>L476/6</f>
        <v>0</v>
      </c>
      <c r="N476" s="52">
        <f t="shared" si="529"/>
        <v>0</v>
      </c>
      <c r="O476" s="52">
        <f t="shared" si="528"/>
        <v>0</v>
      </c>
      <c r="P476" s="52">
        <f t="shared" si="528"/>
        <v>0</v>
      </c>
      <c r="Q476" s="52">
        <f t="shared" si="528"/>
        <v>0</v>
      </c>
      <c r="R476" s="52">
        <f t="shared" si="528"/>
        <v>0</v>
      </c>
      <c r="S476" s="52">
        <f t="shared" si="529"/>
        <v>0</v>
      </c>
      <c r="T476" s="69">
        <f>SUM(N476:S476)</f>
        <v>0</v>
      </c>
      <c r="U476" s="69">
        <f>T476+L476</f>
        <v>0</v>
      </c>
      <c r="V476" s="52">
        <f>V491+V506</f>
        <v>0</v>
      </c>
      <c r="W476" s="52">
        <f>V476-U476</f>
        <v>0</v>
      </c>
    </row>
    <row r="477" spans="1:24" s="130" customFormat="1" ht="18" customHeight="1">
      <c r="A477" s="592"/>
      <c r="B477" s="576"/>
      <c r="C477" s="577"/>
      <c r="D477" s="174" t="str">
        <f>серпень!D400</f>
        <v>місцевий (план), тис.грн</v>
      </c>
      <c r="E477" s="52"/>
      <c r="F477" s="52">
        <f t="shared" si="527"/>
        <v>0</v>
      </c>
      <c r="G477" s="52">
        <f t="shared" si="527"/>
        <v>63.170999999999999</v>
      </c>
      <c r="H477" s="52">
        <f t="shared" si="527"/>
        <v>72.756</v>
      </c>
      <c r="I477" s="52">
        <f t="shared" si="527"/>
        <v>81.456999999999994</v>
      </c>
      <c r="J477" s="52">
        <f>J492+J507</f>
        <v>64.424999999999997</v>
      </c>
      <c r="K477" s="52">
        <f t="shared" si="527"/>
        <v>40.661000000000001</v>
      </c>
      <c r="L477" s="69">
        <f>SUM(F477:K477)</f>
        <v>322.47000000000003</v>
      </c>
      <c r="M477" s="69">
        <f>L477/6</f>
        <v>53.744999999999997</v>
      </c>
      <c r="N477" s="52">
        <f t="shared" si="529"/>
        <v>55.366</v>
      </c>
      <c r="O477" s="52">
        <f>O492+O507</f>
        <v>67.616</v>
      </c>
      <c r="P477" s="52">
        <f t="shared" si="528"/>
        <v>35.517000000000003</v>
      </c>
      <c r="Q477" s="52">
        <f t="shared" si="528"/>
        <v>40.545999999999999</v>
      </c>
      <c r="R477" s="52">
        <f t="shared" si="528"/>
        <v>34.067999999999998</v>
      </c>
      <c r="S477" s="52">
        <f t="shared" si="529"/>
        <v>139.215</v>
      </c>
      <c r="T477" s="69">
        <f>SUM(N477:S477)</f>
        <v>372.32799999999997</v>
      </c>
      <c r="U477" s="69">
        <f>T477+L477</f>
        <v>694.798</v>
      </c>
      <c r="V477" s="52">
        <f>V492+V507</f>
        <v>694.798</v>
      </c>
      <c r="W477" s="52">
        <f>V477-U477</f>
        <v>0</v>
      </c>
    </row>
    <row r="478" spans="1:24" s="48" customFormat="1" ht="18" customHeight="1">
      <c r="A478" s="592"/>
      <c r="B478" s="576"/>
      <c r="C478" s="577"/>
      <c r="D478" s="178" t="str">
        <f>серпень!D401</f>
        <v>касові нат.п-ки 2025</v>
      </c>
      <c r="E478" s="11">
        <f>E493</f>
        <v>0</v>
      </c>
      <c r="F478" s="11">
        <f t="shared" si="527"/>
        <v>0</v>
      </c>
      <c r="G478" s="11">
        <f t="shared" si="527"/>
        <v>6407.9</v>
      </c>
      <c r="H478" s="11">
        <f t="shared" si="527"/>
        <v>9633</v>
      </c>
      <c r="I478" s="11">
        <f t="shared" si="527"/>
        <v>8789.2000000000007</v>
      </c>
      <c r="J478" s="11">
        <f>J493+J508</f>
        <v>9619.4</v>
      </c>
      <c r="K478" s="11">
        <f t="shared" si="527"/>
        <v>5820.8</v>
      </c>
      <c r="L478" s="65">
        <f>SUM(F478:K478)</f>
        <v>40270.300000000003</v>
      </c>
      <c r="M478" s="65">
        <f>L478/6</f>
        <v>6711.7</v>
      </c>
      <c r="N478" s="11">
        <f>N493+N508</f>
        <v>7040.2</v>
      </c>
      <c r="O478" s="11">
        <f t="shared" si="528"/>
        <v>7552.9</v>
      </c>
      <c r="P478" s="11">
        <f t="shared" si="528"/>
        <v>7080</v>
      </c>
      <c r="Q478" s="11">
        <f t="shared" si="528"/>
        <v>7170.2</v>
      </c>
      <c r="R478" s="11">
        <f t="shared" si="528"/>
        <v>9061</v>
      </c>
      <c r="S478" s="11">
        <f t="shared" si="529"/>
        <v>21577.9</v>
      </c>
      <c r="T478" s="65">
        <f>SUM(N478:S478)</f>
        <v>59482.2</v>
      </c>
      <c r="U478" s="65">
        <f>T478+L478</f>
        <v>99752.5</v>
      </c>
      <c r="V478" s="11">
        <f>V493+V508</f>
        <v>83551.100000000006</v>
      </c>
      <c r="W478" s="38">
        <f>V478-U478</f>
        <v>-16201.4</v>
      </c>
      <c r="X478" s="47">
        <f>U473-U478</f>
        <v>0</v>
      </c>
    </row>
    <row r="479" spans="1:24" s="51" customFormat="1" ht="18" customHeight="1">
      <c r="A479" s="592"/>
      <c r="B479" s="576"/>
      <c r="C479" s="577"/>
      <c r="D479" s="187" t="str">
        <f>серпень!D402</f>
        <v>тариф, грн.</v>
      </c>
      <c r="E479" s="49" t="e">
        <f t="shared" ref="E479:S479" si="530">E480/E478*1000</f>
        <v>#DIV/0!</v>
      </c>
      <c r="F479" s="129" t="e">
        <f t="shared" si="530"/>
        <v>#DIV/0!</v>
      </c>
      <c r="G479" s="131">
        <f t="shared" si="530"/>
        <v>8.5794099999999993</v>
      </c>
      <c r="H479" s="131">
        <f t="shared" si="530"/>
        <v>8.4034049999999993</v>
      </c>
      <c r="I479" s="131">
        <f t="shared" si="530"/>
        <v>8.0478310000000004</v>
      </c>
      <c r="J479" s="131">
        <f t="shared" si="530"/>
        <v>7.8118179999999997</v>
      </c>
      <c r="K479" s="131">
        <f t="shared" si="530"/>
        <v>6.9473269999999996</v>
      </c>
      <c r="L479" s="129">
        <f t="shared" si="530"/>
        <v>8.0020299999999995</v>
      </c>
      <c r="M479" s="129">
        <f t="shared" si="530"/>
        <v>8.0020000000000007</v>
      </c>
      <c r="N479" s="131">
        <f t="shared" si="530"/>
        <v>7.832732</v>
      </c>
      <c r="O479" s="131">
        <f t="shared" si="530"/>
        <v>9.0111080000000001</v>
      </c>
      <c r="P479" s="131">
        <f t="shared" si="530"/>
        <v>8.9105930000000004</v>
      </c>
      <c r="Q479" s="131">
        <f t="shared" si="530"/>
        <v>9.1471649999999993</v>
      </c>
      <c r="R479" s="131">
        <f t="shared" si="530"/>
        <v>8.6301729999999992</v>
      </c>
      <c r="S479" s="131">
        <f t="shared" si="530"/>
        <v>9.3303329999999995</v>
      </c>
      <c r="T479" s="129">
        <f>T480/T478*1000</f>
        <v>8.9338499999999996</v>
      </c>
      <c r="U479" s="129">
        <f>U480/U478*1000</f>
        <v>8.5576699999999999</v>
      </c>
      <c r="V479" s="49">
        <f>V480/V478*1000</f>
        <v>8.3160000000000007</v>
      </c>
      <c r="W479" s="14">
        <f>W480/W478*1000</f>
        <v>9.8049999999999997</v>
      </c>
      <c r="X479" s="59"/>
    </row>
    <row r="480" spans="1:24" s="126" customFormat="1" ht="18" customHeight="1">
      <c r="A480" s="592"/>
      <c r="B480" s="576"/>
      <c r="C480" s="577"/>
      <c r="D480" s="198" t="str">
        <f>серпень!D403</f>
        <v>касові видатки, тис.грн.</v>
      </c>
      <c r="E480" s="71">
        <f t="shared" ref="E480:K482" si="531">E495+E510</f>
        <v>0</v>
      </c>
      <c r="F480" s="61">
        <f t="shared" si="531"/>
        <v>0</v>
      </c>
      <c r="G480" s="61">
        <f t="shared" si="531"/>
        <v>54.975999999999999</v>
      </c>
      <c r="H480" s="61">
        <f t="shared" si="531"/>
        <v>80.95</v>
      </c>
      <c r="I480" s="61">
        <f t="shared" si="531"/>
        <v>70.733999999999995</v>
      </c>
      <c r="J480" s="61">
        <f t="shared" si="531"/>
        <v>75.144999999999996</v>
      </c>
      <c r="K480" s="61">
        <f t="shared" si="531"/>
        <v>40.439</v>
      </c>
      <c r="L480" s="61">
        <f>SUM(F480:K480)</f>
        <v>322.24400000000003</v>
      </c>
      <c r="M480" s="61">
        <f>L480/6</f>
        <v>53.707000000000001</v>
      </c>
      <c r="N480" s="61">
        <f t="shared" ref="N480:S483" si="532">N495+N510</f>
        <v>55.143999999999998</v>
      </c>
      <c r="O480" s="61">
        <f t="shared" si="532"/>
        <v>68.06</v>
      </c>
      <c r="P480" s="61">
        <f t="shared" si="532"/>
        <v>63.087000000000003</v>
      </c>
      <c r="Q480" s="61">
        <f t="shared" si="532"/>
        <v>65.587000000000003</v>
      </c>
      <c r="R480" s="61">
        <f t="shared" si="532"/>
        <v>78.197999999999993</v>
      </c>
      <c r="S480" s="61">
        <f t="shared" si="532"/>
        <v>201.32900000000001</v>
      </c>
      <c r="T480" s="61">
        <f>SUM(N480:S480)</f>
        <v>531.40499999999997</v>
      </c>
      <c r="U480" s="61">
        <f>T480+L480</f>
        <v>853.649</v>
      </c>
      <c r="V480" s="61">
        <f>V495+V510</f>
        <v>694.798</v>
      </c>
      <c r="W480" s="72">
        <f>V480-U480</f>
        <v>-158.851</v>
      </c>
      <c r="X480" s="63">
        <f>U475-U480</f>
        <v>0</v>
      </c>
    </row>
    <row r="481" spans="1:24" s="126" customFormat="1" ht="18" customHeight="1">
      <c r="A481" s="592"/>
      <c r="B481" s="576"/>
      <c r="C481" s="577"/>
      <c r="D481" s="201" t="str">
        <f>серпень!D404</f>
        <v>дотація</v>
      </c>
      <c r="E481" s="71"/>
      <c r="F481" s="61">
        <f t="shared" si="531"/>
        <v>0</v>
      </c>
      <c r="G481" s="61">
        <f t="shared" si="531"/>
        <v>0</v>
      </c>
      <c r="H481" s="61">
        <f t="shared" si="531"/>
        <v>0</v>
      </c>
      <c r="I481" s="61">
        <f t="shared" si="531"/>
        <v>0</v>
      </c>
      <c r="J481" s="61">
        <f>J496+J511</f>
        <v>0</v>
      </c>
      <c r="K481" s="61">
        <f t="shared" si="531"/>
        <v>0</v>
      </c>
      <c r="L481" s="61">
        <f>SUM(F481:K481)</f>
        <v>0</v>
      </c>
      <c r="M481" s="61">
        <f>L481/6</f>
        <v>0</v>
      </c>
      <c r="N481" s="61">
        <f t="shared" si="532"/>
        <v>0</v>
      </c>
      <c r="O481" s="61">
        <f t="shared" si="532"/>
        <v>0</v>
      </c>
      <c r="P481" s="61">
        <f t="shared" si="532"/>
        <v>0</v>
      </c>
      <c r="Q481" s="61">
        <f t="shared" si="532"/>
        <v>0</v>
      </c>
      <c r="R481" s="61">
        <f t="shared" si="532"/>
        <v>0</v>
      </c>
      <c r="S481" s="61">
        <f t="shared" si="532"/>
        <v>0</v>
      </c>
      <c r="T481" s="61">
        <f>SUM(N481:S481)</f>
        <v>0</v>
      </c>
      <c r="U481" s="61">
        <f>T481+L481</f>
        <v>0</v>
      </c>
      <c r="V481" s="61">
        <f>V496+V511</f>
        <v>0</v>
      </c>
      <c r="W481" s="72">
        <f>V481-U481</f>
        <v>0</v>
      </c>
      <c r="X481" s="63">
        <f>U476-U481</f>
        <v>0</v>
      </c>
    </row>
    <row r="482" spans="1:24" s="126" customFormat="1" ht="18" customHeight="1">
      <c r="A482" s="592"/>
      <c r="B482" s="576"/>
      <c r="C482" s="577"/>
      <c r="D482" s="201" t="str">
        <f>серпень!D405</f>
        <v xml:space="preserve">місцевий </v>
      </c>
      <c r="E482" s="71"/>
      <c r="F482" s="61">
        <f t="shared" si="531"/>
        <v>0</v>
      </c>
      <c r="G482" s="61">
        <f t="shared" si="531"/>
        <v>54.975999999999999</v>
      </c>
      <c r="H482" s="61">
        <f t="shared" si="531"/>
        <v>80.95</v>
      </c>
      <c r="I482" s="61">
        <f t="shared" si="531"/>
        <v>70.733999999999995</v>
      </c>
      <c r="J482" s="61">
        <f>J497+J512</f>
        <v>75.144999999999996</v>
      </c>
      <c r="K482" s="61">
        <f t="shared" si="531"/>
        <v>40.439</v>
      </c>
      <c r="L482" s="61">
        <f>SUM(F482:K482)</f>
        <v>322.24400000000003</v>
      </c>
      <c r="M482" s="61">
        <f>L482/6</f>
        <v>53.707000000000001</v>
      </c>
      <c r="N482" s="61">
        <f t="shared" si="532"/>
        <v>55.143999999999998</v>
      </c>
      <c r="O482" s="61">
        <f t="shared" si="532"/>
        <v>68.06</v>
      </c>
      <c r="P482" s="61">
        <f t="shared" si="532"/>
        <v>63.087000000000003</v>
      </c>
      <c r="Q482" s="61">
        <f t="shared" si="532"/>
        <v>65.587000000000003</v>
      </c>
      <c r="R482" s="61">
        <f t="shared" si="532"/>
        <v>78.197999999999993</v>
      </c>
      <c r="S482" s="61">
        <f t="shared" si="532"/>
        <v>201.32900000000001</v>
      </c>
      <c r="T482" s="61">
        <f>SUM(N482:S482)</f>
        <v>531.40499999999997</v>
      </c>
      <c r="U482" s="61">
        <f>T482+L482</f>
        <v>853.649</v>
      </c>
      <c r="V482" s="61">
        <f>V497+V512</f>
        <v>694.798</v>
      </c>
      <c r="W482" s="72">
        <f>V482-U482</f>
        <v>-158.851</v>
      </c>
      <c r="X482" s="63">
        <f>U477-U482</f>
        <v>-158.851</v>
      </c>
    </row>
    <row r="483" spans="1:24" s="43" customFormat="1" ht="18" customHeight="1">
      <c r="A483" s="592"/>
      <c r="B483" s="576"/>
      <c r="C483" s="577"/>
      <c r="D483" s="202" t="str">
        <f>серпень!D406</f>
        <v>план</v>
      </c>
      <c r="E483" s="42"/>
      <c r="F483" s="42">
        <f t="shared" ref="F483:K483" si="533">F477</f>
        <v>0</v>
      </c>
      <c r="G483" s="42">
        <f t="shared" si="533"/>
        <v>63.170999999999999</v>
      </c>
      <c r="H483" s="42">
        <f>H477</f>
        <v>72.756</v>
      </c>
      <c r="I483" s="42">
        <f t="shared" si="533"/>
        <v>81.456999999999994</v>
      </c>
      <c r="J483" s="42">
        <f t="shared" si="533"/>
        <v>64.424999999999997</v>
      </c>
      <c r="K483" s="42">
        <f t="shared" si="533"/>
        <v>40.661000000000001</v>
      </c>
      <c r="L483" s="42">
        <f>SUM(F483:K483)</f>
        <v>322.47000000000003</v>
      </c>
      <c r="M483" s="42">
        <f>L483/6</f>
        <v>53.744999999999997</v>
      </c>
      <c r="N483" s="42">
        <f t="shared" si="532"/>
        <v>55.366</v>
      </c>
      <c r="O483" s="42">
        <f t="shared" si="532"/>
        <v>67.616</v>
      </c>
      <c r="P483" s="42">
        <f t="shared" si="532"/>
        <v>35.517000000000003</v>
      </c>
      <c r="Q483" s="42">
        <f t="shared" si="532"/>
        <v>40.545999999999999</v>
      </c>
      <c r="R483" s="42">
        <f t="shared" si="532"/>
        <v>34.067999999999998</v>
      </c>
      <c r="S483" s="42">
        <f t="shared" si="532"/>
        <v>139.215</v>
      </c>
      <c r="T483" s="42">
        <f>SUM(N483:S483)</f>
        <v>372.32799999999997</v>
      </c>
      <c r="U483" s="42">
        <f>T483+L483</f>
        <v>694.798</v>
      </c>
      <c r="V483" s="42">
        <f>V477+V476</f>
        <v>694.798</v>
      </c>
      <c r="W483" s="42">
        <f>V483-U483</f>
        <v>0</v>
      </c>
    </row>
    <row r="484" spans="1:24" s="43" customFormat="1" ht="18" customHeight="1">
      <c r="A484" s="592"/>
      <c r="B484" s="576"/>
      <c r="C484" s="577"/>
      <c r="D484" s="202" t="str">
        <f>серпень!D407</f>
        <v xml:space="preserve">відхилення </v>
      </c>
      <c r="E484" s="42"/>
      <c r="F484" s="42">
        <f t="shared" ref="F484:K484" si="534">F480-F483</f>
        <v>0</v>
      </c>
      <c r="G484" s="42">
        <f t="shared" si="534"/>
        <v>-8.1950000000000003</v>
      </c>
      <c r="H484" s="42">
        <f t="shared" si="534"/>
        <v>8.1940000000000008</v>
      </c>
      <c r="I484" s="42">
        <f t="shared" si="534"/>
        <v>-10.723000000000001</v>
      </c>
      <c r="J484" s="42">
        <f t="shared" si="534"/>
        <v>10.72</v>
      </c>
      <c r="K484" s="42">
        <f t="shared" si="534"/>
        <v>-0.222</v>
      </c>
      <c r="L484" s="42"/>
      <c r="M484" s="42"/>
      <c r="N484" s="42">
        <f t="shared" ref="N484:S484" si="535">N480-N483</f>
        <v>-0.222</v>
      </c>
      <c r="O484" s="42">
        <f t="shared" si="535"/>
        <v>0.44400000000000001</v>
      </c>
      <c r="P484" s="42">
        <f t="shared" si="535"/>
        <v>27.57</v>
      </c>
      <c r="Q484" s="42">
        <f t="shared" si="535"/>
        <v>25.041</v>
      </c>
      <c r="R484" s="42">
        <f t="shared" si="535"/>
        <v>44.13</v>
      </c>
      <c r="S484" s="42">
        <f t="shared" si="535"/>
        <v>62.113999999999997</v>
      </c>
      <c r="T484" s="42"/>
      <c r="U484" s="42"/>
      <c r="V484" s="42"/>
      <c r="W484" s="42"/>
    </row>
    <row r="485" spans="1:24" s="43" customFormat="1" ht="18" customHeight="1">
      <c r="A485" s="592"/>
      <c r="B485" s="576"/>
      <c r="C485" s="577"/>
      <c r="D485" s="202" t="str">
        <f>серпень!D408</f>
        <v>відхилення з наростаючим</v>
      </c>
      <c r="E485" s="42"/>
      <c r="F485" s="42">
        <f>F484</f>
        <v>0</v>
      </c>
      <c r="G485" s="42">
        <f>G484+F485</f>
        <v>-8.1950000000000003</v>
      </c>
      <c r="H485" s="42">
        <f>H484+G485</f>
        <v>-1E-3</v>
      </c>
      <c r="I485" s="42">
        <f>I484+H485</f>
        <v>-10.724</v>
      </c>
      <c r="J485" s="42">
        <f>J484+I485</f>
        <v>-4.0000000000000001E-3</v>
      </c>
      <c r="K485" s="42">
        <f>K484+J485</f>
        <v>-0.22600000000000001</v>
      </c>
      <c r="L485" s="42"/>
      <c r="M485" s="42"/>
      <c r="N485" s="42">
        <f>N484+K485</f>
        <v>-0.44800000000000001</v>
      </c>
      <c r="O485" s="42">
        <f>O484+N485</f>
        <v>-4.0000000000000001E-3</v>
      </c>
      <c r="P485" s="42">
        <f>P484+O485</f>
        <v>27.565999999999999</v>
      </c>
      <c r="Q485" s="42">
        <f>Q484+P485</f>
        <v>52.606999999999999</v>
      </c>
      <c r="R485" s="42">
        <f>R484+Q485</f>
        <v>96.736999999999995</v>
      </c>
      <c r="S485" s="42">
        <f>S484+R485</f>
        <v>158.851</v>
      </c>
      <c r="T485" s="42"/>
      <c r="U485" s="42"/>
      <c r="V485" s="42"/>
      <c r="W485" s="42"/>
    </row>
    <row r="486" spans="1:24" s="55" customFormat="1" ht="18" customHeight="1">
      <c r="A486" s="592"/>
      <c r="B486" s="581" t="s">
        <v>32</v>
      </c>
      <c r="C486" s="581"/>
      <c r="D486" s="178" t="str">
        <f>серпень!D409</f>
        <v>факт. нат.п-ки 2023</v>
      </c>
      <c r="E486" s="11"/>
      <c r="F486" s="12">
        <v>1950</v>
      </c>
      <c r="G486" s="12">
        <v>1179</v>
      </c>
      <c r="H486" s="12">
        <v>1799.9</v>
      </c>
      <c r="I486" s="12">
        <v>3094</v>
      </c>
      <c r="J486" s="12">
        <v>2024</v>
      </c>
      <c r="K486" s="12">
        <v>2180</v>
      </c>
      <c r="L486" s="65">
        <f>SUM(F486:K486)</f>
        <v>12226.9</v>
      </c>
      <c r="M486" s="65">
        <f>L486/6</f>
        <v>2037.8</v>
      </c>
      <c r="N486" s="151">
        <v>1959</v>
      </c>
      <c r="O486" s="151">
        <v>2083.6</v>
      </c>
      <c r="P486" s="151">
        <v>2305</v>
      </c>
      <c r="Q486" s="151">
        <v>3478</v>
      </c>
      <c r="R486" s="151">
        <v>5422</v>
      </c>
      <c r="S486" s="151">
        <v>7094</v>
      </c>
      <c r="T486" s="65">
        <f>SUM(N486:S486)</f>
        <v>22341.599999999999</v>
      </c>
      <c r="U486" s="65">
        <f>T486+L486</f>
        <v>34568.5</v>
      </c>
      <c r="V486" s="46"/>
      <c r="W486" s="38"/>
      <c r="X486" s="47"/>
    </row>
    <row r="487" spans="1:24" s="48" customFormat="1" ht="18" customHeight="1">
      <c r="A487" s="592"/>
      <c r="B487" s="581"/>
      <c r="C487" s="581"/>
      <c r="D487" s="178" t="str">
        <f>серпень!D410</f>
        <v>факт. нат.п-ки 2024</v>
      </c>
      <c r="E487" s="11"/>
      <c r="F487" s="12">
        <v>5735.2</v>
      </c>
      <c r="G487" s="12">
        <v>6327.2</v>
      </c>
      <c r="H487" s="12">
        <v>6002</v>
      </c>
      <c r="I487" s="12">
        <v>3150</v>
      </c>
      <c r="J487" s="12">
        <v>3346.2</v>
      </c>
      <c r="K487" s="12">
        <v>2291.5</v>
      </c>
      <c r="L487" s="65">
        <f>SUM(F487:K487)</f>
        <v>26852.1</v>
      </c>
      <c r="M487" s="65">
        <f>L487/6</f>
        <v>4475.3999999999996</v>
      </c>
      <c r="N487" s="83">
        <v>2007</v>
      </c>
      <c r="O487" s="83">
        <v>2307</v>
      </c>
      <c r="P487" s="83">
        <v>2818.2</v>
      </c>
      <c r="Q487" s="83">
        <v>4565</v>
      </c>
      <c r="R487" s="83">
        <v>8202</v>
      </c>
      <c r="S487" s="83">
        <v>9971.9</v>
      </c>
      <c r="T487" s="65">
        <f>SUM(N487:S487)</f>
        <v>29871.1</v>
      </c>
      <c r="U487" s="65">
        <f>T487+L487</f>
        <v>56723.199999999997</v>
      </c>
      <c r="V487" s="46">
        <v>70418.899999999994</v>
      </c>
      <c r="W487" s="38"/>
      <c r="X487" s="47"/>
    </row>
    <row r="488" spans="1:24" s="48" customFormat="1" ht="18" customHeight="1">
      <c r="A488" s="592"/>
      <c r="B488" s="581"/>
      <c r="C488" s="581"/>
      <c r="D488" s="178" t="str">
        <f>серпень!D411</f>
        <v>факт. нат.п-ки 2025</v>
      </c>
      <c r="E488" s="11"/>
      <c r="F488" s="12">
        <v>4937.8999999999996</v>
      </c>
      <c r="G488" s="12">
        <v>6784</v>
      </c>
      <c r="H488" s="12">
        <v>5508.2</v>
      </c>
      <c r="I488" s="12">
        <v>5646.4</v>
      </c>
      <c r="J488" s="12">
        <v>2570.8000000000002</v>
      </c>
      <c r="K488" s="12">
        <v>4157.2</v>
      </c>
      <c r="L488" s="65">
        <f>SUM(F488:K488)</f>
        <v>29604.5</v>
      </c>
      <c r="M488" s="65">
        <f>L488/6</f>
        <v>4934.1000000000004</v>
      </c>
      <c r="N488" s="83">
        <v>5955.9</v>
      </c>
      <c r="O488" s="83">
        <v>5604</v>
      </c>
      <c r="P488" s="83">
        <v>5818.2</v>
      </c>
      <c r="Q488" s="83">
        <v>6565</v>
      </c>
      <c r="R488" s="83">
        <v>8202</v>
      </c>
      <c r="S488" s="83">
        <v>9971.9</v>
      </c>
      <c r="T488" s="65">
        <f>SUM(N488:S488)</f>
        <v>42117</v>
      </c>
      <c r="U488" s="65">
        <f>T488+L488</f>
        <v>71721.5</v>
      </c>
      <c r="V488" s="11">
        <v>64451.1</v>
      </c>
      <c r="W488" s="38">
        <f>V488-U488</f>
        <v>-7270.4</v>
      </c>
      <c r="X488" s="47"/>
    </row>
    <row r="489" spans="1:24" s="51" customFormat="1" ht="18" customHeight="1">
      <c r="A489" s="592"/>
      <c r="B489" s="581"/>
      <c r="C489" s="581"/>
      <c r="D489" s="187" t="str">
        <f>серпень!D412</f>
        <v>тариф, грн.</v>
      </c>
      <c r="E489" s="129" t="e">
        <f>E490/E488*1000</f>
        <v>#DIV/0!</v>
      </c>
      <c r="F489" s="129">
        <f t="shared" ref="F489:K489" si="536">F490/F488*1000</f>
        <v>9.8475099999999998</v>
      </c>
      <c r="G489" s="129">
        <f t="shared" si="536"/>
        <v>10.118370000000001</v>
      </c>
      <c r="H489" s="129">
        <f t="shared" si="536"/>
        <v>10.268689999999999</v>
      </c>
      <c r="I489" s="129">
        <f t="shared" si="536"/>
        <v>10.268840000000001</v>
      </c>
      <c r="J489" s="129">
        <f t="shared" si="536"/>
        <v>10.268789999999999</v>
      </c>
      <c r="K489" s="129">
        <f t="shared" si="536"/>
        <v>10.268689999999999</v>
      </c>
      <c r="L489" s="132">
        <f>L490/L488*1000</f>
        <v>10.16403</v>
      </c>
      <c r="M489" s="132">
        <f>M490/M488*1000</f>
        <v>10.163959999999999</v>
      </c>
      <c r="N489" s="132">
        <f>N490/N488*1000</f>
        <v>10.268980000000001</v>
      </c>
      <c r="O489" s="132">
        <f>O490/O488*1000</f>
        <v>10.119199999999999</v>
      </c>
      <c r="P489" s="132">
        <v>10.26878</v>
      </c>
      <c r="Q489" s="132">
        <v>10.26878</v>
      </c>
      <c r="R489" s="132">
        <v>10.26878</v>
      </c>
      <c r="S489" s="131">
        <v>10.26878</v>
      </c>
      <c r="T489" s="132">
        <f>T490/T488*1000</f>
        <v>10.24893</v>
      </c>
      <c r="U489" s="132">
        <f>U490/U488*1000</f>
        <v>10.21388</v>
      </c>
      <c r="V489" s="132">
        <f>V490/V488*1000</f>
        <v>9.1808800000000002</v>
      </c>
      <c r="W489" s="40">
        <f>W490/W488*1000</f>
        <v>19.371289999999998</v>
      </c>
      <c r="X489" s="59"/>
    </row>
    <row r="490" spans="1:24" s="130" customFormat="1" ht="18" customHeight="1">
      <c r="A490" s="592"/>
      <c r="B490" s="581"/>
      <c r="C490" s="581"/>
      <c r="D490" s="191" t="str">
        <f>серпень!D413</f>
        <v>сума, тис.грн.</v>
      </c>
      <c r="E490" s="52"/>
      <c r="F490" s="52">
        <v>48.625999999999998</v>
      </c>
      <c r="G490" s="52">
        <v>68.643000000000001</v>
      </c>
      <c r="H490" s="52">
        <v>56.561999999999998</v>
      </c>
      <c r="I490" s="52">
        <v>57.981999999999999</v>
      </c>
      <c r="J490" s="52">
        <v>26.399000000000001</v>
      </c>
      <c r="K490" s="52">
        <v>42.689</v>
      </c>
      <c r="L490" s="69">
        <f>SUM(F490:K490)</f>
        <v>300.90100000000001</v>
      </c>
      <c r="M490" s="69">
        <f>L490/6</f>
        <v>50.15</v>
      </c>
      <c r="N490" s="52">
        <v>61.161000000000001</v>
      </c>
      <c r="O490" s="52">
        <v>56.707999999999998</v>
      </c>
      <c r="P490" s="52">
        <f t="shared" ref="P490" si="537">P488*P489/1000</f>
        <v>59.746000000000002</v>
      </c>
      <c r="Q490" s="52">
        <f t="shared" ref="Q490" si="538">Q488*Q489/1000</f>
        <v>67.415000000000006</v>
      </c>
      <c r="R490" s="52">
        <f t="shared" ref="R490" si="539">R488*R489/1000</f>
        <v>84.224999999999994</v>
      </c>
      <c r="S490" s="52">
        <f t="shared" ref="S490" si="540">S488*S489/1000</f>
        <v>102.399</v>
      </c>
      <c r="T490" s="69">
        <f>SUM(N490:S490)</f>
        <v>431.654</v>
      </c>
      <c r="U490" s="69">
        <f>T490+L490</f>
        <v>732.55499999999995</v>
      </c>
      <c r="V490" s="70">
        <f>V491+V492</f>
        <v>591.71799999999996</v>
      </c>
      <c r="W490" s="53">
        <f>V490-U490</f>
        <v>-140.83699999999999</v>
      </c>
      <c r="X490" s="133"/>
    </row>
    <row r="491" spans="1:24" s="130" customFormat="1" ht="18" customHeight="1">
      <c r="A491" s="592"/>
      <c r="B491" s="581"/>
      <c r="C491" s="581"/>
      <c r="D491" s="174" t="str">
        <f>серпень!D414</f>
        <v>дотація</v>
      </c>
      <c r="E491" s="56"/>
      <c r="F491" s="52"/>
      <c r="G491" s="52"/>
      <c r="H491" s="52"/>
      <c r="I491" s="52"/>
      <c r="J491" s="52"/>
      <c r="K491" s="52"/>
      <c r="L491" s="69">
        <f>SUM(F491:K491)</f>
        <v>0</v>
      </c>
      <c r="M491" s="69">
        <f>L491/6</f>
        <v>0</v>
      </c>
      <c r="N491" s="52"/>
      <c r="O491" s="52"/>
      <c r="P491" s="52"/>
      <c r="Q491" s="52"/>
      <c r="R491" s="52"/>
      <c r="S491" s="52"/>
      <c r="T491" s="69">
        <f>SUM(N491:S491)</f>
        <v>0</v>
      </c>
      <c r="U491" s="69">
        <f>T491+L491</f>
        <v>0</v>
      </c>
      <c r="V491" s="70">
        <v>0</v>
      </c>
      <c r="W491" s="53">
        <f>V491-U491</f>
        <v>0</v>
      </c>
    </row>
    <row r="492" spans="1:24" s="130" customFormat="1" ht="18" customHeight="1">
      <c r="A492" s="592"/>
      <c r="B492" s="581"/>
      <c r="C492" s="581"/>
      <c r="D492" s="174" t="str">
        <f>серпень!D415</f>
        <v>місцевий (план), тис.грн</v>
      </c>
      <c r="E492" s="56"/>
      <c r="F492" s="52">
        <f>7.434-7.434</f>
        <v>0</v>
      </c>
      <c r="G492" s="52">
        <f>54.484+1.222</f>
        <v>55.706000000000003</v>
      </c>
      <c r="H492" s="52">
        <f>60.108-1.222+5.839</f>
        <v>64.724999999999994</v>
      </c>
      <c r="I492" s="52">
        <f>57.019-5.839+12.338</f>
        <v>63.518000000000001</v>
      </c>
      <c r="J492" s="52">
        <f>29.925+28.677</f>
        <v>58.601999999999997</v>
      </c>
      <c r="K492" s="52">
        <f>31.789-12.338</f>
        <v>19.451000000000001</v>
      </c>
      <c r="L492" s="69">
        <f>SUM(F492:K492)</f>
        <v>262.00200000000001</v>
      </c>
      <c r="M492" s="69">
        <f>L492/6</f>
        <v>43.667000000000002</v>
      </c>
      <c r="N492" s="52">
        <f>28.684+10.659+11.526</f>
        <v>50.869</v>
      </c>
      <c r="O492" s="52">
        <f>28.567+31.243</f>
        <v>59.81</v>
      </c>
      <c r="P492" s="52">
        <v>31.417000000000002</v>
      </c>
      <c r="Q492" s="52">
        <f>55.273-20.568</f>
        <v>34.704999999999998</v>
      </c>
      <c r="R492" s="52">
        <f>62.368-11.778-10.659-11.526</f>
        <v>28.405000000000001</v>
      </c>
      <c r="S492" s="52">
        <f>172.652-16.899-31.243</f>
        <v>124.51</v>
      </c>
      <c r="T492" s="69">
        <f>SUM(N492:S492)</f>
        <v>329.71600000000001</v>
      </c>
      <c r="U492" s="69">
        <f>T492+L492</f>
        <v>591.71799999999996</v>
      </c>
      <c r="V492" s="70">
        <f>612.286-20.568</f>
        <v>591.71799999999996</v>
      </c>
      <c r="W492" s="53">
        <f>V492-U492</f>
        <v>0</v>
      </c>
    </row>
    <row r="493" spans="1:24" s="48" customFormat="1" ht="18" customHeight="1">
      <c r="A493" s="592"/>
      <c r="B493" s="581"/>
      <c r="C493" s="581"/>
      <c r="D493" s="178" t="str">
        <f>серпень!D416</f>
        <v>касові нат.п-ки 2025</v>
      </c>
      <c r="E493" s="11"/>
      <c r="F493" s="83">
        <v>0</v>
      </c>
      <c r="G493" s="83">
        <v>4937.8999999999996</v>
      </c>
      <c r="H493" s="83">
        <v>6784</v>
      </c>
      <c r="I493" s="83">
        <v>5508.2</v>
      </c>
      <c r="J493" s="151">
        <v>5646.4</v>
      </c>
      <c r="K493" s="151">
        <f>26399/10.26886</f>
        <v>2570.8000000000002</v>
      </c>
      <c r="L493" s="65">
        <f>SUM(F493:K493)</f>
        <v>25447.3</v>
      </c>
      <c r="M493" s="65">
        <f>L493/6</f>
        <v>4241.2</v>
      </c>
      <c r="N493" s="151">
        <v>4157.2</v>
      </c>
      <c r="O493" s="83">
        <v>5955.9</v>
      </c>
      <c r="P493" s="83">
        <v>5604</v>
      </c>
      <c r="Q493" s="83">
        <v>5818.2</v>
      </c>
      <c r="R493" s="83">
        <v>6565</v>
      </c>
      <c r="S493" s="83">
        <f>R488+S488</f>
        <v>18173.900000000001</v>
      </c>
      <c r="T493" s="65">
        <f>SUM(N493:S493)</f>
        <v>46274.2</v>
      </c>
      <c r="U493" s="65">
        <f>T493+L493</f>
        <v>71721.5</v>
      </c>
      <c r="V493" s="11">
        <f>V488</f>
        <v>64451.1</v>
      </c>
      <c r="W493" s="38">
        <f>V493-U493</f>
        <v>-7270.4</v>
      </c>
      <c r="X493" s="47">
        <f>U488-U493</f>
        <v>0</v>
      </c>
    </row>
    <row r="494" spans="1:24" s="51" customFormat="1" ht="18" customHeight="1">
      <c r="A494" s="592"/>
      <c r="B494" s="581"/>
      <c r="C494" s="581"/>
      <c r="D494" s="187" t="str">
        <f>серпень!D417</f>
        <v>тариф, грн.</v>
      </c>
      <c r="E494" s="129" t="e">
        <f>E495/E493*1000</f>
        <v>#DIV/0!</v>
      </c>
      <c r="F494" s="129" t="e">
        <f t="shared" ref="F494:K494" si="541">F495/F493*1000</f>
        <v>#DIV/0!</v>
      </c>
      <c r="G494" s="129">
        <f t="shared" si="541"/>
        <v>9.8475099999999998</v>
      </c>
      <c r="H494" s="129">
        <f t="shared" si="541"/>
        <v>10.118220000000001</v>
      </c>
      <c r="I494" s="129">
        <f t="shared" si="541"/>
        <v>10.268330000000001</v>
      </c>
      <c r="J494" s="129">
        <f t="shared" si="541"/>
        <v>10.268840000000001</v>
      </c>
      <c r="K494" s="129">
        <f t="shared" si="541"/>
        <v>10.268789999999999</v>
      </c>
      <c r="L494" s="132">
        <f>L495/L493*1000</f>
        <v>10.14681</v>
      </c>
      <c r="M494" s="132">
        <f>M495/M493*1000</f>
        <v>10.146890000000001</v>
      </c>
      <c r="N494" s="132">
        <f>N495/N493*1000</f>
        <v>10.268689999999999</v>
      </c>
      <c r="O494" s="132">
        <f>O495/O493*1000</f>
        <v>10.268980000000001</v>
      </c>
      <c r="P494" s="132">
        <f>P495/P493*1000</f>
        <v>10.11974</v>
      </c>
      <c r="Q494" s="132">
        <v>10.26878</v>
      </c>
      <c r="R494" s="132">
        <v>10.26878</v>
      </c>
      <c r="S494" s="131">
        <v>10.26878</v>
      </c>
      <c r="T494" s="132">
        <f>T495/T493*1000</f>
        <v>10.250769999999999</v>
      </c>
      <c r="U494" s="132">
        <f>U495/U493*1000</f>
        <v>10.21388</v>
      </c>
      <c r="V494" s="132">
        <f>V495/V493*1000</f>
        <v>9.1808800000000002</v>
      </c>
      <c r="W494" s="14">
        <f>W495/W493*1000</f>
        <v>19.370999999999999</v>
      </c>
      <c r="X494" s="59"/>
    </row>
    <row r="495" spans="1:24" s="126" customFormat="1" ht="18" customHeight="1">
      <c r="A495" s="592"/>
      <c r="B495" s="581"/>
      <c r="C495" s="581"/>
      <c r="D495" s="198" t="str">
        <f>серпень!D418</f>
        <v>касові видатки, тис.грн.</v>
      </c>
      <c r="E495" s="71"/>
      <c r="F495" s="61">
        <v>0</v>
      </c>
      <c r="G495" s="61">
        <v>48.625999999999998</v>
      </c>
      <c r="H495" s="61">
        <v>68.641999999999996</v>
      </c>
      <c r="I495" s="61">
        <f>56.562-0.002</f>
        <v>56.56</v>
      </c>
      <c r="J495" s="61">
        <v>57.981999999999999</v>
      </c>
      <c r="K495" s="61">
        <f>26.621-0.222</f>
        <v>26.399000000000001</v>
      </c>
      <c r="L495" s="61">
        <f>SUM(F495:K495)</f>
        <v>258.209</v>
      </c>
      <c r="M495" s="61">
        <f>L495/6</f>
        <v>43.034999999999997</v>
      </c>
      <c r="N495" s="61">
        <v>42.689</v>
      </c>
      <c r="O495" s="61">
        <v>61.161000000000001</v>
      </c>
      <c r="P495" s="61">
        <f>56.708+0.003</f>
        <v>56.710999999999999</v>
      </c>
      <c r="Q495" s="61">
        <f t="shared" ref="Q495" si="542">Q493*Q494/1000</f>
        <v>59.746000000000002</v>
      </c>
      <c r="R495" s="61">
        <f t="shared" ref="R495" si="543">R493*R494/1000</f>
        <v>67.415000000000006</v>
      </c>
      <c r="S495" s="61">
        <f>S493*S494/1000</f>
        <v>186.624</v>
      </c>
      <c r="T495" s="61">
        <f>SUM(N495:S495)</f>
        <v>474.346</v>
      </c>
      <c r="U495" s="61">
        <f>T495+L495</f>
        <v>732.55499999999995</v>
      </c>
      <c r="V495" s="61">
        <f>V490</f>
        <v>591.71799999999996</v>
      </c>
      <c r="W495" s="72">
        <f>V495-U495</f>
        <v>-140.83699999999999</v>
      </c>
      <c r="X495" s="63">
        <f>U490-U495</f>
        <v>0</v>
      </c>
    </row>
    <row r="496" spans="1:24" s="126" customFormat="1" ht="18" customHeight="1">
      <c r="A496" s="592"/>
      <c r="B496" s="581"/>
      <c r="C496" s="581"/>
      <c r="D496" s="201" t="str">
        <f>серпень!D419</f>
        <v>дотація</v>
      </c>
      <c r="E496" s="71"/>
      <c r="F496" s="61">
        <v>0</v>
      </c>
      <c r="G496" s="61">
        <v>0</v>
      </c>
      <c r="H496" s="61">
        <v>0</v>
      </c>
      <c r="I496" s="61">
        <v>0</v>
      </c>
      <c r="J496" s="61">
        <v>0</v>
      </c>
      <c r="K496" s="61">
        <v>0</v>
      </c>
      <c r="L496" s="61">
        <f>SUM(F496:K496)</f>
        <v>0</v>
      </c>
      <c r="M496" s="61">
        <f>L496/6</f>
        <v>0</v>
      </c>
      <c r="N496" s="61">
        <v>0</v>
      </c>
      <c r="O496" s="61">
        <v>0</v>
      </c>
      <c r="P496" s="61">
        <v>0</v>
      </c>
      <c r="Q496" s="61">
        <v>0</v>
      </c>
      <c r="R496" s="61">
        <v>0</v>
      </c>
      <c r="S496" s="61">
        <v>0</v>
      </c>
      <c r="T496" s="61">
        <f>SUM(N496:S496)</f>
        <v>0</v>
      </c>
      <c r="U496" s="61">
        <f>T496+L496</f>
        <v>0</v>
      </c>
      <c r="V496" s="61">
        <f>V491</f>
        <v>0</v>
      </c>
      <c r="W496" s="72">
        <f>V496-U496</f>
        <v>0</v>
      </c>
      <c r="X496" s="63">
        <f>U491-U496</f>
        <v>0</v>
      </c>
    </row>
    <row r="497" spans="1:24" s="126" customFormat="1" ht="18" customHeight="1">
      <c r="A497" s="592"/>
      <c r="B497" s="581"/>
      <c r="C497" s="581"/>
      <c r="D497" s="201" t="str">
        <f>серпень!D420</f>
        <v xml:space="preserve">місцевий </v>
      </c>
      <c r="E497" s="71"/>
      <c r="F497" s="61">
        <f t="shared" ref="F497:K497" si="544">F495-F496</f>
        <v>0</v>
      </c>
      <c r="G497" s="61">
        <f t="shared" si="544"/>
        <v>48.625999999999998</v>
      </c>
      <c r="H497" s="61">
        <f t="shared" si="544"/>
        <v>68.641999999999996</v>
      </c>
      <c r="I497" s="61">
        <f t="shared" si="544"/>
        <v>56.56</v>
      </c>
      <c r="J497" s="61">
        <f t="shared" si="544"/>
        <v>57.981999999999999</v>
      </c>
      <c r="K497" s="61">
        <f t="shared" si="544"/>
        <v>26.399000000000001</v>
      </c>
      <c r="L497" s="61">
        <f>SUM(F497:K497)</f>
        <v>258.209</v>
      </c>
      <c r="M497" s="61">
        <f>L497/6</f>
        <v>43.034999999999997</v>
      </c>
      <c r="N497" s="61">
        <f t="shared" ref="N497:S497" si="545">N495-N496</f>
        <v>42.689</v>
      </c>
      <c r="O497" s="61">
        <f t="shared" si="545"/>
        <v>61.161000000000001</v>
      </c>
      <c r="P497" s="61">
        <f t="shared" si="545"/>
        <v>56.710999999999999</v>
      </c>
      <c r="Q497" s="61">
        <f t="shared" si="545"/>
        <v>59.746000000000002</v>
      </c>
      <c r="R497" s="61">
        <f t="shared" si="545"/>
        <v>67.415000000000006</v>
      </c>
      <c r="S497" s="61">
        <f t="shared" si="545"/>
        <v>186.624</v>
      </c>
      <c r="T497" s="61">
        <f>SUM(N497:S497)</f>
        <v>474.346</v>
      </c>
      <c r="U497" s="61">
        <f>T497+L497</f>
        <v>732.55499999999995</v>
      </c>
      <c r="V497" s="61">
        <f>V492</f>
        <v>591.71799999999996</v>
      </c>
      <c r="W497" s="72">
        <f>V497-U497</f>
        <v>-140.83699999999999</v>
      </c>
      <c r="X497" s="63">
        <f>U492-U497</f>
        <v>-140.83699999999999</v>
      </c>
    </row>
    <row r="498" spans="1:24" s="43" customFormat="1" ht="18" customHeight="1">
      <c r="A498" s="592"/>
      <c r="B498" s="581"/>
      <c r="C498" s="581"/>
      <c r="D498" s="202" t="str">
        <f>серпень!D421</f>
        <v>план</v>
      </c>
      <c r="E498" s="42"/>
      <c r="F498" s="42">
        <f t="shared" ref="F498:K498" si="546">F492</f>
        <v>0</v>
      </c>
      <c r="G498" s="42">
        <f t="shared" si="546"/>
        <v>55.706000000000003</v>
      </c>
      <c r="H498" s="42">
        <f t="shared" si="546"/>
        <v>64.724999999999994</v>
      </c>
      <c r="I498" s="42">
        <f t="shared" si="546"/>
        <v>63.518000000000001</v>
      </c>
      <c r="J498" s="42">
        <f t="shared" si="546"/>
        <v>58.601999999999997</v>
      </c>
      <c r="K498" s="42">
        <f t="shared" si="546"/>
        <v>19.451000000000001</v>
      </c>
      <c r="L498" s="42">
        <f>SUM(F498:K498)</f>
        <v>262.00200000000001</v>
      </c>
      <c r="M498" s="42">
        <f>L498/6</f>
        <v>43.667000000000002</v>
      </c>
      <c r="N498" s="42">
        <f t="shared" ref="N498:S498" si="547">N492+N491</f>
        <v>50.869</v>
      </c>
      <c r="O498" s="42">
        <f t="shared" si="547"/>
        <v>59.81</v>
      </c>
      <c r="P498" s="42">
        <f t="shared" si="547"/>
        <v>31.417000000000002</v>
      </c>
      <c r="Q498" s="42">
        <f t="shared" si="547"/>
        <v>34.704999999999998</v>
      </c>
      <c r="R498" s="42">
        <f t="shared" si="547"/>
        <v>28.405000000000001</v>
      </c>
      <c r="S498" s="42">
        <f t="shared" si="547"/>
        <v>124.51</v>
      </c>
      <c r="T498" s="42">
        <f>SUM(N498:S498)</f>
        <v>329.71600000000001</v>
      </c>
      <c r="U498" s="42">
        <f>T498+L498</f>
        <v>591.71799999999996</v>
      </c>
      <c r="V498" s="42">
        <f>V495</f>
        <v>591.71799999999996</v>
      </c>
      <c r="W498" s="42">
        <f>V498-U498</f>
        <v>0</v>
      </c>
    </row>
    <row r="499" spans="1:24" s="43" customFormat="1" ht="18" customHeight="1">
      <c r="A499" s="592"/>
      <c r="B499" s="581"/>
      <c r="C499" s="581"/>
      <c r="D499" s="202" t="str">
        <f>серпень!D422</f>
        <v xml:space="preserve">відхилення </v>
      </c>
      <c r="E499" s="42"/>
      <c r="F499" s="42">
        <f t="shared" ref="F499:K499" si="548">F495-F498</f>
        <v>0</v>
      </c>
      <c r="G499" s="42">
        <f t="shared" si="548"/>
        <v>-7.08</v>
      </c>
      <c r="H499" s="42">
        <f t="shared" si="548"/>
        <v>3.9169999999999998</v>
      </c>
      <c r="I499" s="42">
        <f t="shared" si="548"/>
        <v>-6.9580000000000002</v>
      </c>
      <c r="J499" s="42">
        <f t="shared" si="548"/>
        <v>-0.62</v>
      </c>
      <c r="K499" s="42">
        <f t="shared" si="548"/>
        <v>6.9480000000000004</v>
      </c>
      <c r="L499" s="42"/>
      <c r="M499" s="42"/>
      <c r="N499" s="42">
        <f t="shared" ref="N499:S499" si="549">N495-N498</f>
        <v>-8.18</v>
      </c>
      <c r="O499" s="42">
        <f t="shared" si="549"/>
        <v>1.351</v>
      </c>
      <c r="P499" s="42">
        <f t="shared" si="549"/>
        <v>25.294</v>
      </c>
      <c r="Q499" s="42">
        <f t="shared" si="549"/>
        <v>25.041</v>
      </c>
      <c r="R499" s="42">
        <f t="shared" si="549"/>
        <v>39.01</v>
      </c>
      <c r="S499" s="42">
        <f t="shared" si="549"/>
        <v>62.113999999999997</v>
      </c>
      <c r="T499" s="42"/>
      <c r="U499" s="42"/>
      <c r="V499" s="42"/>
      <c r="W499" s="42"/>
    </row>
    <row r="500" spans="1:24" s="43" customFormat="1" ht="18" customHeight="1">
      <c r="A500" s="592"/>
      <c r="B500" s="581"/>
      <c r="C500" s="581"/>
      <c r="D500" s="202" t="str">
        <f>серпень!D423</f>
        <v>відхилення з наростаючим</v>
      </c>
      <c r="E500" s="42"/>
      <c r="F500" s="42">
        <f>F499</f>
        <v>0</v>
      </c>
      <c r="G500" s="42">
        <f>G499+F500</f>
        <v>-7.08</v>
      </c>
      <c r="H500" s="42">
        <f>H499+G500</f>
        <v>-3.1629999999999998</v>
      </c>
      <c r="I500" s="42">
        <f>I499+H500</f>
        <v>-10.121</v>
      </c>
      <c r="J500" s="42">
        <f>J499+I500</f>
        <v>-10.741</v>
      </c>
      <c r="K500" s="42">
        <f>K499+J500</f>
        <v>-3.7930000000000001</v>
      </c>
      <c r="L500" s="42"/>
      <c r="M500" s="42"/>
      <c r="N500" s="42">
        <f>N499+K500</f>
        <v>-11.973000000000001</v>
      </c>
      <c r="O500" s="42">
        <f>O499+N500</f>
        <v>-10.622</v>
      </c>
      <c r="P500" s="42">
        <f>P499+O500</f>
        <v>14.672000000000001</v>
      </c>
      <c r="Q500" s="42">
        <f>Q499+P500</f>
        <v>39.713000000000001</v>
      </c>
      <c r="R500" s="42">
        <f>R499+Q500</f>
        <v>78.722999999999999</v>
      </c>
      <c r="S500" s="42">
        <f>S499+R500</f>
        <v>140.83699999999999</v>
      </c>
      <c r="T500" s="42"/>
      <c r="U500" s="42"/>
      <c r="V500" s="42"/>
      <c r="W500" s="42"/>
    </row>
    <row r="501" spans="1:24" s="55" customFormat="1" ht="18" customHeight="1">
      <c r="A501" s="592"/>
      <c r="B501" s="576" t="s">
        <v>33</v>
      </c>
      <c r="C501" s="577"/>
      <c r="D501" s="178" t="str">
        <f>серпень!D424</f>
        <v>факт. нат.п-ки 2023</v>
      </c>
      <c r="E501" s="11"/>
      <c r="F501" s="12">
        <v>0</v>
      </c>
      <c r="G501" s="12">
        <v>0</v>
      </c>
      <c r="H501" s="12">
        <v>0</v>
      </c>
      <c r="I501" s="12">
        <v>0</v>
      </c>
      <c r="J501" s="12">
        <v>0</v>
      </c>
      <c r="K501" s="12">
        <v>0</v>
      </c>
      <c r="L501" s="65">
        <f>SUM(F501:K501)</f>
        <v>0</v>
      </c>
      <c r="M501" s="65">
        <v>5959.6</v>
      </c>
      <c r="N501" s="11">
        <v>0</v>
      </c>
      <c r="O501" s="11">
        <v>326</v>
      </c>
      <c r="P501" s="11">
        <v>465</v>
      </c>
      <c r="Q501" s="11">
        <v>1038</v>
      </c>
      <c r="R501" s="11">
        <v>1190</v>
      </c>
      <c r="S501" s="11">
        <v>1200</v>
      </c>
      <c r="T501" s="65">
        <f>SUM(N501:S501)</f>
        <v>4219</v>
      </c>
      <c r="U501" s="65">
        <f>T501+L501</f>
        <v>4219</v>
      </c>
      <c r="V501" s="46"/>
      <c r="W501" s="38"/>
      <c r="X501" s="47"/>
    </row>
    <row r="502" spans="1:24" s="48" customFormat="1" ht="18" customHeight="1">
      <c r="A502" s="592"/>
      <c r="B502" s="576"/>
      <c r="C502" s="577"/>
      <c r="D502" s="178" t="str">
        <f>серпень!D425</f>
        <v>факт. нат.п-ки 2024</v>
      </c>
      <c r="E502" s="11"/>
      <c r="F502" s="12">
        <v>1728</v>
      </c>
      <c r="G502" s="12">
        <v>1859</v>
      </c>
      <c r="H502" s="12">
        <v>1671</v>
      </c>
      <c r="I502" s="12">
        <v>1348</v>
      </c>
      <c r="J502" s="12">
        <v>1445</v>
      </c>
      <c r="K502" s="12">
        <v>1041</v>
      </c>
      <c r="L502" s="65">
        <f>SUM(F502:K502)</f>
        <v>9092</v>
      </c>
      <c r="M502" s="65">
        <v>5959.6</v>
      </c>
      <c r="N502" s="11">
        <v>807</v>
      </c>
      <c r="O502" s="11">
        <v>894</v>
      </c>
      <c r="P502" s="11">
        <v>1352</v>
      </c>
      <c r="Q502" s="11">
        <v>2496</v>
      </c>
      <c r="R502" s="11">
        <v>1200</v>
      </c>
      <c r="S502" s="11">
        <v>2204</v>
      </c>
      <c r="T502" s="65">
        <f>SUM(N502:S502)</f>
        <v>8953</v>
      </c>
      <c r="U502" s="65">
        <f>T502+L502</f>
        <v>18045</v>
      </c>
      <c r="V502" s="46">
        <v>19100</v>
      </c>
      <c r="W502" s="38"/>
      <c r="X502" s="47"/>
    </row>
    <row r="503" spans="1:24" s="48" customFormat="1" ht="18" customHeight="1">
      <c r="A503" s="592"/>
      <c r="B503" s="576"/>
      <c r="C503" s="577"/>
      <c r="D503" s="178" t="str">
        <f>серпень!D426</f>
        <v>факт. нат.п-ки 2025</v>
      </c>
      <c r="E503" s="11"/>
      <c r="F503" s="12">
        <v>1470</v>
      </c>
      <c r="G503" s="12">
        <v>2849</v>
      </c>
      <c r="H503" s="12">
        <v>3281</v>
      </c>
      <c r="I503" s="12">
        <v>3973</v>
      </c>
      <c r="J503" s="12">
        <v>3250</v>
      </c>
      <c r="K503" s="12">
        <v>2883</v>
      </c>
      <c r="L503" s="65">
        <f>SUM(F503:K503)</f>
        <v>17706</v>
      </c>
      <c r="M503" s="65">
        <v>5959.6</v>
      </c>
      <c r="N503" s="11">
        <v>1597</v>
      </c>
      <c r="O503" s="11">
        <v>1476</v>
      </c>
      <c r="P503" s="11">
        <v>1352</v>
      </c>
      <c r="Q503" s="11">
        <v>2496</v>
      </c>
      <c r="R503" s="11">
        <v>1200</v>
      </c>
      <c r="S503" s="11">
        <v>2204</v>
      </c>
      <c r="T503" s="65">
        <f>SUM(N503:S503)</f>
        <v>10325</v>
      </c>
      <c r="U503" s="65">
        <f>T503+L503</f>
        <v>28031</v>
      </c>
      <c r="V503" s="11">
        <v>19100</v>
      </c>
      <c r="W503" s="38">
        <f>V503-U503</f>
        <v>-8931</v>
      </c>
      <c r="X503" s="47"/>
    </row>
    <row r="504" spans="1:24" s="51" customFormat="1" ht="18" customHeight="1">
      <c r="A504" s="592"/>
      <c r="B504" s="576"/>
      <c r="C504" s="577"/>
      <c r="D504" s="187" t="str">
        <f>серпень!D427</f>
        <v>тариф, грн.</v>
      </c>
      <c r="E504" s="129" t="e">
        <f>E505/E503*1000</f>
        <v>#DIV/0!</v>
      </c>
      <c r="F504" s="129">
        <f t="shared" ref="F504:K504" si="550">F505/F503*1000</f>
        <v>4.3197299999999998</v>
      </c>
      <c r="G504" s="129">
        <f t="shared" si="550"/>
        <v>4.3201099999999997</v>
      </c>
      <c r="H504" s="129">
        <f t="shared" si="550"/>
        <v>4.3200200000000004</v>
      </c>
      <c r="I504" s="129">
        <f t="shared" si="550"/>
        <v>4.3199100000000001</v>
      </c>
      <c r="J504" s="129">
        <f t="shared" si="550"/>
        <v>4.32</v>
      </c>
      <c r="K504" s="129">
        <f t="shared" si="550"/>
        <v>4.3201499999999999</v>
      </c>
      <c r="L504" s="132">
        <f>L505/L503*1000</f>
        <v>4.32</v>
      </c>
      <c r="M504" s="132">
        <f>M505/M503*1000</f>
        <v>2.1390699999999998</v>
      </c>
      <c r="N504" s="132">
        <f>N505/N503*1000</f>
        <v>4.3199699999999996</v>
      </c>
      <c r="O504" s="132">
        <f>O505/O503*1000</f>
        <v>4.3197799999999997</v>
      </c>
      <c r="P504" s="132">
        <v>4.32</v>
      </c>
      <c r="Q504" s="132">
        <v>4.32</v>
      </c>
      <c r="R504" s="132">
        <v>4.32</v>
      </c>
      <c r="S504" s="132">
        <v>4.32</v>
      </c>
      <c r="T504" s="132">
        <f>T505/T503*1000</f>
        <v>4.32</v>
      </c>
      <c r="U504" s="132">
        <f>U505/U503*1000</f>
        <v>4.32</v>
      </c>
      <c r="V504" s="132">
        <f>V505/V503*1000</f>
        <v>5.3968600000000002</v>
      </c>
      <c r="W504" s="40">
        <f>W505/W503*1000</f>
        <v>2.01702</v>
      </c>
      <c r="X504" s="59"/>
    </row>
    <row r="505" spans="1:24" s="130" customFormat="1" ht="18" customHeight="1">
      <c r="A505" s="592"/>
      <c r="B505" s="576"/>
      <c r="C505" s="577"/>
      <c r="D505" s="191" t="str">
        <f>серпень!D428</f>
        <v>сума, тис.грн.</v>
      </c>
      <c r="E505" s="52"/>
      <c r="F505" s="52">
        <v>6.35</v>
      </c>
      <c r="G505" s="52">
        <v>12.308</v>
      </c>
      <c r="H505" s="52">
        <v>14.173999999999999</v>
      </c>
      <c r="I505" s="52">
        <v>17.163</v>
      </c>
      <c r="J505" s="52">
        <v>14.04</v>
      </c>
      <c r="K505" s="52">
        <v>12.455</v>
      </c>
      <c r="L505" s="69">
        <f>SUM(F505:K505)</f>
        <v>76.489999999999995</v>
      </c>
      <c r="M505" s="69">
        <f>L505/6</f>
        <v>12.747999999999999</v>
      </c>
      <c r="N505" s="52">
        <v>6.899</v>
      </c>
      <c r="O505" s="52">
        <v>6.3760000000000003</v>
      </c>
      <c r="P505" s="52">
        <f t="shared" ref="P505" si="551">P503*P504/1000</f>
        <v>5.8410000000000002</v>
      </c>
      <c r="Q505" s="52">
        <f t="shared" ref="Q505" si="552">Q503*Q504/1000</f>
        <v>10.782999999999999</v>
      </c>
      <c r="R505" s="52">
        <f t="shared" ref="R505" si="553">R503*R504/1000</f>
        <v>5.1840000000000002</v>
      </c>
      <c r="S505" s="52">
        <f t="shared" ref="S505" si="554">S503*S504/1000</f>
        <v>9.5210000000000008</v>
      </c>
      <c r="T505" s="69">
        <f>SUM(N505:S505)</f>
        <v>44.603999999999999</v>
      </c>
      <c r="U505" s="69">
        <f>T505+L505</f>
        <v>121.09399999999999</v>
      </c>
      <c r="V505" s="70">
        <f>V506+V507</f>
        <v>103.08</v>
      </c>
      <c r="W505" s="53">
        <f>V505-U505</f>
        <v>-18.013999999999999</v>
      </c>
      <c r="X505" s="133"/>
    </row>
    <row r="506" spans="1:24" s="130" customFormat="1" ht="18" customHeight="1">
      <c r="A506" s="592"/>
      <c r="B506" s="576"/>
      <c r="C506" s="577"/>
      <c r="D506" s="174" t="str">
        <f>серпень!D429</f>
        <v>дотація</v>
      </c>
      <c r="E506" s="56"/>
      <c r="F506" s="52"/>
      <c r="G506" s="52"/>
      <c r="H506" s="52"/>
      <c r="I506" s="52"/>
      <c r="J506" s="52"/>
      <c r="K506" s="52"/>
      <c r="L506" s="69">
        <f>SUM(F506:K506)</f>
        <v>0</v>
      </c>
      <c r="M506" s="69">
        <f>L506/6</f>
        <v>0</v>
      </c>
      <c r="N506" s="52"/>
      <c r="O506" s="52"/>
      <c r="P506" s="52"/>
      <c r="Q506" s="52"/>
      <c r="R506" s="52"/>
      <c r="S506" s="52"/>
      <c r="T506" s="69">
        <f>SUM(N506:S506)</f>
        <v>0</v>
      </c>
      <c r="U506" s="69">
        <f>T506+L506</f>
        <v>0</v>
      </c>
      <c r="V506" s="70">
        <v>0</v>
      </c>
      <c r="W506" s="53">
        <f>V506-U506</f>
        <v>0</v>
      </c>
    </row>
    <row r="507" spans="1:24" s="130" customFormat="1" ht="18" customHeight="1">
      <c r="A507" s="592"/>
      <c r="B507" s="576"/>
      <c r="C507" s="577"/>
      <c r="D507" s="174" t="str">
        <f>серпень!D430</f>
        <v>місцевий (план), тис.грн</v>
      </c>
      <c r="E507" s="56"/>
      <c r="F507" s="52">
        <f>2.164-2.164</f>
        <v>0</v>
      </c>
      <c r="G507" s="52">
        <v>7.4649999999999999</v>
      </c>
      <c r="H507" s="52">
        <v>8.0310000000000006</v>
      </c>
      <c r="I507" s="52">
        <f>7.219+10.72</f>
        <v>17.939</v>
      </c>
      <c r="J507" s="52">
        <v>5.8230000000000004</v>
      </c>
      <c r="K507" s="52">
        <f>6.242-5.6+20.568</f>
        <v>21.21</v>
      </c>
      <c r="L507" s="69">
        <f>SUM(F507:K507)</f>
        <v>60.468000000000004</v>
      </c>
      <c r="M507" s="69">
        <f>L507/6</f>
        <v>10.077999999999999</v>
      </c>
      <c r="N507" s="52">
        <f>4.497</f>
        <v>4.4969999999999999</v>
      </c>
      <c r="O507" s="52">
        <f>7.806</f>
        <v>7.806</v>
      </c>
      <c r="P507" s="52">
        <v>4.0999999999999996</v>
      </c>
      <c r="Q507" s="52">
        <v>5.8410000000000002</v>
      </c>
      <c r="R507" s="52">
        <f>10.783-5.12</f>
        <v>5.6630000000000003</v>
      </c>
      <c r="S507" s="52">
        <v>14.705</v>
      </c>
      <c r="T507" s="69">
        <f>SUM(N507:S507)</f>
        <v>42.612000000000002</v>
      </c>
      <c r="U507" s="69">
        <f>T507+L507</f>
        <v>103.08</v>
      </c>
      <c r="V507" s="70">
        <f>82.512+20.568</f>
        <v>103.08</v>
      </c>
      <c r="W507" s="53">
        <f>V507-U507</f>
        <v>0</v>
      </c>
    </row>
    <row r="508" spans="1:24" s="48" customFormat="1" ht="18" customHeight="1">
      <c r="A508" s="592"/>
      <c r="B508" s="576"/>
      <c r="C508" s="577"/>
      <c r="D508" s="178" t="str">
        <f>серпень!D431</f>
        <v>касові нат.п-ки 2025</v>
      </c>
      <c r="E508" s="11"/>
      <c r="F508" s="112">
        <v>0</v>
      </c>
      <c r="G508" s="12">
        <v>1470</v>
      </c>
      <c r="H508" s="12">
        <v>2849</v>
      </c>
      <c r="I508" s="12">
        <v>3281</v>
      </c>
      <c r="J508" s="12">
        <v>3973</v>
      </c>
      <c r="K508" s="12">
        <v>3250</v>
      </c>
      <c r="L508" s="65">
        <f>SUM(F508:K508)</f>
        <v>14823</v>
      </c>
      <c r="M508" s="65">
        <f>L508/6</f>
        <v>2470.5</v>
      </c>
      <c r="N508" s="12">
        <v>2883</v>
      </c>
      <c r="O508" s="12">
        <v>1597</v>
      </c>
      <c r="P508" s="12">
        <v>1476</v>
      </c>
      <c r="Q508" s="12">
        <v>1352</v>
      </c>
      <c r="R508" s="12">
        <v>2496</v>
      </c>
      <c r="S508" s="12">
        <f>R503+S503</f>
        <v>3404</v>
      </c>
      <c r="T508" s="65">
        <f>SUM(N508:S508)</f>
        <v>13208</v>
      </c>
      <c r="U508" s="65">
        <f>T508+L508</f>
        <v>28031</v>
      </c>
      <c r="V508" s="11">
        <f>V503</f>
        <v>19100</v>
      </c>
      <c r="W508" s="38">
        <f>V508-U508</f>
        <v>-8931</v>
      </c>
      <c r="X508" s="47">
        <f>U503-U508</f>
        <v>0</v>
      </c>
    </row>
    <row r="509" spans="1:24" s="51" customFormat="1" ht="18" customHeight="1">
      <c r="A509" s="592"/>
      <c r="B509" s="576"/>
      <c r="C509" s="577"/>
      <c r="D509" s="187" t="str">
        <f>серпень!D432</f>
        <v>тариф, грн.</v>
      </c>
      <c r="E509" s="129" t="e">
        <f>E510/E508*1000</f>
        <v>#DIV/0!</v>
      </c>
      <c r="F509" s="129" t="e">
        <f t="shared" ref="F509:K509" si="555">F510/F508*1000</f>
        <v>#DIV/0!</v>
      </c>
      <c r="G509" s="129">
        <f t="shared" si="555"/>
        <v>4.3197299999999998</v>
      </c>
      <c r="H509" s="129">
        <f t="shared" si="555"/>
        <v>4.3201099999999997</v>
      </c>
      <c r="I509" s="129">
        <f t="shared" si="555"/>
        <v>4.3200200000000004</v>
      </c>
      <c r="J509" s="129">
        <f t="shared" si="555"/>
        <v>4.3199100000000001</v>
      </c>
      <c r="K509" s="129">
        <f t="shared" si="555"/>
        <v>4.32</v>
      </c>
      <c r="L509" s="132">
        <f t="shared" ref="L509:P509" si="556">L510/L508*1000</f>
        <v>4.3199800000000002</v>
      </c>
      <c r="M509" s="132">
        <f t="shared" si="556"/>
        <v>4.3201799999999997</v>
      </c>
      <c r="N509" s="132">
        <f t="shared" si="556"/>
        <v>4.3201499999999999</v>
      </c>
      <c r="O509" s="132">
        <f t="shared" si="556"/>
        <v>4.3199699999999996</v>
      </c>
      <c r="P509" s="132">
        <f t="shared" si="556"/>
        <v>4.3197799999999997</v>
      </c>
      <c r="Q509" s="132">
        <v>4.32</v>
      </c>
      <c r="R509" s="132">
        <v>4.32</v>
      </c>
      <c r="S509" s="132">
        <v>4.32</v>
      </c>
      <c r="T509" s="132">
        <f>T510/T508*1000</f>
        <v>4.32003</v>
      </c>
      <c r="U509" s="132">
        <f>U510/U508*1000</f>
        <v>4.32</v>
      </c>
      <c r="V509" s="132">
        <f>V510/V508*1000</f>
        <v>5.3968600000000002</v>
      </c>
      <c r="W509" s="40">
        <f>W510/W508*1000</f>
        <v>2.01702</v>
      </c>
      <c r="X509" s="59"/>
    </row>
    <row r="510" spans="1:24" s="126" customFormat="1" ht="18" customHeight="1">
      <c r="A510" s="592"/>
      <c r="B510" s="576"/>
      <c r="C510" s="577"/>
      <c r="D510" s="198" t="str">
        <f>серпень!D433</f>
        <v>касові видатки, тис.грн.</v>
      </c>
      <c r="E510" s="71"/>
      <c r="F510" s="61">
        <v>0</v>
      </c>
      <c r="G510" s="61">
        <v>6.35</v>
      </c>
      <c r="H510" s="61">
        <v>12.308</v>
      </c>
      <c r="I510" s="61">
        <v>14.173999999999999</v>
      </c>
      <c r="J510" s="61">
        <v>17.163</v>
      </c>
      <c r="K510" s="61">
        <v>14.04</v>
      </c>
      <c r="L510" s="61">
        <f>SUM(F510:K510)</f>
        <v>64.034999999999997</v>
      </c>
      <c r="M510" s="61">
        <f>L510/6</f>
        <v>10.673</v>
      </c>
      <c r="N510" s="61">
        <v>12.455</v>
      </c>
      <c r="O510" s="61">
        <v>6.899</v>
      </c>
      <c r="P510" s="61">
        <v>6.3760000000000003</v>
      </c>
      <c r="Q510" s="61">
        <f t="shared" ref="Q510" si="557">Q508*Q509/1000</f>
        <v>5.8410000000000002</v>
      </c>
      <c r="R510" s="61">
        <f t="shared" ref="R510" si="558">R508*R509/1000</f>
        <v>10.782999999999999</v>
      </c>
      <c r="S510" s="61">
        <f t="shared" ref="S510" si="559">S508*S509/1000</f>
        <v>14.705</v>
      </c>
      <c r="T510" s="61">
        <f>SUM(N510:S510)</f>
        <v>57.058999999999997</v>
      </c>
      <c r="U510" s="61">
        <f>T510+L510</f>
        <v>121.09399999999999</v>
      </c>
      <c r="V510" s="61">
        <f>V505</f>
        <v>103.08</v>
      </c>
      <c r="W510" s="72">
        <f>V510-U510</f>
        <v>-18.013999999999999</v>
      </c>
      <c r="X510" s="63">
        <f>U505-U510</f>
        <v>0</v>
      </c>
    </row>
    <row r="511" spans="1:24" s="126" customFormat="1" ht="18" customHeight="1">
      <c r="A511" s="592"/>
      <c r="B511" s="576"/>
      <c r="C511" s="577"/>
      <c r="D511" s="201" t="str">
        <f>серпень!D434</f>
        <v>дотація</v>
      </c>
      <c r="E511" s="71"/>
      <c r="F511" s="61">
        <v>0</v>
      </c>
      <c r="G511" s="61">
        <v>0</v>
      </c>
      <c r="H511" s="61">
        <v>0</v>
      </c>
      <c r="I511" s="61">
        <v>0</v>
      </c>
      <c r="J511" s="61">
        <v>0</v>
      </c>
      <c r="K511" s="61">
        <v>0</v>
      </c>
      <c r="L511" s="61">
        <f>SUM(F511:K511)</f>
        <v>0</v>
      </c>
      <c r="M511" s="61">
        <f>L511/6</f>
        <v>0</v>
      </c>
      <c r="N511" s="61">
        <v>0</v>
      </c>
      <c r="O511" s="61">
        <v>0</v>
      </c>
      <c r="P511" s="61">
        <v>0</v>
      </c>
      <c r="Q511" s="61">
        <v>0</v>
      </c>
      <c r="R511" s="61">
        <v>0</v>
      </c>
      <c r="S511" s="61">
        <v>0</v>
      </c>
      <c r="T511" s="61">
        <f>SUM(N511:S511)</f>
        <v>0</v>
      </c>
      <c r="U511" s="61">
        <f>T511+L511</f>
        <v>0</v>
      </c>
      <c r="V511" s="61">
        <f>V506</f>
        <v>0</v>
      </c>
      <c r="W511" s="72">
        <f>V511-U511</f>
        <v>0</v>
      </c>
      <c r="X511" s="63">
        <f>U506-U511</f>
        <v>0</v>
      </c>
    </row>
    <row r="512" spans="1:24" s="126" customFormat="1" ht="18" customHeight="1">
      <c r="A512" s="592"/>
      <c r="B512" s="576"/>
      <c r="C512" s="577"/>
      <c r="D512" s="201" t="str">
        <f>серпень!D435</f>
        <v xml:space="preserve">місцевий </v>
      </c>
      <c r="E512" s="71"/>
      <c r="F512" s="61">
        <f t="shared" ref="F512:K512" si="560">F510-F511</f>
        <v>0</v>
      </c>
      <c r="G512" s="61">
        <f t="shared" si="560"/>
        <v>6.35</v>
      </c>
      <c r="H512" s="61">
        <f t="shared" si="560"/>
        <v>12.308</v>
      </c>
      <c r="I512" s="61">
        <f t="shared" si="560"/>
        <v>14.173999999999999</v>
      </c>
      <c r="J512" s="61">
        <f t="shared" si="560"/>
        <v>17.163</v>
      </c>
      <c r="K512" s="61">
        <f t="shared" si="560"/>
        <v>14.04</v>
      </c>
      <c r="L512" s="61">
        <f>SUM(F512:K512)</f>
        <v>64.034999999999997</v>
      </c>
      <c r="M512" s="61">
        <f>L512/6</f>
        <v>10.673</v>
      </c>
      <c r="N512" s="61">
        <f t="shared" ref="N512:S512" si="561">N510-N511</f>
        <v>12.455</v>
      </c>
      <c r="O512" s="61">
        <f t="shared" si="561"/>
        <v>6.899</v>
      </c>
      <c r="P512" s="61">
        <f t="shared" si="561"/>
        <v>6.3760000000000003</v>
      </c>
      <c r="Q512" s="61">
        <f t="shared" si="561"/>
        <v>5.8410000000000002</v>
      </c>
      <c r="R512" s="61">
        <f t="shared" si="561"/>
        <v>10.782999999999999</v>
      </c>
      <c r="S512" s="61">
        <f t="shared" si="561"/>
        <v>14.705</v>
      </c>
      <c r="T512" s="61">
        <f>SUM(N512:S512)</f>
        <v>57.058999999999997</v>
      </c>
      <c r="U512" s="61">
        <f>T512+L512</f>
        <v>121.09399999999999</v>
      </c>
      <c r="V512" s="61">
        <f>V507</f>
        <v>103.08</v>
      </c>
      <c r="W512" s="72">
        <f>V512-U512</f>
        <v>-18.013999999999999</v>
      </c>
      <c r="X512" s="63">
        <f>U507-U512</f>
        <v>-18.013999999999999</v>
      </c>
    </row>
    <row r="513" spans="1:28" s="43" customFormat="1" ht="18" customHeight="1">
      <c r="A513" s="592"/>
      <c r="B513" s="576"/>
      <c r="C513" s="577"/>
      <c r="D513" s="202" t="str">
        <f>серпень!D436</f>
        <v>план</v>
      </c>
      <c r="E513" s="42"/>
      <c r="F513" s="42">
        <f t="shared" ref="F513:K513" si="562">F507</f>
        <v>0</v>
      </c>
      <c r="G513" s="42">
        <f t="shared" si="562"/>
        <v>7.4649999999999999</v>
      </c>
      <c r="H513" s="42">
        <f t="shared" si="562"/>
        <v>8.0310000000000006</v>
      </c>
      <c r="I513" s="42">
        <f t="shared" si="562"/>
        <v>17.939</v>
      </c>
      <c r="J513" s="42">
        <f t="shared" si="562"/>
        <v>5.8230000000000004</v>
      </c>
      <c r="K513" s="42">
        <f t="shared" si="562"/>
        <v>21.21</v>
      </c>
      <c r="L513" s="42">
        <f>SUM(F513:K513)</f>
        <v>60.468000000000004</v>
      </c>
      <c r="M513" s="42">
        <f>L513/6</f>
        <v>10.077999999999999</v>
      </c>
      <c r="N513" s="42">
        <f t="shared" ref="N513:S513" si="563">N507+N506</f>
        <v>4.4969999999999999</v>
      </c>
      <c r="O513" s="42">
        <f t="shared" si="563"/>
        <v>7.806</v>
      </c>
      <c r="P513" s="42">
        <f t="shared" si="563"/>
        <v>4.0999999999999996</v>
      </c>
      <c r="Q513" s="42">
        <f t="shared" si="563"/>
        <v>5.8410000000000002</v>
      </c>
      <c r="R513" s="42">
        <f t="shared" si="563"/>
        <v>5.6630000000000003</v>
      </c>
      <c r="S513" s="42">
        <f t="shared" si="563"/>
        <v>14.705</v>
      </c>
      <c r="T513" s="42">
        <f>SUM(N513:S513)</f>
        <v>42.612000000000002</v>
      </c>
      <c r="U513" s="42">
        <f>T513+L513</f>
        <v>103.08</v>
      </c>
      <c r="V513" s="42">
        <f>V510</f>
        <v>103.08</v>
      </c>
      <c r="W513" s="42">
        <f>V513-U513</f>
        <v>0</v>
      </c>
    </row>
    <row r="514" spans="1:28" s="43" customFormat="1" ht="18" customHeight="1">
      <c r="A514" s="592"/>
      <c r="B514" s="576"/>
      <c r="C514" s="577"/>
      <c r="D514" s="202" t="str">
        <f>серпень!D437</f>
        <v xml:space="preserve">відхилення </v>
      </c>
      <c r="E514" s="42"/>
      <c r="F514" s="42">
        <f t="shared" ref="F514:K514" si="564">F510-F513</f>
        <v>0</v>
      </c>
      <c r="G514" s="42">
        <f t="shared" si="564"/>
        <v>-1.115</v>
      </c>
      <c r="H514" s="42">
        <f t="shared" si="564"/>
        <v>4.2770000000000001</v>
      </c>
      <c r="I514" s="42">
        <f t="shared" si="564"/>
        <v>-3.7650000000000001</v>
      </c>
      <c r="J514" s="42">
        <f t="shared" si="564"/>
        <v>11.34</v>
      </c>
      <c r="K514" s="42">
        <f t="shared" si="564"/>
        <v>-7.17</v>
      </c>
      <c r="L514" s="42"/>
      <c r="M514" s="42"/>
      <c r="N514" s="42">
        <f t="shared" ref="N514:S514" si="565">N510-N513</f>
        <v>7.9580000000000002</v>
      </c>
      <c r="O514" s="42">
        <f t="shared" si="565"/>
        <v>-0.90700000000000003</v>
      </c>
      <c r="P514" s="42">
        <f t="shared" si="565"/>
        <v>2.2759999999999998</v>
      </c>
      <c r="Q514" s="42">
        <f t="shared" si="565"/>
        <v>0</v>
      </c>
      <c r="R514" s="42">
        <f t="shared" si="565"/>
        <v>5.12</v>
      </c>
      <c r="S514" s="42">
        <f t="shared" si="565"/>
        <v>0</v>
      </c>
      <c r="T514" s="42"/>
      <c r="U514" s="42"/>
      <c r="V514" s="42"/>
      <c r="W514" s="42"/>
    </row>
    <row r="515" spans="1:28" s="43" customFormat="1" ht="18" customHeight="1">
      <c r="A515" s="593"/>
      <c r="B515" s="578"/>
      <c r="C515" s="579"/>
      <c r="D515" s="202" t="str">
        <f>серпень!D438</f>
        <v>відхилення з наростаючим</v>
      </c>
      <c r="E515" s="42"/>
      <c r="F515" s="42">
        <f>F514</f>
        <v>0</v>
      </c>
      <c r="G515" s="42">
        <f>G514+F515</f>
        <v>-1.115</v>
      </c>
      <c r="H515" s="42">
        <f>H514+G515</f>
        <v>3.1619999999999999</v>
      </c>
      <c r="I515" s="42">
        <f>I514+H515</f>
        <v>-0.60299999999999998</v>
      </c>
      <c r="J515" s="42">
        <f>J514+I515</f>
        <v>10.737</v>
      </c>
      <c r="K515" s="42">
        <f>K514+J515</f>
        <v>3.5670000000000002</v>
      </c>
      <c r="L515" s="42"/>
      <c r="M515" s="42"/>
      <c r="N515" s="42">
        <f>N514+K515</f>
        <v>11.525</v>
      </c>
      <c r="O515" s="42">
        <f>O514+N515</f>
        <v>10.618</v>
      </c>
      <c r="P515" s="42">
        <f>P514+O515</f>
        <v>12.894</v>
      </c>
      <c r="Q515" s="42">
        <f>Q514+P515</f>
        <v>12.894</v>
      </c>
      <c r="R515" s="42">
        <f>R514+Q515</f>
        <v>18.013999999999999</v>
      </c>
      <c r="S515" s="42">
        <f>S514+R515</f>
        <v>18.013999999999999</v>
      </c>
      <c r="T515" s="42"/>
      <c r="U515" s="42"/>
      <c r="V515" s="42"/>
      <c r="W515" s="42"/>
      <c r="AB515" s="58">
        <f>Z515-Z520</f>
        <v>0</v>
      </c>
    </row>
    <row r="516" spans="1:28" s="47" customFormat="1" ht="18" customHeight="1">
      <c r="A516" s="650">
        <v>2275</v>
      </c>
      <c r="B516" s="581" t="s">
        <v>70</v>
      </c>
      <c r="C516" s="581"/>
      <c r="D516" s="178" t="str">
        <f>серпень!D439</f>
        <v>факт. нат.п-ки 2023</v>
      </c>
      <c r="E516" s="11"/>
      <c r="F516" s="12">
        <f t="shared" ref="F516:K518" si="566">F533+F704</f>
        <v>10.6</v>
      </c>
      <c r="G516" s="12">
        <f t="shared" si="566"/>
        <v>10.6</v>
      </c>
      <c r="H516" s="12">
        <f t="shared" si="566"/>
        <v>10.7</v>
      </c>
      <c r="I516" s="12">
        <f t="shared" si="566"/>
        <v>10.6</v>
      </c>
      <c r="J516" s="12">
        <f t="shared" si="566"/>
        <v>8.8000000000000007</v>
      </c>
      <c r="K516" s="12">
        <f t="shared" si="566"/>
        <v>10.6</v>
      </c>
      <c r="L516" s="117">
        <f>SUM(F516:K516)</f>
        <v>61.9</v>
      </c>
      <c r="M516" s="117">
        <f>L516/6</f>
        <v>10.3</v>
      </c>
      <c r="N516" s="12">
        <f t="shared" ref="N516:S518" si="567">N533+N704</f>
        <v>10.6</v>
      </c>
      <c r="O516" s="12">
        <f t="shared" si="567"/>
        <v>10.6</v>
      </c>
      <c r="P516" s="12">
        <f t="shared" si="567"/>
        <v>10.6</v>
      </c>
      <c r="Q516" s="12">
        <f t="shared" si="567"/>
        <v>10.6</v>
      </c>
      <c r="R516" s="12">
        <f t="shared" si="567"/>
        <v>10.7</v>
      </c>
      <c r="S516" s="12">
        <f t="shared" si="567"/>
        <v>12.4</v>
      </c>
      <c r="T516" s="117">
        <f>SUM(N516:S516)</f>
        <v>65.5</v>
      </c>
      <c r="U516" s="117">
        <f>T516+L516</f>
        <v>127.4</v>
      </c>
      <c r="V516" s="76">
        <f>V533+V704</f>
        <v>0</v>
      </c>
      <c r="W516" s="38"/>
    </row>
    <row r="517" spans="1:28" s="47" customFormat="1" ht="18" customHeight="1">
      <c r="A517" s="614"/>
      <c r="B517" s="581"/>
      <c r="C517" s="581"/>
      <c r="D517" s="178" t="str">
        <f>серпень!D440</f>
        <v>факт. нат.п-ки 2024</v>
      </c>
      <c r="E517" s="11"/>
      <c r="F517" s="12">
        <f t="shared" si="566"/>
        <v>10.6</v>
      </c>
      <c r="G517" s="12">
        <f t="shared" si="566"/>
        <v>10.6</v>
      </c>
      <c r="H517" s="12">
        <f t="shared" si="566"/>
        <v>10.7</v>
      </c>
      <c r="I517" s="12">
        <f t="shared" si="566"/>
        <v>10.6</v>
      </c>
      <c r="J517" s="12">
        <f t="shared" si="566"/>
        <v>10.6</v>
      </c>
      <c r="K517" s="12">
        <f t="shared" si="566"/>
        <v>10.6</v>
      </c>
      <c r="L517" s="117">
        <f>SUM(F517:K517)</f>
        <v>63.7</v>
      </c>
      <c r="M517" s="117">
        <f>L517/6</f>
        <v>10.6</v>
      </c>
      <c r="N517" s="12">
        <f t="shared" si="567"/>
        <v>10.6</v>
      </c>
      <c r="O517" s="12">
        <f t="shared" si="567"/>
        <v>10.6</v>
      </c>
      <c r="P517" s="12">
        <f t="shared" si="567"/>
        <v>10.7</v>
      </c>
      <c r="Q517" s="12">
        <f t="shared" si="567"/>
        <v>10.6</v>
      </c>
      <c r="R517" s="12">
        <f t="shared" si="567"/>
        <v>10.6</v>
      </c>
      <c r="S517" s="12">
        <f t="shared" si="567"/>
        <v>12.4</v>
      </c>
      <c r="T517" s="117">
        <f>SUM(N517:S517)</f>
        <v>65.5</v>
      </c>
      <c r="U517" s="117">
        <f>T517+L517</f>
        <v>129.19999999999999</v>
      </c>
      <c r="V517" s="76">
        <f>V534+V705</f>
        <v>0</v>
      </c>
      <c r="W517" s="38"/>
    </row>
    <row r="518" spans="1:28" s="47" customFormat="1" ht="18" customHeight="1">
      <c r="A518" s="614"/>
      <c r="B518" s="581"/>
      <c r="C518" s="581"/>
      <c r="D518" s="178" t="str">
        <f>серпень!D441</f>
        <v>факт. нат.п-ки 2025</v>
      </c>
      <c r="E518" s="11"/>
      <c r="F518" s="12">
        <f t="shared" si="566"/>
        <v>10.6</v>
      </c>
      <c r="G518" s="12">
        <f t="shared" si="566"/>
        <v>10.6</v>
      </c>
      <c r="H518" s="12">
        <f t="shared" si="566"/>
        <v>10.6</v>
      </c>
      <c r="I518" s="12">
        <f t="shared" si="566"/>
        <v>10.6</v>
      </c>
      <c r="J518" s="12">
        <f t="shared" si="566"/>
        <v>10.6</v>
      </c>
      <c r="K518" s="12">
        <f t="shared" si="566"/>
        <v>10.6</v>
      </c>
      <c r="L518" s="117">
        <f>SUM(F518:K518)</f>
        <v>63.6</v>
      </c>
      <c r="M518" s="117">
        <f>L518/6</f>
        <v>10.6</v>
      </c>
      <c r="N518" s="12">
        <f t="shared" si="567"/>
        <v>10.5</v>
      </c>
      <c r="O518" s="12">
        <f t="shared" si="567"/>
        <v>10.6</v>
      </c>
      <c r="P518" s="12">
        <f t="shared" si="567"/>
        <v>10.7</v>
      </c>
      <c r="Q518" s="12">
        <f t="shared" si="567"/>
        <v>10.6</v>
      </c>
      <c r="R518" s="12">
        <f t="shared" si="567"/>
        <v>10.6</v>
      </c>
      <c r="S518" s="12">
        <f t="shared" si="567"/>
        <v>12.3</v>
      </c>
      <c r="T518" s="117">
        <f>SUM(N518:S518)</f>
        <v>65.3</v>
      </c>
      <c r="U518" s="117">
        <f>T518+L518</f>
        <v>128.9</v>
      </c>
      <c r="V518" s="76">
        <f>V535+V706</f>
        <v>129.19999999999999</v>
      </c>
      <c r="W518" s="38">
        <f>V518-U518</f>
        <v>0.3</v>
      </c>
    </row>
    <row r="519" spans="1:28" s="47" customFormat="1" ht="18" customHeight="1">
      <c r="A519" s="614"/>
      <c r="B519" s="581"/>
      <c r="C519" s="581"/>
      <c r="D519" s="187" t="str">
        <f>серпень!D442</f>
        <v>тариф, грн.</v>
      </c>
      <c r="E519" s="49"/>
      <c r="F519" s="49">
        <f t="shared" ref="F519:S519" si="568">F520/F518*1000</f>
        <v>168.39599999999999</v>
      </c>
      <c r="G519" s="49">
        <f t="shared" si="568"/>
        <v>168.39599999999999</v>
      </c>
      <c r="H519" s="49">
        <f t="shared" si="568"/>
        <v>168.39599999999999</v>
      </c>
      <c r="I519" s="49">
        <f t="shared" si="568"/>
        <v>168.39599999999999</v>
      </c>
      <c r="J519" s="49">
        <f t="shared" si="568"/>
        <v>168.39599999999999</v>
      </c>
      <c r="K519" s="49">
        <f t="shared" si="568"/>
        <v>168.39599999999999</v>
      </c>
      <c r="L519" s="49">
        <f t="shared" si="568"/>
        <v>168.39599999999999</v>
      </c>
      <c r="M519" s="49">
        <f t="shared" si="568"/>
        <v>168.39599999999999</v>
      </c>
      <c r="N519" s="49">
        <f t="shared" si="568"/>
        <v>169.905</v>
      </c>
      <c r="O519" s="49">
        <f t="shared" si="568"/>
        <v>169.90600000000001</v>
      </c>
      <c r="P519" s="49">
        <f t="shared" si="568"/>
        <v>169.90700000000001</v>
      </c>
      <c r="Q519" s="49">
        <f t="shared" si="568"/>
        <v>169.90600000000001</v>
      </c>
      <c r="R519" s="49">
        <f t="shared" si="568"/>
        <v>169.90600000000001</v>
      </c>
      <c r="S519" s="49">
        <f t="shared" si="568"/>
        <v>168.94300000000001</v>
      </c>
      <c r="T519" s="49">
        <f>T520/T518*1000</f>
        <v>169.72399999999999</v>
      </c>
      <c r="U519" s="49">
        <f>U520/U518*1000</f>
        <v>169.06899999999999</v>
      </c>
      <c r="V519" s="49">
        <f>V520/V518*1000</f>
        <v>169.81399999999999</v>
      </c>
      <c r="W519" s="49">
        <f>W520/W518*1000</f>
        <v>490</v>
      </c>
    </row>
    <row r="520" spans="1:28" s="130" customFormat="1" ht="18" customHeight="1">
      <c r="A520" s="614"/>
      <c r="B520" s="581"/>
      <c r="C520" s="581"/>
      <c r="D520" s="191" t="str">
        <f>серпень!D443</f>
        <v>сума, тис.грн.</v>
      </c>
      <c r="E520" s="52"/>
      <c r="F520" s="52">
        <f t="shared" ref="F520:K520" si="569">F537+F708</f>
        <v>1.7849999999999999</v>
      </c>
      <c r="G520" s="52">
        <f t="shared" si="569"/>
        <v>1.7849999999999999</v>
      </c>
      <c r="H520" s="52">
        <f t="shared" si="569"/>
        <v>1.7849999999999999</v>
      </c>
      <c r="I520" s="52">
        <f t="shared" si="569"/>
        <v>1.7849999999999999</v>
      </c>
      <c r="J520" s="52">
        <f t="shared" si="569"/>
        <v>1.7849999999999999</v>
      </c>
      <c r="K520" s="52">
        <f t="shared" si="569"/>
        <v>1.7849999999999999</v>
      </c>
      <c r="L520" s="69">
        <f>SUM(F520:K520)</f>
        <v>10.71</v>
      </c>
      <c r="M520" s="69">
        <f>L520/6</f>
        <v>1.7849999999999999</v>
      </c>
      <c r="N520" s="52">
        <f t="shared" ref="N520:S520" si="570">N537+N708</f>
        <v>1.784</v>
      </c>
      <c r="O520" s="52">
        <f t="shared" si="570"/>
        <v>1.8009999999999999</v>
      </c>
      <c r="P520" s="52">
        <f t="shared" si="570"/>
        <v>1.8180000000000001</v>
      </c>
      <c r="Q520" s="52">
        <f t="shared" si="570"/>
        <v>1.8009999999999999</v>
      </c>
      <c r="R520" s="52">
        <f t="shared" si="570"/>
        <v>1.8009999999999999</v>
      </c>
      <c r="S520" s="52">
        <f t="shared" si="570"/>
        <v>2.0779999999999998</v>
      </c>
      <c r="T520" s="69">
        <f>SUM(N520:S520)</f>
        <v>11.083</v>
      </c>
      <c r="U520" s="69">
        <f>T520+L520</f>
        <v>21.792999999999999</v>
      </c>
      <c r="V520" s="69">
        <f>V537+V708</f>
        <v>21.94</v>
      </c>
      <c r="W520" s="52">
        <f>V520-U520</f>
        <v>0.14699999999999999</v>
      </c>
      <c r="X520" s="130">
        <f>W520-W527</f>
        <v>-1E-3</v>
      </c>
    </row>
    <row r="521" spans="1:28" s="130" customFormat="1" ht="18" customHeight="1">
      <c r="A521" s="614"/>
      <c r="B521" s="581"/>
      <c r="C521" s="581"/>
      <c r="D521" s="174" t="str">
        <f>серпень!D444</f>
        <v>абоненська плата, тис.грн.</v>
      </c>
      <c r="E521" s="52"/>
      <c r="F521" s="52">
        <f>F538</f>
        <v>2E-3</v>
      </c>
      <c r="G521" s="52">
        <f t="shared" ref="G521:K521" si="571">G538</f>
        <v>2E-3</v>
      </c>
      <c r="H521" s="52">
        <f t="shared" si="571"/>
        <v>2E-3</v>
      </c>
      <c r="I521" s="52">
        <f t="shared" si="571"/>
        <v>2E-3</v>
      </c>
      <c r="J521" s="52">
        <f t="shared" si="571"/>
        <v>2E-3</v>
      </c>
      <c r="K521" s="52">
        <f t="shared" si="571"/>
        <v>2E-3</v>
      </c>
      <c r="L521" s="69">
        <f t="shared" ref="L521:L522" si="572">SUM(F521:K521)</f>
        <v>1.2E-2</v>
      </c>
      <c r="M521" s="69">
        <f t="shared" ref="M521:M522" si="573">L521/6</f>
        <v>2E-3</v>
      </c>
      <c r="N521" s="52">
        <f>N538</f>
        <v>2E-3</v>
      </c>
      <c r="O521" s="52">
        <f t="shared" ref="O521:S521" si="574">O538</f>
        <v>2E-3</v>
      </c>
      <c r="P521" s="52">
        <f t="shared" si="574"/>
        <v>2E-3</v>
      </c>
      <c r="Q521" s="52">
        <f t="shared" si="574"/>
        <v>2E-3</v>
      </c>
      <c r="R521" s="52">
        <f t="shared" si="574"/>
        <v>2E-3</v>
      </c>
      <c r="S521" s="52">
        <f t="shared" si="574"/>
        <v>2E-3</v>
      </c>
      <c r="T521" s="69">
        <f t="shared" ref="T521:T522" si="575">SUM(N521:S521)</f>
        <v>1.2E-2</v>
      </c>
      <c r="U521" s="69">
        <f t="shared" ref="U521:U522" si="576">T521+L521</f>
        <v>2.4E-2</v>
      </c>
      <c r="V521" s="69">
        <f t="shared" ref="V521" si="577">V538</f>
        <v>2.5000000000000001E-2</v>
      </c>
      <c r="W521" s="52">
        <f t="shared" ref="W521:W522" si="578">V521-U521</f>
        <v>1E-3</v>
      </c>
    </row>
    <row r="522" spans="1:28" s="130" customFormat="1" ht="18" customHeight="1">
      <c r="A522" s="614"/>
      <c r="B522" s="581"/>
      <c r="C522" s="581"/>
      <c r="D522" s="174" t="str">
        <f>серпень!D445</f>
        <v>разом сума тис. грн+абонплата</v>
      </c>
      <c r="E522" s="52"/>
      <c r="F522" s="52">
        <f>F520+F521</f>
        <v>1.7869999999999999</v>
      </c>
      <c r="G522" s="52">
        <f t="shared" ref="G522:K522" si="579">G520+G521</f>
        <v>1.7869999999999999</v>
      </c>
      <c r="H522" s="52">
        <f t="shared" si="579"/>
        <v>1.7869999999999999</v>
      </c>
      <c r="I522" s="52">
        <f t="shared" si="579"/>
        <v>1.7869999999999999</v>
      </c>
      <c r="J522" s="52">
        <f t="shared" si="579"/>
        <v>1.7869999999999999</v>
      </c>
      <c r="K522" s="52">
        <f t="shared" si="579"/>
        <v>1.7869999999999999</v>
      </c>
      <c r="L522" s="69">
        <f t="shared" si="572"/>
        <v>10.722</v>
      </c>
      <c r="M522" s="69">
        <f t="shared" si="573"/>
        <v>1.7869999999999999</v>
      </c>
      <c r="N522" s="52">
        <f>N520+N521</f>
        <v>1.786</v>
      </c>
      <c r="O522" s="52">
        <f t="shared" ref="O522" si="580">O520+O521</f>
        <v>1.8029999999999999</v>
      </c>
      <c r="P522" s="52">
        <f t="shared" ref="P522" si="581">P520+P521</f>
        <v>1.82</v>
      </c>
      <c r="Q522" s="52">
        <f t="shared" ref="Q522" si="582">Q520+Q521</f>
        <v>1.8029999999999999</v>
      </c>
      <c r="R522" s="52">
        <f t="shared" ref="R522" si="583">R520+R521</f>
        <v>1.8029999999999999</v>
      </c>
      <c r="S522" s="52">
        <f t="shared" ref="S522" si="584">S520+S521</f>
        <v>2.08</v>
      </c>
      <c r="T522" s="69">
        <f t="shared" si="575"/>
        <v>11.095000000000001</v>
      </c>
      <c r="U522" s="69">
        <f t="shared" si="576"/>
        <v>21.817</v>
      </c>
      <c r="V522" s="69">
        <f t="shared" ref="V522" si="585">V520+V521</f>
        <v>21.965</v>
      </c>
      <c r="W522" s="52">
        <f t="shared" si="578"/>
        <v>0.14799999999999999</v>
      </c>
    </row>
    <row r="523" spans="1:28" s="130" customFormat="1" ht="18" customHeight="1">
      <c r="A523" s="614"/>
      <c r="B523" s="581"/>
      <c r="C523" s="581"/>
      <c r="D523" s="174" t="str">
        <f>серпень!D446</f>
        <v>дотація</v>
      </c>
      <c r="E523" s="56"/>
      <c r="F523" s="52">
        <f t="shared" ref="F523:K525" si="586">F540+F709</f>
        <v>0</v>
      </c>
      <c r="G523" s="52">
        <f t="shared" si="586"/>
        <v>0</v>
      </c>
      <c r="H523" s="52">
        <f t="shared" si="586"/>
        <v>0</v>
      </c>
      <c r="I523" s="52">
        <f t="shared" si="586"/>
        <v>0</v>
      </c>
      <c r="J523" s="52">
        <f t="shared" si="586"/>
        <v>0</v>
      </c>
      <c r="K523" s="52">
        <f t="shared" si="586"/>
        <v>0</v>
      </c>
      <c r="L523" s="69">
        <f>SUM(F523:K523)</f>
        <v>0</v>
      </c>
      <c r="M523" s="69">
        <f>L523/6</f>
        <v>0</v>
      </c>
      <c r="N523" s="52">
        <f t="shared" ref="N523:S525" si="587">N540+N709</f>
        <v>0</v>
      </c>
      <c r="O523" s="52">
        <f t="shared" si="587"/>
        <v>0</v>
      </c>
      <c r="P523" s="52">
        <f t="shared" si="587"/>
        <v>0</v>
      </c>
      <c r="Q523" s="52">
        <f t="shared" si="587"/>
        <v>0</v>
      </c>
      <c r="R523" s="52">
        <f t="shared" si="587"/>
        <v>0</v>
      </c>
      <c r="S523" s="52">
        <f t="shared" si="587"/>
        <v>0</v>
      </c>
      <c r="T523" s="69">
        <f>SUM(N523:S523)</f>
        <v>0</v>
      </c>
      <c r="U523" s="69">
        <f>T523+L523</f>
        <v>0</v>
      </c>
      <c r="V523" s="69">
        <f>V540+V709</f>
        <v>0</v>
      </c>
      <c r="W523" s="52">
        <f>V523-U523</f>
        <v>0</v>
      </c>
      <c r="X523" s="134"/>
    </row>
    <row r="524" spans="1:28" s="130" customFormat="1" ht="18" customHeight="1">
      <c r="A524" s="614"/>
      <c r="B524" s="581"/>
      <c r="C524" s="581"/>
      <c r="D524" s="174" t="str">
        <f>серпень!D447</f>
        <v>місцевий (план), тис.грн</v>
      </c>
      <c r="E524" s="56"/>
      <c r="F524" s="52">
        <f t="shared" si="586"/>
        <v>0</v>
      </c>
      <c r="G524" s="52">
        <f t="shared" si="586"/>
        <v>1.804</v>
      </c>
      <c r="H524" s="52">
        <f t="shared" si="586"/>
        <v>1.8029999999999999</v>
      </c>
      <c r="I524" s="52">
        <f t="shared" si="586"/>
        <v>1.82</v>
      </c>
      <c r="J524" s="52">
        <f t="shared" si="586"/>
        <v>1.8029999999999999</v>
      </c>
      <c r="K524" s="52">
        <f t="shared" si="586"/>
        <v>1.8029999999999999</v>
      </c>
      <c r="L524" s="69">
        <f>SUM(F524:K524)</f>
        <v>9.0329999999999995</v>
      </c>
      <c r="M524" s="69">
        <f>L524/6</f>
        <v>1.506</v>
      </c>
      <c r="N524" s="52">
        <f t="shared" si="587"/>
        <v>1.82</v>
      </c>
      <c r="O524" s="52">
        <f t="shared" si="587"/>
        <v>1.8029999999999999</v>
      </c>
      <c r="P524" s="52">
        <f t="shared" si="587"/>
        <v>1.8029999999999999</v>
      </c>
      <c r="Q524" s="52">
        <f t="shared" si="587"/>
        <v>1.82</v>
      </c>
      <c r="R524" s="52">
        <f t="shared" si="587"/>
        <v>1.8029999999999999</v>
      </c>
      <c r="S524" s="52">
        <f t="shared" si="587"/>
        <v>3.883</v>
      </c>
      <c r="T524" s="69">
        <f>SUM(N524:S524)</f>
        <v>12.932</v>
      </c>
      <c r="U524" s="69">
        <f>T524+L524</f>
        <v>21.965</v>
      </c>
      <c r="V524" s="69">
        <f>V541+V710</f>
        <v>21.965</v>
      </c>
      <c r="W524" s="52">
        <f>V524-U524</f>
        <v>0</v>
      </c>
    </row>
    <row r="525" spans="1:28" s="47" customFormat="1" ht="18" customHeight="1">
      <c r="A525" s="614"/>
      <c r="B525" s="581"/>
      <c r="C525" s="581"/>
      <c r="D525" s="178" t="str">
        <f>серпень!D448</f>
        <v>касові нат.п-ки 2025</v>
      </c>
      <c r="E525" s="12">
        <f>E542+E711</f>
        <v>0</v>
      </c>
      <c r="F525" s="12">
        <f t="shared" si="586"/>
        <v>0</v>
      </c>
      <c r="G525" s="12">
        <f t="shared" si="586"/>
        <v>10.6</v>
      </c>
      <c r="H525" s="12">
        <f t="shared" si="586"/>
        <v>10.6</v>
      </c>
      <c r="I525" s="12">
        <f t="shared" si="586"/>
        <v>10.6</v>
      </c>
      <c r="J525" s="12">
        <f t="shared" si="586"/>
        <v>10.6</v>
      </c>
      <c r="K525" s="12">
        <f t="shared" si="586"/>
        <v>10.6</v>
      </c>
      <c r="L525" s="117">
        <f>SUM(F525:K525)</f>
        <v>53</v>
      </c>
      <c r="M525" s="117">
        <f>L525/6</f>
        <v>8.8000000000000007</v>
      </c>
      <c r="N525" s="12">
        <f t="shared" si="587"/>
        <v>10.6</v>
      </c>
      <c r="O525" s="12">
        <f t="shared" si="587"/>
        <v>10.5</v>
      </c>
      <c r="P525" s="12">
        <f t="shared" si="587"/>
        <v>10.6</v>
      </c>
      <c r="Q525" s="12">
        <f t="shared" si="587"/>
        <v>10.7</v>
      </c>
      <c r="R525" s="12">
        <f t="shared" si="587"/>
        <v>10.6</v>
      </c>
      <c r="S525" s="12">
        <f t="shared" si="587"/>
        <v>22.9</v>
      </c>
      <c r="T525" s="117">
        <f>SUM(N525:S525)</f>
        <v>75.900000000000006</v>
      </c>
      <c r="U525" s="117">
        <f>T525+L525</f>
        <v>128.9</v>
      </c>
      <c r="V525" s="76">
        <f>V542+V711</f>
        <v>129.19999999999999</v>
      </c>
      <c r="W525" s="38">
        <f>V525-U525</f>
        <v>0.3</v>
      </c>
      <c r="X525" s="47">
        <f>U518-U525</f>
        <v>0</v>
      </c>
    </row>
    <row r="526" spans="1:28" s="47" customFormat="1" ht="18" customHeight="1">
      <c r="A526" s="614"/>
      <c r="B526" s="581"/>
      <c r="C526" s="581"/>
      <c r="D526" s="187" t="str">
        <f>серпень!D449</f>
        <v>тариф, грн.</v>
      </c>
      <c r="E526" s="49" t="e">
        <f>E527/E525*1000</f>
        <v>#DIV/0!</v>
      </c>
      <c r="F526" s="49" t="e">
        <f t="shared" ref="F526:S526" si="588">F527/F525*1000</f>
        <v>#DIV/0!</v>
      </c>
      <c r="G526" s="49">
        <f t="shared" si="588"/>
        <v>168.58500000000001</v>
      </c>
      <c r="H526" s="49">
        <f t="shared" si="588"/>
        <v>168.58500000000001</v>
      </c>
      <c r="I526" s="49">
        <f t="shared" si="588"/>
        <v>168.58500000000001</v>
      </c>
      <c r="J526" s="49">
        <f t="shared" si="588"/>
        <v>168.58500000000001</v>
      </c>
      <c r="K526" s="49">
        <f t="shared" si="588"/>
        <v>168.58500000000001</v>
      </c>
      <c r="L526" s="49">
        <f t="shared" si="588"/>
        <v>168.58500000000001</v>
      </c>
      <c r="M526" s="49">
        <f t="shared" si="588"/>
        <v>169.20500000000001</v>
      </c>
      <c r="N526" s="49">
        <f t="shared" si="588"/>
        <v>168.58500000000001</v>
      </c>
      <c r="O526" s="49">
        <f t="shared" si="588"/>
        <v>170.095</v>
      </c>
      <c r="P526" s="49">
        <f t="shared" si="588"/>
        <v>170.09399999999999</v>
      </c>
      <c r="Q526" s="49">
        <f t="shared" si="588"/>
        <v>170.09299999999999</v>
      </c>
      <c r="R526" s="49">
        <f t="shared" si="588"/>
        <v>170.09399999999999</v>
      </c>
      <c r="S526" s="49">
        <f t="shared" si="588"/>
        <v>169.56299999999999</v>
      </c>
      <c r="T526" s="49">
        <f>T527/T525*1000</f>
        <v>169.72300000000001</v>
      </c>
      <c r="U526" s="49">
        <f>U527/U525*1000</f>
        <v>169.255</v>
      </c>
      <c r="V526" s="49">
        <f>V527/V525*1000</f>
        <v>170.00800000000001</v>
      </c>
      <c r="W526" s="49">
        <f>W527/W525*1000</f>
        <v>493.33300000000003</v>
      </c>
      <c r="X526" s="59"/>
    </row>
    <row r="527" spans="1:28" s="63" customFormat="1" ht="18" customHeight="1">
      <c r="A527" s="614"/>
      <c r="B527" s="581"/>
      <c r="C527" s="581"/>
      <c r="D527" s="198" t="str">
        <f>серпень!D450</f>
        <v>касові видатки, тис.грн.</v>
      </c>
      <c r="E527" s="72">
        <f t="shared" ref="E527:K527" si="589">E544+E713</f>
        <v>0</v>
      </c>
      <c r="F527" s="61">
        <f t="shared" si="589"/>
        <v>0</v>
      </c>
      <c r="G527" s="61">
        <f t="shared" si="589"/>
        <v>1.7869999999999999</v>
      </c>
      <c r="H527" s="61">
        <f t="shared" si="589"/>
        <v>1.7869999999999999</v>
      </c>
      <c r="I527" s="61">
        <f t="shared" si="589"/>
        <v>1.7869999999999999</v>
      </c>
      <c r="J527" s="61">
        <f t="shared" si="589"/>
        <v>1.7869999999999999</v>
      </c>
      <c r="K527" s="61">
        <f t="shared" si="589"/>
        <v>1.7869999999999999</v>
      </c>
      <c r="L527" s="61">
        <f>SUM(F527:K527)</f>
        <v>8.9350000000000005</v>
      </c>
      <c r="M527" s="61">
        <f>L527/6</f>
        <v>1.4890000000000001</v>
      </c>
      <c r="N527" s="61">
        <f t="shared" ref="N527:S529" si="590">N544+N713</f>
        <v>1.7869999999999999</v>
      </c>
      <c r="O527" s="61">
        <f t="shared" si="590"/>
        <v>1.786</v>
      </c>
      <c r="P527" s="61">
        <f t="shared" si="590"/>
        <v>1.8029999999999999</v>
      </c>
      <c r="Q527" s="61">
        <f t="shared" si="590"/>
        <v>1.82</v>
      </c>
      <c r="R527" s="61">
        <f t="shared" si="590"/>
        <v>1.8029999999999999</v>
      </c>
      <c r="S527" s="61">
        <f t="shared" si="590"/>
        <v>3.883</v>
      </c>
      <c r="T527" s="61">
        <f>SUM(N527:S527)</f>
        <v>12.882</v>
      </c>
      <c r="U527" s="61">
        <f>T527+L527</f>
        <v>21.817</v>
      </c>
      <c r="V527" s="61">
        <f>V544+V713</f>
        <v>21.965</v>
      </c>
      <c r="W527" s="72">
        <f>V527-U527</f>
        <v>0.14799999999999999</v>
      </c>
      <c r="X527" s="63">
        <f>U522-U527</f>
        <v>0</v>
      </c>
    </row>
    <row r="528" spans="1:28" s="63" customFormat="1" ht="18" customHeight="1">
      <c r="A528" s="614"/>
      <c r="B528" s="581"/>
      <c r="C528" s="581"/>
      <c r="D528" s="201" t="str">
        <f>серпень!D451</f>
        <v>дотація</v>
      </c>
      <c r="E528" s="71"/>
      <c r="F528" s="61">
        <f t="shared" ref="F528:K529" si="591">F545+F714</f>
        <v>0</v>
      </c>
      <c r="G528" s="61">
        <f t="shared" si="591"/>
        <v>0</v>
      </c>
      <c r="H528" s="61">
        <f t="shared" si="591"/>
        <v>0</v>
      </c>
      <c r="I528" s="61">
        <f t="shared" si="591"/>
        <v>0</v>
      </c>
      <c r="J528" s="61">
        <f t="shared" si="591"/>
        <v>0</v>
      </c>
      <c r="K528" s="61">
        <f t="shared" si="591"/>
        <v>0</v>
      </c>
      <c r="L528" s="61">
        <f>SUM(F528:K528)</f>
        <v>0</v>
      </c>
      <c r="M528" s="61">
        <f>L528/6</f>
        <v>0</v>
      </c>
      <c r="N528" s="61">
        <f t="shared" si="590"/>
        <v>0</v>
      </c>
      <c r="O528" s="61">
        <f t="shared" si="590"/>
        <v>0</v>
      </c>
      <c r="P528" s="61">
        <f t="shared" si="590"/>
        <v>0</v>
      </c>
      <c r="Q528" s="61">
        <f t="shared" si="590"/>
        <v>0</v>
      </c>
      <c r="R528" s="61">
        <f t="shared" si="590"/>
        <v>0</v>
      </c>
      <c r="S528" s="61">
        <f t="shared" si="590"/>
        <v>0</v>
      </c>
      <c r="T528" s="61">
        <f>SUM(N528:S528)</f>
        <v>0</v>
      </c>
      <c r="U528" s="61">
        <f>T528+L528</f>
        <v>0</v>
      </c>
      <c r="V528" s="61">
        <f>V545+V714</f>
        <v>0</v>
      </c>
      <c r="W528" s="72">
        <f>V528-U528</f>
        <v>0</v>
      </c>
      <c r="X528" s="63">
        <f>U523-U528</f>
        <v>0</v>
      </c>
    </row>
    <row r="529" spans="1:24" s="63" customFormat="1" ht="18" customHeight="1">
      <c r="A529" s="614"/>
      <c r="B529" s="581"/>
      <c r="C529" s="581"/>
      <c r="D529" s="201" t="str">
        <f>серпень!D452</f>
        <v xml:space="preserve">місцевий </v>
      </c>
      <c r="E529" s="71"/>
      <c r="F529" s="61">
        <f t="shared" si="591"/>
        <v>0</v>
      </c>
      <c r="G529" s="61">
        <f t="shared" si="591"/>
        <v>1.7869999999999999</v>
      </c>
      <c r="H529" s="61">
        <f t="shared" si="591"/>
        <v>1.7869999999999999</v>
      </c>
      <c r="I529" s="61">
        <f t="shared" si="591"/>
        <v>1.7869999999999999</v>
      </c>
      <c r="J529" s="61">
        <f t="shared" si="591"/>
        <v>1.7869999999999999</v>
      </c>
      <c r="K529" s="61">
        <f t="shared" si="591"/>
        <v>1.7869999999999999</v>
      </c>
      <c r="L529" s="61">
        <f>SUM(F529:K529)</f>
        <v>8.9350000000000005</v>
      </c>
      <c r="M529" s="61">
        <f>L529/6</f>
        <v>1.4890000000000001</v>
      </c>
      <c r="N529" s="61">
        <f t="shared" si="590"/>
        <v>1.7869999999999999</v>
      </c>
      <c r="O529" s="61">
        <f t="shared" si="590"/>
        <v>1.786</v>
      </c>
      <c r="P529" s="61">
        <f t="shared" si="590"/>
        <v>1.8029999999999999</v>
      </c>
      <c r="Q529" s="61">
        <f t="shared" si="590"/>
        <v>1.82</v>
      </c>
      <c r="R529" s="61">
        <f t="shared" si="590"/>
        <v>1.8029999999999999</v>
      </c>
      <c r="S529" s="61">
        <f t="shared" si="590"/>
        <v>3.883</v>
      </c>
      <c r="T529" s="61">
        <f>SUM(N529:S529)</f>
        <v>12.882</v>
      </c>
      <c r="U529" s="61">
        <f>T529+L529</f>
        <v>21.817</v>
      </c>
      <c r="V529" s="61">
        <f>V546+V715</f>
        <v>21.965</v>
      </c>
      <c r="W529" s="72">
        <f>V529-U529</f>
        <v>0.14799999999999999</v>
      </c>
      <c r="X529" s="63">
        <f>U524-U529</f>
        <v>0.14799999999999999</v>
      </c>
    </row>
    <row r="530" spans="1:24" s="43" customFormat="1" ht="18" customHeight="1">
      <c r="A530" s="614"/>
      <c r="B530" s="581"/>
      <c r="C530" s="581"/>
      <c r="D530" s="202" t="str">
        <f>серпень!D453</f>
        <v>план</v>
      </c>
      <c r="E530" s="42"/>
      <c r="F530" s="42">
        <f t="shared" ref="F530:K530" si="592">F524</f>
        <v>0</v>
      </c>
      <c r="G530" s="42">
        <f t="shared" si="592"/>
        <v>1.804</v>
      </c>
      <c r="H530" s="42">
        <f t="shared" si="592"/>
        <v>1.8029999999999999</v>
      </c>
      <c r="I530" s="42">
        <f t="shared" si="592"/>
        <v>1.82</v>
      </c>
      <c r="J530" s="42">
        <f t="shared" si="592"/>
        <v>1.8029999999999999</v>
      </c>
      <c r="K530" s="42">
        <f t="shared" si="592"/>
        <v>1.8029999999999999</v>
      </c>
      <c r="L530" s="42">
        <f>SUM(F530:K530)</f>
        <v>9.0329999999999995</v>
      </c>
      <c r="M530" s="42">
        <f>L530/6</f>
        <v>1.506</v>
      </c>
      <c r="N530" s="42">
        <f t="shared" ref="N530:S530" si="593">N524</f>
        <v>1.82</v>
      </c>
      <c r="O530" s="42">
        <f t="shared" si="593"/>
        <v>1.8029999999999999</v>
      </c>
      <c r="P530" s="42">
        <f t="shared" si="593"/>
        <v>1.8029999999999999</v>
      </c>
      <c r="Q530" s="42">
        <f t="shared" si="593"/>
        <v>1.82</v>
      </c>
      <c r="R530" s="42">
        <f t="shared" si="593"/>
        <v>1.8029999999999999</v>
      </c>
      <c r="S530" s="42">
        <f t="shared" si="593"/>
        <v>3.883</v>
      </c>
      <c r="T530" s="42">
        <f>SUM(N530:S530)</f>
        <v>12.932</v>
      </c>
      <c r="U530" s="42">
        <f>T530+L530</f>
        <v>21.965</v>
      </c>
      <c r="V530" s="42">
        <f>V524</f>
        <v>21.965</v>
      </c>
      <c r="W530" s="42">
        <f>V530-U530</f>
        <v>0</v>
      </c>
    </row>
    <row r="531" spans="1:24" s="43" customFormat="1" ht="18" customHeight="1">
      <c r="A531" s="614"/>
      <c r="B531" s="581"/>
      <c r="C531" s="581"/>
      <c r="D531" s="202" t="str">
        <f>серпень!D454</f>
        <v xml:space="preserve">відхилення </v>
      </c>
      <c r="E531" s="42"/>
      <c r="F531" s="42">
        <f t="shared" ref="F531:K531" si="594">F527-F530</f>
        <v>0</v>
      </c>
      <c r="G531" s="42">
        <f t="shared" si="594"/>
        <v>-1.7000000000000001E-2</v>
      </c>
      <c r="H531" s="42">
        <f t="shared" si="594"/>
        <v>-1.6E-2</v>
      </c>
      <c r="I531" s="42">
        <f t="shared" si="594"/>
        <v>-3.3000000000000002E-2</v>
      </c>
      <c r="J531" s="42">
        <f t="shared" si="594"/>
        <v>-1.6E-2</v>
      </c>
      <c r="K531" s="42">
        <f t="shared" si="594"/>
        <v>-1.6E-2</v>
      </c>
      <c r="L531" s="42"/>
      <c r="M531" s="42"/>
      <c r="N531" s="42">
        <f t="shared" ref="N531:S531" si="595">N527-N530</f>
        <v>-3.3000000000000002E-2</v>
      </c>
      <c r="O531" s="42">
        <f t="shared" si="595"/>
        <v>-1.7000000000000001E-2</v>
      </c>
      <c r="P531" s="42">
        <f t="shared" si="595"/>
        <v>0</v>
      </c>
      <c r="Q531" s="42">
        <f t="shared" si="595"/>
        <v>0</v>
      </c>
      <c r="R531" s="42">
        <f t="shared" si="595"/>
        <v>0</v>
      </c>
      <c r="S531" s="42">
        <f t="shared" si="595"/>
        <v>0</v>
      </c>
      <c r="T531" s="42"/>
      <c r="U531" s="42"/>
      <c r="V531" s="42"/>
      <c r="W531" s="42"/>
    </row>
    <row r="532" spans="1:24" s="43" customFormat="1" ht="18" customHeight="1">
      <c r="A532" s="614"/>
      <c r="B532" s="581"/>
      <c r="C532" s="581"/>
      <c r="D532" s="202" t="str">
        <f>серпень!D455</f>
        <v>відхилення з наростаючим</v>
      </c>
      <c r="E532" s="42"/>
      <c r="F532" s="42">
        <f>F531</f>
        <v>0</v>
      </c>
      <c r="G532" s="42">
        <f>G531+F532</f>
        <v>-1.7000000000000001E-2</v>
      </c>
      <c r="H532" s="42">
        <f>H531+G532</f>
        <v>-3.3000000000000002E-2</v>
      </c>
      <c r="I532" s="42">
        <f>I531+H532</f>
        <v>-6.6000000000000003E-2</v>
      </c>
      <c r="J532" s="42">
        <f>J531+I532</f>
        <v>-8.2000000000000003E-2</v>
      </c>
      <c r="K532" s="42">
        <f>K531+J532</f>
        <v>-9.8000000000000004E-2</v>
      </c>
      <c r="L532" s="42"/>
      <c r="M532" s="42"/>
      <c r="N532" s="42">
        <f>N531+K532</f>
        <v>-0.13100000000000001</v>
      </c>
      <c r="O532" s="42">
        <f>O531+N532</f>
        <v>-0.14799999999999999</v>
      </c>
      <c r="P532" s="42">
        <f>P531+O532</f>
        <v>-0.14799999999999999</v>
      </c>
      <c r="Q532" s="42">
        <f>Q531+P532</f>
        <v>-0.14799999999999999</v>
      </c>
      <c r="R532" s="42">
        <f>R531+Q532</f>
        <v>-0.14799999999999999</v>
      </c>
      <c r="S532" s="42">
        <f>S531+R532</f>
        <v>-0.14799999999999999</v>
      </c>
      <c r="T532" s="42"/>
      <c r="U532" s="42"/>
      <c r="V532" s="42"/>
      <c r="W532" s="42"/>
    </row>
    <row r="533" spans="1:24" s="47" customFormat="1" ht="18" customHeight="1">
      <c r="A533" s="614"/>
      <c r="B533" s="576" t="s">
        <v>90</v>
      </c>
      <c r="C533" s="577"/>
      <c r="D533" s="178" t="str">
        <f>серпень!D456</f>
        <v>факт. нат.п-ки 2023</v>
      </c>
      <c r="E533" s="11"/>
      <c r="F533" s="12">
        <f t="shared" ref="F533:K535" si="596">F550+F627</f>
        <v>10.6</v>
      </c>
      <c r="G533" s="12">
        <f t="shared" si="596"/>
        <v>10.6</v>
      </c>
      <c r="H533" s="12">
        <f t="shared" si="596"/>
        <v>10.7</v>
      </c>
      <c r="I533" s="12">
        <f t="shared" si="596"/>
        <v>10.6</v>
      </c>
      <c r="J533" s="12">
        <f t="shared" si="596"/>
        <v>8.8000000000000007</v>
      </c>
      <c r="K533" s="12">
        <f t="shared" si="596"/>
        <v>10.6</v>
      </c>
      <c r="L533" s="117">
        <f>SUM(F533:K533)</f>
        <v>61.9</v>
      </c>
      <c r="M533" s="117">
        <f>L533/6</f>
        <v>10.3</v>
      </c>
      <c r="N533" s="12">
        <f t="shared" ref="N533:S535" si="597">N550+N627</f>
        <v>10.6</v>
      </c>
      <c r="O533" s="12">
        <f t="shared" si="597"/>
        <v>10.6</v>
      </c>
      <c r="P533" s="12">
        <f t="shared" si="597"/>
        <v>10.6</v>
      </c>
      <c r="Q533" s="12">
        <f t="shared" si="597"/>
        <v>10.6</v>
      </c>
      <c r="R533" s="12">
        <f t="shared" si="597"/>
        <v>10.7</v>
      </c>
      <c r="S533" s="12">
        <f t="shared" si="597"/>
        <v>12.4</v>
      </c>
      <c r="T533" s="117">
        <f>SUM(N533:S533)</f>
        <v>65.5</v>
      </c>
      <c r="U533" s="117">
        <f>T533+L533</f>
        <v>127.4</v>
      </c>
      <c r="V533" s="76">
        <f>V550+V627</f>
        <v>0</v>
      </c>
      <c r="W533" s="38"/>
    </row>
    <row r="534" spans="1:24" s="47" customFormat="1" ht="18" customHeight="1">
      <c r="A534" s="614"/>
      <c r="B534" s="576"/>
      <c r="C534" s="577"/>
      <c r="D534" s="178" t="str">
        <f>серпень!D457</f>
        <v>факт. нат.п-ки 2024</v>
      </c>
      <c r="E534" s="11"/>
      <c r="F534" s="12">
        <f t="shared" si="596"/>
        <v>10.6</v>
      </c>
      <c r="G534" s="12">
        <f t="shared" si="596"/>
        <v>10.6</v>
      </c>
      <c r="H534" s="12">
        <f t="shared" si="596"/>
        <v>10.7</v>
      </c>
      <c r="I534" s="12">
        <f t="shared" si="596"/>
        <v>10.6</v>
      </c>
      <c r="J534" s="12">
        <f t="shared" si="596"/>
        <v>10.6</v>
      </c>
      <c r="K534" s="12">
        <f t="shared" si="596"/>
        <v>10.6</v>
      </c>
      <c r="L534" s="117">
        <f>SUM(F534:K534)</f>
        <v>63.7</v>
      </c>
      <c r="M534" s="117">
        <f>L534/6</f>
        <v>10.6</v>
      </c>
      <c r="N534" s="12">
        <f t="shared" si="597"/>
        <v>10.6</v>
      </c>
      <c r="O534" s="12">
        <f t="shared" si="597"/>
        <v>10.6</v>
      </c>
      <c r="P534" s="12">
        <f t="shared" si="597"/>
        <v>10.7</v>
      </c>
      <c r="Q534" s="12">
        <f t="shared" si="597"/>
        <v>10.6</v>
      </c>
      <c r="R534" s="12">
        <f t="shared" si="597"/>
        <v>10.6</v>
      </c>
      <c r="S534" s="12">
        <f t="shared" si="597"/>
        <v>12.4</v>
      </c>
      <c r="T534" s="117">
        <f>SUM(N534:S534)</f>
        <v>65.5</v>
      </c>
      <c r="U534" s="117">
        <f>T534+L534</f>
        <v>129.19999999999999</v>
      </c>
      <c r="V534" s="76">
        <f>V551+V628</f>
        <v>0</v>
      </c>
      <c r="W534" s="38"/>
    </row>
    <row r="535" spans="1:24" s="47" customFormat="1" ht="18" customHeight="1">
      <c r="A535" s="614"/>
      <c r="B535" s="576"/>
      <c r="C535" s="577"/>
      <c r="D535" s="178" t="str">
        <f>серпень!D458</f>
        <v>факт. нат.п-ки 2025</v>
      </c>
      <c r="E535" s="11"/>
      <c r="F535" s="82">
        <f t="shared" si="596"/>
        <v>10.63</v>
      </c>
      <c r="G535" s="82">
        <f t="shared" si="596"/>
        <v>10.63</v>
      </c>
      <c r="H535" s="82">
        <f t="shared" si="596"/>
        <v>10.63</v>
      </c>
      <c r="I535" s="82">
        <f t="shared" si="596"/>
        <v>10.63</v>
      </c>
      <c r="J535" s="82">
        <f t="shared" si="596"/>
        <v>10.63</v>
      </c>
      <c r="K535" s="82">
        <f t="shared" si="596"/>
        <v>10.63</v>
      </c>
      <c r="L535" s="467">
        <f>SUM(F535:K535)</f>
        <v>63.78</v>
      </c>
      <c r="M535" s="467">
        <f>L535/6</f>
        <v>10.63</v>
      </c>
      <c r="N535" s="82">
        <f t="shared" si="597"/>
        <v>10.502000000000001</v>
      </c>
      <c r="O535" s="82">
        <f t="shared" si="597"/>
        <v>10.6</v>
      </c>
      <c r="P535" s="82">
        <f t="shared" si="597"/>
        <v>10.7</v>
      </c>
      <c r="Q535" s="82">
        <f t="shared" si="597"/>
        <v>10.6</v>
      </c>
      <c r="R535" s="82">
        <f t="shared" si="597"/>
        <v>10.6</v>
      </c>
      <c r="S535" s="82">
        <f t="shared" si="597"/>
        <v>12.3</v>
      </c>
      <c r="T535" s="467">
        <f>SUM(N535:S535)</f>
        <v>65.302000000000007</v>
      </c>
      <c r="U535" s="467">
        <f>T535+L535</f>
        <v>129.08199999999999</v>
      </c>
      <c r="V535" s="404">
        <f>V552+V629</f>
        <v>129.19999999999999</v>
      </c>
      <c r="W535" s="38">
        <f>V535-U535</f>
        <v>0.1</v>
      </c>
    </row>
    <row r="536" spans="1:24" s="47" customFormat="1" ht="18" customHeight="1">
      <c r="A536" s="614"/>
      <c r="B536" s="576"/>
      <c r="C536" s="577"/>
      <c r="D536" s="187" t="str">
        <f>серпень!D459</f>
        <v>тариф, грн.</v>
      </c>
      <c r="E536" s="49"/>
      <c r="F536" s="49">
        <f t="shared" ref="F536:S536" si="598">F537/F535*1000</f>
        <v>167.92099999999999</v>
      </c>
      <c r="G536" s="49">
        <f t="shared" si="598"/>
        <v>167.92099999999999</v>
      </c>
      <c r="H536" s="49">
        <f t="shared" si="598"/>
        <v>167.92099999999999</v>
      </c>
      <c r="I536" s="49">
        <f t="shared" si="598"/>
        <v>167.92099999999999</v>
      </c>
      <c r="J536" s="49">
        <f t="shared" si="598"/>
        <v>167.92099999999999</v>
      </c>
      <c r="K536" s="49">
        <f t="shared" si="598"/>
        <v>167.92099999999999</v>
      </c>
      <c r="L536" s="49">
        <f t="shared" si="598"/>
        <v>167.92099999999999</v>
      </c>
      <c r="M536" s="49">
        <f t="shared" si="598"/>
        <v>167.92099999999999</v>
      </c>
      <c r="N536" s="49">
        <f t="shared" si="598"/>
        <v>169.87200000000001</v>
      </c>
      <c r="O536" s="49">
        <f t="shared" si="598"/>
        <v>169.90600000000001</v>
      </c>
      <c r="P536" s="49">
        <f t="shared" si="598"/>
        <v>169.90700000000001</v>
      </c>
      <c r="Q536" s="49">
        <f t="shared" si="598"/>
        <v>169.90600000000001</v>
      </c>
      <c r="R536" s="49">
        <f t="shared" si="598"/>
        <v>169.90600000000001</v>
      </c>
      <c r="S536" s="49">
        <f t="shared" si="598"/>
        <v>168.94300000000001</v>
      </c>
      <c r="T536" s="49">
        <f>T537/T535*1000</f>
        <v>169.71899999999999</v>
      </c>
      <c r="U536" s="49">
        <f>U537/U535*1000</f>
        <v>168.83099999999999</v>
      </c>
      <c r="V536" s="49">
        <f>V537/V535*1000</f>
        <v>169.81399999999999</v>
      </c>
      <c r="W536" s="49">
        <f>W537/W535*1000</f>
        <v>1470</v>
      </c>
    </row>
    <row r="537" spans="1:24" s="130" customFormat="1" ht="18" customHeight="1">
      <c r="A537" s="614"/>
      <c r="B537" s="576"/>
      <c r="C537" s="577"/>
      <c r="D537" s="191" t="str">
        <f>серпень!D460</f>
        <v>сума, тис.грн.</v>
      </c>
      <c r="E537" s="52"/>
      <c r="F537" s="52">
        <f>F554+F631</f>
        <v>1.7849999999999999</v>
      </c>
      <c r="G537" s="52">
        <f t="shared" ref="G537:K537" si="599">G554+G631</f>
        <v>1.7849999999999999</v>
      </c>
      <c r="H537" s="52">
        <f t="shared" si="599"/>
        <v>1.7849999999999999</v>
      </c>
      <c r="I537" s="52">
        <f t="shared" si="599"/>
        <v>1.7849999999999999</v>
      </c>
      <c r="J537" s="52">
        <f t="shared" si="599"/>
        <v>1.7849999999999999</v>
      </c>
      <c r="K537" s="52">
        <f t="shared" si="599"/>
        <v>1.7849999999999999</v>
      </c>
      <c r="L537" s="69">
        <f>SUM(F537:K537)</f>
        <v>10.71</v>
      </c>
      <c r="M537" s="69">
        <f>L537/6</f>
        <v>1.7849999999999999</v>
      </c>
      <c r="N537" s="52">
        <f t="shared" ref="N537:S537" si="600">N554+N631</f>
        <v>1.784</v>
      </c>
      <c r="O537" s="52">
        <f t="shared" si="600"/>
        <v>1.8009999999999999</v>
      </c>
      <c r="P537" s="52">
        <f t="shared" si="600"/>
        <v>1.8180000000000001</v>
      </c>
      <c r="Q537" s="52">
        <f t="shared" si="600"/>
        <v>1.8009999999999999</v>
      </c>
      <c r="R537" s="52">
        <f t="shared" si="600"/>
        <v>1.8009999999999999</v>
      </c>
      <c r="S537" s="52">
        <f t="shared" si="600"/>
        <v>2.0779999999999998</v>
      </c>
      <c r="T537" s="69">
        <f>SUM(N537:S537)</f>
        <v>11.083</v>
      </c>
      <c r="U537" s="69">
        <f>T537+L537</f>
        <v>21.792999999999999</v>
      </c>
      <c r="V537" s="69">
        <f t="shared" ref="V537" si="601">V554+V631</f>
        <v>21.94</v>
      </c>
      <c r="W537" s="52">
        <f>V537-U537</f>
        <v>0.14699999999999999</v>
      </c>
    </row>
    <row r="538" spans="1:24" s="130" customFormat="1" ht="18" customHeight="1">
      <c r="A538" s="614"/>
      <c r="B538" s="576"/>
      <c r="C538" s="577"/>
      <c r="D538" s="174" t="str">
        <f>серпень!D461</f>
        <v>абоненська плата, тис.грн.</v>
      </c>
      <c r="E538" s="52"/>
      <c r="F538" s="52">
        <f>F555</f>
        <v>2E-3</v>
      </c>
      <c r="G538" s="52">
        <f t="shared" ref="G538:K538" si="602">G555</f>
        <v>2E-3</v>
      </c>
      <c r="H538" s="52">
        <f t="shared" si="602"/>
        <v>2E-3</v>
      </c>
      <c r="I538" s="52">
        <f t="shared" si="602"/>
        <v>2E-3</v>
      </c>
      <c r="J538" s="52">
        <f t="shared" si="602"/>
        <v>2E-3</v>
      </c>
      <c r="K538" s="52">
        <f t="shared" si="602"/>
        <v>2E-3</v>
      </c>
      <c r="L538" s="69">
        <f t="shared" ref="L538:L539" si="603">SUM(F538:K538)</f>
        <v>1.2E-2</v>
      </c>
      <c r="M538" s="69">
        <f t="shared" ref="M538:M539" si="604">L538/6</f>
        <v>2E-3</v>
      </c>
      <c r="N538" s="52">
        <f>N555</f>
        <v>2E-3</v>
      </c>
      <c r="O538" s="52">
        <f t="shared" ref="O538:S538" si="605">O555</f>
        <v>2E-3</v>
      </c>
      <c r="P538" s="52">
        <f t="shared" si="605"/>
        <v>2E-3</v>
      </c>
      <c r="Q538" s="52">
        <f t="shared" si="605"/>
        <v>2E-3</v>
      </c>
      <c r="R538" s="52">
        <f t="shared" si="605"/>
        <v>2E-3</v>
      </c>
      <c r="S538" s="52">
        <f t="shared" si="605"/>
        <v>2E-3</v>
      </c>
      <c r="T538" s="69">
        <f t="shared" ref="T538:T539" si="606">SUM(N538:S538)</f>
        <v>1.2E-2</v>
      </c>
      <c r="U538" s="69">
        <f t="shared" ref="U538:U539" si="607">T538+L538</f>
        <v>2.4E-2</v>
      </c>
      <c r="V538" s="69">
        <f t="shared" ref="V538" si="608">V555</f>
        <v>2.5000000000000001E-2</v>
      </c>
      <c r="W538" s="52">
        <f t="shared" ref="W538:W539" si="609">V538-U538</f>
        <v>1E-3</v>
      </c>
    </row>
    <row r="539" spans="1:24" s="130" customFormat="1" ht="18" customHeight="1">
      <c r="A539" s="614"/>
      <c r="B539" s="576"/>
      <c r="C539" s="577"/>
      <c r="D539" s="174" t="str">
        <f>серпень!D462</f>
        <v>разом сума тис. грн+абонплата</v>
      </c>
      <c r="E539" s="52"/>
      <c r="F539" s="52">
        <f>F537+F538</f>
        <v>1.7869999999999999</v>
      </c>
      <c r="G539" s="52">
        <f t="shared" ref="G539:K539" si="610">G537+G538</f>
        <v>1.7869999999999999</v>
      </c>
      <c r="H539" s="52">
        <f t="shared" si="610"/>
        <v>1.7869999999999999</v>
      </c>
      <c r="I539" s="52">
        <f t="shared" si="610"/>
        <v>1.7869999999999999</v>
      </c>
      <c r="J539" s="52">
        <f t="shared" si="610"/>
        <v>1.7869999999999999</v>
      </c>
      <c r="K539" s="52">
        <f t="shared" si="610"/>
        <v>1.7869999999999999</v>
      </c>
      <c r="L539" s="69">
        <f t="shared" si="603"/>
        <v>10.722</v>
      </c>
      <c r="M539" s="69">
        <f t="shared" si="604"/>
        <v>1.7869999999999999</v>
      </c>
      <c r="N539" s="52">
        <f>N537+N538</f>
        <v>1.786</v>
      </c>
      <c r="O539" s="52">
        <f t="shared" ref="O539" si="611">O537+O538</f>
        <v>1.8029999999999999</v>
      </c>
      <c r="P539" s="52">
        <f t="shared" ref="P539" si="612">P537+P538</f>
        <v>1.82</v>
      </c>
      <c r="Q539" s="52">
        <f t="shared" ref="Q539" si="613">Q537+Q538</f>
        <v>1.8029999999999999</v>
      </c>
      <c r="R539" s="52">
        <f t="shared" ref="R539" si="614">R537+R538</f>
        <v>1.8029999999999999</v>
      </c>
      <c r="S539" s="52">
        <f t="shared" ref="S539" si="615">S537+S538</f>
        <v>2.08</v>
      </c>
      <c r="T539" s="69">
        <f t="shared" si="606"/>
        <v>11.095000000000001</v>
      </c>
      <c r="U539" s="69">
        <f t="shared" si="607"/>
        <v>21.817</v>
      </c>
      <c r="V539" s="69">
        <f t="shared" ref="V539" si="616">V537+V538</f>
        <v>21.965</v>
      </c>
      <c r="W539" s="52">
        <f t="shared" si="609"/>
        <v>0.14799999999999999</v>
      </c>
    </row>
    <row r="540" spans="1:24" s="130" customFormat="1" ht="18" customHeight="1">
      <c r="A540" s="614"/>
      <c r="B540" s="576"/>
      <c r="C540" s="577"/>
      <c r="D540" s="174" t="str">
        <f>серпень!D463</f>
        <v>дотація</v>
      </c>
      <c r="E540" s="56"/>
      <c r="F540" s="52">
        <f t="shared" ref="F540:K540" si="617">F557+F634</f>
        <v>0</v>
      </c>
      <c r="G540" s="52">
        <f t="shared" si="617"/>
        <v>0</v>
      </c>
      <c r="H540" s="52">
        <f t="shared" si="617"/>
        <v>0</v>
      </c>
      <c r="I540" s="52">
        <f t="shared" si="617"/>
        <v>0</v>
      </c>
      <c r="J540" s="52">
        <f t="shared" si="617"/>
        <v>0</v>
      </c>
      <c r="K540" s="52">
        <f t="shared" si="617"/>
        <v>0</v>
      </c>
      <c r="L540" s="69">
        <f>SUM(F540:K540)</f>
        <v>0</v>
      </c>
      <c r="M540" s="69">
        <f>L540/6</f>
        <v>0</v>
      </c>
      <c r="N540" s="52">
        <f t="shared" ref="N540:S540" si="618">N557+N634</f>
        <v>0</v>
      </c>
      <c r="O540" s="52">
        <f t="shared" si="618"/>
        <v>0</v>
      </c>
      <c r="P540" s="52">
        <f t="shared" si="618"/>
        <v>0</v>
      </c>
      <c r="Q540" s="52">
        <f t="shared" si="618"/>
        <v>0</v>
      </c>
      <c r="R540" s="52">
        <f t="shared" si="618"/>
        <v>0</v>
      </c>
      <c r="S540" s="52">
        <f t="shared" si="618"/>
        <v>0</v>
      </c>
      <c r="T540" s="69">
        <f>SUM(N540:S540)</f>
        <v>0</v>
      </c>
      <c r="U540" s="69">
        <f>T540+L540</f>
        <v>0</v>
      </c>
      <c r="V540" s="69">
        <f t="shared" ref="V540" si="619">V557+V634</f>
        <v>0</v>
      </c>
      <c r="W540" s="52">
        <f>V540-U540</f>
        <v>0</v>
      </c>
      <c r="X540" s="134"/>
    </row>
    <row r="541" spans="1:24" s="130" customFormat="1" ht="18" customHeight="1">
      <c r="A541" s="614"/>
      <c r="B541" s="576"/>
      <c r="C541" s="577"/>
      <c r="D541" s="174" t="str">
        <f>серпень!D464</f>
        <v>місцевий (план), тис.грн</v>
      </c>
      <c r="E541" s="56"/>
      <c r="F541" s="52">
        <f t="shared" ref="F541:K542" si="620">F558+F635</f>
        <v>0</v>
      </c>
      <c r="G541" s="52">
        <f t="shared" si="620"/>
        <v>1.804</v>
      </c>
      <c r="H541" s="52">
        <f t="shared" si="620"/>
        <v>1.8029999999999999</v>
      </c>
      <c r="I541" s="52">
        <f t="shared" si="620"/>
        <v>1.82</v>
      </c>
      <c r="J541" s="52">
        <f t="shared" si="620"/>
        <v>1.8029999999999999</v>
      </c>
      <c r="K541" s="52">
        <f t="shared" si="620"/>
        <v>1.8029999999999999</v>
      </c>
      <c r="L541" s="69">
        <f>SUM(F541:K541)</f>
        <v>9.0329999999999995</v>
      </c>
      <c r="M541" s="69">
        <f>L541/6</f>
        <v>1.506</v>
      </c>
      <c r="N541" s="52">
        <f t="shared" ref="N541:S541" si="621">N558+N635</f>
        <v>1.82</v>
      </c>
      <c r="O541" s="52">
        <f t="shared" si="621"/>
        <v>1.8029999999999999</v>
      </c>
      <c r="P541" s="52">
        <f t="shared" si="621"/>
        <v>1.8029999999999999</v>
      </c>
      <c r="Q541" s="52">
        <f t="shared" si="621"/>
        <v>1.82</v>
      </c>
      <c r="R541" s="52">
        <f t="shared" si="621"/>
        <v>1.8029999999999999</v>
      </c>
      <c r="S541" s="52">
        <f t="shared" si="621"/>
        <v>3.883</v>
      </c>
      <c r="T541" s="69">
        <f>SUM(N541:S541)</f>
        <v>12.932</v>
      </c>
      <c r="U541" s="69">
        <f>T541+L541</f>
        <v>21.965</v>
      </c>
      <c r="V541" s="69">
        <f t="shared" ref="V541" si="622">V558+V635</f>
        <v>21.965</v>
      </c>
      <c r="W541" s="52">
        <f>V541-U541</f>
        <v>0</v>
      </c>
    </row>
    <row r="542" spans="1:24" s="47" customFormat="1" ht="18" customHeight="1">
      <c r="A542" s="614"/>
      <c r="B542" s="576"/>
      <c r="C542" s="577"/>
      <c r="D542" s="178" t="str">
        <f>серпень!D465</f>
        <v>касові нат.п-ки 2025</v>
      </c>
      <c r="E542" s="12">
        <f t="shared" ref="E542" si="623">E559+E636</f>
        <v>0</v>
      </c>
      <c r="F542" s="82">
        <f t="shared" si="620"/>
        <v>0</v>
      </c>
      <c r="G542" s="82">
        <f t="shared" si="620"/>
        <v>10.63</v>
      </c>
      <c r="H542" s="82">
        <f t="shared" si="620"/>
        <v>10.63</v>
      </c>
      <c r="I542" s="82">
        <f t="shared" si="620"/>
        <v>10.63</v>
      </c>
      <c r="J542" s="82">
        <f t="shared" si="620"/>
        <v>10.63</v>
      </c>
      <c r="K542" s="82">
        <f t="shared" si="620"/>
        <v>10.63</v>
      </c>
      <c r="L542" s="467">
        <f>SUM(F542:K542)</f>
        <v>53.15</v>
      </c>
      <c r="M542" s="467">
        <f>L542/6</f>
        <v>8.8580000000000005</v>
      </c>
      <c r="N542" s="82">
        <f t="shared" ref="N542:S542" si="624">N559+N636</f>
        <v>10.63</v>
      </c>
      <c r="O542" s="82">
        <f t="shared" ref="O542:R542" si="625">O559+O636</f>
        <v>10.502000000000001</v>
      </c>
      <c r="P542" s="82">
        <f t="shared" si="625"/>
        <v>10.6</v>
      </c>
      <c r="Q542" s="82">
        <f t="shared" si="625"/>
        <v>10.7</v>
      </c>
      <c r="R542" s="82">
        <f t="shared" si="625"/>
        <v>10.6</v>
      </c>
      <c r="S542" s="82">
        <f t="shared" si="624"/>
        <v>22.9</v>
      </c>
      <c r="T542" s="467">
        <f>SUM(N542:S542)</f>
        <v>75.932000000000002</v>
      </c>
      <c r="U542" s="467">
        <f>T542+L542</f>
        <v>129.08199999999999</v>
      </c>
      <c r="V542" s="76">
        <f>V559+V636</f>
        <v>129.19999999999999</v>
      </c>
      <c r="W542" s="38">
        <f>V542-U542</f>
        <v>0.1</v>
      </c>
      <c r="X542" s="47">
        <f>U535-U542</f>
        <v>0</v>
      </c>
    </row>
    <row r="543" spans="1:24" s="47" customFormat="1" ht="18" customHeight="1">
      <c r="A543" s="614"/>
      <c r="B543" s="576"/>
      <c r="C543" s="577"/>
      <c r="D543" s="187" t="str">
        <f>серпень!D466</f>
        <v>тариф, грн.</v>
      </c>
      <c r="E543" s="49" t="e">
        <f>E544/E542*1000</f>
        <v>#DIV/0!</v>
      </c>
      <c r="F543" s="49" t="e">
        <f t="shared" ref="F543:S543" si="626">F544/F542*1000</f>
        <v>#DIV/0!</v>
      </c>
      <c r="G543" s="49">
        <f t="shared" si="626"/>
        <v>168.10900000000001</v>
      </c>
      <c r="H543" s="49">
        <f t="shared" si="626"/>
        <v>168.10900000000001</v>
      </c>
      <c r="I543" s="49">
        <f t="shared" si="626"/>
        <v>168.10900000000001</v>
      </c>
      <c r="J543" s="49">
        <f t="shared" si="626"/>
        <v>168.10900000000001</v>
      </c>
      <c r="K543" s="49">
        <f t="shared" si="626"/>
        <v>168.10900000000001</v>
      </c>
      <c r="L543" s="49">
        <f t="shared" si="626"/>
        <v>168.10900000000001</v>
      </c>
      <c r="M543" s="49">
        <f t="shared" si="626"/>
        <v>168.09700000000001</v>
      </c>
      <c r="N543" s="49">
        <f t="shared" si="626"/>
        <v>168.10900000000001</v>
      </c>
      <c r="O543" s="49">
        <f t="shared" si="626"/>
        <v>170.06299999999999</v>
      </c>
      <c r="P543" s="49">
        <f t="shared" si="626"/>
        <v>170.09399999999999</v>
      </c>
      <c r="Q543" s="49">
        <f t="shared" si="626"/>
        <v>170.09299999999999</v>
      </c>
      <c r="R543" s="49">
        <f t="shared" si="626"/>
        <v>170.09399999999999</v>
      </c>
      <c r="S543" s="49">
        <f t="shared" si="626"/>
        <v>169.56299999999999</v>
      </c>
      <c r="T543" s="49">
        <f>T544/T542*1000</f>
        <v>169.65199999999999</v>
      </c>
      <c r="U543" s="49">
        <f>U544/U542*1000</f>
        <v>169.017</v>
      </c>
      <c r="V543" s="49">
        <f>V544/V542*1000</f>
        <v>170.00800000000001</v>
      </c>
      <c r="W543" s="49">
        <f>W544/W542*1000</f>
        <v>1480</v>
      </c>
      <c r="X543" s="59"/>
    </row>
    <row r="544" spans="1:24" s="63" customFormat="1" ht="18" customHeight="1">
      <c r="A544" s="614"/>
      <c r="B544" s="576"/>
      <c r="C544" s="577"/>
      <c r="D544" s="198" t="str">
        <f>серпень!D467</f>
        <v>касові видатки, тис.грн.</v>
      </c>
      <c r="E544" s="72">
        <f>E561+E638</f>
        <v>0</v>
      </c>
      <c r="F544" s="61">
        <f>F561+F638</f>
        <v>0</v>
      </c>
      <c r="G544" s="61">
        <f>G561+G638</f>
        <v>1.7869999999999999</v>
      </c>
      <c r="H544" s="61">
        <f t="shared" ref="H544:K544" si="627">H561+H638</f>
        <v>1.7869999999999999</v>
      </c>
      <c r="I544" s="61">
        <f t="shared" si="627"/>
        <v>1.7869999999999999</v>
      </c>
      <c r="J544" s="61">
        <f t="shared" si="627"/>
        <v>1.7869999999999999</v>
      </c>
      <c r="K544" s="61">
        <f t="shared" si="627"/>
        <v>1.7869999999999999</v>
      </c>
      <c r="L544" s="61">
        <f>SUM(F544:K544)</f>
        <v>8.9350000000000005</v>
      </c>
      <c r="M544" s="61">
        <f>L544/6</f>
        <v>1.4890000000000001</v>
      </c>
      <c r="N544" s="61">
        <f>N561+N638</f>
        <v>1.7869999999999999</v>
      </c>
      <c r="O544" s="61">
        <f t="shared" ref="O544:S544" si="628">O561+O638</f>
        <v>1.786</v>
      </c>
      <c r="P544" s="61">
        <f t="shared" si="628"/>
        <v>1.8029999999999999</v>
      </c>
      <c r="Q544" s="61">
        <f t="shared" si="628"/>
        <v>1.82</v>
      </c>
      <c r="R544" s="61">
        <f t="shared" si="628"/>
        <v>1.8029999999999999</v>
      </c>
      <c r="S544" s="61">
        <f t="shared" si="628"/>
        <v>3.883</v>
      </c>
      <c r="T544" s="61">
        <f>SUM(N544:S544)</f>
        <v>12.882</v>
      </c>
      <c r="U544" s="61">
        <f>T544+L544</f>
        <v>21.817</v>
      </c>
      <c r="V544" s="61">
        <f>V561+V638</f>
        <v>21.965</v>
      </c>
      <c r="W544" s="72">
        <f>V544-U544</f>
        <v>0.14799999999999999</v>
      </c>
      <c r="X544" s="63">
        <f>U537-U544</f>
        <v>-2.4E-2</v>
      </c>
    </row>
    <row r="545" spans="1:28" s="63" customFormat="1" ht="18" customHeight="1">
      <c r="A545" s="614"/>
      <c r="B545" s="576"/>
      <c r="C545" s="577"/>
      <c r="D545" s="201" t="str">
        <f>серпень!D468</f>
        <v>дотація</v>
      </c>
      <c r="E545" s="71"/>
      <c r="F545" s="61">
        <f t="shared" ref="F545:K545" si="629">F562+F639</f>
        <v>0</v>
      </c>
      <c r="G545" s="61">
        <f t="shared" si="629"/>
        <v>0</v>
      </c>
      <c r="H545" s="61">
        <f t="shared" si="629"/>
        <v>0</v>
      </c>
      <c r="I545" s="61">
        <f t="shared" si="629"/>
        <v>0</v>
      </c>
      <c r="J545" s="61">
        <f t="shared" si="629"/>
        <v>0</v>
      </c>
      <c r="K545" s="61">
        <f t="shared" si="629"/>
        <v>0</v>
      </c>
      <c r="L545" s="61">
        <f>SUM(F545:K545)</f>
        <v>0</v>
      </c>
      <c r="M545" s="61">
        <f>L545/6</f>
        <v>0</v>
      </c>
      <c r="N545" s="61">
        <f t="shared" ref="N545:S545" si="630">N562+N639</f>
        <v>0</v>
      </c>
      <c r="O545" s="61">
        <f t="shared" si="630"/>
        <v>0</v>
      </c>
      <c r="P545" s="61">
        <f t="shared" si="630"/>
        <v>0</v>
      </c>
      <c r="Q545" s="61">
        <f t="shared" si="630"/>
        <v>0</v>
      </c>
      <c r="R545" s="61">
        <f t="shared" si="630"/>
        <v>0</v>
      </c>
      <c r="S545" s="61">
        <f t="shared" si="630"/>
        <v>0</v>
      </c>
      <c r="T545" s="61">
        <f>SUM(N545:S545)</f>
        <v>0</v>
      </c>
      <c r="U545" s="61">
        <f>T545+L545</f>
        <v>0</v>
      </c>
      <c r="V545" s="61">
        <f t="shared" ref="V545" si="631">V562+V639</f>
        <v>0</v>
      </c>
      <c r="W545" s="72">
        <f>V545-U545</f>
        <v>0</v>
      </c>
      <c r="X545" s="63">
        <f>U540-U545</f>
        <v>0</v>
      </c>
    </row>
    <row r="546" spans="1:28" s="63" customFormat="1" ht="18" customHeight="1">
      <c r="A546" s="614"/>
      <c r="B546" s="576"/>
      <c r="C546" s="577"/>
      <c r="D546" s="201" t="str">
        <f>серпень!D469</f>
        <v xml:space="preserve">місцевий </v>
      </c>
      <c r="E546" s="71"/>
      <c r="F546" s="61">
        <f t="shared" ref="F546:K546" si="632">F563+F640</f>
        <v>0</v>
      </c>
      <c r="G546" s="61">
        <f t="shared" si="632"/>
        <v>1.7869999999999999</v>
      </c>
      <c r="H546" s="61">
        <f t="shared" si="632"/>
        <v>1.7869999999999999</v>
      </c>
      <c r="I546" s="61">
        <f t="shared" si="632"/>
        <v>1.7869999999999999</v>
      </c>
      <c r="J546" s="61">
        <f t="shared" si="632"/>
        <v>1.7869999999999999</v>
      </c>
      <c r="K546" s="61">
        <f t="shared" si="632"/>
        <v>1.7869999999999999</v>
      </c>
      <c r="L546" s="61">
        <f>SUM(F546:K546)</f>
        <v>8.9350000000000005</v>
      </c>
      <c r="M546" s="61">
        <f>L546/6</f>
        <v>1.4890000000000001</v>
      </c>
      <c r="N546" s="61">
        <f t="shared" ref="N546:S546" si="633">N563+N640</f>
        <v>1.7869999999999999</v>
      </c>
      <c r="O546" s="61">
        <f t="shared" si="633"/>
        <v>1.786</v>
      </c>
      <c r="P546" s="61">
        <f t="shared" si="633"/>
        <v>1.8029999999999999</v>
      </c>
      <c r="Q546" s="61">
        <f t="shared" si="633"/>
        <v>1.82</v>
      </c>
      <c r="R546" s="61">
        <f t="shared" si="633"/>
        <v>1.8029999999999999</v>
      </c>
      <c r="S546" s="61">
        <f t="shared" si="633"/>
        <v>3.883</v>
      </c>
      <c r="T546" s="61">
        <f>SUM(N546:S546)</f>
        <v>12.882</v>
      </c>
      <c r="U546" s="61">
        <f>T546+L546</f>
        <v>21.817</v>
      </c>
      <c r="V546" s="61">
        <f t="shared" ref="V546" si="634">V563+V640</f>
        <v>21.965</v>
      </c>
      <c r="W546" s="72">
        <f>V546-U546</f>
        <v>0.14799999999999999</v>
      </c>
      <c r="X546" s="63">
        <f>U541-U546</f>
        <v>0.14799999999999999</v>
      </c>
    </row>
    <row r="547" spans="1:28" s="43" customFormat="1" ht="18" customHeight="1">
      <c r="A547" s="614"/>
      <c r="B547" s="576"/>
      <c r="C547" s="577"/>
      <c r="D547" s="202" t="str">
        <f>серпень!D470</f>
        <v>план</v>
      </c>
      <c r="E547" s="42"/>
      <c r="F547" s="42">
        <f t="shared" ref="F547:K547" si="635">F541</f>
        <v>0</v>
      </c>
      <c r="G547" s="42">
        <f t="shared" si="635"/>
        <v>1.804</v>
      </c>
      <c r="H547" s="42">
        <f t="shared" si="635"/>
        <v>1.8029999999999999</v>
      </c>
      <c r="I547" s="42">
        <f t="shared" si="635"/>
        <v>1.82</v>
      </c>
      <c r="J547" s="42">
        <f t="shared" si="635"/>
        <v>1.8029999999999999</v>
      </c>
      <c r="K547" s="42">
        <f t="shared" si="635"/>
        <v>1.8029999999999999</v>
      </c>
      <c r="L547" s="42">
        <f>SUM(F547:K547)</f>
        <v>9.0329999999999995</v>
      </c>
      <c r="M547" s="42">
        <f>L547/6</f>
        <v>1.506</v>
      </c>
      <c r="N547" s="42">
        <f t="shared" ref="N547:S547" si="636">N541</f>
        <v>1.82</v>
      </c>
      <c r="O547" s="42">
        <f t="shared" si="636"/>
        <v>1.8029999999999999</v>
      </c>
      <c r="P547" s="42">
        <f t="shared" si="636"/>
        <v>1.8029999999999999</v>
      </c>
      <c r="Q547" s="42">
        <f t="shared" si="636"/>
        <v>1.82</v>
      </c>
      <c r="R547" s="42">
        <f t="shared" si="636"/>
        <v>1.8029999999999999</v>
      </c>
      <c r="S547" s="42">
        <f t="shared" si="636"/>
        <v>3.883</v>
      </c>
      <c r="T547" s="42">
        <f>SUM(N547:S547)</f>
        <v>12.932</v>
      </c>
      <c r="U547" s="42">
        <f>T547+L547</f>
        <v>21.965</v>
      </c>
      <c r="V547" s="42">
        <f>V541</f>
        <v>21.965</v>
      </c>
      <c r="W547" s="42">
        <f>V547-U547</f>
        <v>0</v>
      </c>
    </row>
    <row r="548" spans="1:28" s="43" customFormat="1" ht="18" customHeight="1">
      <c r="A548" s="614"/>
      <c r="B548" s="576"/>
      <c r="C548" s="577"/>
      <c r="D548" s="202" t="str">
        <f>серпень!D471</f>
        <v xml:space="preserve">відхилення </v>
      </c>
      <c r="E548" s="42"/>
      <c r="F548" s="42">
        <f t="shared" ref="F548:K548" si="637">F544-F547</f>
        <v>0</v>
      </c>
      <c r="G548" s="42">
        <f t="shared" si="637"/>
        <v>-1.7000000000000001E-2</v>
      </c>
      <c r="H548" s="42">
        <f t="shared" si="637"/>
        <v>-1.6E-2</v>
      </c>
      <c r="I548" s="42">
        <f t="shared" si="637"/>
        <v>-3.3000000000000002E-2</v>
      </c>
      <c r="J548" s="42">
        <f t="shared" si="637"/>
        <v>-1.6E-2</v>
      </c>
      <c r="K548" s="42">
        <f t="shared" si="637"/>
        <v>-1.6E-2</v>
      </c>
      <c r="L548" s="42"/>
      <c r="M548" s="42"/>
      <c r="N548" s="42">
        <f t="shared" ref="N548:S548" si="638">N544-N547</f>
        <v>-3.3000000000000002E-2</v>
      </c>
      <c r="O548" s="42">
        <f t="shared" si="638"/>
        <v>-1.7000000000000001E-2</v>
      </c>
      <c r="P548" s="42">
        <f t="shared" si="638"/>
        <v>0</v>
      </c>
      <c r="Q548" s="42">
        <f t="shared" si="638"/>
        <v>0</v>
      </c>
      <c r="R548" s="42">
        <f t="shared" si="638"/>
        <v>0</v>
      </c>
      <c r="S548" s="42">
        <f t="shared" si="638"/>
        <v>0</v>
      </c>
      <c r="T548" s="42"/>
      <c r="U548" s="42"/>
      <c r="V548" s="42"/>
      <c r="W548" s="42"/>
    </row>
    <row r="549" spans="1:28" s="43" customFormat="1" ht="18" customHeight="1">
      <c r="A549" s="614"/>
      <c r="B549" s="576"/>
      <c r="C549" s="577"/>
      <c r="D549" s="202" t="str">
        <f>серпень!D472</f>
        <v>відхилення з наростаючим</v>
      </c>
      <c r="E549" s="42"/>
      <c r="F549" s="42">
        <f>F548</f>
        <v>0</v>
      </c>
      <c r="G549" s="42">
        <f>G548+F549</f>
        <v>-1.7000000000000001E-2</v>
      </c>
      <c r="H549" s="42">
        <f>H548+G549</f>
        <v>-3.3000000000000002E-2</v>
      </c>
      <c r="I549" s="42">
        <f>I548+H549</f>
        <v>-6.6000000000000003E-2</v>
      </c>
      <c r="J549" s="42">
        <f>J548+I549</f>
        <v>-8.2000000000000003E-2</v>
      </c>
      <c r="K549" s="42">
        <f>K548+J549</f>
        <v>-9.8000000000000004E-2</v>
      </c>
      <c r="L549" s="42"/>
      <c r="M549" s="42"/>
      <c r="N549" s="42">
        <f>N548+K549</f>
        <v>-0.13100000000000001</v>
      </c>
      <c r="O549" s="42">
        <f>O548+N549</f>
        <v>-0.14799999999999999</v>
      </c>
      <c r="P549" s="42">
        <f>P548+O549</f>
        <v>-0.14799999999999999</v>
      </c>
      <c r="Q549" s="42">
        <f>Q548+P549</f>
        <v>-0.14799999999999999</v>
      </c>
      <c r="R549" s="42">
        <f>R548+Q549</f>
        <v>-0.14799999999999999</v>
      </c>
      <c r="S549" s="42">
        <f>S548+R549</f>
        <v>-0.14799999999999999</v>
      </c>
      <c r="T549" s="42"/>
      <c r="U549" s="42"/>
      <c r="V549" s="42"/>
      <c r="W549" s="42"/>
    </row>
    <row r="550" spans="1:28" s="55" customFormat="1" ht="18" customHeight="1">
      <c r="A550" s="614"/>
      <c r="B550" s="581" t="s">
        <v>65</v>
      </c>
      <c r="C550" s="581"/>
      <c r="D550" s="178" t="str">
        <f>серпень!D473</f>
        <v>факт. нат.п-ки 2023</v>
      </c>
      <c r="E550" s="11"/>
      <c r="F550" s="82">
        <f t="shared" ref="F550:K552" si="639">F567+F597</f>
        <v>10.6</v>
      </c>
      <c r="G550" s="82">
        <f t="shared" si="639"/>
        <v>10.6</v>
      </c>
      <c r="H550" s="82">
        <f t="shared" si="639"/>
        <v>10.7</v>
      </c>
      <c r="I550" s="82">
        <f t="shared" si="639"/>
        <v>10.6</v>
      </c>
      <c r="J550" s="82">
        <f t="shared" si="639"/>
        <v>8.8000000000000007</v>
      </c>
      <c r="K550" s="82">
        <f t="shared" si="639"/>
        <v>10.6</v>
      </c>
      <c r="L550" s="125">
        <f>SUM(F550:K550)</f>
        <v>61.9</v>
      </c>
      <c r="M550" s="125">
        <f>L550/6</f>
        <v>10.317</v>
      </c>
      <c r="N550" s="82">
        <f t="shared" ref="N550:S552" si="640">N567+N597</f>
        <v>10.63</v>
      </c>
      <c r="O550" s="82">
        <f t="shared" si="640"/>
        <v>10.6</v>
      </c>
      <c r="P550" s="82">
        <f t="shared" si="640"/>
        <v>10.6</v>
      </c>
      <c r="Q550" s="82">
        <f t="shared" si="640"/>
        <v>10.6</v>
      </c>
      <c r="R550" s="82">
        <f t="shared" si="640"/>
        <v>10.7</v>
      </c>
      <c r="S550" s="82">
        <f t="shared" si="640"/>
        <v>12.4</v>
      </c>
      <c r="T550" s="125">
        <f>SUM(N550:S550)</f>
        <v>65.53</v>
      </c>
      <c r="U550" s="125">
        <f>T550+L550</f>
        <v>127.43</v>
      </c>
      <c r="V550" s="349">
        <f>V567+V597</f>
        <v>0</v>
      </c>
      <c r="W550" s="505"/>
      <c r="X550" s="47"/>
      <c r="Y550" s="48"/>
      <c r="Z550" s="48"/>
      <c r="AA550" s="48"/>
      <c r="AB550" s="48"/>
    </row>
    <row r="551" spans="1:28" s="48" customFormat="1" ht="18" customHeight="1">
      <c r="A551" s="614"/>
      <c r="B551" s="581"/>
      <c r="C551" s="581"/>
      <c r="D551" s="178" t="str">
        <f>серпень!D474</f>
        <v>факт. нат.п-ки 2024</v>
      </c>
      <c r="E551" s="11"/>
      <c r="F551" s="82">
        <f t="shared" si="639"/>
        <v>10.6</v>
      </c>
      <c r="G551" s="82">
        <f t="shared" si="639"/>
        <v>10.6</v>
      </c>
      <c r="H551" s="82">
        <f t="shared" si="639"/>
        <v>10.7</v>
      </c>
      <c r="I551" s="82">
        <f t="shared" si="639"/>
        <v>10.6</v>
      </c>
      <c r="J551" s="82">
        <f t="shared" si="639"/>
        <v>10.6</v>
      </c>
      <c r="K551" s="82">
        <f t="shared" si="639"/>
        <v>10.6</v>
      </c>
      <c r="L551" s="125">
        <f>SUM(F551:K551)</f>
        <v>63.7</v>
      </c>
      <c r="M551" s="125">
        <f>L551/6</f>
        <v>10.617000000000001</v>
      </c>
      <c r="N551" s="82">
        <f t="shared" si="640"/>
        <v>10.6</v>
      </c>
      <c r="O551" s="82">
        <f t="shared" si="640"/>
        <v>10.6</v>
      </c>
      <c r="P551" s="82">
        <f t="shared" si="640"/>
        <v>10.7</v>
      </c>
      <c r="Q551" s="82">
        <f t="shared" si="640"/>
        <v>10.6</v>
      </c>
      <c r="R551" s="82">
        <f t="shared" si="640"/>
        <v>10.6</v>
      </c>
      <c r="S551" s="82">
        <f t="shared" si="640"/>
        <v>12.4</v>
      </c>
      <c r="T551" s="125">
        <f>SUM(N551:S551)</f>
        <v>65.5</v>
      </c>
      <c r="U551" s="125">
        <f>T551+L551</f>
        <v>129.19999999999999</v>
      </c>
      <c r="V551" s="349">
        <f>V568+V598</f>
        <v>0</v>
      </c>
      <c r="W551" s="505"/>
      <c r="X551" s="47"/>
    </row>
    <row r="552" spans="1:28" s="48" customFormat="1" ht="18" customHeight="1">
      <c r="A552" s="614"/>
      <c r="B552" s="581"/>
      <c r="C552" s="581"/>
      <c r="D552" s="178" t="str">
        <f>серпень!D475</f>
        <v>факт. нат.п-ки 2025</v>
      </c>
      <c r="E552" s="11"/>
      <c r="F552" s="82">
        <f t="shared" si="639"/>
        <v>10.63</v>
      </c>
      <c r="G552" s="82">
        <f t="shared" si="639"/>
        <v>10.63</v>
      </c>
      <c r="H552" s="82">
        <f t="shared" si="639"/>
        <v>10.63</v>
      </c>
      <c r="I552" s="82">
        <f t="shared" si="639"/>
        <v>10.63</v>
      </c>
      <c r="J552" s="82">
        <f t="shared" si="639"/>
        <v>10.63</v>
      </c>
      <c r="K552" s="82">
        <f t="shared" si="639"/>
        <v>10.63</v>
      </c>
      <c r="L552" s="125">
        <f>SUM(F552:K552)</f>
        <v>63.78</v>
      </c>
      <c r="M552" s="125">
        <f>L552/6</f>
        <v>10.63</v>
      </c>
      <c r="N552" s="82">
        <f t="shared" si="640"/>
        <v>10.502000000000001</v>
      </c>
      <c r="O552" s="82">
        <f t="shared" si="640"/>
        <v>10.6</v>
      </c>
      <c r="P552" s="82">
        <f t="shared" si="640"/>
        <v>10.7</v>
      </c>
      <c r="Q552" s="82">
        <f t="shared" si="640"/>
        <v>10.6</v>
      </c>
      <c r="R552" s="82">
        <f t="shared" si="640"/>
        <v>10.6</v>
      </c>
      <c r="S552" s="82">
        <f t="shared" si="640"/>
        <v>12.3</v>
      </c>
      <c r="T552" s="125">
        <f>SUM(N552:S552)</f>
        <v>65.302000000000007</v>
      </c>
      <c r="U552" s="125">
        <f>T552+L552</f>
        <v>129.08199999999999</v>
      </c>
      <c r="V552" s="349">
        <f>V569+V599</f>
        <v>129.19999999999999</v>
      </c>
      <c r="W552" s="505">
        <f>V552-U552</f>
        <v>0.11799999999999999</v>
      </c>
      <c r="X552" s="47"/>
    </row>
    <row r="553" spans="1:28" s="51" customFormat="1" ht="18" customHeight="1">
      <c r="A553" s="614"/>
      <c r="B553" s="581"/>
      <c r="C553" s="581"/>
      <c r="D553" s="187" t="str">
        <f>серпень!D476</f>
        <v>тариф, грн.</v>
      </c>
      <c r="E553" s="49" t="e">
        <f>E554/E552*1000</f>
        <v>#DIV/0!</v>
      </c>
      <c r="F553" s="49">
        <f t="shared" ref="F553:W553" si="641">F554/F552*1000</f>
        <v>167.92099999999999</v>
      </c>
      <c r="G553" s="49">
        <f t="shared" si="641"/>
        <v>167.92099999999999</v>
      </c>
      <c r="H553" s="49">
        <f t="shared" si="641"/>
        <v>167.92099999999999</v>
      </c>
      <c r="I553" s="49">
        <f t="shared" si="641"/>
        <v>167.92099999999999</v>
      </c>
      <c r="J553" s="49">
        <f t="shared" si="641"/>
        <v>167.92099999999999</v>
      </c>
      <c r="K553" s="49">
        <f t="shared" si="641"/>
        <v>167.92099999999999</v>
      </c>
      <c r="L553" s="49">
        <f t="shared" si="641"/>
        <v>167.92099999999999</v>
      </c>
      <c r="M553" s="49">
        <f t="shared" si="641"/>
        <v>167.92099999999999</v>
      </c>
      <c r="N553" s="49">
        <f t="shared" si="641"/>
        <v>169.87200000000001</v>
      </c>
      <c r="O553" s="49">
        <f t="shared" si="641"/>
        <v>169.90600000000001</v>
      </c>
      <c r="P553" s="49">
        <f t="shared" si="641"/>
        <v>169.90700000000001</v>
      </c>
      <c r="Q553" s="49">
        <f t="shared" si="641"/>
        <v>169.90600000000001</v>
      </c>
      <c r="R553" s="49">
        <f t="shared" si="641"/>
        <v>169.90600000000001</v>
      </c>
      <c r="S553" s="49">
        <f t="shared" si="641"/>
        <v>168.94300000000001</v>
      </c>
      <c r="T553" s="49">
        <f t="shared" si="641"/>
        <v>169.71899999999999</v>
      </c>
      <c r="U553" s="49">
        <f t="shared" si="641"/>
        <v>168.83099999999999</v>
      </c>
      <c r="V553" s="49">
        <f t="shared" si="641"/>
        <v>169.81399999999999</v>
      </c>
      <c r="W553" s="49">
        <f t="shared" si="641"/>
        <v>1245.7629999999999</v>
      </c>
      <c r="X553" s="59"/>
    </row>
    <row r="554" spans="1:28" s="130" customFormat="1" ht="18" customHeight="1">
      <c r="A554" s="614"/>
      <c r="B554" s="581"/>
      <c r="C554" s="581"/>
      <c r="D554" s="191" t="str">
        <f>серпень!D477</f>
        <v>сума, тис.грн.</v>
      </c>
      <c r="E554" s="52"/>
      <c r="F554" s="52">
        <f>F571+F601</f>
        <v>1.7849999999999999</v>
      </c>
      <c r="G554" s="52">
        <f t="shared" ref="G554:K554" si="642">G571+G601</f>
        <v>1.7849999999999999</v>
      </c>
      <c r="H554" s="52">
        <f t="shared" si="642"/>
        <v>1.7849999999999999</v>
      </c>
      <c r="I554" s="52">
        <f t="shared" si="642"/>
        <v>1.7849999999999999</v>
      </c>
      <c r="J554" s="52">
        <f t="shared" si="642"/>
        <v>1.7849999999999999</v>
      </c>
      <c r="K554" s="52">
        <f t="shared" si="642"/>
        <v>1.7849999999999999</v>
      </c>
      <c r="L554" s="69">
        <f>SUM(F554:K554)</f>
        <v>10.71</v>
      </c>
      <c r="M554" s="69">
        <f>L554/6</f>
        <v>1.7849999999999999</v>
      </c>
      <c r="N554" s="52">
        <f>N571+N601</f>
        <v>1.784</v>
      </c>
      <c r="O554" s="52">
        <f t="shared" ref="O554:S554" si="643">O571+O601</f>
        <v>1.8009999999999999</v>
      </c>
      <c r="P554" s="52">
        <f t="shared" si="643"/>
        <v>1.8180000000000001</v>
      </c>
      <c r="Q554" s="52">
        <f t="shared" si="643"/>
        <v>1.8009999999999999</v>
      </c>
      <c r="R554" s="52">
        <f t="shared" si="643"/>
        <v>1.8009999999999999</v>
      </c>
      <c r="S554" s="52">
        <f t="shared" si="643"/>
        <v>2.0779999999999998</v>
      </c>
      <c r="T554" s="69">
        <f>SUM(N554:S554)</f>
        <v>11.083</v>
      </c>
      <c r="U554" s="69">
        <f>T554+L554</f>
        <v>21.792999999999999</v>
      </c>
      <c r="V554" s="69">
        <f>V571+V601</f>
        <v>21.94</v>
      </c>
      <c r="W554" s="52">
        <f>V554-U554</f>
        <v>0.14699999999999999</v>
      </c>
    </row>
    <row r="555" spans="1:28" s="130" customFormat="1" ht="18" customHeight="1">
      <c r="A555" s="614"/>
      <c r="B555" s="581"/>
      <c r="C555" s="581"/>
      <c r="D555" s="174" t="str">
        <f>серпень!D478</f>
        <v>абоненська плата, тис.грн.</v>
      </c>
      <c r="E555" s="52"/>
      <c r="F555" s="52">
        <f>F586+F616</f>
        <v>2E-3</v>
      </c>
      <c r="G555" s="52">
        <f t="shared" ref="G555:K555" si="644">G586+G616</f>
        <v>2E-3</v>
      </c>
      <c r="H555" s="52">
        <f t="shared" si="644"/>
        <v>2E-3</v>
      </c>
      <c r="I555" s="52">
        <f t="shared" si="644"/>
        <v>2E-3</v>
      </c>
      <c r="J555" s="52">
        <f t="shared" si="644"/>
        <v>2E-3</v>
      </c>
      <c r="K555" s="52">
        <f t="shared" si="644"/>
        <v>2E-3</v>
      </c>
      <c r="L555" s="69">
        <f t="shared" ref="L555:L558" si="645">SUM(F555:K555)</f>
        <v>1.2E-2</v>
      </c>
      <c r="M555" s="69">
        <f t="shared" ref="M555:M558" si="646">L555/6</f>
        <v>2E-3</v>
      </c>
      <c r="N555" s="52">
        <f>N586+N616</f>
        <v>2E-3</v>
      </c>
      <c r="O555" s="52">
        <f t="shared" ref="O555:S555" si="647">O586+O616</f>
        <v>2E-3</v>
      </c>
      <c r="P555" s="52">
        <f t="shared" si="647"/>
        <v>2E-3</v>
      </c>
      <c r="Q555" s="52">
        <f t="shared" si="647"/>
        <v>2E-3</v>
      </c>
      <c r="R555" s="52">
        <f t="shared" si="647"/>
        <v>2E-3</v>
      </c>
      <c r="S555" s="52">
        <f t="shared" si="647"/>
        <v>2E-3</v>
      </c>
      <c r="T555" s="69">
        <f t="shared" ref="T555:T557" si="648">SUM(N555:S555)</f>
        <v>1.2E-2</v>
      </c>
      <c r="U555" s="69">
        <f t="shared" ref="U555:U557" si="649">T555+L555</f>
        <v>2.4E-2</v>
      </c>
      <c r="V555" s="69">
        <f t="shared" ref="V555" si="650">V586+V616</f>
        <v>2.5000000000000001E-2</v>
      </c>
      <c r="W555" s="52">
        <f t="shared" ref="W555:W558" si="651">V555-U555</f>
        <v>1E-3</v>
      </c>
    </row>
    <row r="556" spans="1:28" s="130" customFormat="1" ht="18" customHeight="1">
      <c r="A556" s="614"/>
      <c r="B556" s="581"/>
      <c r="C556" s="581"/>
      <c r="D556" s="174" t="str">
        <f>серпень!D479</f>
        <v>разом сума тис. грн+абонплата</v>
      </c>
      <c r="E556" s="52"/>
      <c r="F556" s="52">
        <f>F554+F555</f>
        <v>1.7869999999999999</v>
      </c>
      <c r="G556" s="52">
        <f t="shared" ref="G556:K556" si="652">G554+G555</f>
        <v>1.7869999999999999</v>
      </c>
      <c r="H556" s="52">
        <f t="shared" si="652"/>
        <v>1.7869999999999999</v>
      </c>
      <c r="I556" s="52">
        <f t="shared" si="652"/>
        <v>1.7869999999999999</v>
      </c>
      <c r="J556" s="52">
        <f t="shared" si="652"/>
        <v>1.7869999999999999</v>
      </c>
      <c r="K556" s="52">
        <f t="shared" si="652"/>
        <v>1.7869999999999999</v>
      </c>
      <c r="L556" s="69">
        <f>SUM(F556:K556)</f>
        <v>10.722</v>
      </c>
      <c r="M556" s="69">
        <f>L556/6</f>
        <v>1.7869999999999999</v>
      </c>
      <c r="N556" s="52">
        <f>N554+N555</f>
        <v>1.786</v>
      </c>
      <c r="O556" s="52">
        <f t="shared" ref="O556" si="653">O554+O555</f>
        <v>1.8029999999999999</v>
      </c>
      <c r="P556" s="52">
        <f t="shared" ref="P556" si="654">P554+P555</f>
        <v>1.82</v>
      </c>
      <c r="Q556" s="52">
        <f t="shared" ref="Q556" si="655">Q554+Q555</f>
        <v>1.8029999999999999</v>
      </c>
      <c r="R556" s="52">
        <f t="shared" ref="R556" si="656">R554+R555</f>
        <v>1.8029999999999999</v>
      </c>
      <c r="S556" s="52">
        <f t="shared" ref="S556" si="657">S554+S555</f>
        <v>2.08</v>
      </c>
      <c r="T556" s="69">
        <f>SUM(N556:S556)</f>
        <v>11.095000000000001</v>
      </c>
      <c r="U556" s="69">
        <f>T556+L556</f>
        <v>21.817</v>
      </c>
      <c r="V556" s="69">
        <f>V573+V588+V603+V618</f>
        <v>21.965</v>
      </c>
      <c r="W556" s="52">
        <f>V556-U556</f>
        <v>0.14799999999999999</v>
      </c>
    </row>
    <row r="557" spans="1:28" s="130" customFormat="1" ht="18" customHeight="1">
      <c r="A557" s="614"/>
      <c r="B557" s="581"/>
      <c r="C557" s="581"/>
      <c r="D557" s="174" t="str">
        <f>серпень!D480</f>
        <v>дотація</v>
      </c>
      <c r="E557" s="56"/>
      <c r="F557" s="52">
        <f>F572+F602</f>
        <v>0</v>
      </c>
      <c r="G557" s="52">
        <f t="shared" ref="G557:K557" si="658">G572+G602</f>
        <v>0</v>
      </c>
      <c r="H557" s="52">
        <f t="shared" si="658"/>
        <v>0</v>
      </c>
      <c r="I557" s="52">
        <f t="shared" si="658"/>
        <v>0</v>
      </c>
      <c r="J557" s="52">
        <f t="shared" si="658"/>
        <v>0</v>
      </c>
      <c r="K557" s="52">
        <f t="shared" si="658"/>
        <v>0</v>
      </c>
      <c r="L557" s="69">
        <f t="shared" si="645"/>
        <v>0</v>
      </c>
      <c r="M557" s="69">
        <f t="shared" si="646"/>
        <v>0</v>
      </c>
      <c r="N557" s="52">
        <f>N572+N602</f>
        <v>0</v>
      </c>
      <c r="O557" s="52">
        <f t="shared" ref="O557:S557" si="659">O572+O602</f>
        <v>0</v>
      </c>
      <c r="P557" s="52">
        <f t="shared" si="659"/>
        <v>0</v>
      </c>
      <c r="Q557" s="52">
        <f t="shared" si="659"/>
        <v>0</v>
      </c>
      <c r="R557" s="52">
        <f t="shared" si="659"/>
        <v>0</v>
      </c>
      <c r="S557" s="52">
        <f t="shared" si="659"/>
        <v>0</v>
      </c>
      <c r="T557" s="69">
        <f t="shared" si="648"/>
        <v>0</v>
      </c>
      <c r="U557" s="69">
        <f t="shared" si="649"/>
        <v>0</v>
      </c>
      <c r="V557" s="69">
        <f t="shared" ref="V557" si="660">V572+V602</f>
        <v>0</v>
      </c>
      <c r="W557" s="52">
        <f t="shared" si="651"/>
        <v>0</v>
      </c>
    </row>
    <row r="558" spans="1:28" s="130" customFormat="1" ht="18" customHeight="1">
      <c r="A558" s="614"/>
      <c r="B558" s="581"/>
      <c r="C558" s="581"/>
      <c r="D558" s="174" t="str">
        <f>серпень!D481</f>
        <v>місцевий (план), тис.грн</v>
      </c>
      <c r="E558" s="56"/>
      <c r="F558" s="52">
        <f>F573+F588+F603+F618</f>
        <v>0</v>
      </c>
      <c r="G558" s="52">
        <f t="shared" ref="G558:K558" si="661">G573+G588+G603+G618</f>
        <v>1.804</v>
      </c>
      <c r="H558" s="52">
        <f t="shared" si="661"/>
        <v>1.8029999999999999</v>
      </c>
      <c r="I558" s="52">
        <f t="shared" si="661"/>
        <v>1.82</v>
      </c>
      <c r="J558" s="52">
        <f t="shared" si="661"/>
        <v>1.8029999999999999</v>
      </c>
      <c r="K558" s="52">
        <f t="shared" si="661"/>
        <v>1.8029999999999999</v>
      </c>
      <c r="L558" s="69">
        <f t="shared" si="645"/>
        <v>9.0329999999999995</v>
      </c>
      <c r="M558" s="69">
        <f t="shared" si="646"/>
        <v>1.506</v>
      </c>
      <c r="N558" s="52">
        <f>N573+N588+N603+N618</f>
        <v>1.82</v>
      </c>
      <c r="O558" s="52">
        <f t="shared" ref="O558:S558" si="662">O573+O588+O603+O618</f>
        <v>1.8029999999999999</v>
      </c>
      <c r="P558" s="52">
        <f t="shared" si="662"/>
        <v>1.8029999999999999</v>
      </c>
      <c r="Q558" s="52">
        <f t="shared" si="662"/>
        <v>1.82</v>
      </c>
      <c r="R558" s="52">
        <f t="shared" si="662"/>
        <v>1.8029999999999999</v>
      </c>
      <c r="S558" s="52">
        <f t="shared" si="662"/>
        <v>3.883</v>
      </c>
      <c r="T558" s="69">
        <f>SUM(N558:S558)</f>
        <v>12.932</v>
      </c>
      <c r="U558" s="69">
        <f>T558+L558</f>
        <v>21.965</v>
      </c>
      <c r="V558" s="69">
        <f t="shared" ref="V558" si="663">V573+V588+V603+V618</f>
        <v>21.965</v>
      </c>
      <c r="W558" s="52">
        <f t="shared" si="651"/>
        <v>0</v>
      </c>
    </row>
    <row r="559" spans="1:28" s="48" customFormat="1" ht="18" customHeight="1">
      <c r="A559" s="614"/>
      <c r="B559" s="581"/>
      <c r="C559" s="581"/>
      <c r="D559" s="178" t="str">
        <f>серпень!D482</f>
        <v>касові нат.п-ки 2025</v>
      </c>
      <c r="E559" s="11"/>
      <c r="F559" s="349">
        <f t="shared" ref="F559:K559" si="664">F574+F604</f>
        <v>0</v>
      </c>
      <c r="G559" s="349">
        <f t="shared" si="664"/>
        <v>10.63</v>
      </c>
      <c r="H559" s="349">
        <f t="shared" si="664"/>
        <v>10.63</v>
      </c>
      <c r="I559" s="349">
        <f t="shared" si="664"/>
        <v>10.63</v>
      </c>
      <c r="J559" s="349">
        <f t="shared" si="664"/>
        <v>10.63</v>
      </c>
      <c r="K559" s="349">
        <f t="shared" si="664"/>
        <v>10.63</v>
      </c>
      <c r="L559" s="125">
        <f>SUM(F559:K559)</f>
        <v>53.15</v>
      </c>
      <c r="M559" s="125">
        <f>L559/6</f>
        <v>8.8580000000000005</v>
      </c>
      <c r="N559" s="349">
        <f t="shared" ref="N559:S559" si="665">N574+N604</f>
        <v>10.63</v>
      </c>
      <c r="O559" s="349">
        <f t="shared" si="665"/>
        <v>10.502000000000001</v>
      </c>
      <c r="P559" s="349">
        <f t="shared" si="665"/>
        <v>10.6</v>
      </c>
      <c r="Q559" s="349">
        <f t="shared" si="665"/>
        <v>10.7</v>
      </c>
      <c r="R559" s="349">
        <f t="shared" si="665"/>
        <v>10.6</v>
      </c>
      <c r="S559" s="349">
        <f t="shared" si="665"/>
        <v>22.9</v>
      </c>
      <c r="T559" s="125">
        <f>SUM(N559:S559)</f>
        <v>75.932000000000002</v>
      </c>
      <c r="U559" s="125">
        <f>T559+L559</f>
        <v>129.08199999999999</v>
      </c>
      <c r="V559" s="505">
        <f>V574+V604</f>
        <v>129.19999999999999</v>
      </c>
      <c r="W559" s="505">
        <f>V559-U559</f>
        <v>0.11799999999999999</v>
      </c>
      <c r="X559" s="47">
        <f>U552-U559</f>
        <v>0</v>
      </c>
    </row>
    <row r="560" spans="1:28" s="51" customFormat="1" ht="18" customHeight="1">
      <c r="A560" s="614"/>
      <c r="B560" s="581"/>
      <c r="C560" s="581"/>
      <c r="D560" s="187" t="str">
        <f>серпень!D483</f>
        <v>тариф, грн.</v>
      </c>
      <c r="E560" s="49" t="e">
        <f t="shared" ref="E560:W560" si="666">E561/E559*1000</f>
        <v>#DIV/0!</v>
      </c>
      <c r="F560" s="49" t="e">
        <f t="shared" si="666"/>
        <v>#DIV/0!</v>
      </c>
      <c r="G560" s="49">
        <f t="shared" si="666"/>
        <v>168.10900000000001</v>
      </c>
      <c r="H560" s="49">
        <f t="shared" si="666"/>
        <v>168.10900000000001</v>
      </c>
      <c r="I560" s="49">
        <f t="shared" si="666"/>
        <v>168.10900000000001</v>
      </c>
      <c r="J560" s="49">
        <f t="shared" si="666"/>
        <v>168.10900000000001</v>
      </c>
      <c r="K560" s="49">
        <f t="shared" si="666"/>
        <v>168.10900000000001</v>
      </c>
      <c r="L560" s="49">
        <f t="shared" si="666"/>
        <v>168.10900000000001</v>
      </c>
      <c r="M560" s="49">
        <f t="shared" si="666"/>
        <v>168.09700000000001</v>
      </c>
      <c r="N560" s="49">
        <f t="shared" si="666"/>
        <v>168.10900000000001</v>
      </c>
      <c r="O560" s="49">
        <f t="shared" si="666"/>
        <v>170.06299999999999</v>
      </c>
      <c r="P560" s="49">
        <f t="shared" si="666"/>
        <v>170.09399999999999</v>
      </c>
      <c r="Q560" s="49">
        <f t="shared" si="666"/>
        <v>170.09299999999999</v>
      </c>
      <c r="R560" s="49">
        <f t="shared" si="666"/>
        <v>170.09399999999999</v>
      </c>
      <c r="S560" s="49">
        <f t="shared" si="666"/>
        <v>169.56299999999999</v>
      </c>
      <c r="T560" s="49">
        <f t="shared" si="666"/>
        <v>169.65199999999999</v>
      </c>
      <c r="U560" s="49">
        <f t="shared" si="666"/>
        <v>169.017</v>
      </c>
      <c r="V560" s="49">
        <f t="shared" si="666"/>
        <v>170.00800000000001</v>
      </c>
      <c r="W560" s="49">
        <f t="shared" si="666"/>
        <v>1254.2370000000001</v>
      </c>
      <c r="X560" s="59"/>
    </row>
    <row r="561" spans="1:28" s="126" customFormat="1" ht="18" customHeight="1">
      <c r="A561" s="614"/>
      <c r="B561" s="581"/>
      <c r="C561" s="581"/>
      <c r="D561" s="198" t="str">
        <f>серпень!D484</f>
        <v>касові видатки, тис.грн.</v>
      </c>
      <c r="E561" s="71"/>
      <c r="F561" s="61">
        <f>F576+F591+F606+F621</f>
        <v>0</v>
      </c>
      <c r="G561" s="61">
        <f t="shared" ref="G561:K561" si="667">G576+G591+G606+G621</f>
        <v>1.7869999999999999</v>
      </c>
      <c r="H561" s="61">
        <f t="shared" si="667"/>
        <v>1.7869999999999999</v>
      </c>
      <c r="I561" s="61">
        <f t="shared" si="667"/>
        <v>1.7869999999999999</v>
      </c>
      <c r="J561" s="61">
        <f t="shared" si="667"/>
        <v>1.7869999999999999</v>
      </c>
      <c r="K561" s="61">
        <f t="shared" si="667"/>
        <v>1.7869999999999999</v>
      </c>
      <c r="L561" s="61">
        <f>SUM(F561:K561)</f>
        <v>8.9350000000000005</v>
      </c>
      <c r="M561" s="61">
        <f>L561/6</f>
        <v>1.4890000000000001</v>
      </c>
      <c r="N561" s="61">
        <f>N576+N591+N606+N621</f>
        <v>1.7869999999999999</v>
      </c>
      <c r="O561" s="61">
        <f t="shared" ref="O561:S561" si="668">O576+O591+O606+O621</f>
        <v>1.786</v>
      </c>
      <c r="P561" s="61">
        <f t="shared" si="668"/>
        <v>1.8029999999999999</v>
      </c>
      <c r="Q561" s="61">
        <f t="shared" si="668"/>
        <v>1.82</v>
      </c>
      <c r="R561" s="61">
        <f t="shared" si="668"/>
        <v>1.8029999999999999</v>
      </c>
      <c r="S561" s="61">
        <f t="shared" si="668"/>
        <v>3.883</v>
      </c>
      <c r="T561" s="61">
        <f>SUM(N561:S561)</f>
        <v>12.882</v>
      </c>
      <c r="U561" s="61">
        <f>T561+L561</f>
        <v>21.817</v>
      </c>
      <c r="V561" s="61">
        <f>V576+V591+V606+V621</f>
        <v>21.965</v>
      </c>
      <c r="W561" s="72">
        <f>V561-U561</f>
        <v>0.14799999999999999</v>
      </c>
      <c r="X561" s="63">
        <f>U556-U561</f>
        <v>0</v>
      </c>
    </row>
    <row r="562" spans="1:28" s="126" customFormat="1" ht="18" customHeight="1">
      <c r="A562" s="614"/>
      <c r="B562" s="581"/>
      <c r="C562" s="581"/>
      <c r="D562" s="201" t="str">
        <f>серпень!D485</f>
        <v>дотація</v>
      </c>
      <c r="E562" s="71"/>
      <c r="F562" s="61">
        <f>F577+F592+F607+F622</f>
        <v>0</v>
      </c>
      <c r="G562" s="61">
        <f t="shared" ref="G562:K562" si="669">G577+G592+G607+G622</f>
        <v>0</v>
      </c>
      <c r="H562" s="61">
        <f t="shared" si="669"/>
        <v>0</v>
      </c>
      <c r="I562" s="61">
        <f t="shared" si="669"/>
        <v>0</v>
      </c>
      <c r="J562" s="61">
        <f t="shared" si="669"/>
        <v>0</v>
      </c>
      <c r="K562" s="61">
        <f t="shared" si="669"/>
        <v>0</v>
      </c>
      <c r="L562" s="61">
        <f>SUM(F562:K562)</f>
        <v>0</v>
      </c>
      <c r="M562" s="61">
        <f>L562/6</f>
        <v>0</v>
      </c>
      <c r="N562" s="61">
        <f>N577+N592+N607+N622</f>
        <v>0</v>
      </c>
      <c r="O562" s="61">
        <f t="shared" ref="O562:S562" si="670">O577+O592+O607+O622</f>
        <v>0</v>
      </c>
      <c r="P562" s="61">
        <f t="shared" si="670"/>
        <v>0</v>
      </c>
      <c r="Q562" s="61">
        <f t="shared" si="670"/>
        <v>0</v>
      </c>
      <c r="R562" s="61">
        <f t="shared" si="670"/>
        <v>0</v>
      </c>
      <c r="S562" s="61">
        <f t="shared" si="670"/>
        <v>0</v>
      </c>
      <c r="T562" s="61">
        <f>SUM(N562:S562)</f>
        <v>0</v>
      </c>
      <c r="U562" s="61">
        <f>T562+L562</f>
        <v>0</v>
      </c>
      <c r="V562" s="61">
        <f t="shared" ref="V562" si="671">V577+V592+V607+V622</f>
        <v>0</v>
      </c>
      <c r="W562" s="72">
        <f>V562-U562</f>
        <v>0</v>
      </c>
      <c r="X562" s="63">
        <f>U557-U562</f>
        <v>0</v>
      </c>
    </row>
    <row r="563" spans="1:28" s="126" customFormat="1" ht="18" customHeight="1">
      <c r="A563" s="614"/>
      <c r="B563" s="581"/>
      <c r="C563" s="581"/>
      <c r="D563" s="201" t="str">
        <f>серпень!D486</f>
        <v xml:space="preserve">місцевий </v>
      </c>
      <c r="E563" s="71"/>
      <c r="F563" s="61">
        <f>F578+F593+F608+F623</f>
        <v>0</v>
      </c>
      <c r="G563" s="61">
        <f t="shared" ref="G563:K563" si="672">G578+G593+G608+G623</f>
        <v>1.7869999999999999</v>
      </c>
      <c r="H563" s="61">
        <f t="shared" si="672"/>
        <v>1.7869999999999999</v>
      </c>
      <c r="I563" s="61">
        <f t="shared" si="672"/>
        <v>1.7869999999999999</v>
      </c>
      <c r="J563" s="61">
        <f t="shared" si="672"/>
        <v>1.7869999999999999</v>
      </c>
      <c r="K563" s="61">
        <f t="shared" si="672"/>
        <v>1.7869999999999999</v>
      </c>
      <c r="L563" s="61">
        <f>SUM(F563:K563)</f>
        <v>8.9350000000000005</v>
      </c>
      <c r="M563" s="61">
        <f>L563/6</f>
        <v>1.4890000000000001</v>
      </c>
      <c r="N563" s="61">
        <f>N578+N593+N608+N623</f>
        <v>1.7869999999999999</v>
      </c>
      <c r="O563" s="61">
        <f t="shared" ref="O563:S563" si="673">O578+O593+O608+O623</f>
        <v>1.786</v>
      </c>
      <c r="P563" s="61">
        <f t="shared" si="673"/>
        <v>1.8029999999999999</v>
      </c>
      <c r="Q563" s="61">
        <f t="shared" si="673"/>
        <v>1.82</v>
      </c>
      <c r="R563" s="61">
        <f t="shared" si="673"/>
        <v>1.8029999999999999</v>
      </c>
      <c r="S563" s="61">
        <f t="shared" si="673"/>
        <v>3.883</v>
      </c>
      <c r="T563" s="61">
        <f>SUM(N563:S563)</f>
        <v>12.882</v>
      </c>
      <c r="U563" s="61">
        <f>T563+L563</f>
        <v>21.817</v>
      </c>
      <c r="V563" s="61">
        <f t="shared" ref="V563" si="674">V578+V593+V608+V623</f>
        <v>21.965</v>
      </c>
      <c r="W563" s="72">
        <f>V563-U563</f>
        <v>0.14799999999999999</v>
      </c>
      <c r="X563" s="63">
        <f>U558-U563</f>
        <v>0.14799999999999999</v>
      </c>
    </row>
    <row r="564" spans="1:28" s="43" customFormat="1" ht="18" customHeight="1">
      <c r="A564" s="614"/>
      <c r="B564" s="581"/>
      <c r="C564" s="581"/>
      <c r="D564" s="202" t="str">
        <f>серпень!D487</f>
        <v>план</v>
      </c>
      <c r="E564" s="42"/>
      <c r="F564" s="42">
        <f t="shared" ref="F564:K566" si="675">F579+F609</f>
        <v>0</v>
      </c>
      <c r="G564" s="42">
        <f t="shared" si="675"/>
        <v>1.8009999999999999</v>
      </c>
      <c r="H564" s="42">
        <f t="shared" si="675"/>
        <v>1.8009999999999999</v>
      </c>
      <c r="I564" s="42">
        <f t="shared" si="675"/>
        <v>1.8180000000000001</v>
      </c>
      <c r="J564" s="42">
        <f t="shared" si="675"/>
        <v>1.8009999999999999</v>
      </c>
      <c r="K564" s="42">
        <f t="shared" si="675"/>
        <v>1.8009999999999999</v>
      </c>
      <c r="L564" s="42">
        <f>SUM(F564:K564)</f>
        <v>9.0220000000000002</v>
      </c>
      <c r="M564" s="42">
        <f>L564/6</f>
        <v>1.504</v>
      </c>
      <c r="N564" s="42">
        <f t="shared" ref="N564:S566" si="676">N579+N609</f>
        <v>1.8180000000000001</v>
      </c>
      <c r="O564" s="42">
        <f t="shared" si="676"/>
        <v>1.8009999999999999</v>
      </c>
      <c r="P564" s="42">
        <f t="shared" si="676"/>
        <v>1.8009999999999999</v>
      </c>
      <c r="Q564" s="42">
        <f t="shared" si="676"/>
        <v>1.8180000000000001</v>
      </c>
      <c r="R564" s="42">
        <f t="shared" si="676"/>
        <v>1.8009999999999999</v>
      </c>
      <c r="S564" s="42">
        <f t="shared" si="676"/>
        <v>3.879</v>
      </c>
      <c r="T564" s="42">
        <f>SUM(N564:S564)</f>
        <v>12.917999999999999</v>
      </c>
      <c r="U564" s="42">
        <f>T564+L564</f>
        <v>21.94</v>
      </c>
      <c r="V564" s="42">
        <f>V579+V609</f>
        <v>21.94</v>
      </c>
      <c r="W564" s="42">
        <f>V564-U564</f>
        <v>0</v>
      </c>
    </row>
    <row r="565" spans="1:28" s="43" customFormat="1" ht="18" customHeight="1">
      <c r="A565" s="614"/>
      <c r="B565" s="581"/>
      <c r="C565" s="581"/>
      <c r="D565" s="202" t="str">
        <f>серпень!D488</f>
        <v xml:space="preserve">відхилення </v>
      </c>
      <c r="E565" s="42"/>
      <c r="F565" s="42">
        <f t="shared" si="675"/>
        <v>0</v>
      </c>
      <c r="G565" s="42">
        <f t="shared" si="675"/>
        <v>-1.6E-2</v>
      </c>
      <c r="H565" s="42">
        <f t="shared" si="675"/>
        <v>-1.6E-2</v>
      </c>
      <c r="I565" s="42">
        <f t="shared" si="675"/>
        <v>-3.3000000000000002E-2</v>
      </c>
      <c r="J565" s="42">
        <f t="shared" si="675"/>
        <v>-1.6E-2</v>
      </c>
      <c r="K565" s="42">
        <f t="shared" si="675"/>
        <v>-1.6E-2</v>
      </c>
      <c r="L565" s="42"/>
      <c r="M565" s="42"/>
      <c r="N565" s="42">
        <f t="shared" si="676"/>
        <v>-3.3000000000000002E-2</v>
      </c>
      <c r="O565" s="42">
        <f t="shared" si="676"/>
        <v>-1.7000000000000001E-2</v>
      </c>
      <c r="P565" s="42">
        <f t="shared" si="676"/>
        <v>0</v>
      </c>
      <c r="Q565" s="42">
        <f t="shared" si="676"/>
        <v>0</v>
      </c>
      <c r="R565" s="42">
        <f t="shared" si="676"/>
        <v>0</v>
      </c>
      <c r="S565" s="42">
        <f t="shared" si="676"/>
        <v>0</v>
      </c>
      <c r="T565" s="42"/>
      <c r="U565" s="42"/>
      <c r="V565" s="42"/>
      <c r="W565" s="42"/>
    </row>
    <row r="566" spans="1:28" s="43" customFormat="1" ht="18" customHeight="1">
      <c r="A566" s="614"/>
      <c r="B566" s="581"/>
      <c r="C566" s="581"/>
      <c r="D566" s="202" t="str">
        <f>серпень!D489</f>
        <v>відхилення з наростаючим</v>
      </c>
      <c r="E566" s="42"/>
      <c r="F566" s="42">
        <f t="shared" si="675"/>
        <v>0</v>
      </c>
      <c r="G566" s="42">
        <f t="shared" si="675"/>
        <v>-1.6E-2</v>
      </c>
      <c r="H566" s="42">
        <f t="shared" si="675"/>
        <v>-3.2000000000000001E-2</v>
      </c>
      <c r="I566" s="42">
        <f t="shared" si="675"/>
        <v>-6.5000000000000002E-2</v>
      </c>
      <c r="J566" s="42">
        <f t="shared" si="675"/>
        <v>-8.1000000000000003E-2</v>
      </c>
      <c r="K566" s="42">
        <f t="shared" si="675"/>
        <v>-9.7000000000000003E-2</v>
      </c>
      <c r="L566" s="42"/>
      <c r="M566" s="42"/>
      <c r="N566" s="42">
        <f t="shared" si="676"/>
        <v>-0.13</v>
      </c>
      <c r="O566" s="42">
        <f t="shared" si="676"/>
        <v>-0.14699999999999999</v>
      </c>
      <c r="P566" s="42">
        <f t="shared" si="676"/>
        <v>-0.14699999999999999</v>
      </c>
      <c r="Q566" s="42">
        <f t="shared" si="676"/>
        <v>-0.14699999999999999</v>
      </c>
      <c r="R566" s="42">
        <f t="shared" si="676"/>
        <v>-0.14699999999999999</v>
      </c>
      <c r="S566" s="42">
        <f t="shared" si="676"/>
        <v>-0.14699999999999999</v>
      </c>
      <c r="T566" s="42"/>
      <c r="U566" s="42"/>
      <c r="V566" s="42"/>
      <c r="W566" s="42"/>
    </row>
    <row r="567" spans="1:28" s="55" customFormat="1" ht="18" customHeight="1">
      <c r="A567" s="614"/>
      <c r="B567" s="576" t="s">
        <v>63</v>
      </c>
      <c r="C567" s="577"/>
      <c r="D567" s="178" t="str">
        <f>серпень!D490</f>
        <v>факт. нат.п-ки 2023</v>
      </c>
      <c r="E567" s="11"/>
      <c r="F567" s="82">
        <v>10.6</v>
      </c>
      <c r="G567" s="82">
        <v>10.6</v>
      </c>
      <c r="H567" s="82">
        <v>10.7</v>
      </c>
      <c r="I567" s="82">
        <v>10.6</v>
      </c>
      <c r="J567" s="82">
        <v>8.8000000000000007</v>
      </c>
      <c r="K567" s="82">
        <v>10.6</v>
      </c>
      <c r="L567" s="125">
        <f>SUM(F567:K567)</f>
        <v>61.9</v>
      </c>
      <c r="M567" s="125">
        <f>L567/6</f>
        <v>10.317</v>
      </c>
      <c r="N567" s="348">
        <v>10.63</v>
      </c>
      <c r="O567" s="348">
        <v>10.6</v>
      </c>
      <c r="P567" s="348">
        <v>10.6</v>
      </c>
      <c r="Q567" s="348">
        <v>10.6</v>
      </c>
      <c r="R567" s="348">
        <v>10.7</v>
      </c>
      <c r="S567" s="348">
        <v>12.4</v>
      </c>
      <c r="T567" s="125">
        <f>SUM(N567:S567)</f>
        <v>65.53</v>
      </c>
      <c r="U567" s="125">
        <f>T567+L567</f>
        <v>127.43</v>
      </c>
      <c r="V567" s="505"/>
      <c r="W567" s="505"/>
      <c r="X567" s="47"/>
      <c r="Y567" s="48"/>
      <c r="Z567" s="48"/>
      <c r="AA567" s="48"/>
      <c r="AB567" s="48"/>
    </row>
    <row r="568" spans="1:28" s="48" customFormat="1" ht="18" customHeight="1">
      <c r="A568" s="614"/>
      <c r="B568" s="576"/>
      <c r="C568" s="577"/>
      <c r="D568" s="178" t="str">
        <f>серпень!D491</f>
        <v>факт. нат.п-ки 2024</v>
      </c>
      <c r="E568" s="11"/>
      <c r="F568" s="82">
        <v>10.6</v>
      </c>
      <c r="G568" s="82">
        <v>10.6</v>
      </c>
      <c r="H568" s="82">
        <v>10.7</v>
      </c>
      <c r="I568" s="82">
        <v>10.6</v>
      </c>
      <c r="J568" s="82">
        <v>10.6</v>
      </c>
      <c r="K568" s="82">
        <v>10.6</v>
      </c>
      <c r="L568" s="125">
        <f>SUM(F568:K568)</f>
        <v>63.7</v>
      </c>
      <c r="M568" s="125">
        <f>L568/6</f>
        <v>10.617000000000001</v>
      </c>
      <c r="N568" s="348">
        <v>10.6</v>
      </c>
      <c r="O568" s="348">
        <v>10.6</v>
      </c>
      <c r="P568" s="348">
        <v>10.7</v>
      </c>
      <c r="Q568" s="348">
        <v>10.6</v>
      </c>
      <c r="R568" s="348">
        <v>10.6</v>
      </c>
      <c r="S568" s="348">
        <v>12.4</v>
      </c>
      <c r="T568" s="125">
        <f>SUM(N568:S568)</f>
        <v>65.5</v>
      </c>
      <c r="U568" s="125">
        <f>T568+L568</f>
        <v>129.19999999999999</v>
      </c>
      <c r="V568" s="349"/>
      <c r="W568" s="505"/>
      <c r="X568" s="47"/>
    </row>
    <row r="569" spans="1:28" s="48" customFormat="1" ht="18" customHeight="1">
      <c r="A569" s="614"/>
      <c r="B569" s="576"/>
      <c r="C569" s="577"/>
      <c r="D569" s="178" t="str">
        <f>серпень!D492</f>
        <v>факт. нат.п-ки 2025</v>
      </c>
      <c r="E569" s="11"/>
      <c r="F569" s="82">
        <v>10.63</v>
      </c>
      <c r="G569" s="82">
        <v>10.63</v>
      </c>
      <c r="H569" s="82">
        <v>10.63</v>
      </c>
      <c r="I569" s="82">
        <v>10.63</v>
      </c>
      <c r="J569" s="82">
        <v>10.63</v>
      </c>
      <c r="K569" s="82">
        <v>10.63</v>
      </c>
      <c r="L569" s="125">
        <f>SUM(F569:K569)</f>
        <v>63.78</v>
      </c>
      <c r="M569" s="125">
        <f>L569/6</f>
        <v>10.63</v>
      </c>
      <c r="N569" s="348">
        <v>10.502000000000001</v>
      </c>
      <c r="O569" s="348">
        <v>10.6</v>
      </c>
      <c r="P569" s="348">
        <v>10.7</v>
      </c>
      <c r="Q569" s="348">
        <v>10.6</v>
      </c>
      <c r="R569" s="348">
        <v>10.6</v>
      </c>
      <c r="S569" s="348">
        <v>12.3</v>
      </c>
      <c r="T569" s="125">
        <f>SUM(N569:S569)</f>
        <v>65.302000000000007</v>
      </c>
      <c r="U569" s="125">
        <f>T569+L569</f>
        <v>129.08199999999999</v>
      </c>
      <c r="V569" s="349">
        <v>129.19999999999999</v>
      </c>
      <c r="W569" s="505">
        <f>V569-U569</f>
        <v>0.11799999999999999</v>
      </c>
      <c r="X569" s="47"/>
    </row>
    <row r="570" spans="1:28" s="51" customFormat="1" ht="18" customHeight="1">
      <c r="A570" s="614"/>
      <c r="B570" s="576"/>
      <c r="C570" s="577"/>
      <c r="D570" s="187" t="str">
        <f>серпень!D493</f>
        <v>тариф, грн.</v>
      </c>
      <c r="E570" s="49" t="e">
        <f>E571/E569*1000</f>
        <v>#DIV/0!</v>
      </c>
      <c r="F570" s="49">
        <f t="shared" ref="F570:K570" si="677">F571/F569*1000</f>
        <v>167.92099999999999</v>
      </c>
      <c r="G570" s="49">
        <f t="shared" si="677"/>
        <v>167.92099999999999</v>
      </c>
      <c r="H570" s="49">
        <f t="shared" si="677"/>
        <v>167.92099999999999</v>
      </c>
      <c r="I570" s="49">
        <f t="shared" si="677"/>
        <v>167.92099999999999</v>
      </c>
      <c r="J570" s="49">
        <f t="shared" si="677"/>
        <v>167.92099999999999</v>
      </c>
      <c r="K570" s="49">
        <f t="shared" si="677"/>
        <v>167.92099999999999</v>
      </c>
      <c r="L570" s="68">
        <f>L571/L569*1000</f>
        <v>167.92099999999999</v>
      </c>
      <c r="M570" s="68">
        <f>M571/M569*1000</f>
        <v>167.92099999999999</v>
      </c>
      <c r="N570" s="68">
        <v>169.876</v>
      </c>
      <c r="O570" s="68">
        <v>169.876</v>
      </c>
      <c r="P570" s="68">
        <v>169.876</v>
      </c>
      <c r="Q570" s="68">
        <v>169.876</v>
      </c>
      <c r="R570" s="68">
        <v>169.876</v>
      </c>
      <c r="S570" s="49">
        <v>169.876</v>
      </c>
      <c r="T570" s="68">
        <f>T571/T569*1000</f>
        <v>169.71899999999999</v>
      </c>
      <c r="U570" s="68">
        <f>U571/U569*1000</f>
        <v>168.83099999999999</v>
      </c>
      <c r="V570" s="68">
        <f>V571/V569*1000</f>
        <v>169.81399999999999</v>
      </c>
      <c r="W570" s="14">
        <f>W571/W569*1000</f>
        <v>1245.7629999999999</v>
      </c>
      <c r="X570" s="59"/>
    </row>
    <row r="571" spans="1:28" s="130" customFormat="1" ht="18" customHeight="1">
      <c r="A571" s="614"/>
      <c r="B571" s="576"/>
      <c r="C571" s="577"/>
      <c r="D571" s="191" t="str">
        <f>серпень!D494</f>
        <v>сума, тис.грн.</v>
      </c>
      <c r="E571" s="52"/>
      <c r="F571" s="52">
        <v>1.7849999999999999</v>
      </c>
      <c r="G571" s="52">
        <v>1.7849999999999999</v>
      </c>
      <c r="H571" s="52">
        <v>1.7849999999999999</v>
      </c>
      <c r="I571" s="52">
        <v>1.7849999999999999</v>
      </c>
      <c r="J571" s="52">
        <v>1.7849999999999999</v>
      </c>
      <c r="K571" s="52">
        <v>1.7849999999999999</v>
      </c>
      <c r="L571" s="69">
        <f>SUM(F571:K571)</f>
        <v>10.71</v>
      </c>
      <c r="M571" s="69">
        <f>L571/6</f>
        <v>1.7849999999999999</v>
      </c>
      <c r="N571" s="52">
        <v>1.784</v>
      </c>
      <c r="O571" s="52">
        <f t="shared" ref="O571" si="678">O569*O570/1000</f>
        <v>1.8009999999999999</v>
      </c>
      <c r="P571" s="52">
        <f t="shared" ref="P571" si="679">P569*P570/1000</f>
        <v>1.8180000000000001</v>
      </c>
      <c r="Q571" s="52">
        <f t="shared" ref="Q571" si="680">Q569*Q570/1000</f>
        <v>1.8009999999999999</v>
      </c>
      <c r="R571" s="52">
        <f t="shared" ref="R571" si="681">R569*R570/1000</f>
        <v>1.8009999999999999</v>
      </c>
      <c r="S571" s="52">
        <f>S569*S570/1000-0.01-0.001</f>
        <v>2.0779999999999998</v>
      </c>
      <c r="T571" s="69">
        <f>SUM(N571:S571)</f>
        <v>11.083</v>
      </c>
      <c r="U571" s="69">
        <f>T571+L571</f>
        <v>21.792999999999999</v>
      </c>
      <c r="V571" s="70">
        <f>V572+V573</f>
        <v>21.94</v>
      </c>
      <c r="W571" s="53">
        <f>V571-U571</f>
        <v>0.14699999999999999</v>
      </c>
    </row>
    <row r="572" spans="1:28" s="130" customFormat="1" ht="18" customHeight="1">
      <c r="A572" s="614"/>
      <c r="B572" s="576"/>
      <c r="C572" s="577"/>
      <c r="D572" s="174" t="str">
        <f>серпень!D495</f>
        <v>дотація</v>
      </c>
      <c r="E572" s="56"/>
      <c r="F572" s="52"/>
      <c r="G572" s="52"/>
      <c r="H572" s="52"/>
      <c r="I572" s="52"/>
      <c r="J572" s="52"/>
      <c r="K572" s="52"/>
      <c r="L572" s="69">
        <f>SUM(F572:K572)</f>
        <v>0</v>
      </c>
      <c r="M572" s="69">
        <f>L572/6</f>
        <v>0</v>
      </c>
      <c r="N572" s="52"/>
      <c r="O572" s="52"/>
      <c r="P572" s="52"/>
      <c r="Q572" s="52"/>
      <c r="R572" s="52"/>
      <c r="S572" s="52"/>
      <c r="T572" s="69">
        <f>SUM(N572:S572)</f>
        <v>0</v>
      </c>
      <c r="U572" s="69">
        <f>T572+L572</f>
        <v>0</v>
      </c>
      <c r="V572" s="70">
        <v>0</v>
      </c>
      <c r="W572" s="53">
        <f>V572-U572</f>
        <v>0</v>
      </c>
    </row>
    <row r="573" spans="1:28" s="130" customFormat="1" ht="18" customHeight="1">
      <c r="A573" s="614"/>
      <c r="B573" s="576"/>
      <c r="C573" s="577"/>
      <c r="D573" s="174" t="str">
        <f>серпень!D496</f>
        <v>місцевий (план), тис.грн</v>
      </c>
      <c r="E573" s="56"/>
      <c r="F573" s="52">
        <v>0</v>
      </c>
      <c r="G573" s="52">
        <v>1.8009999999999999</v>
      </c>
      <c r="H573" s="52">
        <v>1.8009999999999999</v>
      </c>
      <c r="I573" s="52">
        <v>1.8180000000000001</v>
      </c>
      <c r="J573" s="52">
        <v>1.8009999999999999</v>
      </c>
      <c r="K573" s="52">
        <v>1.8009999999999999</v>
      </c>
      <c r="L573" s="69">
        <f>SUM(F573:K573)</f>
        <v>9.0220000000000002</v>
      </c>
      <c r="M573" s="69">
        <f>L573/6</f>
        <v>1.504</v>
      </c>
      <c r="N573" s="52">
        <v>1.8180000000000001</v>
      </c>
      <c r="O573" s="52">
        <v>1.8009999999999999</v>
      </c>
      <c r="P573" s="52">
        <v>1.8009999999999999</v>
      </c>
      <c r="Q573" s="52">
        <v>1.8180000000000001</v>
      </c>
      <c r="R573" s="52">
        <v>1.8009999999999999</v>
      </c>
      <c r="S573" s="52">
        <f>3.88-0.001</f>
        <v>3.879</v>
      </c>
      <c r="T573" s="69">
        <f>SUM(N573:S573)</f>
        <v>12.917999999999999</v>
      </c>
      <c r="U573" s="69">
        <f>T573+L573</f>
        <v>21.94</v>
      </c>
      <c r="V573" s="70">
        <f>21.965-0.025</f>
        <v>21.94</v>
      </c>
      <c r="W573" s="53">
        <f>V573-U573</f>
        <v>0</v>
      </c>
    </row>
    <row r="574" spans="1:28" s="48" customFormat="1" ht="18" customHeight="1">
      <c r="A574" s="614"/>
      <c r="B574" s="576"/>
      <c r="C574" s="577"/>
      <c r="D574" s="178" t="str">
        <f>серпень!D497</f>
        <v>касові нат.п-ки 2025</v>
      </c>
      <c r="E574" s="11"/>
      <c r="F574" s="82">
        <v>0</v>
      </c>
      <c r="G574" s="82">
        <v>10.63</v>
      </c>
      <c r="H574" s="82">
        <v>10.63</v>
      </c>
      <c r="I574" s="82">
        <v>10.63</v>
      </c>
      <c r="J574" s="82">
        <v>10.63</v>
      </c>
      <c r="K574" s="82">
        <v>10.63</v>
      </c>
      <c r="L574" s="125">
        <f>SUM(F574:K574)</f>
        <v>53.15</v>
      </c>
      <c r="M574" s="125">
        <f>L574/6</f>
        <v>8.8580000000000005</v>
      </c>
      <c r="N574" s="82">
        <v>10.63</v>
      </c>
      <c r="O574" s="82">
        <f>1784/169.876</f>
        <v>10.502000000000001</v>
      </c>
      <c r="P574" s="82">
        <v>10.6</v>
      </c>
      <c r="Q574" s="82">
        <v>10.7</v>
      </c>
      <c r="R574" s="82">
        <v>10.6</v>
      </c>
      <c r="S574" s="348">
        <v>22.9</v>
      </c>
      <c r="T574" s="125">
        <f>SUM(N574:S574)</f>
        <v>75.932000000000002</v>
      </c>
      <c r="U574" s="125">
        <f>T574+L574</f>
        <v>129.08199999999999</v>
      </c>
      <c r="V574" s="349">
        <f>V569</f>
        <v>129.19999999999999</v>
      </c>
      <c r="W574" s="505">
        <f>V574-U574</f>
        <v>0.11799999999999999</v>
      </c>
      <c r="X574" s="47">
        <f>U569-U574</f>
        <v>0</v>
      </c>
    </row>
    <row r="575" spans="1:28" s="51" customFormat="1" ht="18" customHeight="1">
      <c r="A575" s="614"/>
      <c r="B575" s="576"/>
      <c r="C575" s="577"/>
      <c r="D575" s="187" t="str">
        <f>серпень!D498</f>
        <v>тариф, грн.</v>
      </c>
      <c r="E575" s="49" t="e">
        <f>E576/E574*1000</f>
        <v>#DIV/0!</v>
      </c>
      <c r="F575" s="49" t="e">
        <f t="shared" ref="F575:J575" si="682">F576/F574*1000</f>
        <v>#DIV/0!</v>
      </c>
      <c r="G575" s="49">
        <f t="shared" si="682"/>
        <v>167.92099999999999</v>
      </c>
      <c r="H575" s="49">
        <f t="shared" si="682"/>
        <v>167.92099999999999</v>
      </c>
      <c r="I575" s="49">
        <f t="shared" si="682"/>
        <v>167.92099999999999</v>
      </c>
      <c r="J575" s="49">
        <f t="shared" si="682"/>
        <v>167.92099999999999</v>
      </c>
      <c r="K575" s="49">
        <v>167.92099999999999</v>
      </c>
      <c r="L575" s="68">
        <f t="shared" ref="L575:N575" si="683">L576/L574*1000</f>
        <v>167.92099999999999</v>
      </c>
      <c r="M575" s="68">
        <f t="shared" si="683"/>
        <v>167.98400000000001</v>
      </c>
      <c r="N575" s="68">
        <f t="shared" si="683"/>
        <v>167.92099999999999</v>
      </c>
      <c r="O575" s="68">
        <v>169.876</v>
      </c>
      <c r="P575" s="68">
        <v>169.876</v>
      </c>
      <c r="Q575" s="68">
        <v>169.876</v>
      </c>
      <c r="R575" s="68">
        <v>169.876</v>
      </c>
      <c r="S575" s="49">
        <v>169.876</v>
      </c>
      <c r="T575" s="68">
        <f>T576/T574*1000</f>
        <v>169.46700000000001</v>
      </c>
      <c r="U575" s="68">
        <f>U576/U574*1000</f>
        <v>168.83099999999999</v>
      </c>
      <c r="V575" s="68">
        <f>V576/V574*1000</f>
        <v>169.81399999999999</v>
      </c>
      <c r="W575" s="14">
        <f>W576/W574*1000</f>
        <v>1245.7629999999999</v>
      </c>
      <c r="X575" s="59"/>
    </row>
    <row r="576" spans="1:28" s="126" customFormat="1" ht="18" customHeight="1">
      <c r="A576" s="614"/>
      <c r="B576" s="576"/>
      <c r="C576" s="577"/>
      <c r="D576" s="198" t="str">
        <f>серпень!D499</f>
        <v>касові видатки, тис.грн.</v>
      </c>
      <c r="E576" s="71"/>
      <c r="F576" s="61">
        <v>0</v>
      </c>
      <c r="G576" s="61">
        <v>1.7849999999999999</v>
      </c>
      <c r="H576" s="61">
        <v>1.7849999999999999</v>
      </c>
      <c r="I576" s="61">
        <v>1.7849999999999999</v>
      </c>
      <c r="J576" s="61">
        <v>1.7849999999999999</v>
      </c>
      <c r="K576" s="61">
        <v>1.7849999999999999</v>
      </c>
      <c r="L576" s="61">
        <f>SUM(F576:K576)</f>
        <v>8.9250000000000007</v>
      </c>
      <c r="M576" s="61">
        <f>L576/6</f>
        <v>1.488</v>
      </c>
      <c r="N576" s="61">
        <v>1.7849999999999999</v>
      </c>
      <c r="O576" s="61">
        <f>1.801-0.017</f>
        <v>1.784</v>
      </c>
      <c r="P576" s="61">
        <f t="shared" ref="P576" si="684">P574*P575/1000</f>
        <v>1.8009999999999999</v>
      </c>
      <c r="Q576" s="61">
        <f t="shared" ref="Q576" si="685">Q574*Q575/1000</f>
        <v>1.8180000000000001</v>
      </c>
      <c r="R576" s="61">
        <f t="shared" ref="R576" si="686">R574*R575/1000</f>
        <v>1.8009999999999999</v>
      </c>
      <c r="S576" s="61">
        <f>S574*S575/1000-0.01-0.001</f>
        <v>3.879</v>
      </c>
      <c r="T576" s="61">
        <f>SUM(N576:S576)</f>
        <v>12.868</v>
      </c>
      <c r="U576" s="61">
        <f>T576+L576</f>
        <v>21.792999999999999</v>
      </c>
      <c r="V576" s="61">
        <f>V571</f>
        <v>21.94</v>
      </c>
      <c r="W576" s="72">
        <f>V576-U576</f>
        <v>0.14699999999999999</v>
      </c>
      <c r="X576" s="63">
        <f>U571-U576</f>
        <v>0</v>
      </c>
    </row>
    <row r="577" spans="1:28" s="126" customFormat="1" ht="18" customHeight="1">
      <c r="A577" s="614"/>
      <c r="B577" s="576"/>
      <c r="C577" s="577"/>
      <c r="D577" s="201" t="str">
        <f>серпень!D500</f>
        <v>дотація</v>
      </c>
      <c r="E577" s="71"/>
      <c r="F577" s="61">
        <v>0</v>
      </c>
      <c r="G577" s="61">
        <v>0</v>
      </c>
      <c r="H577" s="61">
        <v>0</v>
      </c>
      <c r="I577" s="61">
        <v>0</v>
      </c>
      <c r="J577" s="61">
        <v>0</v>
      </c>
      <c r="K577" s="61">
        <v>0</v>
      </c>
      <c r="L577" s="61">
        <f>SUM(F577:K577)</f>
        <v>0</v>
      </c>
      <c r="M577" s="61">
        <f>L577/6</f>
        <v>0</v>
      </c>
      <c r="N577" s="61">
        <v>0</v>
      </c>
      <c r="O577" s="61">
        <v>0</v>
      </c>
      <c r="P577" s="61">
        <v>0</v>
      </c>
      <c r="Q577" s="61">
        <v>0</v>
      </c>
      <c r="R577" s="61">
        <v>0</v>
      </c>
      <c r="S577" s="61">
        <v>0</v>
      </c>
      <c r="T577" s="61">
        <f>SUM(N577:S577)</f>
        <v>0</v>
      </c>
      <c r="U577" s="61">
        <f>T577+L577</f>
        <v>0</v>
      </c>
      <c r="V577" s="61">
        <f>V572</f>
        <v>0</v>
      </c>
      <c r="W577" s="72">
        <f>V577-U577</f>
        <v>0</v>
      </c>
      <c r="X577" s="63">
        <f>U572-U577</f>
        <v>0</v>
      </c>
    </row>
    <row r="578" spans="1:28" s="126" customFormat="1" ht="18" customHeight="1">
      <c r="A578" s="614"/>
      <c r="B578" s="576"/>
      <c r="C578" s="577"/>
      <c r="D578" s="201" t="str">
        <f>серпень!D501</f>
        <v xml:space="preserve">місцевий </v>
      </c>
      <c r="E578" s="71"/>
      <c r="F578" s="61">
        <f t="shared" ref="F578:K578" si="687">F576-F577</f>
        <v>0</v>
      </c>
      <c r="G578" s="61">
        <f t="shared" si="687"/>
        <v>1.7849999999999999</v>
      </c>
      <c r="H578" s="61">
        <f t="shared" si="687"/>
        <v>1.7849999999999999</v>
      </c>
      <c r="I578" s="61">
        <f t="shared" si="687"/>
        <v>1.7849999999999999</v>
      </c>
      <c r="J578" s="61">
        <f t="shared" si="687"/>
        <v>1.7849999999999999</v>
      </c>
      <c r="K578" s="61">
        <f t="shared" si="687"/>
        <v>1.7849999999999999</v>
      </c>
      <c r="L578" s="61">
        <f>SUM(F578:K578)</f>
        <v>8.9250000000000007</v>
      </c>
      <c r="M578" s="61">
        <f>L578/6</f>
        <v>1.488</v>
      </c>
      <c r="N578" s="61">
        <f t="shared" ref="N578:S578" si="688">N576-N577</f>
        <v>1.7849999999999999</v>
      </c>
      <c r="O578" s="61">
        <f t="shared" si="688"/>
        <v>1.784</v>
      </c>
      <c r="P578" s="61">
        <f t="shared" si="688"/>
        <v>1.8009999999999999</v>
      </c>
      <c r="Q578" s="61">
        <f t="shared" si="688"/>
        <v>1.8180000000000001</v>
      </c>
      <c r="R578" s="61">
        <f t="shared" si="688"/>
        <v>1.8009999999999999</v>
      </c>
      <c r="S578" s="61">
        <f t="shared" si="688"/>
        <v>3.879</v>
      </c>
      <c r="T578" s="61">
        <f>SUM(N578:S578)</f>
        <v>12.868</v>
      </c>
      <c r="U578" s="61">
        <f>T578+L578</f>
        <v>21.792999999999999</v>
      </c>
      <c r="V578" s="61">
        <f>V573</f>
        <v>21.94</v>
      </c>
      <c r="W578" s="72">
        <f>V578-U578</f>
        <v>0.14699999999999999</v>
      </c>
      <c r="X578" s="63">
        <f>U573-U578</f>
        <v>0.14699999999999999</v>
      </c>
    </row>
    <row r="579" spans="1:28" s="43" customFormat="1" ht="18" customHeight="1">
      <c r="A579" s="614"/>
      <c r="B579" s="576"/>
      <c r="C579" s="577"/>
      <c r="D579" s="202" t="str">
        <f>серпень!D502</f>
        <v>план</v>
      </c>
      <c r="E579" s="42"/>
      <c r="F579" s="42">
        <f t="shared" ref="F579:K579" si="689">F573</f>
        <v>0</v>
      </c>
      <c r="G579" s="42">
        <f t="shared" si="689"/>
        <v>1.8009999999999999</v>
      </c>
      <c r="H579" s="42">
        <f t="shared" si="689"/>
        <v>1.8009999999999999</v>
      </c>
      <c r="I579" s="42">
        <f t="shared" si="689"/>
        <v>1.8180000000000001</v>
      </c>
      <c r="J579" s="42">
        <f t="shared" si="689"/>
        <v>1.8009999999999999</v>
      </c>
      <c r="K579" s="42">
        <f t="shared" si="689"/>
        <v>1.8009999999999999</v>
      </c>
      <c r="L579" s="42">
        <f>SUM(F579:K579)</f>
        <v>9.0220000000000002</v>
      </c>
      <c r="M579" s="42">
        <f>L579/6</f>
        <v>1.504</v>
      </c>
      <c r="N579" s="42">
        <f t="shared" ref="N579:S579" si="690">N573+N572</f>
        <v>1.8180000000000001</v>
      </c>
      <c r="O579" s="42">
        <f t="shared" si="690"/>
        <v>1.8009999999999999</v>
      </c>
      <c r="P579" s="42">
        <f t="shared" si="690"/>
        <v>1.8009999999999999</v>
      </c>
      <c r="Q579" s="42">
        <f t="shared" si="690"/>
        <v>1.8180000000000001</v>
      </c>
      <c r="R579" s="42">
        <f t="shared" si="690"/>
        <v>1.8009999999999999</v>
      </c>
      <c r="S579" s="42">
        <f t="shared" si="690"/>
        <v>3.879</v>
      </c>
      <c r="T579" s="42">
        <f>SUM(N579:S579)</f>
        <v>12.917999999999999</v>
      </c>
      <c r="U579" s="42">
        <f>T579+L579</f>
        <v>21.94</v>
      </c>
      <c r="V579" s="42">
        <f>V576</f>
        <v>21.94</v>
      </c>
      <c r="W579" s="42">
        <f>V579-U579</f>
        <v>0</v>
      </c>
    </row>
    <row r="580" spans="1:28" s="43" customFormat="1" ht="18" customHeight="1">
      <c r="A580" s="614"/>
      <c r="B580" s="576"/>
      <c r="C580" s="577"/>
      <c r="D580" s="202" t="str">
        <f>серпень!D503</f>
        <v xml:space="preserve">відхилення </v>
      </c>
      <c r="E580" s="42"/>
      <c r="F580" s="42">
        <f t="shared" ref="F580:K580" si="691">F576-F579</f>
        <v>0</v>
      </c>
      <c r="G580" s="42">
        <f t="shared" si="691"/>
        <v>-1.6E-2</v>
      </c>
      <c r="H580" s="42">
        <f t="shared" si="691"/>
        <v>-1.6E-2</v>
      </c>
      <c r="I580" s="42">
        <f t="shared" si="691"/>
        <v>-3.3000000000000002E-2</v>
      </c>
      <c r="J580" s="42">
        <f t="shared" si="691"/>
        <v>-1.6E-2</v>
      </c>
      <c r="K580" s="42">
        <f t="shared" si="691"/>
        <v>-1.6E-2</v>
      </c>
      <c r="L580" s="42"/>
      <c r="M580" s="42"/>
      <c r="N580" s="42">
        <f t="shared" ref="N580:S580" si="692">N576-N579</f>
        <v>-3.3000000000000002E-2</v>
      </c>
      <c r="O580" s="42">
        <f t="shared" si="692"/>
        <v>-1.7000000000000001E-2</v>
      </c>
      <c r="P580" s="42">
        <f t="shared" si="692"/>
        <v>0</v>
      </c>
      <c r="Q580" s="42">
        <f t="shared" si="692"/>
        <v>0</v>
      </c>
      <c r="R580" s="42">
        <f t="shared" si="692"/>
        <v>0</v>
      </c>
      <c r="S580" s="42">
        <f t="shared" si="692"/>
        <v>0</v>
      </c>
      <c r="T580" s="42"/>
      <c r="U580" s="42"/>
      <c r="V580" s="42"/>
      <c r="W580" s="42"/>
    </row>
    <row r="581" spans="1:28" s="43" customFormat="1" ht="18" customHeight="1">
      <c r="A581" s="614"/>
      <c r="B581" s="576"/>
      <c r="C581" s="577"/>
      <c r="D581" s="202" t="str">
        <f>серпень!D504</f>
        <v>відхилення з наростаючим</v>
      </c>
      <c r="E581" s="42"/>
      <c r="F581" s="42">
        <f>F580</f>
        <v>0</v>
      </c>
      <c r="G581" s="42">
        <f>G580+F581</f>
        <v>-1.6E-2</v>
      </c>
      <c r="H581" s="42">
        <f>H580+G581</f>
        <v>-3.2000000000000001E-2</v>
      </c>
      <c r="I581" s="42">
        <f>I580+H581</f>
        <v>-6.5000000000000002E-2</v>
      </c>
      <c r="J581" s="42">
        <f>J580+I581</f>
        <v>-8.1000000000000003E-2</v>
      </c>
      <c r="K581" s="42">
        <f>K580+J581</f>
        <v>-9.7000000000000003E-2</v>
      </c>
      <c r="L581" s="42"/>
      <c r="M581" s="42"/>
      <c r="N581" s="42">
        <f>N580+K581</f>
        <v>-0.13</v>
      </c>
      <c r="O581" s="42">
        <f>O580+N581</f>
        <v>-0.14699999999999999</v>
      </c>
      <c r="P581" s="42">
        <f>P580+O581</f>
        <v>-0.14699999999999999</v>
      </c>
      <c r="Q581" s="42">
        <f>Q580+P581</f>
        <v>-0.14699999999999999</v>
      </c>
      <c r="R581" s="42">
        <f>R580+Q581</f>
        <v>-0.14699999999999999</v>
      </c>
      <c r="S581" s="42">
        <f>S580+R581</f>
        <v>-0.14699999999999999</v>
      </c>
      <c r="T581" s="42"/>
      <c r="U581" s="42"/>
      <c r="V581" s="42"/>
      <c r="W581" s="42"/>
    </row>
    <row r="582" spans="1:28" s="55" customFormat="1" ht="18" customHeight="1">
      <c r="A582" s="614"/>
      <c r="B582" s="654" t="s">
        <v>138</v>
      </c>
      <c r="C582" s="581"/>
      <c r="D582" s="178" t="str">
        <f>серпень!D505</f>
        <v>факт. нат.п-ки 2023</v>
      </c>
      <c r="E582" s="11"/>
      <c r="F582" s="12"/>
      <c r="G582" s="12"/>
      <c r="H582" s="12"/>
      <c r="I582" s="12"/>
      <c r="J582" s="12"/>
      <c r="K582" s="12"/>
      <c r="L582" s="65">
        <f>SUM(F582:K582)</f>
        <v>0</v>
      </c>
      <c r="M582" s="65">
        <f>L582/6</f>
        <v>0</v>
      </c>
      <c r="N582" s="83"/>
      <c r="O582" s="83"/>
      <c r="P582" s="83"/>
      <c r="Q582" s="83"/>
      <c r="R582" s="83"/>
      <c r="S582" s="83"/>
      <c r="T582" s="65">
        <f>SUM(N582:S582)</f>
        <v>0</v>
      </c>
      <c r="U582" s="65">
        <f>T582+L582</f>
        <v>0</v>
      </c>
      <c r="V582" s="46"/>
      <c r="W582" s="38"/>
      <c r="X582" s="47"/>
      <c r="Y582" s="48"/>
      <c r="Z582" s="48"/>
      <c r="AA582" s="48"/>
      <c r="AB582" s="48"/>
    </row>
    <row r="583" spans="1:28" s="48" customFormat="1" ht="18" customHeight="1">
      <c r="A583" s="614"/>
      <c r="B583" s="581"/>
      <c r="C583" s="581"/>
      <c r="D583" s="178" t="str">
        <f>серпень!D506</f>
        <v>факт. нат.п-ки 2024</v>
      </c>
      <c r="E583" s="11"/>
      <c r="F583" s="12"/>
      <c r="G583" s="12"/>
      <c r="H583" s="12"/>
      <c r="I583" s="12"/>
      <c r="J583" s="12"/>
      <c r="K583" s="12"/>
      <c r="L583" s="65">
        <f>SUM(F583:K583)</f>
        <v>0</v>
      </c>
      <c r="M583" s="65">
        <f>L583/6</f>
        <v>0</v>
      </c>
      <c r="N583" s="83"/>
      <c r="O583" s="83"/>
      <c r="P583" s="83"/>
      <c r="Q583" s="83"/>
      <c r="R583" s="83"/>
      <c r="S583" s="83"/>
      <c r="T583" s="65">
        <f>SUM(N583:S583)</f>
        <v>0</v>
      </c>
      <c r="U583" s="65">
        <f>T583+L583</f>
        <v>0</v>
      </c>
      <c r="V583" s="11"/>
      <c r="W583" s="38"/>
      <c r="X583" s="47"/>
    </row>
    <row r="584" spans="1:28" s="48" customFormat="1" ht="18" customHeight="1">
      <c r="A584" s="614"/>
      <c r="B584" s="581"/>
      <c r="C584" s="581"/>
      <c r="D584" s="178" t="str">
        <f>серпень!D507</f>
        <v>факт. нат.п-ки 2025</v>
      </c>
      <c r="E584" s="11"/>
      <c r="F584" s="82">
        <v>1</v>
      </c>
      <c r="G584" s="82">
        <v>1</v>
      </c>
      <c r="H584" s="82">
        <v>1</v>
      </c>
      <c r="I584" s="82">
        <v>1</v>
      </c>
      <c r="J584" s="82">
        <v>1</v>
      </c>
      <c r="K584" s="82">
        <v>1</v>
      </c>
      <c r="L584" s="65">
        <f>SUM(F584:K584)</f>
        <v>6</v>
      </c>
      <c r="M584" s="65">
        <f>L584/6</f>
        <v>1</v>
      </c>
      <c r="N584" s="83">
        <v>1</v>
      </c>
      <c r="O584" s="83">
        <v>1</v>
      </c>
      <c r="P584" s="83">
        <v>1</v>
      </c>
      <c r="Q584" s="83">
        <v>1</v>
      </c>
      <c r="R584" s="83">
        <v>1</v>
      </c>
      <c r="S584" s="83">
        <v>1</v>
      </c>
      <c r="T584" s="65">
        <f>SUM(N584:S584)</f>
        <v>6</v>
      </c>
      <c r="U584" s="65">
        <f>T584+L584</f>
        <v>12</v>
      </c>
      <c r="V584" s="11">
        <v>12</v>
      </c>
      <c r="W584" s="38">
        <f>V584-U584</f>
        <v>0</v>
      </c>
      <c r="X584" s="47"/>
    </row>
    <row r="585" spans="1:28" s="51" customFormat="1" ht="18" customHeight="1">
      <c r="A585" s="614"/>
      <c r="B585" s="581"/>
      <c r="C585" s="581"/>
      <c r="D585" s="187" t="str">
        <f>серпень!D508</f>
        <v>тариф, грн.</v>
      </c>
      <c r="E585" s="49" t="e">
        <f>E586/E584*1000</f>
        <v>#DIV/0!</v>
      </c>
      <c r="F585" s="49">
        <v>2.1</v>
      </c>
      <c r="G585" s="49">
        <v>2.1</v>
      </c>
      <c r="H585" s="49">
        <v>2.1</v>
      </c>
      <c r="I585" s="49">
        <v>2.1</v>
      </c>
      <c r="J585" s="49">
        <v>2.1</v>
      </c>
      <c r="K585" s="49">
        <v>2.1</v>
      </c>
      <c r="L585" s="68">
        <f>L586/L584*1000</f>
        <v>2</v>
      </c>
      <c r="M585" s="68">
        <f>M586/M584*1000</f>
        <v>2</v>
      </c>
      <c r="N585" s="68">
        <v>2.1</v>
      </c>
      <c r="O585" s="68">
        <v>2.1</v>
      </c>
      <c r="P585" s="68">
        <v>2.1</v>
      </c>
      <c r="Q585" s="68">
        <v>2.1</v>
      </c>
      <c r="R585" s="68">
        <v>2.1</v>
      </c>
      <c r="S585" s="49">
        <v>2.1</v>
      </c>
      <c r="T585" s="68">
        <f>T586/T584*1000</f>
        <v>2</v>
      </c>
      <c r="U585" s="68">
        <f>U586/U584*1000</f>
        <v>2</v>
      </c>
      <c r="V585" s="68">
        <f>V586/V584*1000</f>
        <v>2.0830000000000002</v>
      </c>
      <c r="W585" s="14" t="e">
        <f>W586/W584*1000</f>
        <v>#DIV/0!</v>
      </c>
      <c r="X585" s="59"/>
    </row>
    <row r="586" spans="1:28" s="130" customFormat="1" ht="18" customHeight="1">
      <c r="A586" s="614"/>
      <c r="B586" s="581"/>
      <c r="C586" s="581"/>
      <c r="D586" s="191" t="str">
        <f>серпень!D509</f>
        <v>сума, тис.грн.</v>
      </c>
      <c r="E586" s="52"/>
      <c r="F586" s="52">
        <v>2E-3</v>
      </c>
      <c r="G586" s="52">
        <v>2E-3</v>
      </c>
      <c r="H586" s="52">
        <f t="shared" ref="H586:K586" si="693">H584*H585/1000</f>
        <v>2E-3</v>
      </c>
      <c r="I586" s="52">
        <f t="shared" si="693"/>
        <v>2E-3</v>
      </c>
      <c r="J586" s="52">
        <f t="shared" si="693"/>
        <v>2E-3</v>
      </c>
      <c r="K586" s="52">
        <f t="shared" si="693"/>
        <v>2E-3</v>
      </c>
      <c r="L586" s="69">
        <f>SUM(F586:K586)</f>
        <v>1.2E-2</v>
      </c>
      <c r="M586" s="69">
        <f>L586/6</f>
        <v>2E-3</v>
      </c>
      <c r="N586" s="52">
        <f>N584*N585/1000</f>
        <v>2E-3</v>
      </c>
      <c r="O586" s="52">
        <f t="shared" ref="O586" si="694">O584*O585/1000</f>
        <v>2E-3</v>
      </c>
      <c r="P586" s="52">
        <f t="shared" ref="P586" si="695">P584*P585/1000</f>
        <v>2E-3</v>
      </c>
      <c r="Q586" s="52">
        <f t="shared" ref="Q586" si="696">Q584*Q585/1000</f>
        <v>2E-3</v>
      </c>
      <c r="R586" s="52">
        <f t="shared" ref="R586" si="697">R584*R585/1000</f>
        <v>2E-3</v>
      </c>
      <c r="S586" s="52">
        <f>S584*S585/1000</f>
        <v>2E-3</v>
      </c>
      <c r="T586" s="69">
        <f>SUM(N586:S586)</f>
        <v>1.2E-2</v>
      </c>
      <c r="U586" s="69">
        <f>T586+L586</f>
        <v>2.4E-2</v>
      </c>
      <c r="V586" s="70">
        <f>V587+V588</f>
        <v>2.5000000000000001E-2</v>
      </c>
      <c r="W586" s="53">
        <f>V586-U586</f>
        <v>1E-3</v>
      </c>
    </row>
    <row r="587" spans="1:28" s="130" customFormat="1" ht="18" customHeight="1">
      <c r="A587" s="614"/>
      <c r="B587" s="581"/>
      <c r="C587" s="581"/>
      <c r="D587" s="174" t="str">
        <f>серпень!D510</f>
        <v>дотація</v>
      </c>
      <c r="E587" s="56"/>
      <c r="F587" s="52"/>
      <c r="G587" s="52"/>
      <c r="H587" s="52"/>
      <c r="I587" s="52"/>
      <c r="J587" s="52"/>
      <c r="K587" s="52"/>
      <c r="L587" s="69">
        <f>SUM(F587:K587)</f>
        <v>0</v>
      </c>
      <c r="M587" s="69">
        <f>L587/6</f>
        <v>0</v>
      </c>
      <c r="N587" s="52"/>
      <c r="O587" s="52"/>
      <c r="P587" s="52"/>
      <c r="Q587" s="52"/>
      <c r="R587" s="52"/>
      <c r="S587" s="52"/>
      <c r="T587" s="69">
        <f>SUM(N587:S587)</f>
        <v>0</v>
      </c>
      <c r="U587" s="69">
        <f>T587+L587</f>
        <v>0</v>
      </c>
      <c r="V587" s="70">
        <v>0</v>
      </c>
      <c r="W587" s="53">
        <f>V587-U587</f>
        <v>0</v>
      </c>
    </row>
    <row r="588" spans="1:28" s="130" customFormat="1" ht="18" customHeight="1">
      <c r="A588" s="614"/>
      <c r="B588" s="581"/>
      <c r="C588" s="581"/>
      <c r="D588" s="174" t="str">
        <f>серпень!D511</f>
        <v>місцевий (план), тис.грн</v>
      </c>
      <c r="E588" s="56"/>
      <c r="F588" s="52">
        <v>0</v>
      </c>
      <c r="G588" s="52">
        <v>3.0000000000000001E-3</v>
      </c>
      <c r="H588" s="52">
        <v>2E-3</v>
      </c>
      <c r="I588" s="52">
        <v>2E-3</v>
      </c>
      <c r="J588" s="52">
        <v>2E-3</v>
      </c>
      <c r="K588" s="52">
        <v>2E-3</v>
      </c>
      <c r="L588" s="69">
        <f>SUM(F588:K588)</f>
        <v>1.0999999999999999E-2</v>
      </c>
      <c r="M588" s="69">
        <f>L588/6</f>
        <v>2E-3</v>
      </c>
      <c r="N588" s="52">
        <v>2E-3</v>
      </c>
      <c r="O588" s="52">
        <v>2E-3</v>
      </c>
      <c r="P588" s="52">
        <v>2E-3</v>
      </c>
      <c r="Q588" s="52">
        <v>2E-3</v>
      </c>
      <c r="R588" s="52">
        <v>2E-3</v>
      </c>
      <c r="S588" s="52">
        <v>4.0000000000000001E-3</v>
      </c>
      <c r="T588" s="69">
        <f>SUM(N588:S588)</f>
        <v>1.4E-2</v>
      </c>
      <c r="U588" s="69">
        <f>T588+L588</f>
        <v>2.5000000000000001E-2</v>
      </c>
      <c r="V588" s="70">
        <v>2.5000000000000001E-2</v>
      </c>
      <c r="W588" s="53">
        <f>V588-U588</f>
        <v>0</v>
      </c>
    </row>
    <row r="589" spans="1:28" s="48" customFormat="1" ht="18" customHeight="1">
      <c r="A589" s="614"/>
      <c r="B589" s="581"/>
      <c r="C589" s="581"/>
      <c r="D589" s="178" t="str">
        <f>серпень!D512</f>
        <v>касові нат.п-ки 2025</v>
      </c>
      <c r="E589" s="11"/>
      <c r="F589" s="12">
        <v>0</v>
      </c>
      <c r="G589" s="12">
        <v>1</v>
      </c>
      <c r="H589" s="12">
        <v>1</v>
      </c>
      <c r="I589" s="12">
        <v>1</v>
      </c>
      <c r="J589" s="12">
        <v>1</v>
      </c>
      <c r="K589" s="12">
        <v>1</v>
      </c>
      <c r="L589" s="65">
        <f>SUM(F589:K589)</f>
        <v>5</v>
      </c>
      <c r="M589" s="65">
        <f>L589/6</f>
        <v>0.8</v>
      </c>
      <c r="N589" s="12">
        <v>1</v>
      </c>
      <c r="O589" s="12">
        <v>1</v>
      </c>
      <c r="P589" s="12">
        <v>1</v>
      </c>
      <c r="Q589" s="12">
        <v>1</v>
      </c>
      <c r="R589" s="12">
        <v>1</v>
      </c>
      <c r="S589" s="83">
        <v>2</v>
      </c>
      <c r="T589" s="65">
        <f>SUM(N589:S589)</f>
        <v>7</v>
      </c>
      <c r="U589" s="65">
        <f>T589+L589</f>
        <v>12</v>
      </c>
      <c r="V589" s="11">
        <f>V584</f>
        <v>12</v>
      </c>
      <c r="W589" s="38">
        <f>V589-U589</f>
        <v>0</v>
      </c>
      <c r="X589" s="47">
        <f>U584-U589</f>
        <v>0</v>
      </c>
    </row>
    <row r="590" spans="1:28" s="51" customFormat="1" ht="18" customHeight="1">
      <c r="A590" s="614"/>
      <c r="B590" s="581"/>
      <c r="C590" s="581"/>
      <c r="D590" s="187" t="str">
        <f>серпень!D513</f>
        <v>тариф, грн.</v>
      </c>
      <c r="E590" s="49" t="e">
        <f>E591/E589*1000</f>
        <v>#DIV/0!</v>
      </c>
      <c r="F590" s="49" t="e">
        <v>#DIV/0!</v>
      </c>
      <c r="G590" s="49">
        <v>2.1</v>
      </c>
      <c r="H590" s="49">
        <v>2.1</v>
      </c>
      <c r="I590" s="49">
        <v>2.1</v>
      </c>
      <c r="J590" s="49">
        <v>2.1</v>
      </c>
      <c r="K590" s="49">
        <v>2.1</v>
      </c>
      <c r="L590" s="68">
        <f t="shared" ref="L590:M590" si="698">L591/L589*1000</f>
        <v>2</v>
      </c>
      <c r="M590" s="68">
        <f t="shared" si="698"/>
        <v>2.5</v>
      </c>
      <c r="N590" s="68">
        <v>2.1</v>
      </c>
      <c r="O590" s="68">
        <v>2.1</v>
      </c>
      <c r="P590" s="68">
        <v>2.1</v>
      </c>
      <c r="Q590" s="68">
        <v>2.1</v>
      </c>
      <c r="R590" s="68">
        <v>2.1</v>
      </c>
      <c r="S590" s="49">
        <v>2.1</v>
      </c>
      <c r="T590" s="68">
        <f>T591/T589*1000</f>
        <v>2</v>
      </c>
      <c r="U590" s="68">
        <f>U591/U589*1000</f>
        <v>2</v>
      </c>
      <c r="V590" s="68">
        <f>V591/V589*1000</f>
        <v>2.0830000000000002</v>
      </c>
      <c r="W590" s="14" t="e">
        <f>W591/W589*1000</f>
        <v>#DIV/0!</v>
      </c>
      <c r="X590" s="59"/>
    </row>
    <row r="591" spans="1:28" s="126" customFormat="1" ht="18" customHeight="1">
      <c r="A591" s="614"/>
      <c r="B591" s="581"/>
      <c r="C591" s="581"/>
      <c r="D591" s="198" t="str">
        <f>серпень!D514</f>
        <v>касові видатки, тис.грн.</v>
      </c>
      <c r="E591" s="71"/>
      <c r="F591" s="61">
        <v>0</v>
      </c>
      <c r="G591" s="61">
        <v>2E-3</v>
      </c>
      <c r="H591" s="61">
        <v>2E-3</v>
      </c>
      <c r="I591" s="61">
        <f t="shared" ref="I591" si="699">I589*I590/1000</f>
        <v>2E-3</v>
      </c>
      <c r="J591" s="61">
        <f t="shared" ref="J591" si="700">J589*J590/1000</f>
        <v>2E-3</v>
      </c>
      <c r="K591" s="61">
        <f t="shared" ref="K591" si="701">K589*K590/1000</f>
        <v>2E-3</v>
      </c>
      <c r="L591" s="61">
        <f>SUM(F591:K591)</f>
        <v>0.01</v>
      </c>
      <c r="M591" s="61">
        <f>L591/6</f>
        <v>2E-3</v>
      </c>
      <c r="N591" s="61">
        <f>N589*N590/1000</f>
        <v>2E-3</v>
      </c>
      <c r="O591" s="61">
        <f t="shared" ref="O591" si="702">O589*O590/1000</f>
        <v>2E-3</v>
      </c>
      <c r="P591" s="61">
        <f t="shared" ref="P591" si="703">P589*P590/1000</f>
        <v>2E-3</v>
      </c>
      <c r="Q591" s="61">
        <f t="shared" ref="Q591" si="704">Q589*Q590/1000</f>
        <v>2E-3</v>
      </c>
      <c r="R591" s="61">
        <f t="shared" ref="R591" si="705">R589*R590/1000</f>
        <v>2E-3</v>
      </c>
      <c r="S591" s="61">
        <f>S589*S590/1000</f>
        <v>4.0000000000000001E-3</v>
      </c>
      <c r="T591" s="61">
        <f>SUM(N591:S591)</f>
        <v>1.4E-2</v>
      </c>
      <c r="U591" s="61">
        <f>T591+L591</f>
        <v>2.4E-2</v>
      </c>
      <c r="V591" s="61">
        <f>V586</f>
        <v>2.5000000000000001E-2</v>
      </c>
      <c r="W591" s="72">
        <f>V591-U591</f>
        <v>1E-3</v>
      </c>
      <c r="X591" s="63">
        <f>U586-U591</f>
        <v>0</v>
      </c>
    </row>
    <row r="592" spans="1:28" s="126" customFormat="1" ht="18" customHeight="1">
      <c r="A592" s="614"/>
      <c r="B592" s="581"/>
      <c r="C592" s="581"/>
      <c r="D592" s="201" t="str">
        <f>серпень!D515</f>
        <v>дотація</v>
      </c>
      <c r="E592" s="71"/>
      <c r="F592" s="61">
        <v>0</v>
      </c>
      <c r="G592" s="61">
        <v>0</v>
      </c>
      <c r="H592" s="61">
        <v>0</v>
      </c>
      <c r="I592" s="61">
        <v>0</v>
      </c>
      <c r="J592" s="61">
        <v>0</v>
      </c>
      <c r="K592" s="61">
        <v>0</v>
      </c>
      <c r="L592" s="61">
        <f>SUM(F592:K592)</f>
        <v>0</v>
      </c>
      <c r="M592" s="61">
        <f>L592/6</f>
        <v>0</v>
      </c>
      <c r="N592" s="61">
        <v>0</v>
      </c>
      <c r="O592" s="61">
        <v>0</v>
      </c>
      <c r="P592" s="61">
        <v>0</v>
      </c>
      <c r="Q592" s="61">
        <v>0</v>
      </c>
      <c r="R592" s="61">
        <v>0</v>
      </c>
      <c r="S592" s="61">
        <v>0</v>
      </c>
      <c r="T592" s="61">
        <f>SUM(N592:S592)</f>
        <v>0</v>
      </c>
      <c r="U592" s="61">
        <f>T592+L592</f>
        <v>0</v>
      </c>
      <c r="V592" s="61">
        <f>V587</f>
        <v>0</v>
      </c>
      <c r="W592" s="72">
        <f>V592-U592</f>
        <v>0</v>
      </c>
      <c r="X592" s="63">
        <f>U587-U592</f>
        <v>0</v>
      </c>
    </row>
    <row r="593" spans="1:28" s="126" customFormat="1" ht="18" customHeight="1">
      <c r="A593" s="614"/>
      <c r="B593" s="581"/>
      <c r="C593" s="581"/>
      <c r="D593" s="201" t="str">
        <f>серпень!D516</f>
        <v xml:space="preserve">місцевий </v>
      </c>
      <c r="E593" s="71"/>
      <c r="F593" s="61">
        <f t="shared" ref="F593:K593" si="706">F591-F592</f>
        <v>0</v>
      </c>
      <c r="G593" s="61">
        <f t="shared" si="706"/>
        <v>2E-3</v>
      </c>
      <c r="H593" s="61">
        <f t="shared" si="706"/>
        <v>2E-3</v>
      </c>
      <c r="I593" s="61">
        <f t="shared" si="706"/>
        <v>2E-3</v>
      </c>
      <c r="J593" s="61">
        <f t="shared" si="706"/>
        <v>2E-3</v>
      </c>
      <c r="K593" s="61">
        <f t="shared" si="706"/>
        <v>2E-3</v>
      </c>
      <c r="L593" s="61">
        <f>SUM(F593:K593)</f>
        <v>0.01</v>
      </c>
      <c r="M593" s="61">
        <f>L593/6</f>
        <v>2E-3</v>
      </c>
      <c r="N593" s="61">
        <f t="shared" ref="N593:S593" si="707">N591-N592</f>
        <v>2E-3</v>
      </c>
      <c r="O593" s="61">
        <f t="shared" si="707"/>
        <v>2E-3</v>
      </c>
      <c r="P593" s="61">
        <f t="shared" si="707"/>
        <v>2E-3</v>
      </c>
      <c r="Q593" s="61">
        <f t="shared" si="707"/>
        <v>2E-3</v>
      </c>
      <c r="R593" s="61">
        <f t="shared" si="707"/>
        <v>2E-3</v>
      </c>
      <c r="S593" s="61">
        <f t="shared" si="707"/>
        <v>4.0000000000000001E-3</v>
      </c>
      <c r="T593" s="61">
        <f>SUM(N593:S593)</f>
        <v>1.4E-2</v>
      </c>
      <c r="U593" s="61">
        <f>T593+L593</f>
        <v>2.4E-2</v>
      </c>
      <c r="V593" s="61">
        <f>V588</f>
        <v>2.5000000000000001E-2</v>
      </c>
      <c r="W593" s="72">
        <f>V593-U593</f>
        <v>1E-3</v>
      </c>
      <c r="X593" s="63">
        <f>U588-U593</f>
        <v>1E-3</v>
      </c>
    </row>
    <row r="594" spans="1:28" s="43" customFormat="1" ht="18" customHeight="1">
      <c r="A594" s="614"/>
      <c r="B594" s="581"/>
      <c r="C594" s="581"/>
      <c r="D594" s="202" t="str">
        <f>серпень!D517</f>
        <v>план</v>
      </c>
      <c r="E594" s="42"/>
      <c r="F594" s="42">
        <f t="shared" ref="F594:K594" si="708">F588</f>
        <v>0</v>
      </c>
      <c r="G594" s="42">
        <f t="shared" si="708"/>
        <v>3.0000000000000001E-3</v>
      </c>
      <c r="H594" s="42">
        <f t="shared" si="708"/>
        <v>2E-3</v>
      </c>
      <c r="I594" s="42">
        <f t="shared" si="708"/>
        <v>2E-3</v>
      </c>
      <c r="J594" s="42">
        <f t="shared" si="708"/>
        <v>2E-3</v>
      </c>
      <c r="K594" s="42">
        <f t="shared" si="708"/>
        <v>2E-3</v>
      </c>
      <c r="L594" s="42">
        <f>SUM(F594:K594)</f>
        <v>1.0999999999999999E-2</v>
      </c>
      <c r="M594" s="42">
        <f>L594/6</f>
        <v>2E-3</v>
      </c>
      <c r="N594" s="42">
        <f t="shared" ref="N594:S594" si="709">N588+N587</f>
        <v>2E-3</v>
      </c>
      <c r="O594" s="42">
        <f t="shared" si="709"/>
        <v>2E-3</v>
      </c>
      <c r="P594" s="42">
        <f t="shared" si="709"/>
        <v>2E-3</v>
      </c>
      <c r="Q594" s="42">
        <f t="shared" si="709"/>
        <v>2E-3</v>
      </c>
      <c r="R594" s="42">
        <f t="shared" si="709"/>
        <v>2E-3</v>
      </c>
      <c r="S594" s="42">
        <f t="shared" si="709"/>
        <v>4.0000000000000001E-3</v>
      </c>
      <c r="T594" s="42">
        <f>SUM(N594:S594)</f>
        <v>1.4E-2</v>
      </c>
      <c r="U594" s="42">
        <f>T594+L594</f>
        <v>2.5000000000000001E-2</v>
      </c>
      <c r="V594" s="42">
        <f>V591</f>
        <v>2.5000000000000001E-2</v>
      </c>
      <c r="W594" s="42">
        <f>V594-U594</f>
        <v>0</v>
      </c>
    </row>
    <row r="595" spans="1:28" s="43" customFormat="1" ht="18" customHeight="1">
      <c r="A595" s="614"/>
      <c r="B595" s="581"/>
      <c r="C595" s="581"/>
      <c r="D595" s="202" t="str">
        <f>серпень!D518</f>
        <v xml:space="preserve">відхилення </v>
      </c>
      <c r="E595" s="42"/>
      <c r="F595" s="42">
        <f t="shared" ref="F595:K595" si="710">F591-F594</f>
        <v>0</v>
      </c>
      <c r="G595" s="42">
        <f t="shared" si="710"/>
        <v>-1E-3</v>
      </c>
      <c r="H595" s="42">
        <f t="shared" si="710"/>
        <v>0</v>
      </c>
      <c r="I595" s="42">
        <f t="shared" si="710"/>
        <v>0</v>
      </c>
      <c r="J595" s="42">
        <f t="shared" si="710"/>
        <v>0</v>
      </c>
      <c r="K595" s="42">
        <f t="shared" si="710"/>
        <v>0</v>
      </c>
      <c r="L595" s="42"/>
      <c r="M595" s="42"/>
      <c r="N595" s="42">
        <f t="shared" ref="N595:S595" si="711">N591-N594</f>
        <v>0</v>
      </c>
      <c r="O595" s="42">
        <f t="shared" si="711"/>
        <v>0</v>
      </c>
      <c r="P595" s="42">
        <f t="shared" si="711"/>
        <v>0</v>
      </c>
      <c r="Q595" s="42">
        <f t="shared" si="711"/>
        <v>0</v>
      </c>
      <c r="R595" s="42">
        <f t="shared" si="711"/>
        <v>0</v>
      </c>
      <c r="S595" s="42">
        <f t="shared" si="711"/>
        <v>0</v>
      </c>
      <c r="T595" s="42"/>
      <c r="U595" s="42"/>
      <c r="V595" s="42"/>
      <c r="W595" s="42"/>
    </row>
    <row r="596" spans="1:28" s="43" customFormat="1" ht="18" customHeight="1">
      <c r="A596" s="614"/>
      <c r="B596" s="581"/>
      <c r="C596" s="581"/>
      <c r="D596" s="202" t="str">
        <f>серпень!D519</f>
        <v>відхилення з наростаючим</v>
      </c>
      <c r="E596" s="42"/>
      <c r="F596" s="42">
        <f>F595</f>
        <v>0</v>
      </c>
      <c r="G596" s="42">
        <f>G595+F596</f>
        <v>-1E-3</v>
      </c>
      <c r="H596" s="42">
        <f>H595+G596</f>
        <v>-1E-3</v>
      </c>
      <c r="I596" s="42">
        <f>I595+H596</f>
        <v>-1E-3</v>
      </c>
      <c r="J596" s="42">
        <f>J595+I596</f>
        <v>-1E-3</v>
      </c>
      <c r="K596" s="42">
        <f>K595+J596</f>
        <v>-1E-3</v>
      </c>
      <c r="L596" s="42"/>
      <c r="M596" s="42"/>
      <c r="N596" s="42">
        <f>N595+K596</f>
        <v>-1E-3</v>
      </c>
      <c r="O596" s="42">
        <f>O595+N596</f>
        <v>-1E-3</v>
      </c>
      <c r="P596" s="42">
        <f>P595+O596</f>
        <v>-1E-3</v>
      </c>
      <c r="Q596" s="42">
        <f>Q595+P596</f>
        <v>-1E-3</v>
      </c>
      <c r="R596" s="42">
        <f>R595+Q596</f>
        <v>-1E-3</v>
      </c>
      <c r="S596" s="42">
        <f>S595+R596</f>
        <v>-1E-3</v>
      </c>
      <c r="T596" s="42"/>
      <c r="U596" s="42"/>
      <c r="V596" s="42"/>
      <c r="W596" s="42"/>
    </row>
    <row r="597" spans="1:28" s="55" customFormat="1" ht="18" hidden="1" customHeight="1">
      <c r="A597" s="614"/>
      <c r="B597" s="581" t="s">
        <v>64</v>
      </c>
      <c r="C597" s="581"/>
      <c r="D597" s="178" t="str">
        <f>серпень!D520</f>
        <v>факт. нат.п-ки 2023</v>
      </c>
      <c r="E597" s="11"/>
      <c r="F597" s="12"/>
      <c r="G597" s="12"/>
      <c r="H597" s="12"/>
      <c r="I597" s="12"/>
      <c r="J597" s="12"/>
      <c r="K597" s="12"/>
      <c r="L597" s="65">
        <f>SUM(F597:K597)</f>
        <v>0</v>
      </c>
      <c r="M597" s="65">
        <f>L597/6</f>
        <v>0</v>
      </c>
      <c r="N597" s="12"/>
      <c r="O597" s="12"/>
      <c r="P597" s="12"/>
      <c r="Q597" s="12"/>
      <c r="R597" s="12"/>
      <c r="S597" s="12"/>
      <c r="T597" s="65">
        <f>SUM(N597:S597)</f>
        <v>0</v>
      </c>
      <c r="U597" s="65">
        <f>T597+L597</f>
        <v>0</v>
      </c>
      <c r="V597" s="67"/>
      <c r="W597" s="38"/>
      <c r="X597" s="47"/>
      <c r="Y597" s="48"/>
      <c r="Z597" s="48"/>
      <c r="AA597" s="48"/>
      <c r="AB597" s="48"/>
    </row>
    <row r="598" spans="1:28" s="48" customFormat="1" ht="18" hidden="1" customHeight="1">
      <c r="A598" s="614"/>
      <c r="B598" s="581"/>
      <c r="C598" s="581"/>
      <c r="D598" s="178" t="str">
        <f>серпень!D521</f>
        <v>факт. нат.п-ки 2024</v>
      </c>
      <c r="E598" s="11"/>
      <c r="F598" s="12"/>
      <c r="G598" s="12"/>
      <c r="H598" s="12"/>
      <c r="I598" s="12"/>
      <c r="J598" s="12"/>
      <c r="K598" s="12"/>
      <c r="L598" s="65">
        <f>SUM(F598:K598)</f>
        <v>0</v>
      </c>
      <c r="M598" s="65">
        <f>L598/6</f>
        <v>0</v>
      </c>
      <c r="N598" s="11"/>
      <c r="O598" s="11"/>
      <c r="P598" s="11"/>
      <c r="Q598" s="11"/>
      <c r="R598" s="11"/>
      <c r="S598" s="11"/>
      <c r="T598" s="65">
        <f>SUM(N598:S598)</f>
        <v>0</v>
      </c>
      <c r="U598" s="65">
        <f>T598+L598</f>
        <v>0</v>
      </c>
      <c r="V598" s="67"/>
      <c r="W598" s="38"/>
      <c r="X598" s="47"/>
    </row>
    <row r="599" spans="1:28" s="48" customFormat="1" ht="18" hidden="1" customHeight="1">
      <c r="A599" s="614"/>
      <c r="B599" s="581"/>
      <c r="C599" s="581"/>
      <c r="D599" s="178" t="str">
        <f>серпень!D522</f>
        <v>факт. нат.п-ки 2025</v>
      </c>
      <c r="E599" s="11"/>
      <c r="F599" s="12"/>
      <c r="G599" s="12"/>
      <c r="H599" s="12"/>
      <c r="I599" s="12"/>
      <c r="J599" s="12"/>
      <c r="K599" s="12"/>
      <c r="L599" s="65">
        <f>SUM(F599:K599)</f>
        <v>0</v>
      </c>
      <c r="M599" s="65">
        <f>L599/6</f>
        <v>0</v>
      </c>
      <c r="N599" s="12"/>
      <c r="O599" s="12"/>
      <c r="P599" s="12"/>
      <c r="Q599" s="12"/>
      <c r="R599" s="12"/>
      <c r="S599" s="11"/>
      <c r="T599" s="65">
        <f>SUM(N599:S599)</f>
        <v>0</v>
      </c>
      <c r="U599" s="65">
        <f>T599+L599</f>
        <v>0</v>
      </c>
      <c r="V599" s="11"/>
      <c r="W599" s="38">
        <f>V599-U599</f>
        <v>0</v>
      </c>
      <c r="X599" s="47"/>
    </row>
    <row r="600" spans="1:28" s="51" customFormat="1" ht="18" hidden="1" customHeight="1">
      <c r="A600" s="614"/>
      <c r="B600" s="581"/>
      <c r="C600" s="581"/>
      <c r="D600" s="187" t="str">
        <f>серпень!D523</f>
        <v>тариф, грн.</v>
      </c>
      <c r="E600" s="49"/>
      <c r="F600" s="49">
        <v>206.86</v>
      </c>
      <c r="G600" s="49">
        <v>206.86</v>
      </c>
      <c r="H600" s="49">
        <v>206.86</v>
      </c>
      <c r="I600" s="49">
        <v>206.86</v>
      </c>
      <c r="J600" s="49">
        <v>206.86</v>
      </c>
      <c r="K600" s="49">
        <v>206.86</v>
      </c>
      <c r="L600" s="68" t="e">
        <f>L601/L599*1000</f>
        <v>#DIV/0!</v>
      </c>
      <c r="M600" s="68" t="e">
        <f>M601/M599*1000</f>
        <v>#DIV/0!</v>
      </c>
      <c r="N600" s="49">
        <v>206.86</v>
      </c>
      <c r="O600" s="49">
        <v>206.86</v>
      </c>
      <c r="P600" s="49">
        <v>206.86</v>
      </c>
      <c r="Q600" s="49">
        <v>206.86</v>
      </c>
      <c r="R600" s="49">
        <v>206.86</v>
      </c>
      <c r="S600" s="49">
        <v>206.86</v>
      </c>
      <c r="T600" s="68" t="e">
        <f>T601/T599*1000</f>
        <v>#DIV/0!</v>
      </c>
      <c r="U600" s="68" t="e">
        <f>U601/U599*1000</f>
        <v>#DIV/0!</v>
      </c>
      <c r="V600" s="68" t="e">
        <f>V601/V599*1000</f>
        <v>#DIV/0!</v>
      </c>
      <c r="W600" s="14" t="e">
        <f>W601/W599*1000</f>
        <v>#DIV/0!</v>
      </c>
      <c r="X600" s="59"/>
    </row>
    <row r="601" spans="1:28" s="130" customFormat="1" ht="18" hidden="1" customHeight="1">
      <c r="A601" s="614"/>
      <c r="B601" s="581"/>
      <c r="C601" s="581"/>
      <c r="D601" s="191" t="str">
        <f>серпень!D524</f>
        <v>сума, тис.грн.</v>
      </c>
      <c r="E601" s="52"/>
      <c r="F601" s="52">
        <f t="shared" ref="F601:K601" si="712">F599*F600/1000</f>
        <v>0</v>
      </c>
      <c r="G601" s="52">
        <f t="shared" si="712"/>
        <v>0</v>
      </c>
      <c r="H601" s="52">
        <f t="shared" si="712"/>
        <v>0</v>
      </c>
      <c r="I601" s="52">
        <f t="shared" si="712"/>
        <v>0</v>
      </c>
      <c r="J601" s="52">
        <f t="shared" si="712"/>
        <v>0</v>
      </c>
      <c r="K601" s="52">
        <f t="shared" si="712"/>
        <v>0</v>
      </c>
      <c r="L601" s="69">
        <f>SUM(F601:K601)</f>
        <v>0</v>
      </c>
      <c r="M601" s="69">
        <f>L601/6</f>
        <v>0</v>
      </c>
      <c r="N601" s="52">
        <f t="shared" ref="N601:S601" si="713">N599*N600/1000</f>
        <v>0</v>
      </c>
      <c r="O601" s="52">
        <f t="shared" si="713"/>
        <v>0</v>
      </c>
      <c r="P601" s="52">
        <f t="shared" si="713"/>
        <v>0</v>
      </c>
      <c r="Q601" s="52">
        <f t="shared" si="713"/>
        <v>0</v>
      </c>
      <c r="R601" s="52">
        <f t="shared" si="713"/>
        <v>0</v>
      </c>
      <c r="S601" s="52">
        <f t="shared" si="713"/>
        <v>0</v>
      </c>
      <c r="T601" s="69">
        <f>SUM(N601:S601)</f>
        <v>0</v>
      </c>
      <c r="U601" s="69">
        <f>T601+L601</f>
        <v>0</v>
      </c>
      <c r="V601" s="70">
        <f>V602+V603</f>
        <v>0</v>
      </c>
      <c r="W601" s="53">
        <f>V601-U601</f>
        <v>0</v>
      </c>
    </row>
    <row r="602" spans="1:28" s="130" customFormat="1" ht="18" hidden="1" customHeight="1">
      <c r="A602" s="614"/>
      <c r="B602" s="581"/>
      <c r="C602" s="581"/>
      <c r="D602" s="174" t="str">
        <f>серпень!D525</f>
        <v>дотація</v>
      </c>
      <c r="E602" s="56"/>
      <c r="F602" s="52"/>
      <c r="G602" s="52"/>
      <c r="H602" s="52"/>
      <c r="I602" s="52"/>
      <c r="J602" s="52"/>
      <c r="K602" s="52"/>
      <c r="L602" s="69">
        <f>SUM(F602:K602)</f>
        <v>0</v>
      </c>
      <c r="M602" s="69">
        <f>L602/6</f>
        <v>0</v>
      </c>
      <c r="N602" s="52"/>
      <c r="O602" s="52"/>
      <c r="P602" s="52"/>
      <c r="Q602" s="52"/>
      <c r="R602" s="52"/>
      <c r="S602" s="52"/>
      <c r="T602" s="69">
        <f>SUM(N602:S602)</f>
        <v>0</v>
      </c>
      <c r="U602" s="69">
        <f>T602+L602</f>
        <v>0</v>
      </c>
      <c r="V602" s="70">
        <v>0</v>
      </c>
      <c r="W602" s="53">
        <f>V602-U602</f>
        <v>0</v>
      </c>
    </row>
    <row r="603" spans="1:28" s="130" customFormat="1" ht="18" hidden="1" customHeight="1">
      <c r="A603" s="614"/>
      <c r="B603" s="581"/>
      <c r="C603" s="581"/>
      <c r="D603" s="174" t="str">
        <f>серпень!D526</f>
        <v>місцевий (план), тис.грн</v>
      </c>
      <c r="E603" s="56"/>
      <c r="F603" s="52"/>
      <c r="G603" s="52"/>
      <c r="H603" s="52"/>
      <c r="I603" s="52"/>
      <c r="J603" s="52"/>
      <c r="K603" s="52"/>
      <c r="L603" s="69">
        <f>SUM(F603:K603)</f>
        <v>0</v>
      </c>
      <c r="M603" s="69">
        <f>L603/6</f>
        <v>0</v>
      </c>
      <c r="N603" s="52"/>
      <c r="O603" s="52"/>
      <c r="P603" s="52"/>
      <c r="Q603" s="52"/>
      <c r="R603" s="52"/>
      <c r="S603" s="52"/>
      <c r="T603" s="69">
        <f>SUM(N603:S603)</f>
        <v>0</v>
      </c>
      <c r="U603" s="69">
        <f>T603+L603</f>
        <v>0</v>
      </c>
      <c r="V603" s="70"/>
      <c r="W603" s="53">
        <f>V603-U603</f>
        <v>0</v>
      </c>
    </row>
    <row r="604" spans="1:28" s="48" customFormat="1" ht="18" hidden="1" customHeight="1">
      <c r="A604" s="614"/>
      <c r="B604" s="581"/>
      <c r="C604" s="581"/>
      <c r="D604" s="178" t="str">
        <f>серпень!D527</f>
        <v>касові нат.п-ки 2025</v>
      </c>
      <c r="E604" s="11"/>
      <c r="F604" s="11"/>
      <c r="G604" s="11"/>
      <c r="H604" s="11"/>
      <c r="I604" s="11"/>
      <c r="J604" s="11"/>
      <c r="K604" s="11"/>
      <c r="L604" s="65">
        <f>SUM(F604:K604)</f>
        <v>0</v>
      </c>
      <c r="M604" s="65">
        <f>L604/6</f>
        <v>0</v>
      </c>
      <c r="N604" s="11"/>
      <c r="O604" s="11"/>
      <c r="P604" s="11"/>
      <c r="Q604" s="11"/>
      <c r="R604" s="11"/>
      <c r="S604" s="11"/>
      <c r="T604" s="65">
        <f>SUM(N604:S604)</f>
        <v>0</v>
      </c>
      <c r="U604" s="65">
        <f>T604+L604</f>
        <v>0</v>
      </c>
      <c r="V604" s="11">
        <f>V599</f>
        <v>0</v>
      </c>
      <c r="W604" s="38">
        <f>V604-U604</f>
        <v>0</v>
      </c>
      <c r="X604" s="47">
        <f>U599-U604</f>
        <v>0</v>
      </c>
    </row>
    <row r="605" spans="1:28" s="51" customFormat="1" ht="18" hidden="1" customHeight="1">
      <c r="A605" s="614"/>
      <c r="B605" s="581"/>
      <c r="C605" s="581"/>
      <c r="D605" s="187" t="str">
        <f>серпень!D528</f>
        <v>тариф, грн.</v>
      </c>
      <c r="E605" s="49" t="e">
        <f>E606/E604*1000</f>
        <v>#DIV/0!</v>
      </c>
      <c r="F605" s="49">
        <v>206.86</v>
      </c>
      <c r="G605" s="49">
        <v>206.86</v>
      </c>
      <c r="H605" s="49">
        <v>206.86</v>
      </c>
      <c r="I605" s="49">
        <v>206.86</v>
      </c>
      <c r="J605" s="49">
        <v>206.86</v>
      </c>
      <c r="K605" s="49">
        <v>206.86</v>
      </c>
      <c r="L605" s="68" t="e">
        <f>L606/L604*1000</f>
        <v>#DIV/0!</v>
      </c>
      <c r="M605" s="68" t="e">
        <f>M606/M604*1000</f>
        <v>#DIV/0!</v>
      </c>
      <c r="N605" s="49">
        <v>206.86</v>
      </c>
      <c r="O605" s="49">
        <v>206.86</v>
      </c>
      <c r="P605" s="49">
        <v>206.86</v>
      </c>
      <c r="Q605" s="49">
        <v>206.86</v>
      </c>
      <c r="R605" s="49">
        <v>206.86</v>
      </c>
      <c r="S605" s="49">
        <v>206.86</v>
      </c>
      <c r="T605" s="68" t="e">
        <f>T606/T604*1000</f>
        <v>#DIV/0!</v>
      </c>
      <c r="U605" s="68" t="e">
        <f>U606/U604*1000</f>
        <v>#DIV/0!</v>
      </c>
      <c r="V605" s="68" t="e">
        <f>V606/V604*1000</f>
        <v>#DIV/0!</v>
      </c>
      <c r="W605" s="14" t="e">
        <f>W606/W604*1000</f>
        <v>#DIV/0!</v>
      </c>
      <c r="X605" s="59"/>
    </row>
    <row r="606" spans="1:28" s="126" customFormat="1" ht="18" hidden="1" customHeight="1">
      <c r="A606" s="614"/>
      <c r="B606" s="581"/>
      <c r="C606" s="581"/>
      <c r="D606" s="198" t="str">
        <f>серпень!D529</f>
        <v>касові видатки, тис.грн.</v>
      </c>
      <c r="E606" s="71"/>
      <c r="F606" s="61">
        <f t="shared" ref="F606:K606" si="714">F604*F605/1000</f>
        <v>0</v>
      </c>
      <c r="G606" s="61">
        <f t="shared" si="714"/>
        <v>0</v>
      </c>
      <c r="H606" s="61">
        <f t="shared" si="714"/>
        <v>0</v>
      </c>
      <c r="I606" s="61">
        <f t="shared" si="714"/>
        <v>0</v>
      </c>
      <c r="J606" s="61">
        <f t="shared" si="714"/>
        <v>0</v>
      </c>
      <c r="K606" s="61">
        <f t="shared" si="714"/>
        <v>0</v>
      </c>
      <c r="L606" s="61">
        <f>SUM(F606:K606)</f>
        <v>0</v>
      </c>
      <c r="M606" s="61">
        <f>L606/6</f>
        <v>0</v>
      </c>
      <c r="N606" s="61">
        <f t="shared" ref="N606:S606" si="715">N604*N605/1000</f>
        <v>0</v>
      </c>
      <c r="O606" s="61">
        <f t="shared" si="715"/>
        <v>0</v>
      </c>
      <c r="P606" s="61">
        <f t="shared" si="715"/>
        <v>0</v>
      </c>
      <c r="Q606" s="61">
        <f t="shared" si="715"/>
        <v>0</v>
      </c>
      <c r="R606" s="61">
        <f t="shared" si="715"/>
        <v>0</v>
      </c>
      <c r="S606" s="61">
        <f t="shared" si="715"/>
        <v>0</v>
      </c>
      <c r="T606" s="61">
        <f>SUM(N606:S606)</f>
        <v>0</v>
      </c>
      <c r="U606" s="61">
        <f>T606+L606</f>
        <v>0</v>
      </c>
      <c r="V606" s="61">
        <f>V601</f>
        <v>0</v>
      </c>
      <c r="W606" s="72">
        <f>V606-U606</f>
        <v>0</v>
      </c>
      <c r="X606" s="63">
        <f>U601-U606</f>
        <v>0</v>
      </c>
    </row>
    <row r="607" spans="1:28" s="126" customFormat="1" ht="18" hidden="1" customHeight="1">
      <c r="A607" s="614"/>
      <c r="B607" s="581"/>
      <c r="C607" s="581"/>
      <c r="D607" s="201" t="str">
        <f>серпень!D530</f>
        <v>дотація</v>
      </c>
      <c r="E607" s="71"/>
      <c r="F607" s="61">
        <v>0</v>
      </c>
      <c r="G607" s="61">
        <v>0</v>
      </c>
      <c r="H607" s="61">
        <v>0</v>
      </c>
      <c r="I607" s="61">
        <v>0</v>
      </c>
      <c r="J607" s="61">
        <v>0</v>
      </c>
      <c r="K607" s="61">
        <v>0</v>
      </c>
      <c r="L607" s="61">
        <f>SUM(F607:K607)</f>
        <v>0</v>
      </c>
      <c r="M607" s="61">
        <f>L607/6</f>
        <v>0</v>
      </c>
      <c r="N607" s="61">
        <v>0</v>
      </c>
      <c r="O607" s="61">
        <v>0</v>
      </c>
      <c r="P607" s="61">
        <v>0</v>
      </c>
      <c r="Q607" s="61">
        <v>0</v>
      </c>
      <c r="R607" s="61">
        <v>0</v>
      </c>
      <c r="S607" s="61">
        <v>0</v>
      </c>
      <c r="T607" s="61">
        <f>SUM(N607:S607)</f>
        <v>0</v>
      </c>
      <c r="U607" s="61">
        <f>T607+L607</f>
        <v>0</v>
      </c>
      <c r="V607" s="61">
        <f>V602</f>
        <v>0</v>
      </c>
      <c r="W607" s="72">
        <f>V607-U607</f>
        <v>0</v>
      </c>
      <c r="X607" s="63"/>
    </row>
    <row r="608" spans="1:28" s="126" customFormat="1" ht="18" hidden="1" customHeight="1">
      <c r="A608" s="614"/>
      <c r="B608" s="581"/>
      <c r="C608" s="581"/>
      <c r="D608" s="201" t="str">
        <f>серпень!D531</f>
        <v xml:space="preserve">місцевий </v>
      </c>
      <c r="E608" s="71"/>
      <c r="F608" s="61">
        <f t="shared" ref="F608:K608" si="716">F606-F607</f>
        <v>0</v>
      </c>
      <c r="G608" s="61">
        <f t="shared" si="716"/>
        <v>0</v>
      </c>
      <c r="H608" s="61">
        <f t="shared" si="716"/>
        <v>0</v>
      </c>
      <c r="I608" s="61">
        <f t="shared" si="716"/>
        <v>0</v>
      </c>
      <c r="J608" s="61">
        <f t="shared" si="716"/>
        <v>0</v>
      </c>
      <c r="K608" s="61">
        <f t="shared" si="716"/>
        <v>0</v>
      </c>
      <c r="L608" s="61">
        <f>SUM(F608:K608)</f>
        <v>0</v>
      </c>
      <c r="M608" s="61">
        <f>L608/6</f>
        <v>0</v>
      </c>
      <c r="N608" s="61">
        <f t="shared" ref="N608:S608" si="717">N606-N607</f>
        <v>0</v>
      </c>
      <c r="O608" s="61">
        <f t="shared" si="717"/>
        <v>0</v>
      </c>
      <c r="P608" s="61">
        <f t="shared" si="717"/>
        <v>0</v>
      </c>
      <c r="Q608" s="61">
        <f t="shared" si="717"/>
        <v>0</v>
      </c>
      <c r="R608" s="61">
        <f t="shared" si="717"/>
        <v>0</v>
      </c>
      <c r="S608" s="61">
        <f t="shared" si="717"/>
        <v>0</v>
      </c>
      <c r="T608" s="61">
        <f>SUM(N608:S608)</f>
        <v>0</v>
      </c>
      <c r="U608" s="61">
        <f>T608+L608</f>
        <v>0</v>
      </c>
      <c r="V608" s="61">
        <f>V603</f>
        <v>0</v>
      </c>
      <c r="W608" s="72">
        <f>V608-U608</f>
        <v>0</v>
      </c>
      <c r="X608" s="63">
        <f>U603-U608</f>
        <v>0</v>
      </c>
    </row>
    <row r="609" spans="1:28" s="43" customFormat="1" ht="18" hidden="1" customHeight="1">
      <c r="A609" s="614"/>
      <c r="B609" s="581"/>
      <c r="C609" s="581"/>
      <c r="D609" s="202" t="str">
        <f>серпень!D532</f>
        <v>план</v>
      </c>
      <c r="E609" s="42"/>
      <c r="F609" s="42">
        <f t="shared" ref="F609:K609" si="718">F603</f>
        <v>0</v>
      </c>
      <c r="G609" s="42">
        <f t="shared" si="718"/>
        <v>0</v>
      </c>
      <c r="H609" s="42">
        <f t="shared" si="718"/>
        <v>0</v>
      </c>
      <c r="I609" s="42">
        <f t="shared" si="718"/>
        <v>0</v>
      </c>
      <c r="J609" s="42">
        <f t="shared" si="718"/>
        <v>0</v>
      </c>
      <c r="K609" s="42">
        <f t="shared" si="718"/>
        <v>0</v>
      </c>
      <c r="L609" s="42">
        <f>SUM(F609:K609)</f>
        <v>0</v>
      </c>
      <c r="M609" s="42">
        <f>L609/6</f>
        <v>0</v>
      </c>
      <c r="N609" s="42">
        <f t="shared" ref="N609:S609" si="719">N603+N602</f>
        <v>0</v>
      </c>
      <c r="O609" s="42">
        <f t="shared" si="719"/>
        <v>0</v>
      </c>
      <c r="P609" s="42">
        <f t="shared" si="719"/>
        <v>0</v>
      </c>
      <c r="Q609" s="42">
        <f t="shared" si="719"/>
        <v>0</v>
      </c>
      <c r="R609" s="42">
        <f t="shared" si="719"/>
        <v>0</v>
      </c>
      <c r="S609" s="42">
        <f t="shared" si="719"/>
        <v>0</v>
      </c>
      <c r="T609" s="42">
        <f>SUM(N609:S609)</f>
        <v>0</v>
      </c>
      <c r="U609" s="42">
        <f>T609+L609</f>
        <v>0</v>
      </c>
      <c r="V609" s="42">
        <f>V606</f>
        <v>0</v>
      </c>
      <c r="W609" s="42">
        <f>V609-U609</f>
        <v>0</v>
      </c>
    </row>
    <row r="610" spans="1:28" s="43" customFormat="1" ht="18" hidden="1" customHeight="1">
      <c r="A610" s="614"/>
      <c r="B610" s="581"/>
      <c r="C610" s="581"/>
      <c r="D610" s="202" t="str">
        <f>серпень!D533</f>
        <v xml:space="preserve">відхилення </v>
      </c>
      <c r="E610" s="42"/>
      <c r="F610" s="42">
        <f t="shared" ref="F610:K610" si="720">F606-F609</f>
        <v>0</v>
      </c>
      <c r="G610" s="42">
        <f t="shared" si="720"/>
        <v>0</v>
      </c>
      <c r="H610" s="42">
        <f t="shared" si="720"/>
        <v>0</v>
      </c>
      <c r="I610" s="42">
        <f t="shared" si="720"/>
        <v>0</v>
      </c>
      <c r="J610" s="42">
        <f t="shared" si="720"/>
        <v>0</v>
      </c>
      <c r="K610" s="42">
        <f t="shared" si="720"/>
        <v>0</v>
      </c>
      <c r="L610" s="42"/>
      <c r="M610" s="42"/>
      <c r="N610" s="42">
        <f t="shared" ref="N610:S610" si="721">N606-N609</f>
        <v>0</v>
      </c>
      <c r="O610" s="42">
        <f t="shared" si="721"/>
        <v>0</v>
      </c>
      <c r="P610" s="42">
        <f t="shared" si="721"/>
        <v>0</v>
      </c>
      <c r="Q610" s="42">
        <f t="shared" si="721"/>
        <v>0</v>
      </c>
      <c r="R610" s="42">
        <f t="shared" si="721"/>
        <v>0</v>
      </c>
      <c r="S610" s="42">
        <f t="shared" si="721"/>
        <v>0</v>
      </c>
      <c r="T610" s="42"/>
      <c r="U610" s="42"/>
      <c r="V610" s="42"/>
      <c r="W610" s="42"/>
    </row>
    <row r="611" spans="1:28" s="43" customFormat="1" ht="18" hidden="1" customHeight="1">
      <c r="A611" s="614"/>
      <c r="B611" s="581"/>
      <c r="C611" s="581"/>
      <c r="D611" s="202" t="str">
        <f>серпень!D534</f>
        <v>відхилення з наростаючим</v>
      </c>
      <c r="E611" s="42"/>
      <c r="F611" s="42">
        <f>F610</f>
        <v>0</v>
      </c>
      <c r="G611" s="42">
        <f>G610+F611</f>
        <v>0</v>
      </c>
      <c r="H611" s="42">
        <f>H610+G611</f>
        <v>0</v>
      </c>
      <c r="I611" s="42">
        <f>I610+H611</f>
        <v>0</v>
      </c>
      <c r="J611" s="42">
        <f>J610+I611</f>
        <v>0</v>
      </c>
      <c r="K611" s="42">
        <f>K610+J611</f>
        <v>0</v>
      </c>
      <c r="L611" s="42"/>
      <c r="M611" s="42"/>
      <c r="N611" s="42">
        <f>N610+K611</f>
        <v>0</v>
      </c>
      <c r="O611" s="42">
        <f>O610+N611</f>
        <v>0</v>
      </c>
      <c r="P611" s="42">
        <f>P610+O611</f>
        <v>0</v>
      </c>
      <c r="Q611" s="42">
        <f>Q610+P611</f>
        <v>0</v>
      </c>
      <c r="R611" s="42">
        <f>R610+Q611</f>
        <v>0</v>
      </c>
      <c r="S611" s="42">
        <f>S610+R611</f>
        <v>0</v>
      </c>
      <c r="T611" s="42"/>
      <c r="U611" s="42"/>
      <c r="V611" s="42"/>
      <c r="W611" s="42"/>
    </row>
    <row r="612" spans="1:28" s="55" customFormat="1" ht="18" hidden="1" customHeight="1">
      <c r="A612" s="614"/>
      <c r="B612" s="654" t="s">
        <v>139</v>
      </c>
      <c r="C612" s="581"/>
      <c r="D612" s="178" t="str">
        <f>серпень!D535</f>
        <v>факт. нат.п-ки 2023</v>
      </c>
      <c r="E612" s="11"/>
      <c r="F612" s="12"/>
      <c r="G612" s="12"/>
      <c r="H612" s="12"/>
      <c r="I612" s="12"/>
      <c r="J612" s="12"/>
      <c r="K612" s="12"/>
      <c r="L612" s="65">
        <f>SUM(F612:K612)</f>
        <v>0</v>
      </c>
      <c r="M612" s="65">
        <f>L612/6</f>
        <v>0</v>
      </c>
      <c r="N612" s="12"/>
      <c r="O612" s="12"/>
      <c r="P612" s="12"/>
      <c r="Q612" s="12"/>
      <c r="R612" s="12"/>
      <c r="S612" s="12"/>
      <c r="T612" s="65">
        <f>SUM(N612:S612)</f>
        <v>0</v>
      </c>
      <c r="U612" s="65">
        <f>T612+L612</f>
        <v>0</v>
      </c>
      <c r="V612" s="67"/>
      <c r="W612" s="38"/>
      <c r="X612" s="47"/>
      <c r="Y612" s="48"/>
      <c r="Z612" s="48"/>
      <c r="AA612" s="48"/>
      <c r="AB612" s="48"/>
    </row>
    <row r="613" spans="1:28" s="48" customFormat="1" ht="18" hidden="1" customHeight="1">
      <c r="A613" s="614"/>
      <c r="B613" s="581"/>
      <c r="C613" s="581"/>
      <c r="D613" s="178" t="str">
        <f>серпень!D536</f>
        <v>факт. нат.п-ки 2024</v>
      </c>
      <c r="E613" s="11"/>
      <c r="F613" s="12"/>
      <c r="G613" s="12"/>
      <c r="H613" s="12"/>
      <c r="I613" s="12"/>
      <c r="J613" s="12"/>
      <c r="K613" s="12"/>
      <c r="L613" s="65">
        <f>SUM(F613:K613)</f>
        <v>0</v>
      </c>
      <c r="M613" s="65">
        <f>L613/6</f>
        <v>0</v>
      </c>
      <c r="N613" s="11"/>
      <c r="O613" s="11"/>
      <c r="P613" s="11"/>
      <c r="Q613" s="11"/>
      <c r="R613" s="11"/>
      <c r="S613" s="11"/>
      <c r="T613" s="65">
        <f>SUM(N613:S613)</f>
        <v>0</v>
      </c>
      <c r="U613" s="65">
        <f>T613+L613</f>
        <v>0</v>
      </c>
      <c r="V613" s="67"/>
      <c r="W613" s="38"/>
      <c r="X613" s="47"/>
    </row>
    <row r="614" spans="1:28" s="48" customFormat="1" ht="18" hidden="1" customHeight="1">
      <c r="A614" s="614"/>
      <c r="B614" s="581"/>
      <c r="C614" s="581"/>
      <c r="D614" s="178" t="str">
        <f>серпень!D537</f>
        <v>факт. нат.п-ки 2025</v>
      </c>
      <c r="E614" s="11"/>
      <c r="F614" s="12">
        <v>0</v>
      </c>
      <c r="G614" s="12">
        <v>0</v>
      </c>
      <c r="H614" s="12">
        <v>0</v>
      </c>
      <c r="I614" s="12">
        <v>0</v>
      </c>
      <c r="J614" s="12">
        <v>0</v>
      </c>
      <c r="K614" s="12">
        <v>0</v>
      </c>
      <c r="L614" s="65">
        <f>SUM(F614:K614)</f>
        <v>0</v>
      </c>
      <c r="M614" s="65">
        <f>L614/6</f>
        <v>0</v>
      </c>
      <c r="N614" s="12">
        <v>0</v>
      </c>
      <c r="O614" s="12">
        <v>0</v>
      </c>
      <c r="P614" s="12">
        <v>0</v>
      </c>
      <c r="Q614" s="12">
        <v>0</v>
      </c>
      <c r="R614" s="12">
        <v>0</v>
      </c>
      <c r="S614" s="12">
        <v>0</v>
      </c>
      <c r="T614" s="65">
        <f>SUM(N614:S614)</f>
        <v>0</v>
      </c>
      <c r="U614" s="65">
        <f>T614+L614</f>
        <v>0</v>
      </c>
      <c r="V614" s="11"/>
      <c r="W614" s="38">
        <f>V614-U614</f>
        <v>0</v>
      </c>
      <c r="X614" s="47"/>
    </row>
    <row r="615" spans="1:28" s="51" customFormat="1" ht="18" hidden="1" customHeight="1">
      <c r="A615" s="614"/>
      <c r="B615" s="581"/>
      <c r="C615" s="581"/>
      <c r="D615" s="187" t="str">
        <f>серпень!D538</f>
        <v>тариф, грн.</v>
      </c>
      <c r="E615" s="49"/>
      <c r="F615" s="49">
        <v>2.1</v>
      </c>
      <c r="G615" s="49">
        <v>2.1</v>
      </c>
      <c r="H615" s="49">
        <v>2.1</v>
      </c>
      <c r="I615" s="49">
        <v>2.1</v>
      </c>
      <c r="J615" s="49">
        <v>2.1</v>
      </c>
      <c r="K615" s="49">
        <v>2.1</v>
      </c>
      <c r="L615" s="68" t="e">
        <f>L616/L614*1000</f>
        <v>#DIV/0!</v>
      </c>
      <c r="M615" s="68" t="e">
        <f>M616/M614*1000</f>
        <v>#DIV/0!</v>
      </c>
      <c r="N615" s="49">
        <v>2.1</v>
      </c>
      <c r="O615" s="49">
        <v>2.1</v>
      </c>
      <c r="P615" s="49">
        <v>2.1</v>
      </c>
      <c r="Q615" s="49">
        <v>2.1</v>
      </c>
      <c r="R615" s="49">
        <v>2.1</v>
      </c>
      <c r="S615" s="49">
        <v>2.1</v>
      </c>
      <c r="T615" s="68" t="e">
        <f>T616/T614*1000</f>
        <v>#DIV/0!</v>
      </c>
      <c r="U615" s="68" t="e">
        <f>U616/U614*1000</f>
        <v>#DIV/0!</v>
      </c>
      <c r="V615" s="68" t="e">
        <f>V616/V614*1000</f>
        <v>#DIV/0!</v>
      </c>
      <c r="W615" s="14" t="e">
        <f>W616/W614*1000</f>
        <v>#DIV/0!</v>
      </c>
      <c r="X615" s="59"/>
    </row>
    <row r="616" spans="1:28" s="130" customFormat="1" ht="18" hidden="1" customHeight="1">
      <c r="A616" s="614"/>
      <c r="B616" s="581"/>
      <c r="C616" s="581"/>
      <c r="D616" s="191" t="str">
        <f>серпень!D539</f>
        <v>сума, тис.грн.</v>
      </c>
      <c r="E616" s="52"/>
      <c r="F616" s="52">
        <f>F614*F615/1000</f>
        <v>0</v>
      </c>
      <c r="G616" s="52">
        <f t="shared" ref="G616:K616" si="722">G614*G615/1000</f>
        <v>0</v>
      </c>
      <c r="H616" s="52">
        <f t="shared" si="722"/>
        <v>0</v>
      </c>
      <c r="I616" s="52">
        <f t="shared" si="722"/>
        <v>0</v>
      </c>
      <c r="J616" s="52">
        <f t="shared" si="722"/>
        <v>0</v>
      </c>
      <c r="K616" s="52">
        <f t="shared" si="722"/>
        <v>0</v>
      </c>
      <c r="L616" s="69">
        <f>SUM(F616:K616)</f>
        <v>0</v>
      </c>
      <c r="M616" s="69">
        <f>L616/6</f>
        <v>0</v>
      </c>
      <c r="N616" s="52">
        <f>N614*N615/1000</f>
        <v>0</v>
      </c>
      <c r="O616" s="52">
        <f t="shared" ref="O616" si="723">O614*O615/1000</f>
        <v>0</v>
      </c>
      <c r="P616" s="52">
        <f t="shared" ref="P616" si="724">P614*P615/1000</f>
        <v>0</v>
      </c>
      <c r="Q616" s="52">
        <f t="shared" ref="Q616" si="725">Q614*Q615/1000</f>
        <v>0</v>
      </c>
      <c r="R616" s="52">
        <f t="shared" ref="R616" si="726">R614*R615/1000</f>
        <v>0</v>
      </c>
      <c r="S616" s="52">
        <f t="shared" ref="S616" si="727">S614*S615/1000</f>
        <v>0</v>
      </c>
      <c r="T616" s="69">
        <f>SUM(N616:S616)</f>
        <v>0</v>
      </c>
      <c r="U616" s="69">
        <f>T616+L616</f>
        <v>0</v>
      </c>
      <c r="V616" s="70">
        <f>V617+V618</f>
        <v>0</v>
      </c>
      <c r="W616" s="53">
        <f>V616-U616</f>
        <v>0</v>
      </c>
    </row>
    <row r="617" spans="1:28" s="130" customFormat="1" ht="18" hidden="1" customHeight="1">
      <c r="A617" s="614"/>
      <c r="B617" s="581"/>
      <c r="C617" s="581"/>
      <c r="D617" s="174" t="str">
        <f>серпень!D540</f>
        <v>дотація</v>
      </c>
      <c r="E617" s="56"/>
      <c r="F617" s="52"/>
      <c r="G617" s="52"/>
      <c r="H617" s="52"/>
      <c r="I617" s="52"/>
      <c r="J617" s="52"/>
      <c r="K617" s="52"/>
      <c r="L617" s="69">
        <f>SUM(F617:K617)</f>
        <v>0</v>
      </c>
      <c r="M617" s="69">
        <f>L617/6</f>
        <v>0</v>
      </c>
      <c r="N617" s="52"/>
      <c r="O617" s="52"/>
      <c r="P617" s="52"/>
      <c r="Q617" s="52"/>
      <c r="R617" s="52"/>
      <c r="S617" s="52"/>
      <c r="T617" s="69">
        <f>SUM(N617:S617)</f>
        <v>0</v>
      </c>
      <c r="U617" s="69">
        <f>T617+L617</f>
        <v>0</v>
      </c>
      <c r="V617" s="70">
        <v>0</v>
      </c>
      <c r="W617" s="53">
        <f>V617-U617</f>
        <v>0</v>
      </c>
    </row>
    <row r="618" spans="1:28" s="130" customFormat="1" ht="18" hidden="1" customHeight="1">
      <c r="A618" s="614"/>
      <c r="B618" s="581"/>
      <c r="C618" s="581"/>
      <c r="D618" s="174" t="str">
        <f>серпень!D541</f>
        <v>місцевий (план), тис.грн</v>
      </c>
      <c r="E618" s="56"/>
      <c r="F618" s="52"/>
      <c r="G618" s="52"/>
      <c r="H618" s="52"/>
      <c r="I618" s="52"/>
      <c r="J618" s="52"/>
      <c r="K618" s="52"/>
      <c r="L618" s="69">
        <f>SUM(F618:K618)</f>
        <v>0</v>
      </c>
      <c r="M618" s="69">
        <f>L618/6</f>
        <v>0</v>
      </c>
      <c r="N618" s="52"/>
      <c r="O618" s="52"/>
      <c r="P618" s="52"/>
      <c r="Q618" s="52"/>
      <c r="R618" s="52"/>
      <c r="S618" s="52"/>
      <c r="T618" s="69">
        <f>SUM(N618:S618)</f>
        <v>0</v>
      </c>
      <c r="U618" s="69">
        <f>T618+L618</f>
        <v>0</v>
      </c>
      <c r="V618" s="70">
        <v>0</v>
      </c>
      <c r="W618" s="53">
        <f>V618-U618</f>
        <v>0</v>
      </c>
    </row>
    <row r="619" spans="1:28" s="48" customFormat="1" ht="18" hidden="1" customHeight="1">
      <c r="A619" s="614"/>
      <c r="B619" s="581"/>
      <c r="C619" s="581"/>
      <c r="D619" s="178" t="str">
        <f>серпень!D542</f>
        <v>касові нат.п-ки 2025</v>
      </c>
      <c r="E619" s="11"/>
      <c r="F619" s="12">
        <v>0</v>
      </c>
      <c r="G619" s="12">
        <v>0</v>
      </c>
      <c r="H619" s="12">
        <v>0</v>
      </c>
      <c r="I619" s="12">
        <v>0</v>
      </c>
      <c r="J619" s="12">
        <v>0</v>
      </c>
      <c r="K619" s="12">
        <v>0</v>
      </c>
      <c r="L619" s="65">
        <f>SUM(F619:K619)</f>
        <v>0</v>
      </c>
      <c r="M619" s="65">
        <f>L619/6</f>
        <v>0</v>
      </c>
      <c r="N619" s="12">
        <v>0</v>
      </c>
      <c r="O619" s="12">
        <v>0</v>
      </c>
      <c r="P619" s="12">
        <v>0</v>
      </c>
      <c r="Q619" s="12">
        <v>0</v>
      </c>
      <c r="R619" s="12">
        <v>0</v>
      </c>
      <c r="S619" s="12">
        <v>0</v>
      </c>
      <c r="T619" s="65">
        <f>SUM(N619:S619)</f>
        <v>0</v>
      </c>
      <c r="U619" s="65">
        <f>T619+L619</f>
        <v>0</v>
      </c>
      <c r="V619" s="11">
        <f>V614</f>
        <v>0</v>
      </c>
      <c r="W619" s="38">
        <f>V619-U619</f>
        <v>0</v>
      </c>
      <c r="X619" s="47">
        <f>U614-U619</f>
        <v>0</v>
      </c>
    </row>
    <row r="620" spans="1:28" s="51" customFormat="1" ht="18" hidden="1" customHeight="1">
      <c r="A620" s="614"/>
      <c r="B620" s="581"/>
      <c r="C620" s="581"/>
      <c r="D620" s="187" t="str">
        <f>серпень!D543</f>
        <v>тариф, грн.</v>
      </c>
      <c r="E620" s="49" t="e">
        <f>E621/E619*1000</f>
        <v>#DIV/0!</v>
      </c>
      <c r="F620" s="49">
        <v>2.1</v>
      </c>
      <c r="G620" s="49">
        <v>2.1</v>
      </c>
      <c r="H620" s="49">
        <v>2.1</v>
      </c>
      <c r="I620" s="49">
        <v>2.1</v>
      </c>
      <c r="J620" s="49">
        <v>2.1</v>
      </c>
      <c r="K620" s="49">
        <v>2.1</v>
      </c>
      <c r="L620" s="68" t="e">
        <f>L621/L619*1000</f>
        <v>#DIV/0!</v>
      </c>
      <c r="M620" s="68" t="e">
        <f>M621/M619*1000</f>
        <v>#DIV/0!</v>
      </c>
      <c r="N620" s="49">
        <v>2.1</v>
      </c>
      <c r="O620" s="49">
        <v>2.1</v>
      </c>
      <c r="P620" s="49">
        <v>2.1</v>
      </c>
      <c r="Q620" s="49">
        <v>2.1</v>
      </c>
      <c r="R620" s="49">
        <v>2.1</v>
      </c>
      <c r="S620" s="49">
        <v>2.1</v>
      </c>
      <c r="T620" s="68" t="e">
        <f>T621/T619*1000</f>
        <v>#DIV/0!</v>
      </c>
      <c r="U620" s="68" t="e">
        <f>U621/U619*1000</f>
        <v>#DIV/0!</v>
      </c>
      <c r="V620" s="68" t="e">
        <f>V621/V619*1000</f>
        <v>#DIV/0!</v>
      </c>
      <c r="W620" s="14" t="e">
        <f>W621/W619*1000</f>
        <v>#DIV/0!</v>
      </c>
      <c r="X620" s="59"/>
    </row>
    <row r="621" spans="1:28" s="126" customFormat="1" ht="18" hidden="1" customHeight="1">
      <c r="A621" s="614"/>
      <c r="B621" s="581"/>
      <c r="C621" s="581"/>
      <c r="D621" s="198" t="str">
        <f>серпень!D544</f>
        <v>касові видатки, тис.грн.</v>
      </c>
      <c r="E621" s="71"/>
      <c r="F621" s="61">
        <f>F619*F620/1000</f>
        <v>0</v>
      </c>
      <c r="G621" s="61">
        <f t="shared" ref="G621" si="728">G619*G620/1000</f>
        <v>0</v>
      </c>
      <c r="H621" s="61">
        <f t="shared" ref="H621" si="729">H619*H620/1000</f>
        <v>0</v>
      </c>
      <c r="I621" s="61">
        <f t="shared" ref="I621" si="730">I619*I620/1000</f>
        <v>0</v>
      </c>
      <c r="J621" s="61">
        <f t="shared" ref="J621" si="731">J619*J620/1000</f>
        <v>0</v>
      </c>
      <c r="K621" s="61">
        <f t="shared" ref="K621" si="732">K619*K620/1000</f>
        <v>0</v>
      </c>
      <c r="L621" s="61">
        <f>SUM(F621:K621)</f>
        <v>0</v>
      </c>
      <c r="M621" s="61">
        <f>L621/6</f>
        <v>0</v>
      </c>
      <c r="N621" s="61">
        <f>N619*N620/1000</f>
        <v>0</v>
      </c>
      <c r="O621" s="61">
        <f t="shared" ref="O621" si="733">O619*O620/1000</f>
        <v>0</v>
      </c>
      <c r="P621" s="61">
        <f t="shared" ref="P621" si="734">P619*P620/1000</f>
        <v>0</v>
      </c>
      <c r="Q621" s="61">
        <f t="shared" ref="Q621" si="735">Q619*Q620/1000</f>
        <v>0</v>
      </c>
      <c r="R621" s="61">
        <f t="shared" ref="R621" si="736">R619*R620/1000</f>
        <v>0</v>
      </c>
      <c r="S621" s="61">
        <f t="shared" ref="S621" si="737">S619*S620/1000</f>
        <v>0</v>
      </c>
      <c r="T621" s="61">
        <f>SUM(N621:S621)</f>
        <v>0</v>
      </c>
      <c r="U621" s="61">
        <f>T621+L621</f>
        <v>0</v>
      </c>
      <c r="V621" s="61">
        <f>V616</f>
        <v>0</v>
      </c>
      <c r="W621" s="72">
        <f>V621-U621</f>
        <v>0</v>
      </c>
      <c r="X621" s="63">
        <f>U616-U621</f>
        <v>0</v>
      </c>
    </row>
    <row r="622" spans="1:28" s="126" customFormat="1" ht="18" hidden="1" customHeight="1">
      <c r="A622" s="614"/>
      <c r="B622" s="581"/>
      <c r="C622" s="581"/>
      <c r="D622" s="201" t="str">
        <f>серпень!D545</f>
        <v>дотація</v>
      </c>
      <c r="E622" s="71"/>
      <c r="F622" s="61">
        <v>0</v>
      </c>
      <c r="G622" s="61">
        <v>0</v>
      </c>
      <c r="H622" s="61">
        <v>0</v>
      </c>
      <c r="I622" s="61">
        <v>0</v>
      </c>
      <c r="J622" s="61">
        <v>0</v>
      </c>
      <c r="K622" s="61">
        <v>0</v>
      </c>
      <c r="L622" s="61">
        <f>SUM(F622:K622)</f>
        <v>0</v>
      </c>
      <c r="M622" s="61">
        <f>L622/6</f>
        <v>0</v>
      </c>
      <c r="N622" s="61">
        <v>0</v>
      </c>
      <c r="O622" s="61">
        <v>0</v>
      </c>
      <c r="P622" s="61">
        <v>0</v>
      </c>
      <c r="Q622" s="61">
        <v>0</v>
      </c>
      <c r="R622" s="61">
        <v>0</v>
      </c>
      <c r="S622" s="61">
        <v>0</v>
      </c>
      <c r="T622" s="61">
        <f>SUM(N622:S622)</f>
        <v>0</v>
      </c>
      <c r="U622" s="61">
        <f>T622+L622</f>
        <v>0</v>
      </c>
      <c r="V622" s="61">
        <f>V617</f>
        <v>0</v>
      </c>
      <c r="W622" s="72">
        <f>V622-U622</f>
        <v>0</v>
      </c>
      <c r="X622" s="63"/>
    </row>
    <row r="623" spans="1:28" s="126" customFormat="1" ht="18" hidden="1" customHeight="1">
      <c r="A623" s="614"/>
      <c r="B623" s="581"/>
      <c r="C623" s="581"/>
      <c r="D623" s="201" t="str">
        <f>серпень!D546</f>
        <v xml:space="preserve">місцевий </v>
      </c>
      <c r="E623" s="71"/>
      <c r="F623" s="61">
        <f t="shared" ref="F623:K623" si="738">F621-F622</f>
        <v>0</v>
      </c>
      <c r="G623" s="61">
        <f t="shared" si="738"/>
        <v>0</v>
      </c>
      <c r="H623" s="61">
        <f t="shared" si="738"/>
        <v>0</v>
      </c>
      <c r="I623" s="61">
        <f t="shared" si="738"/>
        <v>0</v>
      </c>
      <c r="J623" s="61">
        <f t="shared" si="738"/>
        <v>0</v>
      </c>
      <c r="K623" s="61">
        <f t="shared" si="738"/>
        <v>0</v>
      </c>
      <c r="L623" s="61">
        <f>SUM(F623:K623)</f>
        <v>0</v>
      </c>
      <c r="M623" s="61">
        <f>L623/6</f>
        <v>0</v>
      </c>
      <c r="N623" s="61">
        <f t="shared" ref="N623:S623" si="739">N621-N622</f>
        <v>0</v>
      </c>
      <c r="O623" s="61">
        <f t="shared" si="739"/>
        <v>0</v>
      </c>
      <c r="P623" s="61">
        <f t="shared" si="739"/>
        <v>0</v>
      </c>
      <c r="Q623" s="61">
        <f t="shared" si="739"/>
        <v>0</v>
      </c>
      <c r="R623" s="61">
        <f t="shared" si="739"/>
        <v>0</v>
      </c>
      <c r="S623" s="61">
        <f t="shared" si="739"/>
        <v>0</v>
      </c>
      <c r="T623" s="61">
        <f>SUM(N623:S623)</f>
        <v>0</v>
      </c>
      <c r="U623" s="61">
        <f>T623+L623</f>
        <v>0</v>
      </c>
      <c r="V623" s="61">
        <f>V618</f>
        <v>0</v>
      </c>
      <c r="W623" s="72">
        <f>V623-U623</f>
        <v>0</v>
      </c>
      <c r="X623" s="63">
        <f>U618-U623</f>
        <v>0</v>
      </c>
    </row>
    <row r="624" spans="1:28" s="43" customFormat="1" ht="18" hidden="1" customHeight="1">
      <c r="A624" s="614"/>
      <c r="B624" s="581"/>
      <c r="C624" s="581"/>
      <c r="D624" s="202" t="str">
        <f>серпень!D547</f>
        <v>план</v>
      </c>
      <c r="E624" s="42"/>
      <c r="F624" s="42">
        <f t="shared" ref="F624:K624" si="740">F618</f>
        <v>0</v>
      </c>
      <c r="G624" s="42">
        <f t="shared" si="740"/>
        <v>0</v>
      </c>
      <c r="H624" s="42">
        <f t="shared" si="740"/>
        <v>0</v>
      </c>
      <c r="I624" s="42">
        <f t="shared" si="740"/>
        <v>0</v>
      </c>
      <c r="J624" s="42">
        <f t="shared" si="740"/>
        <v>0</v>
      </c>
      <c r="K624" s="42">
        <f t="shared" si="740"/>
        <v>0</v>
      </c>
      <c r="L624" s="42">
        <f>SUM(F624:K624)</f>
        <v>0</v>
      </c>
      <c r="M624" s="42">
        <f>L624/6</f>
        <v>0</v>
      </c>
      <c r="N624" s="42">
        <f t="shared" ref="N624:S624" si="741">N618+N617</f>
        <v>0</v>
      </c>
      <c r="O624" s="42">
        <f t="shared" si="741"/>
        <v>0</v>
      </c>
      <c r="P624" s="42">
        <f t="shared" si="741"/>
        <v>0</v>
      </c>
      <c r="Q624" s="42">
        <f t="shared" si="741"/>
        <v>0</v>
      </c>
      <c r="R624" s="42">
        <f t="shared" si="741"/>
        <v>0</v>
      </c>
      <c r="S624" s="42">
        <f t="shared" si="741"/>
        <v>0</v>
      </c>
      <c r="T624" s="42">
        <f>SUM(N624:S624)</f>
        <v>0</v>
      </c>
      <c r="U624" s="42">
        <f>T624+L624</f>
        <v>0</v>
      </c>
      <c r="V624" s="42">
        <f>V621</f>
        <v>0</v>
      </c>
      <c r="W624" s="42">
        <f>V624-U624</f>
        <v>0</v>
      </c>
    </row>
    <row r="625" spans="1:28" s="43" customFormat="1" ht="18" hidden="1" customHeight="1">
      <c r="A625" s="614"/>
      <c r="B625" s="581"/>
      <c r="C625" s="581"/>
      <c r="D625" s="202" t="str">
        <f>серпень!D548</f>
        <v xml:space="preserve">відхилення </v>
      </c>
      <c r="E625" s="42"/>
      <c r="F625" s="42">
        <f t="shared" ref="F625:K625" si="742">F621-F624</f>
        <v>0</v>
      </c>
      <c r="G625" s="42">
        <f t="shared" si="742"/>
        <v>0</v>
      </c>
      <c r="H625" s="42">
        <f t="shared" si="742"/>
        <v>0</v>
      </c>
      <c r="I625" s="42">
        <f t="shared" si="742"/>
        <v>0</v>
      </c>
      <c r="J625" s="42">
        <f t="shared" si="742"/>
        <v>0</v>
      </c>
      <c r="K625" s="42">
        <f t="shared" si="742"/>
        <v>0</v>
      </c>
      <c r="L625" s="42"/>
      <c r="M625" s="42"/>
      <c r="N625" s="42">
        <f t="shared" ref="N625:S625" si="743">N621-N624</f>
        <v>0</v>
      </c>
      <c r="O625" s="42">
        <f t="shared" si="743"/>
        <v>0</v>
      </c>
      <c r="P625" s="42">
        <f t="shared" si="743"/>
        <v>0</v>
      </c>
      <c r="Q625" s="42">
        <f t="shared" si="743"/>
        <v>0</v>
      </c>
      <c r="R625" s="42">
        <f t="shared" si="743"/>
        <v>0</v>
      </c>
      <c r="S625" s="42">
        <f t="shared" si="743"/>
        <v>0</v>
      </c>
      <c r="T625" s="42"/>
      <c r="U625" s="42"/>
      <c r="V625" s="42"/>
      <c r="W625" s="42"/>
    </row>
    <row r="626" spans="1:28" s="43" customFormat="1" ht="18" hidden="1" customHeight="1">
      <c r="A626" s="614"/>
      <c r="B626" s="581"/>
      <c r="C626" s="581"/>
      <c r="D626" s="202" t="str">
        <f>серпень!D549</f>
        <v>відхилення з наростаючим</v>
      </c>
      <c r="E626" s="42"/>
      <c r="F626" s="42">
        <f>F625</f>
        <v>0</v>
      </c>
      <c r="G626" s="42">
        <f>G625+F626</f>
        <v>0</v>
      </c>
      <c r="H626" s="42">
        <f>H625+G626</f>
        <v>0</v>
      </c>
      <c r="I626" s="42">
        <f>I625+H626</f>
        <v>0</v>
      </c>
      <c r="J626" s="42">
        <f>J625+I626</f>
        <v>0</v>
      </c>
      <c r="K626" s="42">
        <f>K625+J626</f>
        <v>0</v>
      </c>
      <c r="L626" s="42"/>
      <c r="M626" s="42"/>
      <c r="N626" s="42">
        <f>N625+K626</f>
        <v>0</v>
      </c>
      <c r="O626" s="42">
        <f>O625+N626</f>
        <v>0</v>
      </c>
      <c r="P626" s="42">
        <f>P625+O626</f>
        <v>0</v>
      </c>
      <c r="Q626" s="42">
        <f>Q625+P626</f>
        <v>0</v>
      </c>
      <c r="R626" s="42">
        <f>R625+Q626</f>
        <v>0</v>
      </c>
      <c r="S626" s="42">
        <f>S625+R626</f>
        <v>0</v>
      </c>
      <c r="T626" s="42"/>
      <c r="U626" s="42"/>
      <c r="V626" s="42"/>
      <c r="W626" s="42"/>
    </row>
    <row r="627" spans="1:28" s="55" customFormat="1" ht="18" hidden="1" customHeight="1">
      <c r="A627" s="614"/>
      <c r="B627" s="581" t="s">
        <v>66</v>
      </c>
      <c r="C627" s="581"/>
      <c r="D627" s="178" t="str">
        <f>серпень!D550</f>
        <v>факт. нат.п-ки 2023</v>
      </c>
      <c r="E627" s="11"/>
      <c r="F627" s="12">
        <f t="shared" ref="F627:K629" si="744">F644+F674</f>
        <v>0</v>
      </c>
      <c r="G627" s="12">
        <f t="shared" si="744"/>
        <v>0</v>
      </c>
      <c r="H627" s="12">
        <f t="shared" si="744"/>
        <v>0</v>
      </c>
      <c r="I627" s="12">
        <f t="shared" si="744"/>
        <v>0</v>
      </c>
      <c r="J627" s="12">
        <f t="shared" si="744"/>
        <v>0</v>
      </c>
      <c r="K627" s="12">
        <f t="shared" si="744"/>
        <v>0</v>
      </c>
      <c r="L627" s="65">
        <f>SUM(F627:K627)</f>
        <v>0</v>
      </c>
      <c r="M627" s="65">
        <f>L627/6</f>
        <v>0</v>
      </c>
      <c r="N627" s="12">
        <f t="shared" ref="N627:S629" si="745">N644+N674</f>
        <v>0</v>
      </c>
      <c r="O627" s="12">
        <f t="shared" si="745"/>
        <v>0</v>
      </c>
      <c r="P627" s="12">
        <f t="shared" si="745"/>
        <v>0</v>
      </c>
      <c r="Q627" s="12">
        <f t="shared" si="745"/>
        <v>0</v>
      </c>
      <c r="R627" s="12">
        <f t="shared" si="745"/>
        <v>0</v>
      </c>
      <c r="S627" s="12">
        <f t="shared" si="745"/>
        <v>0</v>
      </c>
      <c r="T627" s="65">
        <f>SUM(N627:S627)</f>
        <v>0</v>
      </c>
      <c r="U627" s="65">
        <f>T627+L627</f>
        <v>0</v>
      </c>
      <c r="V627" s="75">
        <f>V644+V674</f>
        <v>0</v>
      </c>
      <c r="W627" s="38">
        <f>V627-U627</f>
        <v>0</v>
      </c>
      <c r="X627" s="47"/>
      <c r="Y627" s="48"/>
      <c r="Z627" s="48"/>
      <c r="AA627" s="48"/>
      <c r="AB627" s="48"/>
    </row>
    <row r="628" spans="1:28" s="48" customFormat="1" ht="18" hidden="1" customHeight="1">
      <c r="A628" s="614"/>
      <c r="B628" s="581"/>
      <c r="C628" s="581"/>
      <c r="D628" s="178" t="str">
        <f>серпень!D551</f>
        <v>факт. нат.п-ки 2024</v>
      </c>
      <c r="E628" s="11"/>
      <c r="F628" s="12">
        <f t="shared" si="744"/>
        <v>0</v>
      </c>
      <c r="G628" s="12">
        <f t="shared" si="744"/>
        <v>0</v>
      </c>
      <c r="H628" s="12">
        <f t="shared" si="744"/>
        <v>0</v>
      </c>
      <c r="I628" s="12">
        <f t="shared" si="744"/>
        <v>0</v>
      </c>
      <c r="J628" s="12">
        <f t="shared" si="744"/>
        <v>0</v>
      </c>
      <c r="K628" s="12">
        <f t="shared" si="744"/>
        <v>0</v>
      </c>
      <c r="L628" s="65">
        <f>SUM(F628:K628)</f>
        <v>0</v>
      </c>
      <c r="M628" s="65">
        <f>L628/6</f>
        <v>0</v>
      </c>
      <c r="N628" s="12">
        <f t="shared" si="745"/>
        <v>0</v>
      </c>
      <c r="O628" s="12">
        <f t="shared" si="745"/>
        <v>0</v>
      </c>
      <c r="P628" s="12">
        <f t="shared" si="745"/>
        <v>0</v>
      </c>
      <c r="Q628" s="12">
        <f t="shared" si="745"/>
        <v>0</v>
      </c>
      <c r="R628" s="12">
        <f t="shared" si="745"/>
        <v>0</v>
      </c>
      <c r="S628" s="12">
        <f t="shared" si="745"/>
        <v>0</v>
      </c>
      <c r="T628" s="65">
        <f>SUM(N628:S628)</f>
        <v>0</v>
      </c>
      <c r="U628" s="65">
        <f>T628+L628</f>
        <v>0</v>
      </c>
      <c r="V628" s="75">
        <f>V645+V675</f>
        <v>0</v>
      </c>
      <c r="W628" s="38">
        <f>V628-U628</f>
        <v>0</v>
      </c>
      <c r="X628" s="47"/>
    </row>
    <row r="629" spans="1:28" s="48" customFormat="1" ht="18" hidden="1" customHeight="1">
      <c r="A629" s="614"/>
      <c r="B629" s="581"/>
      <c r="C629" s="581"/>
      <c r="D629" s="178" t="str">
        <f>серпень!D552</f>
        <v>факт. нат.п-ки 2025</v>
      </c>
      <c r="E629" s="11"/>
      <c r="F629" s="12">
        <f t="shared" si="744"/>
        <v>0</v>
      </c>
      <c r="G629" s="12">
        <f t="shared" si="744"/>
        <v>0</v>
      </c>
      <c r="H629" s="12">
        <f t="shared" si="744"/>
        <v>0</v>
      </c>
      <c r="I629" s="12">
        <f t="shared" si="744"/>
        <v>0</v>
      </c>
      <c r="J629" s="12">
        <f t="shared" si="744"/>
        <v>0</v>
      </c>
      <c r="K629" s="12">
        <f t="shared" si="744"/>
        <v>0</v>
      </c>
      <c r="L629" s="65">
        <f>SUM(F629:K629)</f>
        <v>0</v>
      </c>
      <c r="M629" s="65">
        <f>L629/6</f>
        <v>0</v>
      </c>
      <c r="N629" s="12">
        <f t="shared" si="745"/>
        <v>0</v>
      </c>
      <c r="O629" s="12">
        <f t="shared" si="745"/>
        <v>0</v>
      </c>
      <c r="P629" s="12">
        <f t="shared" si="745"/>
        <v>0</v>
      </c>
      <c r="Q629" s="12">
        <f t="shared" si="745"/>
        <v>0</v>
      </c>
      <c r="R629" s="12">
        <f t="shared" si="745"/>
        <v>0</v>
      </c>
      <c r="S629" s="12">
        <f t="shared" si="745"/>
        <v>0</v>
      </c>
      <c r="T629" s="65">
        <f>SUM(N629:S629)</f>
        <v>0</v>
      </c>
      <c r="U629" s="65">
        <f>T629+L629</f>
        <v>0</v>
      </c>
      <c r="V629" s="75">
        <f>V646+V676</f>
        <v>0</v>
      </c>
      <c r="W629" s="38">
        <f>V629-U629</f>
        <v>0</v>
      </c>
      <c r="X629" s="47"/>
    </row>
    <row r="630" spans="1:28" s="51" customFormat="1" ht="18" hidden="1" customHeight="1">
      <c r="A630" s="614"/>
      <c r="B630" s="581"/>
      <c r="C630" s="581"/>
      <c r="D630" s="187" t="str">
        <f>серпень!D553</f>
        <v>тариф, грн.</v>
      </c>
      <c r="E630" s="49"/>
      <c r="F630" s="49" t="e">
        <f t="shared" ref="F630:W630" si="746">F631/F629*1000</f>
        <v>#DIV/0!</v>
      </c>
      <c r="G630" s="49" t="e">
        <f t="shared" si="746"/>
        <v>#DIV/0!</v>
      </c>
      <c r="H630" s="49" t="e">
        <f t="shared" si="746"/>
        <v>#DIV/0!</v>
      </c>
      <c r="I630" s="49" t="e">
        <f t="shared" si="746"/>
        <v>#DIV/0!</v>
      </c>
      <c r="J630" s="49" t="e">
        <f t="shared" si="746"/>
        <v>#DIV/0!</v>
      </c>
      <c r="K630" s="49" t="e">
        <f t="shared" si="746"/>
        <v>#DIV/0!</v>
      </c>
      <c r="L630" s="49" t="e">
        <f t="shared" si="746"/>
        <v>#DIV/0!</v>
      </c>
      <c r="M630" s="49" t="e">
        <f t="shared" si="746"/>
        <v>#DIV/0!</v>
      </c>
      <c r="N630" s="49" t="e">
        <f t="shared" si="746"/>
        <v>#DIV/0!</v>
      </c>
      <c r="O630" s="49" t="e">
        <f t="shared" si="746"/>
        <v>#DIV/0!</v>
      </c>
      <c r="P630" s="49" t="e">
        <f t="shared" si="746"/>
        <v>#DIV/0!</v>
      </c>
      <c r="Q630" s="49" t="e">
        <f t="shared" si="746"/>
        <v>#DIV/0!</v>
      </c>
      <c r="R630" s="49" t="e">
        <f t="shared" si="746"/>
        <v>#DIV/0!</v>
      </c>
      <c r="S630" s="49" t="e">
        <f t="shared" si="746"/>
        <v>#DIV/0!</v>
      </c>
      <c r="T630" s="49" t="e">
        <f t="shared" si="746"/>
        <v>#DIV/0!</v>
      </c>
      <c r="U630" s="49" t="e">
        <f t="shared" si="746"/>
        <v>#DIV/0!</v>
      </c>
      <c r="V630" s="49" t="e">
        <f t="shared" si="746"/>
        <v>#DIV/0!</v>
      </c>
      <c r="W630" s="49" t="e">
        <f t="shared" si="746"/>
        <v>#DIV/0!</v>
      </c>
      <c r="X630" s="59"/>
    </row>
    <row r="631" spans="1:28" s="130" customFormat="1" ht="18" hidden="1" customHeight="1">
      <c r="A631" s="614"/>
      <c r="B631" s="581"/>
      <c r="C631" s="581"/>
      <c r="D631" s="191" t="str">
        <f>серпень!D554</f>
        <v>сума, тис.грн.</v>
      </c>
      <c r="E631" s="52"/>
      <c r="F631" s="52">
        <f>F648+F678</f>
        <v>0</v>
      </c>
      <c r="G631" s="52">
        <f t="shared" ref="G631:K631" si="747">G648+G678</f>
        <v>0</v>
      </c>
      <c r="H631" s="52">
        <f t="shared" si="747"/>
        <v>0</v>
      </c>
      <c r="I631" s="52">
        <f t="shared" si="747"/>
        <v>0</v>
      </c>
      <c r="J631" s="52">
        <f t="shared" si="747"/>
        <v>0</v>
      </c>
      <c r="K631" s="52">
        <f t="shared" si="747"/>
        <v>0</v>
      </c>
      <c r="L631" s="69">
        <f>SUM(F631:K631)</f>
        <v>0</v>
      </c>
      <c r="M631" s="69">
        <f>L631/6</f>
        <v>0</v>
      </c>
      <c r="N631" s="52">
        <f>N648+N678</f>
        <v>0</v>
      </c>
      <c r="O631" s="52">
        <f t="shared" ref="O631:S631" si="748">O648+O678</f>
        <v>0</v>
      </c>
      <c r="P631" s="52">
        <f t="shared" si="748"/>
        <v>0</v>
      </c>
      <c r="Q631" s="52">
        <f t="shared" si="748"/>
        <v>0</v>
      </c>
      <c r="R631" s="52">
        <f t="shared" si="748"/>
        <v>0</v>
      </c>
      <c r="S631" s="52">
        <f t="shared" si="748"/>
        <v>0</v>
      </c>
      <c r="T631" s="69">
        <f>SUM(N631:S631)</f>
        <v>0</v>
      </c>
      <c r="U631" s="69">
        <f>T631+L631</f>
        <v>0</v>
      </c>
      <c r="V631" s="69">
        <f t="shared" ref="V631" si="749">V648+V678</f>
        <v>0</v>
      </c>
      <c r="W631" s="52">
        <f>V631-U631</f>
        <v>0</v>
      </c>
    </row>
    <row r="632" spans="1:28" s="130" customFormat="1" ht="18" hidden="1" customHeight="1">
      <c r="A632" s="614"/>
      <c r="B632" s="581"/>
      <c r="C632" s="581"/>
      <c r="D632" s="174" t="str">
        <f>серпень!D555</f>
        <v>абоненська плата, тис.грн.</v>
      </c>
      <c r="E632" s="52"/>
      <c r="F632" s="52">
        <f>F663+F693</f>
        <v>0</v>
      </c>
      <c r="G632" s="52">
        <f t="shared" ref="G632:K632" si="750">G663+G693</f>
        <v>0</v>
      </c>
      <c r="H632" s="52">
        <f t="shared" si="750"/>
        <v>0</v>
      </c>
      <c r="I632" s="52">
        <f t="shared" si="750"/>
        <v>0</v>
      </c>
      <c r="J632" s="52">
        <f t="shared" si="750"/>
        <v>0</v>
      </c>
      <c r="K632" s="52">
        <f t="shared" si="750"/>
        <v>0</v>
      </c>
      <c r="L632" s="69">
        <f t="shared" ref="L632:L634" si="751">SUM(F632:K632)</f>
        <v>0</v>
      </c>
      <c r="M632" s="69">
        <f t="shared" ref="M632:M634" si="752">L632/6</f>
        <v>0</v>
      </c>
      <c r="N632" s="52">
        <f>N663+N693</f>
        <v>0</v>
      </c>
      <c r="O632" s="52">
        <f t="shared" ref="O632:S632" si="753">O663+O693</f>
        <v>0</v>
      </c>
      <c r="P632" s="52">
        <f t="shared" si="753"/>
        <v>0</v>
      </c>
      <c r="Q632" s="52">
        <f t="shared" si="753"/>
        <v>0</v>
      </c>
      <c r="R632" s="52">
        <f t="shared" si="753"/>
        <v>0</v>
      </c>
      <c r="S632" s="52">
        <f t="shared" si="753"/>
        <v>0</v>
      </c>
      <c r="T632" s="69">
        <f t="shared" ref="T632:T634" si="754">SUM(N632:S632)</f>
        <v>0</v>
      </c>
      <c r="U632" s="69">
        <f t="shared" ref="U632:U634" si="755">T632+L632</f>
        <v>0</v>
      </c>
      <c r="V632" s="69">
        <f t="shared" ref="V632" si="756">V663+V693</f>
        <v>0</v>
      </c>
      <c r="W632" s="52">
        <f t="shared" ref="W632:W635" si="757">V632-U632</f>
        <v>0</v>
      </c>
    </row>
    <row r="633" spans="1:28" s="130" customFormat="1" ht="18" hidden="1" customHeight="1">
      <c r="A633" s="614"/>
      <c r="B633" s="581"/>
      <c r="C633" s="581"/>
      <c r="D633" s="174" t="str">
        <f>серпень!D556</f>
        <v>разом сума тис. грн+абонплата</v>
      </c>
      <c r="E633" s="52"/>
      <c r="F633" s="52">
        <f>F631+F632</f>
        <v>0</v>
      </c>
      <c r="G633" s="52">
        <f t="shared" ref="G633:K633" si="758">G631+G632</f>
        <v>0</v>
      </c>
      <c r="H633" s="52">
        <f t="shared" si="758"/>
        <v>0</v>
      </c>
      <c r="I633" s="52">
        <f t="shared" si="758"/>
        <v>0</v>
      </c>
      <c r="J633" s="52">
        <f t="shared" si="758"/>
        <v>0</v>
      </c>
      <c r="K633" s="52">
        <f t="shared" si="758"/>
        <v>0</v>
      </c>
      <c r="L633" s="69">
        <f t="shared" si="751"/>
        <v>0</v>
      </c>
      <c r="M633" s="69">
        <f t="shared" si="752"/>
        <v>0</v>
      </c>
      <c r="N633" s="52">
        <f>N631+N632</f>
        <v>0</v>
      </c>
      <c r="O633" s="52">
        <f t="shared" ref="O633" si="759">O631+O632</f>
        <v>0</v>
      </c>
      <c r="P633" s="52">
        <f t="shared" ref="P633" si="760">P631+P632</f>
        <v>0</v>
      </c>
      <c r="Q633" s="52">
        <f t="shared" ref="Q633" si="761">Q631+Q632</f>
        <v>0</v>
      </c>
      <c r="R633" s="52">
        <f t="shared" ref="R633" si="762">R631+R632</f>
        <v>0</v>
      </c>
      <c r="S633" s="52">
        <f t="shared" ref="S633" si="763">S631+S632</f>
        <v>0</v>
      </c>
      <c r="T633" s="69">
        <f t="shared" si="754"/>
        <v>0</v>
      </c>
      <c r="U633" s="69">
        <f t="shared" si="755"/>
        <v>0</v>
      </c>
      <c r="V633" s="69">
        <f t="shared" ref="V633" si="764">V631+V632</f>
        <v>0</v>
      </c>
      <c r="W633" s="52">
        <f t="shared" si="757"/>
        <v>0</v>
      </c>
    </row>
    <row r="634" spans="1:28" s="130" customFormat="1" ht="18" hidden="1" customHeight="1">
      <c r="A634" s="614"/>
      <c r="B634" s="581"/>
      <c r="C634" s="581"/>
      <c r="D634" s="174" t="str">
        <f>серпень!D557</f>
        <v>дотація</v>
      </c>
      <c r="E634" s="56"/>
      <c r="F634" s="52">
        <f>F649+F679</f>
        <v>0</v>
      </c>
      <c r="G634" s="52">
        <f t="shared" ref="G634:K634" si="765">G649+G679</f>
        <v>0</v>
      </c>
      <c r="H634" s="52">
        <f t="shared" si="765"/>
        <v>0</v>
      </c>
      <c r="I634" s="52">
        <f t="shared" si="765"/>
        <v>0</v>
      </c>
      <c r="J634" s="52">
        <f t="shared" si="765"/>
        <v>0</v>
      </c>
      <c r="K634" s="52">
        <f t="shared" si="765"/>
        <v>0</v>
      </c>
      <c r="L634" s="69">
        <f t="shared" si="751"/>
        <v>0</v>
      </c>
      <c r="M634" s="69">
        <f t="shared" si="752"/>
        <v>0</v>
      </c>
      <c r="N634" s="52">
        <f>N649+N679</f>
        <v>0</v>
      </c>
      <c r="O634" s="52">
        <f t="shared" ref="O634:S634" si="766">O649+O679</f>
        <v>0</v>
      </c>
      <c r="P634" s="52">
        <f t="shared" si="766"/>
        <v>0</v>
      </c>
      <c r="Q634" s="52">
        <f t="shared" si="766"/>
        <v>0</v>
      </c>
      <c r="R634" s="52">
        <f t="shared" si="766"/>
        <v>0</v>
      </c>
      <c r="S634" s="52">
        <f t="shared" si="766"/>
        <v>0</v>
      </c>
      <c r="T634" s="69">
        <f t="shared" si="754"/>
        <v>0</v>
      </c>
      <c r="U634" s="69">
        <f t="shared" si="755"/>
        <v>0</v>
      </c>
      <c r="V634" s="69">
        <f t="shared" ref="V634" si="767">V649+V679</f>
        <v>0</v>
      </c>
      <c r="W634" s="52">
        <f t="shared" si="757"/>
        <v>0</v>
      </c>
    </row>
    <row r="635" spans="1:28" s="130" customFormat="1" ht="18" hidden="1" customHeight="1">
      <c r="A635" s="614"/>
      <c r="B635" s="581"/>
      <c r="C635" s="581"/>
      <c r="D635" s="174" t="str">
        <f>серпень!D558</f>
        <v>місцевий (план), тис.грн</v>
      </c>
      <c r="E635" s="56"/>
      <c r="F635" s="52">
        <f>F650+F665+F680+F695</f>
        <v>0</v>
      </c>
      <c r="G635" s="52">
        <f t="shared" ref="G635:K635" si="768">G650+G665+G680+G695</f>
        <v>0</v>
      </c>
      <c r="H635" s="52">
        <f t="shared" si="768"/>
        <v>0</v>
      </c>
      <c r="I635" s="52">
        <f t="shared" si="768"/>
        <v>0</v>
      </c>
      <c r="J635" s="52">
        <f t="shared" si="768"/>
        <v>0</v>
      </c>
      <c r="K635" s="52">
        <f t="shared" si="768"/>
        <v>0</v>
      </c>
      <c r="L635" s="69">
        <f>SUM(F635:K635)</f>
        <v>0</v>
      </c>
      <c r="M635" s="69">
        <f>L635/6</f>
        <v>0</v>
      </c>
      <c r="N635" s="52">
        <f>N650+N665+N680+N695</f>
        <v>0</v>
      </c>
      <c r="O635" s="52">
        <f t="shared" ref="O635:S635" si="769">O650+O665+O680+O695</f>
        <v>0</v>
      </c>
      <c r="P635" s="52">
        <f t="shared" si="769"/>
        <v>0</v>
      </c>
      <c r="Q635" s="52">
        <f t="shared" si="769"/>
        <v>0</v>
      </c>
      <c r="R635" s="52">
        <f t="shared" si="769"/>
        <v>0</v>
      </c>
      <c r="S635" s="52">
        <f t="shared" si="769"/>
        <v>0</v>
      </c>
      <c r="T635" s="69">
        <f>SUM(N635:S635)</f>
        <v>0</v>
      </c>
      <c r="U635" s="69">
        <f>T635+L635</f>
        <v>0</v>
      </c>
      <c r="V635" s="69">
        <f t="shared" ref="V635" si="770">V650+V665+V680+V695</f>
        <v>0</v>
      </c>
      <c r="W635" s="52">
        <f t="shared" si="757"/>
        <v>0</v>
      </c>
    </row>
    <row r="636" spans="1:28" s="48" customFormat="1" ht="18" hidden="1" customHeight="1">
      <c r="A636" s="614"/>
      <c r="B636" s="581"/>
      <c r="C636" s="581"/>
      <c r="D636" s="178" t="str">
        <f>серпень!D559</f>
        <v>касові нат.п-ки 2025</v>
      </c>
      <c r="E636" s="11"/>
      <c r="F636" s="11">
        <f t="shared" ref="F636:K636" si="771">F651+F681</f>
        <v>0</v>
      </c>
      <c r="G636" s="11">
        <f t="shared" si="771"/>
        <v>0</v>
      </c>
      <c r="H636" s="11">
        <f t="shared" si="771"/>
        <v>0</v>
      </c>
      <c r="I636" s="11">
        <f t="shared" si="771"/>
        <v>0</v>
      </c>
      <c r="J636" s="11">
        <f t="shared" si="771"/>
        <v>0</v>
      </c>
      <c r="K636" s="11">
        <f t="shared" si="771"/>
        <v>0</v>
      </c>
      <c r="L636" s="65">
        <f>SUM(F636:K636)</f>
        <v>0</v>
      </c>
      <c r="M636" s="65">
        <f>L636/6</f>
        <v>0</v>
      </c>
      <c r="N636" s="11">
        <f t="shared" ref="N636:S636" si="772">N651+N681</f>
        <v>0</v>
      </c>
      <c r="O636" s="11">
        <f t="shared" si="772"/>
        <v>0</v>
      </c>
      <c r="P636" s="11">
        <f t="shared" si="772"/>
        <v>0</v>
      </c>
      <c r="Q636" s="11">
        <f t="shared" si="772"/>
        <v>0</v>
      </c>
      <c r="R636" s="11">
        <f t="shared" si="772"/>
        <v>0</v>
      </c>
      <c r="S636" s="11">
        <f t="shared" si="772"/>
        <v>0</v>
      </c>
      <c r="T636" s="65">
        <f>SUM(N636:S636)</f>
        <v>0</v>
      </c>
      <c r="U636" s="65">
        <f>T636+L636</f>
        <v>0</v>
      </c>
      <c r="V636" s="38">
        <f>V651+V681</f>
        <v>0</v>
      </c>
      <c r="W636" s="38">
        <f>V636-U636</f>
        <v>0</v>
      </c>
      <c r="X636" s="47">
        <f>U629-U636</f>
        <v>0</v>
      </c>
    </row>
    <row r="637" spans="1:28" s="51" customFormat="1" ht="18" hidden="1" customHeight="1">
      <c r="A637" s="614"/>
      <c r="B637" s="581"/>
      <c r="C637" s="581"/>
      <c r="D637" s="187" t="str">
        <f>серпень!D560</f>
        <v>тариф, грн.</v>
      </c>
      <c r="E637" s="49" t="e">
        <f>E638/E636*1000</f>
        <v>#DIV/0!</v>
      </c>
      <c r="F637" s="49" t="e">
        <f t="shared" ref="F637:W637" si="773">F638/F636*1000</f>
        <v>#DIV/0!</v>
      </c>
      <c r="G637" s="49" t="e">
        <f t="shared" si="773"/>
        <v>#DIV/0!</v>
      </c>
      <c r="H637" s="49" t="e">
        <f t="shared" si="773"/>
        <v>#DIV/0!</v>
      </c>
      <c r="I637" s="49" t="e">
        <f t="shared" si="773"/>
        <v>#DIV/0!</v>
      </c>
      <c r="J637" s="49" t="e">
        <f t="shared" si="773"/>
        <v>#DIV/0!</v>
      </c>
      <c r="K637" s="49" t="e">
        <f t="shared" si="773"/>
        <v>#DIV/0!</v>
      </c>
      <c r="L637" s="49" t="e">
        <f t="shared" si="773"/>
        <v>#DIV/0!</v>
      </c>
      <c r="M637" s="49" t="e">
        <f t="shared" si="773"/>
        <v>#DIV/0!</v>
      </c>
      <c r="N637" s="49" t="e">
        <f t="shared" si="773"/>
        <v>#DIV/0!</v>
      </c>
      <c r="O637" s="49" t="e">
        <f t="shared" si="773"/>
        <v>#DIV/0!</v>
      </c>
      <c r="P637" s="49" t="e">
        <f t="shared" si="773"/>
        <v>#DIV/0!</v>
      </c>
      <c r="Q637" s="49" t="e">
        <f t="shared" si="773"/>
        <v>#DIV/0!</v>
      </c>
      <c r="R637" s="49" t="e">
        <f t="shared" si="773"/>
        <v>#DIV/0!</v>
      </c>
      <c r="S637" s="49" t="e">
        <f t="shared" si="773"/>
        <v>#DIV/0!</v>
      </c>
      <c r="T637" s="49" t="e">
        <f t="shared" si="773"/>
        <v>#DIV/0!</v>
      </c>
      <c r="U637" s="49" t="e">
        <f t="shared" si="773"/>
        <v>#DIV/0!</v>
      </c>
      <c r="V637" s="49" t="e">
        <f t="shared" si="773"/>
        <v>#DIV/0!</v>
      </c>
      <c r="W637" s="49" t="e">
        <f t="shared" si="773"/>
        <v>#DIV/0!</v>
      </c>
      <c r="X637" s="59"/>
    </row>
    <row r="638" spans="1:28" s="126" customFormat="1" ht="18" hidden="1" customHeight="1">
      <c r="A638" s="614"/>
      <c r="B638" s="581"/>
      <c r="C638" s="581"/>
      <c r="D638" s="198" t="str">
        <f>серпень!D561</f>
        <v>касові видатки, тис.грн.</v>
      </c>
      <c r="E638" s="71"/>
      <c r="F638" s="61">
        <f t="shared" ref="F638:K643" si="774">F653+F683</f>
        <v>0</v>
      </c>
      <c r="G638" s="61">
        <f t="shared" si="774"/>
        <v>0</v>
      </c>
      <c r="H638" s="61">
        <f t="shared" si="774"/>
        <v>0</v>
      </c>
      <c r="I638" s="61">
        <f t="shared" si="774"/>
        <v>0</v>
      </c>
      <c r="J638" s="61">
        <f t="shared" si="774"/>
        <v>0</v>
      </c>
      <c r="K638" s="61">
        <f t="shared" si="774"/>
        <v>0</v>
      </c>
      <c r="L638" s="61">
        <f>SUM(F638:K638)</f>
        <v>0</v>
      </c>
      <c r="M638" s="61">
        <f>L638/6</f>
        <v>0</v>
      </c>
      <c r="N638" s="61">
        <f t="shared" ref="N638:S643" si="775">N653+N683</f>
        <v>0</v>
      </c>
      <c r="O638" s="61">
        <f t="shared" si="775"/>
        <v>0</v>
      </c>
      <c r="P638" s="61">
        <f t="shared" si="775"/>
        <v>0</v>
      </c>
      <c r="Q638" s="61">
        <f t="shared" si="775"/>
        <v>0</v>
      </c>
      <c r="R638" s="61">
        <f t="shared" si="775"/>
        <v>0</v>
      </c>
      <c r="S638" s="61">
        <f t="shared" si="775"/>
        <v>0</v>
      </c>
      <c r="T638" s="61">
        <f>SUM(N638:S638)</f>
        <v>0</v>
      </c>
      <c r="U638" s="61">
        <f>T638+L638</f>
        <v>0</v>
      </c>
      <c r="V638" s="61">
        <f>V653+V683</f>
        <v>0</v>
      </c>
      <c r="W638" s="72">
        <f>V638-U638</f>
        <v>0</v>
      </c>
      <c r="X638" s="63">
        <f>U631-U638</f>
        <v>0</v>
      </c>
    </row>
    <row r="639" spans="1:28" s="126" customFormat="1" ht="18" hidden="1" customHeight="1">
      <c r="A639" s="614"/>
      <c r="B639" s="581"/>
      <c r="C639" s="581"/>
      <c r="D639" s="201" t="str">
        <f>серпень!D562</f>
        <v>дотація</v>
      </c>
      <c r="E639" s="71"/>
      <c r="F639" s="61">
        <f t="shared" si="774"/>
        <v>0</v>
      </c>
      <c r="G639" s="61">
        <f t="shared" si="774"/>
        <v>0</v>
      </c>
      <c r="H639" s="61">
        <f t="shared" si="774"/>
        <v>0</v>
      </c>
      <c r="I639" s="61">
        <f t="shared" si="774"/>
        <v>0</v>
      </c>
      <c r="J639" s="61">
        <f t="shared" si="774"/>
        <v>0</v>
      </c>
      <c r="K639" s="61">
        <f t="shared" si="774"/>
        <v>0</v>
      </c>
      <c r="L639" s="61">
        <f>SUM(F639:K639)</f>
        <v>0</v>
      </c>
      <c r="M639" s="61">
        <f>L639/6</f>
        <v>0</v>
      </c>
      <c r="N639" s="61">
        <f t="shared" si="775"/>
        <v>0</v>
      </c>
      <c r="O639" s="61">
        <f t="shared" si="775"/>
        <v>0</v>
      </c>
      <c r="P639" s="61">
        <f t="shared" si="775"/>
        <v>0</v>
      </c>
      <c r="Q639" s="61">
        <f t="shared" si="775"/>
        <v>0</v>
      </c>
      <c r="R639" s="61">
        <f t="shared" si="775"/>
        <v>0</v>
      </c>
      <c r="S639" s="61">
        <f t="shared" si="775"/>
        <v>0</v>
      </c>
      <c r="T639" s="61">
        <f>SUM(N639:S639)</f>
        <v>0</v>
      </c>
      <c r="U639" s="61">
        <f>T639+L639</f>
        <v>0</v>
      </c>
      <c r="V639" s="61">
        <f>V654+V684</f>
        <v>0</v>
      </c>
      <c r="W639" s="72">
        <f>V639-U639</f>
        <v>0</v>
      </c>
      <c r="X639" s="63"/>
    </row>
    <row r="640" spans="1:28" s="126" customFormat="1" ht="18" hidden="1" customHeight="1">
      <c r="A640" s="614"/>
      <c r="B640" s="581"/>
      <c r="C640" s="581"/>
      <c r="D640" s="201" t="str">
        <f>серпень!D563</f>
        <v xml:space="preserve">місцевий </v>
      </c>
      <c r="E640" s="71"/>
      <c r="F640" s="61">
        <f t="shared" si="774"/>
        <v>0</v>
      </c>
      <c r="G640" s="61">
        <f t="shared" si="774"/>
        <v>0</v>
      </c>
      <c r="H640" s="61">
        <f t="shared" si="774"/>
        <v>0</v>
      </c>
      <c r="I640" s="61">
        <f t="shared" si="774"/>
        <v>0</v>
      </c>
      <c r="J640" s="61">
        <f t="shared" si="774"/>
        <v>0</v>
      </c>
      <c r="K640" s="61">
        <f t="shared" si="774"/>
        <v>0</v>
      </c>
      <c r="L640" s="61">
        <f>SUM(F640:K640)</f>
        <v>0</v>
      </c>
      <c r="M640" s="61">
        <f>L640/6</f>
        <v>0</v>
      </c>
      <c r="N640" s="61">
        <f t="shared" si="775"/>
        <v>0</v>
      </c>
      <c r="O640" s="61">
        <f t="shared" si="775"/>
        <v>0</v>
      </c>
      <c r="P640" s="61">
        <f t="shared" si="775"/>
        <v>0</v>
      </c>
      <c r="Q640" s="61">
        <f t="shared" si="775"/>
        <v>0</v>
      </c>
      <c r="R640" s="61">
        <f t="shared" si="775"/>
        <v>0</v>
      </c>
      <c r="S640" s="61">
        <f t="shared" si="775"/>
        <v>0</v>
      </c>
      <c r="T640" s="61">
        <f>SUM(N640:S640)</f>
        <v>0</v>
      </c>
      <c r="U640" s="61">
        <f>T640+L640</f>
        <v>0</v>
      </c>
      <c r="V640" s="61">
        <f>V655+V685</f>
        <v>0</v>
      </c>
      <c r="W640" s="72">
        <f>V640-U640</f>
        <v>0</v>
      </c>
      <c r="X640" s="63">
        <f>U635-U640</f>
        <v>0</v>
      </c>
    </row>
    <row r="641" spans="1:28" s="43" customFormat="1" ht="18" hidden="1" customHeight="1">
      <c r="A641" s="614"/>
      <c r="B641" s="581"/>
      <c r="C641" s="581"/>
      <c r="D641" s="202" t="str">
        <f>серпень!D564</f>
        <v>план</v>
      </c>
      <c r="E641" s="42"/>
      <c r="F641" s="42">
        <f t="shared" si="774"/>
        <v>0</v>
      </c>
      <c r="G641" s="42">
        <f t="shared" si="774"/>
        <v>0</v>
      </c>
      <c r="H641" s="42">
        <f t="shared" si="774"/>
        <v>0</v>
      </c>
      <c r="I641" s="42">
        <f t="shared" si="774"/>
        <v>0</v>
      </c>
      <c r="J641" s="42">
        <f t="shared" si="774"/>
        <v>0</v>
      </c>
      <c r="K641" s="42">
        <f t="shared" si="774"/>
        <v>0</v>
      </c>
      <c r="L641" s="42">
        <f>SUM(F641:K641)</f>
        <v>0</v>
      </c>
      <c r="M641" s="42">
        <f>L641/6</f>
        <v>0</v>
      </c>
      <c r="N641" s="42">
        <f t="shared" si="775"/>
        <v>0</v>
      </c>
      <c r="O641" s="42">
        <f t="shared" si="775"/>
        <v>0</v>
      </c>
      <c r="P641" s="42">
        <f t="shared" si="775"/>
        <v>0</v>
      </c>
      <c r="Q641" s="42">
        <f t="shared" si="775"/>
        <v>0</v>
      </c>
      <c r="R641" s="42">
        <f t="shared" si="775"/>
        <v>0</v>
      </c>
      <c r="S641" s="42">
        <f t="shared" si="775"/>
        <v>0</v>
      </c>
      <c r="T641" s="42">
        <f>SUM(N641:S641)</f>
        <v>0</v>
      </c>
      <c r="U641" s="42">
        <f>T641+L641</f>
        <v>0</v>
      </c>
      <c r="V641" s="42">
        <f>V656+V686</f>
        <v>0</v>
      </c>
      <c r="W641" s="42">
        <f>V641-U641</f>
        <v>0</v>
      </c>
    </row>
    <row r="642" spans="1:28" s="43" customFormat="1" ht="18" hidden="1" customHeight="1">
      <c r="A642" s="614"/>
      <c r="B642" s="581"/>
      <c r="C642" s="581"/>
      <c r="D642" s="202" t="str">
        <f>серпень!D565</f>
        <v xml:space="preserve">відхилення </v>
      </c>
      <c r="E642" s="42"/>
      <c r="F642" s="42">
        <f t="shared" si="774"/>
        <v>0</v>
      </c>
      <c r="G642" s="42">
        <f t="shared" si="774"/>
        <v>0</v>
      </c>
      <c r="H642" s="42">
        <f t="shared" si="774"/>
        <v>0</v>
      </c>
      <c r="I642" s="42">
        <f t="shared" si="774"/>
        <v>0</v>
      </c>
      <c r="J642" s="42">
        <f t="shared" si="774"/>
        <v>0</v>
      </c>
      <c r="K642" s="42">
        <f t="shared" si="774"/>
        <v>0</v>
      </c>
      <c r="L642" s="42"/>
      <c r="M642" s="42"/>
      <c r="N642" s="42">
        <f t="shared" si="775"/>
        <v>0</v>
      </c>
      <c r="O642" s="42">
        <f t="shared" si="775"/>
        <v>0</v>
      </c>
      <c r="P642" s="42">
        <f t="shared" si="775"/>
        <v>0</v>
      </c>
      <c r="Q642" s="42">
        <f t="shared" si="775"/>
        <v>0</v>
      </c>
      <c r="R642" s="42">
        <f t="shared" si="775"/>
        <v>0</v>
      </c>
      <c r="S642" s="42">
        <f t="shared" si="775"/>
        <v>0</v>
      </c>
      <c r="T642" s="42"/>
      <c r="U642" s="42"/>
      <c r="V642" s="42"/>
      <c r="W642" s="42"/>
    </row>
    <row r="643" spans="1:28" s="43" customFormat="1" ht="18" hidden="1" customHeight="1">
      <c r="A643" s="614"/>
      <c r="B643" s="581"/>
      <c r="C643" s="581"/>
      <c r="D643" s="202" t="str">
        <f>серпень!D566</f>
        <v>відхилення з наростаючим</v>
      </c>
      <c r="E643" s="42"/>
      <c r="F643" s="42">
        <f t="shared" si="774"/>
        <v>0</v>
      </c>
      <c r="G643" s="42">
        <f t="shared" si="774"/>
        <v>0</v>
      </c>
      <c r="H643" s="42">
        <f t="shared" si="774"/>
        <v>0</v>
      </c>
      <c r="I643" s="42">
        <f t="shared" si="774"/>
        <v>0</v>
      </c>
      <c r="J643" s="42">
        <f t="shared" si="774"/>
        <v>0</v>
      </c>
      <c r="K643" s="42">
        <f t="shared" si="774"/>
        <v>0</v>
      </c>
      <c r="L643" s="42"/>
      <c r="M643" s="42"/>
      <c r="N643" s="42">
        <f t="shared" si="775"/>
        <v>0</v>
      </c>
      <c r="O643" s="42">
        <f t="shared" si="775"/>
        <v>0</v>
      </c>
      <c r="P643" s="42">
        <f t="shared" si="775"/>
        <v>0</v>
      </c>
      <c r="Q643" s="42">
        <f t="shared" si="775"/>
        <v>0</v>
      </c>
      <c r="R643" s="42">
        <f t="shared" si="775"/>
        <v>0</v>
      </c>
      <c r="S643" s="42">
        <f t="shared" si="775"/>
        <v>0</v>
      </c>
      <c r="T643" s="42"/>
      <c r="U643" s="42"/>
      <c r="V643" s="42"/>
      <c r="W643" s="42"/>
    </row>
    <row r="644" spans="1:28" s="55" customFormat="1" ht="18" hidden="1" customHeight="1">
      <c r="A644" s="614"/>
      <c r="B644" s="581" t="s">
        <v>67</v>
      </c>
      <c r="C644" s="581"/>
      <c r="D644" s="178" t="str">
        <f>серпень!D567</f>
        <v>факт. нат.п-ки 2023</v>
      </c>
      <c r="E644" s="11"/>
      <c r="F644" s="12"/>
      <c r="G644" s="12"/>
      <c r="H644" s="12"/>
      <c r="I644" s="12"/>
      <c r="J644" s="12"/>
      <c r="K644" s="12"/>
      <c r="L644" s="65">
        <f>SUM(F644:K644)</f>
        <v>0</v>
      </c>
      <c r="M644" s="65">
        <f>L644/6</f>
        <v>0</v>
      </c>
      <c r="N644" s="12"/>
      <c r="O644" s="12"/>
      <c r="P644" s="12"/>
      <c r="Q644" s="12"/>
      <c r="R644" s="12"/>
      <c r="S644" s="12"/>
      <c r="T644" s="65">
        <f>SUM(N644:S644)</f>
        <v>0</v>
      </c>
      <c r="U644" s="66">
        <f>T644+L644</f>
        <v>0</v>
      </c>
      <c r="V644" s="67"/>
      <c r="W644" s="38">
        <f>V644-U644</f>
        <v>0</v>
      </c>
      <c r="X644" s="47"/>
      <c r="Y644" s="48"/>
      <c r="Z644" s="48"/>
      <c r="AA644" s="48"/>
      <c r="AB644" s="48"/>
    </row>
    <row r="645" spans="1:28" s="48" customFormat="1" ht="17.55" hidden="1" customHeight="1">
      <c r="A645" s="614"/>
      <c r="B645" s="581"/>
      <c r="C645" s="581"/>
      <c r="D645" s="178" t="str">
        <f>серпень!D568</f>
        <v>факт. нат.п-ки 2024</v>
      </c>
      <c r="E645" s="11"/>
      <c r="F645" s="12"/>
      <c r="G645" s="12"/>
      <c r="H645" s="12"/>
      <c r="I645" s="12"/>
      <c r="J645" s="12"/>
      <c r="K645" s="12"/>
      <c r="L645" s="65">
        <f>SUM(F645:K645)</f>
        <v>0</v>
      </c>
      <c r="M645" s="65">
        <f>L645/6</f>
        <v>0</v>
      </c>
      <c r="N645" s="11"/>
      <c r="O645" s="11"/>
      <c r="P645" s="11"/>
      <c r="Q645" s="11"/>
      <c r="R645" s="11"/>
      <c r="S645" s="11"/>
      <c r="T645" s="65">
        <f>SUM(N645:S645)</f>
        <v>0</v>
      </c>
      <c r="U645" s="66">
        <f>T645+L645</f>
        <v>0</v>
      </c>
      <c r="V645" s="67"/>
      <c r="W645" s="38">
        <f>V645-U645</f>
        <v>0</v>
      </c>
      <c r="X645" s="47"/>
    </row>
    <row r="646" spans="1:28" s="48" customFormat="1" ht="17.55" hidden="1" customHeight="1">
      <c r="A646" s="614"/>
      <c r="B646" s="581"/>
      <c r="C646" s="581"/>
      <c r="D646" s="178" t="str">
        <f>серпень!D569</f>
        <v>факт. нат.п-ки 2025</v>
      </c>
      <c r="E646" s="11"/>
      <c r="F646" s="12"/>
      <c r="G646" s="12"/>
      <c r="H646" s="12"/>
      <c r="I646" s="12"/>
      <c r="J646" s="12"/>
      <c r="K646" s="12"/>
      <c r="L646" s="65">
        <f>SUM(F646:K646)</f>
        <v>0</v>
      </c>
      <c r="M646" s="65">
        <f>L646/6</f>
        <v>0</v>
      </c>
      <c r="N646" s="12"/>
      <c r="O646" s="12"/>
      <c r="P646" s="12"/>
      <c r="Q646" s="12"/>
      <c r="R646" s="12"/>
      <c r="S646" s="11"/>
      <c r="T646" s="65">
        <f>SUM(N646:S646)</f>
        <v>0</v>
      </c>
      <c r="U646" s="66">
        <f>T646+L646</f>
        <v>0</v>
      </c>
      <c r="V646" s="11"/>
      <c r="W646" s="38">
        <f>V646-U646</f>
        <v>0</v>
      </c>
      <c r="X646" s="47"/>
    </row>
    <row r="647" spans="1:28" s="51" customFormat="1" ht="17.55" hidden="1" customHeight="1">
      <c r="A647" s="614"/>
      <c r="B647" s="581"/>
      <c r="C647" s="581"/>
      <c r="D647" s="187" t="str">
        <f>серпень!D570</f>
        <v>тариф, грн.</v>
      </c>
      <c r="E647" s="49"/>
      <c r="F647" s="49">
        <v>127.2</v>
      </c>
      <c r="G647" s="49">
        <v>127.2</v>
      </c>
      <c r="H647" s="49">
        <v>127.2</v>
      </c>
      <c r="I647" s="49">
        <v>127.2</v>
      </c>
      <c r="J647" s="49">
        <v>127.2</v>
      </c>
      <c r="K647" s="49">
        <v>127.2</v>
      </c>
      <c r="L647" s="49" t="e">
        <f>L648/L646*1000</f>
        <v>#DIV/0!</v>
      </c>
      <c r="M647" s="49" t="e">
        <f>M648/M646*1000</f>
        <v>#DIV/0!</v>
      </c>
      <c r="N647" s="49">
        <v>127.2</v>
      </c>
      <c r="O647" s="49">
        <v>127.2</v>
      </c>
      <c r="P647" s="49">
        <v>127.2</v>
      </c>
      <c r="Q647" s="49">
        <v>127.2</v>
      </c>
      <c r="R647" s="49">
        <v>127.2</v>
      </c>
      <c r="S647" s="49">
        <v>127.2</v>
      </c>
      <c r="T647" s="49" t="e">
        <f>T648/T646*1000</f>
        <v>#DIV/0!</v>
      </c>
      <c r="U647" s="49" t="e">
        <f>U648/U646*1000</f>
        <v>#DIV/0!</v>
      </c>
      <c r="V647" s="68" t="e">
        <f>V648/V646*1000</f>
        <v>#DIV/0!</v>
      </c>
      <c r="W647" s="14" t="e">
        <f>W648/W646*1000</f>
        <v>#DIV/0!</v>
      </c>
      <c r="X647" s="59"/>
    </row>
    <row r="648" spans="1:28" s="130" customFormat="1" ht="17.55" hidden="1" customHeight="1">
      <c r="A648" s="614"/>
      <c r="B648" s="581"/>
      <c r="C648" s="581"/>
      <c r="D648" s="191" t="str">
        <f>серпень!D571</f>
        <v>сума, тис.грн.</v>
      </c>
      <c r="E648" s="52"/>
      <c r="F648" s="52">
        <f t="shared" ref="F648:K648" si="776">F646*F647/1000</f>
        <v>0</v>
      </c>
      <c r="G648" s="52">
        <f t="shared" si="776"/>
        <v>0</v>
      </c>
      <c r="H648" s="52">
        <f t="shared" si="776"/>
        <v>0</v>
      </c>
      <c r="I648" s="52">
        <f t="shared" si="776"/>
        <v>0</v>
      </c>
      <c r="J648" s="52">
        <f t="shared" si="776"/>
        <v>0</v>
      </c>
      <c r="K648" s="52">
        <f t="shared" si="776"/>
        <v>0</v>
      </c>
      <c r="L648" s="69">
        <f>SUM(F648:K648)</f>
        <v>0</v>
      </c>
      <c r="M648" s="69">
        <f>L648/6</f>
        <v>0</v>
      </c>
      <c r="N648" s="52">
        <f t="shared" ref="N648:S648" si="777">N646*N647/1000</f>
        <v>0</v>
      </c>
      <c r="O648" s="52">
        <f t="shared" si="777"/>
        <v>0</v>
      </c>
      <c r="P648" s="52">
        <f t="shared" si="777"/>
        <v>0</v>
      </c>
      <c r="Q648" s="52">
        <f t="shared" si="777"/>
        <v>0</v>
      </c>
      <c r="R648" s="52">
        <f t="shared" si="777"/>
        <v>0</v>
      </c>
      <c r="S648" s="52">
        <f t="shared" si="777"/>
        <v>0</v>
      </c>
      <c r="T648" s="69">
        <f>SUM(N648:S648)</f>
        <v>0</v>
      </c>
      <c r="U648" s="69">
        <f>T648+L648</f>
        <v>0</v>
      </c>
      <c r="V648" s="70">
        <f>V649+V650</f>
        <v>0</v>
      </c>
      <c r="W648" s="53">
        <f>V648-U648</f>
        <v>0</v>
      </c>
    </row>
    <row r="649" spans="1:28" s="130" customFormat="1" ht="17.55" hidden="1" customHeight="1">
      <c r="A649" s="614"/>
      <c r="B649" s="581"/>
      <c r="C649" s="581"/>
      <c r="D649" s="174" t="str">
        <f>серпень!D572</f>
        <v>дотація</v>
      </c>
      <c r="E649" s="56"/>
      <c r="F649" s="52"/>
      <c r="G649" s="52"/>
      <c r="H649" s="52"/>
      <c r="I649" s="52"/>
      <c r="J649" s="52"/>
      <c r="K649" s="52"/>
      <c r="L649" s="69">
        <f>SUM(F649:K649)</f>
        <v>0</v>
      </c>
      <c r="M649" s="69">
        <f>L649/6</f>
        <v>0</v>
      </c>
      <c r="N649" s="52"/>
      <c r="O649" s="52"/>
      <c r="P649" s="52"/>
      <c r="Q649" s="52"/>
      <c r="R649" s="52"/>
      <c r="S649" s="52"/>
      <c r="T649" s="69">
        <f>SUM(N649:S649)</f>
        <v>0</v>
      </c>
      <c r="U649" s="69">
        <f>T649+L649</f>
        <v>0</v>
      </c>
      <c r="V649" s="70">
        <v>0</v>
      </c>
      <c r="W649" s="53">
        <f>V649-U649</f>
        <v>0</v>
      </c>
    </row>
    <row r="650" spans="1:28" s="130" customFormat="1" ht="17.55" hidden="1" customHeight="1">
      <c r="A650" s="614"/>
      <c r="B650" s="581"/>
      <c r="C650" s="581"/>
      <c r="D650" s="174" t="str">
        <f>серпень!D573</f>
        <v>місцевий (план), тис.грн</v>
      </c>
      <c r="E650" s="56"/>
      <c r="F650" s="52"/>
      <c r="G650" s="52"/>
      <c r="H650" s="52"/>
      <c r="I650" s="52"/>
      <c r="J650" s="52"/>
      <c r="K650" s="52"/>
      <c r="L650" s="69">
        <f>SUM(F650:K650)</f>
        <v>0</v>
      </c>
      <c r="M650" s="69">
        <f>L650/6</f>
        <v>0</v>
      </c>
      <c r="N650" s="52"/>
      <c r="O650" s="52"/>
      <c r="P650" s="52"/>
      <c r="Q650" s="52"/>
      <c r="R650" s="52"/>
      <c r="S650" s="52"/>
      <c r="T650" s="69">
        <f>SUM(N650:S650)</f>
        <v>0</v>
      </c>
      <c r="U650" s="69">
        <f>T650+L650</f>
        <v>0</v>
      </c>
      <c r="V650" s="70"/>
      <c r="W650" s="53">
        <f>V650-U650</f>
        <v>0</v>
      </c>
    </row>
    <row r="651" spans="1:28" s="48" customFormat="1" ht="17.55" hidden="1" customHeight="1">
      <c r="A651" s="614"/>
      <c r="B651" s="581"/>
      <c r="C651" s="581"/>
      <c r="D651" s="178" t="str">
        <f>серпень!D574</f>
        <v>касові нат.п-ки 2025</v>
      </c>
      <c r="E651" s="11"/>
      <c r="F651" s="11"/>
      <c r="G651" s="11"/>
      <c r="H651" s="11"/>
      <c r="I651" s="11"/>
      <c r="J651" s="11"/>
      <c r="K651" s="11"/>
      <c r="L651" s="65">
        <f>SUM(F651:K651)</f>
        <v>0</v>
      </c>
      <c r="M651" s="65">
        <f>L651/6</f>
        <v>0</v>
      </c>
      <c r="N651" s="11"/>
      <c r="O651" s="11"/>
      <c r="P651" s="11"/>
      <c r="Q651" s="11"/>
      <c r="R651" s="11"/>
      <c r="S651" s="11"/>
      <c r="T651" s="65">
        <f>SUM(N651:S651)</f>
        <v>0</v>
      </c>
      <c r="U651" s="65">
        <f>T651+L651</f>
        <v>0</v>
      </c>
      <c r="V651" s="11">
        <f>V646</f>
        <v>0</v>
      </c>
      <c r="W651" s="38">
        <f>V651-U651</f>
        <v>0</v>
      </c>
      <c r="X651" s="47">
        <f>U646-U651</f>
        <v>0</v>
      </c>
    </row>
    <row r="652" spans="1:28" s="51" customFormat="1" ht="17.55" hidden="1" customHeight="1">
      <c r="A652" s="614"/>
      <c r="B652" s="581"/>
      <c r="C652" s="581"/>
      <c r="D652" s="187" t="str">
        <f>серпень!D575</f>
        <v>тариф, грн.</v>
      </c>
      <c r="E652" s="49" t="e">
        <f>E653/E651*1000</f>
        <v>#DIV/0!</v>
      </c>
      <c r="F652" s="49">
        <v>127.2</v>
      </c>
      <c r="G652" s="49">
        <v>127.2</v>
      </c>
      <c r="H652" s="49">
        <v>127.2</v>
      </c>
      <c r="I652" s="49">
        <v>127.2</v>
      </c>
      <c r="J652" s="49">
        <v>127.2</v>
      </c>
      <c r="K652" s="49">
        <v>127.2</v>
      </c>
      <c r="L652" s="49" t="e">
        <f>L653/L651*1000</f>
        <v>#DIV/0!</v>
      </c>
      <c r="M652" s="49" t="e">
        <f>M653/M651*1000</f>
        <v>#DIV/0!</v>
      </c>
      <c r="N652" s="49">
        <v>127.2</v>
      </c>
      <c r="O652" s="49">
        <v>127.2</v>
      </c>
      <c r="P652" s="49">
        <v>127.2</v>
      </c>
      <c r="Q652" s="49">
        <v>127.2</v>
      </c>
      <c r="R652" s="49">
        <v>127.2</v>
      </c>
      <c r="S652" s="49">
        <v>127.2</v>
      </c>
      <c r="T652" s="49" t="e">
        <f>T653/T651*1000</f>
        <v>#DIV/0!</v>
      </c>
      <c r="U652" s="49" t="e">
        <f>U653/U651*1000</f>
        <v>#DIV/0!</v>
      </c>
      <c r="V652" s="68" t="e">
        <f>V653/V651*1000</f>
        <v>#DIV/0!</v>
      </c>
      <c r="W652" s="14" t="e">
        <f>W653/W651*1000</f>
        <v>#DIV/0!</v>
      </c>
      <c r="X652" s="59"/>
    </row>
    <row r="653" spans="1:28" s="126" customFormat="1" ht="17.55" hidden="1" customHeight="1">
      <c r="A653" s="614"/>
      <c r="B653" s="581"/>
      <c r="C653" s="581"/>
      <c r="D653" s="198" t="str">
        <f>серпень!D576</f>
        <v>касові видатки, тис.грн.</v>
      </c>
      <c r="E653" s="71"/>
      <c r="F653" s="61">
        <f t="shared" ref="F653:K653" si="778">F651*F652/1000</f>
        <v>0</v>
      </c>
      <c r="G653" s="61">
        <f t="shared" si="778"/>
        <v>0</v>
      </c>
      <c r="H653" s="61">
        <f t="shared" si="778"/>
        <v>0</v>
      </c>
      <c r="I653" s="61">
        <f t="shared" si="778"/>
        <v>0</v>
      </c>
      <c r="J653" s="61">
        <f t="shared" si="778"/>
        <v>0</v>
      </c>
      <c r="K653" s="61">
        <f t="shared" si="778"/>
        <v>0</v>
      </c>
      <c r="L653" s="61">
        <f>SUM(F653:K653)</f>
        <v>0</v>
      </c>
      <c r="M653" s="61">
        <f>L653/6</f>
        <v>0</v>
      </c>
      <c r="N653" s="61">
        <f t="shared" ref="N653:S653" si="779">N651*N652/1000</f>
        <v>0</v>
      </c>
      <c r="O653" s="61">
        <f t="shared" si="779"/>
        <v>0</v>
      </c>
      <c r="P653" s="61">
        <f t="shared" si="779"/>
        <v>0</v>
      </c>
      <c r="Q653" s="61">
        <f t="shared" si="779"/>
        <v>0</v>
      </c>
      <c r="R653" s="61">
        <f t="shared" si="779"/>
        <v>0</v>
      </c>
      <c r="S653" s="61">
        <f t="shared" si="779"/>
        <v>0</v>
      </c>
      <c r="T653" s="61">
        <f>SUM(N653:S653)</f>
        <v>0</v>
      </c>
      <c r="U653" s="61">
        <f>T653+L653</f>
        <v>0</v>
      </c>
      <c r="V653" s="61">
        <f>V648</f>
        <v>0</v>
      </c>
      <c r="W653" s="72">
        <f>V653-U653</f>
        <v>0</v>
      </c>
      <c r="X653" s="63">
        <f>U648-U653</f>
        <v>0</v>
      </c>
    </row>
    <row r="654" spans="1:28" s="126" customFormat="1" ht="17.55" hidden="1" customHeight="1">
      <c r="A654" s="614"/>
      <c r="B654" s="581"/>
      <c r="C654" s="581"/>
      <c r="D654" s="201" t="str">
        <f>серпень!D577</f>
        <v>дотація</v>
      </c>
      <c r="E654" s="71"/>
      <c r="F654" s="61"/>
      <c r="G654" s="61"/>
      <c r="H654" s="61"/>
      <c r="I654" s="61"/>
      <c r="J654" s="61"/>
      <c r="K654" s="61"/>
      <c r="L654" s="61">
        <f>SUM(F654:K654)</f>
        <v>0</v>
      </c>
      <c r="M654" s="61">
        <f>L654/6</f>
        <v>0</v>
      </c>
      <c r="N654" s="61"/>
      <c r="O654" s="61"/>
      <c r="P654" s="61"/>
      <c r="Q654" s="61"/>
      <c r="R654" s="61"/>
      <c r="S654" s="61"/>
      <c r="T654" s="61">
        <f>SUM(N654:S654)</f>
        <v>0</v>
      </c>
      <c r="U654" s="61">
        <f>T654+L654</f>
        <v>0</v>
      </c>
      <c r="V654" s="61">
        <f>V649</f>
        <v>0</v>
      </c>
      <c r="W654" s="72">
        <f>V654-U654</f>
        <v>0</v>
      </c>
      <c r="X654" s="63"/>
    </row>
    <row r="655" spans="1:28" s="126" customFormat="1" ht="17.55" hidden="1" customHeight="1">
      <c r="A655" s="614"/>
      <c r="B655" s="581"/>
      <c r="C655" s="581"/>
      <c r="D655" s="201" t="str">
        <f>серпень!D578</f>
        <v xml:space="preserve">місцевий </v>
      </c>
      <c r="E655" s="71"/>
      <c r="F655" s="61">
        <f t="shared" ref="F655:K655" si="780">F653-F654</f>
        <v>0</v>
      </c>
      <c r="G655" s="61">
        <f t="shared" si="780"/>
        <v>0</v>
      </c>
      <c r="H655" s="61">
        <f t="shared" si="780"/>
        <v>0</v>
      </c>
      <c r="I655" s="61">
        <f t="shared" si="780"/>
        <v>0</v>
      </c>
      <c r="J655" s="61">
        <f t="shared" si="780"/>
        <v>0</v>
      </c>
      <c r="K655" s="61">
        <f t="shared" si="780"/>
        <v>0</v>
      </c>
      <c r="L655" s="61">
        <f>SUM(F655:K655)</f>
        <v>0</v>
      </c>
      <c r="M655" s="61">
        <f>L655/6</f>
        <v>0</v>
      </c>
      <c r="N655" s="61">
        <f t="shared" ref="N655:S655" si="781">N653-N654</f>
        <v>0</v>
      </c>
      <c r="O655" s="61">
        <f t="shared" si="781"/>
        <v>0</v>
      </c>
      <c r="P655" s="61">
        <f t="shared" si="781"/>
        <v>0</v>
      </c>
      <c r="Q655" s="61">
        <f t="shared" si="781"/>
        <v>0</v>
      </c>
      <c r="R655" s="61">
        <f t="shared" si="781"/>
        <v>0</v>
      </c>
      <c r="S655" s="61">
        <f t="shared" si="781"/>
        <v>0</v>
      </c>
      <c r="T655" s="61">
        <f>SUM(N655:S655)</f>
        <v>0</v>
      </c>
      <c r="U655" s="61">
        <f>T655+L655</f>
        <v>0</v>
      </c>
      <c r="V655" s="61">
        <f>V650</f>
        <v>0</v>
      </c>
      <c r="W655" s="72">
        <f>V655-U655</f>
        <v>0</v>
      </c>
      <c r="X655" s="63">
        <f>U650-U655</f>
        <v>0</v>
      </c>
    </row>
    <row r="656" spans="1:28" s="43" customFormat="1" ht="17.55" hidden="1" customHeight="1">
      <c r="A656" s="614"/>
      <c r="B656" s="581"/>
      <c r="C656" s="581"/>
      <c r="D656" s="202" t="str">
        <f>серпень!D579</f>
        <v>план</v>
      </c>
      <c r="E656" s="42"/>
      <c r="F656" s="42">
        <f t="shared" ref="F656:K656" si="782">F650</f>
        <v>0</v>
      </c>
      <c r="G656" s="42">
        <f t="shared" si="782"/>
        <v>0</v>
      </c>
      <c r="H656" s="42">
        <f t="shared" si="782"/>
        <v>0</v>
      </c>
      <c r="I656" s="42">
        <f t="shared" si="782"/>
        <v>0</v>
      </c>
      <c r="J656" s="42">
        <f t="shared" si="782"/>
        <v>0</v>
      </c>
      <c r="K656" s="42">
        <f t="shared" si="782"/>
        <v>0</v>
      </c>
      <c r="L656" s="42">
        <f>SUM(F656:K656)</f>
        <v>0</v>
      </c>
      <c r="M656" s="42">
        <f>L656/6</f>
        <v>0</v>
      </c>
      <c r="N656" s="42">
        <f t="shared" ref="N656:S656" si="783">N650+N649</f>
        <v>0</v>
      </c>
      <c r="O656" s="42">
        <f t="shared" si="783"/>
        <v>0</v>
      </c>
      <c r="P656" s="42">
        <f t="shared" si="783"/>
        <v>0</v>
      </c>
      <c r="Q656" s="42">
        <f t="shared" si="783"/>
        <v>0</v>
      </c>
      <c r="R656" s="42">
        <f t="shared" si="783"/>
        <v>0</v>
      </c>
      <c r="S656" s="42">
        <f t="shared" si="783"/>
        <v>0</v>
      </c>
      <c r="T656" s="42">
        <f>SUM(N656:S656)</f>
        <v>0</v>
      </c>
      <c r="U656" s="42">
        <f>T656+L656</f>
        <v>0</v>
      </c>
      <c r="V656" s="42">
        <f>V653</f>
        <v>0</v>
      </c>
      <c r="W656" s="42">
        <f>V656-U656</f>
        <v>0</v>
      </c>
    </row>
    <row r="657" spans="1:28" s="43" customFormat="1" ht="17.55" hidden="1" customHeight="1">
      <c r="A657" s="614"/>
      <c r="B657" s="581"/>
      <c r="C657" s="581"/>
      <c r="D657" s="202" t="str">
        <f>серпень!D580</f>
        <v xml:space="preserve">відхилення </v>
      </c>
      <c r="E657" s="42"/>
      <c r="F657" s="42">
        <f t="shared" ref="F657:K657" si="784">F653-F656</f>
        <v>0</v>
      </c>
      <c r="G657" s="42">
        <f t="shared" si="784"/>
        <v>0</v>
      </c>
      <c r="H657" s="42">
        <f t="shared" si="784"/>
        <v>0</v>
      </c>
      <c r="I657" s="42">
        <f t="shared" si="784"/>
        <v>0</v>
      </c>
      <c r="J657" s="42">
        <f t="shared" si="784"/>
        <v>0</v>
      </c>
      <c r="K657" s="42">
        <f t="shared" si="784"/>
        <v>0</v>
      </c>
      <c r="L657" s="42"/>
      <c r="M657" s="42"/>
      <c r="N657" s="42">
        <f t="shared" ref="N657:S657" si="785">N653-N656</f>
        <v>0</v>
      </c>
      <c r="O657" s="42">
        <f t="shared" si="785"/>
        <v>0</v>
      </c>
      <c r="P657" s="42">
        <f t="shared" si="785"/>
        <v>0</v>
      </c>
      <c r="Q657" s="42">
        <f t="shared" si="785"/>
        <v>0</v>
      </c>
      <c r="R657" s="42">
        <f t="shared" si="785"/>
        <v>0</v>
      </c>
      <c r="S657" s="42">
        <f t="shared" si="785"/>
        <v>0</v>
      </c>
      <c r="T657" s="42"/>
      <c r="U657" s="42"/>
      <c r="V657" s="42"/>
      <c r="W657" s="42"/>
    </row>
    <row r="658" spans="1:28" s="43" customFormat="1" ht="19.45" hidden="1" customHeight="1">
      <c r="A658" s="614"/>
      <c r="B658" s="581"/>
      <c r="C658" s="581"/>
      <c r="D658" s="202" t="str">
        <f>серпень!D581</f>
        <v>відхилення з наростаючим</v>
      </c>
      <c r="E658" s="42"/>
      <c r="F658" s="42">
        <f>F657</f>
        <v>0</v>
      </c>
      <c r="G658" s="42">
        <f>G657+F658</f>
        <v>0</v>
      </c>
      <c r="H658" s="42">
        <f>H657+G658</f>
        <v>0</v>
      </c>
      <c r="I658" s="42">
        <f>I657+H658</f>
        <v>0</v>
      </c>
      <c r="J658" s="42">
        <f>J657+I658</f>
        <v>0</v>
      </c>
      <c r="K658" s="42">
        <f>K657+J658</f>
        <v>0</v>
      </c>
      <c r="L658" s="42"/>
      <c r="M658" s="42"/>
      <c r="N658" s="42">
        <f>N657+K658</f>
        <v>0</v>
      </c>
      <c r="O658" s="42">
        <f>O657+N658</f>
        <v>0</v>
      </c>
      <c r="P658" s="42">
        <f>P657+O658</f>
        <v>0</v>
      </c>
      <c r="Q658" s="42">
        <f>Q657+P658</f>
        <v>0</v>
      </c>
      <c r="R658" s="42">
        <f>R657+Q658</f>
        <v>0</v>
      </c>
      <c r="S658" s="42">
        <f>S657+R658</f>
        <v>0</v>
      </c>
      <c r="T658" s="42"/>
      <c r="U658" s="42"/>
      <c r="V658" s="42"/>
      <c r="W658" s="42"/>
    </row>
    <row r="659" spans="1:28" s="55" customFormat="1" ht="18" hidden="1" customHeight="1">
      <c r="A659" s="614"/>
      <c r="B659" s="654" t="s">
        <v>140</v>
      </c>
      <c r="C659" s="581"/>
      <c r="D659" s="178" t="str">
        <f>серпень!D582</f>
        <v>факт. нат.п-ки 2023</v>
      </c>
      <c r="E659" s="11"/>
      <c r="F659" s="12"/>
      <c r="G659" s="12"/>
      <c r="H659" s="12"/>
      <c r="I659" s="12"/>
      <c r="J659" s="12"/>
      <c r="K659" s="12"/>
      <c r="L659" s="65">
        <f>SUM(F659:K659)</f>
        <v>0</v>
      </c>
      <c r="M659" s="65">
        <f>L659/6</f>
        <v>0</v>
      </c>
      <c r="N659" s="12"/>
      <c r="O659" s="12"/>
      <c r="P659" s="12"/>
      <c r="Q659" s="12"/>
      <c r="R659" s="12"/>
      <c r="S659" s="12"/>
      <c r="T659" s="65">
        <f>SUM(N659:S659)</f>
        <v>0</v>
      </c>
      <c r="U659" s="66">
        <f>T659+L659</f>
        <v>0</v>
      </c>
      <c r="V659" s="67"/>
      <c r="W659" s="38">
        <f>V659-U659</f>
        <v>0</v>
      </c>
      <c r="X659" s="47"/>
      <c r="Y659" s="48"/>
      <c r="Z659" s="48"/>
      <c r="AA659" s="48"/>
      <c r="AB659" s="48"/>
    </row>
    <row r="660" spans="1:28" s="48" customFormat="1" ht="17.55" hidden="1" customHeight="1">
      <c r="A660" s="614"/>
      <c r="B660" s="581"/>
      <c r="C660" s="581"/>
      <c r="D660" s="178" t="str">
        <f>серпень!D583</f>
        <v>факт. нат.п-ки 2024</v>
      </c>
      <c r="E660" s="11"/>
      <c r="F660" s="12"/>
      <c r="G660" s="12"/>
      <c r="H660" s="12"/>
      <c r="I660" s="12"/>
      <c r="J660" s="12"/>
      <c r="K660" s="12"/>
      <c r="L660" s="65">
        <f>SUM(F660:K660)</f>
        <v>0</v>
      </c>
      <c r="M660" s="65">
        <f>L660/6</f>
        <v>0</v>
      </c>
      <c r="N660" s="11"/>
      <c r="O660" s="11"/>
      <c r="P660" s="11"/>
      <c r="Q660" s="11"/>
      <c r="R660" s="11"/>
      <c r="S660" s="11"/>
      <c r="T660" s="65">
        <f>SUM(N660:S660)</f>
        <v>0</v>
      </c>
      <c r="U660" s="66">
        <f>T660+L660</f>
        <v>0</v>
      </c>
      <c r="V660" s="67"/>
      <c r="W660" s="38">
        <f>V660-U660</f>
        <v>0</v>
      </c>
      <c r="X660" s="47"/>
    </row>
    <row r="661" spans="1:28" s="48" customFormat="1" ht="17.55" hidden="1" customHeight="1">
      <c r="A661" s="614"/>
      <c r="B661" s="581"/>
      <c r="C661" s="581"/>
      <c r="D661" s="178" t="str">
        <f>серпень!D584</f>
        <v>факт. нат.п-ки 2025</v>
      </c>
      <c r="E661" s="11"/>
      <c r="F661" s="12"/>
      <c r="G661" s="12"/>
      <c r="H661" s="12"/>
      <c r="I661" s="12"/>
      <c r="J661" s="12"/>
      <c r="K661" s="12"/>
      <c r="L661" s="65">
        <f>SUM(F661:K661)</f>
        <v>0</v>
      </c>
      <c r="M661" s="65">
        <f>L661/6</f>
        <v>0</v>
      </c>
      <c r="N661" s="12"/>
      <c r="O661" s="12"/>
      <c r="P661" s="12"/>
      <c r="Q661" s="12"/>
      <c r="R661" s="12"/>
      <c r="S661" s="11"/>
      <c r="T661" s="65">
        <f>SUM(N661:S661)</f>
        <v>0</v>
      </c>
      <c r="U661" s="66">
        <f>T661+L661</f>
        <v>0</v>
      </c>
      <c r="V661" s="11"/>
      <c r="W661" s="38">
        <f>V661-U661</f>
        <v>0</v>
      </c>
      <c r="X661" s="47"/>
    </row>
    <row r="662" spans="1:28" s="51" customFormat="1" ht="17.55" hidden="1" customHeight="1">
      <c r="A662" s="614"/>
      <c r="B662" s="581"/>
      <c r="C662" s="581"/>
      <c r="D662" s="187" t="str">
        <f>серпень!D585</f>
        <v>тариф, грн.</v>
      </c>
      <c r="E662" s="49"/>
      <c r="F662" s="49">
        <v>127.2</v>
      </c>
      <c r="G662" s="49">
        <v>127.2</v>
      </c>
      <c r="H662" s="49">
        <v>127.2</v>
      </c>
      <c r="I662" s="49">
        <v>127.2</v>
      </c>
      <c r="J662" s="49">
        <v>127.2</v>
      </c>
      <c r="K662" s="49">
        <v>127.2</v>
      </c>
      <c r="L662" s="49" t="e">
        <f>L663/L661*1000</f>
        <v>#DIV/0!</v>
      </c>
      <c r="M662" s="49" t="e">
        <f>M663/M661*1000</f>
        <v>#DIV/0!</v>
      </c>
      <c r="N662" s="49">
        <v>127.2</v>
      </c>
      <c r="O662" s="49">
        <v>127.2</v>
      </c>
      <c r="P662" s="49">
        <v>127.2</v>
      </c>
      <c r="Q662" s="49">
        <v>127.2</v>
      </c>
      <c r="R662" s="49">
        <v>127.2</v>
      </c>
      <c r="S662" s="49">
        <v>127.2</v>
      </c>
      <c r="T662" s="49" t="e">
        <f>T663/T661*1000</f>
        <v>#DIV/0!</v>
      </c>
      <c r="U662" s="49" t="e">
        <f>U663/U661*1000</f>
        <v>#DIV/0!</v>
      </c>
      <c r="V662" s="68" t="e">
        <f>V663/V661*1000</f>
        <v>#DIV/0!</v>
      </c>
      <c r="W662" s="14" t="e">
        <f>W663/W661*1000</f>
        <v>#DIV/0!</v>
      </c>
      <c r="X662" s="59"/>
    </row>
    <row r="663" spans="1:28" s="130" customFormat="1" ht="17.55" hidden="1" customHeight="1">
      <c r="A663" s="614"/>
      <c r="B663" s="581"/>
      <c r="C663" s="581"/>
      <c r="D663" s="191" t="str">
        <f>серпень!D586</f>
        <v>сума, тис.грн.</v>
      </c>
      <c r="E663" s="52"/>
      <c r="F663" s="52">
        <f t="shared" ref="F663:K663" si="786">F661*F662/1000</f>
        <v>0</v>
      </c>
      <c r="G663" s="52">
        <f t="shared" si="786"/>
        <v>0</v>
      </c>
      <c r="H663" s="52">
        <f t="shared" si="786"/>
        <v>0</v>
      </c>
      <c r="I663" s="52">
        <f t="shared" si="786"/>
        <v>0</v>
      </c>
      <c r="J663" s="52">
        <f t="shared" si="786"/>
        <v>0</v>
      </c>
      <c r="K663" s="52">
        <f t="shared" si="786"/>
        <v>0</v>
      </c>
      <c r="L663" s="69">
        <f>SUM(F663:K663)</f>
        <v>0</v>
      </c>
      <c r="M663" s="69">
        <f>L663/6</f>
        <v>0</v>
      </c>
      <c r="N663" s="52">
        <f t="shared" ref="N663:S663" si="787">N661*N662/1000</f>
        <v>0</v>
      </c>
      <c r="O663" s="52">
        <f t="shared" si="787"/>
        <v>0</v>
      </c>
      <c r="P663" s="52">
        <f t="shared" si="787"/>
        <v>0</v>
      </c>
      <c r="Q663" s="52">
        <f t="shared" si="787"/>
        <v>0</v>
      </c>
      <c r="R663" s="52">
        <f t="shared" si="787"/>
        <v>0</v>
      </c>
      <c r="S663" s="52">
        <f t="shared" si="787"/>
        <v>0</v>
      </c>
      <c r="T663" s="69">
        <f>SUM(N663:S663)</f>
        <v>0</v>
      </c>
      <c r="U663" s="69">
        <f>T663+L663</f>
        <v>0</v>
      </c>
      <c r="V663" s="70">
        <f>V664+V665</f>
        <v>0</v>
      </c>
      <c r="W663" s="53">
        <f>V663-U663</f>
        <v>0</v>
      </c>
    </row>
    <row r="664" spans="1:28" s="130" customFormat="1" ht="17.55" hidden="1" customHeight="1">
      <c r="A664" s="614"/>
      <c r="B664" s="581"/>
      <c r="C664" s="581"/>
      <c r="D664" s="174" t="str">
        <f>серпень!D587</f>
        <v>дотація</v>
      </c>
      <c r="E664" s="56"/>
      <c r="F664" s="52"/>
      <c r="G664" s="52"/>
      <c r="H664" s="52"/>
      <c r="I664" s="52"/>
      <c r="J664" s="52"/>
      <c r="K664" s="52"/>
      <c r="L664" s="69">
        <f>SUM(F664:K664)</f>
        <v>0</v>
      </c>
      <c r="M664" s="69">
        <f>L664/6</f>
        <v>0</v>
      </c>
      <c r="N664" s="52"/>
      <c r="O664" s="52"/>
      <c r="P664" s="52"/>
      <c r="Q664" s="52"/>
      <c r="R664" s="52"/>
      <c r="S664" s="52"/>
      <c r="T664" s="69">
        <f>SUM(N664:S664)</f>
        <v>0</v>
      </c>
      <c r="U664" s="69">
        <f>T664+L664</f>
        <v>0</v>
      </c>
      <c r="V664" s="70">
        <v>0</v>
      </c>
      <c r="W664" s="53">
        <f>V664-U664</f>
        <v>0</v>
      </c>
    </row>
    <row r="665" spans="1:28" s="130" customFormat="1" ht="17.55" hidden="1" customHeight="1">
      <c r="A665" s="614"/>
      <c r="B665" s="581"/>
      <c r="C665" s="581"/>
      <c r="D665" s="174" t="str">
        <f>серпень!D588</f>
        <v>місцевий (план), тис.грн</v>
      </c>
      <c r="E665" s="56"/>
      <c r="F665" s="52"/>
      <c r="G665" s="52"/>
      <c r="H665" s="52"/>
      <c r="I665" s="52"/>
      <c r="J665" s="52"/>
      <c r="K665" s="52"/>
      <c r="L665" s="69">
        <f>SUM(F665:K665)</f>
        <v>0</v>
      </c>
      <c r="M665" s="69">
        <f>L665/6</f>
        <v>0</v>
      </c>
      <c r="N665" s="52"/>
      <c r="O665" s="52"/>
      <c r="P665" s="52"/>
      <c r="Q665" s="52"/>
      <c r="R665" s="52"/>
      <c r="S665" s="52"/>
      <c r="T665" s="69">
        <f>SUM(N665:S665)</f>
        <v>0</v>
      </c>
      <c r="U665" s="69">
        <f>T665+L665</f>
        <v>0</v>
      </c>
      <c r="V665" s="70"/>
      <c r="W665" s="53">
        <f>V665-U665</f>
        <v>0</v>
      </c>
    </row>
    <row r="666" spans="1:28" s="48" customFormat="1" ht="17.55" hidden="1" customHeight="1">
      <c r="A666" s="614"/>
      <c r="B666" s="581"/>
      <c r="C666" s="581"/>
      <c r="D666" s="178" t="str">
        <f>серпень!D589</f>
        <v>касові нат.п-ки 2025</v>
      </c>
      <c r="E666" s="11"/>
      <c r="F666" s="11"/>
      <c r="G666" s="11"/>
      <c r="H666" s="11"/>
      <c r="I666" s="11"/>
      <c r="J666" s="11"/>
      <c r="K666" s="11"/>
      <c r="L666" s="65">
        <f>SUM(F666:K666)</f>
        <v>0</v>
      </c>
      <c r="M666" s="65">
        <f>L666/6</f>
        <v>0</v>
      </c>
      <c r="N666" s="11"/>
      <c r="O666" s="11"/>
      <c r="P666" s="11"/>
      <c r="Q666" s="11"/>
      <c r="R666" s="11"/>
      <c r="S666" s="11"/>
      <c r="T666" s="65">
        <f>SUM(N666:S666)</f>
        <v>0</v>
      </c>
      <c r="U666" s="65">
        <f>T666+L666</f>
        <v>0</v>
      </c>
      <c r="V666" s="11">
        <f>V661</f>
        <v>0</v>
      </c>
      <c r="W666" s="38">
        <f>V666-U666</f>
        <v>0</v>
      </c>
      <c r="X666" s="47">
        <f>U661-U666</f>
        <v>0</v>
      </c>
    </row>
    <row r="667" spans="1:28" s="51" customFormat="1" ht="17.55" hidden="1" customHeight="1">
      <c r="A667" s="614"/>
      <c r="B667" s="581"/>
      <c r="C667" s="581"/>
      <c r="D667" s="187" t="str">
        <f>серпень!D590</f>
        <v>тариф, грн.</v>
      </c>
      <c r="E667" s="49" t="e">
        <f>E668/E666*1000</f>
        <v>#DIV/0!</v>
      </c>
      <c r="F667" s="49">
        <v>127.2</v>
      </c>
      <c r="G667" s="49">
        <v>127.2</v>
      </c>
      <c r="H667" s="49">
        <v>127.2</v>
      </c>
      <c r="I667" s="49">
        <v>127.2</v>
      </c>
      <c r="J667" s="49">
        <v>127.2</v>
      </c>
      <c r="K667" s="49">
        <v>127.2</v>
      </c>
      <c r="L667" s="49" t="e">
        <f>L668/L666*1000</f>
        <v>#DIV/0!</v>
      </c>
      <c r="M667" s="49" t="e">
        <f>M668/M666*1000</f>
        <v>#DIV/0!</v>
      </c>
      <c r="N667" s="49">
        <v>127.2</v>
      </c>
      <c r="O667" s="49">
        <v>127.2</v>
      </c>
      <c r="P667" s="49">
        <v>127.2</v>
      </c>
      <c r="Q667" s="49">
        <v>127.2</v>
      </c>
      <c r="R667" s="49">
        <v>127.2</v>
      </c>
      <c r="S667" s="49">
        <v>127.2</v>
      </c>
      <c r="T667" s="49" t="e">
        <f>T668/T666*1000</f>
        <v>#DIV/0!</v>
      </c>
      <c r="U667" s="49" t="e">
        <f>U668/U666*1000</f>
        <v>#DIV/0!</v>
      </c>
      <c r="V667" s="68" t="e">
        <f>V668/V666*1000</f>
        <v>#DIV/0!</v>
      </c>
      <c r="W667" s="14" t="e">
        <f>W668/W666*1000</f>
        <v>#DIV/0!</v>
      </c>
      <c r="X667" s="59"/>
    </row>
    <row r="668" spans="1:28" s="126" customFormat="1" ht="17.55" hidden="1" customHeight="1">
      <c r="A668" s="614"/>
      <c r="B668" s="581"/>
      <c r="C668" s="581"/>
      <c r="D668" s="198" t="str">
        <f>серпень!D591</f>
        <v>касові видатки, тис.грн.</v>
      </c>
      <c r="E668" s="71"/>
      <c r="F668" s="61">
        <f t="shared" ref="F668:K668" si="788">F666*F667/1000</f>
        <v>0</v>
      </c>
      <c r="G668" s="61">
        <f t="shared" si="788"/>
        <v>0</v>
      </c>
      <c r="H668" s="61">
        <f t="shared" si="788"/>
        <v>0</v>
      </c>
      <c r="I668" s="61">
        <f t="shared" si="788"/>
        <v>0</v>
      </c>
      <c r="J668" s="61">
        <f t="shared" si="788"/>
        <v>0</v>
      </c>
      <c r="K668" s="61">
        <f t="shared" si="788"/>
        <v>0</v>
      </c>
      <c r="L668" s="61">
        <f>SUM(F668:K668)</f>
        <v>0</v>
      </c>
      <c r="M668" s="61">
        <f>L668/6</f>
        <v>0</v>
      </c>
      <c r="N668" s="61">
        <f t="shared" ref="N668:S668" si="789">N666*N667/1000</f>
        <v>0</v>
      </c>
      <c r="O668" s="61">
        <f t="shared" si="789"/>
        <v>0</v>
      </c>
      <c r="P668" s="61">
        <f t="shared" si="789"/>
        <v>0</v>
      </c>
      <c r="Q668" s="61">
        <f t="shared" si="789"/>
        <v>0</v>
      </c>
      <c r="R668" s="61">
        <f t="shared" si="789"/>
        <v>0</v>
      </c>
      <c r="S668" s="61">
        <f t="shared" si="789"/>
        <v>0</v>
      </c>
      <c r="T668" s="61">
        <f>SUM(N668:S668)</f>
        <v>0</v>
      </c>
      <c r="U668" s="61">
        <f>T668+L668</f>
        <v>0</v>
      </c>
      <c r="V668" s="61">
        <f>V663</f>
        <v>0</v>
      </c>
      <c r="W668" s="72">
        <f>V668-U668</f>
        <v>0</v>
      </c>
      <c r="X668" s="63">
        <f>U663-U668</f>
        <v>0</v>
      </c>
    </row>
    <row r="669" spans="1:28" s="126" customFormat="1" ht="17.55" hidden="1" customHeight="1">
      <c r="A669" s="614"/>
      <c r="B669" s="581"/>
      <c r="C669" s="581"/>
      <c r="D669" s="201" t="str">
        <f>серпень!D592</f>
        <v>дотація</v>
      </c>
      <c r="E669" s="71"/>
      <c r="F669" s="61"/>
      <c r="G669" s="61"/>
      <c r="H669" s="61"/>
      <c r="I669" s="61"/>
      <c r="J669" s="61"/>
      <c r="K669" s="61"/>
      <c r="L669" s="61">
        <f>SUM(F669:K669)</f>
        <v>0</v>
      </c>
      <c r="M669" s="61">
        <f>L669/6</f>
        <v>0</v>
      </c>
      <c r="N669" s="61"/>
      <c r="O669" s="61"/>
      <c r="P669" s="61"/>
      <c r="Q669" s="61"/>
      <c r="R669" s="61"/>
      <c r="S669" s="61"/>
      <c r="T669" s="61">
        <f>SUM(N669:S669)</f>
        <v>0</v>
      </c>
      <c r="U669" s="61">
        <f>T669+L669</f>
        <v>0</v>
      </c>
      <c r="V669" s="61">
        <f>V664</f>
        <v>0</v>
      </c>
      <c r="W669" s="72">
        <f>V669-U669</f>
        <v>0</v>
      </c>
      <c r="X669" s="63"/>
    </row>
    <row r="670" spans="1:28" s="126" customFormat="1" ht="17.55" hidden="1" customHeight="1">
      <c r="A670" s="614"/>
      <c r="B670" s="581"/>
      <c r="C670" s="581"/>
      <c r="D670" s="201" t="str">
        <f>серпень!D593</f>
        <v xml:space="preserve">місцевий </v>
      </c>
      <c r="E670" s="71"/>
      <c r="F670" s="61">
        <f t="shared" ref="F670:K670" si="790">F668-F669</f>
        <v>0</v>
      </c>
      <c r="G670" s="61">
        <f t="shared" si="790"/>
        <v>0</v>
      </c>
      <c r="H670" s="61">
        <f t="shared" si="790"/>
        <v>0</v>
      </c>
      <c r="I670" s="61">
        <f t="shared" si="790"/>
        <v>0</v>
      </c>
      <c r="J670" s="61">
        <f t="shared" si="790"/>
        <v>0</v>
      </c>
      <c r="K670" s="61">
        <f t="shared" si="790"/>
        <v>0</v>
      </c>
      <c r="L670" s="61">
        <f>SUM(F670:K670)</f>
        <v>0</v>
      </c>
      <c r="M670" s="61">
        <f>L670/6</f>
        <v>0</v>
      </c>
      <c r="N670" s="61">
        <f t="shared" ref="N670:S670" si="791">N668-N669</f>
        <v>0</v>
      </c>
      <c r="O670" s="61">
        <f t="shared" si="791"/>
        <v>0</v>
      </c>
      <c r="P670" s="61">
        <f t="shared" si="791"/>
        <v>0</v>
      </c>
      <c r="Q670" s="61">
        <f t="shared" si="791"/>
        <v>0</v>
      </c>
      <c r="R670" s="61">
        <f t="shared" si="791"/>
        <v>0</v>
      </c>
      <c r="S670" s="61">
        <f t="shared" si="791"/>
        <v>0</v>
      </c>
      <c r="T670" s="61">
        <f>SUM(N670:S670)</f>
        <v>0</v>
      </c>
      <c r="U670" s="61">
        <f>T670+L670</f>
        <v>0</v>
      </c>
      <c r="V670" s="61">
        <f>V665</f>
        <v>0</v>
      </c>
      <c r="W670" s="72">
        <f>V670-U670</f>
        <v>0</v>
      </c>
      <c r="X670" s="63">
        <f>U665-U670</f>
        <v>0</v>
      </c>
    </row>
    <row r="671" spans="1:28" s="43" customFormat="1" ht="17.55" hidden="1" customHeight="1">
      <c r="A671" s="614"/>
      <c r="B671" s="581"/>
      <c r="C671" s="581"/>
      <c r="D671" s="202" t="str">
        <f>серпень!D594</f>
        <v>план</v>
      </c>
      <c r="E671" s="42"/>
      <c r="F671" s="42">
        <f t="shared" ref="F671:K671" si="792">F665</f>
        <v>0</v>
      </c>
      <c r="G671" s="42">
        <f t="shared" si="792"/>
        <v>0</v>
      </c>
      <c r="H671" s="42">
        <f t="shared" si="792"/>
        <v>0</v>
      </c>
      <c r="I671" s="42">
        <f t="shared" si="792"/>
        <v>0</v>
      </c>
      <c r="J671" s="42">
        <f t="shared" si="792"/>
        <v>0</v>
      </c>
      <c r="K671" s="42">
        <f t="shared" si="792"/>
        <v>0</v>
      </c>
      <c r="L671" s="42">
        <f>SUM(F671:K671)</f>
        <v>0</v>
      </c>
      <c r="M671" s="42">
        <f>L671/6</f>
        <v>0</v>
      </c>
      <c r="N671" s="42">
        <f t="shared" ref="N671:S671" si="793">N665+N664</f>
        <v>0</v>
      </c>
      <c r="O671" s="42">
        <f t="shared" si="793"/>
        <v>0</v>
      </c>
      <c r="P671" s="42">
        <f t="shared" si="793"/>
        <v>0</v>
      </c>
      <c r="Q671" s="42">
        <f t="shared" si="793"/>
        <v>0</v>
      </c>
      <c r="R671" s="42">
        <f t="shared" si="793"/>
        <v>0</v>
      </c>
      <c r="S671" s="42">
        <f t="shared" si="793"/>
        <v>0</v>
      </c>
      <c r="T671" s="42">
        <f>SUM(N671:S671)</f>
        <v>0</v>
      </c>
      <c r="U671" s="42">
        <f>T671+L671</f>
        <v>0</v>
      </c>
      <c r="V671" s="42">
        <f>V668</f>
        <v>0</v>
      </c>
      <c r="W671" s="42">
        <f>V671-U671</f>
        <v>0</v>
      </c>
    </row>
    <row r="672" spans="1:28" s="43" customFormat="1" ht="17.55" hidden="1" customHeight="1">
      <c r="A672" s="614"/>
      <c r="B672" s="581"/>
      <c r="C672" s="581"/>
      <c r="D672" s="202" t="str">
        <f>серпень!D595</f>
        <v xml:space="preserve">відхилення </v>
      </c>
      <c r="E672" s="42"/>
      <c r="F672" s="42">
        <f t="shared" ref="F672:K672" si="794">F668-F671</f>
        <v>0</v>
      </c>
      <c r="G672" s="42">
        <f t="shared" si="794"/>
        <v>0</v>
      </c>
      <c r="H672" s="42">
        <f t="shared" si="794"/>
        <v>0</v>
      </c>
      <c r="I672" s="42">
        <f t="shared" si="794"/>
        <v>0</v>
      </c>
      <c r="J672" s="42">
        <f t="shared" si="794"/>
        <v>0</v>
      </c>
      <c r="K672" s="42">
        <f t="shared" si="794"/>
        <v>0</v>
      </c>
      <c r="L672" s="42"/>
      <c r="M672" s="42"/>
      <c r="N672" s="42">
        <f t="shared" ref="N672:S672" si="795">N668-N671</f>
        <v>0</v>
      </c>
      <c r="O672" s="42">
        <f t="shared" si="795"/>
        <v>0</v>
      </c>
      <c r="P672" s="42">
        <f t="shared" si="795"/>
        <v>0</v>
      </c>
      <c r="Q672" s="42">
        <f t="shared" si="795"/>
        <v>0</v>
      </c>
      <c r="R672" s="42">
        <f t="shared" si="795"/>
        <v>0</v>
      </c>
      <c r="S672" s="42">
        <f t="shared" si="795"/>
        <v>0</v>
      </c>
      <c r="T672" s="42"/>
      <c r="U672" s="42"/>
      <c r="V672" s="42"/>
      <c r="W672" s="42"/>
    </row>
    <row r="673" spans="1:28" s="43" customFormat="1" ht="19.45" hidden="1" customHeight="1">
      <c r="A673" s="614"/>
      <c r="B673" s="581"/>
      <c r="C673" s="581"/>
      <c r="D673" s="202" t="str">
        <f>серпень!D596</f>
        <v>відхилення з наростаючим</v>
      </c>
      <c r="E673" s="42"/>
      <c r="F673" s="42">
        <f>F672</f>
        <v>0</v>
      </c>
      <c r="G673" s="42">
        <f>G672+F673</f>
        <v>0</v>
      </c>
      <c r="H673" s="42">
        <f>H672+G673</f>
        <v>0</v>
      </c>
      <c r="I673" s="42">
        <f>I672+H673</f>
        <v>0</v>
      </c>
      <c r="J673" s="42">
        <f>J672+I673</f>
        <v>0</v>
      </c>
      <c r="K673" s="42">
        <f>K672+J673</f>
        <v>0</v>
      </c>
      <c r="L673" s="42"/>
      <c r="M673" s="42"/>
      <c r="N673" s="42">
        <f>N672+K673</f>
        <v>0</v>
      </c>
      <c r="O673" s="42">
        <f>O672+N673</f>
        <v>0</v>
      </c>
      <c r="P673" s="42">
        <f>P672+O673</f>
        <v>0</v>
      </c>
      <c r="Q673" s="42">
        <f>Q672+P673</f>
        <v>0</v>
      </c>
      <c r="R673" s="42">
        <f>R672+Q673</f>
        <v>0</v>
      </c>
      <c r="S673" s="42">
        <f>S672+R673</f>
        <v>0</v>
      </c>
      <c r="T673" s="42"/>
      <c r="U673" s="42"/>
      <c r="V673" s="42"/>
      <c r="W673" s="42"/>
    </row>
    <row r="674" spans="1:28" s="55" customFormat="1" ht="18" hidden="1" customHeight="1">
      <c r="A674" s="614"/>
      <c r="B674" s="581" t="s">
        <v>68</v>
      </c>
      <c r="C674" s="581"/>
      <c r="D674" s="178" t="str">
        <f>серпень!D597</f>
        <v>факт. нат.п-ки 2023</v>
      </c>
      <c r="E674" s="11"/>
      <c r="F674" s="12"/>
      <c r="G674" s="12"/>
      <c r="H674" s="12"/>
      <c r="I674" s="12"/>
      <c r="J674" s="12"/>
      <c r="K674" s="12"/>
      <c r="L674" s="65">
        <f>SUM(F674:K674)</f>
        <v>0</v>
      </c>
      <c r="M674" s="65">
        <f>L674/6</f>
        <v>0</v>
      </c>
      <c r="N674" s="12"/>
      <c r="O674" s="12"/>
      <c r="P674" s="12"/>
      <c r="Q674" s="12"/>
      <c r="R674" s="12"/>
      <c r="S674" s="12"/>
      <c r="T674" s="65">
        <f>SUM(N674:S674)</f>
        <v>0</v>
      </c>
      <c r="U674" s="66">
        <f>T674+L674</f>
        <v>0</v>
      </c>
      <c r="V674" s="67"/>
      <c r="W674" s="38">
        <f>V674-U674</f>
        <v>0</v>
      </c>
      <c r="X674" s="47"/>
      <c r="Y674" s="48"/>
      <c r="Z674" s="48"/>
      <c r="AA674" s="48"/>
      <c r="AB674" s="48"/>
    </row>
    <row r="675" spans="1:28" s="48" customFormat="1" ht="18" hidden="1" customHeight="1">
      <c r="A675" s="614"/>
      <c r="B675" s="581"/>
      <c r="C675" s="581"/>
      <c r="D675" s="178" t="str">
        <f>серпень!D598</f>
        <v>факт. нат.п-ки 2024</v>
      </c>
      <c r="E675" s="11"/>
      <c r="F675" s="12"/>
      <c r="G675" s="12"/>
      <c r="H675" s="12"/>
      <c r="I675" s="12"/>
      <c r="J675" s="12"/>
      <c r="K675" s="12"/>
      <c r="L675" s="65">
        <f>SUM(F675:K675)</f>
        <v>0</v>
      </c>
      <c r="M675" s="65">
        <f>L675/6</f>
        <v>0</v>
      </c>
      <c r="N675" s="11"/>
      <c r="O675" s="11"/>
      <c r="P675" s="11"/>
      <c r="Q675" s="11"/>
      <c r="R675" s="11"/>
      <c r="S675" s="11"/>
      <c r="T675" s="65">
        <f>SUM(N675:S675)</f>
        <v>0</v>
      </c>
      <c r="U675" s="66">
        <f>T675+L675</f>
        <v>0</v>
      </c>
      <c r="V675" s="67"/>
      <c r="W675" s="38">
        <f>V675-U675</f>
        <v>0</v>
      </c>
      <c r="X675" s="47"/>
    </row>
    <row r="676" spans="1:28" s="48" customFormat="1" ht="18" hidden="1" customHeight="1">
      <c r="A676" s="614"/>
      <c r="B676" s="581"/>
      <c r="C676" s="581"/>
      <c r="D676" s="178" t="str">
        <f>серпень!D599</f>
        <v>факт. нат.п-ки 2025</v>
      </c>
      <c r="E676" s="11"/>
      <c r="F676" s="12"/>
      <c r="G676" s="12"/>
      <c r="H676" s="12"/>
      <c r="I676" s="12"/>
      <c r="J676" s="12"/>
      <c r="K676" s="12"/>
      <c r="L676" s="65">
        <f>SUM(F676:K676)</f>
        <v>0</v>
      </c>
      <c r="M676" s="65">
        <f>L676/6</f>
        <v>0</v>
      </c>
      <c r="N676" s="12"/>
      <c r="O676" s="12"/>
      <c r="P676" s="12"/>
      <c r="Q676" s="12"/>
      <c r="R676" s="12"/>
      <c r="S676" s="11"/>
      <c r="T676" s="65">
        <f>SUM(N676:S676)</f>
        <v>0</v>
      </c>
      <c r="U676" s="66">
        <f>T676+L676</f>
        <v>0</v>
      </c>
      <c r="V676" s="11"/>
      <c r="W676" s="38">
        <f>V676-U676</f>
        <v>0</v>
      </c>
      <c r="X676" s="47"/>
    </row>
    <row r="677" spans="1:28" s="51" customFormat="1" ht="18" hidden="1" customHeight="1">
      <c r="A677" s="614"/>
      <c r="B677" s="581"/>
      <c r="C677" s="581"/>
      <c r="D677" s="187" t="str">
        <f>серпень!D600</f>
        <v>тариф, грн.</v>
      </c>
      <c r="E677" s="49"/>
      <c r="F677" s="49"/>
      <c r="G677" s="49"/>
      <c r="H677" s="49"/>
      <c r="I677" s="49"/>
      <c r="J677" s="49"/>
      <c r="K677" s="49"/>
      <c r="L677" s="49" t="e">
        <f>L678/L676*1000</f>
        <v>#DIV/0!</v>
      </c>
      <c r="M677" s="49" t="e">
        <f>M678/M676*1000</f>
        <v>#DIV/0!</v>
      </c>
      <c r="N677" s="49"/>
      <c r="O677" s="49"/>
      <c r="P677" s="49"/>
      <c r="Q677" s="49"/>
      <c r="R677" s="49"/>
      <c r="S677" s="49"/>
      <c r="T677" s="49" t="e">
        <f>T678/T676*1000</f>
        <v>#DIV/0!</v>
      </c>
      <c r="U677" s="49" t="e">
        <f>U678/U676*1000</f>
        <v>#DIV/0!</v>
      </c>
      <c r="V677" s="68" t="e">
        <f>V678/V676*1000</f>
        <v>#DIV/0!</v>
      </c>
      <c r="W677" s="14" t="e">
        <f>W678/W676*1000</f>
        <v>#DIV/0!</v>
      </c>
      <c r="X677" s="59"/>
    </row>
    <row r="678" spans="1:28" s="130" customFormat="1" ht="18" hidden="1" customHeight="1">
      <c r="A678" s="614"/>
      <c r="B678" s="581"/>
      <c r="C678" s="581"/>
      <c r="D678" s="191" t="str">
        <f>серпень!D601</f>
        <v>сума, тис.грн.</v>
      </c>
      <c r="E678" s="52"/>
      <c r="F678" s="52">
        <f t="shared" ref="F678:K678" si="796">F676*F677/1000</f>
        <v>0</v>
      </c>
      <c r="G678" s="52">
        <f t="shared" si="796"/>
        <v>0</v>
      </c>
      <c r="H678" s="52">
        <f t="shared" si="796"/>
        <v>0</v>
      </c>
      <c r="I678" s="52">
        <f t="shared" si="796"/>
        <v>0</v>
      </c>
      <c r="J678" s="52">
        <f t="shared" si="796"/>
        <v>0</v>
      </c>
      <c r="K678" s="52">
        <f t="shared" si="796"/>
        <v>0</v>
      </c>
      <c r="L678" s="69">
        <f>SUM(F678:K678)</f>
        <v>0</v>
      </c>
      <c r="M678" s="69">
        <f>L678/6</f>
        <v>0</v>
      </c>
      <c r="N678" s="52">
        <f t="shared" ref="N678:S678" si="797">N676*N677/1000</f>
        <v>0</v>
      </c>
      <c r="O678" s="52">
        <f t="shared" si="797"/>
        <v>0</v>
      </c>
      <c r="P678" s="52">
        <f t="shared" si="797"/>
        <v>0</v>
      </c>
      <c r="Q678" s="52">
        <f t="shared" si="797"/>
        <v>0</v>
      </c>
      <c r="R678" s="52">
        <f t="shared" si="797"/>
        <v>0</v>
      </c>
      <c r="S678" s="52">
        <f t="shared" si="797"/>
        <v>0</v>
      </c>
      <c r="T678" s="69">
        <f>SUM(N678:S678)</f>
        <v>0</v>
      </c>
      <c r="U678" s="69">
        <f>T678+L678</f>
        <v>0</v>
      </c>
      <c r="V678" s="70">
        <f>V679+V680</f>
        <v>0</v>
      </c>
      <c r="W678" s="53">
        <f>V678-U678</f>
        <v>0</v>
      </c>
    </row>
    <row r="679" spans="1:28" s="130" customFormat="1" ht="18" hidden="1" customHeight="1">
      <c r="A679" s="614"/>
      <c r="B679" s="581"/>
      <c r="C679" s="581"/>
      <c r="D679" s="174" t="str">
        <f>серпень!D602</f>
        <v>дотація</v>
      </c>
      <c r="E679" s="56"/>
      <c r="F679" s="52"/>
      <c r="G679" s="52"/>
      <c r="H679" s="52"/>
      <c r="I679" s="52"/>
      <c r="J679" s="52"/>
      <c r="K679" s="52"/>
      <c r="L679" s="69">
        <f>SUM(F679:K679)</f>
        <v>0</v>
      </c>
      <c r="M679" s="69">
        <f>L679/6</f>
        <v>0</v>
      </c>
      <c r="N679" s="52"/>
      <c r="O679" s="52"/>
      <c r="P679" s="52"/>
      <c r="Q679" s="52"/>
      <c r="R679" s="52"/>
      <c r="S679" s="52"/>
      <c r="T679" s="69">
        <f>SUM(N679:S679)</f>
        <v>0</v>
      </c>
      <c r="U679" s="69">
        <f>T679+L679</f>
        <v>0</v>
      </c>
      <c r="V679" s="70">
        <v>0</v>
      </c>
      <c r="W679" s="53">
        <f>V679-U679</f>
        <v>0</v>
      </c>
    </row>
    <row r="680" spans="1:28" s="130" customFormat="1" ht="18" hidden="1" customHeight="1">
      <c r="A680" s="614"/>
      <c r="B680" s="581"/>
      <c r="C680" s="581"/>
      <c r="D680" s="174" t="str">
        <f>серпень!D603</f>
        <v>місцевий (план), тис.грн</v>
      </c>
      <c r="E680" s="56"/>
      <c r="F680" s="52"/>
      <c r="G680" s="52"/>
      <c r="H680" s="52"/>
      <c r="I680" s="52"/>
      <c r="J680" s="52"/>
      <c r="K680" s="52"/>
      <c r="L680" s="69">
        <f>SUM(F680:K680)</f>
        <v>0</v>
      </c>
      <c r="M680" s="69">
        <f>L680/6</f>
        <v>0</v>
      </c>
      <c r="N680" s="52"/>
      <c r="O680" s="52"/>
      <c r="P680" s="52"/>
      <c r="Q680" s="52"/>
      <c r="R680" s="52"/>
      <c r="S680" s="52"/>
      <c r="T680" s="69">
        <f>SUM(N680:S680)</f>
        <v>0</v>
      </c>
      <c r="U680" s="69">
        <f>T680+L680</f>
        <v>0</v>
      </c>
      <c r="V680" s="70"/>
      <c r="W680" s="53">
        <f>V680-U680</f>
        <v>0</v>
      </c>
    </row>
    <row r="681" spans="1:28" s="48" customFormat="1" ht="18" hidden="1" customHeight="1">
      <c r="A681" s="614"/>
      <c r="B681" s="581"/>
      <c r="C681" s="581"/>
      <c r="D681" s="178" t="str">
        <f>серпень!D604</f>
        <v>касові нат.п-ки 2025</v>
      </c>
      <c r="E681" s="11"/>
      <c r="F681" s="11"/>
      <c r="G681" s="11"/>
      <c r="H681" s="11"/>
      <c r="I681" s="11"/>
      <c r="J681" s="11"/>
      <c r="K681" s="11"/>
      <c r="L681" s="65">
        <f>SUM(F681:K681)</f>
        <v>0</v>
      </c>
      <c r="M681" s="65">
        <f>L681/6</f>
        <v>0</v>
      </c>
      <c r="N681" s="11"/>
      <c r="O681" s="11"/>
      <c r="P681" s="11"/>
      <c r="Q681" s="11"/>
      <c r="R681" s="11"/>
      <c r="S681" s="11"/>
      <c r="T681" s="65">
        <f>SUM(N681:S681)</f>
        <v>0</v>
      </c>
      <c r="U681" s="65">
        <f>T681+L681</f>
        <v>0</v>
      </c>
      <c r="V681" s="11">
        <f>V676</f>
        <v>0</v>
      </c>
      <c r="W681" s="38">
        <f>V681-U681</f>
        <v>0</v>
      </c>
      <c r="X681" s="47">
        <f>U676-U681</f>
        <v>0</v>
      </c>
    </row>
    <row r="682" spans="1:28" s="51" customFormat="1" ht="18" hidden="1" customHeight="1">
      <c r="A682" s="614"/>
      <c r="B682" s="581"/>
      <c r="C682" s="581"/>
      <c r="D682" s="187" t="str">
        <f>серпень!D605</f>
        <v>тариф, грн.</v>
      </c>
      <c r="E682" s="49" t="e">
        <f>E683/E681*1000</f>
        <v>#DIV/0!</v>
      </c>
      <c r="F682" s="49"/>
      <c r="G682" s="49"/>
      <c r="H682" s="49"/>
      <c r="I682" s="49"/>
      <c r="J682" s="49"/>
      <c r="K682" s="49"/>
      <c r="L682" s="49" t="e">
        <f>L683/L681*1000</f>
        <v>#DIV/0!</v>
      </c>
      <c r="M682" s="49" t="e">
        <f>M683/M681*1000</f>
        <v>#DIV/0!</v>
      </c>
      <c r="N682" s="49"/>
      <c r="O682" s="49"/>
      <c r="P682" s="49"/>
      <c r="Q682" s="49"/>
      <c r="R682" s="49"/>
      <c r="S682" s="49"/>
      <c r="T682" s="49" t="e">
        <f>T683/T681*1000</f>
        <v>#DIV/0!</v>
      </c>
      <c r="U682" s="49" t="e">
        <f>U683/U681*1000</f>
        <v>#DIV/0!</v>
      </c>
      <c r="V682" s="68" t="e">
        <f>V683/V681*1000</f>
        <v>#DIV/0!</v>
      </c>
      <c r="W682" s="14" t="e">
        <f>W683/W681*1000</f>
        <v>#DIV/0!</v>
      </c>
      <c r="X682" s="59"/>
    </row>
    <row r="683" spans="1:28" s="126" customFormat="1" ht="18" hidden="1" customHeight="1">
      <c r="A683" s="614"/>
      <c r="B683" s="581"/>
      <c r="C683" s="581"/>
      <c r="D683" s="198" t="str">
        <f>серпень!D606</f>
        <v>касові видатки, тис.грн.</v>
      </c>
      <c r="E683" s="71"/>
      <c r="F683" s="61">
        <f t="shared" ref="F683:K683" si="798">F681*F682/1000</f>
        <v>0</v>
      </c>
      <c r="G683" s="61">
        <f t="shared" si="798"/>
        <v>0</v>
      </c>
      <c r="H683" s="61">
        <f t="shared" si="798"/>
        <v>0</v>
      </c>
      <c r="I683" s="61">
        <f t="shared" si="798"/>
        <v>0</v>
      </c>
      <c r="J683" s="61">
        <f t="shared" si="798"/>
        <v>0</v>
      </c>
      <c r="K683" s="61">
        <f t="shared" si="798"/>
        <v>0</v>
      </c>
      <c r="L683" s="61">
        <f>SUM(F683:K683)</f>
        <v>0</v>
      </c>
      <c r="M683" s="61">
        <f>L683/6</f>
        <v>0</v>
      </c>
      <c r="N683" s="61">
        <f t="shared" ref="N683:S683" si="799">N681*N682/1000</f>
        <v>0</v>
      </c>
      <c r="O683" s="61">
        <f t="shared" si="799"/>
        <v>0</v>
      </c>
      <c r="P683" s="61">
        <f t="shared" si="799"/>
        <v>0</v>
      </c>
      <c r="Q683" s="61">
        <f t="shared" si="799"/>
        <v>0</v>
      </c>
      <c r="R683" s="61">
        <f t="shared" si="799"/>
        <v>0</v>
      </c>
      <c r="S683" s="61">
        <f t="shared" si="799"/>
        <v>0</v>
      </c>
      <c r="T683" s="61">
        <f>SUM(N683:S683)</f>
        <v>0</v>
      </c>
      <c r="U683" s="61">
        <f>T683+L683</f>
        <v>0</v>
      </c>
      <c r="V683" s="61">
        <f>V678</f>
        <v>0</v>
      </c>
      <c r="W683" s="72">
        <f>V683-U683</f>
        <v>0</v>
      </c>
      <c r="X683" s="63">
        <f>U678-U683</f>
        <v>0</v>
      </c>
    </row>
    <row r="684" spans="1:28" s="126" customFormat="1" ht="18" hidden="1" customHeight="1">
      <c r="A684" s="614"/>
      <c r="B684" s="581"/>
      <c r="C684" s="581"/>
      <c r="D684" s="201" t="str">
        <f>серпень!D607</f>
        <v>дотація</v>
      </c>
      <c r="E684" s="71"/>
      <c r="F684" s="61"/>
      <c r="G684" s="61"/>
      <c r="H684" s="61"/>
      <c r="I684" s="61"/>
      <c r="J684" s="61"/>
      <c r="K684" s="61"/>
      <c r="L684" s="61">
        <f>SUM(F684:K684)</f>
        <v>0</v>
      </c>
      <c r="M684" s="61">
        <f>L684/6</f>
        <v>0</v>
      </c>
      <c r="N684" s="61"/>
      <c r="O684" s="61"/>
      <c r="P684" s="61"/>
      <c r="Q684" s="61"/>
      <c r="R684" s="61"/>
      <c r="S684" s="61"/>
      <c r="T684" s="61">
        <f>SUM(N684:S684)</f>
        <v>0</v>
      </c>
      <c r="U684" s="61">
        <f>T684+L684</f>
        <v>0</v>
      </c>
      <c r="V684" s="61">
        <f>V679</f>
        <v>0</v>
      </c>
      <c r="W684" s="72">
        <f>V684-U684</f>
        <v>0</v>
      </c>
      <c r="X684" s="63"/>
    </row>
    <row r="685" spans="1:28" s="126" customFormat="1" ht="18" hidden="1" customHeight="1">
      <c r="A685" s="614"/>
      <c r="B685" s="581"/>
      <c r="C685" s="581"/>
      <c r="D685" s="201" t="str">
        <f>серпень!D608</f>
        <v xml:space="preserve">місцевий </v>
      </c>
      <c r="E685" s="71"/>
      <c r="F685" s="61">
        <f t="shared" ref="F685:K685" si="800">F683-F684</f>
        <v>0</v>
      </c>
      <c r="G685" s="61">
        <f t="shared" si="800"/>
        <v>0</v>
      </c>
      <c r="H685" s="61">
        <f t="shared" si="800"/>
        <v>0</v>
      </c>
      <c r="I685" s="61">
        <f t="shared" si="800"/>
        <v>0</v>
      </c>
      <c r="J685" s="61">
        <f t="shared" si="800"/>
        <v>0</v>
      </c>
      <c r="K685" s="61">
        <f t="shared" si="800"/>
        <v>0</v>
      </c>
      <c r="L685" s="61">
        <f>SUM(F685:K685)</f>
        <v>0</v>
      </c>
      <c r="M685" s="61">
        <f>L685/6</f>
        <v>0</v>
      </c>
      <c r="N685" s="61">
        <f t="shared" ref="N685:S685" si="801">N683-N684</f>
        <v>0</v>
      </c>
      <c r="O685" s="61">
        <f t="shared" si="801"/>
        <v>0</v>
      </c>
      <c r="P685" s="61">
        <f t="shared" si="801"/>
        <v>0</v>
      </c>
      <c r="Q685" s="61">
        <f t="shared" si="801"/>
        <v>0</v>
      </c>
      <c r="R685" s="61">
        <f t="shared" si="801"/>
        <v>0</v>
      </c>
      <c r="S685" s="61">
        <f t="shared" si="801"/>
        <v>0</v>
      </c>
      <c r="T685" s="61">
        <f>SUM(N685:S685)</f>
        <v>0</v>
      </c>
      <c r="U685" s="61">
        <f>T685+L685</f>
        <v>0</v>
      </c>
      <c r="V685" s="61">
        <f>V680</f>
        <v>0</v>
      </c>
      <c r="W685" s="72">
        <f>V685-U685</f>
        <v>0</v>
      </c>
      <c r="X685" s="63">
        <f>U680-U685</f>
        <v>0</v>
      </c>
    </row>
    <row r="686" spans="1:28" s="43" customFormat="1" ht="18" hidden="1" customHeight="1">
      <c r="A686" s="614"/>
      <c r="B686" s="581"/>
      <c r="C686" s="581"/>
      <c r="D686" s="202" t="str">
        <f>серпень!D609</f>
        <v>план</v>
      </c>
      <c r="E686" s="42"/>
      <c r="F686" s="42">
        <f t="shared" ref="F686:K686" si="802">F680</f>
        <v>0</v>
      </c>
      <c r="G686" s="42">
        <f t="shared" si="802"/>
        <v>0</v>
      </c>
      <c r="H686" s="42">
        <f t="shared" si="802"/>
        <v>0</v>
      </c>
      <c r="I686" s="42">
        <f t="shared" si="802"/>
        <v>0</v>
      </c>
      <c r="J686" s="42">
        <f t="shared" si="802"/>
        <v>0</v>
      </c>
      <c r="K686" s="42">
        <f t="shared" si="802"/>
        <v>0</v>
      </c>
      <c r="L686" s="42">
        <f>SUM(F686:K686)</f>
        <v>0</v>
      </c>
      <c r="M686" s="42">
        <f>L686/6</f>
        <v>0</v>
      </c>
      <c r="N686" s="42">
        <f t="shared" ref="N686:S686" si="803">N680+N679</f>
        <v>0</v>
      </c>
      <c r="O686" s="42">
        <f t="shared" si="803"/>
        <v>0</v>
      </c>
      <c r="P686" s="42">
        <f t="shared" si="803"/>
        <v>0</v>
      </c>
      <c r="Q686" s="42">
        <f t="shared" si="803"/>
        <v>0</v>
      </c>
      <c r="R686" s="42">
        <f t="shared" si="803"/>
        <v>0</v>
      </c>
      <c r="S686" s="42">
        <f t="shared" si="803"/>
        <v>0</v>
      </c>
      <c r="T686" s="42">
        <f>SUM(N686:S686)</f>
        <v>0</v>
      </c>
      <c r="U686" s="42">
        <f>T686+L686</f>
        <v>0</v>
      </c>
      <c r="V686" s="42">
        <f>V683</f>
        <v>0</v>
      </c>
      <c r="W686" s="42">
        <f>V686-U686</f>
        <v>0</v>
      </c>
    </row>
    <row r="687" spans="1:28" s="43" customFormat="1" ht="18" hidden="1" customHeight="1">
      <c r="A687" s="614"/>
      <c r="B687" s="581"/>
      <c r="C687" s="581"/>
      <c r="D687" s="202" t="str">
        <f>серпень!D610</f>
        <v xml:space="preserve">відхилення </v>
      </c>
      <c r="E687" s="42"/>
      <c r="F687" s="42">
        <f t="shared" ref="F687:K687" si="804">F683-F686</f>
        <v>0</v>
      </c>
      <c r="G687" s="42">
        <f t="shared" si="804"/>
        <v>0</v>
      </c>
      <c r="H687" s="42">
        <f t="shared" si="804"/>
        <v>0</v>
      </c>
      <c r="I687" s="42">
        <f t="shared" si="804"/>
        <v>0</v>
      </c>
      <c r="J687" s="42">
        <f t="shared" si="804"/>
        <v>0</v>
      </c>
      <c r="K687" s="42">
        <f t="shared" si="804"/>
        <v>0</v>
      </c>
      <c r="L687" s="42"/>
      <c r="M687" s="42"/>
      <c r="N687" s="42">
        <f t="shared" ref="N687:S687" si="805">N683-N686</f>
        <v>0</v>
      </c>
      <c r="O687" s="42">
        <f t="shared" si="805"/>
        <v>0</v>
      </c>
      <c r="P687" s="42">
        <f t="shared" si="805"/>
        <v>0</v>
      </c>
      <c r="Q687" s="42">
        <f t="shared" si="805"/>
        <v>0</v>
      </c>
      <c r="R687" s="42">
        <f t="shared" si="805"/>
        <v>0</v>
      </c>
      <c r="S687" s="42">
        <f t="shared" si="805"/>
        <v>0</v>
      </c>
      <c r="T687" s="42"/>
      <c r="U687" s="42"/>
      <c r="V687" s="42"/>
      <c r="W687" s="42"/>
    </row>
    <row r="688" spans="1:28" s="43" customFormat="1" ht="18" hidden="1" customHeight="1">
      <c r="A688" s="614"/>
      <c r="B688" s="581"/>
      <c r="C688" s="581"/>
      <c r="D688" s="202" t="str">
        <f>серпень!D611</f>
        <v>відхилення з наростаючим</v>
      </c>
      <c r="E688" s="42"/>
      <c r="F688" s="42">
        <f>F687</f>
        <v>0</v>
      </c>
      <c r="G688" s="42">
        <f>G687+F688</f>
        <v>0</v>
      </c>
      <c r="H688" s="42">
        <f>H687+G688</f>
        <v>0</v>
      </c>
      <c r="I688" s="42">
        <f>I687+H688</f>
        <v>0</v>
      </c>
      <c r="J688" s="42">
        <f>J687+I688</f>
        <v>0</v>
      </c>
      <c r="K688" s="42">
        <f>K687+J688</f>
        <v>0</v>
      </c>
      <c r="L688" s="42"/>
      <c r="M688" s="42"/>
      <c r="N688" s="42">
        <f>N687+K688</f>
        <v>0</v>
      </c>
      <c r="O688" s="42">
        <f>O687+N688</f>
        <v>0</v>
      </c>
      <c r="P688" s="42">
        <f>P687+O688</f>
        <v>0</v>
      </c>
      <c r="Q688" s="42">
        <f>Q687+P688</f>
        <v>0</v>
      </c>
      <c r="R688" s="42">
        <f>R687+Q688</f>
        <v>0</v>
      </c>
      <c r="S688" s="42">
        <f>S687+R688</f>
        <v>0</v>
      </c>
      <c r="T688" s="42"/>
      <c r="U688" s="42"/>
      <c r="V688" s="42"/>
      <c r="W688" s="42"/>
    </row>
    <row r="689" spans="1:28" s="55" customFormat="1" ht="18" hidden="1" customHeight="1">
      <c r="A689" s="614"/>
      <c r="B689" s="654" t="s">
        <v>141</v>
      </c>
      <c r="C689" s="581"/>
      <c r="D689" s="178" t="str">
        <f>серпень!D612</f>
        <v>факт. нат.п-ки 2023</v>
      </c>
      <c r="E689" s="11"/>
      <c r="F689" s="12"/>
      <c r="G689" s="12"/>
      <c r="H689" s="12"/>
      <c r="I689" s="12"/>
      <c r="J689" s="12"/>
      <c r="K689" s="12"/>
      <c r="L689" s="65">
        <f>SUM(F689:K689)</f>
        <v>0</v>
      </c>
      <c r="M689" s="65">
        <f>L689/6</f>
        <v>0</v>
      </c>
      <c r="N689" s="12"/>
      <c r="O689" s="12"/>
      <c r="P689" s="12"/>
      <c r="Q689" s="12"/>
      <c r="R689" s="12"/>
      <c r="S689" s="12"/>
      <c r="T689" s="65">
        <f>SUM(N689:S689)</f>
        <v>0</v>
      </c>
      <c r="U689" s="66">
        <f>T689+L689</f>
        <v>0</v>
      </c>
      <c r="V689" s="67"/>
      <c r="W689" s="38">
        <f>V689-U689</f>
        <v>0</v>
      </c>
      <c r="X689" s="47"/>
      <c r="Y689" s="48"/>
      <c r="Z689" s="48"/>
      <c r="AA689" s="48"/>
      <c r="AB689" s="48"/>
    </row>
    <row r="690" spans="1:28" s="48" customFormat="1" ht="18" hidden="1" customHeight="1">
      <c r="A690" s="614"/>
      <c r="B690" s="581"/>
      <c r="C690" s="581"/>
      <c r="D690" s="178" t="str">
        <f>серпень!D613</f>
        <v>факт. нат.п-ки 2024</v>
      </c>
      <c r="E690" s="11"/>
      <c r="F690" s="12"/>
      <c r="G690" s="12"/>
      <c r="H690" s="12"/>
      <c r="I690" s="12"/>
      <c r="J690" s="12"/>
      <c r="K690" s="12"/>
      <c r="L690" s="65">
        <f>SUM(F690:K690)</f>
        <v>0</v>
      </c>
      <c r="M690" s="65">
        <f>L690/6</f>
        <v>0</v>
      </c>
      <c r="N690" s="11"/>
      <c r="O690" s="11"/>
      <c r="P690" s="11"/>
      <c r="Q690" s="11"/>
      <c r="R690" s="11"/>
      <c r="S690" s="11"/>
      <c r="T690" s="65">
        <f>SUM(N690:S690)</f>
        <v>0</v>
      </c>
      <c r="U690" s="66">
        <f>T690+L690</f>
        <v>0</v>
      </c>
      <c r="V690" s="67"/>
      <c r="W690" s="38">
        <f>V690-U690</f>
        <v>0</v>
      </c>
      <c r="X690" s="47"/>
    </row>
    <row r="691" spans="1:28" s="48" customFormat="1" ht="18" hidden="1" customHeight="1">
      <c r="A691" s="614"/>
      <c r="B691" s="581"/>
      <c r="C691" s="581"/>
      <c r="D691" s="178" t="str">
        <f>серпень!D614</f>
        <v>факт. нат.п-ки 2025</v>
      </c>
      <c r="E691" s="11"/>
      <c r="F691" s="12"/>
      <c r="G691" s="12"/>
      <c r="H691" s="12"/>
      <c r="I691" s="12"/>
      <c r="J691" s="12"/>
      <c r="K691" s="12"/>
      <c r="L691" s="65">
        <f>SUM(F691:K691)</f>
        <v>0</v>
      </c>
      <c r="M691" s="65">
        <f>L691/6</f>
        <v>0</v>
      </c>
      <c r="N691" s="12"/>
      <c r="O691" s="12"/>
      <c r="P691" s="12"/>
      <c r="Q691" s="12"/>
      <c r="R691" s="12"/>
      <c r="S691" s="11"/>
      <c r="T691" s="65">
        <f>SUM(N691:S691)</f>
        <v>0</v>
      </c>
      <c r="U691" s="66">
        <f>T691+L691</f>
        <v>0</v>
      </c>
      <c r="V691" s="11"/>
      <c r="W691" s="38">
        <f>V691-U691</f>
        <v>0</v>
      </c>
      <c r="X691" s="47"/>
    </row>
    <row r="692" spans="1:28" s="51" customFormat="1" ht="18" hidden="1" customHeight="1">
      <c r="A692" s="614"/>
      <c r="B692" s="581"/>
      <c r="C692" s="581"/>
      <c r="D692" s="187" t="str">
        <f>серпень!D615</f>
        <v>тариф, грн.</v>
      </c>
      <c r="E692" s="49"/>
      <c r="F692" s="49"/>
      <c r="G692" s="49"/>
      <c r="H692" s="49"/>
      <c r="I692" s="49"/>
      <c r="J692" s="49"/>
      <c r="K692" s="49"/>
      <c r="L692" s="49" t="e">
        <f>L693/L691*1000</f>
        <v>#DIV/0!</v>
      </c>
      <c r="M692" s="49" t="e">
        <f>M693/M691*1000</f>
        <v>#DIV/0!</v>
      </c>
      <c r="N692" s="49"/>
      <c r="O692" s="49"/>
      <c r="P692" s="49"/>
      <c r="Q692" s="49"/>
      <c r="R692" s="49"/>
      <c r="S692" s="49"/>
      <c r="T692" s="49" t="e">
        <f>T693/T691*1000</f>
        <v>#DIV/0!</v>
      </c>
      <c r="U692" s="49" t="e">
        <f>U693/U691*1000</f>
        <v>#DIV/0!</v>
      </c>
      <c r="V692" s="68" t="e">
        <f>V693/V691*1000</f>
        <v>#DIV/0!</v>
      </c>
      <c r="W692" s="14" t="e">
        <f>W693/W691*1000</f>
        <v>#DIV/0!</v>
      </c>
      <c r="X692" s="59"/>
    </row>
    <row r="693" spans="1:28" s="130" customFormat="1" ht="18" hidden="1" customHeight="1">
      <c r="A693" s="614"/>
      <c r="B693" s="581"/>
      <c r="C693" s="581"/>
      <c r="D693" s="191" t="str">
        <f>серпень!D616</f>
        <v>сума, тис.грн.</v>
      </c>
      <c r="E693" s="52"/>
      <c r="F693" s="52">
        <f t="shared" ref="F693:K693" si="806">F691*F692/1000</f>
        <v>0</v>
      </c>
      <c r="G693" s="52">
        <f t="shared" si="806"/>
        <v>0</v>
      </c>
      <c r="H693" s="52">
        <f t="shared" si="806"/>
        <v>0</v>
      </c>
      <c r="I693" s="52">
        <f t="shared" si="806"/>
        <v>0</v>
      </c>
      <c r="J693" s="52">
        <f t="shared" si="806"/>
        <v>0</v>
      </c>
      <c r="K693" s="52">
        <f t="shared" si="806"/>
        <v>0</v>
      </c>
      <c r="L693" s="69">
        <f>SUM(F693:K693)</f>
        <v>0</v>
      </c>
      <c r="M693" s="69">
        <f>L693/6</f>
        <v>0</v>
      </c>
      <c r="N693" s="52">
        <f t="shared" ref="N693:S693" si="807">N691*N692/1000</f>
        <v>0</v>
      </c>
      <c r="O693" s="52">
        <f t="shared" si="807"/>
        <v>0</v>
      </c>
      <c r="P693" s="52">
        <f t="shared" si="807"/>
        <v>0</v>
      </c>
      <c r="Q693" s="52">
        <f t="shared" si="807"/>
        <v>0</v>
      </c>
      <c r="R693" s="52">
        <f t="shared" si="807"/>
        <v>0</v>
      </c>
      <c r="S693" s="52">
        <f t="shared" si="807"/>
        <v>0</v>
      </c>
      <c r="T693" s="69">
        <f>SUM(N693:S693)</f>
        <v>0</v>
      </c>
      <c r="U693" s="69">
        <f>T693+L693</f>
        <v>0</v>
      </c>
      <c r="V693" s="70">
        <f>V694+V695</f>
        <v>0</v>
      </c>
      <c r="W693" s="53">
        <f>V693-U693</f>
        <v>0</v>
      </c>
    </row>
    <row r="694" spans="1:28" s="130" customFormat="1" ht="18" hidden="1" customHeight="1">
      <c r="A694" s="614"/>
      <c r="B694" s="581"/>
      <c r="C694" s="581"/>
      <c r="D694" s="174" t="str">
        <f>серпень!D617</f>
        <v>дотація</v>
      </c>
      <c r="E694" s="56"/>
      <c r="F694" s="52"/>
      <c r="G694" s="52"/>
      <c r="H694" s="52"/>
      <c r="I694" s="52"/>
      <c r="J694" s="52"/>
      <c r="K694" s="52"/>
      <c r="L694" s="69">
        <f>SUM(F694:K694)</f>
        <v>0</v>
      </c>
      <c r="M694" s="69">
        <f>L694/6</f>
        <v>0</v>
      </c>
      <c r="N694" s="52"/>
      <c r="O694" s="52"/>
      <c r="P694" s="52"/>
      <c r="Q694" s="52"/>
      <c r="R694" s="52"/>
      <c r="S694" s="52"/>
      <c r="T694" s="69">
        <f>SUM(N694:S694)</f>
        <v>0</v>
      </c>
      <c r="U694" s="69">
        <f>T694+L694</f>
        <v>0</v>
      </c>
      <c r="V694" s="70">
        <v>0</v>
      </c>
      <c r="W694" s="53">
        <f>V694-U694</f>
        <v>0</v>
      </c>
    </row>
    <row r="695" spans="1:28" s="130" customFormat="1" ht="18" hidden="1" customHeight="1">
      <c r="A695" s="614"/>
      <c r="B695" s="581"/>
      <c r="C695" s="581"/>
      <c r="D695" s="174" t="str">
        <f>серпень!D618</f>
        <v>місцевий (план), тис.грн</v>
      </c>
      <c r="E695" s="56"/>
      <c r="F695" s="52"/>
      <c r="G695" s="52"/>
      <c r="H695" s="52"/>
      <c r="I695" s="52"/>
      <c r="J695" s="52"/>
      <c r="K695" s="52"/>
      <c r="L695" s="69">
        <f>SUM(F695:K695)</f>
        <v>0</v>
      </c>
      <c r="M695" s="69">
        <f>L695/6</f>
        <v>0</v>
      </c>
      <c r="N695" s="52"/>
      <c r="O695" s="52"/>
      <c r="P695" s="52"/>
      <c r="Q695" s="52"/>
      <c r="R695" s="52"/>
      <c r="S695" s="52"/>
      <c r="T695" s="69">
        <f>SUM(N695:S695)</f>
        <v>0</v>
      </c>
      <c r="U695" s="69">
        <f>T695+L695</f>
        <v>0</v>
      </c>
      <c r="V695" s="70"/>
      <c r="W695" s="53">
        <f>V695-U695</f>
        <v>0</v>
      </c>
    </row>
    <row r="696" spans="1:28" s="48" customFormat="1" ht="18" hidden="1" customHeight="1">
      <c r="A696" s="614"/>
      <c r="B696" s="581"/>
      <c r="C696" s="581"/>
      <c r="D696" s="178" t="str">
        <f>серпень!D619</f>
        <v>касові нат.п-ки 2025</v>
      </c>
      <c r="E696" s="11"/>
      <c r="F696" s="11"/>
      <c r="G696" s="11"/>
      <c r="H696" s="11"/>
      <c r="I696" s="11"/>
      <c r="J696" s="11"/>
      <c r="K696" s="11"/>
      <c r="L696" s="65">
        <f>SUM(F696:K696)</f>
        <v>0</v>
      </c>
      <c r="M696" s="65">
        <f>L696/6</f>
        <v>0</v>
      </c>
      <c r="N696" s="11"/>
      <c r="O696" s="11"/>
      <c r="P696" s="11"/>
      <c r="Q696" s="11"/>
      <c r="R696" s="11"/>
      <c r="S696" s="11"/>
      <c r="T696" s="65">
        <f>SUM(N696:S696)</f>
        <v>0</v>
      </c>
      <c r="U696" s="65">
        <f>T696+L696</f>
        <v>0</v>
      </c>
      <c r="V696" s="11">
        <f>V691</f>
        <v>0</v>
      </c>
      <c r="W696" s="38">
        <f>V696-U696</f>
        <v>0</v>
      </c>
      <c r="X696" s="47">
        <f>U691-U696</f>
        <v>0</v>
      </c>
    </row>
    <row r="697" spans="1:28" s="51" customFormat="1" ht="18" hidden="1" customHeight="1">
      <c r="A697" s="614"/>
      <c r="B697" s="581"/>
      <c r="C697" s="581"/>
      <c r="D697" s="187" t="str">
        <f>серпень!D620</f>
        <v>тариф, грн.</v>
      </c>
      <c r="E697" s="49" t="e">
        <f>E698/E696*1000</f>
        <v>#DIV/0!</v>
      </c>
      <c r="F697" s="49"/>
      <c r="G697" s="49"/>
      <c r="H697" s="49"/>
      <c r="I697" s="49"/>
      <c r="J697" s="49"/>
      <c r="K697" s="49"/>
      <c r="L697" s="49" t="e">
        <f>L698/L696*1000</f>
        <v>#DIV/0!</v>
      </c>
      <c r="M697" s="49" t="e">
        <f>M698/M696*1000</f>
        <v>#DIV/0!</v>
      </c>
      <c r="N697" s="49"/>
      <c r="O697" s="49"/>
      <c r="P697" s="49"/>
      <c r="Q697" s="49"/>
      <c r="R697" s="49"/>
      <c r="S697" s="49"/>
      <c r="T697" s="49" t="e">
        <f>T698/T696*1000</f>
        <v>#DIV/0!</v>
      </c>
      <c r="U697" s="49" t="e">
        <f>U698/U696*1000</f>
        <v>#DIV/0!</v>
      </c>
      <c r="V697" s="68" t="e">
        <f>V698/V696*1000</f>
        <v>#DIV/0!</v>
      </c>
      <c r="W697" s="14" t="e">
        <f>W698/W696*1000</f>
        <v>#DIV/0!</v>
      </c>
      <c r="X697" s="59"/>
    </row>
    <row r="698" spans="1:28" s="126" customFormat="1" ht="18" hidden="1" customHeight="1">
      <c r="A698" s="614"/>
      <c r="B698" s="581"/>
      <c r="C698" s="581"/>
      <c r="D698" s="198" t="str">
        <f>серпень!D621</f>
        <v>касові видатки, тис.грн.</v>
      </c>
      <c r="E698" s="71"/>
      <c r="F698" s="61">
        <f t="shared" ref="F698:K698" si="808">F696*F697/1000</f>
        <v>0</v>
      </c>
      <c r="G698" s="61">
        <f t="shared" si="808"/>
        <v>0</v>
      </c>
      <c r="H698" s="61">
        <f t="shared" si="808"/>
        <v>0</v>
      </c>
      <c r="I698" s="61">
        <f t="shared" si="808"/>
        <v>0</v>
      </c>
      <c r="J698" s="61">
        <f t="shared" si="808"/>
        <v>0</v>
      </c>
      <c r="K698" s="61">
        <f t="shared" si="808"/>
        <v>0</v>
      </c>
      <c r="L698" s="61">
        <f>SUM(F698:K698)</f>
        <v>0</v>
      </c>
      <c r="M698" s="61">
        <f>L698/6</f>
        <v>0</v>
      </c>
      <c r="N698" s="61">
        <f t="shared" ref="N698:S698" si="809">N696*N697/1000</f>
        <v>0</v>
      </c>
      <c r="O698" s="61">
        <f t="shared" si="809"/>
        <v>0</v>
      </c>
      <c r="P698" s="61">
        <f t="shared" si="809"/>
        <v>0</v>
      </c>
      <c r="Q698" s="61">
        <f t="shared" si="809"/>
        <v>0</v>
      </c>
      <c r="R698" s="61">
        <f t="shared" si="809"/>
        <v>0</v>
      </c>
      <c r="S698" s="61">
        <f t="shared" si="809"/>
        <v>0</v>
      </c>
      <c r="T698" s="61">
        <f>SUM(N698:S698)</f>
        <v>0</v>
      </c>
      <c r="U698" s="61">
        <f>T698+L698</f>
        <v>0</v>
      </c>
      <c r="V698" s="61">
        <f>V693</f>
        <v>0</v>
      </c>
      <c r="W698" s="72">
        <f>V698-U698</f>
        <v>0</v>
      </c>
      <c r="X698" s="63">
        <f>U693-U698</f>
        <v>0</v>
      </c>
    </row>
    <row r="699" spans="1:28" s="126" customFormat="1" ht="18" hidden="1" customHeight="1">
      <c r="A699" s="614"/>
      <c r="B699" s="581"/>
      <c r="C699" s="581"/>
      <c r="D699" s="201" t="str">
        <f>серпень!D622</f>
        <v>дотація</v>
      </c>
      <c r="E699" s="71"/>
      <c r="F699" s="61"/>
      <c r="G699" s="61"/>
      <c r="H699" s="61"/>
      <c r="I699" s="61"/>
      <c r="J699" s="61"/>
      <c r="K699" s="61"/>
      <c r="L699" s="61">
        <f>SUM(F699:K699)</f>
        <v>0</v>
      </c>
      <c r="M699" s="61">
        <f>L699/6</f>
        <v>0</v>
      </c>
      <c r="N699" s="61"/>
      <c r="O699" s="61"/>
      <c r="P699" s="61"/>
      <c r="Q699" s="61"/>
      <c r="R699" s="61"/>
      <c r="S699" s="61"/>
      <c r="T699" s="61">
        <f>SUM(N699:S699)</f>
        <v>0</v>
      </c>
      <c r="U699" s="61">
        <f>T699+L699</f>
        <v>0</v>
      </c>
      <c r="V699" s="61">
        <f>V694</f>
        <v>0</v>
      </c>
      <c r="W699" s="72">
        <f>V699-U699</f>
        <v>0</v>
      </c>
      <c r="X699" s="63"/>
    </row>
    <row r="700" spans="1:28" s="126" customFormat="1" ht="18" hidden="1" customHeight="1">
      <c r="A700" s="614"/>
      <c r="B700" s="581"/>
      <c r="C700" s="581"/>
      <c r="D700" s="201" t="str">
        <f>серпень!D623</f>
        <v xml:space="preserve">місцевий </v>
      </c>
      <c r="E700" s="71"/>
      <c r="F700" s="61">
        <f t="shared" ref="F700:K700" si="810">F698-F699</f>
        <v>0</v>
      </c>
      <c r="G700" s="61">
        <f t="shared" si="810"/>
        <v>0</v>
      </c>
      <c r="H700" s="61">
        <f t="shared" si="810"/>
        <v>0</v>
      </c>
      <c r="I700" s="61">
        <f t="shared" si="810"/>
        <v>0</v>
      </c>
      <c r="J700" s="61">
        <f t="shared" si="810"/>
        <v>0</v>
      </c>
      <c r="K700" s="61">
        <f t="shared" si="810"/>
        <v>0</v>
      </c>
      <c r="L700" s="61">
        <f>SUM(F700:K700)</f>
        <v>0</v>
      </c>
      <c r="M700" s="61">
        <f>L700/6</f>
        <v>0</v>
      </c>
      <c r="N700" s="61">
        <f t="shared" ref="N700:S700" si="811">N698-N699</f>
        <v>0</v>
      </c>
      <c r="O700" s="61">
        <f t="shared" si="811"/>
        <v>0</v>
      </c>
      <c r="P700" s="61">
        <f t="shared" si="811"/>
        <v>0</v>
      </c>
      <c r="Q700" s="61">
        <f t="shared" si="811"/>
        <v>0</v>
      </c>
      <c r="R700" s="61">
        <f t="shared" si="811"/>
        <v>0</v>
      </c>
      <c r="S700" s="61">
        <f t="shared" si="811"/>
        <v>0</v>
      </c>
      <c r="T700" s="61">
        <f>SUM(N700:S700)</f>
        <v>0</v>
      </c>
      <c r="U700" s="61">
        <f>T700+L700</f>
        <v>0</v>
      </c>
      <c r="V700" s="61">
        <f>V695</f>
        <v>0</v>
      </c>
      <c r="W700" s="72">
        <f>V700-U700</f>
        <v>0</v>
      </c>
      <c r="X700" s="63">
        <f>U695-U700</f>
        <v>0</v>
      </c>
    </row>
    <row r="701" spans="1:28" s="43" customFormat="1" ht="18" hidden="1" customHeight="1">
      <c r="A701" s="614"/>
      <c r="B701" s="581"/>
      <c r="C701" s="581"/>
      <c r="D701" s="202" t="str">
        <f>серпень!D624</f>
        <v>план</v>
      </c>
      <c r="E701" s="42"/>
      <c r="F701" s="42">
        <f t="shared" ref="F701:K701" si="812">F695</f>
        <v>0</v>
      </c>
      <c r="G701" s="42">
        <f t="shared" si="812"/>
        <v>0</v>
      </c>
      <c r="H701" s="42">
        <f t="shared" si="812"/>
        <v>0</v>
      </c>
      <c r="I701" s="42">
        <f t="shared" si="812"/>
        <v>0</v>
      </c>
      <c r="J701" s="42">
        <f t="shared" si="812"/>
        <v>0</v>
      </c>
      <c r="K701" s="42">
        <f t="shared" si="812"/>
        <v>0</v>
      </c>
      <c r="L701" s="42">
        <f>SUM(F701:K701)</f>
        <v>0</v>
      </c>
      <c r="M701" s="42">
        <f>L701/6</f>
        <v>0</v>
      </c>
      <c r="N701" s="42">
        <f t="shared" ref="N701:S701" si="813">N695+N694</f>
        <v>0</v>
      </c>
      <c r="O701" s="42">
        <f t="shared" si="813"/>
        <v>0</v>
      </c>
      <c r="P701" s="42">
        <f t="shared" si="813"/>
        <v>0</v>
      </c>
      <c r="Q701" s="42">
        <f t="shared" si="813"/>
        <v>0</v>
      </c>
      <c r="R701" s="42">
        <f t="shared" si="813"/>
        <v>0</v>
      </c>
      <c r="S701" s="42">
        <f t="shared" si="813"/>
        <v>0</v>
      </c>
      <c r="T701" s="42">
        <f>SUM(N701:S701)</f>
        <v>0</v>
      </c>
      <c r="U701" s="42">
        <f>T701+L701</f>
        <v>0</v>
      </c>
      <c r="V701" s="42">
        <f>V698</f>
        <v>0</v>
      </c>
      <c r="W701" s="42">
        <f>V701-U701</f>
        <v>0</v>
      </c>
    </row>
    <row r="702" spans="1:28" s="43" customFormat="1" ht="18" hidden="1" customHeight="1">
      <c r="A702" s="614"/>
      <c r="B702" s="581"/>
      <c r="C702" s="581"/>
      <c r="D702" s="202" t="str">
        <f>серпень!D625</f>
        <v xml:space="preserve">відхилення </v>
      </c>
      <c r="E702" s="42"/>
      <c r="F702" s="42">
        <f t="shared" ref="F702:K702" si="814">F698-F701</f>
        <v>0</v>
      </c>
      <c r="G702" s="42">
        <f t="shared" si="814"/>
        <v>0</v>
      </c>
      <c r="H702" s="42">
        <f t="shared" si="814"/>
        <v>0</v>
      </c>
      <c r="I702" s="42">
        <f t="shared" si="814"/>
        <v>0</v>
      </c>
      <c r="J702" s="42">
        <f t="shared" si="814"/>
        <v>0</v>
      </c>
      <c r="K702" s="42">
        <f t="shared" si="814"/>
        <v>0</v>
      </c>
      <c r="L702" s="42"/>
      <c r="M702" s="42"/>
      <c r="N702" s="42">
        <f t="shared" ref="N702:S702" si="815">N698-N701</f>
        <v>0</v>
      </c>
      <c r="O702" s="42">
        <f t="shared" si="815"/>
        <v>0</v>
      </c>
      <c r="P702" s="42">
        <f t="shared" si="815"/>
        <v>0</v>
      </c>
      <c r="Q702" s="42">
        <f t="shared" si="815"/>
        <v>0</v>
      </c>
      <c r="R702" s="42">
        <f t="shared" si="815"/>
        <v>0</v>
      </c>
      <c r="S702" s="42">
        <f t="shared" si="815"/>
        <v>0</v>
      </c>
      <c r="T702" s="42"/>
      <c r="U702" s="42"/>
      <c r="V702" s="42"/>
      <c r="W702" s="42"/>
    </row>
    <row r="703" spans="1:28" s="43" customFormat="1" ht="18" hidden="1" customHeight="1">
      <c r="A703" s="614"/>
      <c r="B703" s="581"/>
      <c r="C703" s="581"/>
      <c r="D703" s="202" t="str">
        <f>серпень!D626</f>
        <v>відхилення з наростаючим</v>
      </c>
      <c r="E703" s="42"/>
      <c r="F703" s="42">
        <f>F702</f>
        <v>0</v>
      </c>
      <c r="G703" s="42">
        <f>G702+F703</f>
        <v>0</v>
      </c>
      <c r="H703" s="42">
        <f>H702+G703</f>
        <v>0</v>
      </c>
      <c r="I703" s="42">
        <f>I702+H703</f>
        <v>0</v>
      </c>
      <c r="J703" s="42">
        <f>J702+I703</f>
        <v>0</v>
      </c>
      <c r="K703" s="42">
        <f>K702+J703</f>
        <v>0</v>
      </c>
      <c r="L703" s="42"/>
      <c r="M703" s="42"/>
      <c r="N703" s="42">
        <f>N702+K703</f>
        <v>0</v>
      </c>
      <c r="O703" s="42">
        <f>O702+N703</f>
        <v>0</v>
      </c>
      <c r="P703" s="42">
        <f>P702+O703</f>
        <v>0</v>
      </c>
      <c r="Q703" s="42">
        <f>Q702+P703</f>
        <v>0</v>
      </c>
      <c r="R703" s="42">
        <f>R702+Q703</f>
        <v>0</v>
      </c>
      <c r="S703" s="42">
        <f>S702+R703</f>
        <v>0</v>
      </c>
      <c r="T703" s="42"/>
      <c r="U703" s="42"/>
      <c r="V703" s="42"/>
      <c r="W703" s="42"/>
    </row>
    <row r="704" spans="1:28" s="47" customFormat="1" ht="18" hidden="1" customHeight="1">
      <c r="A704" s="614"/>
      <c r="B704" s="585" t="s">
        <v>88</v>
      </c>
      <c r="C704" s="586"/>
      <c r="D704" s="178" t="str">
        <f>серпень!D627</f>
        <v>факт. нат.п-ки 2023</v>
      </c>
      <c r="E704" s="11"/>
      <c r="F704" s="12">
        <f>F719+F734</f>
        <v>0</v>
      </c>
      <c r="G704" s="12">
        <f t="shared" ref="G704:K704" si="816">G719+G734</f>
        <v>0</v>
      </c>
      <c r="H704" s="12">
        <f t="shared" si="816"/>
        <v>0</v>
      </c>
      <c r="I704" s="12">
        <f t="shared" si="816"/>
        <v>0</v>
      </c>
      <c r="J704" s="12">
        <f t="shared" si="816"/>
        <v>0</v>
      </c>
      <c r="K704" s="12">
        <f t="shared" si="816"/>
        <v>0</v>
      </c>
      <c r="L704" s="65">
        <f>SUM(F704:K704)</f>
        <v>0</v>
      </c>
      <c r="M704" s="65">
        <f>L704/6</f>
        <v>0</v>
      </c>
      <c r="N704" s="12">
        <f>N719+N734</f>
        <v>0</v>
      </c>
      <c r="O704" s="12">
        <f t="shared" ref="O704:S704" si="817">O719+O734</f>
        <v>0</v>
      </c>
      <c r="P704" s="12">
        <f t="shared" si="817"/>
        <v>0</v>
      </c>
      <c r="Q704" s="12">
        <f t="shared" si="817"/>
        <v>0</v>
      </c>
      <c r="R704" s="12">
        <f t="shared" si="817"/>
        <v>0</v>
      </c>
      <c r="S704" s="12">
        <f t="shared" si="817"/>
        <v>0</v>
      </c>
      <c r="T704" s="65">
        <f>SUM(N704:S704)</f>
        <v>0</v>
      </c>
      <c r="U704" s="66">
        <f>T704+L704</f>
        <v>0</v>
      </c>
      <c r="V704" s="67">
        <f t="shared" ref="V704:V706" si="818">V719+V734</f>
        <v>0</v>
      </c>
      <c r="W704" s="38">
        <f>V704-U704</f>
        <v>0</v>
      </c>
    </row>
    <row r="705" spans="1:23" s="47" customFormat="1" ht="18" hidden="1" customHeight="1">
      <c r="A705" s="614"/>
      <c r="B705" s="587"/>
      <c r="C705" s="588"/>
      <c r="D705" s="178" t="str">
        <f>серпень!D628</f>
        <v>факт. нат.п-ки 2024</v>
      </c>
      <c r="E705" s="11"/>
      <c r="F705" s="12">
        <f t="shared" ref="F705:K706" si="819">F720+F735</f>
        <v>0</v>
      </c>
      <c r="G705" s="12">
        <f t="shared" si="819"/>
        <v>0</v>
      </c>
      <c r="H705" s="12">
        <f t="shared" si="819"/>
        <v>0</v>
      </c>
      <c r="I705" s="12">
        <f t="shared" si="819"/>
        <v>0</v>
      </c>
      <c r="J705" s="12">
        <f t="shared" si="819"/>
        <v>0</v>
      </c>
      <c r="K705" s="12">
        <f t="shared" si="819"/>
        <v>0</v>
      </c>
      <c r="L705" s="65">
        <f>SUM(F705:K705)</f>
        <v>0</v>
      </c>
      <c r="M705" s="65">
        <f>L705/6</f>
        <v>0</v>
      </c>
      <c r="N705" s="11">
        <f t="shared" ref="N705:S706" si="820">N720+N735</f>
        <v>0</v>
      </c>
      <c r="O705" s="11">
        <f t="shared" si="820"/>
        <v>0</v>
      </c>
      <c r="P705" s="11">
        <f t="shared" si="820"/>
        <v>0</v>
      </c>
      <c r="Q705" s="11">
        <f t="shared" si="820"/>
        <v>0</v>
      </c>
      <c r="R705" s="11">
        <f t="shared" si="820"/>
        <v>0</v>
      </c>
      <c r="S705" s="11">
        <f t="shared" si="820"/>
        <v>0</v>
      </c>
      <c r="T705" s="65">
        <f>SUM(N705:S705)</f>
        <v>0</v>
      </c>
      <c r="U705" s="66">
        <f>T705+L705</f>
        <v>0</v>
      </c>
      <c r="V705" s="67">
        <f t="shared" si="818"/>
        <v>0</v>
      </c>
      <c r="W705" s="38">
        <f>V705-U705</f>
        <v>0</v>
      </c>
    </row>
    <row r="706" spans="1:23" s="47" customFormat="1" ht="18" hidden="1" customHeight="1">
      <c r="A706" s="614"/>
      <c r="B706" s="587"/>
      <c r="C706" s="588"/>
      <c r="D706" s="178" t="str">
        <f>серпень!D629</f>
        <v>факт. нат.п-ки 2025</v>
      </c>
      <c r="E706" s="11"/>
      <c r="F706" s="12">
        <f t="shared" si="819"/>
        <v>0</v>
      </c>
      <c r="G706" s="12">
        <f t="shared" si="819"/>
        <v>0</v>
      </c>
      <c r="H706" s="12">
        <f t="shared" si="819"/>
        <v>0</v>
      </c>
      <c r="I706" s="12">
        <f t="shared" si="819"/>
        <v>0</v>
      </c>
      <c r="J706" s="12">
        <f t="shared" si="819"/>
        <v>0</v>
      </c>
      <c r="K706" s="12">
        <f t="shared" si="819"/>
        <v>0</v>
      </c>
      <c r="L706" s="65">
        <f>SUM(F706:K706)</f>
        <v>0</v>
      </c>
      <c r="M706" s="65">
        <f>L706/6</f>
        <v>0</v>
      </c>
      <c r="N706" s="12">
        <f t="shared" si="820"/>
        <v>0</v>
      </c>
      <c r="O706" s="12">
        <f t="shared" si="820"/>
        <v>0</v>
      </c>
      <c r="P706" s="12">
        <f t="shared" si="820"/>
        <v>0</v>
      </c>
      <c r="Q706" s="12">
        <f t="shared" si="820"/>
        <v>0</v>
      </c>
      <c r="R706" s="12">
        <f t="shared" si="820"/>
        <v>0</v>
      </c>
      <c r="S706" s="11">
        <f t="shared" si="820"/>
        <v>0</v>
      </c>
      <c r="T706" s="65">
        <f>SUM(N706:S706)</f>
        <v>0</v>
      </c>
      <c r="U706" s="66">
        <f>T706+L706</f>
        <v>0</v>
      </c>
      <c r="V706" s="11">
        <f t="shared" si="818"/>
        <v>0</v>
      </c>
      <c r="W706" s="38">
        <f>V706-U706</f>
        <v>0</v>
      </c>
    </row>
    <row r="707" spans="1:23" s="47" customFormat="1" ht="18" hidden="1" customHeight="1">
      <c r="A707" s="614"/>
      <c r="B707" s="587"/>
      <c r="C707" s="588"/>
      <c r="D707" s="187" t="str">
        <f>серпень!D630</f>
        <v>тариф, грн.</v>
      </c>
      <c r="E707" s="49"/>
      <c r="F707" s="49" t="e">
        <f>F708/F706*1000</f>
        <v>#DIV/0!</v>
      </c>
      <c r="G707" s="49" t="e">
        <f t="shared" ref="G707:K707" si="821">G708/G706*1000</f>
        <v>#DIV/0!</v>
      </c>
      <c r="H707" s="49" t="e">
        <f t="shared" si="821"/>
        <v>#DIV/0!</v>
      </c>
      <c r="I707" s="49" t="e">
        <f t="shared" si="821"/>
        <v>#DIV/0!</v>
      </c>
      <c r="J707" s="49" t="e">
        <f t="shared" si="821"/>
        <v>#DIV/0!</v>
      </c>
      <c r="K707" s="49" t="e">
        <f t="shared" si="821"/>
        <v>#DIV/0!</v>
      </c>
      <c r="L707" s="49" t="e">
        <f>L708/L706*1000</f>
        <v>#DIV/0!</v>
      </c>
      <c r="M707" s="49" t="e">
        <f>M708/M706*1000</f>
        <v>#DIV/0!</v>
      </c>
      <c r="N707" s="49" t="e">
        <f>N708/N706*1000</f>
        <v>#DIV/0!</v>
      </c>
      <c r="O707" s="49" t="e">
        <f t="shared" ref="O707" si="822">O708/O706*1000</f>
        <v>#DIV/0!</v>
      </c>
      <c r="P707" s="49" t="e">
        <f t="shared" ref="P707" si="823">P708/P706*1000</f>
        <v>#DIV/0!</v>
      </c>
      <c r="Q707" s="49" t="e">
        <f t="shared" ref="Q707" si="824">Q708/Q706*1000</f>
        <v>#DIV/0!</v>
      </c>
      <c r="R707" s="49" t="e">
        <f t="shared" ref="R707" si="825">R708/R706*1000</f>
        <v>#DIV/0!</v>
      </c>
      <c r="S707" s="49" t="e">
        <f t="shared" ref="S707" si="826">S708/S706*1000</f>
        <v>#DIV/0!</v>
      </c>
      <c r="T707" s="49" t="e">
        <f>T708/T706*1000</f>
        <v>#DIV/0!</v>
      </c>
      <c r="U707" s="49" t="e">
        <f>U708/U706*1000</f>
        <v>#DIV/0!</v>
      </c>
      <c r="V707" s="49" t="e">
        <f t="shared" ref="V707" si="827">V708/V706*1000</f>
        <v>#DIV/0!</v>
      </c>
      <c r="W707" s="14" t="e">
        <f>W708/W706*1000</f>
        <v>#DIV/0!</v>
      </c>
    </row>
    <row r="708" spans="1:23" s="47" customFormat="1" ht="18" hidden="1" customHeight="1">
      <c r="A708" s="614"/>
      <c r="B708" s="587"/>
      <c r="C708" s="588"/>
      <c r="D708" s="191" t="str">
        <f>серпень!D631</f>
        <v>сума, тис.грн.</v>
      </c>
      <c r="E708" s="52"/>
      <c r="F708" s="52">
        <f>F723+F738</f>
        <v>0</v>
      </c>
      <c r="G708" s="52">
        <f t="shared" ref="G708:K708" si="828">G723+G738</f>
        <v>0</v>
      </c>
      <c r="H708" s="52">
        <f t="shared" si="828"/>
        <v>0</v>
      </c>
      <c r="I708" s="52">
        <f t="shared" si="828"/>
        <v>0</v>
      </c>
      <c r="J708" s="52">
        <f t="shared" si="828"/>
        <v>0</v>
      </c>
      <c r="K708" s="52">
        <f t="shared" si="828"/>
        <v>0</v>
      </c>
      <c r="L708" s="69">
        <f>SUM(F708:K708)</f>
        <v>0</v>
      </c>
      <c r="M708" s="69">
        <f>L708/6</f>
        <v>0</v>
      </c>
      <c r="N708" s="52">
        <f>N723+N738</f>
        <v>0</v>
      </c>
      <c r="O708" s="52">
        <f t="shared" ref="O708:S708" si="829">O723+O738</f>
        <v>0</v>
      </c>
      <c r="P708" s="52">
        <f t="shared" si="829"/>
        <v>0</v>
      </c>
      <c r="Q708" s="52">
        <f t="shared" si="829"/>
        <v>0</v>
      </c>
      <c r="R708" s="52">
        <f t="shared" si="829"/>
        <v>0</v>
      </c>
      <c r="S708" s="52">
        <f t="shared" si="829"/>
        <v>0</v>
      </c>
      <c r="T708" s="69">
        <f>SUM(N708:S708)</f>
        <v>0</v>
      </c>
      <c r="U708" s="69">
        <f>T708+L708</f>
        <v>0</v>
      </c>
      <c r="V708" s="70">
        <f t="shared" ref="V708:V711" si="830">V723+V738</f>
        <v>0</v>
      </c>
      <c r="W708" s="53">
        <f>V708-U708</f>
        <v>0</v>
      </c>
    </row>
    <row r="709" spans="1:23" s="47" customFormat="1" ht="18" hidden="1" customHeight="1">
      <c r="A709" s="614"/>
      <c r="B709" s="587"/>
      <c r="C709" s="588"/>
      <c r="D709" s="174" t="str">
        <f>серпень!D632</f>
        <v>дотація</v>
      </c>
      <c r="E709" s="56"/>
      <c r="F709" s="52">
        <f t="shared" ref="F709:K711" si="831">F724+F739</f>
        <v>0</v>
      </c>
      <c r="G709" s="52">
        <f t="shared" si="831"/>
        <v>0</v>
      </c>
      <c r="H709" s="52">
        <f t="shared" si="831"/>
        <v>0</v>
      </c>
      <c r="I709" s="52">
        <f t="shared" si="831"/>
        <v>0</v>
      </c>
      <c r="J709" s="52">
        <f t="shared" si="831"/>
        <v>0</v>
      </c>
      <c r="K709" s="52">
        <f t="shared" si="831"/>
        <v>0</v>
      </c>
      <c r="L709" s="69">
        <f>SUM(F709:K709)</f>
        <v>0</v>
      </c>
      <c r="M709" s="69">
        <f>L709/6</f>
        <v>0</v>
      </c>
      <c r="N709" s="52">
        <f t="shared" ref="N709:S711" si="832">N724+N739</f>
        <v>0</v>
      </c>
      <c r="O709" s="52">
        <f t="shared" si="832"/>
        <v>0</v>
      </c>
      <c r="P709" s="52">
        <f t="shared" si="832"/>
        <v>0</v>
      </c>
      <c r="Q709" s="52">
        <f t="shared" si="832"/>
        <v>0</v>
      </c>
      <c r="R709" s="52">
        <f t="shared" si="832"/>
        <v>0</v>
      </c>
      <c r="S709" s="52">
        <f t="shared" si="832"/>
        <v>0</v>
      </c>
      <c r="T709" s="69">
        <f>SUM(N709:S709)</f>
        <v>0</v>
      </c>
      <c r="U709" s="69">
        <f>T709+L709</f>
        <v>0</v>
      </c>
      <c r="V709" s="70">
        <f t="shared" si="830"/>
        <v>0</v>
      </c>
      <c r="W709" s="53">
        <f>V709-U709</f>
        <v>0</v>
      </c>
    </row>
    <row r="710" spans="1:23" s="47" customFormat="1" ht="18" hidden="1" customHeight="1">
      <c r="A710" s="614"/>
      <c r="B710" s="587"/>
      <c r="C710" s="588"/>
      <c r="D710" s="174" t="str">
        <f>серпень!D633</f>
        <v>місцевий (план), тис.грн</v>
      </c>
      <c r="E710" s="56"/>
      <c r="F710" s="52">
        <f t="shared" si="831"/>
        <v>0</v>
      </c>
      <c r="G710" s="52">
        <f t="shared" si="831"/>
        <v>0</v>
      </c>
      <c r="H710" s="52">
        <f t="shared" si="831"/>
        <v>0</v>
      </c>
      <c r="I710" s="52">
        <f t="shared" si="831"/>
        <v>0</v>
      </c>
      <c r="J710" s="52">
        <f t="shared" si="831"/>
        <v>0</v>
      </c>
      <c r="K710" s="52">
        <f t="shared" si="831"/>
        <v>0</v>
      </c>
      <c r="L710" s="69">
        <f>SUM(F710:K710)</f>
        <v>0</v>
      </c>
      <c r="M710" s="69">
        <f>L710/6</f>
        <v>0</v>
      </c>
      <c r="N710" s="52">
        <f t="shared" si="832"/>
        <v>0</v>
      </c>
      <c r="O710" s="52">
        <f t="shared" si="832"/>
        <v>0</v>
      </c>
      <c r="P710" s="52">
        <f t="shared" si="832"/>
        <v>0</v>
      </c>
      <c r="Q710" s="52">
        <f t="shared" si="832"/>
        <v>0</v>
      </c>
      <c r="R710" s="52">
        <f t="shared" si="832"/>
        <v>0</v>
      </c>
      <c r="S710" s="52">
        <f t="shared" si="832"/>
        <v>0</v>
      </c>
      <c r="T710" s="69">
        <f>SUM(N710:S710)</f>
        <v>0</v>
      </c>
      <c r="U710" s="69">
        <f>T710+L710</f>
        <v>0</v>
      </c>
      <c r="V710" s="70">
        <f t="shared" si="830"/>
        <v>0</v>
      </c>
      <c r="W710" s="53">
        <f>V710-U710</f>
        <v>0</v>
      </c>
    </row>
    <row r="711" spans="1:23" s="47" customFormat="1" ht="18" hidden="1" customHeight="1">
      <c r="A711" s="614"/>
      <c r="B711" s="587"/>
      <c r="C711" s="588"/>
      <c r="D711" s="178" t="str">
        <f>серпень!D634</f>
        <v>касові нат.п-ки 2025</v>
      </c>
      <c r="E711" s="11"/>
      <c r="F711" s="11">
        <f t="shared" si="831"/>
        <v>0</v>
      </c>
      <c r="G711" s="11">
        <f t="shared" si="831"/>
        <v>0</v>
      </c>
      <c r="H711" s="11">
        <f t="shared" si="831"/>
        <v>0</v>
      </c>
      <c r="I711" s="11">
        <f t="shared" si="831"/>
        <v>0</v>
      </c>
      <c r="J711" s="11">
        <f t="shared" si="831"/>
        <v>0</v>
      </c>
      <c r="K711" s="11">
        <f t="shared" si="831"/>
        <v>0</v>
      </c>
      <c r="L711" s="65">
        <f>SUM(F711:K711)</f>
        <v>0</v>
      </c>
      <c r="M711" s="65">
        <f>L711/6</f>
        <v>0</v>
      </c>
      <c r="N711" s="11">
        <f t="shared" si="832"/>
        <v>0</v>
      </c>
      <c r="O711" s="11">
        <f t="shared" si="832"/>
        <v>0</v>
      </c>
      <c r="P711" s="11">
        <f t="shared" si="832"/>
        <v>0</v>
      </c>
      <c r="Q711" s="11">
        <f t="shared" si="832"/>
        <v>0</v>
      </c>
      <c r="R711" s="11">
        <f t="shared" si="832"/>
        <v>0</v>
      </c>
      <c r="S711" s="11">
        <f t="shared" si="832"/>
        <v>0</v>
      </c>
      <c r="T711" s="65">
        <f>SUM(N711:S711)</f>
        <v>0</v>
      </c>
      <c r="U711" s="65">
        <f>T711+L711</f>
        <v>0</v>
      </c>
      <c r="V711" s="11">
        <f t="shared" si="830"/>
        <v>0</v>
      </c>
      <c r="W711" s="38">
        <f>V711-U711</f>
        <v>0</v>
      </c>
    </row>
    <row r="712" spans="1:23" s="47" customFormat="1" ht="18" hidden="1" customHeight="1">
      <c r="A712" s="614"/>
      <c r="B712" s="587"/>
      <c r="C712" s="588"/>
      <c r="D712" s="187" t="str">
        <f>серпень!D635</f>
        <v>тариф, грн.</v>
      </c>
      <c r="E712" s="49" t="e">
        <f>E713/E711*1000</f>
        <v>#DIV/0!</v>
      </c>
      <c r="F712" s="49" t="e">
        <f>F713/F711*1000</f>
        <v>#DIV/0!</v>
      </c>
      <c r="G712" s="49" t="e">
        <f t="shared" ref="G712" si="833">G713/G711*1000</f>
        <v>#DIV/0!</v>
      </c>
      <c r="H712" s="49" t="e">
        <f t="shared" ref="H712" si="834">H713/H711*1000</f>
        <v>#DIV/0!</v>
      </c>
      <c r="I712" s="49" t="e">
        <f t="shared" ref="I712" si="835">I713/I711*1000</f>
        <v>#DIV/0!</v>
      </c>
      <c r="J712" s="49" t="e">
        <f t="shared" ref="J712" si="836">J713/J711*1000</f>
        <v>#DIV/0!</v>
      </c>
      <c r="K712" s="49" t="e">
        <f t="shared" ref="K712" si="837">K713/K711*1000</f>
        <v>#DIV/0!</v>
      </c>
      <c r="L712" s="49" t="e">
        <f>L713/L711*1000</f>
        <v>#DIV/0!</v>
      </c>
      <c r="M712" s="49" t="e">
        <f>M713/M711*1000</f>
        <v>#DIV/0!</v>
      </c>
      <c r="N712" s="49" t="e">
        <f>N713/N711*1000</f>
        <v>#DIV/0!</v>
      </c>
      <c r="O712" s="49" t="e">
        <f t="shared" ref="O712" si="838">O713/O711*1000</f>
        <v>#DIV/0!</v>
      </c>
      <c r="P712" s="49" t="e">
        <f t="shared" ref="P712" si="839">P713/P711*1000</f>
        <v>#DIV/0!</v>
      </c>
      <c r="Q712" s="49" t="e">
        <f t="shared" ref="Q712" si="840">Q713/Q711*1000</f>
        <v>#DIV/0!</v>
      </c>
      <c r="R712" s="49" t="e">
        <f t="shared" ref="R712" si="841">R713/R711*1000</f>
        <v>#DIV/0!</v>
      </c>
      <c r="S712" s="49" t="e">
        <f t="shared" ref="S712" si="842">S713/S711*1000</f>
        <v>#DIV/0!</v>
      </c>
      <c r="T712" s="49" t="e">
        <f>T713/T711*1000</f>
        <v>#DIV/0!</v>
      </c>
      <c r="U712" s="49" t="e">
        <f>U713/U711*1000</f>
        <v>#DIV/0!</v>
      </c>
      <c r="V712" s="49" t="e">
        <f t="shared" ref="V712" si="843">V713/V711*1000</f>
        <v>#DIV/0!</v>
      </c>
      <c r="W712" s="14" t="e">
        <f>W713/W711*1000</f>
        <v>#DIV/0!</v>
      </c>
    </row>
    <row r="713" spans="1:23" s="47" customFormat="1" ht="18" hidden="1" customHeight="1">
      <c r="A713" s="614"/>
      <c r="B713" s="587"/>
      <c r="C713" s="588"/>
      <c r="D713" s="198" t="str">
        <f>серпень!D636</f>
        <v>касові видатки, тис.грн.</v>
      </c>
      <c r="E713" s="71"/>
      <c r="F713" s="61">
        <f>F728+F743</f>
        <v>0</v>
      </c>
      <c r="G713" s="61">
        <f t="shared" ref="G713:K713" si="844">G728+G743</f>
        <v>0</v>
      </c>
      <c r="H713" s="61">
        <f t="shared" si="844"/>
        <v>0</v>
      </c>
      <c r="I713" s="61">
        <f t="shared" si="844"/>
        <v>0</v>
      </c>
      <c r="J713" s="61">
        <f t="shared" si="844"/>
        <v>0</v>
      </c>
      <c r="K713" s="61">
        <f t="shared" si="844"/>
        <v>0</v>
      </c>
      <c r="L713" s="61">
        <f>SUM(F713:K713)</f>
        <v>0</v>
      </c>
      <c r="M713" s="61">
        <f>L713/6</f>
        <v>0</v>
      </c>
      <c r="N713" s="61">
        <f>N728+N743</f>
        <v>0</v>
      </c>
      <c r="O713" s="61">
        <f t="shared" ref="O713:S713" si="845">O728+O743</f>
        <v>0</v>
      </c>
      <c r="P713" s="61">
        <f t="shared" si="845"/>
        <v>0</v>
      </c>
      <c r="Q713" s="61">
        <f t="shared" si="845"/>
        <v>0</v>
      </c>
      <c r="R713" s="61">
        <f t="shared" si="845"/>
        <v>0</v>
      </c>
      <c r="S713" s="61">
        <f t="shared" si="845"/>
        <v>0</v>
      </c>
      <c r="T713" s="61">
        <f>SUM(N713:S713)</f>
        <v>0</v>
      </c>
      <c r="U713" s="61">
        <f>T713+L713</f>
        <v>0</v>
      </c>
      <c r="V713" s="61">
        <f t="shared" ref="V713:V715" si="846">V728+V743</f>
        <v>0</v>
      </c>
      <c r="W713" s="72">
        <f>V713-U713</f>
        <v>0</v>
      </c>
    </row>
    <row r="714" spans="1:23" s="47" customFormat="1" ht="18" hidden="1" customHeight="1">
      <c r="A714" s="614"/>
      <c r="B714" s="587"/>
      <c r="C714" s="588"/>
      <c r="D714" s="201" t="str">
        <f>серпень!D637</f>
        <v>дотація</v>
      </c>
      <c r="E714" s="71"/>
      <c r="F714" s="61">
        <f t="shared" ref="F714:K715" si="847">F729+F744</f>
        <v>0</v>
      </c>
      <c r="G714" s="61">
        <f t="shared" si="847"/>
        <v>0</v>
      </c>
      <c r="H714" s="61">
        <f t="shared" si="847"/>
        <v>0</v>
      </c>
      <c r="I714" s="61">
        <f t="shared" si="847"/>
        <v>0</v>
      </c>
      <c r="J714" s="61">
        <f t="shared" si="847"/>
        <v>0</v>
      </c>
      <c r="K714" s="61">
        <f t="shared" si="847"/>
        <v>0</v>
      </c>
      <c r="L714" s="61">
        <f>SUM(F714:K714)</f>
        <v>0</v>
      </c>
      <c r="M714" s="61">
        <f>L714/6</f>
        <v>0</v>
      </c>
      <c r="N714" s="61">
        <f t="shared" ref="N714:S715" si="848">N729+N744</f>
        <v>0</v>
      </c>
      <c r="O714" s="61">
        <f t="shared" si="848"/>
        <v>0</v>
      </c>
      <c r="P714" s="61">
        <f t="shared" si="848"/>
        <v>0</v>
      </c>
      <c r="Q714" s="61">
        <f t="shared" si="848"/>
        <v>0</v>
      </c>
      <c r="R714" s="61">
        <f t="shared" si="848"/>
        <v>0</v>
      </c>
      <c r="S714" s="61">
        <f t="shared" si="848"/>
        <v>0</v>
      </c>
      <c r="T714" s="61">
        <f>SUM(N714:S714)</f>
        <v>0</v>
      </c>
      <c r="U714" s="61">
        <f>T714+L714</f>
        <v>0</v>
      </c>
      <c r="V714" s="61">
        <f t="shared" si="846"/>
        <v>0</v>
      </c>
      <c r="W714" s="72">
        <f>V714-U714</f>
        <v>0</v>
      </c>
    </row>
    <row r="715" spans="1:23" s="47" customFormat="1" ht="18" hidden="1" customHeight="1">
      <c r="A715" s="614"/>
      <c r="B715" s="587"/>
      <c r="C715" s="588"/>
      <c r="D715" s="201" t="str">
        <f>серпень!D638</f>
        <v xml:space="preserve">місцевий </v>
      </c>
      <c r="E715" s="71"/>
      <c r="F715" s="61">
        <f t="shared" si="847"/>
        <v>0</v>
      </c>
      <c r="G715" s="61">
        <f t="shared" si="847"/>
        <v>0</v>
      </c>
      <c r="H715" s="61">
        <f t="shared" si="847"/>
        <v>0</v>
      </c>
      <c r="I715" s="61">
        <f t="shared" si="847"/>
        <v>0</v>
      </c>
      <c r="J715" s="61">
        <f t="shared" si="847"/>
        <v>0</v>
      </c>
      <c r="K715" s="61">
        <f t="shared" si="847"/>
        <v>0</v>
      </c>
      <c r="L715" s="61">
        <f>SUM(F715:K715)</f>
        <v>0</v>
      </c>
      <c r="M715" s="61">
        <f>L715/6</f>
        <v>0</v>
      </c>
      <c r="N715" s="61">
        <f t="shared" si="848"/>
        <v>0</v>
      </c>
      <c r="O715" s="61">
        <f t="shared" si="848"/>
        <v>0</v>
      </c>
      <c r="P715" s="61">
        <f t="shared" si="848"/>
        <v>0</v>
      </c>
      <c r="Q715" s="61">
        <f t="shared" si="848"/>
        <v>0</v>
      </c>
      <c r="R715" s="61">
        <f t="shared" si="848"/>
        <v>0</v>
      </c>
      <c r="S715" s="61">
        <f t="shared" si="848"/>
        <v>0</v>
      </c>
      <c r="T715" s="61">
        <f>SUM(N715:S715)</f>
        <v>0</v>
      </c>
      <c r="U715" s="61">
        <f>T715+L715</f>
        <v>0</v>
      </c>
      <c r="V715" s="61">
        <f t="shared" si="846"/>
        <v>0</v>
      </c>
      <c r="W715" s="72">
        <f>V715-U715</f>
        <v>0</v>
      </c>
    </row>
    <row r="716" spans="1:23" s="47" customFormat="1" ht="18" hidden="1" customHeight="1">
      <c r="A716" s="614"/>
      <c r="B716" s="587"/>
      <c r="C716" s="588"/>
      <c r="D716" s="202" t="str">
        <f>серпень!D639</f>
        <v>план</v>
      </c>
      <c r="E716" s="42"/>
      <c r="F716" s="42">
        <f t="shared" ref="F716:K716" si="849">F710</f>
        <v>0</v>
      </c>
      <c r="G716" s="42">
        <f t="shared" si="849"/>
        <v>0</v>
      </c>
      <c r="H716" s="42">
        <f t="shared" si="849"/>
        <v>0</v>
      </c>
      <c r="I716" s="42">
        <f t="shared" si="849"/>
        <v>0</v>
      </c>
      <c r="J716" s="42">
        <f t="shared" si="849"/>
        <v>0</v>
      </c>
      <c r="K716" s="42">
        <f t="shared" si="849"/>
        <v>0</v>
      </c>
      <c r="L716" s="42">
        <f>SUM(F716:K716)</f>
        <v>0</v>
      </c>
      <c r="M716" s="42">
        <f>L716/6</f>
        <v>0</v>
      </c>
      <c r="N716" s="42">
        <f t="shared" ref="N716:S716" si="850">N710+N709</f>
        <v>0</v>
      </c>
      <c r="O716" s="42">
        <f t="shared" si="850"/>
        <v>0</v>
      </c>
      <c r="P716" s="42">
        <f t="shared" si="850"/>
        <v>0</v>
      </c>
      <c r="Q716" s="42">
        <f t="shared" si="850"/>
        <v>0</v>
      </c>
      <c r="R716" s="42">
        <f t="shared" si="850"/>
        <v>0</v>
      </c>
      <c r="S716" s="42">
        <f t="shared" si="850"/>
        <v>0</v>
      </c>
      <c r="T716" s="42">
        <f>SUM(N716:S716)</f>
        <v>0</v>
      </c>
      <c r="U716" s="42">
        <f>T716+L716</f>
        <v>0</v>
      </c>
      <c r="V716" s="42">
        <f>V713</f>
        <v>0</v>
      </c>
      <c r="W716" s="42">
        <f>V716-U716</f>
        <v>0</v>
      </c>
    </row>
    <row r="717" spans="1:23" s="47" customFormat="1" ht="18" hidden="1" customHeight="1">
      <c r="A717" s="614"/>
      <c r="B717" s="587"/>
      <c r="C717" s="588"/>
      <c r="D717" s="202" t="str">
        <f>серпень!D640</f>
        <v xml:space="preserve">відхилення </v>
      </c>
      <c r="E717" s="42"/>
      <c r="F717" s="42">
        <f t="shared" ref="F717:K717" si="851">F713-F716</f>
        <v>0</v>
      </c>
      <c r="G717" s="42">
        <f t="shared" si="851"/>
        <v>0</v>
      </c>
      <c r="H717" s="42">
        <f t="shared" si="851"/>
        <v>0</v>
      </c>
      <c r="I717" s="42">
        <f t="shared" si="851"/>
        <v>0</v>
      </c>
      <c r="J717" s="42">
        <f t="shared" si="851"/>
        <v>0</v>
      </c>
      <c r="K717" s="42">
        <f t="shared" si="851"/>
        <v>0</v>
      </c>
      <c r="L717" s="42"/>
      <c r="M717" s="42"/>
      <c r="N717" s="42">
        <f t="shared" ref="N717:S717" si="852">N713-N716</f>
        <v>0</v>
      </c>
      <c r="O717" s="42">
        <f t="shared" si="852"/>
        <v>0</v>
      </c>
      <c r="P717" s="42">
        <f t="shared" si="852"/>
        <v>0</v>
      </c>
      <c r="Q717" s="42">
        <f t="shared" si="852"/>
        <v>0</v>
      </c>
      <c r="R717" s="42">
        <f t="shared" si="852"/>
        <v>0</v>
      </c>
      <c r="S717" s="42">
        <f t="shared" si="852"/>
        <v>0</v>
      </c>
      <c r="T717" s="42"/>
      <c r="U717" s="42"/>
      <c r="V717" s="42"/>
      <c r="W717" s="42"/>
    </row>
    <row r="718" spans="1:23" s="47" customFormat="1" ht="18" hidden="1" customHeight="1">
      <c r="A718" s="614"/>
      <c r="B718" s="589"/>
      <c r="C718" s="590"/>
      <c r="D718" s="202" t="str">
        <f>серпень!D641</f>
        <v>відхилення з наростаючим</v>
      </c>
      <c r="E718" s="42"/>
      <c r="F718" s="42">
        <f>F717</f>
        <v>0</v>
      </c>
      <c r="G718" s="42">
        <f>G717+F718</f>
        <v>0</v>
      </c>
      <c r="H718" s="42">
        <f>H717+G718</f>
        <v>0</v>
      </c>
      <c r="I718" s="42">
        <f>I717+H718</f>
        <v>0</v>
      </c>
      <c r="J718" s="42">
        <f>J717+I718</f>
        <v>0</v>
      </c>
      <c r="K718" s="42">
        <f>K717+J718</f>
        <v>0</v>
      </c>
      <c r="L718" s="42"/>
      <c r="M718" s="42"/>
      <c r="N718" s="42">
        <f>N717+K718</f>
        <v>0</v>
      </c>
      <c r="O718" s="42">
        <f>O717+N718</f>
        <v>0</v>
      </c>
      <c r="P718" s="42">
        <f>P717+O718</f>
        <v>0</v>
      </c>
      <c r="Q718" s="42">
        <f>Q717+P718</f>
        <v>0</v>
      </c>
      <c r="R718" s="42">
        <f>R717+Q718</f>
        <v>0</v>
      </c>
      <c r="S718" s="42">
        <f>S717+R718</f>
        <v>0</v>
      </c>
      <c r="T718" s="42"/>
      <c r="U718" s="42"/>
      <c r="V718" s="42"/>
      <c r="W718" s="42"/>
    </row>
    <row r="719" spans="1:23" s="47" customFormat="1" ht="18" hidden="1" customHeight="1">
      <c r="A719" s="614"/>
      <c r="B719" s="580" t="s">
        <v>125</v>
      </c>
      <c r="C719" s="575"/>
      <c r="D719" s="178" t="str">
        <f>серпень!D642</f>
        <v>факт. нат.п-ки 2023</v>
      </c>
      <c r="E719" s="11"/>
      <c r="F719" s="12"/>
      <c r="G719" s="12"/>
      <c r="H719" s="12"/>
      <c r="I719" s="12"/>
      <c r="J719" s="12"/>
      <c r="K719" s="12"/>
      <c r="L719" s="65">
        <f>SUM(F719:K719)</f>
        <v>0</v>
      </c>
      <c r="M719" s="65">
        <f>L719/6</f>
        <v>0</v>
      </c>
      <c r="N719" s="12"/>
      <c r="O719" s="12"/>
      <c r="P719" s="12"/>
      <c r="Q719" s="12"/>
      <c r="R719" s="12"/>
      <c r="S719" s="12"/>
      <c r="T719" s="65">
        <f>SUM(N719:S719)</f>
        <v>0</v>
      </c>
      <c r="U719" s="66">
        <f>T719+L719</f>
        <v>0</v>
      </c>
      <c r="V719" s="67"/>
      <c r="W719" s="38">
        <f>V719-U719</f>
        <v>0</v>
      </c>
    </row>
    <row r="720" spans="1:23" s="47" customFormat="1" ht="18" hidden="1" customHeight="1">
      <c r="A720" s="614"/>
      <c r="B720" s="576"/>
      <c r="C720" s="577"/>
      <c r="D720" s="178" t="str">
        <f>серпень!D643</f>
        <v>факт. нат.п-ки 2024</v>
      </c>
      <c r="E720" s="11"/>
      <c r="F720" s="12"/>
      <c r="G720" s="12"/>
      <c r="H720" s="12"/>
      <c r="I720" s="12"/>
      <c r="J720" s="12"/>
      <c r="K720" s="12"/>
      <c r="L720" s="65">
        <f>SUM(F720:K720)</f>
        <v>0</v>
      </c>
      <c r="M720" s="65">
        <f>L720/6</f>
        <v>0</v>
      </c>
      <c r="N720" s="11"/>
      <c r="O720" s="11"/>
      <c r="P720" s="11"/>
      <c r="Q720" s="11"/>
      <c r="R720" s="11"/>
      <c r="S720" s="11"/>
      <c r="T720" s="65">
        <f>SUM(N720:S720)</f>
        <v>0</v>
      </c>
      <c r="U720" s="66">
        <f>T720+L720</f>
        <v>0</v>
      </c>
      <c r="V720" s="67"/>
      <c r="W720" s="38">
        <f>V720-U720</f>
        <v>0</v>
      </c>
    </row>
    <row r="721" spans="1:23" s="47" customFormat="1" ht="18" hidden="1" customHeight="1">
      <c r="A721" s="614"/>
      <c r="B721" s="576"/>
      <c r="C721" s="577"/>
      <c r="D721" s="178" t="str">
        <f>серпень!D644</f>
        <v>факт. нат.п-ки 2025</v>
      </c>
      <c r="E721" s="11"/>
      <c r="F721" s="12"/>
      <c r="G721" s="12"/>
      <c r="H721" s="12"/>
      <c r="I721" s="12"/>
      <c r="J721" s="12"/>
      <c r="K721" s="12"/>
      <c r="L721" s="65">
        <f>SUM(F721:K721)</f>
        <v>0</v>
      </c>
      <c r="M721" s="65">
        <f>L721/6</f>
        <v>0</v>
      </c>
      <c r="N721" s="12"/>
      <c r="O721" s="12"/>
      <c r="P721" s="12"/>
      <c r="Q721" s="12"/>
      <c r="R721" s="12"/>
      <c r="S721" s="11"/>
      <c r="T721" s="65">
        <f>SUM(N721:S721)</f>
        <v>0</v>
      </c>
      <c r="U721" s="66">
        <f>T721+L721</f>
        <v>0</v>
      </c>
      <c r="V721" s="11"/>
      <c r="W721" s="38">
        <f>V721-U721</f>
        <v>0</v>
      </c>
    </row>
    <row r="722" spans="1:23" s="47" customFormat="1" ht="18" hidden="1" customHeight="1">
      <c r="A722" s="614"/>
      <c r="B722" s="576"/>
      <c r="C722" s="577"/>
      <c r="D722" s="187" t="str">
        <f>серпень!D645</f>
        <v>тариф, грн.</v>
      </c>
      <c r="E722" s="49"/>
      <c r="F722" s="49">
        <v>0</v>
      </c>
      <c r="G722" s="49">
        <v>0</v>
      </c>
      <c r="H722" s="49">
        <v>0</v>
      </c>
      <c r="I722" s="49">
        <v>0</v>
      </c>
      <c r="J722" s="49">
        <v>0</v>
      </c>
      <c r="K722" s="49">
        <v>0</v>
      </c>
      <c r="L722" s="49" t="e">
        <f>L723/L721*1000</f>
        <v>#DIV/0!</v>
      </c>
      <c r="M722" s="49" t="e">
        <f>M723/M721*1000</f>
        <v>#DIV/0!</v>
      </c>
      <c r="N722" s="49">
        <v>0</v>
      </c>
      <c r="O722" s="49">
        <v>0</v>
      </c>
      <c r="P722" s="49">
        <v>0</v>
      </c>
      <c r="Q722" s="49">
        <v>0</v>
      </c>
      <c r="R722" s="49">
        <v>0</v>
      </c>
      <c r="S722" s="49">
        <v>0</v>
      </c>
      <c r="T722" s="49" t="e">
        <f>T723/T721*1000</f>
        <v>#DIV/0!</v>
      </c>
      <c r="U722" s="49" t="e">
        <f>U723/U721*1000</f>
        <v>#DIV/0!</v>
      </c>
      <c r="V722" s="68" t="e">
        <f>V723/V721*1000</f>
        <v>#DIV/0!</v>
      </c>
      <c r="W722" s="14" t="e">
        <f>W723/W721*1000</f>
        <v>#DIV/0!</v>
      </c>
    </row>
    <row r="723" spans="1:23" s="47" customFormat="1" ht="18" hidden="1" customHeight="1">
      <c r="A723" s="614"/>
      <c r="B723" s="576"/>
      <c r="C723" s="577"/>
      <c r="D723" s="191" t="str">
        <f>серпень!D646</f>
        <v>сума, тис.грн.</v>
      </c>
      <c r="E723" s="52"/>
      <c r="F723" s="52">
        <f t="shared" ref="F723:K723" si="853">F721*F722/1000</f>
        <v>0</v>
      </c>
      <c r="G723" s="52">
        <f t="shared" si="853"/>
        <v>0</v>
      </c>
      <c r="H723" s="52">
        <f t="shared" si="853"/>
        <v>0</v>
      </c>
      <c r="I723" s="52">
        <f t="shared" si="853"/>
        <v>0</v>
      </c>
      <c r="J723" s="52">
        <f t="shared" si="853"/>
        <v>0</v>
      </c>
      <c r="K723" s="52">
        <f t="shared" si="853"/>
        <v>0</v>
      </c>
      <c r="L723" s="69">
        <f>SUM(F723:K723)</f>
        <v>0</v>
      </c>
      <c r="M723" s="69">
        <f>L723/6</f>
        <v>0</v>
      </c>
      <c r="N723" s="52">
        <f t="shared" ref="N723:S723" si="854">N721*N722/1000</f>
        <v>0</v>
      </c>
      <c r="O723" s="52">
        <f t="shared" si="854"/>
        <v>0</v>
      </c>
      <c r="P723" s="52">
        <f t="shared" si="854"/>
        <v>0</v>
      </c>
      <c r="Q723" s="52">
        <f t="shared" si="854"/>
        <v>0</v>
      </c>
      <c r="R723" s="52">
        <f t="shared" si="854"/>
        <v>0</v>
      </c>
      <c r="S723" s="52">
        <f t="shared" si="854"/>
        <v>0</v>
      </c>
      <c r="T723" s="69">
        <f>SUM(N723:S723)</f>
        <v>0</v>
      </c>
      <c r="U723" s="69">
        <f>T723+L723</f>
        <v>0</v>
      </c>
      <c r="V723" s="70">
        <f>V724+V725</f>
        <v>0</v>
      </c>
      <c r="W723" s="53">
        <f>V723-U723</f>
        <v>0</v>
      </c>
    </row>
    <row r="724" spans="1:23" s="47" customFormat="1" ht="18" hidden="1" customHeight="1">
      <c r="A724" s="614"/>
      <c r="B724" s="576"/>
      <c r="C724" s="577"/>
      <c r="D724" s="174" t="str">
        <f>серпень!D647</f>
        <v>дотація</v>
      </c>
      <c r="E724" s="56"/>
      <c r="F724" s="52"/>
      <c r="G724" s="52"/>
      <c r="H724" s="52"/>
      <c r="I724" s="52"/>
      <c r="J724" s="52"/>
      <c r="K724" s="52"/>
      <c r="L724" s="69">
        <f>SUM(F724:K724)</f>
        <v>0</v>
      </c>
      <c r="M724" s="69">
        <f>L724/6</f>
        <v>0</v>
      </c>
      <c r="N724" s="52"/>
      <c r="O724" s="52"/>
      <c r="P724" s="52"/>
      <c r="Q724" s="52"/>
      <c r="R724" s="52"/>
      <c r="S724" s="52"/>
      <c r="T724" s="69">
        <f>SUM(N724:S724)</f>
        <v>0</v>
      </c>
      <c r="U724" s="69">
        <f>T724+L724</f>
        <v>0</v>
      </c>
      <c r="V724" s="70">
        <v>0</v>
      </c>
      <c r="W724" s="53">
        <f>V724-U724</f>
        <v>0</v>
      </c>
    </row>
    <row r="725" spans="1:23" s="47" customFormat="1" ht="18" hidden="1" customHeight="1">
      <c r="A725" s="614"/>
      <c r="B725" s="576"/>
      <c r="C725" s="577"/>
      <c r="D725" s="174" t="str">
        <f>серпень!D648</f>
        <v>місцевий (план), тис.грн</v>
      </c>
      <c r="E725" s="56"/>
      <c r="F725" s="52"/>
      <c r="G725" s="52"/>
      <c r="H725" s="52"/>
      <c r="I725" s="52"/>
      <c r="J725" s="52"/>
      <c r="K725" s="52"/>
      <c r="L725" s="69">
        <f>SUM(F725:K725)</f>
        <v>0</v>
      </c>
      <c r="M725" s="69">
        <f>L725/6</f>
        <v>0</v>
      </c>
      <c r="N725" s="52"/>
      <c r="O725" s="52"/>
      <c r="P725" s="52"/>
      <c r="Q725" s="52"/>
      <c r="R725" s="52"/>
      <c r="S725" s="52"/>
      <c r="T725" s="69">
        <f>SUM(N725:S725)</f>
        <v>0</v>
      </c>
      <c r="U725" s="69">
        <f>T725+L725</f>
        <v>0</v>
      </c>
      <c r="V725" s="70"/>
      <c r="W725" s="53">
        <f>V725-U725</f>
        <v>0</v>
      </c>
    </row>
    <row r="726" spans="1:23" s="47" customFormat="1" ht="18" hidden="1" customHeight="1">
      <c r="A726" s="614"/>
      <c r="B726" s="576"/>
      <c r="C726" s="577"/>
      <c r="D726" s="178" t="str">
        <f>серпень!D649</f>
        <v>касові нат.п-ки 2025</v>
      </c>
      <c r="E726" s="11"/>
      <c r="F726" s="11"/>
      <c r="G726" s="11"/>
      <c r="H726" s="11"/>
      <c r="I726" s="11"/>
      <c r="J726" s="11"/>
      <c r="K726" s="11"/>
      <c r="L726" s="65">
        <f>SUM(F726:K726)</f>
        <v>0</v>
      </c>
      <c r="M726" s="65">
        <f>L726/6</f>
        <v>0</v>
      </c>
      <c r="N726" s="11"/>
      <c r="O726" s="11"/>
      <c r="P726" s="11"/>
      <c r="Q726" s="11"/>
      <c r="R726" s="11"/>
      <c r="S726" s="11"/>
      <c r="T726" s="65">
        <f>SUM(N726:S726)</f>
        <v>0</v>
      </c>
      <c r="U726" s="65">
        <f>T726+L726</f>
        <v>0</v>
      </c>
      <c r="V726" s="11">
        <f>V721</f>
        <v>0</v>
      </c>
      <c r="W726" s="38">
        <f>V726-U726</f>
        <v>0</v>
      </c>
    </row>
    <row r="727" spans="1:23" s="47" customFormat="1" ht="18" hidden="1" customHeight="1">
      <c r="A727" s="614"/>
      <c r="B727" s="576"/>
      <c r="C727" s="577"/>
      <c r="D727" s="187" t="str">
        <f>серпень!D650</f>
        <v>тариф, грн.</v>
      </c>
      <c r="E727" s="49" t="e">
        <f>E728/E726*1000</f>
        <v>#DIV/0!</v>
      </c>
      <c r="F727" s="49">
        <v>0</v>
      </c>
      <c r="G727" s="49">
        <v>0</v>
      </c>
      <c r="H727" s="49">
        <v>0</v>
      </c>
      <c r="I727" s="49">
        <v>0</v>
      </c>
      <c r="J727" s="49">
        <v>0</v>
      </c>
      <c r="K727" s="49">
        <v>0</v>
      </c>
      <c r="L727" s="49" t="e">
        <f>L728/L726*1000</f>
        <v>#DIV/0!</v>
      </c>
      <c r="M727" s="49" t="e">
        <f>M728/M726*1000</f>
        <v>#DIV/0!</v>
      </c>
      <c r="N727" s="49">
        <v>0</v>
      </c>
      <c r="O727" s="49">
        <v>0</v>
      </c>
      <c r="P727" s="49">
        <v>0</v>
      </c>
      <c r="Q727" s="49">
        <v>0</v>
      </c>
      <c r="R727" s="49">
        <v>0</v>
      </c>
      <c r="S727" s="49">
        <v>0</v>
      </c>
      <c r="T727" s="49" t="e">
        <f>T728/T726*1000</f>
        <v>#DIV/0!</v>
      </c>
      <c r="U727" s="49" t="e">
        <f>U728/U726*1000</f>
        <v>#DIV/0!</v>
      </c>
      <c r="V727" s="68" t="e">
        <f>V728/V726*1000</f>
        <v>#DIV/0!</v>
      </c>
      <c r="W727" s="14" t="e">
        <f>W728/W726*1000</f>
        <v>#DIV/0!</v>
      </c>
    </row>
    <row r="728" spans="1:23" s="47" customFormat="1" ht="18" hidden="1" customHeight="1">
      <c r="A728" s="614"/>
      <c r="B728" s="576"/>
      <c r="C728" s="577"/>
      <c r="D728" s="198" t="str">
        <f>серпень!D651</f>
        <v>касові видатки, тис.грн.</v>
      </c>
      <c r="E728" s="71"/>
      <c r="F728" s="61">
        <f t="shared" ref="F728:K728" si="855">F726*F727/1000</f>
        <v>0</v>
      </c>
      <c r="G728" s="61">
        <f t="shared" si="855"/>
        <v>0</v>
      </c>
      <c r="H728" s="61">
        <f t="shared" si="855"/>
        <v>0</v>
      </c>
      <c r="I728" s="61">
        <f t="shared" si="855"/>
        <v>0</v>
      </c>
      <c r="J728" s="61">
        <f t="shared" si="855"/>
        <v>0</v>
      </c>
      <c r="K728" s="61">
        <f t="shared" si="855"/>
        <v>0</v>
      </c>
      <c r="L728" s="61">
        <f>SUM(F728:K728)</f>
        <v>0</v>
      </c>
      <c r="M728" s="61">
        <f>L728/6</f>
        <v>0</v>
      </c>
      <c r="N728" s="61">
        <f t="shared" ref="N728:S728" si="856">N726*N727/1000</f>
        <v>0</v>
      </c>
      <c r="O728" s="61">
        <f t="shared" si="856"/>
        <v>0</v>
      </c>
      <c r="P728" s="61">
        <f t="shared" si="856"/>
        <v>0</v>
      </c>
      <c r="Q728" s="61">
        <f t="shared" si="856"/>
        <v>0</v>
      </c>
      <c r="R728" s="61">
        <f t="shared" si="856"/>
        <v>0</v>
      </c>
      <c r="S728" s="61">
        <f t="shared" si="856"/>
        <v>0</v>
      </c>
      <c r="T728" s="61">
        <f>SUM(N728:S728)</f>
        <v>0</v>
      </c>
      <c r="U728" s="61">
        <f>T728+L728</f>
        <v>0</v>
      </c>
      <c r="V728" s="61">
        <f>V723</f>
        <v>0</v>
      </c>
      <c r="W728" s="72">
        <f>V728-U728</f>
        <v>0</v>
      </c>
    </row>
    <row r="729" spans="1:23" s="47" customFormat="1" ht="18" hidden="1" customHeight="1">
      <c r="A729" s="614"/>
      <c r="B729" s="576"/>
      <c r="C729" s="577"/>
      <c r="D729" s="201" t="str">
        <f>серпень!D652</f>
        <v>дотація</v>
      </c>
      <c r="E729" s="71"/>
      <c r="F729" s="61"/>
      <c r="G729" s="61"/>
      <c r="H729" s="61"/>
      <c r="I729" s="61"/>
      <c r="J729" s="61"/>
      <c r="K729" s="61"/>
      <c r="L729" s="61">
        <f>SUM(F729:K729)</f>
        <v>0</v>
      </c>
      <c r="M729" s="61">
        <f>L729/6</f>
        <v>0</v>
      </c>
      <c r="N729" s="61"/>
      <c r="O729" s="61"/>
      <c r="P729" s="61"/>
      <c r="Q729" s="61"/>
      <c r="R729" s="61"/>
      <c r="S729" s="61"/>
      <c r="T729" s="61">
        <f>SUM(N729:S729)</f>
        <v>0</v>
      </c>
      <c r="U729" s="61">
        <f>T729+L729</f>
        <v>0</v>
      </c>
      <c r="V729" s="61">
        <f>V724</f>
        <v>0</v>
      </c>
      <c r="W729" s="72">
        <f>V729-U729</f>
        <v>0</v>
      </c>
    </row>
    <row r="730" spans="1:23" s="47" customFormat="1" ht="18" hidden="1" customHeight="1">
      <c r="A730" s="614"/>
      <c r="B730" s="576"/>
      <c r="C730" s="577"/>
      <c r="D730" s="201" t="str">
        <f>серпень!D653</f>
        <v xml:space="preserve">місцевий </v>
      </c>
      <c r="E730" s="71"/>
      <c r="F730" s="61">
        <f t="shared" ref="F730:K730" si="857">F728-F729</f>
        <v>0</v>
      </c>
      <c r="G730" s="61">
        <f t="shared" si="857"/>
        <v>0</v>
      </c>
      <c r="H730" s="61">
        <f t="shared" si="857"/>
        <v>0</v>
      </c>
      <c r="I730" s="61">
        <f t="shared" si="857"/>
        <v>0</v>
      </c>
      <c r="J730" s="61">
        <f t="shared" si="857"/>
        <v>0</v>
      </c>
      <c r="K730" s="61">
        <f t="shared" si="857"/>
        <v>0</v>
      </c>
      <c r="L730" s="61">
        <f>SUM(F730:K730)</f>
        <v>0</v>
      </c>
      <c r="M730" s="61">
        <f>L730/6</f>
        <v>0</v>
      </c>
      <c r="N730" s="61">
        <f t="shared" ref="N730:S730" si="858">N728-N729</f>
        <v>0</v>
      </c>
      <c r="O730" s="61">
        <f t="shared" si="858"/>
        <v>0</v>
      </c>
      <c r="P730" s="61">
        <f t="shared" si="858"/>
        <v>0</v>
      </c>
      <c r="Q730" s="61">
        <f t="shared" si="858"/>
        <v>0</v>
      </c>
      <c r="R730" s="61">
        <f t="shared" si="858"/>
        <v>0</v>
      </c>
      <c r="S730" s="61">
        <f t="shared" si="858"/>
        <v>0</v>
      </c>
      <c r="T730" s="61">
        <f>SUM(N730:S730)</f>
        <v>0</v>
      </c>
      <c r="U730" s="61">
        <f>T730+L730</f>
        <v>0</v>
      </c>
      <c r="V730" s="61">
        <f>V725</f>
        <v>0</v>
      </c>
      <c r="W730" s="72">
        <f>V730-U730</f>
        <v>0</v>
      </c>
    </row>
    <row r="731" spans="1:23" s="47" customFormat="1" ht="18" hidden="1" customHeight="1">
      <c r="A731" s="614"/>
      <c r="B731" s="576"/>
      <c r="C731" s="577"/>
      <c r="D731" s="202" t="str">
        <f>серпень!D654</f>
        <v>план</v>
      </c>
      <c r="E731" s="42"/>
      <c r="F731" s="42">
        <f t="shared" ref="F731:K731" si="859">F725</f>
        <v>0</v>
      </c>
      <c r="G731" s="42">
        <f t="shared" si="859"/>
        <v>0</v>
      </c>
      <c r="H731" s="42">
        <f t="shared" si="859"/>
        <v>0</v>
      </c>
      <c r="I731" s="42">
        <f t="shared" si="859"/>
        <v>0</v>
      </c>
      <c r="J731" s="42">
        <f t="shared" si="859"/>
        <v>0</v>
      </c>
      <c r="K731" s="42">
        <f t="shared" si="859"/>
        <v>0</v>
      </c>
      <c r="L731" s="42">
        <f>SUM(F731:K731)</f>
        <v>0</v>
      </c>
      <c r="M731" s="42">
        <f>L731/6</f>
        <v>0</v>
      </c>
      <c r="N731" s="42">
        <f t="shared" ref="N731:S731" si="860">N725+N724</f>
        <v>0</v>
      </c>
      <c r="O731" s="42">
        <f t="shared" si="860"/>
        <v>0</v>
      </c>
      <c r="P731" s="42">
        <f t="shared" si="860"/>
        <v>0</v>
      </c>
      <c r="Q731" s="42">
        <f t="shared" si="860"/>
        <v>0</v>
      </c>
      <c r="R731" s="42">
        <f t="shared" si="860"/>
        <v>0</v>
      </c>
      <c r="S731" s="42">
        <f t="shared" si="860"/>
        <v>0</v>
      </c>
      <c r="T731" s="42">
        <f>SUM(N731:S731)</f>
        <v>0</v>
      </c>
      <c r="U731" s="42">
        <f>T731+L731</f>
        <v>0</v>
      </c>
      <c r="V731" s="42">
        <f>V728</f>
        <v>0</v>
      </c>
      <c r="W731" s="42">
        <f>V731-U731</f>
        <v>0</v>
      </c>
    </row>
    <row r="732" spans="1:23" s="47" customFormat="1" ht="18" hidden="1" customHeight="1">
      <c r="A732" s="614"/>
      <c r="B732" s="576"/>
      <c r="C732" s="577"/>
      <c r="D732" s="202" t="str">
        <f>серпень!D655</f>
        <v xml:space="preserve">відхилення </v>
      </c>
      <c r="E732" s="42"/>
      <c r="F732" s="42">
        <f t="shared" ref="F732:K732" si="861">F728-F731</f>
        <v>0</v>
      </c>
      <c r="G732" s="42">
        <f t="shared" si="861"/>
        <v>0</v>
      </c>
      <c r="H732" s="42">
        <f t="shared" si="861"/>
        <v>0</v>
      </c>
      <c r="I732" s="42">
        <f t="shared" si="861"/>
        <v>0</v>
      </c>
      <c r="J732" s="42">
        <f t="shared" si="861"/>
        <v>0</v>
      </c>
      <c r="K732" s="42">
        <f t="shared" si="861"/>
        <v>0</v>
      </c>
      <c r="L732" s="42"/>
      <c r="M732" s="42"/>
      <c r="N732" s="42">
        <f t="shared" ref="N732:S732" si="862">N728-N731</f>
        <v>0</v>
      </c>
      <c r="O732" s="42">
        <f t="shared" si="862"/>
        <v>0</v>
      </c>
      <c r="P732" s="42">
        <f t="shared" si="862"/>
        <v>0</v>
      </c>
      <c r="Q732" s="42">
        <f t="shared" si="862"/>
        <v>0</v>
      </c>
      <c r="R732" s="42">
        <f t="shared" si="862"/>
        <v>0</v>
      </c>
      <c r="S732" s="42">
        <f t="shared" si="862"/>
        <v>0</v>
      </c>
      <c r="T732" s="42"/>
      <c r="U732" s="42"/>
      <c r="V732" s="42"/>
      <c r="W732" s="42"/>
    </row>
    <row r="733" spans="1:23" s="47" customFormat="1" ht="18" hidden="1" customHeight="1">
      <c r="A733" s="614"/>
      <c r="B733" s="578"/>
      <c r="C733" s="579"/>
      <c r="D733" s="202" t="str">
        <f>серпень!D656</f>
        <v>відхилення з наростаючим</v>
      </c>
      <c r="E733" s="42"/>
      <c r="F733" s="42">
        <f>F732</f>
        <v>0</v>
      </c>
      <c r="G733" s="42">
        <f>G732+F733</f>
        <v>0</v>
      </c>
      <c r="H733" s="42">
        <f>H732+G733</f>
        <v>0</v>
      </c>
      <c r="I733" s="42">
        <f>I732+H733</f>
        <v>0</v>
      </c>
      <c r="J733" s="42">
        <f>J732+I733</f>
        <v>0</v>
      </c>
      <c r="K733" s="42">
        <f>K732+J733</f>
        <v>0</v>
      </c>
      <c r="L733" s="42"/>
      <c r="M733" s="42"/>
      <c r="N733" s="42">
        <f>N732+K733</f>
        <v>0</v>
      </c>
      <c r="O733" s="42">
        <f>O732+N733</f>
        <v>0</v>
      </c>
      <c r="P733" s="42">
        <f>P732+O733</f>
        <v>0</v>
      </c>
      <c r="Q733" s="42">
        <f>Q732+P733</f>
        <v>0</v>
      </c>
      <c r="R733" s="42">
        <f>R732+Q733</f>
        <v>0</v>
      </c>
      <c r="S733" s="42">
        <f>S732+R733</f>
        <v>0</v>
      </c>
      <c r="T733" s="42"/>
      <c r="U733" s="42"/>
      <c r="V733" s="42"/>
      <c r="W733" s="42"/>
    </row>
    <row r="734" spans="1:23" s="47" customFormat="1" ht="18" hidden="1" customHeight="1">
      <c r="A734" s="614"/>
      <c r="B734" s="580" t="s">
        <v>124</v>
      </c>
      <c r="C734" s="575"/>
      <c r="D734" s="178" t="str">
        <f>серпень!D657</f>
        <v>факт. нат.п-ки 2023</v>
      </c>
      <c r="E734" s="11"/>
      <c r="F734" s="12"/>
      <c r="G734" s="12"/>
      <c r="H734" s="12"/>
      <c r="I734" s="12"/>
      <c r="J734" s="12"/>
      <c r="K734" s="12"/>
      <c r="L734" s="65">
        <f>SUM(F734:K734)</f>
        <v>0</v>
      </c>
      <c r="M734" s="65">
        <f>L734/6</f>
        <v>0</v>
      </c>
      <c r="N734" s="12"/>
      <c r="O734" s="12"/>
      <c r="P734" s="12"/>
      <c r="Q734" s="12"/>
      <c r="R734" s="12"/>
      <c r="S734" s="12"/>
      <c r="T734" s="65">
        <f>SUM(N734:S734)</f>
        <v>0</v>
      </c>
      <c r="U734" s="66">
        <f>T734+L734</f>
        <v>0</v>
      </c>
      <c r="V734" s="67"/>
      <c r="W734" s="38">
        <f>V734-U734</f>
        <v>0</v>
      </c>
    </row>
    <row r="735" spans="1:23" s="47" customFormat="1" ht="18" hidden="1" customHeight="1">
      <c r="A735" s="614"/>
      <c r="B735" s="576"/>
      <c r="C735" s="577"/>
      <c r="D735" s="178" t="str">
        <f>серпень!D658</f>
        <v>факт. нат.п-ки 2024</v>
      </c>
      <c r="E735" s="11"/>
      <c r="F735" s="12"/>
      <c r="G735" s="12"/>
      <c r="H735" s="12"/>
      <c r="I735" s="12"/>
      <c r="J735" s="12"/>
      <c r="K735" s="12"/>
      <c r="L735" s="65">
        <f>SUM(F735:K735)</f>
        <v>0</v>
      </c>
      <c r="M735" s="65">
        <f>L735/6</f>
        <v>0</v>
      </c>
      <c r="N735" s="11"/>
      <c r="O735" s="11"/>
      <c r="P735" s="11"/>
      <c r="Q735" s="11"/>
      <c r="R735" s="11"/>
      <c r="S735" s="11"/>
      <c r="T735" s="65">
        <f>SUM(N735:S735)</f>
        <v>0</v>
      </c>
      <c r="U735" s="66">
        <f>T735+L735</f>
        <v>0</v>
      </c>
      <c r="V735" s="67"/>
      <c r="W735" s="38">
        <f>V735-U735</f>
        <v>0</v>
      </c>
    </row>
    <row r="736" spans="1:23" s="47" customFormat="1" ht="18" hidden="1" customHeight="1">
      <c r="A736" s="614"/>
      <c r="B736" s="576"/>
      <c r="C736" s="577"/>
      <c r="D736" s="178" t="str">
        <f>серпень!D659</f>
        <v>факт. нат.п-ки 2025</v>
      </c>
      <c r="E736" s="11"/>
      <c r="F736" s="12"/>
      <c r="G736" s="12"/>
      <c r="H736" s="12"/>
      <c r="I736" s="12"/>
      <c r="J736" s="12"/>
      <c r="K736" s="12"/>
      <c r="L736" s="65">
        <f>SUM(F736:K736)</f>
        <v>0</v>
      </c>
      <c r="M736" s="65">
        <f>L736/6</f>
        <v>0</v>
      </c>
      <c r="N736" s="12"/>
      <c r="O736" s="12"/>
      <c r="P736" s="12"/>
      <c r="Q736" s="12"/>
      <c r="R736" s="12"/>
      <c r="S736" s="11"/>
      <c r="T736" s="65">
        <f>SUM(N736:S736)</f>
        <v>0</v>
      </c>
      <c r="U736" s="66">
        <f>T736+L736</f>
        <v>0</v>
      </c>
      <c r="V736" s="11"/>
      <c r="W736" s="38">
        <f>V736-U736</f>
        <v>0</v>
      </c>
    </row>
    <row r="737" spans="1:23" s="47" customFormat="1" ht="18" hidden="1" customHeight="1">
      <c r="A737" s="614"/>
      <c r="B737" s="576"/>
      <c r="C737" s="577"/>
      <c r="D737" s="187" t="str">
        <f>серпень!D660</f>
        <v>тариф, грн.</v>
      </c>
      <c r="E737" s="49"/>
      <c r="F737" s="49">
        <v>0</v>
      </c>
      <c r="G737" s="49">
        <v>0</v>
      </c>
      <c r="H737" s="49">
        <v>0</v>
      </c>
      <c r="I737" s="49">
        <v>0</v>
      </c>
      <c r="J737" s="49">
        <v>0</v>
      </c>
      <c r="K737" s="49">
        <v>0</v>
      </c>
      <c r="L737" s="49" t="e">
        <f>L738/L736*1000</f>
        <v>#DIV/0!</v>
      </c>
      <c r="M737" s="49" t="e">
        <f>M738/M736*1000</f>
        <v>#DIV/0!</v>
      </c>
      <c r="N737" s="49">
        <v>0</v>
      </c>
      <c r="O737" s="49">
        <v>0</v>
      </c>
      <c r="P737" s="49">
        <v>0</v>
      </c>
      <c r="Q737" s="49">
        <v>0</v>
      </c>
      <c r="R737" s="49">
        <v>0</v>
      </c>
      <c r="S737" s="49">
        <v>0</v>
      </c>
      <c r="T737" s="49" t="e">
        <f>T738/T736*1000</f>
        <v>#DIV/0!</v>
      </c>
      <c r="U737" s="49" t="e">
        <f>U738/U736*1000</f>
        <v>#DIV/0!</v>
      </c>
      <c r="V737" s="68" t="e">
        <f>V738/V736*1000</f>
        <v>#DIV/0!</v>
      </c>
      <c r="W737" s="14" t="e">
        <f>W738/W736*1000</f>
        <v>#DIV/0!</v>
      </c>
    </row>
    <row r="738" spans="1:23" s="47" customFormat="1" ht="18" hidden="1" customHeight="1">
      <c r="A738" s="614"/>
      <c r="B738" s="576"/>
      <c r="C738" s="577"/>
      <c r="D738" s="191" t="str">
        <f>серпень!D661</f>
        <v>сума, тис.грн.</v>
      </c>
      <c r="E738" s="52"/>
      <c r="F738" s="52">
        <f t="shared" ref="F738:K738" si="863">F736*F737/1000</f>
        <v>0</v>
      </c>
      <c r="G738" s="52">
        <f t="shared" si="863"/>
        <v>0</v>
      </c>
      <c r="H738" s="52">
        <f t="shared" si="863"/>
        <v>0</v>
      </c>
      <c r="I738" s="52">
        <f t="shared" si="863"/>
        <v>0</v>
      </c>
      <c r="J738" s="52">
        <f t="shared" si="863"/>
        <v>0</v>
      </c>
      <c r="K738" s="52">
        <f t="shared" si="863"/>
        <v>0</v>
      </c>
      <c r="L738" s="69">
        <f>SUM(F738:K738)</f>
        <v>0</v>
      </c>
      <c r="M738" s="69">
        <f>L738/6</f>
        <v>0</v>
      </c>
      <c r="N738" s="52">
        <f t="shared" ref="N738:S738" si="864">N736*N737/1000</f>
        <v>0</v>
      </c>
      <c r="O738" s="52">
        <f t="shared" si="864"/>
        <v>0</v>
      </c>
      <c r="P738" s="52">
        <f t="shared" si="864"/>
        <v>0</v>
      </c>
      <c r="Q738" s="52">
        <f t="shared" si="864"/>
        <v>0</v>
      </c>
      <c r="R738" s="52">
        <f t="shared" si="864"/>
        <v>0</v>
      </c>
      <c r="S738" s="52">
        <f t="shared" si="864"/>
        <v>0</v>
      </c>
      <c r="T738" s="69">
        <f>SUM(N738:S738)</f>
        <v>0</v>
      </c>
      <c r="U738" s="69">
        <f>T738+L738</f>
        <v>0</v>
      </c>
      <c r="V738" s="70">
        <f>V739+V740</f>
        <v>0</v>
      </c>
      <c r="W738" s="53">
        <f>V738-U738</f>
        <v>0</v>
      </c>
    </row>
    <row r="739" spans="1:23" s="47" customFormat="1" ht="18" hidden="1" customHeight="1">
      <c r="A739" s="614"/>
      <c r="B739" s="576"/>
      <c r="C739" s="577"/>
      <c r="D739" s="174" t="str">
        <f>серпень!D662</f>
        <v>дотація</v>
      </c>
      <c r="E739" s="56"/>
      <c r="F739" s="52"/>
      <c r="G739" s="52"/>
      <c r="H739" s="52"/>
      <c r="I739" s="52"/>
      <c r="J739" s="52"/>
      <c r="K739" s="52"/>
      <c r="L739" s="69">
        <f>SUM(F739:K739)</f>
        <v>0</v>
      </c>
      <c r="M739" s="69">
        <f>L739/6</f>
        <v>0</v>
      </c>
      <c r="N739" s="52"/>
      <c r="O739" s="52"/>
      <c r="P739" s="52"/>
      <c r="Q739" s="52"/>
      <c r="R739" s="52"/>
      <c r="S739" s="52"/>
      <c r="T739" s="69">
        <f>SUM(N739:S739)</f>
        <v>0</v>
      </c>
      <c r="U739" s="69">
        <f>T739+L739</f>
        <v>0</v>
      </c>
      <c r="V739" s="70">
        <v>0</v>
      </c>
      <c r="W739" s="53">
        <f>V739-U739</f>
        <v>0</v>
      </c>
    </row>
    <row r="740" spans="1:23" s="47" customFormat="1" ht="18" hidden="1" customHeight="1">
      <c r="A740" s="614"/>
      <c r="B740" s="576"/>
      <c r="C740" s="577"/>
      <c r="D740" s="174" t="str">
        <f>серпень!D663</f>
        <v>місцевий (план), тис.грн</v>
      </c>
      <c r="E740" s="56"/>
      <c r="F740" s="52"/>
      <c r="G740" s="52"/>
      <c r="H740" s="52"/>
      <c r="I740" s="52"/>
      <c r="J740" s="52"/>
      <c r="K740" s="52"/>
      <c r="L740" s="69">
        <f>SUM(F740:K740)</f>
        <v>0</v>
      </c>
      <c r="M740" s="69">
        <f>L740/6</f>
        <v>0</v>
      </c>
      <c r="N740" s="52"/>
      <c r="O740" s="52"/>
      <c r="P740" s="52"/>
      <c r="Q740" s="52"/>
      <c r="R740" s="52"/>
      <c r="S740" s="52"/>
      <c r="T740" s="69">
        <f>SUM(N740:S740)</f>
        <v>0</v>
      </c>
      <c r="U740" s="69">
        <f>T740+L740</f>
        <v>0</v>
      </c>
      <c r="V740" s="70"/>
      <c r="W740" s="53">
        <f>V740-U740</f>
        <v>0</v>
      </c>
    </row>
    <row r="741" spans="1:23" s="47" customFormat="1" ht="18" hidden="1" customHeight="1">
      <c r="A741" s="614"/>
      <c r="B741" s="576"/>
      <c r="C741" s="577"/>
      <c r="D741" s="178" t="str">
        <f>серпень!D664</f>
        <v>касові нат.п-ки 2025</v>
      </c>
      <c r="E741" s="11"/>
      <c r="F741" s="11"/>
      <c r="G741" s="11"/>
      <c r="H741" s="11"/>
      <c r="I741" s="11"/>
      <c r="J741" s="11"/>
      <c r="K741" s="11"/>
      <c r="L741" s="65">
        <f>SUM(F741:K741)</f>
        <v>0</v>
      </c>
      <c r="M741" s="65">
        <f>L741/6</f>
        <v>0</v>
      </c>
      <c r="N741" s="11"/>
      <c r="O741" s="11"/>
      <c r="P741" s="11"/>
      <c r="Q741" s="11"/>
      <c r="R741" s="11"/>
      <c r="S741" s="11"/>
      <c r="T741" s="65">
        <f>SUM(N741:S741)</f>
        <v>0</v>
      </c>
      <c r="U741" s="65">
        <f>T741+L741</f>
        <v>0</v>
      </c>
      <c r="V741" s="11">
        <f>V736</f>
        <v>0</v>
      </c>
      <c r="W741" s="38">
        <f>V741-U741</f>
        <v>0</v>
      </c>
    </row>
    <row r="742" spans="1:23" s="47" customFormat="1" ht="18" hidden="1" customHeight="1">
      <c r="A742" s="614"/>
      <c r="B742" s="576"/>
      <c r="C742" s="577"/>
      <c r="D742" s="187" t="str">
        <f>серпень!D665</f>
        <v>тариф, грн.</v>
      </c>
      <c r="E742" s="49" t="e">
        <f>E743/E741*1000</f>
        <v>#DIV/0!</v>
      </c>
      <c r="F742" s="49">
        <v>0</v>
      </c>
      <c r="G742" s="49">
        <v>0</v>
      </c>
      <c r="H742" s="49">
        <v>0</v>
      </c>
      <c r="I742" s="49">
        <v>0</v>
      </c>
      <c r="J742" s="49">
        <v>0</v>
      </c>
      <c r="K742" s="49">
        <v>0</v>
      </c>
      <c r="L742" s="49" t="e">
        <f>L743/L741*1000</f>
        <v>#DIV/0!</v>
      </c>
      <c r="M742" s="49" t="e">
        <f>M743/M741*1000</f>
        <v>#DIV/0!</v>
      </c>
      <c r="N742" s="49">
        <v>0</v>
      </c>
      <c r="O742" s="49">
        <v>0</v>
      </c>
      <c r="P742" s="49">
        <v>0</v>
      </c>
      <c r="Q742" s="49">
        <v>0</v>
      </c>
      <c r="R742" s="49">
        <v>0</v>
      </c>
      <c r="S742" s="49">
        <v>0</v>
      </c>
      <c r="T742" s="49" t="e">
        <f>T743/T741*1000</f>
        <v>#DIV/0!</v>
      </c>
      <c r="U742" s="49" t="e">
        <f>U743/U741*1000</f>
        <v>#DIV/0!</v>
      </c>
      <c r="V742" s="68" t="e">
        <f>V743/V741*1000</f>
        <v>#DIV/0!</v>
      </c>
      <c r="W742" s="14" t="e">
        <f>W743/W741*1000</f>
        <v>#DIV/0!</v>
      </c>
    </row>
    <row r="743" spans="1:23" s="47" customFormat="1" ht="18" hidden="1" customHeight="1">
      <c r="A743" s="614"/>
      <c r="B743" s="576"/>
      <c r="C743" s="577"/>
      <c r="D743" s="198" t="str">
        <f>серпень!D666</f>
        <v>касові видатки, тис.грн.</v>
      </c>
      <c r="E743" s="71"/>
      <c r="F743" s="61">
        <f t="shared" ref="F743:K743" si="865">F741*F742/1000</f>
        <v>0</v>
      </c>
      <c r="G743" s="61">
        <f t="shared" si="865"/>
        <v>0</v>
      </c>
      <c r="H743" s="61">
        <f t="shared" si="865"/>
        <v>0</v>
      </c>
      <c r="I743" s="61">
        <f t="shared" si="865"/>
        <v>0</v>
      </c>
      <c r="J743" s="61">
        <f t="shared" si="865"/>
        <v>0</v>
      </c>
      <c r="K743" s="61">
        <f t="shared" si="865"/>
        <v>0</v>
      </c>
      <c r="L743" s="61">
        <f>SUM(F743:K743)</f>
        <v>0</v>
      </c>
      <c r="M743" s="61">
        <f>L743/6</f>
        <v>0</v>
      </c>
      <c r="N743" s="61">
        <f t="shared" ref="N743:S743" si="866">N741*N742/1000</f>
        <v>0</v>
      </c>
      <c r="O743" s="61">
        <f t="shared" si="866"/>
        <v>0</v>
      </c>
      <c r="P743" s="61">
        <f t="shared" si="866"/>
        <v>0</v>
      </c>
      <c r="Q743" s="61">
        <f t="shared" si="866"/>
        <v>0</v>
      </c>
      <c r="R743" s="61">
        <f t="shared" si="866"/>
        <v>0</v>
      </c>
      <c r="S743" s="61">
        <f t="shared" si="866"/>
        <v>0</v>
      </c>
      <c r="T743" s="61">
        <f>SUM(N743:S743)</f>
        <v>0</v>
      </c>
      <c r="U743" s="61">
        <f>T743+L743</f>
        <v>0</v>
      </c>
      <c r="V743" s="61">
        <f>V738</f>
        <v>0</v>
      </c>
      <c r="W743" s="72">
        <f>V743-U743</f>
        <v>0</v>
      </c>
    </row>
    <row r="744" spans="1:23" s="47" customFormat="1" ht="18" hidden="1" customHeight="1">
      <c r="A744" s="614"/>
      <c r="B744" s="576"/>
      <c r="C744" s="577"/>
      <c r="D744" s="201" t="str">
        <f>серпень!D667</f>
        <v>дотація</v>
      </c>
      <c r="E744" s="71"/>
      <c r="F744" s="61"/>
      <c r="G744" s="61"/>
      <c r="H744" s="61"/>
      <c r="I744" s="61"/>
      <c r="J744" s="61"/>
      <c r="K744" s="61"/>
      <c r="L744" s="61">
        <f>SUM(F744:K744)</f>
        <v>0</v>
      </c>
      <c r="M744" s="61">
        <f>L744/6</f>
        <v>0</v>
      </c>
      <c r="N744" s="61"/>
      <c r="O744" s="61"/>
      <c r="P744" s="61"/>
      <c r="Q744" s="61"/>
      <c r="R744" s="61"/>
      <c r="S744" s="61"/>
      <c r="T744" s="61">
        <f>SUM(N744:S744)</f>
        <v>0</v>
      </c>
      <c r="U744" s="61">
        <f>T744+L744</f>
        <v>0</v>
      </c>
      <c r="V744" s="61">
        <f>V739</f>
        <v>0</v>
      </c>
      <c r="W744" s="72">
        <f>V744-U744</f>
        <v>0</v>
      </c>
    </row>
    <row r="745" spans="1:23" s="47" customFormat="1" ht="18" hidden="1" customHeight="1">
      <c r="A745" s="614"/>
      <c r="B745" s="576"/>
      <c r="C745" s="577"/>
      <c r="D745" s="201" t="str">
        <f>серпень!D668</f>
        <v xml:space="preserve">місцевий </v>
      </c>
      <c r="E745" s="71"/>
      <c r="F745" s="61">
        <f t="shared" ref="F745:K745" si="867">F743-F744</f>
        <v>0</v>
      </c>
      <c r="G745" s="61">
        <f t="shared" si="867"/>
        <v>0</v>
      </c>
      <c r="H745" s="61">
        <f t="shared" si="867"/>
        <v>0</v>
      </c>
      <c r="I745" s="61">
        <f t="shared" si="867"/>
        <v>0</v>
      </c>
      <c r="J745" s="61">
        <f t="shared" si="867"/>
        <v>0</v>
      </c>
      <c r="K745" s="61">
        <f t="shared" si="867"/>
        <v>0</v>
      </c>
      <c r="L745" s="61">
        <f>SUM(F745:K745)</f>
        <v>0</v>
      </c>
      <c r="M745" s="61">
        <f>L745/6</f>
        <v>0</v>
      </c>
      <c r="N745" s="61">
        <f t="shared" ref="N745:S745" si="868">N743-N744</f>
        <v>0</v>
      </c>
      <c r="O745" s="61">
        <f t="shared" si="868"/>
        <v>0</v>
      </c>
      <c r="P745" s="61">
        <f t="shared" si="868"/>
        <v>0</v>
      </c>
      <c r="Q745" s="61">
        <f t="shared" si="868"/>
        <v>0</v>
      </c>
      <c r="R745" s="61">
        <f t="shared" si="868"/>
        <v>0</v>
      </c>
      <c r="S745" s="61">
        <f t="shared" si="868"/>
        <v>0</v>
      </c>
      <c r="T745" s="61">
        <f>SUM(N745:S745)</f>
        <v>0</v>
      </c>
      <c r="U745" s="61">
        <f>T745+L745</f>
        <v>0</v>
      </c>
      <c r="V745" s="61">
        <f>V740</f>
        <v>0</v>
      </c>
      <c r="W745" s="72">
        <f>V745-U745</f>
        <v>0</v>
      </c>
    </row>
    <row r="746" spans="1:23" s="47" customFormat="1" ht="18" hidden="1" customHeight="1">
      <c r="A746" s="614"/>
      <c r="B746" s="576"/>
      <c r="C746" s="577"/>
      <c r="D746" s="202" t="str">
        <f>серпень!D669</f>
        <v>план</v>
      </c>
      <c r="E746" s="42"/>
      <c r="F746" s="42">
        <f t="shared" ref="F746:K746" si="869">F740</f>
        <v>0</v>
      </c>
      <c r="G746" s="42">
        <f t="shared" si="869"/>
        <v>0</v>
      </c>
      <c r="H746" s="42">
        <f t="shared" si="869"/>
        <v>0</v>
      </c>
      <c r="I746" s="42">
        <f t="shared" si="869"/>
        <v>0</v>
      </c>
      <c r="J746" s="42">
        <f t="shared" si="869"/>
        <v>0</v>
      </c>
      <c r="K746" s="42">
        <f t="shared" si="869"/>
        <v>0</v>
      </c>
      <c r="L746" s="42">
        <f>SUM(F746:K746)</f>
        <v>0</v>
      </c>
      <c r="M746" s="42">
        <f>L746/6</f>
        <v>0</v>
      </c>
      <c r="N746" s="42">
        <f t="shared" ref="N746:S746" si="870">N740+N739</f>
        <v>0</v>
      </c>
      <c r="O746" s="42">
        <f t="shared" si="870"/>
        <v>0</v>
      </c>
      <c r="P746" s="42">
        <f t="shared" si="870"/>
        <v>0</v>
      </c>
      <c r="Q746" s="42">
        <f t="shared" si="870"/>
        <v>0</v>
      </c>
      <c r="R746" s="42">
        <f t="shared" si="870"/>
        <v>0</v>
      </c>
      <c r="S746" s="42">
        <f t="shared" si="870"/>
        <v>0</v>
      </c>
      <c r="T746" s="42">
        <f>SUM(N746:S746)</f>
        <v>0</v>
      </c>
      <c r="U746" s="42">
        <f>T746+L746</f>
        <v>0</v>
      </c>
      <c r="V746" s="42">
        <f>V743</f>
        <v>0</v>
      </c>
      <c r="W746" s="42">
        <f>V746-U746</f>
        <v>0</v>
      </c>
    </row>
    <row r="747" spans="1:23" s="47" customFormat="1" ht="18" hidden="1" customHeight="1">
      <c r="A747" s="614"/>
      <c r="B747" s="576"/>
      <c r="C747" s="577"/>
      <c r="D747" s="202" t="str">
        <f>серпень!D670</f>
        <v xml:space="preserve">відхилення </v>
      </c>
      <c r="E747" s="42"/>
      <c r="F747" s="42">
        <f t="shared" ref="F747:K747" si="871">F743-F746</f>
        <v>0</v>
      </c>
      <c r="G747" s="42">
        <f t="shared" si="871"/>
        <v>0</v>
      </c>
      <c r="H747" s="42">
        <f t="shared" si="871"/>
        <v>0</v>
      </c>
      <c r="I747" s="42">
        <f t="shared" si="871"/>
        <v>0</v>
      </c>
      <c r="J747" s="42">
        <f t="shared" si="871"/>
        <v>0</v>
      </c>
      <c r="K747" s="42">
        <f t="shared" si="871"/>
        <v>0</v>
      </c>
      <c r="L747" s="42"/>
      <c r="M747" s="42"/>
      <c r="N747" s="42">
        <f t="shared" ref="N747:S747" si="872">N743-N746</f>
        <v>0</v>
      </c>
      <c r="O747" s="42">
        <f t="shared" si="872"/>
        <v>0</v>
      </c>
      <c r="P747" s="42">
        <f t="shared" si="872"/>
        <v>0</v>
      </c>
      <c r="Q747" s="42">
        <f t="shared" si="872"/>
        <v>0</v>
      </c>
      <c r="R747" s="42">
        <f t="shared" si="872"/>
        <v>0</v>
      </c>
      <c r="S747" s="42">
        <f t="shared" si="872"/>
        <v>0</v>
      </c>
      <c r="T747" s="42"/>
      <c r="U747" s="42"/>
      <c r="V747" s="42"/>
      <c r="W747" s="42"/>
    </row>
    <row r="748" spans="1:23" s="47" customFormat="1" ht="18" hidden="1" customHeight="1">
      <c r="A748" s="614"/>
      <c r="B748" s="578"/>
      <c r="C748" s="579"/>
      <c r="D748" s="202" t="str">
        <f>серпень!D671</f>
        <v>відхилення з наростаючим</v>
      </c>
      <c r="E748" s="42"/>
      <c r="F748" s="42">
        <f>F747</f>
        <v>0</v>
      </c>
      <c r="G748" s="42">
        <f>G747+F748</f>
        <v>0</v>
      </c>
      <c r="H748" s="42">
        <f>H747+G748</f>
        <v>0</v>
      </c>
      <c r="I748" s="42">
        <f>I747+H748</f>
        <v>0</v>
      </c>
      <c r="J748" s="42">
        <f>J747+I748</f>
        <v>0</v>
      </c>
      <c r="K748" s="42">
        <f>K747+J748</f>
        <v>0</v>
      </c>
      <c r="L748" s="42"/>
      <c r="M748" s="42"/>
      <c r="N748" s="42">
        <f>N747+K748</f>
        <v>0</v>
      </c>
      <c r="O748" s="42">
        <f>O747+N748</f>
        <v>0</v>
      </c>
      <c r="P748" s="42">
        <f>P747+O748</f>
        <v>0</v>
      </c>
      <c r="Q748" s="42">
        <f>Q747+P748</f>
        <v>0</v>
      </c>
      <c r="R748" s="42">
        <f>R747+Q748</f>
        <v>0</v>
      </c>
      <c r="S748" s="42">
        <f>S747+R748</f>
        <v>0</v>
      </c>
      <c r="T748" s="42"/>
      <c r="U748" s="42"/>
      <c r="V748" s="42"/>
      <c r="W748" s="42"/>
    </row>
    <row r="749" spans="1:23">
      <c r="L749" s="15"/>
      <c r="M749" s="15"/>
      <c r="N749" s="15"/>
      <c r="T749" s="15"/>
      <c r="U749" s="15"/>
    </row>
    <row r="750" spans="1:23">
      <c r="L750" s="15"/>
      <c r="M750" s="15"/>
      <c r="N750" s="15"/>
      <c r="T750" s="15"/>
      <c r="U750" s="15"/>
    </row>
    <row r="751" spans="1:23">
      <c r="L751" s="15"/>
      <c r="M751" s="15"/>
      <c r="N751" s="15"/>
      <c r="T751" s="15"/>
      <c r="U751" s="15"/>
    </row>
    <row r="752" spans="1:23">
      <c r="L752" s="15"/>
      <c r="M752" s="15"/>
      <c r="N752" s="15"/>
      <c r="T752" s="15"/>
      <c r="U752" s="15"/>
    </row>
    <row r="753" spans="12:21">
      <c r="L753" s="15"/>
      <c r="M753" s="15"/>
      <c r="N753" s="15"/>
      <c r="T753" s="15"/>
      <c r="U753" s="15"/>
    </row>
    <row r="754" spans="12:21">
      <c r="L754" s="15"/>
      <c r="M754" s="15"/>
      <c r="N754" s="15"/>
      <c r="T754" s="15"/>
      <c r="U754" s="15"/>
    </row>
    <row r="755" spans="12:21">
      <c r="L755" s="15"/>
      <c r="M755" s="15"/>
      <c r="N755" s="15"/>
      <c r="T755" s="15"/>
      <c r="U755" s="15"/>
    </row>
    <row r="756" spans="12:21">
      <c r="L756" s="15"/>
      <c r="M756" s="15"/>
      <c r="N756" s="15"/>
      <c r="T756" s="15"/>
      <c r="U756" s="15"/>
    </row>
    <row r="757" spans="12:21">
      <c r="L757" s="15"/>
      <c r="M757" s="15"/>
      <c r="N757" s="15"/>
      <c r="T757" s="15"/>
      <c r="U757" s="15"/>
    </row>
    <row r="758" spans="12:21">
      <c r="L758" s="15"/>
      <c r="M758" s="15"/>
      <c r="N758" s="15"/>
      <c r="T758" s="15"/>
      <c r="U758" s="15"/>
    </row>
    <row r="759" spans="12:21">
      <c r="L759" s="15"/>
      <c r="M759" s="15"/>
      <c r="N759" s="15"/>
      <c r="T759" s="15"/>
      <c r="U759" s="15"/>
    </row>
    <row r="760" spans="12:21">
      <c r="L760" s="15"/>
      <c r="M760" s="15"/>
      <c r="N760" s="15"/>
      <c r="T760" s="15"/>
      <c r="U760" s="15"/>
    </row>
    <row r="761" spans="12:21">
      <c r="L761" s="15"/>
      <c r="M761" s="15"/>
      <c r="N761" s="15"/>
      <c r="T761" s="15"/>
      <c r="U761" s="15"/>
    </row>
    <row r="762" spans="12:21">
      <c r="L762" s="15"/>
      <c r="M762" s="15"/>
      <c r="N762" s="15"/>
      <c r="T762" s="15"/>
      <c r="U762" s="15"/>
    </row>
    <row r="763" spans="12:21">
      <c r="L763" s="15"/>
      <c r="M763" s="15"/>
      <c r="N763" s="15"/>
      <c r="T763" s="15"/>
      <c r="U763" s="15"/>
    </row>
    <row r="764" spans="12:21">
      <c r="L764" s="15"/>
      <c r="M764" s="15"/>
      <c r="N764" s="15"/>
      <c r="T764" s="15"/>
      <c r="U764" s="15"/>
    </row>
    <row r="765" spans="12:21">
      <c r="L765" s="15"/>
      <c r="M765" s="15"/>
      <c r="N765" s="15"/>
      <c r="T765" s="15"/>
      <c r="U765" s="15"/>
    </row>
    <row r="766" spans="12:21">
      <c r="L766" s="15"/>
      <c r="M766" s="15"/>
      <c r="N766" s="15"/>
      <c r="T766" s="15"/>
      <c r="U766" s="15"/>
    </row>
    <row r="767" spans="12:21">
      <c r="L767" s="15"/>
      <c r="M767" s="15"/>
      <c r="N767" s="15"/>
      <c r="T767" s="15"/>
      <c r="U767" s="15"/>
    </row>
    <row r="768" spans="12:21">
      <c r="L768" s="15"/>
      <c r="M768" s="15"/>
      <c r="N768" s="15"/>
      <c r="T768" s="15"/>
      <c r="U768" s="15"/>
    </row>
    <row r="769" spans="12:21">
      <c r="L769" s="15"/>
      <c r="M769" s="15"/>
      <c r="N769" s="15"/>
      <c r="T769" s="15"/>
      <c r="U769" s="15"/>
    </row>
    <row r="770" spans="12:21">
      <c r="L770" s="15"/>
      <c r="M770" s="15"/>
      <c r="N770" s="15"/>
      <c r="T770" s="15"/>
      <c r="U770" s="15"/>
    </row>
    <row r="771" spans="12:21">
      <c r="L771" s="15"/>
      <c r="M771" s="15"/>
      <c r="N771" s="15"/>
      <c r="T771" s="15"/>
      <c r="U771" s="15"/>
    </row>
    <row r="772" spans="12:21">
      <c r="L772" s="15"/>
      <c r="M772" s="15"/>
      <c r="N772" s="15"/>
      <c r="T772" s="15"/>
      <c r="U772" s="15"/>
    </row>
    <row r="773" spans="12:21">
      <c r="L773" s="15"/>
      <c r="M773" s="15"/>
      <c r="N773" s="15"/>
      <c r="T773" s="15"/>
      <c r="U773" s="15"/>
    </row>
    <row r="774" spans="12:21">
      <c r="L774" s="15"/>
      <c r="M774" s="15"/>
      <c r="N774" s="15"/>
      <c r="T774" s="15"/>
      <c r="U774" s="15"/>
    </row>
    <row r="775" spans="12:21">
      <c r="L775" s="15"/>
      <c r="M775" s="15"/>
      <c r="N775" s="15"/>
      <c r="T775" s="15"/>
      <c r="U775" s="15"/>
    </row>
    <row r="776" spans="12:21">
      <c r="L776" s="15"/>
      <c r="M776" s="15"/>
      <c r="N776" s="15"/>
      <c r="T776" s="15"/>
      <c r="U776" s="15"/>
    </row>
    <row r="777" spans="12:21">
      <c r="L777" s="15"/>
      <c r="M777" s="15"/>
      <c r="N777" s="15"/>
      <c r="T777" s="15"/>
      <c r="U777" s="15"/>
    </row>
    <row r="778" spans="12:21">
      <c r="L778" s="15"/>
      <c r="M778" s="15"/>
      <c r="N778" s="15"/>
      <c r="T778" s="15"/>
      <c r="U778" s="15"/>
    </row>
    <row r="779" spans="12:21">
      <c r="L779" s="15"/>
      <c r="M779" s="15"/>
      <c r="N779" s="15"/>
      <c r="T779" s="15"/>
      <c r="U779" s="15"/>
    </row>
    <row r="780" spans="12:21">
      <c r="L780" s="15"/>
      <c r="M780" s="15"/>
      <c r="N780" s="15"/>
      <c r="T780" s="15"/>
      <c r="U780" s="15"/>
    </row>
    <row r="781" spans="12:21">
      <c r="L781" s="15"/>
      <c r="M781" s="15"/>
      <c r="N781" s="15"/>
      <c r="T781" s="15"/>
      <c r="U781" s="15"/>
    </row>
    <row r="782" spans="12:21">
      <c r="L782" s="15"/>
      <c r="M782" s="15"/>
      <c r="N782" s="15"/>
      <c r="T782" s="15"/>
      <c r="U782" s="15"/>
    </row>
    <row r="783" spans="12:21">
      <c r="L783" s="15"/>
      <c r="M783" s="15"/>
      <c r="N783" s="15"/>
      <c r="T783" s="15"/>
      <c r="U783" s="15"/>
    </row>
    <row r="784" spans="12:21">
      <c r="L784" s="15"/>
      <c r="M784" s="15"/>
      <c r="N784" s="15"/>
      <c r="T784" s="15"/>
      <c r="U784" s="15"/>
    </row>
    <row r="785" spans="12:21">
      <c r="L785" s="15"/>
      <c r="M785" s="15"/>
      <c r="N785" s="15"/>
      <c r="T785" s="15"/>
      <c r="U785" s="15"/>
    </row>
    <row r="786" spans="12:21">
      <c r="L786" s="15"/>
      <c r="M786" s="15"/>
      <c r="N786" s="15"/>
      <c r="T786" s="15"/>
      <c r="U786" s="15"/>
    </row>
    <row r="787" spans="12:21">
      <c r="L787" s="15"/>
      <c r="M787" s="15"/>
      <c r="N787" s="15"/>
      <c r="T787" s="15"/>
      <c r="U787" s="15"/>
    </row>
    <row r="788" spans="12:21">
      <c r="L788" s="15"/>
      <c r="M788" s="15"/>
      <c r="N788" s="15"/>
      <c r="T788" s="15"/>
      <c r="U788" s="15"/>
    </row>
    <row r="789" spans="12:21">
      <c r="L789" s="15"/>
      <c r="M789" s="15"/>
      <c r="N789" s="15"/>
      <c r="T789" s="15"/>
      <c r="U789" s="15"/>
    </row>
    <row r="790" spans="12:21">
      <c r="L790" s="15"/>
      <c r="M790" s="15"/>
      <c r="N790" s="15"/>
      <c r="T790" s="15"/>
      <c r="U790" s="15"/>
    </row>
    <row r="791" spans="12:21">
      <c r="L791" s="15"/>
      <c r="M791" s="15"/>
      <c r="N791" s="15"/>
      <c r="T791" s="15"/>
      <c r="U791" s="15"/>
    </row>
    <row r="792" spans="12:21">
      <c r="L792" s="15"/>
      <c r="M792" s="15"/>
      <c r="N792" s="15"/>
      <c r="T792" s="15"/>
      <c r="U792" s="15"/>
    </row>
    <row r="793" spans="12:21">
      <c r="L793" s="15"/>
      <c r="M793" s="15"/>
      <c r="N793" s="15"/>
      <c r="T793" s="15"/>
      <c r="U793" s="15"/>
    </row>
    <row r="794" spans="12:21">
      <c r="L794" s="15"/>
      <c r="M794" s="15"/>
      <c r="N794" s="15"/>
      <c r="T794" s="15"/>
      <c r="U794" s="15"/>
    </row>
    <row r="795" spans="12:21">
      <c r="L795" s="15"/>
      <c r="M795" s="15"/>
      <c r="N795" s="15"/>
      <c r="T795" s="15"/>
      <c r="U795" s="15"/>
    </row>
    <row r="796" spans="12:21">
      <c r="L796" s="15"/>
      <c r="M796" s="15"/>
      <c r="N796" s="15"/>
      <c r="T796" s="15"/>
      <c r="U796" s="15"/>
    </row>
    <row r="797" spans="12:21">
      <c r="L797" s="15"/>
      <c r="M797" s="15"/>
      <c r="N797" s="15"/>
      <c r="T797" s="15"/>
      <c r="U797" s="15"/>
    </row>
    <row r="798" spans="12:21">
      <c r="L798" s="15"/>
      <c r="M798" s="15"/>
      <c r="N798" s="15"/>
      <c r="T798" s="15"/>
      <c r="U798" s="15"/>
    </row>
    <row r="799" spans="12:21">
      <c r="L799" s="15"/>
      <c r="M799" s="15"/>
      <c r="N799" s="15"/>
      <c r="T799" s="15"/>
      <c r="U799" s="15"/>
    </row>
    <row r="800" spans="12:21" ht="18" customHeight="1">
      <c r="L800" s="15"/>
      <c r="M800" s="15"/>
      <c r="N800" s="15"/>
      <c r="T800" s="15"/>
      <c r="U800" s="15"/>
    </row>
    <row r="801" spans="12:21" ht="18" customHeight="1">
      <c r="L801" s="15"/>
      <c r="M801" s="15"/>
      <c r="N801" s="15"/>
      <c r="T801" s="15"/>
      <c r="U801" s="15"/>
    </row>
    <row r="802" spans="12:21" ht="18" customHeight="1">
      <c r="L802" s="15"/>
      <c r="M802" s="15"/>
      <c r="N802" s="15"/>
      <c r="T802" s="15"/>
      <c r="U802" s="15"/>
    </row>
    <row r="803" spans="12:21" ht="18" customHeight="1">
      <c r="L803" s="15"/>
      <c r="M803" s="15"/>
      <c r="N803" s="15"/>
      <c r="T803" s="15"/>
      <c r="U803" s="15"/>
    </row>
    <row r="804" spans="12:21" ht="18" customHeight="1">
      <c r="L804" s="15"/>
      <c r="M804" s="15"/>
      <c r="N804" s="15"/>
      <c r="T804" s="15"/>
      <c r="U804" s="15"/>
    </row>
    <row r="805" spans="12:21" ht="18" customHeight="1">
      <c r="L805" s="15"/>
      <c r="M805" s="15"/>
      <c r="N805" s="15"/>
      <c r="T805" s="15"/>
      <c r="U805" s="15"/>
    </row>
    <row r="806" spans="12:21" ht="18" customHeight="1">
      <c r="L806" s="15"/>
      <c r="M806" s="15"/>
      <c r="N806" s="15"/>
      <c r="T806" s="15"/>
      <c r="U806" s="15"/>
    </row>
    <row r="807" spans="12:21" ht="18" customHeight="1">
      <c r="L807" s="15"/>
      <c r="M807" s="15"/>
      <c r="N807" s="15"/>
      <c r="T807" s="15"/>
      <c r="U807" s="15"/>
    </row>
    <row r="808" spans="12:21" ht="18" customHeight="1">
      <c r="L808" s="15"/>
      <c r="M808" s="15"/>
      <c r="N808" s="15"/>
      <c r="T808" s="15"/>
      <c r="U808" s="15"/>
    </row>
    <row r="809" spans="12:21" ht="18" customHeight="1">
      <c r="L809" s="15"/>
      <c r="M809" s="15"/>
      <c r="N809" s="15"/>
      <c r="T809" s="15"/>
      <c r="U809" s="15"/>
    </row>
    <row r="810" spans="12:21" ht="18" customHeight="1">
      <c r="L810" s="15"/>
      <c r="M810" s="15"/>
      <c r="N810" s="15"/>
      <c r="T810" s="15"/>
      <c r="U810" s="15"/>
    </row>
    <row r="811" spans="12:21" ht="18" customHeight="1">
      <c r="L811" s="15"/>
      <c r="M811" s="15"/>
      <c r="N811" s="15"/>
      <c r="T811" s="15"/>
      <c r="U811" s="15"/>
    </row>
    <row r="812" spans="12:21" ht="18" customHeight="1">
      <c r="L812" s="15"/>
      <c r="M812" s="15"/>
      <c r="N812" s="15"/>
      <c r="T812" s="15"/>
      <c r="U812" s="15"/>
    </row>
    <row r="813" spans="12:21" ht="18" customHeight="1">
      <c r="L813" s="15"/>
      <c r="M813" s="15"/>
      <c r="N813" s="15"/>
      <c r="T813" s="15"/>
      <c r="U813" s="15"/>
    </row>
    <row r="814" spans="12:21" ht="18" customHeight="1">
      <c r="L814" s="15"/>
      <c r="M814" s="15"/>
      <c r="N814" s="15"/>
      <c r="T814" s="15"/>
      <c r="U814" s="15"/>
    </row>
    <row r="815" spans="12:21" ht="18" customHeight="1">
      <c r="L815" s="15"/>
      <c r="M815" s="15"/>
      <c r="N815" s="15"/>
      <c r="T815" s="15"/>
      <c r="U815" s="15"/>
    </row>
    <row r="816" spans="12:21" ht="18" customHeight="1">
      <c r="L816" s="15"/>
      <c r="M816" s="15"/>
      <c r="N816" s="15"/>
      <c r="T816" s="15"/>
      <c r="U816" s="15"/>
    </row>
    <row r="817" spans="12:21" ht="18" customHeight="1">
      <c r="L817" s="15"/>
      <c r="M817" s="15"/>
      <c r="N817" s="15"/>
      <c r="T817" s="15"/>
      <c r="U817" s="15"/>
    </row>
    <row r="818" spans="12:21" ht="18" customHeight="1">
      <c r="L818" s="15"/>
      <c r="M818" s="15"/>
      <c r="N818" s="15"/>
      <c r="T818" s="15"/>
      <c r="U818" s="15"/>
    </row>
    <row r="819" spans="12:21" ht="18" customHeight="1">
      <c r="L819" s="15"/>
      <c r="M819" s="15"/>
      <c r="N819" s="15"/>
      <c r="T819" s="15"/>
      <c r="U819" s="15"/>
    </row>
    <row r="820" spans="12:21" ht="18" customHeight="1">
      <c r="L820" s="15"/>
      <c r="M820" s="15"/>
      <c r="N820" s="15"/>
      <c r="T820" s="15"/>
      <c r="U820" s="15"/>
    </row>
    <row r="821" spans="12:21" ht="18" customHeight="1">
      <c r="L821" s="15"/>
      <c r="M821" s="15"/>
      <c r="N821" s="15"/>
      <c r="T821" s="15"/>
      <c r="U821" s="15"/>
    </row>
    <row r="822" spans="12:21" ht="18" customHeight="1">
      <c r="L822" s="15"/>
      <c r="M822" s="15"/>
      <c r="N822" s="15"/>
      <c r="T822" s="15"/>
      <c r="U822" s="15"/>
    </row>
    <row r="823" spans="12:21" ht="18" customHeight="1">
      <c r="L823" s="15"/>
      <c r="M823" s="15"/>
      <c r="N823" s="15"/>
      <c r="T823" s="15"/>
      <c r="U823" s="15"/>
    </row>
    <row r="824" spans="12:21" ht="13.15" customHeight="1">
      <c r="L824" s="15"/>
      <c r="M824" s="15"/>
      <c r="N824" s="15"/>
      <c r="T824" s="15"/>
      <c r="U824" s="15"/>
    </row>
    <row r="825" spans="12:21" ht="13.15" customHeight="1">
      <c r="L825" s="15"/>
      <c r="M825" s="15"/>
      <c r="N825" s="15"/>
      <c r="T825" s="15"/>
      <c r="U825" s="15"/>
    </row>
    <row r="826" spans="12:21" ht="13.15" customHeight="1">
      <c r="L826" s="15"/>
      <c r="M826" s="15"/>
      <c r="N826" s="15"/>
      <c r="T826" s="15"/>
      <c r="U826" s="15"/>
    </row>
    <row r="827" spans="12:21" ht="13.15" customHeight="1">
      <c r="L827" s="15"/>
      <c r="M827" s="15"/>
      <c r="N827" s="15"/>
      <c r="T827" s="15"/>
      <c r="U827" s="15"/>
    </row>
    <row r="828" spans="12:21" ht="13.15" customHeight="1">
      <c r="L828" s="15"/>
      <c r="M828" s="15"/>
      <c r="N828" s="15"/>
      <c r="T828" s="15"/>
      <c r="U828" s="15"/>
    </row>
    <row r="829" spans="12:21" ht="13.15" customHeight="1">
      <c r="L829" s="15"/>
      <c r="M829" s="15"/>
      <c r="N829" s="15"/>
      <c r="T829" s="15"/>
      <c r="U829" s="15"/>
    </row>
    <row r="830" spans="12:21" ht="13.15" customHeight="1">
      <c r="L830" s="15"/>
      <c r="M830" s="15"/>
      <c r="N830" s="15"/>
      <c r="T830" s="15"/>
      <c r="U830" s="15"/>
    </row>
    <row r="831" spans="12:21" ht="13.15" customHeight="1">
      <c r="L831" s="15"/>
      <c r="M831" s="15"/>
      <c r="N831" s="15"/>
      <c r="T831" s="15"/>
      <c r="U831" s="15"/>
    </row>
    <row r="832" spans="12:21" ht="13.15" customHeight="1">
      <c r="L832" s="15"/>
      <c r="M832" s="15"/>
      <c r="N832" s="15"/>
      <c r="T832" s="15"/>
      <c r="U832" s="15"/>
    </row>
    <row r="833" spans="12:21" ht="13.15" customHeight="1">
      <c r="L833" s="15"/>
      <c r="M833" s="15"/>
      <c r="N833" s="15"/>
      <c r="T833" s="15"/>
      <c r="U833" s="15"/>
    </row>
    <row r="834" spans="12:21" ht="13.15" customHeight="1">
      <c r="L834" s="15"/>
      <c r="M834" s="15"/>
      <c r="N834" s="15"/>
      <c r="T834" s="15"/>
      <c r="U834" s="15"/>
    </row>
    <row r="835" spans="12:21" ht="13.15" customHeight="1">
      <c r="L835" s="15"/>
      <c r="M835" s="15"/>
      <c r="N835" s="15"/>
      <c r="T835" s="15"/>
      <c r="U835" s="15"/>
    </row>
    <row r="836" spans="12:21" ht="13.15" customHeight="1">
      <c r="L836" s="15"/>
      <c r="M836" s="15"/>
      <c r="N836" s="15"/>
      <c r="T836" s="15"/>
      <c r="U836" s="15"/>
    </row>
    <row r="837" spans="12:21" ht="13.15" customHeight="1">
      <c r="L837" s="15"/>
      <c r="M837" s="15"/>
      <c r="N837" s="15"/>
      <c r="T837" s="15"/>
      <c r="U837" s="15"/>
    </row>
    <row r="838" spans="12:21" ht="13.15" customHeight="1">
      <c r="L838" s="15"/>
      <c r="M838" s="15"/>
      <c r="N838" s="15"/>
      <c r="T838" s="15"/>
      <c r="U838" s="15"/>
    </row>
    <row r="839" spans="12:21">
      <c r="L839" s="15"/>
      <c r="M839" s="15"/>
      <c r="N839" s="15"/>
      <c r="T839" s="15"/>
      <c r="U839" s="15"/>
    </row>
    <row r="840" spans="12:21">
      <c r="L840" s="15"/>
      <c r="M840" s="15"/>
      <c r="N840" s="15"/>
      <c r="T840" s="15"/>
      <c r="U840" s="15"/>
    </row>
    <row r="841" spans="12:21">
      <c r="L841" s="15"/>
      <c r="M841" s="15"/>
      <c r="N841" s="15"/>
      <c r="T841" s="15"/>
      <c r="U841" s="15"/>
    </row>
    <row r="842" spans="12:21">
      <c r="L842" s="15"/>
      <c r="M842" s="15"/>
      <c r="N842" s="15"/>
      <c r="T842" s="15"/>
      <c r="U842" s="15"/>
    </row>
    <row r="843" spans="12:21">
      <c r="L843" s="15"/>
      <c r="M843" s="15"/>
      <c r="N843" s="15"/>
      <c r="T843" s="15"/>
      <c r="U843" s="15"/>
    </row>
    <row r="844" spans="12:21">
      <c r="L844" s="15"/>
      <c r="M844" s="15"/>
      <c r="N844" s="15"/>
      <c r="T844" s="15"/>
      <c r="U844" s="15"/>
    </row>
    <row r="845" spans="12:21">
      <c r="L845" s="15"/>
      <c r="M845" s="15"/>
      <c r="N845" s="15"/>
      <c r="T845" s="15"/>
      <c r="U845" s="15"/>
    </row>
    <row r="846" spans="12:21">
      <c r="L846" s="15"/>
      <c r="M846" s="15"/>
      <c r="N846" s="15"/>
      <c r="T846" s="15"/>
      <c r="U846" s="15"/>
    </row>
    <row r="847" spans="12:21">
      <c r="L847" s="15"/>
      <c r="M847" s="15"/>
      <c r="N847" s="15"/>
      <c r="T847" s="15"/>
      <c r="U847" s="15"/>
    </row>
    <row r="848" spans="12:21">
      <c r="L848" s="15"/>
      <c r="M848" s="15"/>
      <c r="N848" s="15"/>
      <c r="T848" s="15"/>
      <c r="U848" s="15"/>
    </row>
    <row r="849" spans="12:21">
      <c r="L849" s="15"/>
      <c r="M849" s="15"/>
      <c r="N849" s="15"/>
      <c r="T849" s="15"/>
      <c r="U849" s="15"/>
    </row>
    <row r="850" spans="12:21">
      <c r="L850" s="15"/>
      <c r="M850" s="15"/>
      <c r="N850" s="15"/>
      <c r="T850" s="15"/>
      <c r="U850" s="15"/>
    </row>
    <row r="851" spans="12:21">
      <c r="L851" s="15"/>
      <c r="M851" s="15"/>
      <c r="N851" s="15"/>
      <c r="T851" s="15"/>
      <c r="U851" s="15"/>
    </row>
    <row r="852" spans="12:21">
      <c r="L852" s="15"/>
      <c r="M852" s="15"/>
      <c r="N852" s="15"/>
      <c r="T852" s="15"/>
      <c r="U852" s="15"/>
    </row>
    <row r="853" spans="12:21">
      <c r="L853" s="15"/>
      <c r="M853" s="15"/>
      <c r="N853" s="15"/>
      <c r="T853" s="15"/>
      <c r="U853" s="15"/>
    </row>
    <row r="854" spans="12:21">
      <c r="L854" s="15"/>
      <c r="M854" s="15"/>
      <c r="N854" s="15"/>
      <c r="T854" s="15"/>
      <c r="U854" s="15"/>
    </row>
    <row r="855" spans="12:21">
      <c r="L855" s="15"/>
      <c r="M855" s="15"/>
      <c r="N855" s="15"/>
      <c r="T855" s="15"/>
      <c r="U855" s="15"/>
    </row>
    <row r="856" spans="12:21">
      <c r="L856" s="15"/>
      <c r="M856" s="15"/>
      <c r="N856" s="15"/>
      <c r="T856" s="15"/>
      <c r="U856" s="15"/>
    </row>
    <row r="857" spans="12:21">
      <c r="L857" s="15"/>
      <c r="M857" s="15"/>
      <c r="N857" s="15"/>
      <c r="T857" s="15"/>
      <c r="U857" s="15"/>
    </row>
    <row r="858" spans="12:21">
      <c r="L858" s="15"/>
      <c r="M858" s="15"/>
      <c r="N858" s="15"/>
      <c r="T858" s="15"/>
      <c r="U858" s="15"/>
    </row>
    <row r="859" spans="12:21">
      <c r="L859" s="15"/>
      <c r="M859" s="15"/>
      <c r="N859" s="15"/>
      <c r="T859" s="15"/>
      <c r="U859" s="15"/>
    </row>
    <row r="860" spans="12:21">
      <c r="L860" s="15"/>
      <c r="M860" s="15"/>
      <c r="N860" s="15"/>
      <c r="T860" s="15"/>
      <c r="U860" s="15"/>
    </row>
    <row r="861" spans="12:21">
      <c r="L861" s="15"/>
      <c r="M861" s="15"/>
      <c r="N861" s="15"/>
      <c r="T861" s="15"/>
      <c r="U861" s="15"/>
    </row>
    <row r="862" spans="12:21">
      <c r="L862" s="15"/>
      <c r="M862" s="15"/>
      <c r="N862" s="15"/>
      <c r="T862" s="15"/>
      <c r="U862" s="15"/>
    </row>
    <row r="863" spans="12:21">
      <c r="L863" s="15"/>
      <c r="M863" s="15"/>
      <c r="N863" s="15"/>
      <c r="T863" s="15"/>
      <c r="U863" s="15"/>
    </row>
    <row r="864" spans="12:21">
      <c r="L864" s="15"/>
      <c r="M864" s="15"/>
      <c r="N864" s="15"/>
      <c r="T864" s="15"/>
      <c r="U864" s="15"/>
    </row>
    <row r="865" spans="12:21">
      <c r="L865" s="15"/>
      <c r="M865" s="15"/>
      <c r="N865" s="15"/>
      <c r="T865" s="15"/>
      <c r="U865" s="15"/>
    </row>
    <row r="866" spans="12:21">
      <c r="L866" s="15"/>
      <c r="M866" s="15"/>
      <c r="N866" s="15"/>
      <c r="T866" s="15"/>
      <c r="U866" s="15"/>
    </row>
    <row r="867" spans="12:21">
      <c r="L867" s="15"/>
      <c r="M867" s="15"/>
      <c r="N867" s="15"/>
      <c r="T867" s="15"/>
      <c r="U867" s="15"/>
    </row>
    <row r="868" spans="12:21">
      <c r="L868" s="15"/>
      <c r="M868" s="15"/>
      <c r="N868" s="15"/>
      <c r="T868" s="15"/>
      <c r="U868" s="15"/>
    </row>
    <row r="869" spans="12:21">
      <c r="L869" s="15"/>
      <c r="M869" s="15"/>
      <c r="N869" s="15"/>
      <c r="T869" s="15"/>
      <c r="U869" s="15"/>
    </row>
    <row r="870" spans="12:21">
      <c r="L870" s="15"/>
      <c r="M870" s="15"/>
      <c r="N870" s="15"/>
      <c r="T870" s="15"/>
      <c r="U870" s="15"/>
    </row>
    <row r="871" spans="12:21">
      <c r="L871" s="15"/>
      <c r="M871" s="15"/>
      <c r="N871" s="15"/>
      <c r="T871" s="15"/>
      <c r="U871" s="15"/>
    </row>
    <row r="872" spans="12:21">
      <c r="L872" s="15"/>
      <c r="M872" s="15"/>
      <c r="N872" s="15"/>
      <c r="T872" s="15"/>
      <c r="U872" s="15"/>
    </row>
    <row r="873" spans="12:21">
      <c r="L873" s="15"/>
      <c r="M873" s="15"/>
      <c r="N873" s="15"/>
      <c r="T873" s="15"/>
      <c r="U873" s="15"/>
    </row>
    <row r="874" spans="12:21">
      <c r="L874" s="15"/>
      <c r="M874" s="15"/>
      <c r="N874" s="15"/>
      <c r="T874" s="15"/>
      <c r="U874" s="15"/>
    </row>
    <row r="875" spans="12:21">
      <c r="L875" s="15"/>
      <c r="M875" s="15"/>
      <c r="N875" s="15"/>
      <c r="T875" s="15"/>
      <c r="U875" s="15"/>
    </row>
    <row r="876" spans="12:21">
      <c r="L876" s="15"/>
      <c r="M876" s="15"/>
      <c r="N876" s="15"/>
      <c r="T876" s="15"/>
      <c r="U876" s="15"/>
    </row>
    <row r="877" spans="12:21">
      <c r="L877" s="15"/>
      <c r="M877" s="15"/>
      <c r="N877" s="15"/>
      <c r="T877" s="15"/>
      <c r="U877" s="15"/>
    </row>
    <row r="878" spans="12:21">
      <c r="L878" s="15"/>
      <c r="M878" s="15"/>
      <c r="N878" s="15"/>
      <c r="T878" s="15"/>
      <c r="U878" s="15"/>
    </row>
    <row r="879" spans="12:21">
      <c r="L879" s="15"/>
      <c r="M879" s="15"/>
      <c r="N879" s="15"/>
      <c r="T879" s="15"/>
      <c r="U879" s="15"/>
    </row>
    <row r="880" spans="12:21">
      <c r="L880" s="15"/>
      <c r="M880" s="15"/>
      <c r="N880" s="15"/>
      <c r="T880" s="15"/>
      <c r="U880" s="15"/>
    </row>
    <row r="881" spans="12:21">
      <c r="L881" s="15"/>
      <c r="M881" s="15"/>
      <c r="N881" s="15"/>
      <c r="T881" s="15"/>
      <c r="U881" s="15"/>
    </row>
    <row r="882" spans="12:21">
      <c r="L882" s="15"/>
      <c r="M882" s="15"/>
      <c r="N882" s="15"/>
      <c r="T882" s="15"/>
      <c r="U882" s="15"/>
    </row>
    <row r="883" spans="12:21">
      <c r="L883" s="15"/>
      <c r="M883" s="15"/>
      <c r="N883" s="15"/>
      <c r="T883" s="15"/>
      <c r="U883" s="15"/>
    </row>
    <row r="884" spans="12:21">
      <c r="L884" s="15"/>
      <c r="M884" s="15"/>
      <c r="N884" s="15"/>
      <c r="T884" s="15"/>
      <c r="U884" s="15"/>
    </row>
    <row r="885" spans="12:21">
      <c r="L885" s="15"/>
      <c r="M885" s="15"/>
      <c r="N885" s="15"/>
      <c r="T885" s="15"/>
      <c r="U885" s="15"/>
    </row>
    <row r="886" spans="12:21">
      <c r="L886" s="15"/>
      <c r="M886" s="15"/>
      <c r="N886" s="15"/>
      <c r="T886" s="15"/>
      <c r="U886" s="15"/>
    </row>
    <row r="887" spans="12:21">
      <c r="L887" s="15"/>
      <c r="M887" s="15"/>
      <c r="N887" s="15"/>
      <c r="T887" s="15"/>
      <c r="U887" s="15"/>
    </row>
    <row r="888" spans="12:21">
      <c r="L888" s="15"/>
      <c r="M888" s="15"/>
      <c r="N888" s="15"/>
      <c r="T888" s="15"/>
      <c r="U888" s="15"/>
    </row>
    <row r="889" spans="12:21">
      <c r="L889" s="15"/>
      <c r="M889" s="15"/>
      <c r="N889" s="15"/>
      <c r="T889" s="15"/>
      <c r="U889" s="15"/>
    </row>
    <row r="890" spans="12:21">
      <c r="L890" s="15"/>
      <c r="M890" s="15"/>
      <c r="N890" s="15"/>
      <c r="T890" s="15"/>
      <c r="U890" s="15"/>
    </row>
    <row r="891" spans="12:21">
      <c r="L891" s="15"/>
      <c r="M891" s="15"/>
      <c r="N891" s="15"/>
      <c r="T891" s="15"/>
      <c r="U891" s="15"/>
    </row>
    <row r="892" spans="12:21">
      <c r="L892" s="15"/>
      <c r="M892" s="15"/>
      <c r="N892" s="15"/>
      <c r="T892" s="15"/>
      <c r="U892" s="15"/>
    </row>
    <row r="893" spans="12:21">
      <c r="L893" s="15"/>
      <c r="M893" s="15"/>
      <c r="N893" s="15"/>
      <c r="T893" s="15"/>
      <c r="U893" s="15"/>
    </row>
    <row r="894" spans="12:21">
      <c r="L894" s="15"/>
      <c r="M894" s="15"/>
      <c r="N894" s="15"/>
      <c r="T894" s="15"/>
      <c r="U894" s="15"/>
    </row>
    <row r="895" spans="12:21">
      <c r="L895" s="15"/>
      <c r="M895" s="15"/>
      <c r="N895" s="15"/>
      <c r="T895" s="15"/>
      <c r="U895" s="15"/>
    </row>
    <row r="896" spans="12:21">
      <c r="L896" s="15"/>
      <c r="M896" s="15"/>
      <c r="N896" s="15"/>
      <c r="T896" s="15"/>
      <c r="U896" s="15"/>
    </row>
    <row r="897" spans="12:21">
      <c r="L897" s="15"/>
      <c r="M897" s="15"/>
      <c r="N897" s="15"/>
      <c r="T897" s="15"/>
      <c r="U897" s="15"/>
    </row>
    <row r="898" spans="12:21">
      <c r="L898" s="15"/>
      <c r="M898" s="15"/>
      <c r="N898" s="15"/>
      <c r="T898" s="15"/>
      <c r="U898" s="15"/>
    </row>
    <row r="899" spans="12:21">
      <c r="L899" s="15"/>
      <c r="M899" s="15"/>
      <c r="N899" s="15"/>
      <c r="T899" s="15"/>
      <c r="U899" s="15"/>
    </row>
    <row r="900" spans="12:21">
      <c r="L900" s="15"/>
      <c r="M900" s="15"/>
      <c r="N900" s="15"/>
      <c r="T900" s="15"/>
      <c r="U900" s="15"/>
    </row>
    <row r="901" spans="12:21">
      <c r="L901" s="15"/>
      <c r="M901" s="15"/>
      <c r="N901" s="15"/>
      <c r="T901" s="15"/>
      <c r="U901" s="15"/>
    </row>
    <row r="902" spans="12:21">
      <c r="L902" s="15"/>
      <c r="M902" s="15"/>
      <c r="N902" s="15"/>
      <c r="T902" s="15"/>
      <c r="U902" s="15"/>
    </row>
    <row r="903" spans="12:21">
      <c r="L903" s="15"/>
      <c r="M903" s="15"/>
      <c r="N903" s="15"/>
      <c r="T903" s="15"/>
      <c r="U903" s="15"/>
    </row>
    <row r="904" spans="12:21">
      <c r="L904" s="15"/>
      <c r="M904" s="15"/>
      <c r="N904" s="15"/>
      <c r="T904" s="15"/>
      <c r="U904" s="15"/>
    </row>
    <row r="905" spans="12:21">
      <c r="L905" s="15"/>
      <c r="M905" s="15"/>
      <c r="N905" s="15"/>
      <c r="T905" s="15"/>
      <c r="U905" s="15"/>
    </row>
    <row r="906" spans="12:21">
      <c r="L906" s="15"/>
      <c r="M906" s="15"/>
      <c r="N906" s="15"/>
      <c r="T906" s="15"/>
      <c r="U906" s="15"/>
    </row>
    <row r="907" spans="12:21">
      <c r="L907" s="15"/>
      <c r="M907" s="15"/>
      <c r="N907" s="15"/>
      <c r="T907" s="15"/>
      <c r="U907" s="15"/>
    </row>
    <row r="908" spans="12:21">
      <c r="L908" s="15"/>
      <c r="M908" s="15"/>
      <c r="N908" s="15"/>
      <c r="T908" s="15"/>
      <c r="U908" s="15"/>
    </row>
    <row r="909" spans="12:21">
      <c r="L909" s="15"/>
      <c r="M909" s="15"/>
      <c r="N909" s="15"/>
      <c r="T909" s="15"/>
      <c r="U909" s="15"/>
    </row>
    <row r="910" spans="12:21">
      <c r="L910" s="15"/>
      <c r="M910" s="15"/>
      <c r="N910" s="15"/>
      <c r="T910" s="15"/>
      <c r="U910" s="15"/>
    </row>
    <row r="911" spans="12:21">
      <c r="L911" s="15"/>
      <c r="M911" s="15"/>
      <c r="N911" s="15"/>
      <c r="T911" s="15"/>
      <c r="U911" s="15"/>
    </row>
    <row r="912" spans="12:21">
      <c r="L912" s="15"/>
      <c r="M912" s="15"/>
      <c r="N912" s="15"/>
      <c r="T912" s="15"/>
      <c r="U912" s="15"/>
    </row>
    <row r="913" spans="12:21">
      <c r="L913" s="15"/>
      <c r="M913" s="15"/>
      <c r="N913" s="15"/>
      <c r="T913" s="15"/>
      <c r="U913" s="15"/>
    </row>
    <row r="914" spans="12:21">
      <c r="L914" s="15"/>
      <c r="M914" s="15"/>
      <c r="N914" s="15"/>
      <c r="T914" s="15"/>
      <c r="U914" s="15"/>
    </row>
    <row r="915" spans="12:21">
      <c r="L915" s="15"/>
      <c r="M915" s="15"/>
      <c r="N915" s="15"/>
      <c r="T915" s="15"/>
      <c r="U915" s="15"/>
    </row>
    <row r="916" spans="12:21">
      <c r="L916" s="15"/>
      <c r="M916" s="15"/>
      <c r="N916" s="15"/>
      <c r="T916" s="15"/>
      <c r="U916" s="15"/>
    </row>
    <row r="917" spans="12:21">
      <c r="L917" s="15"/>
      <c r="M917" s="15"/>
      <c r="N917" s="15"/>
      <c r="T917" s="15"/>
      <c r="U917" s="15"/>
    </row>
    <row r="918" spans="12:21">
      <c r="L918" s="15"/>
      <c r="M918" s="15"/>
      <c r="N918" s="15"/>
      <c r="T918" s="15"/>
      <c r="U918" s="15"/>
    </row>
    <row r="919" spans="12:21">
      <c r="L919" s="15"/>
      <c r="M919" s="15"/>
      <c r="N919" s="15"/>
      <c r="T919" s="15"/>
      <c r="U919" s="15"/>
    </row>
    <row r="920" spans="12:21">
      <c r="L920" s="15"/>
      <c r="M920" s="15"/>
      <c r="N920" s="15"/>
      <c r="T920" s="15"/>
      <c r="U920" s="15"/>
    </row>
    <row r="921" spans="12:21">
      <c r="L921" s="15"/>
      <c r="M921" s="15"/>
      <c r="N921" s="15"/>
      <c r="T921" s="15"/>
      <c r="U921" s="15"/>
    </row>
    <row r="922" spans="12:21">
      <c r="L922" s="15"/>
      <c r="M922" s="15"/>
      <c r="N922" s="15"/>
      <c r="T922" s="15"/>
      <c r="U922" s="15"/>
    </row>
    <row r="923" spans="12:21">
      <c r="L923" s="15"/>
      <c r="M923" s="15"/>
      <c r="N923" s="15"/>
      <c r="T923" s="15"/>
      <c r="U923" s="15"/>
    </row>
    <row r="924" spans="12:21">
      <c r="L924" s="15"/>
      <c r="M924" s="15"/>
      <c r="N924" s="15"/>
      <c r="T924" s="15"/>
      <c r="U924" s="15"/>
    </row>
    <row r="925" spans="12:21">
      <c r="L925" s="15"/>
      <c r="M925" s="15"/>
      <c r="N925" s="15"/>
      <c r="T925" s="15"/>
      <c r="U925" s="15"/>
    </row>
    <row r="926" spans="12:21">
      <c r="L926" s="15"/>
      <c r="M926" s="15"/>
      <c r="N926" s="15"/>
      <c r="T926" s="15"/>
      <c r="U926" s="15"/>
    </row>
    <row r="927" spans="12:21">
      <c r="L927" s="15"/>
      <c r="M927" s="15"/>
      <c r="N927" s="15"/>
      <c r="T927" s="15"/>
      <c r="U927" s="15"/>
    </row>
    <row r="928" spans="12:21">
      <c r="L928" s="15"/>
      <c r="M928" s="15"/>
      <c r="N928" s="15"/>
      <c r="T928" s="15"/>
      <c r="U928" s="15"/>
    </row>
    <row r="929" spans="12:21">
      <c r="L929" s="15"/>
      <c r="M929" s="15"/>
      <c r="N929" s="15"/>
      <c r="T929" s="15"/>
      <c r="U929" s="15"/>
    </row>
    <row r="930" spans="12:21">
      <c r="L930" s="15"/>
      <c r="M930" s="15"/>
      <c r="N930" s="15"/>
      <c r="T930" s="15"/>
      <c r="U930" s="15"/>
    </row>
    <row r="931" spans="12:21">
      <c r="L931" s="15"/>
      <c r="M931" s="15"/>
      <c r="N931" s="15"/>
      <c r="T931" s="15"/>
      <c r="U931" s="15"/>
    </row>
    <row r="932" spans="12:21">
      <c r="L932" s="15"/>
      <c r="M932" s="15"/>
      <c r="N932" s="15"/>
      <c r="T932" s="15"/>
      <c r="U932" s="15"/>
    </row>
    <row r="933" spans="12:21">
      <c r="L933" s="15"/>
      <c r="M933" s="15"/>
      <c r="N933" s="15"/>
      <c r="T933" s="15"/>
      <c r="U933" s="15"/>
    </row>
    <row r="934" spans="12:21">
      <c r="L934" s="15"/>
      <c r="M934" s="15"/>
      <c r="N934" s="15"/>
      <c r="T934" s="15"/>
      <c r="U934" s="15"/>
    </row>
    <row r="935" spans="12:21">
      <c r="L935" s="15"/>
      <c r="M935" s="15"/>
      <c r="N935" s="15"/>
      <c r="T935" s="15"/>
      <c r="U935" s="15"/>
    </row>
    <row r="936" spans="12:21">
      <c r="L936" s="15"/>
      <c r="M936" s="15"/>
      <c r="N936" s="15"/>
      <c r="T936" s="15"/>
      <c r="U936" s="15"/>
    </row>
    <row r="937" spans="12:21">
      <c r="L937" s="15"/>
      <c r="M937" s="15"/>
      <c r="N937" s="15"/>
      <c r="T937" s="15"/>
      <c r="U937" s="15"/>
    </row>
    <row r="938" spans="12:21">
      <c r="L938" s="15"/>
      <c r="M938" s="15"/>
      <c r="N938" s="15"/>
      <c r="T938" s="15"/>
      <c r="U938" s="15"/>
    </row>
    <row r="939" spans="12:21">
      <c r="L939" s="15"/>
      <c r="M939" s="15"/>
      <c r="N939" s="15"/>
      <c r="T939" s="15"/>
      <c r="U939" s="15"/>
    </row>
    <row r="940" spans="12:21">
      <c r="L940" s="15"/>
      <c r="M940" s="15"/>
      <c r="N940" s="15"/>
      <c r="T940" s="15"/>
      <c r="U940" s="15"/>
    </row>
    <row r="941" spans="12:21">
      <c r="L941" s="15"/>
      <c r="M941" s="15"/>
      <c r="N941" s="15"/>
      <c r="T941" s="15"/>
      <c r="U941" s="15"/>
    </row>
    <row r="942" spans="12:21">
      <c r="L942" s="15"/>
      <c r="M942" s="15"/>
      <c r="N942" s="15"/>
      <c r="T942" s="15"/>
      <c r="U942" s="15"/>
    </row>
    <row r="943" spans="12:21">
      <c r="L943" s="15"/>
      <c r="M943" s="15"/>
      <c r="N943" s="15"/>
      <c r="T943" s="15"/>
      <c r="U943" s="15"/>
    </row>
    <row r="944" spans="12:21">
      <c r="L944" s="15"/>
      <c r="M944" s="15"/>
      <c r="N944" s="15"/>
      <c r="T944" s="15"/>
      <c r="U944" s="15"/>
    </row>
    <row r="945" spans="12:21">
      <c r="L945" s="15"/>
      <c r="M945" s="15"/>
      <c r="N945" s="15"/>
      <c r="T945" s="15"/>
      <c r="U945" s="15"/>
    </row>
    <row r="946" spans="12:21">
      <c r="L946" s="15"/>
      <c r="M946" s="15"/>
      <c r="N946" s="15"/>
      <c r="T946" s="15"/>
      <c r="U946" s="15"/>
    </row>
    <row r="947" spans="12:21">
      <c r="L947" s="15"/>
      <c r="M947" s="15"/>
      <c r="N947" s="15"/>
      <c r="T947" s="15"/>
      <c r="U947" s="15"/>
    </row>
    <row r="948" spans="12:21">
      <c r="L948" s="15"/>
      <c r="M948" s="15"/>
      <c r="N948" s="15"/>
      <c r="T948" s="15"/>
      <c r="U948" s="15"/>
    </row>
    <row r="949" spans="12:21">
      <c r="L949" s="15"/>
      <c r="M949" s="15"/>
      <c r="N949" s="15"/>
      <c r="T949" s="15"/>
      <c r="U949" s="15"/>
    </row>
    <row r="950" spans="12:21">
      <c r="L950" s="15"/>
      <c r="M950" s="15"/>
      <c r="N950" s="15"/>
      <c r="T950" s="15"/>
      <c r="U950" s="15"/>
    </row>
    <row r="951" spans="12:21">
      <c r="L951" s="15"/>
      <c r="M951" s="15"/>
      <c r="N951" s="15"/>
      <c r="T951" s="15"/>
      <c r="U951" s="15"/>
    </row>
    <row r="952" spans="12:21">
      <c r="L952" s="15"/>
      <c r="M952" s="15"/>
      <c r="N952" s="15"/>
      <c r="T952" s="15"/>
      <c r="U952" s="15"/>
    </row>
    <row r="953" spans="12:21">
      <c r="L953" s="15"/>
      <c r="M953" s="15"/>
      <c r="N953" s="15"/>
      <c r="T953" s="15"/>
      <c r="U953" s="15"/>
    </row>
    <row r="954" spans="12:21">
      <c r="L954" s="15"/>
      <c r="M954" s="15"/>
      <c r="N954" s="15"/>
      <c r="T954" s="15"/>
      <c r="U954" s="15"/>
    </row>
    <row r="955" spans="12:21">
      <c r="L955" s="15"/>
      <c r="M955" s="15"/>
      <c r="N955" s="15"/>
      <c r="T955" s="15"/>
      <c r="U955" s="15"/>
    </row>
    <row r="956" spans="12:21">
      <c r="L956" s="15"/>
      <c r="M956" s="15"/>
      <c r="N956" s="15"/>
      <c r="T956" s="15"/>
      <c r="U956" s="15"/>
    </row>
    <row r="957" spans="12:21">
      <c r="L957" s="15"/>
      <c r="M957" s="15"/>
      <c r="N957" s="15"/>
      <c r="T957" s="15"/>
      <c r="U957" s="15"/>
    </row>
    <row r="958" spans="12:21">
      <c r="L958" s="15"/>
      <c r="M958" s="15"/>
      <c r="N958" s="15"/>
      <c r="T958" s="15"/>
      <c r="U958" s="15"/>
    </row>
    <row r="959" spans="12:21">
      <c r="L959" s="15"/>
      <c r="M959" s="15"/>
      <c r="N959" s="15"/>
      <c r="T959" s="15"/>
      <c r="U959" s="15"/>
    </row>
    <row r="960" spans="12:21">
      <c r="L960" s="15"/>
      <c r="M960" s="15"/>
      <c r="N960" s="15"/>
      <c r="T960" s="15"/>
      <c r="U960" s="15"/>
    </row>
    <row r="961" spans="12:21">
      <c r="L961" s="15"/>
      <c r="M961" s="15"/>
      <c r="N961" s="15"/>
      <c r="T961" s="15"/>
      <c r="U961" s="15"/>
    </row>
    <row r="962" spans="12:21">
      <c r="L962" s="15"/>
      <c r="M962" s="15"/>
      <c r="N962" s="15"/>
      <c r="T962" s="15"/>
      <c r="U962" s="15"/>
    </row>
    <row r="963" spans="12:21">
      <c r="L963" s="15"/>
      <c r="M963" s="15"/>
      <c r="N963" s="15"/>
      <c r="T963" s="15"/>
      <c r="U963" s="15"/>
    </row>
    <row r="964" spans="12:21">
      <c r="L964" s="15"/>
      <c r="M964" s="15"/>
      <c r="N964" s="15"/>
      <c r="T964" s="15"/>
      <c r="U964" s="15"/>
    </row>
    <row r="965" spans="12:21">
      <c r="L965" s="15"/>
      <c r="M965" s="15"/>
      <c r="N965" s="15"/>
      <c r="T965" s="15"/>
      <c r="U965" s="15"/>
    </row>
    <row r="966" spans="12:21">
      <c r="L966" s="15"/>
      <c r="M966" s="15"/>
      <c r="N966" s="15"/>
      <c r="T966" s="15"/>
      <c r="U966" s="15"/>
    </row>
    <row r="967" spans="12:21">
      <c r="L967" s="15"/>
      <c r="M967" s="15"/>
      <c r="N967" s="15"/>
      <c r="T967" s="15"/>
      <c r="U967" s="15"/>
    </row>
    <row r="968" spans="12:21">
      <c r="L968" s="15"/>
      <c r="M968" s="15"/>
      <c r="N968" s="15"/>
      <c r="T968" s="15"/>
      <c r="U968" s="15"/>
    </row>
    <row r="969" spans="12:21">
      <c r="L969" s="15"/>
      <c r="M969" s="15"/>
      <c r="N969" s="15"/>
      <c r="T969" s="15"/>
      <c r="U969" s="15"/>
    </row>
    <row r="970" spans="12:21">
      <c r="L970" s="15"/>
      <c r="M970" s="15"/>
      <c r="N970" s="15"/>
      <c r="T970" s="15"/>
      <c r="U970" s="15"/>
    </row>
    <row r="971" spans="12:21">
      <c r="L971" s="15"/>
      <c r="M971" s="15"/>
      <c r="N971" s="15"/>
      <c r="T971" s="15"/>
      <c r="U971" s="15"/>
    </row>
    <row r="972" spans="12:21">
      <c r="L972" s="15"/>
      <c r="M972" s="15"/>
      <c r="N972" s="15"/>
      <c r="T972" s="15"/>
      <c r="U972" s="15"/>
    </row>
    <row r="973" spans="12:21">
      <c r="L973" s="15"/>
      <c r="M973" s="15"/>
      <c r="N973" s="15"/>
      <c r="T973" s="15"/>
      <c r="U973" s="15"/>
    </row>
    <row r="974" spans="12:21">
      <c r="L974" s="15"/>
      <c r="M974" s="15"/>
      <c r="N974" s="15"/>
      <c r="T974" s="15"/>
      <c r="U974" s="15"/>
    </row>
    <row r="975" spans="12:21">
      <c r="L975" s="15"/>
      <c r="M975" s="15"/>
      <c r="N975" s="15"/>
      <c r="T975" s="15"/>
      <c r="U975" s="15"/>
    </row>
    <row r="976" spans="12:21">
      <c r="L976" s="15"/>
      <c r="M976" s="15"/>
      <c r="N976" s="15"/>
      <c r="T976" s="15"/>
      <c r="U976" s="15"/>
    </row>
    <row r="977" spans="12:21">
      <c r="L977" s="15"/>
      <c r="M977" s="15"/>
      <c r="N977" s="15"/>
      <c r="T977" s="15"/>
      <c r="U977" s="15"/>
    </row>
    <row r="978" spans="12:21">
      <c r="L978" s="15"/>
      <c r="M978" s="15"/>
      <c r="N978" s="15"/>
      <c r="T978" s="15"/>
      <c r="U978" s="15"/>
    </row>
    <row r="979" spans="12:21">
      <c r="L979" s="15"/>
      <c r="M979" s="15"/>
      <c r="N979" s="15"/>
      <c r="T979" s="15"/>
      <c r="U979" s="15"/>
    </row>
    <row r="980" spans="12:21">
      <c r="L980" s="15"/>
      <c r="M980" s="15"/>
      <c r="N980" s="15"/>
      <c r="T980" s="15"/>
      <c r="U980" s="15"/>
    </row>
    <row r="981" spans="12:21">
      <c r="L981" s="15"/>
      <c r="M981" s="15"/>
      <c r="N981" s="15"/>
      <c r="T981" s="15"/>
      <c r="U981" s="15"/>
    </row>
    <row r="982" spans="12:21">
      <c r="L982" s="15"/>
      <c r="M982" s="15"/>
      <c r="N982" s="15"/>
      <c r="T982" s="15"/>
      <c r="U982" s="15"/>
    </row>
    <row r="983" spans="12:21">
      <c r="L983" s="15"/>
      <c r="M983" s="15"/>
      <c r="N983" s="15"/>
      <c r="T983" s="15"/>
      <c r="U983" s="15"/>
    </row>
    <row r="984" spans="12:21">
      <c r="L984" s="15"/>
      <c r="M984" s="15"/>
      <c r="N984" s="15"/>
      <c r="T984" s="15"/>
      <c r="U984" s="15"/>
    </row>
    <row r="985" spans="12:21">
      <c r="L985" s="15"/>
      <c r="M985" s="15"/>
      <c r="N985" s="15"/>
      <c r="T985" s="15"/>
      <c r="U985" s="15"/>
    </row>
    <row r="986" spans="12:21">
      <c r="L986" s="15"/>
      <c r="M986" s="15"/>
      <c r="N986" s="15"/>
      <c r="T986" s="15"/>
      <c r="U986" s="15"/>
    </row>
    <row r="987" spans="12:21">
      <c r="L987" s="15"/>
      <c r="M987" s="15"/>
      <c r="N987" s="15"/>
      <c r="T987" s="15"/>
      <c r="U987" s="15"/>
    </row>
    <row r="988" spans="12:21">
      <c r="L988" s="15"/>
      <c r="M988" s="15"/>
      <c r="N988" s="15"/>
      <c r="T988" s="15"/>
      <c r="U988" s="15"/>
    </row>
    <row r="989" spans="12:21">
      <c r="L989" s="15"/>
      <c r="M989" s="15"/>
      <c r="N989" s="15"/>
      <c r="T989" s="15"/>
      <c r="U989" s="15"/>
    </row>
    <row r="990" spans="12:21">
      <c r="L990" s="15"/>
      <c r="M990" s="15"/>
      <c r="N990" s="15"/>
      <c r="T990" s="15"/>
      <c r="U990" s="15"/>
    </row>
    <row r="991" spans="12:21">
      <c r="L991" s="15"/>
      <c r="M991" s="15"/>
      <c r="N991" s="15"/>
      <c r="T991" s="15"/>
      <c r="U991" s="15"/>
    </row>
    <row r="992" spans="12:21">
      <c r="L992" s="15"/>
      <c r="M992" s="15"/>
      <c r="N992" s="15"/>
      <c r="T992" s="15"/>
      <c r="U992" s="15"/>
    </row>
    <row r="993" spans="12:21">
      <c r="L993" s="15"/>
      <c r="M993" s="15"/>
      <c r="N993" s="15"/>
      <c r="T993" s="15"/>
      <c r="U993" s="15"/>
    </row>
    <row r="994" spans="12:21">
      <c r="L994" s="15"/>
      <c r="M994" s="15"/>
      <c r="N994" s="15"/>
      <c r="T994" s="15"/>
      <c r="U994" s="15"/>
    </row>
    <row r="995" spans="12:21">
      <c r="L995" s="15"/>
      <c r="M995" s="15"/>
      <c r="N995" s="15"/>
      <c r="T995" s="15"/>
      <c r="U995" s="15"/>
    </row>
    <row r="996" spans="12:21">
      <c r="L996" s="15"/>
      <c r="M996" s="15"/>
      <c r="N996" s="15"/>
      <c r="T996" s="15"/>
      <c r="U996" s="15"/>
    </row>
    <row r="997" spans="12:21">
      <c r="L997" s="15"/>
      <c r="M997" s="15"/>
      <c r="N997" s="15"/>
      <c r="T997" s="15"/>
      <c r="U997" s="15"/>
    </row>
    <row r="998" spans="12:21">
      <c r="L998" s="15"/>
      <c r="M998" s="15"/>
      <c r="N998" s="15"/>
      <c r="T998" s="15"/>
      <c r="U998" s="15"/>
    </row>
    <row r="999" spans="12:21">
      <c r="L999" s="15"/>
      <c r="M999" s="15"/>
      <c r="N999" s="15"/>
      <c r="T999" s="15"/>
      <c r="U999" s="15"/>
    </row>
    <row r="1000" spans="12:21">
      <c r="L1000" s="15"/>
      <c r="M1000" s="15"/>
      <c r="N1000" s="15"/>
      <c r="T1000" s="15"/>
      <c r="U1000" s="15"/>
    </row>
    <row r="1001" spans="12:21">
      <c r="L1001" s="15"/>
      <c r="M1001" s="15"/>
      <c r="N1001" s="15"/>
      <c r="T1001" s="15"/>
      <c r="U1001" s="15"/>
    </row>
    <row r="1002" spans="12:21">
      <c r="L1002" s="15"/>
      <c r="M1002" s="15"/>
      <c r="N1002" s="15"/>
      <c r="T1002" s="15"/>
      <c r="U1002" s="15"/>
    </row>
    <row r="1003" spans="12:21">
      <c r="L1003" s="15"/>
      <c r="M1003" s="15"/>
      <c r="N1003" s="15"/>
      <c r="T1003" s="15"/>
      <c r="U1003" s="15"/>
    </row>
    <row r="1004" spans="12:21">
      <c r="L1004" s="15"/>
      <c r="M1004" s="15"/>
      <c r="N1004" s="15"/>
      <c r="T1004" s="15"/>
      <c r="U1004" s="15"/>
    </row>
    <row r="1005" spans="12:21">
      <c r="L1005" s="15"/>
      <c r="M1005" s="15"/>
      <c r="N1005" s="15"/>
      <c r="T1005" s="15"/>
      <c r="U1005" s="15"/>
    </row>
    <row r="1006" spans="12:21">
      <c r="L1006" s="15"/>
      <c r="M1006" s="15"/>
      <c r="N1006" s="15"/>
      <c r="T1006" s="15"/>
      <c r="U1006" s="15"/>
    </row>
    <row r="1007" spans="12:21">
      <c r="L1007" s="15"/>
      <c r="M1007" s="15"/>
      <c r="N1007" s="15"/>
      <c r="T1007" s="15"/>
      <c r="U1007" s="15"/>
    </row>
    <row r="1008" spans="12:21">
      <c r="L1008" s="15"/>
      <c r="M1008" s="15"/>
      <c r="N1008" s="15"/>
      <c r="T1008" s="15"/>
      <c r="U1008" s="15"/>
    </row>
    <row r="1009" spans="12:21">
      <c r="L1009" s="15"/>
      <c r="M1009" s="15"/>
      <c r="N1009" s="15"/>
      <c r="T1009" s="15"/>
      <c r="U1009" s="15"/>
    </row>
    <row r="1010" spans="12:21">
      <c r="L1010" s="15"/>
      <c r="M1010" s="15"/>
      <c r="N1010" s="15"/>
      <c r="T1010" s="15"/>
      <c r="U1010" s="15"/>
    </row>
    <row r="1011" spans="12:21">
      <c r="L1011" s="15"/>
      <c r="M1011" s="15"/>
      <c r="N1011" s="15"/>
      <c r="T1011" s="15"/>
      <c r="U1011" s="15"/>
    </row>
    <row r="1012" spans="12:21">
      <c r="L1012" s="15"/>
      <c r="M1012" s="15"/>
      <c r="N1012" s="15"/>
      <c r="T1012" s="15"/>
      <c r="U1012" s="15"/>
    </row>
    <row r="1013" spans="12:21">
      <c r="L1013" s="15"/>
      <c r="M1013" s="15"/>
      <c r="N1013" s="15"/>
      <c r="T1013" s="15"/>
      <c r="U1013" s="15"/>
    </row>
    <row r="1014" spans="12:21">
      <c r="L1014" s="15"/>
      <c r="M1014" s="15"/>
      <c r="N1014" s="15"/>
      <c r="T1014" s="15"/>
      <c r="U1014" s="15"/>
    </row>
    <row r="1015" spans="12:21">
      <c r="L1015" s="15"/>
      <c r="M1015" s="15"/>
      <c r="N1015" s="15"/>
      <c r="T1015" s="15"/>
      <c r="U1015" s="15"/>
    </row>
    <row r="1016" spans="12:21">
      <c r="L1016" s="15"/>
      <c r="M1016" s="15"/>
      <c r="N1016" s="15"/>
      <c r="T1016" s="15"/>
      <c r="U1016" s="15"/>
    </row>
    <row r="1017" spans="12:21">
      <c r="L1017" s="15"/>
      <c r="M1017" s="15"/>
      <c r="N1017" s="15"/>
      <c r="T1017" s="15"/>
      <c r="U1017" s="15"/>
    </row>
    <row r="1018" spans="12:21">
      <c r="L1018" s="15"/>
      <c r="M1018" s="15"/>
      <c r="N1018" s="15"/>
      <c r="T1018" s="15"/>
      <c r="U1018" s="15"/>
    </row>
    <row r="1019" spans="12:21">
      <c r="L1019" s="15"/>
      <c r="M1019" s="15"/>
      <c r="N1019" s="15"/>
      <c r="T1019" s="15"/>
      <c r="U1019" s="15"/>
    </row>
    <row r="1020" spans="12:21">
      <c r="L1020" s="15"/>
      <c r="M1020" s="15"/>
      <c r="N1020" s="15"/>
      <c r="T1020" s="15"/>
      <c r="U1020" s="15"/>
    </row>
    <row r="1021" spans="12:21">
      <c r="L1021" s="15"/>
      <c r="M1021" s="15"/>
      <c r="N1021" s="15"/>
      <c r="T1021" s="15"/>
      <c r="U1021" s="15"/>
    </row>
    <row r="1022" spans="12:21">
      <c r="L1022" s="15"/>
      <c r="M1022" s="15"/>
      <c r="N1022" s="15"/>
      <c r="T1022" s="15"/>
      <c r="U1022" s="15"/>
    </row>
    <row r="1023" spans="12:21">
      <c r="L1023" s="15"/>
      <c r="M1023" s="15"/>
      <c r="N1023" s="15"/>
      <c r="T1023" s="15"/>
      <c r="U1023" s="15"/>
    </row>
    <row r="1024" spans="12:21">
      <c r="L1024" s="15"/>
      <c r="M1024" s="15"/>
      <c r="N1024" s="15"/>
      <c r="T1024" s="15"/>
      <c r="U1024" s="15"/>
    </row>
    <row r="1025" spans="12:21">
      <c r="L1025" s="15"/>
      <c r="M1025" s="15"/>
      <c r="N1025" s="15"/>
      <c r="T1025" s="15"/>
      <c r="U1025" s="15"/>
    </row>
    <row r="1026" spans="12:21">
      <c r="L1026" s="15"/>
      <c r="M1026" s="15"/>
      <c r="N1026" s="15"/>
      <c r="T1026" s="15"/>
      <c r="U1026" s="15"/>
    </row>
    <row r="1027" spans="12:21">
      <c r="L1027" s="15"/>
      <c r="M1027" s="15"/>
      <c r="N1027" s="15"/>
      <c r="T1027" s="15"/>
      <c r="U1027" s="15"/>
    </row>
    <row r="1028" spans="12:21">
      <c r="L1028" s="15"/>
      <c r="M1028" s="15"/>
      <c r="N1028" s="15"/>
      <c r="T1028" s="15"/>
      <c r="U1028" s="15"/>
    </row>
    <row r="1029" spans="12:21">
      <c r="L1029" s="15"/>
      <c r="M1029" s="15"/>
      <c r="N1029" s="15"/>
      <c r="T1029" s="15"/>
      <c r="U1029" s="15"/>
    </row>
    <row r="1030" spans="12:21">
      <c r="L1030" s="15"/>
      <c r="M1030" s="15"/>
      <c r="N1030" s="15"/>
      <c r="T1030" s="15"/>
      <c r="U1030" s="15"/>
    </row>
    <row r="1031" spans="12:21">
      <c r="L1031" s="15"/>
      <c r="M1031" s="15"/>
      <c r="N1031" s="15"/>
      <c r="T1031" s="15"/>
      <c r="U1031" s="15"/>
    </row>
    <row r="1032" spans="12:21">
      <c r="L1032" s="15"/>
      <c r="M1032" s="15"/>
      <c r="N1032" s="15"/>
      <c r="T1032" s="15"/>
      <c r="U1032" s="15"/>
    </row>
    <row r="1033" spans="12:21">
      <c r="L1033" s="15"/>
      <c r="M1033" s="15"/>
      <c r="N1033" s="15"/>
      <c r="T1033" s="15"/>
      <c r="U1033" s="15"/>
    </row>
    <row r="1034" spans="12:21">
      <c r="L1034" s="15"/>
      <c r="M1034" s="15"/>
      <c r="N1034" s="15"/>
      <c r="T1034" s="15"/>
      <c r="U1034" s="15"/>
    </row>
    <row r="1035" spans="12:21">
      <c r="L1035" s="15"/>
      <c r="M1035" s="15"/>
      <c r="N1035" s="15"/>
      <c r="T1035" s="15"/>
      <c r="U1035" s="15"/>
    </row>
    <row r="1036" spans="12:21">
      <c r="L1036" s="15"/>
      <c r="M1036" s="15"/>
      <c r="N1036" s="15"/>
      <c r="T1036" s="15"/>
      <c r="U1036" s="15"/>
    </row>
    <row r="1037" spans="12:21">
      <c r="L1037" s="15"/>
      <c r="M1037" s="15"/>
      <c r="N1037" s="15"/>
      <c r="T1037" s="15"/>
      <c r="U1037" s="15"/>
    </row>
    <row r="1038" spans="12:21">
      <c r="L1038" s="15"/>
      <c r="M1038" s="15"/>
      <c r="N1038" s="15"/>
      <c r="T1038" s="15"/>
      <c r="U1038" s="15"/>
    </row>
    <row r="1039" spans="12:21">
      <c r="L1039" s="15"/>
      <c r="M1039" s="15"/>
      <c r="N1039" s="15"/>
      <c r="T1039" s="15"/>
      <c r="U1039" s="15"/>
    </row>
    <row r="1040" spans="12:21">
      <c r="L1040" s="15"/>
      <c r="M1040" s="15"/>
      <c r="N1040" s="15"/>
      <c r="T1040" s="15"/>
      <c r="U1040" s="15"/>
    </row>
    <row r="1041" spans="12:21">
      <c r="L1041" s="15"/>
      <c r="M1041" s="15"/>
      <c r="N1041" s="15"/>
      <c r="T1041" s="15"/>
      <c r="U1041" s="15"/>
    </row>
    <row r="1042" spans="12:21">
      <c r="L1042" s="15"/>
      <c r="M1042" s="15"/>
      <c r="N1042" s="15"/>
      <c r="T1042" s="15"/>
      <c r="U1042" s="15"/>
    </row>
    <row r="1043" spans="12:21">
      <c r="L1043" s="15"/>
      <c r="M1043" s="15"/>
      <c r="N1043" s="15"/>
      <c r="T1043" s="15"/>
      <c r="U1043" s="15"/>
    </row>
    <row r="1044" spans="12:21">
      <c r="L1044" s="15"/>
      <c r="M1044" s="15"/>
      <c r="N1044" s="15"/>
      <c r="T1044" s="15"/>
      <c r="U1044" s="15"/>
    </row>
    <row r="1045" spans="12:21">
      <c r="L1045" s="15"/>
      <c r="M1045" s="15"/>
      <c r="N1045" s="15"/>
      <c r="T1045" s="15"/>
      <c r="U1045" s="15"/>
    </row>
    <row r="1046" spans="12:21">
      <c r="L1046" s="15"/>
      <c r="M1046" s="15"/>
      <c r="N1046" s="15"/>
      <c r="T1046" s="15"/>
      <c r="U1046" s="15"/>
    </row>
    <row r="1047" spans="12:21">
      <c r="L1047" s="15"/>
      <c r="M1047" s="15"/>
      <c r="N1047" s="15"/>
      <c r="T1047" s="15"/>
      <c r="U1047" s="15"/>
    </row>
    <row r="1048" spans="12:21">
      <c r="L1048" s="15"/>
      <c r="M1048" s="15"/>
      <c r="N1048" s="15"/>
      <c r="T1048" s="15"/>
      <c r="U1048" s="15"/>
    </row>
    <row r="1049" spans="12:21">
      <c r="L1049" s="15"/>
      <c r="M1049" s="15"/>
      <c r="N1049" s="15"/>
      <c r="T1049" s="15"/>
      <c r="U1049" s="15"/>
    </row>
    <row r="1050" spans="12:21">
      <c r="L1050" s="15"/>
      <c r="M1050" s="15"/>
      <c r="N1050" s="15"/>
      <c r="T1050" s="15"/>
      <c r="U1050" s="15"/>
    </row>
    <row r="1051" spans="12:21">
      <c r="L1051" s="15"/>
      <c r="M1051" s="15"/>
      <c r="N1051" s="15"/>
      <c r="T1051" s="15"/>
      <c r="U1051" s="15"/>
    </row>
    <row r="1052" spans="12:21">
      <c r="L1052" s="15"/>
      <c r="M1052" s="15"/>
      <c r="N1052" s="15"/>
      <c r="T1052" s="15"/>
      <c r="U1052" s="15"/>
    </row>
    <row r="1053" spans="12:21">
      <c r="L1053" s="15"/>
      <c r="M1053" s="15"/>
      <c r="N1053" s="15"/>
      <c r="T1053" s="15"/>
      <c r="U1053" s="15"/>
    </row>
    <row r="1054" spans="12:21">
      <c r="L1054" s="15"/>
      <c r="M1054" s="15"/>
      <c r="N1054" s="15"/>
      <c r="T1054" s="15"/>
      <c r="U1054" s="15"/>
    </row>
    <row r="1055" spans="12:21">
      <c r="L1055" s="15"/>
      <c r="M1055" s="15"/>
      <c r="N1055" s="15"/>
      <c r="T1055" s="15"/>
      <c r="U1055" s="15"/>
    </row>
    <row r="1056" spans="12:21">
      <c r="L1056" s="15"/>
      <c r="M1056" s="15"/>
      <c r="N1056" s="15"/>
      <c r="T1056" s="15"/>
      <c r="U1056" s="15"/>
    </row>
    <row r="1057" spans="12:21">
      <c r="L1057" s="15"/>
      <c r="M1057" s="15"/>
      <c r="N1057" s="15"/>
      <c r="T1057" s="15"/>
      <c r="U1057" s="15"/>
    </row>
    <row r="1058" spans="12:21">
      <c r="L1058" s="15"/>
      <c r="M1058" s="15"/>
      <c r="N1058" s="15"/>
      <c r="T1058" s="15"/>
      <c r="U1058" s="15"/>
    </row>
    <row r="1059" spans="12:21">
      <c r="L1059" s="15"/>
      <c r="M1059" s="15"/>
      <c r="N1059" s="15"/>
      <c r="T1059" s="15"/>
      <c r="U1059" s="15"/>
    </row>
    <row r="1060" spans="12:21">
      <c r="L1060" s="15"/>
      <c r="M1060" s="15"/>
      <c r="N1060" s="15"/>
      <c r="T1060" s="15"/>
      <c r="U1060" s="15"/>
    </row>
    <row r="1061" spans="12:21">
      <c r="L1061" s="15"/>
      <c r="M1061" s="15"/>
      <c r="N1061" s="15"/>
      <c r="T1061" s="15"/>
      <c r="U1061" s="15"/>
    </row>
    <row r="1062" spans="12:21">
      <c r="L1062" s="15"/>
      <c r="M1062" s="15"/>
      <c r="N1062" s="15"/>
      <c r="T1062" s="15"/>
      <c r="U1062" s="15"/>
    </row>
    <row r="1063" spans="12:21">
      <c r="L1063" s="15"/>
      <c r="M1063" s="15"/>
      <c r="N1063" s="15"/>
      <c r="T1063" s="15"/>
      <c r="U1063" s="15"/>
    </row>
    <row r="1064" spans="12:21">
      <c r="L1064" s="15"/>
      <c r="M1064" s="15"/>
      <c r="N1064" s="15"/>
      <c r="T1064" s="15"/>
      <c r="U1064" s="15"/>
    </row>
    <row r="1065" spans="12:21">
      <c r="L1065" s="15"/>
      <c r="M1065" s="15"/>
      <c r="N1065" s="15"/>
      <c r="T1065" s="15"/>
      <c r="U1065" s="15"/>
    </row>
    <row r="1066" spans="12:21">
      <c r="L1066" s="15"/>
      <c r="M1066" s="15"/>
      <c r="N1066" s="15"/>
      <c r="T1066" s="15"/>
      <c r="U1066" s="15"/>
    </row>
    <row r="1067" spans="12:21">
      <c r="L1067" s="15"/>
      <c r="M1067" s="15"/>
      <c r="N1067" s="15"/>
      <c r="T1067" s="15"/>
      <c r="U1067" s="15"/>
    </row>
    <row r="1068" spans="12:21">
      <c r="L1068" s="15"/>
      <c r="M1068" s="15"/>
      <c r="N1068" s="15"/>
      <c r="T1068" s="15"/>
      <c r="U1068" s="15"/>
    </row>
    <row r="1069" spans="12:21">
      <c r="L1069" s="15"/>
      <c r="M1069" s="15"/>
      <c r="N1069" s="15"/>
      <c r="T1069" s="15"/>
      <c r="U1069" s="15"/>
    </row>
    <row r="1070" spans="12:21">
      <c r="L1070" s="15"/>
      <c r="M1070" s="15"/>
      <c r="N1070" s="15"/>
      <c r="T1070" s="15"/>
      <c r="U1070" s="15"/>
    </row>
    <row r="1071" spans="12:21">
      <c r="L1071" s="15"/>
      <c r="M1071" s="15"/>
      <c r="N1071" s="15"/>
      <c r="T1071" s="15"/>
      <c r="U1071" s="15"/>
    </row>
    <row r="1072" spans="12:21">
      <c r="L1072" s="15"/>
      <c r="M1072" s="15"/>
      <c r="N1072" s="15"/>
      <c r="T1072" s="15"/>
      <c r="U1072" s="15"/>
    </row>
    <row r="1073" spans="12:21">
      <c r="L1073" s="15"/>
      <c r="M1073" s="15"/>
      <c r="N1073" s="15"/>
      <c r="T1073" s="15"/>
      <c r="U1073" s="15"/>
    </row>
    <row r="1074" spans="12:21">
      <c r="L1074" s="15"/>
      <c r="M1074" s="15"/>
      <c r="N1074" s="15"/>
      <c r="T1074" s="15"/>
      <c r="U1074" s="15"/>
    </row>
    <row r="1075" spans="12:21">
      <c r="L1075" s="15"/>
      <c r="M1075" s="15"/>
      <c r="N1075" s="15"/>
      <c r="T1075" s="15"/>
      <c r="U1075" s="15"/>
    </row>
    <row r="1076" spans="12:21">
      <c r="L1076" s="15"/>
      <c r="M1076" s="15"/>
      <c r="N1076" s="15"/>
      <c r="T1076" s="15"/>
      <c r="U1076" s="15"/>
    </row>
    <row r="1077" spans="12:21">
      <c r="L1077" s="15"/>
      <c r="M1077" s="15"/>
      <c r="N1077" s="15"/>
      <c r="T1077" s="15"/>
      <c r="U1077" s="15"/>
    </row>
    <row r="1078" spans="12:21">
      <c r="L1078" s="15"/>
      <c r="M1078" s="15"/>
      <c r="N1078" s="15"/>
      <c r="T1078" s="15"/>
      <c r="U1078" s="15"/>
    </row>
    <row r="1079" spans="12:21">
      <c r="L1079" s="15"/>
      <c r="M1079" s="15"/>
      <c r="N1079" s="15"/>
      <c r="T1079" s="15"/>
      <c r="U1079" s="15"/>
    </row>
    <row r="1080" spans="12:21">
      <c r="L1080" s="15"/>
      <c r="M1080" s="15"/>
      <c r="N1080" s="15"/>
      <c r="T1080" s="15"/>
      <c r="U1080" s="15"/>
    </row>
    <row r="1081" spans="12:21">
      <c r="L1081" s="15"/>
      <c r="M1081" s="15"/>
      <c r="N1081" s="15"/>
      <c r="T1081" s="15"/>
      <c r="U1081" s="15"/>
    </row>
    <row r="1082" spans="12:21">
      <c r="L1082" s="15"/>
      <c r="M1082" s="15"/>
      <c r="N1082" s="15"/>
      <c r="T1082" s="15"/>
      <c r="U1082" s="15"/>
    </row>
    <row r="1083" spans="12:21">
      <c r="L1083" s="15"/>
      <c r="M1083" s="15"/>
      <c r="N1083" s="15"/>
      <c r="T1083" s="15"/>
      <c r="U1083" s="15"/>
    </row>
    <row r="1084" spans="12:21">
      <c r="L1084" s="15"/>
      <c r="M1084" s="15"/>
      <c r="N1084" s="15"/>
      <c r="T1084" s="15"/>
      <c r="U1084" s="15"/>
    </row>
    <row r="1085" spans="12:21">
      <c r="L1085" s="15"/>
      <c r="M1085" s="15"/>
      <c r="N1085" s="15"/>
      <c r="T1085" s="15"/>
      <c r="U1085" s="15"/>
    </row>
    <row r="1086" spans="12:21">
      <c r="L1086" s="15"/>
      <c r="M1086" s="15"/>
      <c r="N1086" s="15"/>
      <c r="T1086" s="15"/>
      <c r="U1086" s="15"/>
    </row>
    <row r="1087" spans="12:21">
      <c r="L1087" s="15"/>
      <c r="M1087" s="15"/>
      <c r="N1087" s="15"/>
      <c r="T1087" s="15"/>
      <c r="U1087" s="15"/>
    </row>
    <row r="1088" spans="12:21">
      <c r="L1088" s="15"/>
      <c r="M1088" s="15"/>
      <c r="N1088" s="15"/>
      <c r="T1088" s="15"/>
      <c r="U1088" s="15"/>
    </row>
    <row r="1089" spans="12:21">
      <c r="L1089" s="15"/>
      <c r="M1089" s="15"/>
      <c r="N1089" s="15"/>
      <c r="T1089" s="15"/>
      <c r="U1089" s="15"/>
    </row>
    <row r="1090" spans="12:21">
      <c r="L1090" s="15"/>
      <c r="M1090" s="15"/>
      <c r="N1090" s="15"/>
      <c r="T1090" s="15"/>
      <c r="U1090" s="15"/>
    </row>
    <row r="1091" spans="12:21">
      <c r="L1091" s="15"/>
      <c r="M1091" s="15"/>
      <c r="N1091" s="15"/>
      <c r="T1091" s="15"/>
      <c r="U1091" s="15"/>
    </row>
    <row r="1092" spans="12:21">
      <c r="L1092" s="15"/>
      <c r="M1092" s="15"/>
      <c r="N1092" s="15"/>
      <c r="T1092" s="15"/>
      <c r="U1092" s="15"/>
    </row>
    <row r="1093" spans="12:21">
      <c r="L1093" s="15"/>
      <c r="M1093" s="15"/>
      <c r="N1093" s="15"/>
      <c r="T1093" s="15"/>
      <c r="U1093" s="15"/>
    </row>
    <row r="1094" spans="12:21">
      <c r="L1094" s="15"/>
      <c r="M1094" s="15"/>
      <c r="N1094" s="15"/>
      <c r="T1094" s="15"/>
      <c r="U1094" s="15"/>
    </row>
    <row r="1095" spans="12:21">
      <c r="L1095" s="15"/>
      <c r="M1095" s="15"/>
      <c r="N1095" s="15"/>
      <c r="T1095" s="15"/>
      <c r="U1095" s="15"/>
    </row>
    <row r="1096" spans="12:21">
      <c r="L1096" s="15"/>
      <c r="M1096" s="15"/>
      <c r="N1096" s="15"/>
      <c r="T1096" s="15"/>
      <c r="U1096" s="15"/>
    </row>
    <row r="1097" spans="12:21">
      <c r="L1097" s="15"/>
      <c r="M1097" s="15"/>
      <c r="N1097" s="15"/>
      <c r="T1097" s="15"/>
      <c r="U1097" s="15"/>
    </row>
    <row r="1098" spans="12:21">
      <c r="L1098" s="15"/>
      <c r="M1098" s="15"/>
      <c r="N1098" s="15"/>
      <c r="T1098" s="15"/>
      <c r="U1098" s="15"/>
    </row>
    <row r="1099" spans="12:21">
      <c r="L1099" s="15"/>
      <c r="M1099" s="15"/>
      <c r="N1099" s="15"/>
      <c r="T1099" s="15"/>
      <c r="U1099" s="15"/>
    </row>
    <row r="1100" spans="12:21">
      <c r="L1100" s="15"/>
      <c r="M1100" s="15"/>
      <c r="N1100" s="15"/>
      <c r="T1100" s="15"/>
      <c r="U1100" s="15"/>
    </row>
    <row r="1101" spans="12:21">
      <c r="L1101" s="15"/>
      <c r="M1101" s="15"/>
      <c r="N1101" s="15"/>
      <c r="T1101" s="15"/>
      <c r="U1101" s="15"/>
    </row>
    <row r="1102" spans="12:21">
      <c r="L1102" s="15"/>
      <c r="M1102" s="15"/>
      <c r="N1102" s="15"/>
      <c r="T1102" s="15"/>
      <c r="U1102" s="15"/>
    </row>
    <row r="1103" spans="12:21">
      <c r="L1103" s="15"/>
      <c r="M1103" s="15"/>
      <c r="N1103" s="15"/>
      <c r="T1103" s="15"/>
      <c r="U1103" s="15"/>
    </row>
    <row r="1104" spans="12:21">
      <c r="L1104" s="15"/>
      <c r="M1104" s="15"/>
      <c r="N1104" s="15"/>
      <c r="T1104" s="15"/>
      <c r="U1104" s="15"/>
    </row>
    <row r="1105" spans="12:21">
      <c r="L1105" s="15"/>
      <c r="M1105" s="15"/>
      <c r="N1105" s="15"/>
      <c r="T1105" s="15"/>
      <c r="U1105" s="15"/>
    </row>
    <row r="1106" spans="12:21">
      <c r="L1106" s="15"/>
      <c r="M1106" s="15"/>
      <c r="N1106" s="15"/>
      <c r="T1106" s="15"/>
      <c r="U1106" s="15"/>
    </row>
    <row r="1107" spans="12:21">
      <c r="L1107" s="15"/>
      <c r="M1107" s="15"/>
      <c r="N1107" s="15"/>
      <c r="T1107" s="15"/>
      <c r="U1107" s="15"/>
    </row>
    <row r="1108" spans="12:21">
      <c r="L1108" s="15"/>
      <c r="M1108" s="15"/>
      <c r="N1108" s="15"/>
      <c r="T1108" s="15"/>
      <c r="U1108" s="15"/>
    </row>
    <row r="1109" spans="12:21">
      <c r="L1109" s="15"/>
      <c r="M1109" s="15"/>
      <c r="N1109" s="15"/>
      <c r="T1109" s="15"/>
      <c r="U1109" s="15"/>
    </row>
    <row r="1110" spans="12:21">
      <c r="L1110" s="15"/>
      <c r="M1110" s="15"/>
      <c r="N1110" s="15"/>
      <c r="T1110" s="15"/>
      <c r="U1110" s="15"/>
    </row>
    <row r="1111" spans="12:21">
      <c r="L1111" s="15"/>
      <c r="M1111" s="15"/>
      <c r="N1111" s="15"/>
      <c r="T1111" s="15"/>
      <c r="U1111" s="15"/>
    </row>
    <row r="1112" spans="12:21">
      <c r="L1112" s="15"/>
      <c r="M1112" s="15"/>
      <c r="N1112" s="15"/>
      <c r="T1112" s="15"/>
      <c r="U1112" s="15"/>
    </row>
    <row r="1113" spans="12:21">
      <c r="L1113" s="15"/>
      <c r="M1113" s="15"/>
      <c r="N1113" s="15"/>
      <c r="T1113" s="15"/>
      <c r="U1113" s="15"/>
    </row>
    <row r="1114" spans="12:21">
      <c r="L1114" s="15"/>
      <c r="M1114" s="15"/>
      <c r="N1114" s="15"/>
      <c r="T1114" s="15"/>
      <c r="U1114" s="15"/>
    </row>
    <row r="1115" spans="12:21">
      <c r="L1115" s="15"/>
      <c r="M1115" s="15"/>
      <c r="N1115" s="15"/>
      <c r="T1115" s="15"/>
      <c r="U1115" s="15"/>
    </row>
    <row r="1116" spans="12:21">
      <c r="L1116" s="15"/>
      <c r="M1116" s="15"/>
      <c r="N1116" s="15"/>
      <c r="T1116" s="15"/>
      <c r="U1116" s="15"/>
    </row>
    <row r="1117" spans="12:21">
      <c r="L1117" s="15"/>
      <c r="M1117" s="15"/>
      <c r="N1117" s="15"/>
      <c r="T1117" s="15"/>
      <c r="U1117" s="15"/>
    </row>
    <row r="1118" spans="12:21">
      <c r="L1118" s="15"/>
      <c r="M1118" s="15"/>
      <c r="N1118" s="15"/>
      <c r="T1118" s="15"/>
      <c r="U1118" s="15"/>
    </row>
    <row r="1119" spans="12:21">
      <c r="L1119" s="15"/>
      <c r="M1119" s="15"/>
      <c r="N1119" s="15"/>
      <c r="T1119" s="15"/>
      <c r="U1119" s="15"/>
    </row>
    <row r="1120" spans="12:21">
      <c r="L1120" s="15"/>
      <c r="M1120" s="15"/>
      <c r="N1120" s="15"/>
      <c r="T1120" s="15"/>
      <c r="U1120" s="15"/>
    </row>
    <row r="1121" spans="12:21">
      <c r="L1121" s="15"/>
      <c r="M1121" s="15"/>
      <c r="N1121" s="15"/>
      <c r="T1121" s="15"/>
      <c r="U1121" s="15"/>
    </row>
    <row r="1122" spans="12:21">
      <c r="L1122" s="15"/>
      <c r="M1122" s="15"/>
      <c r="N1122" s="15"/>
      <c r="T1122" s="15"/>
      <c r="U1122" s="15"/>
    </row>
    <row r="1123" spans="12:21">
      <c r="L1123" s="15"/>
      <c r="M1123" s="15"/>
      <c r="N1123" s="15"/>
      <c r="T1123" s="15"/>
      <c r="U1123" s="15"/>
    </row>
    <row r="1124" spans="12:21">
      <c r="L1124" s="15"/>
      <c r="M1124" s="15"/>
      <c r="N1124" s="15"/>
      <c r="T1124" s="15"/>
      <c r="U1124" s="15"/>
    </row>
    <row r="1125" spans="12:21">
      <c r="L1125" s="15"/>
      <c r="M1125" s="15"/>
      <c r="N1125" s="15"/>
      <c r="T1125" s="15"/>
      <c r="U1125" s="15"/>
    </row>
    <row r="1126" spans="12:21">
      <c r="L1126" s="15"/>
      <c r="M1126" s="15"/>
      <c r="N1126" s="15"/>
      <c r="T1126" s="15"/>
      <c r="U1126" s="15"/>
    </row>
    <row r="1127" spans="12:21">
      <c r="L1127" s="15"/>
      <c r="M1127" s="15"/>
      <c r="N1127" s="15"/>
      <c r="T1127" s="15"/>
      <c r="U1127" s="15"/>
    </row>
    <row r="1128" spans="12:21">
      <c r="L1128" s="15"/>
      <c r="M1128" s="15"/>
      <c r="N1128" s="15"/>
      <c r="T1128" s="15"/>
      <c r="U1128" s="15"/>
    </row>
    <row r="1129" spans="12:21">
      <c r="L1129" s="15"/>
      <c r="M1129" s="15"/>
      <c r="N1129" s="15"/>
      <c r="T1129" s="15"/>
      <c r="U1129" s="15"/>
    </row>
    <row r="1130" spans="12:21">
      <c r="L1130" s="15"/>
      <c r="M1130" s="15"/>
      <c r="N1130" s="15"/>
      <c r="T1130" s="15"/>
      <c r="U1130" s="15"/>
    </row>
    <row r="1131" spans="12:21">
      <c r="L1131" s="15"/>
      <c r="M1131" s="15"/>
      <c r="N1131" s="15"/>
      <c r="T1131" s="15"/>
      <c r="U1131" s="15"/>
    </row>
    <row r="1132" spans="12:21">
      <c r="L1132" s="15"/>
      <c r="M1132" s="15"/>
      <c r="N1132" s="15"/>
      <c r="T1132" s="15"/>
      <c r="U1132" s="15"/>
    </row>
    <row r="1133" spans="12:21">
      <c r="L1133" s="15"/>
      <c r="M1133" s="15"/>
      <c r="N1133" s="15"/>
      <c r="T1133" s="15"/>
      <c r="U1133" s="15"/>
    </row>
    <row r="1134" spans="12:21">
      <c r="L1134" s="15"/>
      <c r="M1134" s="15"/>
      <c r="N1134" s="15"/>
      <c r="T1134" s="15"/>
      <c r="U1134" s="15"/>
    </row>
    <row r="1135" spans="12:21">
      <c r="L1135" s="15"/>
      <c r="M1135" s="15"/>
      <c r="N1135" s="15"/>
      <c r="T1135" s="15"/>
      <c r="U1135" s="15"/>
    </row>
    <row r="1136" spans="12:21">
      <c r="L1136" s="15"/>
      <c r="M1136" s="15"/>
      <c r="N1136" s="15"/>
      <c r="T1136" s="15"/>
      <c r="U1136" s="15"/>
    </row>
    <row r="1137" spans="12:21">
      <c r="L1137" s="15"/>
      <c r="M1137" s="15"/>
      <c r="N1137" s="15"/>
      <c r="T1137" s="15"/>
      <c r="U1137" s="15"/>
    </row>
    <row r="1138" spans="12:21">
      <c r="L1138" s="15"/>
      <c r="M1138" s="15"/>
      <c r="N1138" s="15"/>
      <c r="T1138" s="15"/>
      <c r="U1138" s="15"/>
    </row>
    <row r="1139" spans="12:21">
      <c r="L1139" s="15"/>
      <c r="M1139" s="15"/>
      <c r="N1139" s="15"/>
      <c r="T1139" s="15"/>
      <c r="U1139" s="15"/>
    </row>
    <row r="1140" spans="12:21">
      <c r="L1140" s="15"/>
      <c r="M1140" s="15"/>
      <c r="N1140" s="15"/>
      <c r="T1140" s="15"/>
      <c r="U1140" s="15"/>
    </row>
    <row r="1141" spans="12:21">
      <c r="L1141" s="15"/>
      <c r="M1141" s="15"/>
      <c r="N1141" s="15"/>
      <c r="T1141" s="15"/>
      <c r="U1141" s="15"/>
    </row>
    <row r="1142" spans="12:21">
      <c r="L1142" s="15"/>
      <c r="M1142" s="15"/>
      <c r="N1142" s="15"/>
      <c r="T1142" s="15"/>
      <c r="U1142" s="15"/>
    </row>
    <row r="1143" spans="12:21">
      <c r="L1143" s="15"/>
      <c r="M1143" s="15"/>
      <c r="N1143" s="15"/>
      <c r="T1143" s="15"/>
      <c r="U1143" s="15"/>
    </row>
    <row r="1144" spans="12:21">
      <c r="L1144" s="15"/>
      <c r="M1144" s="15"/>
      <c r="N1144" s="15"/>
      <c r="T1144" s="15"/>
      <c r="U1144" s="15"/>
    </row>
    <row r="1145" spans="12:21">
      <c r="L1145" s="15"/>
      <c r="M1145" s="15"/>
      <c r="N1145" s="15"/>
      <c r="T1145" s="15"/>
      <c r="U1145" s="15"/>
    </row>
    <row r="1146" spans="12:21">
      <c r="L1146" s="15"/>
      <c r="M1146" s="15"/>
      <c r="N1146" s="15"/>
      <c r="T1146" s="15"/>
      <c r="U1146" s="15"/>
    </row>
    <row r="1147" spans="12:21">
      <c r="L1147" s="15"/>
      <c r="M1147" s="15"/>
      <c r="N1147" s="15"/>
      <c r="T1147" s="15"/>
      <c r="U1147" s="15"/>
    </row>
    <row r="1148" spans="12:21">
      <c r="L1148" s="15"/>
      <c r="M1148" s="15"/>
      <c r="N1148" s="15"/>
      <c r="T1148" s="15"/>
      <c r="U1148" s="15"/>
    </row>
    <row r="1149" spans="12:21">
      <c r="L1149" s="15"/>
      <c r="M1149" s="15"/>
      <c r="N1149" s="15"/>
      <c r="T1149" s="15"/>
      <c r="U1149" s="15"/>
    </row>
    <row r="1150" spans="12:21">
      <c r="L1150" s="15"/>
      <c r="M1150" s="15"/>
      <c r="N1150" s="15"/>
      <c r="T1150" s="15"/>
      <c r="U1150" s="15"/>
    </row>
    <row r="1151" spans="12:21">
      <c r="L1151" s="15"/>
      <c r="M1151" s="15"/>
      <c r="N1151" s="15"/>
      <c r="T1151" s="15"/>
      <c r="U1151" s="15"/>
    </row>
    <row r="1152" spans="12:21">
      <c r="L1152" s="15"/>
      <c r="M1152" s="15"/>
      <c r="N1152" s="15"/>
      <c r="T1152" s="15"/>
      <c r="U1152" s="15"/>
    </row>
    <row r="1153" spans="12:21">
      <c r="L1153" s="15"/>
      <c r="M1153" s="15"/>
      <c r="N1153" s="15"/>
      <c r="T1153" s="15"/>
      <c r="U1153" s="15"/>
    </row>
    <row r="1154" spans="12:21">
      <c r="L1154" s="15"/>
      <c r="M1154" s="15"/>
      <c r="N1154" s="15"/>
      <c r="T1154" s="15"/>
      <c r="U1154" s="15"/>
    </row>
    <row r="1155" spans="12:21">
      <c r="L1155" s="15"/>
      <c r="M1155" s="15"/>
      <c r="N1155" s="15"/>
      <c r="T1155" s="15"/>
      <c r="U1155" s="15"/>
    </row>
    <row r="1156" spans="12:21">
      <c r="L1156" s="15"/>
      <c r="M1156" s="15"/>
      <c r="N1156" s="15"/>
      <c r="T1156" s="15"/>
      <c r="U1156" s="15"/>
    </row>
    <row r="1157" spans="12:21">
      <c r="L1157" s="15"/>
      <c r="M1157" s="15"/>
      <c r="N1157" s="15"/>
      <c r="T1157" s="15"/>
      <c r="U1157" s="15"/>
    </row>
    <row r="1158" spans="12:21">
      <c r="L1158" s="15"/>
      <c r="M1158" s="15"/>
      <c r="N1158" s="15"/>
      <c r="T1158" s="15"/>
      <c r="U1158" s="15"/>
    </row>
    <row r="1159" spans="12:21">
      <c r="L1159" s="15"/>
      <c r="M1159" s="15"/>
      <c r="N1159" s="15"/>
      <c r="T1159" s="15"/>
      <c r="U1159" s="15"/>
    </row>
    <row r="1160" spans="12:21">
      <c r="L1160" s="15"/>
      <c r="M1160" s="15"/>
      <c r="N1160" s="15"/>
      <c r="T1160" s="15"/>
      <c r="U1160" s="15"/>
    </row>
    <row r="1161" spans="12:21">
      <c r="L1161" s="15"/>
      <c r="M1161" s="15"/>
      <c r="N1161" s="15"/>
      <c r="T1161" s="15"/>
      <c r="U1161" s="15"/>
    </row>
    <row r="1162" spans="12:21">
      <c r="L1162" s="15"/>
      <c r="M1162" s="15"/>
      <c r="N1162" s="15"/>
      <c r="T1162" s="15"/>
      <c r="U1162" s="15"/>
    </row>
    <row r="1163" spans="12:21">
      <c r="L1163" s="15"/>
      <c r="M1163" s="15"/>
      <c r="N1163" s="15"/>
      <c r="T1163" s="15"/>
      <c r="U1163" s="15"/>
    </row>
    <row r="1164" spans="12:21">
      <c r="L1164" s="15"/>
      <c r="M1164" s="15"/>
      <c r="N1164" s="15"/>
      <c r="T1164" s="15"/>
      <c r="U1164" s="15"/>
    </row>
    <row r="1165" spans="12:21">
      <c r="L1165" s="15"/>
      <c r="M1165" s="15"/>
      <c r="N1165" s="15"/>
      <c r="T1165" s="15"/>
      <c r="U1165" s="15"/>
    </row>
    <row r="1166" spans="12:21">
      <c r="L1166" s="15"/>
      <c r="M1166" s="15"/>
      <c r="N1166" s="15"/>
      <c r="T1166" s="15"/>
      <c r="U1166" s="15"/>
    </row>
    <row r="1167" spans="12:21">
      <c r="L1167" s="15"/>
      <c r="M1167" s="15"/>
      <c r="N1167" s="15"/>
      <c r="T1167" s="15"/>
      <c r="U1167" s="15"/>
    </row>
    <row r="1168" spans="12:21">
      <c r="L1168" s="15"/>
      <c r="M1168" s="15"/>
      <c r="N1168" s="15"/>
      <c r="T1168" s="15"/>
      <c r="U1168" s="15"/>
    </row>
    <row r="1169" spans="12:21">
      <c r="L1169" s="15"/>
      <c r="M1169" s="15"/>
      <c r="N1169" s="15"/>
      <c r="T1169" s="15"/>
      <c r="U1169" s="15"/>
    </row>
    <row r="1170" spans="12:21">
      <c r="L1170" s="15"/>
      <c r="M1170" s="15"/>
      <c r="N1170" s="15"/>
      <c r="T1170" s="15"/>
      <c r="U1170" s="15"/>
    </row>
    <row r="1171" spans="12:21">
      <c r="L1171" s="15"/>
      <c r="M1171" s="15"/>
      <c r="N1171" s="15"/>
      <c r="T1171" s="15"/>
      <c r="U1171" s="15"/>
    </row>
    <row r="1172" spans="12:21">
      <c r="L1172" s="15"/>
      <c r="M1172" s="15"/>
      <c r="N1172" s="15"/>
      <c r="T1172" s="15"/>
      <c r="U1172" s="15"/>
    </row>
    <row r="1173" spans="12:21">
      <c r="L1173" s="15"/>
      <c r="M1173" s="15"/>
      <c r="N1173" s="15"/>
      <c r="T1173" s="15"/>
      <c r="U1173" s="15"/>
    </row>
    <row r="1174" spans="12:21">
      <c r="L1174" s="15"/>
      <c r="M1174" s="15"/>
      <c r="N1174" s="15"/>
      <c r="T1174" s="15"/>
      <c r="U1174" s="15"/>
    </row>
    <row r="1175" spans="12:21">
      <c r="L1175" s="15"/>
      <c r="M1175" s="15"/>
      <c r="N1175" s="15"/>
      <c r="T1175" s="15"/>
      <c r="U1175" s="15"/>
    </row>
    <row r="1176" spans="12:21">
      <c r="L1176" s="15"/>
      <c r="M1176" s="15"/>
      <c r="N1176" s="15"/>
      <c r="T1176" s="15"/>
      <c r="U1176" s="15"/>
    </row>
    <row r="1177" spans="12:21">
      <c r="L1177" s="15"/>
      <c r="M1177" s="15"/>
      <c r="N1177" s="15"/>
      <c r="T1177" s="15"/>
      <c r="U1177" s="15"/>
    </row>
    <row r="1178" spans="12:21">
      <c r="L1178" s="15"/>
      <c r="M1178" s="15"/>
      <c r="N1178" s="15"/>
      <c r="T1178" s="15"/>
      <c r="U1178" s="15"/>
    </row>
    <row r="1179" spans="12:21">
      <c r="L1179" s="15"/>
      <c r="M1179" s="15"/>
      <c r="N1179" s="15"/>
      <c r="T1179" s="15"/>
      <c r="U1179" s="15"/>
    </row>
    <row r="1180" spans="12:21">
      <c r="L1180" s="15"/>
      <c r="M1180" s="15"/>
      <c r="N1180" s="15"/>
      <c r="T1180" s="15"/>
      <c r="U1180" s="15"/>
    </row>
    <row r="1181" spans="12:21">
      <c r="L1181" s="15"/>
      <c r="M1181" s="15"/>
      <c r="N1181" s="15"/>
      <c r="T1181" s="15"/>
      <c r="U1181" s="15"/>
    </row>
    <row r="1182" spans="12:21">
      <c r="L1182" s="15"/>
      <c r="M1182" s="15"/>
      <c r="N1182" s="15"/>
      <c r="T1182" s="15"/>
      <c r="U1182" s="15"/>
    </row>
    <row r="1183" spans="12:21">
      <c r="L1183" s="15"/>
      <c r="M1183" s="15"/>
      <c r="N1183" s="15"/>
      <c r="T1183" s="15"/>
      <c r="U1183" s="15"/>
    </row>
    <row r="1184" spans="12:21">
      <c r="L1184" s="15"/>
      <c r="M1184" s="15"/>
      <c r="N1184" s="15"/>
      <c r="T1184" s="15"/>
      <c r="U1184" s="15"/>
    </row>
    <row r="1185" spans="12:21">
      <c r="L1185" s="15"/>
      <c r="M1185" s="15"/>
      <c r="N1185" s="15"/>
      <c r="T1185" s="15"/>
      <c r="U1185" s="15"/>
    </row>
    <row r="1186" spans="12:21">
      <c r="L1186" s="15"/>
      <c r="M1186" s="15"/>
      <c r="N1186" s="15"/>
      <c r="T1186" s="15"/>
      <c r="U1186" s="15"/>
    </row>
    <row r="1187" spans="12:21">
      <c r="L1187" s="15"/>
      <c r="M1187" s="15"/>
      <c r="N1187" s="15"/>
      <c r="T1187" s="15"/>
      <c r="U1187" s="15"/>
    </row>
    <row r="1188" spans="12:21">
      <c r="L1188" s="15"/>
      <c r="M1188" s="15"/>
      <c r="N1188" s="15"/>
      <c r="T1188" s="15"/>
      <c r="U1188" s="15"/>
    </row>
    <row r="1189" spans="12:21">
      <c r="L1189" s="15"/>
      <c r="M1189" s="15"/>
      <c r="N1189" s="15"/>
      <c r="T1189" s="15"/>
      <c r="U1189" s="15"/>
    </row>
    <row r="1190" spans="12:21">
      <c r="L1190" s="15"/>
      <c r="M1190" s="15"/>
      <c r="N1190" s="15"/>
      <c r="T1190" s="15"/>
      <c r="U1190" s="15"/>
    </row>
    <row r="1191" spans="12:21">
      <c r="L1191" s="15"/>
      <c r="M1191" s="15"/>
      <c r="N1191" s="15"/>
      <c r="T1191" s="15"/>
      <c r="U1191" s="15"/>
    </row>
    <row r="1192" spans="12:21">
      <c r="L1192" s="15"/>
      <c r="M1192" s="15"/>
      <c r="N1192" s="15"/>
      <c r="T1192" s="15"/>
      <c r="U1192" s="15"/>
    </row>
    <row r="1193" spans="12:21">
      <c r="L1193" s="15"/>
      <c r="M1193" s="15"/>
      <c r="N1193" s="15"/>
      <c r="T1193" s="15"/>
      <c r="U1193" s="15"/>
    </row>
    <row r="1194" spans="12:21">
      <c r="L1194" s="15"/>
      <c r="M1194" s="15"/>
      <c r="N1194" s="15"/>
      <c r="T1194" s="15"/>
      <c r="U1194" s="15"/>
    </row>
    <row r="1195" spans="12:21">
      <c r="L1195" s="15"/>
      <c r="M1195" s="15"/>
      <c r="N1195" s="15"/>
      <c r="T1195" s="15"/>
      <c r="U1195" s="15"/>
    </row>
    <row r="1196" spans="12:21">
      <c r="L1196" s="15"/>
      <c r="M1196" s="15"/>
      <c r="N1196" s="15"/>
      <c r="T1196" s="15"/>
      <c r="U1196" s="15"/>
    </row>
    <row r="1197" spans="12:21">
      <c r="L1197" s="15"/>
      <c r="M1197" s="15"/>
      <c r="N1197" s="15"/>
      <c r="T1197" s="15"/>
      <c r="U1197" s="15"/>
    </row>
    <row r="1198" spans="12:21">
      <c r="L1198" s="15"/>
      <c r="M1198" s="15"/>
      <c r="N1198" s="15"/>
      <c r="T1198" s="15"/>
      <c r="U1198" s="15"/>
    </row>
    <row r="1199" spans="12:21">
      <c r="L1199" s="15"/>
      <c r="M1199" s="15"/>
      <c r="N1199" s="15"/>
      <c r="T1199" s="15"/>
      <c r="U1199" s="15"/>
    </row>
    <row r="1200" spans="12:21">
      <c r="L1200" s="15"/>
      <c r="M1200" s="15"/>
      <c r="N1200" s="15"/>
      <c r="T1200" s="15"/>
      <c r="U1200" s="15"/>
    </row>
    <row r="1201" spans="12:21">
      <c r="L1201" s="15"/>
      <c r="M1201" s="15"/>
      <c r="N1201" s="15"/>
      <c r="T1201" s="15"/>
      <c r="U1201" s="15"/>
    </row>
    <row r="1202" spans="12:21">
      <c r="L1202" s="15"/>
      <c r="M1202" s="15"/>
      <c r="N1202" s="15"/>
      <c r="T1202" s="15"/>
      <c r="U1202" s="15"/>
    </row>
    <row r="1203" spans="12:21">
      <c r="L1203" s="15"/>
      <c r="M1203" s="15"/>
      <c r="N1203" s="15"/>
      <c r="T1203" s="15"/>
      <c r="U1203" s="15"/>
    </row>
    <row r="1204" spans="12:21">
      <c r="L1204" s="15"/>
      <c r="M1204" s="15"/>
      <c r="N1204" s="15"/>
      <c r="T1204" s="15"/>
      <c r="U1204" s="15"/>
    </row>
    <row r="1205" spans="12:21">
      <c r="L1205" s="15"/>
      <c r="M1205" s="15"/>
      <c r="N1205" s="15"/>
      <c r="T1205" s="15"/>
      <c r="U1205" s="15"/>
    </row>
    <row r="1206" spans="12:21">
      <c r="L1206" s="15"/>
      <c r="M1206" s="15"/>
      <c r="N1206" s="15"/>
      <c r="T1206" s="15"/>
      <c r="U1206" s="15"/>
    </row>
    <row r="1207" spans="12:21">
      <c r="L1207" s="15"/>
      <c r="M1207" s="15"/>
      <c r="N1207" s="15"/>
      <c r="T1207" s="15"/>
      <c r="U1207" s="15"/>
    </row>
    <row r="1208" spans="12:21">
      <c r="L1208" s="15"/>
      <c r="M1208" s="15"/>
      <c r="N1208" s="15"/>
      <c r="T1208" s="15"/>
      <c r="U1208" s="15"/>
    </row>
    <row r="1209" spans="12:21">
      <c r="L1209" s="15"/>
      <c r="M1209" s="15"/>
      <c r="N1209" s="15"/>
      <c r="T1209" s="15"/>
      <c r="U1209" s="15"/>
    </row>
    <row r="1210" spans="12:21">
      <c r="L1210" s="15"/>
      <c r="M1210" s="15"/>
      <c r="N1210" s="15"/>
      <c r="T1210" s="15"/>
      <c r="U1210" s="15"/>
    </row>
    <row r="1211" spans="12:21">
      <c r="L1211" s="15"/>
      <c r="M1211" s="15"/>
      <c r="N1211" s="15"/>
      <c r="T1211" s="15"/>
      <c r="U1211" s="15"/>
    </row>
    <row r="1212" spans="12:21">
      <c r="L1212" s="15"/>
      <c r="M1212" s="15"/>
      <c r="N1212" s="15"/>
      <c r="T1212" s="15"/>
      <c r="U1212" s="15"/>
    </row>
    <row r="1213" spans="12:21">
      <c r="L1213" s="15"/>
      <c r="M1213" s="15"/>
      <c r="N1213" s="15"/>
      <c r="T1213" s="15"/>
      <c r="U1213" s="15"/>
    </row>
    <row r="1214" spans="12:21">
      <c r="L1214" s="15"/>
      <c r="M1214" s="15"/>
      <c r="N1214" s="15"/>
      <c r="T1214" s="15"/>
      <c r="U1214" s="15"/>
    </row>
    <row r="1215" spans="12:21">
      <c r="L1215" s="15"/>
      <c r="M1215" s="15"/>
      <c r="N1215" s="15"/>
      <c r="T1215" s="15"/>
      <c r="U1215" s="15"/>
    </row>
    <row r="1216" spans="12:21">
      <c r="L1216" s="15"/>
      <c r="M1216" s="15"/>
      <c r="N1216" s="15"/>
      <c r="T1216" s="15"/>
      <c r="U1216" s="15"/>
    </row>
    <row r="1217" spans="12:21">
      <c r="L1217" s="15"/>
      <c r="M1217" s="15"/>
      <c r="N1217" s="15"/>
      <c r="T1217" s="15"/>
      <c r="U1217" s="15"/>
    </row>
    <row r="1218" spans="12:21">
      <c r="L1218" s="15"/>
      <c r="M1218" s="15"/>
      <c r="N1218" s="15"/>
      <c r="T1218" s="15"/>
      <c r="U1218" s="15"/>
    </row>
    <row r="1219" spans="12:21">
      <c r="L1219" s="15"/>
      <c r="M1219" s="15"/>
      <c r="N1219" s="15"/>
      <c r="T1219" s="15"/>
      <c r="U1219" s="15"/>
    </row>
    <row r="1220" spans="12:21">
      <c r="L1220" s="15"/>
      <c r="M1220" s="15"/>
      <c r="N1220" s="15"/>
      <c r="T1220" s="15"/>
      <c r="U1220" s="15"/>
    </row>
    <row r="1221" spans="12:21">
      <c r="L1221" s="15"/>
      <c r="M1221" s="15"/>
      <c r="N1221" s="15"/>
      <c r="T1221" s="15"/>
      <c r="U1221" s="15"/>
    </row>
    <row r="1222" spans="12:21">
      <c r="L1222" s="15"/>
      <c r="M1222" s="15"/>
      <c r="N1222" s="15"/>
      <c r="T1222" s="15"/>
      <c r="U1222" s="15"/>
    </row>
    <row r="1223" spans="12:21">
      <c r="L1223" s="15"/>
      <c r="M1223" s="15"/>
      <c r="N1223" s="15"/>
      <c r="T1223" s="15"/>
      <c r="U1223" s="15"/>
    </row>
    <row r="1224" spans="12:21">
      <c r="L1224" s="15"/>
      <c r="M1224" s="15"/>
      <c r="N1224" s="15"/>
      <c r="T1224" s="15"/>
      <c r="U1224" s="15"/>
    </row>
    <row r="1225" spans="12:21">
      <c r="L1225" s="15"/>
      <c r="M1225" s="15"/>
      <c r="N1225" s="15"/>
      <c r="T1225" s="15"/>
      <c r="U1225" s="15"/>
    </row>
    <row r="1226" spans="12:21">
      <c r="L1226" s="15"/>
      <c r="M1226" s="15"/>
      <c r="N1226" s="15"/>
      <c r="T1226" s="15"/>
      <c r="U1226" s="15"/>
    </row>
    <row r="1227" spans="12:21">
      <c r="L1227" s="15"/>
      <c r="M1227" s="15"/>
      <c r="N1227" s="15"/>
      <c r="T1227" s="15"/>
      <c r="U1227" s="15"/>
    </row>
    <row r="1228" spans="12:21">
      <c r="L1228" s="15"/>
      <c r="M1228" s="15"/>
      <c r="N1228" s="15"/>
      <c r="T1228" s="15"/>
      <c r="U1228" s="15"/>
    </row>
    <row r="1229" spans="12:21">
      <c r="L1229" s="15"/>
      <c r="M1229" s="15"/>
      <c r="N1229" s="15"/>
      <c r="T1229" s="15"/>
      <c r="U1229" s="15"/>
    </row>
    <row r="1230" spans="12:21">
      <c r="L1230" s="15"/>
      <c r="M1230" s="15"/>
      <c r="N1230" s="15"/>
      <c r="T1230" s="15"/>
      <c r="U1230" s="15"/>
    </row>
    <row r="1231" spans="12:21">
      <c r="L1231" s="15"/>
      <c r="M1231" s="15"/>
      <c r="N1231" s="15"/>
      <c r="T1231" s="15"/>
      <c r="U1231" s="15"/>
    </row>
    <row r="1232" spans="12:21">
      <c r="L1232" s="15"/>
      <c r="M1232" s="15"/>
      <c r="N1232" s="15"/>
      <c r="T1232" s="15"/>
      <c r="U1232" s="15"/>
    </row>
    <row r="1233" spans="12:21">
      <c r="L1233" s="15"/>
      <c r="M1233" s="15"/>
      <c r="N1233" s="15"/>
      <c r="T1233" s="15"/>
      <c r="U1233" s="15"/>
    </row>
    <row r="1234" spans="12:21">
      <c r="L1234" s="15"/>
      <c r="M1234" s="15"/>
      <c r="N1234" s="15"/>
      <c r="T1234" s="15"/>
      <c r="U1234" s="15"/>
    </row>
    <row r="1235" spans="12:21">
      <c r="L1235" s="15"/>
      <c r="M1235" s="15"/>
      <c r="N1235" s="15"/>
      <c r="T1235" s="15"/>
      <c r="U1235" s="15"/>
    </row>
    <row r="1236" spans="12:21">
      <c r="L1236" s="15"/>
      <c r="M1236" s="15"/>
      <c r="N1236" s="15"/>
      <c r="T1236" s="15"/>
      <c r="U1236" s="15"/>
    </row>
    <row r="1237" spans="12:21">
      <c r="L1237" s="15"/>
      <c r="M1237" s="15"/>
      <c r="N1237" s="15"/>
      <c r="T1237" s="15"/>
      <c r="U1237" s="15"/>
    </row>
    <row r="1238" spans="12:21">
      <c r="L1238" s="15"/>
      <c r="M1238" s="15"/>
      <c r="N1238" s="15"/>
      <c r="T1238" s="15"/>
      <c r="U1238" s="15"/>
    </row>
    <row r="1239" spans="12:21">
      <c r="L1239" s="15"/>
      <c r="M1239" s="15"/>
      <c r="N1239" s="15"/>
      <c r="T1239" s="15"/>
      <c r="U1239" s="15"/>
    </row>
    <row r="1240" spans="12:21">
      <c r="L1240" s="15"/>
      <c r="M1240" s="15"/>
      <c r="N1240" s="15"/>
      <c r="T1240" s="15"/>
      <c r="U1240" s="15"/>
    </row>
    <row r="1241" spans="12:21">
      <c r="L1241" s="15"/>
      <c r="M1241" s="15"/>
      <c r="N1241" s="15"/>
      <c r="T1241" s="15"/>
      <c r="U1241" s="15"/>
    </row>
    <row r="1242" spans="12:21">
      <c r="L1242" s="15"/>
      <c r="M1242" s="15"/>
      <c r="N1242" s="15"/>
      <c r="T1242" s="15"/>
      <c r="U1242" s="15"/>
    </row>
    <row r="1243" spans="12:21">
      <c r="L1243" s="15"/>
      <c r="M1243" s="15"/>
      <c r="N1243" s="15"/>
      <c r="T1243" s="15"/>
      <c r="U1243" s="15"/>
    </row>
    <row r="1244" spans="12:21">
      <c r="L1244" s="15"/>
      <c r="M1244" s="15"/>
      <c r="N1244" s="15"/>
      <c r="T1244" s="15"/>
      <c r="U1244" s="15"/>
    </row>
    <row r="1245" spans="12:21">
      <c r="L1245" s="15"/>
      <c r="M1245" s="15"/>
      <c r="N1245" s="15"/>
      <c r="T1245" s="15"/>
      <c r="U1245" s="15"/>
    </row>
    <row r="1246" spans="12:21">
      <c r="L1246" s="15"/>
      <c r="M1246" s="15"/>
      <c r="N1246" s="15"/>
      <c r="T1246" s="15"/>
      <c r="U1246" s="15"/>
    </row>
    <row r="1247" spans="12:21">
      <c r="L1247" s="15"/>
      <c r="M1247" s="15"/>
      <c r="N1247" s="15"/>
      <c r="T1247" s="15"/>
      <c r="U1247" s="15"/>
    </row>
    <row r="1248" spans="12:21">
      <c r="L1248" s="15"/>
      <c r="M1248" s="15"/>
      <c r="N1248" s="15"/>
      <c r="T1248" s="15"/>
      <c r="U1248" s="15"/>
    </row>
    <row r="1249" spans="12:21">
      <c r="L1249" s="15"/>
      <c r="M1249" s="15"/>
      <c r="N1249" s="15"/>
      <c r="T1249" s="15"/>
      <c r="U1249" s="15"/>
    </row>
    <row r="1250" spans="12:21">
      <c r="L1250" s="15"/>
      <c r="M1250" s="15"/>
      <c r="N1250" s="15"/>
      <c r="T1250" s="15"/>
      <c r="U1250" s="15"/>
    </row>
    <row r="1251" spans="12:21">
      <c r="L1251" s="15"/>
      <c r="M1251" s="15"/>
      <c r="N1251" s="15"/>
      <c r="T1251" s="15"/>
      <c r="U1251" s="15"/>
    </row>
    <row r="1252" spans="12:21">
      <c r="L1252" s="15"/>
      <c r="M1252" s="15"/>
      <c r="N1252" s="15"/>
      <c r="T1252" s="15"/>
      <c r="U1252" s="15"/>
    </row>
    <row r="1253" spans="12:21">
      <c r="L1253" s="15"/>
      <c r="M1253" s="15"/>
      <c r="N1253" s="15"/>
      <c r="T1253" s="15"/>
      <c r="U1253" s="15"/>
    </row>
    <row r="1254" spans="12:21">
      <c r="L1254" s="15"/>
      <c r="M1254" s="15"/>
      <c r="N1254" s="15"/>
      <c r="T1254" s="15"/>
      <c r="U1254" s="15"/>
    </row>
    <row r="1255" spans="12:21">
      <c r="L1255" s="15"/>
      <c r="M1255" s="15"/>
      <c r="N1255" s="15"/>
      <c r="T1255" s="15"/>
      <c r="U1255" s="15"/>
    </row>
    <row r="1256" spans="12:21">
      <c r="L1256" s="15"/>
      <c r="M1256" s="15"/>
      <c r="N1256" s="15"/>
      <c r="T1256" s="15"/>
      <c r="U1256" s="15"/>
    </row>
    <row r="1257" spans="12:21">
      <c r="L1257" s="15"/>
      <c r="M1257" s="15"/>
      <c r="N1257" s="15"/>
      <c r="T1257" s="15"/>
      <c r="U1257" s="15"/>
    </row>
    <row r="1258" spans="12:21">
      <c r="L1258" s="15"/>
      <c r="M1258" s="15"/>
      <c r="N1258" s="15"/>
      <c r="T1258" s="15"/>
      <c r="U1258" s="15"/>
    </row>
    <row r="1259" spans="12:21">
      <c r="L1259" s="15"/>
      <c r="M1259" s="15"/>
      <c r="N1259" s="15"/>
      <c r="T1259" s="15"/>
      <c r="U1259" s="15"/>
    </row>
    <row r="1260" spans="12:21">
      <c r="L1260" s="15"/>
      <c r="M1260" s="15"/>
      <c r="N1260" s="15"/>
      <c r="T1260" s="15"/>
      <c r="U1260" s="15"/>
    </row>
    <row r="1261" spans="12:21">
      <c r="L1261" s="15"/>
      <c r="M1261" s="15"/>
      <c r="N1261" s="15"/>
      <c r="T1261" s="15"/>
      <c r="U1261" s="15"/>
    </row>
    <row r="1262" spans="12:21">
      <c r="L1262" s="15"/>
      <c r="M1262" s="15"/>
      <c r="N1262" s="15"/>
      <c r="T1262" s="15"/>
      <c r="U1262" s="15"/>
    </row>
    <row r="1263" spans="12:21">
      <c r="L1263" s="15"/>
      <c r="M1263" s="15"/>
      <c r="N1263" s="15"/>
      <c r="T1263" s="15"/>
      <c r="U1263" s="15"/>
    </row>
    <row r="1264" spans="12:21">
      <c r="L1264" s="15"/>
      <c r="M1264" s="15"/>
      <c r="N1264" s="15"/>
      <c r="T1264" s="15"/>
      <c r="U1264" s="15"/>
    </row>
    <row r="1265" spans="12:21">
      <c r="L1265" s="15"/>
      <c r="M1265" s="15"/>
      <c r="N1265" s="15"/>
      <c r="T1265" s="15"/>
      <c r="U1265" s="15"/>
    </row>
    <row r="1266" spans="12:21">
      <c r="L1266" s="15"/>
      <c r="M1266" s="15"/>
      <c r="N1266" s="15"/>
      <c r="T1266" s="15"/>
      <c r="U1266" s="15"/>
    </row>
    <row r="1267" spans="12:21">
      <c r="L1267" s="15"/>
      <c r="M1267" s="15"/>
      <c r="N1267" s="15"/>
      <c r="T1267" s="15"/>
      <c r="U1267" s="15"/>
    </row>
    <row r="1268" spans="12:21">
      <c r="L1268" s="15"/>
      <c r="M1268" s="15"/>
      <c r="N1268" s="15"/>
      <c r="T1268" s="15"/>
      <c r="U1268" s="15"/>
    </row>
    <row r="1269" spans="12:21">
      <c r="L1269" s="15"/>
      <c r="M1269" s="15"/>
      <c r="N1269" s="15"/>
      <c r="T1269" s="15"/>
      <c r="U1269" s="15"/>
    </row>
    <row r="1270" spans="12:21">
      <c r="L1270" s="15"/>
      <c r="M1270" s="15"/>
      <c r="N1270" s="15"/>
      <c r="T1270" s="15"/>
      <c r="U1270" s="15"/>
    </row>
    <row r="1271" spans="12:21">
      <c r="L1271" s="15"/>
      <c r="M1271" s="15"/>
      <c r="N1271" s="15"/>
      <c r="T1271" s="15"/>
      <c r="U1271" s="15"/>
    </row>
    <row r="1272" spans="12:21">
      <c r="L1272" s="15"/>
      <c r="M1272" s="15"/>
      <c r="N1272" s="15"/>
      <c r="T1272" s="15"/>
      <c r="U1272" s="15"/>
    </row>
    <row r="1273" spans="12:21">
      <c r="L1273" s="15"/>
      <c r="M1273" s="15"/>
      <c r="N1273" s="15"/>
      <c r="T1273" s="15"/>
      <c r="U1273" s="15"/>
    </row>
    <row r="1274" spans="12:21">
      <c r="L1274" s="15"/>
      <c r="M1274" s="15"/>
      <c r="N1274" s="15"/>
      <c r="T1274" s="15"/>
      <c r="U1274" s="15"/>
    </row>
    <row r="1275" spans="12:21">
      <c r="L1275" s="15"/>
      <c r="M1275" s="15"/>
      <c r="N1275" s="15"/>
      <c r="T1275" s="15"/>
      <c r="U1275" s="15"/>
    </row>
    <row r="1276" spans="12:21">
      <c r="L1276" s="15"/>
      <c r="M1276" s="15"/>
      <c r="N1276" s="15"/>
      <c r="T1276" s="15"/>
      <c r="U1276" s="15"/>
    </row>
    <row r="1277" spans="12:21">
      <c r="L1277" s="15"/>
      <c r="M1277" s="15"/>
      <c r="N1277" s="15"/>
      <c r="T1277" s="15"/>
      <c r="U1277" s="15"/>
    </row>
    <row r="1278" spans="12:21">
      <c r="L1278" s="15"/>
      <c r="M1278" s="15"/>
      <c r="N1278" s="15"/>
      <c r="T1278" s="15"/>
      <c r="U1278" s="15"/>
    </row>
    <row r="1279" spans="12:21">
      <c r="L1279" s="15"/>
      <c r="M1279" s="15"/>
      <c r="N1279" s="15"/>
      <c r="T1279" s="15"/>
      <c r="U1279" s="15"/>
    </row>
    <row r="1280" spans="12:21">
      <c r="L1280" s="15"/>
      <c r="M1280" s="15"/>
      <c r="N1280" s="15"/>
      <c r="T1280" s="15"/>
      <c r="U1280" s="15"/>
    </row>
    <row r="1281" spans="12:21">
      <c r="L1281" s="15"/>
      <c r="M1281" s="15"/>
      <c r="N1281" s="15"/>
      <c r="T1281" s="15"/>
      <c r="U1281" s="15"/>
    </row>
    <row r="1282" spans="12:21">
      <c r="L1282" s="15"/>
      <c r="M1282" s="15"/>
      <c r="N1282" s="15"/>
      <c r="T1282" s="15"/>
      <c r="U1282" s="15"/>
    </row>
    <row r="1283" spans="12:21">
      <c r="L1283" s="15"/>
      <c r="M1283" s="15"/>
      <c r="N1283" s="15"/>
      <c r="T1283" s="15"/>
      <c r="U1283" s="15"/>
    </row>
    <row r="1284" spans="12:21">
      <c r="L1284" s="15"/>
      <c r="M1284" s="15"/>
      <c r="N1284" s="15"/>
      <c r="T1284" s="15"/>
      <c r="U1284" s="15"/>
    </row>
    <row r="1285" spans="12:21">
      <c r="L1285" s="15"/>
      <c r="M1285" s="15"/>
      <c r="N1285" s="15"/>
      <c r="T1285" s="15"/>
      <c r="U1285" s="15"/>
    </row>
    <row r="1286" spans="12:21">
      <c r="L1286" s="15"/>
      <c r="M1286" s="15"/>
      <c r="N1286" s="15"/>
      <c r="T1286" s="15"/>
      <c r="U1286" s="15"/>
    </row>
    <row r="1287" spans="12:21">
      <c r="L1287" s="15"/>
      <c r="M1287" s="15"/>
      <c r="N1287" s="15"/>
      <c r="T1287" s="15"/>
      <c r="U1287" s="15"/>
    </row>
    <row r="1288" spans="12:21">
      <c r="L1288" s="15"/>
      <c r="M1288" s="15"/>
      <c r="N1288" s="15"/>
      <c r="T1288" s="15"/>
      <c r="U1288" s="15"/>
    </row>
    <row r="1289" spans="12:21">
      <c r="L1289" s="15"/>
      <c r="M1289" s="15"/>
      <c r="N1289" s="15"/>
      <c r="T1289" s="15"/>
      <c r="U1289" s="15"/>
    </row>
    <row r="1290" spans="12:21">
      <c r="L1290" s="15"/>
      <c r="M1290" s="15"/>
      <c r="N1290" s="15"/>
      <c r="T1290" s="15"/>
      <c r="U1290" s="15"/>
    </row>
    <row r="1291" spans="12:21">
      <c r="L1291" s="15"/>
      <c r="M1291" s="15"/>
      <c r="N1291" s="15"/>
      <c r="T1291" s="15"/>
      <c r="U1291" s="15"/>
    </row>
    <row r="1292" spans="12:21">
      <c r="L1292" s="15"/>
      <c r="M1292" s="15"/>
      <c r="N1292" s="15"/>
      <c r="T1292" s="15"/>
      <c r="U1292" s="15"/>
    </row>
    <row r="1293" spans="12:21">
      <c r="L1293" s="15"/>
      <c r="M1293" s="15"/>
      <c r="N1293" s="15"/>
      <c r="T1293" s="15"/>
      <c r="U1293" s="15"/>
    </row>
    <row r="1294" spans="12:21">
      <c r="L1294" s="15"/>
      <c r="M1294" s="15"/>
      <c r="N1294" s="15"/>
      <c r="T1294" s="15"/>
      <c r="U1294" s="15"/>
    </row>
    <row r="1295" spans="12:21">
      <c r="L1295" s="15"/>
      <c r="M1295" s="15"/>
      <c r="N1295" s="15"/>
      <c r="T1295" s="15"/>
      <c r="U1295" s="15"/>
    </row>
    <row r="1296" spans="12:21">
      <c r="L1296" s="15"/>
      <c r="M1296" s="15"/>
      <c r="N1296" s="15"/>
      <c r="T1296" s="15"/>
      <c r="U1296" s="15"/>
    </row>
    <row r="1297" spans="12:21">
      <c r="L1297" s="15"/>
      <c r="M1297" s="15"/>
      <c r="N1297" s="15"/>
      <c r="T1297" s="15"/>
      <c r="U1297" s="15"/>
    </row>
    <row r="1298" spans="12:21">
      <c r="L1298" s="15"/>
      <c r="M1298" s="15"/>
      <c r="N1298" s="15"/>
      <c r="T1298" s="15"/>
      <c r="U1298" s="15"/>
    </row>
    <row r="1299" spans="12:21">
      <c r="L1299" s="15"/>
      <c r="M1299" s="15"/>
      <c r="N1299" s="15"/>
      <c r="T1299" s="15"/>
      <c r="U1299" s="15"/>
    </row>
    <row r="1300" spans="12:21">
      <c r="L1300" s="15"/>
      <c r="M1300" s="15"/>
      <c r="N1300" s="15"/>
      <c r="T1300" s="15"/>
      <c r="U1300" s="15"/>
    </row>
    <row r="1301" spans="12:21">
      <c r="L1301" s="15"/>
      <c r="M1301" s="15"/>
      <c r="N1301" s="15"/>
      <c r="T1301" s="15"/>
      <c r="U1301" s="15"/>
    </row>
    <row r="1302" spans="12:21">
      <c r="L1302" s="15"/>
      <c r="M1302" s="15"/>
      <c r="N1302" s="15"/>
      <c r="T1302" s="15"/>
      <c r="U1302" s="15"/>
    </row>
    <row r="1303" spans="12:21">
      <c r="L1303" s="15"/>
      <c r="M1303" s="15"/>
      <c r="N1303" s="15"/>
      <c r="T1303" s="15"/>
      <c r="U1303" s="15"/>
    </row>
    <row r="1304" spans="12:21">
      <c r="L1304" s="15"/>
      <c r="M1304" s="15"/>
      <c r="N1304" s="15"/>
      <c r="T1304" s="15"/>
      <c r="U1304" s="15"/>
    </row>
    <row r="1305" spans="12:21">
      <c r="L1305" s="15"/>
      <c r="M1305" s="15"/>
      <c r="N1305" s="15"/>
      <c r="T1305" s="15"/>
      <c r="U1305" s="15"/>
    </row>
    <row r="1306" spans="12:21">
      <c r="L1306" s="15"/>
      <c r="M1306" s="15"/>
      <c r="N1306" s="15"/>
      <c r="T1306" s="15"/>
      <c r="U1306" s="15"/>
    </row>
    <row r="1307" spans="12:21">
      <c r="L1307" s="15"/>
      <c r="M1307" s="15"/>
      <c r="N1307" s="15"/>
      <c r="T1307" s="15"/>
      <c r="U1307" s="15"/>
    </row>
    <row r="1308" spans="12:21">
      <c r="L1308" s="15"/>
      <c r="M1308" s="15"/>
      <c r="N1308" s="15"/>
      <c r="T1308" s="15"/>
      <c r="U1308" s="15"/>
    </row>
    <row r="1309" spans="12:21">
      <c r="L1309" s="15"/>
      <c r="M1309" s="15"/>
      <c r="N1309" s="15"/>
      <c r="T1309" s="15"/>
      <c r="U1309" s="15"/>
    </row>
    <row r="1310" spans="12:21">
      <c r="L1310" s="15"/>
      <c r="M1310" s="15"/>
      <c r="N1310" s="15"/>
      <c r="T1310" s="15"/>
      <c r="U1310" s="15"/>
    </row>
    <row r="1311" spans="12:21">
      <c r="L1311" s="15"/>
      <c r="M1311" s="15"/>
      <c r="N1311" s="15"/>
      <c r="T1311" s="15"/>
      <c r="U1311" s="15"/>
    </row>
    <row r="1312" spans="12:21">
      <c r="L1312" s="15"/>
      <c r="M1312" s="15"/>
      <c r="N1312" s="15"/>
      <c r="T1312" s="15"/>
      <c r="U1312" s="15"/>
    </row>
    <row r="1313" spans="12:21">
      <c r="L1313" s="15"/>
      <c r="M1313" s="15"/>
      <c r="N1313" s="15"/>
      <c r="T1313" s="15"/>
      <c r="U1313" s="15"/>
    </row>
    <row r="1314" spans="12:21">
      <c r="L1314" s="15"/>
      <c r="M1314" s="15"/>
      <c r="N1314" s="15"/>
      <c r="T1314" s="15"/>
      <c r="U1314" s="15"/>
    </row>
    <row r="1315" spans="12:21">
      <c r="L1315" s="15"/>
      <c r="M1315" s="15"/>
      <c r="N1315" s="15"/>
      <c r="T1315" s="15"/>
      <c r="U1315" s="15"/>
    </row>
    <row r="1316" spans="12:21">
      <c r="L1316" s="15"/>
      <c r="M1316" s="15"/>
      <c r="N1316" s="15"/>
      <c r="T1316" s="15"/>
      <c r="U1316" s="15"/>
    </row>
    <row r="1317" spans="12:21">
      <c r="L1317" s="15"/>
      <c r="M1317" s="15"/>
      <c r="N1317" s="15"/>
      <c r="T1317" s="15"/>
      <c r="U1317" s="15"/>
    </row>
    <row r="1318" spans="12:21">
      <c r="L1318" s="15"/>
      <c r="M1318" s="15"/>
      <c r="N1318" s="15"/>
      <c r="T1318" s="15"/>
      <c r="U1318" s="15"/>
    </row>
    <row r="1319" spans="12:21">
      <c r="L1319" s="15"/>
      <c r="M1319" s="15"/>
      <c r="N1319" s="15"/>
      <c r="T1319" s="15"/>
      <c r="U1319" s="15"/>
    </row>
    <row r="1320" spans="12:21">
      <c r="L1320" s="15"/>
      <c r="M1320" s="15"/>
      <c r="N1320" s="15"/>
      <c r="T1320" s="15"/>
      <c r="U1320" s="15"/>
    </row>
    <row r="1321" spans="12:21">
      <c r="L1321" s="15"/>
      <c r="M1321" s="15"/>
      <c r="N1321" s="15"/>
      <c r="T1321" s="15"/>
      <c r="U1321" s="15"/>
    </row>
    <row r="1322" spans="12:21">
      <c r="L1322" s="15"/>
      <c r="M1322" s="15"/>
      <c r="N1322" s="15"/>
      <c r="T1322" s="15"/>
      <c r="U1322" s="15"/>
    </row>
    <row r="1323" spans="12:21">
      <c r="L1323" s="15"/>
      <c r="M1323" s="15"/>
      <c r="N1323" s="15"/>
      <c r="T1323" s="15"/>
      <c r="U1323" s="15"/>
    </row>
    <row r="1324" spans="12:21">
      <c r="L1324" s="15"/>
      <c r="M1324" s="15"/>
      <c r="N1324" s="15"/>
      <c r="T1324" s="15"/>
      <c r="U1324" s="15"/>
    </row>
    <row r="1325" spans="12:21">
      <c r="L1325" s="15"/>
      <c r="M1325" s="15"/>
      <c r="N1325" s="15"/>
      <c r="T1325" s="15"/>
      <c r="U1325" s="15"/>
    </row>
    <row r="1326" spans="12:21">
      <c r="L1326" s="15"/>
      <c r="M1326" s="15"/>
      <c r="N1326" s="15"/>
      <c r="T1326" s="15"/>
      <c r="U1326" s="15"/>
    </row>
    <row r="1327" spans="12:21">
      <c r="L1327" s="15"/>
      <c r="M1327" s="15"/>
      <c r="N1327" s="15"/>
      <c r="T1327" s="15"/>
      <c r="U1327" s="15"/>
    </row>
    <row r="1328" spans="12:21">
      <c r="L1328" s="15"/>
      <c r="M1328" s="15"/>
      <c r="N1328" s="15"/>
      <c r="T1328" s="15"/>
      <c r="U1328" s="15"/>
    </row>
    <row r="1329" spans="12:21">
      <c r="L1329" s="15"/>
      <c r="M1329" s="15"/>
      <c r="N1329" s="15"/>
      <c r="T1329" s="15"/>
      <c r="U1329" s="15"/>
    </row>
    <row r="1330" spans="12:21">
      <c r="L1330" s="15"/>
      <c r="M1330" s="15"/>
      <c r="N1330" s="15"/>
      <c r="T1330" s="15"/>
      <c r="U1330" s="15"/>
    </row>
    <row r="1331" spans="12:21">
      <c r="L1331" s="15"/>
      <c r="M1331" s="15"/>
      <c r="N1331" s="15"/>
      <c r="T1331" s="15"/>
      <c r="U1331" s="15"/>
    </row>
    <row r="1332" spans="12:21">
      <c r="L1332" s="15"/>
      <c r="M1332" s="15"/>
      <c r="N1332" s="15"/>
      <c r="T1332" s="15"/>
      <c r="U1332" s="15"/>
    </row>
    <row r="1333" spans="12:21">
      <c r="L1333" s="15"/>
      <c r="M1333" s="15"/>
      <c r="N1333" s="15"/>
      <c r="T1333" s="15"/>
      <c r="U1333" s="15"/>
    </row>
    <row r="1334" spans="12:21">
      <c r="L1334" s="15"/>
      <c r="M1334" s="15"/>
      <c r="N1334" s="15"/>
      <c r="T1334" s="15"/>
      <c r="U1334" s="15"/>
    </row>
    <row r="1335" spans="12:21">
      <c r="L1335" s="15"/>
      <c r="M1335" s="15"/>
      <c r="N1335" s="15"/>
      <c r="T1335" s="15"/>
      <c r="U1335" s="15"/>
    </row>
    <row r="1336" spans="12:21">
      <c r="L1336" s="15"/>
      <c r="M1336" s="15"/>
      <c r="N1336" s="15"/>
      <c r="T1336" s="15"/>
      <c r="U1336" s="15"/>
    </row>
    <row r="1337" spans="12:21">
      <c r="L1337" s="15"/>
      <c r="M1337" s="15"/>
      <c r="N1337" s="15"/>
      <c r="T1337" s="15"/>
      <c r="U1337" s="15"/>
    </row>
    <row r="1338" spans="12:21">
      <c r="L1338" s="15"/>
      <c r="M1338" s="15"/>
      <c r="N1338" s="15"/>
      <c r="T1338" s="15"/>
      <c r="U1338" s="15"/>
    </row>
    <row r="1339" spans="12:21">
      <c r="L1339" s="15"/>
      <c r="M1339" s="15"/>
      <c r="N1339" s="15"/>
      <c r="T1339" s="15"/>
      <c r="U1339" s="15"/>
    </row>
    <row r="1340" spans="12:21">
      <c r="L1340" s="15"/>
      <c r="M1340" s="15"/>
      <c r="N1340" s="15"/>
      <c r="T1340" s="15"/>
      <c r="U1340" s="15"/>
    </row>
    <row r="1341" spans="12:21">
      <c r="L1341" s="15"/>
      <c r="M1341" s="15"/>
      <c r="N1341" s="15"/>
      <c r="T1341" s="15"/>
      <c r="U1341" s="15"/>
    </row>
    <row r="1342" spans="12:21">
      <c r="L1342" s="15"/>
      <c r="M1342" s="15"/>
      <c r="N1342" s="15"/>
      <c r="T1342" s="15"/>
      <c r="U1342" s="15"/>
    </row>
    <row r="1343" spans="12:21">
      <c r="L1343" s="15"/>
      <c r="M1343" s="15"/>
      <c r="N1343" s="15"/>
      <c r="T1343" s="15"/>
      <c r="U1343" s="15"/>
    </row>
    <row r="1344" spans="12:21">
      <c r="L1344" s="15"/>
      <c r="M1344" s="15"/>
      <c r="N1344" s="15"/>
      <c r="T1344" s="15"/>
      <c r="U1344" s="15"/>
    </row>
    <row r="1345" spans="12:21">
      <c r="L1345" s="15"/>
      <c r="M1345" s="15"/>
      <c r="N1345" s="15"/>
      <c r="T1345" s="15"/>
      <c r="U1345" s="15"/>
    </row>
    <row r="1346" spans="12:21">
      <c r="L1346" s="15"/>
      <c r="M1346" s="15"/>
      <c r="N1346" s="15"/>
      <c r="T1346" s="15"/>
      <c r="U1346" s="15"/>
    </row>
    <row r="1347" spans="12:21">
      <c r="L1347" s="15"/>
      <c r="M1347" s="15"/>
      <c r="N1347" s="15"/>
      <c r="T1347" s="15"/>
      <c r="U1347" s="15"/>
    </row>
    <row r="1348" spans="12:21">
      <c r="L1348" s="15"/>
      <c r="M1348" s="15"/>
      <c r="N1348" s="15"/>
      <c r="T1348" s="15"/>
      <c r="U1348" s="15"/>
    </row>
    <row r="1349" spans="12:21">
      <c r="L1349" s="15"/>
      <c r="M1349" s="15"/>
      <c r="N1349" s="15"/>
      <c r="T1349" s="15"/>
      <c r="U1349" s="15"/>
    </row>
    <row r="1350" spans="12:21">
      <c r="L1350" s="15"/>
      <c r="M1350" s="15"/>
      <c r="N1350" s="15"/>
      <c r="T1350" s="15"/>
      <c r="U1350" s="15"/>
    </row>
    <row r="1351" spans="12:21">
      <c r="L1351" s="15"/>
      <c r="M1351" s="15"/>
      <c r="N1351" s="15"/>
      <c r="T1351" s="15"/>
      <c r="U1351" s="15"/>
    </row>
    <row r="1352" spans="12:21">
      <c r="L1352" s="15"/>
      <c r="M1352" s="15"/>
      <c r="N1352" s="15"/>
      <c r="T1352" s="15"/>
      <c r="U1352" s="15"/>
    </row>
    <row r="1353" spans="12:21">
      <c r="L1353" s="15"/>
      <c r="M1353" s="15"/>
      <c r="N1353" s="15"/>
      <c r="T1353" s="15"/>
      <c r="U1353" s="15"/>
    </row>
    <row r="1354" spans="12:21">
      <c r="L1354" s="15"/>
      <c r="M1354" s="15"/>
      <c r="N1354" s="15"/>
      <c r="T1354" s="15"/>
      <c r="U1354" s="15"/>
    </row>
    <row r="1355" spans="12:21">
      <c r="L1355" s="15"/>
      <c r="M1355" s="15"/>
      <c r="N1355" s="15"/>
      <c r="T1355" s="15"/>
      <c r="U1355" s="15"/>
    </row>
    <row r="1356" spans="12:21">
      <c r="L1356" s="15"/>
      <c r="M1356" s="15"/>
      <c r="N1356" s="15"/>
      <c r="T1356" s="15"/>
      <c r="U1356" s="15"/>
    </row>
    <row r="1357" spans="12:21">
      <c r="L1357" s="15"/>
      <c r="M1357" s="15"/>
      <c r="N1357" s="15"/>
      <c r="T1357" s="15"/>
      <c r="U1357" s="15"/>
    </row>
    <row r="1358" spans="12:21">
      <c r="L1358" s="15"/>
      <c r="M1358" s="15"/>
      <c r="N1358" s="15"/>
      <c r="T1358" s="15"/>
      <c r="U1358" s="15"/>
    </row>
    <row r="1359" spans="12:21">
      <c r="L1359" s="15"/>
      <c r="M1359" s="15"/>
      <c r="N1359" s="15"/>
      <c r="T1359" s="15"/>
      <c r="U1359" s="15"/>
    </row>
    <row r="1360" spans="12:21">
      <c r="L1360" s="15"/>
      <c r="M1360" s="15"/>
      <c r="N1360" s="15"/>
      <c r="T1360" s="15"/>
      <c r="U1360" s="15"/>
    </row>
    <row r="1361" spans="12:21">
      <c r="L1361" s="15"/>
      <c r="M1361" s="15"/>
      <c r="N1361" s="15"/>
      <c r="T1361" s="15"/>
      <c r="U1361" s="15"/>
    </row>
    <row r="1362" spans="12:21">
      <c r="L1362" s="15"/>
      <c r="M1362" s="15"/>
      <c r="N1362" s="15"/>
      <c r="T1362" s="15"/>
      <c r="U1362" s="15"/>
    </row>
    <row r="1363" spans="12:21">
      <c r="L1363" s="15"/>
      <c r="M1363" s="15"/>
      <c r="N1363" s="15"/>
      <c r="T1363" s="15"/>
      <c r="U1363" s="15"/>
    </row>
    <row r="1364" spans="12:21">
      <c r="L1364" s="15"/>
      <c r="M1364" s="15"/>
      <c r="N1364" s="15"/>
      <c r="T1364" s="15"/>
      <c r="U1364" s="15"/>
    </row>
    <row r="1365" spans="12:21">
      <c r="L1365" s="15"/>
      <c r="M1365" s="15"/>
      <c r="N1365" s="15"/>
      <c r="T1365" s="15"/>
      <c r="U1365" s="15"/>
    </row>
    <row r="1366" spans="12:21">
      <c r="L1366" s="15"/>
      <c r="M1366" s="15"/>
      <c r="N1366" s="15"/>
      <c r="T1366" s="15"/>
      <c r="U1366" s="15"/>
    </row>
    <row r="1367" spans="12:21">
      <c r="L1367" s="15"/>
      <c r="M1367" s="15"/>
      <c r="N1367" s="15"/>
      <c r="T1367" s="15"/>
      <c r="U1367" s="15"/>
    </row>
    <row r="1368" spans="12:21">
      <c r="L1368" s="15"/>
      <c r="M1368" s="15"/>
      <c r="N1368" s="15"/>
      <c r="T1368" s="15"/>
      <c r="U1368" s="15"/>
    </row>
    <row r="1369" spans="12:21">
      <c r="L1369" s="15"/>
      <c r="M1369" s="15"/>
      <c r="N1369" s="15"/>
      <c r="T1369" s="15"/>
      <c r="U1369" s="15"/>
    </row>
    <row r="1370" spans="12:21">
      <c r="L1370" s="15"/>
      <c r="M1370" s="15"/>
      <c r="N1370" s="15"/>
      <c r="T1370" s="15"/>
      <c r="U1370" s="15"/>
    </row>
    <row r="1371" spans="12:21">
      <c r="L1371" s="15"/>
      <c r="M1371" s="15"/>
      <c r="N1371" s="15"/>
      <c r="T1371" s="15"/>
      <c r="U1371" s="15"/>
    </row>
    <row r="1372" spans="12:21">
      <c r="L1372" s="15"/>
      <c r="M1372" s="15"/>
      <c r="N1372" s="15"/>
      <c r="T1372" s="15"/>
      <c r="U1372" s="15"/>
    </row>
    <row r="1373" spans="12:21">
      <c r="L1373" s="15"/>
      <c r="M1373" s="15"/>
      <c r="N1373" s="15"/>
      <c r="T1373" s="15"/>
      <c r="U1373" s="15"/>
    </row>
    <row r="1374" spans="12:21">
      <c r="L1374" s="15"/>
      <c r="M1374" s="15"/>
      <c r="N1374" s="15"/>
      <c r="T1374" s="15"/>
      <c r="U1374" s="15"/>
    </row>
    <row r="1375" spans="12:21">
      <c r="L1375" s="15"/>
      <c r="M1375" s="15"/>
      <c r="N1375" s="15"/>
      <c r="T1375" s="15"/>
      <c r="U1375" s="15"/>
    </row>
    <row r="1376" spans="12:21">
      <c r="L1376" s="15"/>
      <c r="M1376" s="15"/>
      <c r="N1376" s="15"/>
      <c r="T1376" s="15"/>
      <c r="U1376" s="15"/>
    </row>
    <row r="1377" spans="12:21">
      <c r="L1377" s="15"/>
      <c r="M1377" s="15"/>
      <c r="N1377" s="15"/>
      <c r="T1377" s="15"/>
      <c r="U1377" s="15"/>
    </row>
    <row r="1378" spans="12:21">
      <c r="L1378" s="15"/>
      <c r="M1378" s="15"/>
      <c r="N1378" s="15"/>
      <c r="T1378" s="15"/>
      <c r="U1378" s="15"/>
    </row>
    <row r="1379" spans="12:21">
      <c r="L1379" s="15"/>
      <c r="M1379" s="15"/>
      <c r="N1379" s="15"/>
      <c r="T1379" s="15"/>
      <c r="U1379" s="15"/>
    </row>
    <row r="1380" spans="12:21">
      <c r="L1380" s="15"/>
      <c r="M1380" s="15"/>
      <c r="N1380" s="15"/>
      <c r="T1380" s="15"/>
      <c r="U1380" s="15"/>
    </row>
    <row r="1381" spans="12:21">
      <c r="L1381" s="15"/>
      <c r="M1381" s="15"/>
      <c r="N1381" s="15"/>
      <c r="T1381" s="15"/>
      <c r="U1381" s="15"/>
    </row>
    <row r="1382" spans="12:21">
      <c r="L1382" s="15"/>
      <c r="M1382" s="15"/>
      <c r="N1382" s="15"/>
      <c r="T1382" s="15"/>
      <c r="U1382" s="15"/>
    </row>
    <row r="1383" spans="12:21">
      <c r="L1383" s="15"/>
      <c r="M1383" s="15"/>
      <c r="N1383" s="15"/>
      <c r="T1383" s="15"/>
      <c r="U1383" s="15"/>
    </row>
    <row r="1384" spans="12:21">
      <c r="L1384" s="15"/>
      <c r="M1384" s="15"/>
      <c r="N1384" s="15"/>
      <c r="T1384" s="15"/>
      <c r="U1384" s="15"/>
    </row>
    <row r="1385" spans="12:21">
      <c r="L1385" s="15"/>
      <c r="M1385" s="15"/>
      <c r="N1385" s="15"/>
      <c r="T1385" s="15"/>
      <c r="U1385" s="15"/>
    </row>
    <row r="1386" spans="12:21">
      <c r="L1386" s="15"/>
      <c r="M1386" s="15"/>
      <c r="N1386" s="15"/>
      <c r="T1386" s="15"/>
      <c r="U1386" s="15"/>
    </row>
    <row r="1387" spans="12:21">
      <c r="L1387" s="15"/>
      <c r="M1387" s="15"/>
      <c r="N1387" s="15"/>
      <c r="T1387" s="15"/>
      <c r="U1387" s="15"/>
    </row>
    <row r="1388" spans="12:21">
      <c r="L1388" s="15"/>
      <c r="M1388" s="15"/>
      <c r="N1388" s="15"/>
      <c r="T1388" s="15"/>
      <c r="U1388" s="15"/>
    </row>
    <row r="1389" spans="12:21">
      <c r="L1389" s="15"/>
      <c r="M1389" s="15"/>
      <c r="N1389" s="15"/>
      <c r="T1389" s="15"/>
      <c r="U1389" s="15"/>
    </row>
    <row r="1390" spans="12:21">
      <c r="L1390" s="15"/>
      <c r="M1390" s="15"/>
      <c r="N1390" s="15"/>
      <c r="T1390" s="15"/>
      <c r="U1390" s="15"/>
    </row>
    <row r="1391" spans="12:21">
      <c r="L1391" s="15"/>
      <c r="M1391" s="15"/>
      <c r="N1391" s="15"/>
      <c r="T1391" s="15"/>
      <c r="U1391" s="15"/>
    </row>
    <row r="1392" spans="12:21">
      <c r="L1392" s="15"/>
      <c r="M1392" s="15"/>
      <c r="N1392" s="15"/>
      <c r="T1392" s="15"/>
      <c r="U1392" s="15"/>
    </row>
    <row r="1393" spans="12:21">
      <c r="L1393" s="15"/>
      <c r="M1393" s="15"/>
      <c r="N1393" s="15"/>
      <c r="T1393" s="15"/>
      <c r="U1393" s="15"/>
    </row>
    <row r="1394" spans="12:21">
      <c r="L1394" s="15"/>
      <c r="M1394" s="15"/>
      <c r="N1394" s="15"/>
      <c r="T1394" s="15"/>
      <c r="U1394" s="15"/>
    </row>
    <row r="1395" spans="12:21">
      <c r="L1395" s="15"/>
      <c r="M1395" s="15"/>
      <c r="N1395" s="15"/>
      <c r="T1395" s="15"/>
      <c r="U1395" s="15"/>
    </row>
    <row r="1396" spans="12:21">
      <c r="L1396" s="15"/>
      <c r="M1396" s="15"/>
      <c r="N1396" s="15"/>
      <c r="T1396" s="15"/>
      <c r="U1396" s="15"/>
    </row>
    <row r="1397" spans="12:21">
      <c r="L1397" s="15"/>
      <c r="M1397" s="15"/>
      <c r="N1397" s="15"/>
      <c r="T1397" s="15"/>
      <c r="U1397" s="15"/>
    </row>
    <row r="1398" spans="12:21">
      <c r="L1398" s="15"/>
      <c r="M1398" s="15"/>
      <c r="N1398" s="15"/>
      <c r="T1398" s="15"/>
      <c r="U1398" s="15"/>
    </row>
    <row r="1399" spans="12:21">
      <c r="L1399" s="15"/>
      <c r="M1399" s="15"/>
      <c r="N1399" s="15"/>
      <c r="T1399" s="15"/>
      <c r="U1399" s="15"/>
    </row>
    <row r="1400" spans="12:21">
      <c r="L1400" s="15"/>
      <c r="M1400" s="15"/>
      <c r="N1400" s="15"/>
      <c r="T1400" s="15"/>
      <c r="U1400" s="15"/>
    </row>
    <row r="1401" spans="12:21">
      <c r="L1401" s="15"/>
      <c r="M1401" s="15"/>
      <c r="N1401" s="15"/>
      <c r="T1401" s="15"/>
      <c r="U1401" s="15"/>
    </row>
    <row r="1402" spans="12:21">
      <c r="L1402" s="15"/>
      <c r="M1402" s="15"/>
      <c r="N1402" s="15"/>
      <c r="T1402" s="15"/>
      <c r="U1402" s="15"/>
    </row>
    <row r="1403" spans="12:21">
      <c r="L1403" s="15"/>
      <c r="M1403" s="15"/>
      <c r="N1403" s="15"/>
      <c r="T1403" s="15"/>
      <c r="U1403" s="15"/>
    </row>
    <row r="1404" spans="12:21">
      <c r="L1404" s="15"/>
      <c r="M1404" s="15"/>
      <c r="N1404" s="15"/>
      <c r="T1404" s="15"/>
      <c r="U1404" s="15"/>
    </row>
    <row r="1405" spans="12:21">
      <c r="L1405" s="15"/>
      <c r="M1405" s="15"/>
      <c r="N1405" s="15"/>
      <c r="T1405" s="15"/>
      <c r="U1405" s="15"/>
    </row>
    <row r="1406" spans="12:21">
      <c r="L1406" s="15"/>
      <c r="M1406" s="15"/>
      <c r="N1406" s="15"/>
      <c r="T1406" s="15"/>
      <c r="U1406" s="15"/>
    </row>
    <row r="1407" spans="12:21">
      <c r="L1407" s="15"/>
      <c r="M1407" s="15"/>
      <c r="N1407" s="15"/>
      <c r="T1407" s="15"/>
      <c r="U1407" s="15"/>
    </row>
    <row r="1408" spans="12:21">
      <c r="L1408" s="15"/>
      <c r="M1408" s="15"/>
      <c r="N1408" s="15"/>
      <c r="T1408" s="15"/>
      <c r="U1408" s="15"/>
    </row>
    <row r="1409" spans="12:21">
      <c r="L1409" s="15"/>
      <c r="M1409" s="15"/>
      <c r="N1409" s="15"/>
      <c r="T1409" s="15"/>
      <c r="U1409" s="15"/>
    </row>
    <row r="1410" spans="12:21">
      <c r="L1410" s="15"/>
      <c r="M1410" s="15"/>
      <c r="N1410" s="15"/>
      <c r="T1410" s="15"/>
      <c r="U1410" s="15"/>
    </row>
    <row r="1411" spans="12:21">
      <c r="L1411" s="15"/>
      <c r="M1411" s="15"/>
      <c r="N1411" s="15"/>
      <c r="T1411" s="15"/>
      <c r="U1411" s="15"/>
    </row>
    <row r="1412" spans="12:21">
      <c r="L1412" s="15"/>
      <c r="M1412" s="15"/>
      <c r="N1412" s="15"/>
      <c r="T1412" s="15"/>
      <c r="U1412" s="15"/>
    </row>
    <row r="1413" spans="12:21">
      <c r="L1413" s="15"/>
      <c r="M1413" s="15"/>
      <c r="N1413" s="15"/>
      <c r="T1413" s="15"/>
      <c r="U1413" s="15"/>
    </row>
    <row r="1414" spans="12:21">
      <c r="L1414" s="15"/>
      <c r="M1414" s="15"/>
      <c r="N1414" s="15"/>
      <c r="T1414" s="15"/>
      <c r="U1414" s="15"/>
    </row>
    <row r="1415" spans="12:21">
      <c r="L1415" s="15"/>
      <c r="M1415" s="15"/>
      <c r="N1415" s="15"/>
      <c r="T1415" s="15"/>
      <c r="U1415" s="15"/>
    </row>
    <row r="1416" spans="12:21">
      <c r="L1416" s="15"/>
      <c r="M1416" s="15"/>
      <c r="N1416" s="15"/>
      <c r="T1416" s="15"/>
      <c r="U1416" s="15"/>
    </row>
    <row r="1417" spans="12:21">
      <c r="L1417" s="15"/>
      <c r="M1417" s="15"/>
      <c r="N1417" s="15"/>
      <c r="T1417" s="15"/>
      <c r="U1417" s="15"/>
    </row>
    <row r="1418" spans="12:21">
      <c r="L1418" s="15"/>
      <c r="M1418" s="15"/>
      <c r="N1418" s="15"/>
      <c r="T1418" s="15"/>
      <c r="U1418" s="15"/>
    </row>
    <row r="1419" spans="12:21">
      <c r="L1419" s="15"/>
      <c r="M1419" s="15"/>
      <c r="N1419" s="15"/>
      <c r="T1419" s="15"/>
      <c r="U1419" s="15"/>
    </row>
    <row r="1420" spans="12:21">
      <c r="L1420" s="15"/>
      <c r="M1420" s="15"/>
      <c r="N1420" s="15"/>
      <c r="T1420" s="15"/>
      <c r="U1420" s="15"/>
    </row>
    <row r="1421" spans="12:21">
      <c r="L1421" s="15"/>
      <c r="M1421" s="15"/>
      <c r="N1421" s="15"/>
      <c r="T1421" s="15"/>
      <c r="U1421" s="15"/>
    </row>
    <row r="1422" spans="12:21">
      <c r="L1422" s="15"/>
      <c r="M1422" s="15"/>
      <c r="N1422" s="15"/>
      <c r="T1422" s="15"/>
      <c r="U1422" s="15"/>
    </row>
    <row r="1423" spans="12:21">
      <c r="L1423" s="15"/>
      <c r="M1423" s="15"/>
      <c r="N1423" s="15"/>
      <c r="T1423" s="15"/>
      <c r="U1423" s="15"/>
    </row>
    <row r="1424" spans="12:21">
      <c r="L1424" s="15"/>
      <c r="M1424" s="15"/>
      <c r="N1424" s="15"/>
      <c r="T1424" s="15"/>
      <c r="U1424" s="15"/>
    </row>
    <row r="1425" spans="12:21">
      <c r="L1425" s="15"/>
      <c r="M1425" s="15"/>
      <c r="N1425" s="15"/>
      <c r="T1425" s="15"/>
      <c r="U1425" s="15"/>
    </row>
    <row r="1426" spans="12:21">
      <c r="L1426" s="15"/>
      <c r="M1426" s="15"/>
      <c r="N1426" s="15"/>
      <c r="T1426" s="15"/>
      <c r="U1426" s="15"/>
    </row>
    <row r="1427" spans="12:21">
      <c r="L1427" s="15"/>
      <c r="M1427" s="15"/>
      <c r="N1427" s="15"/>
      <c r="T1427" s="15"/>
      <c r="U1427" s="15"/>
    </row>
    <row r="1428" spans="12:21">
      <c r="L1428" s="15"/>
      <c r="M1428" s="15"/>
      <c r="N1428" s="15"/>
      <c r="T1428" s="15"/>
      <c r="U1428" s="15"/>
    </row>
    <row r="1429" spans="12:21">
      <c r="L1429" s="15"/>
      <c r="M1429" s="15"/>
      <c r="N1429" s="15"/>
      <c r="T1429" s="15"/>
      <c r="U1429" s="15"/>
    </row>
    <row r="1430" spans="12:21">
      <c r="L1430" s="15"/>
      <c r="M1430" s="15"/>
      <c r="N1430" s="15"/>
      <c r="T1430" s="15"/>
      <c r="U1430" s="15"/>
    </row>
    <row r="1431" spans="12:21">
      <c r="L1431" s="15"/>
      <c r="M1431" s="15"/>
      <c r="N1431" s="15"/>
      <c r="T1431" s="15"/>
      <c r="U1431" s="15"/>
    </row>
    <row r="1432" spans="12:21">
      <c r="L1432" s="15"/>
      <c r="M1432" s="15"/>
      <c r="N1432" s="15"/>
      <c r="T1432" s="15"/>
      <c r="U1432" s="15"/>
    </row>
    <row r="1433" spans="12:21">
      <c r="L1433" s="15"/>
      <c r="M1433" s="15"/>
      <c r="N1433" s="15"/>
      <c r="T1433" s="15"/>
      <c r="U1433" s="15"/>
    </row>
    <row r="1434" spans="12:21">
      <c r="L1434" s="15"/>
      <c r="M1434" s="15"/>
      <c r="N1434" s="15"/>
      <c r="T1434" s="15"/>
      <c r="U1434" s="15"/>
    </row>
    <row r="1435" spans="12:21">
      <c r="L1435" s="15"/>
      <c r="M1435" s="15"/>
      <c r="N1435" s="15"/>
      <c r="T1435" s="15"/>
      <c r="U1435" s="15"/>
    </row>
    <row r="1436" spans="12:21">
      <c r="L1436" s="15"/>
      <c r="M1436" s="15"/>
      <c r="N1436" s="15"/>
      <c r="T1436" s="15"/>
      <c r="U1436" s="15"/>
    </row>
    <row r="1437" spans="12:21">
      <c r="L1437" s="15"/>
      <c r="M1437" s="15"/>
      <c r="N1437" s="15"/>
      <c r="T1437" s="15"/>
      <c r="U1437" s="15"/>
    </row>
    <row r="1438" spans="12:21">
      <c r="L1438" s="15"/>
      <c r="M1438" s="15"/>
      <c r="N1438" s="15"/>
      <c r="T1438" s="15"/>
      <c r="U1438" s="15"/>
    </row>
    <row r="1439" spans="12:21">
      <c r="L1439" s="15"/>
      <c r="M1439" s="15"/>
      <c r="N1439" s="15"/>
      <c r="T1439" s="15"/>
      <c r="U1439" s="15"/>
    </row>
    <row r="1440" spans="12:21">
      <c r="L1440" s="15"/>
      <c r="M1440" s="15"/>
      <c r="N1440" s="15"/>
      <c r="T1440" s="15"/>
      <c r="U1440" s="15"/>
    </row>
    <row r="1441" spans="12:21">
      <c r="L1441" s="15"/>
      <c r="M1441" s="15"/>
      <c r="N1441" s="15"/>
      <c r="T1441" s="15"/>
      <c r="U1441" s="15"/>
    </row>
    <row r="1442" spans="12:21">
      <c r="L1442" s="15"/>
      <c r="M1442" s="15"/>
      <c r="N1442" s="15"/>
      <c r="T1442" s="15"/>
      <c r="U1442" s="15"/>
    </row>
    <row r="1443" spans="12:21">
      <c r="L1443" s="15"/>
      <c r="M1443" s="15"/>
      <c r="N1443" s="15"/>
      <c r="T1443" s="15"/>
      <c r="U1443" s="15"/>
    </row>
    <row r="1444" spans="12:21">
      <c r="L1444" s="15"/>
      <c r="M1444" s="15"/>
      <c r="N1444" s="15"/>
      <c r="T1444" s="15"/>
      <c r="U1444" s="15"/>
    </row>
    <row r="1445" spans="12:21">
      <c r="L1445" s="15"/>
      <c r="M1445" s="15"/>
      <c r="N1445" s="15"/>
      <c r="T1445" s="15"/>
      <c r="U1445" s="15"/>
    </row>
    <row r="1446" spans="12:21">
      <c r="L1446" s="15"/>
      <c r="M1446" s="15"/>
      <c r="N1446" s="15"/>
      <c r="T1446" s="15"/>
      <c r="U1446" s="15"/>
    </row>
    <row r="1447" spans="12:21">
      <c r="L1447" s="15"/>
      <c r="M1447" s="15"/>
      <c r="N1447" s="15"/>
      <c r="T1447" s="15"/>
      <c r="U1447" s="15"/>
    </row>
    <row r="1448" spans="12:21">
      <c r="L1448" s="15"/>
      <c r="M1448" s="15"/>
      <c r="N1448" s="15"/>
      <c r="T1448" s="15"/>
      <c r="U1448" s="15"/>
    </row>
    <row r="1449" spans="12:21">
      <c r="L1449" s="15"/>
      <c r="M1449" s="15"/>
      <c r="N1449" s="15"/>
      <c r="T1449" s="15"/>
      <c r="U1449" s="15"/>
    </row>
    <row r="1450" spans="12:21">
      <c r="L1450" s="15"/>
      <c r="M1450" s="15"/>
      <c r="N1450" s="15"/>
      <c r="T1450" s="15"/>
      <c r="U1450" s="15"/>
    </row>
    <row r="1451" spans="12:21">
      <c r="L1451" s="15"/>
      <c r="M1451" s="15"/>
      <c r="N1451" s="15"/>
      <c r="T1451" s="15"/>
      <c r="U1451" s="15"/>
    </row>
    <row r="1452" spans="12:21">
      <c r="L1452" s="15"/>
      <c r="M1452" s="15"/>
      <c r="N1452" s="15"/>
      <c r="T1452" s="15"/>
      <c r="U1452" s="15"/>
    </row>
    <row r="1453" spans="12:21">
      <c r="L1453" s="15"/>
      <c r="M1453" s="15"/>
      <c r="N1453" s="15"/>
      <c r="T1453" s="15"/>
      <c r="U1453" s="15"/>
    </row>
    <row r="1454" spans="12:21">
      <c r="L1454" s="15"/>
      <c r="M1454" s="15"/>
      <c r="N1454" s="15"/>
      <c r="T1454" s="15"/>
      <c r="U1454" s="15"/>
    </row>
    <row r="1455" spans="12:21">
      <c r="L1455" s="15"/>
      <c r="M1455" s="15"/>
      <c r="N1455" s="15"/>
      <c r="T1455" s="15"/>
      <c r="U1455" s="15"/>
    </row>
    <row r="1456" spans="12:21">
      <c r="L1456" s="15"/>
      <c r="M1456" s="15"/>
      <c r="N1456" s="15"/>
      <c r="T1456" s="15"/>
      <c r="U1456" s="15"/>
    </row>
    <row r="1457" spans="12:21">
      <c r="L1457" s="15"/>
      <c r="M1457" s="15"/>
      <c r="N1457" s="15"/>
      <c r="T1457" s="15"/>
      <c r="U1457" s="15"/>
    </row>
    <row r="1458" spans="12:21">
      <c r="L1458" s="15"/>
      <c r="M1458" s="15"/>
      <c r="N1458" s="15"/>
      <c r="T1458" s="15"/>
      <c r="U1458" s="15"/>
    </row>
    <row r="1459" spans="12:21">
      <c r="L1459" s="15"/>
      <c r="M1459" s="15"/>
      <c r="N1459" s="15"/>
      <c r="T1459" s="15"/>
      <c r="U1459" s="15"/>
    </row>
    <row r="1460" spans="12:21">
      <c r="L1460" s="15"/>
      <c r="M1460" s="15"/>
      <c r="N1460" s="15"/>
      <c r="T1460" s="15"/>
      <c r="U1460" s="15"/>
    </row>
    <row r="1461" spans="12:21">
      <c r="L1461" s="15"/>
      <c r="M1461" s="15"/>
      <c r="N1461" s="15"/>
      <c r="T1461" s="15"/>
      <c r="U1461" s="15"/>
    </row>
    <row r="1462" spans="12:21">
      <c r="L1462" s="15"/>
      <c r="M1462" s="15"/>
      <c r="N1462" s="15"/>
      <c r="T1462" s="15"/>
      <c r="U1462" s="15"/>
    </row>
    <row r="1463" spans="12:21">
      <c r="L1463" s="15"/>
      <c r="M1463" s="15"/>
      <c r="N1463" s="15"/>
      <c r="T1463" s="15"/>
      <c r="U1463" s="15"/>
    </row>
    <row r="1464" spans="12:21">
      <c r="L1464" s="15"/>
      <c r="M1464" s="15"/>
      <c r="N1464" s="15"/>
      <c r="T1464" s="15"/>
      <c r="U1464" s="15"/>
    </row>
    <row r="1465" spans="12:21">
      <c r="L1465" s="15"/>
      <c r="M1465" s="15"/>
      <c r="N1465" s="15"/>
      <c r="T1465" s="15"/>
      <c r="U1465" s="15"/>
    </row>
    <row r="1466" spans="12:21">
      <c r="L1466" s="15"/>
      <c r="M1466" s="15"/>
      <c r="N1466" s="15"/>
      <c r="T1466" s="15"/>
      <c r="U1466" s="15"/>
    </row>
    <row r="1467" spans="12:21">
      <c r="L1467" s="15"/>
      <c r="M1467" s="15"/>
      <c r="N1467" s="15"/>
      <c r="T1467" s="15"/>
      <c r="U1467" s="15"/>
    </row>
    <row r="1468" spans="12:21">
      <c r="L1468" s="15"/>
      <c r="M1468" s="15"/>
      <c r="N1468" s="15"/>
      <c r="T1468" s="15"/>
      <c r="U1468" s="15"/>
    </row>
    <row r="1469" spans="12:21">
      <c r="L1469" s="15"/>
      <c r="M1469" s="15"/>
      <c r="N1469" s="15"/>
      <c r="T1469" s="15"/>
      <c r="U1469" s="15"/>
    </row>
    <row r="1470" spans="12:21">
      <c r="L1470" s="15"/>
      <c r="M1470" s="15"/>
      <c r="N1470" s="15"/>
      <c r="T1470" s="15"/>
      <c r="U1470" s="15"/>
    </row>
    <row r="1471" spans="12:21">
      <c r="L1471" s="15"/>
      <c r="M1471" s="15"/>
      <c r="N1471" s="15"/>
      <c r="T1471" s="15"/>
      <c r="U1471" s="15"/>
    </row>
    <row r="1472" spans="12:21">
      <c r="L1472" s="15"/>
      <c r="M1472" s="15"/>
      <c r="N1472" s="15"/>
      <c r="T1472" s="15"/>
      <c r="U1472" s="15"/>
    </row>
    <row r="1473" spans="12:21">
      <c r="L1473" s="15"/>
      <c r="M1473" s="15"/>
      <c r="N1473" s="15"/>
      <c r="T1473" s="15"/>
      <c r="U1473" s="15"/>
    </row>
    <row r="1474" spans="12:21">
      <c r="L1474" s="15"/>
      <c r="M1474" s="15"/>
      <c r="N1474" s="15"/>
      <c r="T1474" s="15"/>
      <c r="U1474" s="15"/>
    </row>
    <row r="1475" spans="12:21">
      <c r="L1475" s="15"/>
      <c r="M1475" s="15"/>
      <c r="N1475" s="15"/>
      <c r="T1475" s="15"/>
      <c r="U1475" s="15"/>
    </row>
    <row r="1476" spans="12:21">
      <c r="L1476" s="15"/>
      <c r="M1476" s="15"/>
      <c r="N1476" s="15"/>
      <c r="T1476" s="15"/>
      <c r="U1476" s="15"/>
    </row>
    <row r="1477" spans="12:21">
      <c r="L1477" s="15"/>
      <c r="M1477" s="15"/>
      <c r="N1477" s="15"/>
      <c r="T1477" s="15"/>
      <c r="U1477" s="15"/>
    </row>
    <row r="1478" spans="12:21">
      <c r="L1478" s="15"/>
      <c r="M1478" s="15"/>
      <c r="N1478" s="15"/>
      <c r="T1478" s="15"/>
      <c r="U1478" s="15"/>
    </row>
    <row r="1479" spans="12:21">
      <c r="L1479" s="15"/>
      <c r="M1479" s="15"/>
      <c r="N1479" s="15"/>
      <c r="T1479" s="15"/>
      <c r="U1479" s="15"/>
    </row>
    <row r="1480" spans="12:21">
      <c r="L1480" s="15"/>
      <c r="M1480" s="15"/>
      <c r="N1480" s="15"/>
      <c r="T1480" s="15"/>
      <c r="U1480" s="15"/>
    </row>
    <row r="1481" spans="12:21">
      <c r="L1481" s="15"/>
      <c r="M1481" s="15"/>
      <c r="N1481" s="15"/>
      <c r="T1481" s="15"/>
      <c r="U1481" s="15"/>
    </row>
    <row r="1482" spans="12:21">
      <c r="L1482" s="15"/>
      <c r="M1482" s="15"/>
      <c r="N1482" s="15"/>
      <c r="T1482" s="15"/>
      <c r="U1482" s="15"/>
    </row>
    <row r="1483" spans="12:21">
      <c r="L1483" s="15"/>
      <c r="M1483" s="15"/>
      <c r="N1483" s="15"/>
      <c r="T1483" s="15"/>
      <c r="U1483" s="15"/>
    </row>
    <row r="1484" spans="12:21">
      <c r="L1484" s="15"/>
      <c r="M1484" s="15"/>
      <c r="N1484" s="15"/>
      <c r="T1484" s="15"/>
      <c r="U1484" s="15"/>
    </row>
    <row r="1485" spans="12:21">
      <c r="L1485" s="15"/>
      <c r="M1485" s="15"/>
      <c r="N1485" s="15"/>
      <c r="T1485" s="15"/>
      <c r="U1485" s="15"/>
    </row>
    <row r="1486" spans="12:21">
      <c r="L1486" s="15"/>
      <c r="M1486" s="15"/>
      <c r="N1486" s="15"/>
      <c r="T1486" s="15"/>
      <c r="U1486" s="15"/>
    </row>
    <row r="1487" spans="12:21">
      <c r="L1487" s="15"/>
      <c r="M1487" s="15"/>
      <c r="N1487" s="15"/>
      <c r="T1487" s="15"/>
      <c r="U1487" s="15"/>
    </row>
    <row r="1488" spans="12:21">
      <c r="L1488" s="15"/>
      <c r="M1488" s="15"/>
      <c r="N1488" s="15"/>
      <c r="T1488" s="15"/>
      <c r="U1488" s="15"/>
    </row>
    <row r="1489" spans="12:21">
      <c r="L1489" s="15"/>
      <c r="M1489" s="15"/>
      <c r="N1489" s="15"/>
      <c r="T1489" s="15"/>
      <c r="U1489" s="15"/>
    </row>
    <row r="1490" spans="12:21">
      <c r="L1490" s="15"/>
      <c r="M1490" s="15"/>
      <c r="N1490" s="15"/>
      <c r="T1490" s="15"/>
      <c r="U1490" s="15"/>
    </row>
    <row r="1491" spans="12:21">
      <c r="L1491" s="15"/>
      <c r="M1491" s="15"/>
      <c r="N1491" s="15"/>
      <c r="T1491" s="15"/>
      <c r="U1491" s="15"/>
    </row>
    <row r="1492" spans="12:21">
      <c r="L1492" s="15"/>
      <c r="M1492" s="15"/>
      <c r="N1492" s="15"/>
      <c r="T1492" s="15"/>
      <c r="U1492" s="15"/>
    </row>
    <row r="1493" spans="12:21">
      <c r="L1493" s="15"/>
      <c r="M1493" s="15"/>
      <c r="N1493" s="15"/>
      <c r="T1493" s="15"/>
      <c r="U1493" s="15"/>
    </row>
    <row r="1494" spans="12:21">
      <c r="L1494" s="15"/>
      <c r="M1494" s="15"/>
      <c r="N1494" s="15"/>
      <c r="T1494" s="15"/>
      <c r="U1494" s="15"/>
    </row>
    <row r="1495" spans="12:21">
      <c r="L1495" s="15"/>
      <c r="M1495" s="15"/>
      <c r="N1495" s="15"/>
      <c r="T1495" s="15"/>
      <c r="U1495" s="15"/>
    </row>
    <row r="1496" spans="12:21">
      <c r="L1496" s="15"/>
      <c r="M1496" s="15"/>
      <c r="N1496" s="15"/>
      <c r="T1496" s="15"/>
      <c r="U1496" s="15"/>
    </row>
    <row r="1497" spans="12:21">
      <c r="L1497" s="15"/>
      <c r="M1497" s="15"/>
      <c r="N1497" s="15"/>
      <c r="T1497" s="15"/>
      <c r="U1497" s="15"/>
    </row>
    <row r="1498" spans="12:21">
      <c r="L1498" s="15"/>
      <c r="M1498" s="15"/>
      <c r="N1498" s="15"/>
      <c r="T1498" s="15"/>
      <c r="U1498" s="15"/>
    </row>
    <row r="1499" spans="12:21">
      <c r="L1499" s="15"/>
      <c r="M1499" s="15"/>
      <c r="N1499" s="15"/>
      <c r="T1499" s="15"/>
      <c r="U1499" s="15"/>
    </row>
    <row r="1500" spans="12:21">
      <c r="L1500" s="15"/>
      <c r="M1500" s="15"/>
      <c r="N1500" s="15"/>
      <c r="T1500" s="15"/>
      <c r="U1500" s="15"/>
    </row>
    <row r="1501" spans="12:21">
      <c r="L1501" s="15"/>
      <c r="M1501" s="15"/>
      <c r="N1501" s="15"/>
      <c r="T1501" s="15"/>
      <c r="U1501" s="15"/>
    </row>
    <row r="1502" spans="12:21">
      <c r="L1502" s="15"/>
      <c r="M1502" s="15"/>
      <c r="N1502" s="15"/>
      <c r="T1502" s="15"/>
      <c r="U1502" s="15"/>
    </row>
    <row r="1503" spans="12:21">
      <c r="L1503" s="15"/>
      <c r="M1503" s="15"/>
      <c r="N1503" s="15"/>
      <c r="T1503" s="15"/>
      <c r="U1503" s="15"/>
    </row>
    <row r="1504" spans="12:21">
      <c r="L1504" s="15"/>
      <c r="M1504" s="15"/>
      <c r="N1504" s="15"/>
      <c r="T1504" s="15"/>
      <c r="U1504" s="15"/>
    </row>
    <row r="1505" spans="12:21">
      <c r="L1505" s="15"/>
      <c r="M1505" s="15"/>
      <c r="N1505" s="15"/>
      <c r="T1505" s="15"/>
      <c r="U1505" s="15"/>
    </row>
    <row r="1506" spans="12:21">
      <c r="L1506" s="15"/>
      <c r="M1506" s="15"/>
      <c r="N1506" s="15"/>
      <c r="T1506" s="15"/>
      <c r="U1506" s="15"/>
    </row>
    <row r="1507" spans="12:21">
      <c r="L1507" s="15"/>
      <c r="M1507" s="15"/>
      <c r="N1507" s="15"/>
      <c r="T1507" s="15"/>
      <c r="U1507" s="15"/>
    </row>
    <row r="1508" spans="12:21">
      <c r="L1508" s="15"/>
      <c r="M1508" s="15"/>
      <c r="N1508" s="15"/>
      <c r="T1508" s="15"/>
      <c r="U1508" s="15"/>
    </row>
    <row r="1509" spans="12:21">
      <c r="L1509" s="15"/>
      <c r="M1509" s="15"/>
      <c r="N1509" s="15"/>
      <c r="T1509" s="15"/>
      <c r="U1509" s="15"/>
    </row>
    <row r="1510" spans="12:21">
      <c r="L1510" s="15"/>
      <c r="M1510" s="15"/>
      <c r="N1510" s="15"/>
      <c r="T1510" s="15"/>
      <c r="U1510" s="15"/>
    </row>
    <row r="1511" spans="12:21">
      <c r="L1511" s="15"/>
      <c r="M1511" s="15"/>
      <c r="N1511" s="15"/>
      <c r="T1511" s="15"/>
      <c r="U1511" s="15"/>
    </row>
    <row r="1512" spans="12:21">
      <c r="L1512" s="15"/>
      <c r="M1512" s="15"/>
      <c r="N1512" s="15"/>
      <c r="T1512" s="15"/>
      <c r="U1512" s="15"/>
    </row>
    <row r="1513" spans="12:21">
      <c r="L1513" s="15"/>
      <c r="M1513" s="15"/>
      <c r="N1513" s="15"/>
      <c r="T1513" s="15"/>
      <c r="U1513" s="15"/>
    </row>
    <row r="1514" spans="12:21">
      <c r="L1514" s="15"/>
      <c r="M1514" s="15"/>
      <c r="N1514" s="15"/>
      <c r="T1514" s="15"/>
      <c r="U1514" s="15"/>
    </row>
    <row r="1515" spans="12:21">
      <c r="L1515" s="15"/>
      <c r="M1515" s="15"/>
      <c r="N1515" s="15"/>
      <c r="T1515" s="15"/>
      <c r="U1515" s="15"/>
    </row>
    <row r="1516" spans="12:21">
      <c r="L1516" s="15"/>
      <c r="M1516" s="15"/>
      <c r="N1516" s="15"/>
      <c r="T1516" s="15"/>
      <c r="U1516" s="15"/>
    </row>
    <row r="1517" spans="12:21">
      <c r="L1517" s="15"/>
      <c r="M1517" s="15"/>
      <c r="N1517" s="15"/>
      <c r="T1517" s="15"/>
      <c r="U1517" s="15"/>
    </row>
    <row r="1518" spans="12:21">
      <c r="L1518" s="15"/>
      <c r="M1518" s="15"/>
      <c r="N1518" s="15"/>
      <c r="T1518" s="15"/>
      <c r="U1518" s="15"/>
    </row>
    <row r="1519" spans="12:21">
      <c r="L1519" s="15"/>
      <c r="M1519" s="15"/>
      <c r="N1519" s="15"/>
      <c r="T1519" s="15"/>
      <c r="U1519" s="15"/>
    </row>
    <row r="1520" spans="12:21">
      <c r="L1520" s="15"/>
      <c r="M1520" s="15"/>
      <c r="N1520" s="15"/>
      <c r="T1520" s="15"/>
      <c r="U1520" s="15"/>
    </row>
    <row r="1521" spans="12:21">
      <c r="L1521" s="15"/>
      <c r="M1521" s="15"/>
      <c r="N1521" s="15"/>
      <c r="T1521" s="15"/>
      <c r="U1521" s="15"/>
    </row>
    <row r="1522" spans="12:21">
      <c r="L1522" s="15"/>
      <c r="M1522" s="15"/>
      <c r="N1522" s="15"/>
      <c r="T1522" s="15"/>
      <c r="U1522" s="15"/>
    </row>
    <row r="1523" spans="12:21">
      <c r="L1523" s="15"/>
      <c r="M1523" s="15"/>
      <c r="N1523" s="15"/>
      <c r="T1523" s="15"/>
      <c r="U1523" s="15"/>
    </row>
    <row r="1524" spans="12:21">
      <c r="L1524" s="15"/>
      <c r="M1524" s="15"/>
      <c r="N1524" s="15"/>
      <c r="T1524" s="15"/>
      <c r="U1524" s="15"/>
    </row>
    <row r="1525" spans="12:21">
      <c r="L1525" s="15"/>
      <c r="M1525" s="15"/>
      <c r="N1525" s="15"/>
      <c r="T1525" s="15"/>
      <c r="U1525" s="15"/>
    </row>
    <row r="1526" spans="12:21">
      <c r="L1526" s="15"/>
      <c r="M1526" s="15"/>
      <c r="N1526" s="15"/>
      <c r="T1526" s="15"/>
      <c r="U1526" s="15"/>
    </row>
    <row r="1527" spans="12:21">
      <c r="L1527" s="15"/>
      <c r="M1527" s="15"/>
      <c r="N1527" s="15"/>
      <c r="T1527" s="15"/>
      <c r="U1527" s="15"/>
    </row>
    <row r="1528" spans="12:21">
      <c r="L1528" s="15"/>
      <c r="M1528" s="15"/>
      <c r="N1528" s="15"/>
      <c r="T1528" s="15"/>
      <c r="U1528" s="15"/>
    </row>
    <row r="1529" spans="12:21">
      <c r="L1529" s="15"/>
      <c r="M1529" s="15"/>
      <c r="N1529" s="15"/>
      <c r="T1529" s="15"/>
      <c r="U1529" s="15"/>
    </row>
    <row r="1530" spans="12:21">
      <c r="L1530" s="15"/>
      <c r="M1530" s="15"/>
      <c r="N1530" s="15"/>
      <c r="T1530" s="15"/>
      <c r="U1530" s="15"/>
    </row>
    <row r="1531" spans="12:21">
      <c r="L1531" s="15"/>
      <c r="M1531" s="15"/>
      <c r="N1531" s="15"/>
      <c r="T1531" s="15"/>
      <c r="U1531" s="15"/>
    </row>
    <row r="1532" spans="12:21">
      <c r="L1532" s="15"/>
      <c r="M1532" s="15"/>
      <c r="N1532" s="15"/>
      <c r="T1532" s="15"/>
      <c r="U1532" s="15"/>
    </row>
    <row r="1533" spans="12:21">
      <c r="L1533" s="15"/>
      <c r="M1533" s="15"/>
      <c r="N1533" s="15"/>
      <c r="T1533" s="15"/>
      <c r="U1533" s="15"/>
    </row>
    <row r="1534" spans="12:21">
      <c r="L1534" s="15"/>
      <c r="M1534" s="15"/>
      <c r="N1534" s="15"/>
      <c r="T1534" s="15"/>
      <c r="U1534" s="15"/>
    </row>
    <row r="1535" spans="12:21">
      <c r="L1535" s="15"/>
      <c r="M1535" s="15"/>
      <c r="N1535" s="15"/>
      <c r="T1535" s="15"/>
      <c r="U1535" s="15"/>
    </row>
    <row r="1536" spans="12:21">
      <c r="L1536" s="15"/>
      <c r="M1536" s="15"/>
      <c r="N1536" s="15"/>
      <c r="T1536" s="15"/>
      <c r="U1536" s="15"/>
    </row>
    <row r="1537" spans="12:21">
      <c r="L1537" s="15"/>
      <c r="M1537" s="15"/>
      <c r="N1537" s="15"/>
      <c r="T1537" s="15"/>
      <c r="U1537" s="15"/>
    </row>
    <row r="1538" spans="12:21">
      <c r="L1538" s="15"/>
      <c r="M1538" s="15"/>
      <c r="N1538" s="15"/>
      <c r="T1538" s="15"/>
      <c r="U1538" s="15"/>
    </row>
    <row r="1539" spans="12:21">
      <c r="L1539" s="15"/>
      <c r="M1539" s="15"/>
      <c r="N1539" s="15"/>
      <c r="T1539" s="15"/>
      <c r="U1539" s="15"/>
    </row>
    <row r="1540" spans="12:21">
      <c r="L1540" s="15"/>
      <c r="M1540" s="15"/>
      <c r="N1540" s="15"/>
      <c r="T1540" s="15"/>
      <c r="U1540" s="15"/>
    </row>
    <row r="1541" spans="12:21">
      <c r="L1541" s="15"/>
      <c r="M1541" s="15"/>
      <c r="N1541" s="15"/>
      <c r="T1541" s="15"/>
      <c r="U1541" s="15"/>
    </row>
    <row r="1542" spans="12:21">
      <c r="L1542" s="15"/>
      <c r="M1542" s="15"/>
      <c r="N1542" s="15"/>
      <c r="T1542" s="15"/>
      <c r="U1542" s="15"/>
    </row>
    <row r="1543" spans="12:21">
      <c r="L1543" s="15"/>
      <c r="M1543" s="15"/>
      <c r="N1543" s="15"/>
      <c r="T1543" s="15"/>
      <c r="U1543" s="15"/>
    </row>
    <row r="1544" spans="12:21">
      <c r="L1544" s="15"/>
      <c r="M1544" s="15"/>
      <c r="N1544" s="15"/>
      <c r="T1544" s="15"/>
      <c r="U1544" s="15"/>
    </row>
    <row r="1545" spans="12:21">
      <c r="L1545" s="15"/>
      <c r="M1545" s="15"/>
      <c r="N1545" s="15"/>
      <c r="T1545" s="15"/>
      <c r="U1545" s="15"/>
    </row>
    <row r="1546" spans="12:21">
      <c r="L1546" s="15"/>
      <c r="M1546" s="15"/>
      <c r="N1546" s="15"/>
      <c r="T1546" s="15"/>
      <c r="U1546" s="15"/>
    </row>
    <row r="1547" spans="12:21">
      <c r="L1547" s="15"/>
      <c r="M1547" s="15"/>
      <c r="N1547" s="15"/>
      <c r="T1547" s="15"/>
      <c r="U1547" s="15"/>
    </row>
    <row r="1548" spans="12:21">
      <c r="L1548" s="15"/>
      <c r="M1548" s="15"/>
      <c r="N1548" s="15"/>
      <c r="T1548" s="15"/>
      <c r="U1548" s="15"/>
    </row>
    <row r="1549" spans="12:21">
      <c r="L1549" s="15"/>
      <c r="M1549" s="15"/>
      <c r="N1549" s="15"/>
      <c r="T1549" s="15"/>
      <c r="U1549" s="15"/>
    </row>
    <row r="1550" spans="12:21">
      <c r="L1550" s="15"/>
      <c r="M1550" s="15"/>
      <c r="N1550" s="15"/>
      <c r="T1550" s="15"/>
      <c r="U1550" s="15"/>
    </row>
    <row r="1551" spans="12:21">
      <c r="L1551" s="15"/>
      <c r="M1551" s="15"/>
      <c r="N1551" s="15"/>
      <c r="T1551" s="15"/>
      <c r="U1551" s="15"/>
    </row>
    <row r="1552" spans="12:21">
      <c r="L1552" s="15"/>
      <c r="M1552" s="15"/>
      <c r="N1552" s="15"/>
      <c r="T1552" s="15"/>
      <c r="U1552" s="15"/>
    </row>
    <row r="1553" spans="12:21">
      <c r="L1553" s="15"/>
      <c r="M1553" s="15"/>
      <c r="N1553" s="15"/>
      <c r="T1553" s="15"/>
      <c r="U1553" s="15"/>
    </row>
    <row r="1554" spans="12:21">
      <c r="L1554" s="15"/>
      <c r="M1554" s="15"/>
      <c r="N1554" s="15"/>
      <c r="T1554" s="15"/>
      <c r="U1554" s="15"/>
    </row>
    <row r="1555" spans="12:21">
      <c r="L1555" s="15"/>
      <c r="M1555" s="15"/>
      <c r="N1555" s="15"/>
      <c r="T1555" s="15"/>
      <c r="U1555" s="15"/>
    </row>
    <row r="1556" spans="12:21">
      <c r="L1556" s="15"/>
      <c r="M1556" s="15"/>
      <c r="N1556" s="15"/>
      <c r="T1556" s="15"/>
      <c r="U1556" s="15"/>
    </row>
    <row r="1557" spans="12:21">
      <c r="L1557" s="15"/>
      <c r="M1557" s="15"/>
      <c r="N1557" s="15"/>
      <c r="T1557" s="15"/>
      <c r="U1557" s="15"/>
    </row>
    <row r="1558" spans="12:21">
      <c r="L1558" s="15"/>
      <c r="M1558" s="15"/>
      <c r="N1558" s="15"/>
      <c r="T1558" s="15"/>
      <c r="U1558" s="15"/>
    </row>
    <row r="1559" spans="12:21">
      <c r="L1559" s="15"/>
      <c r="M1559" s="15"/>
      <c r="N1559" s="15"/>
      <c r="T1559" s="15"/>
      <c r="U1559" s="15"/>
    </row>
    <row r="1560" spans="12:21">
      <c r="L1560" s="15"/>
      <c r="M1560" s="15"/>
      <c r="N1560" s="15"/>
      <c r="T1560" s="15"/>
      <c r="U1560" s="15"/>
    </row>
    <row r="1561" spans="12:21">
      <c r="L1561" s="15"/>
      <c r="M1561" s="15"/>
      <c r="N1561" s="15"/>
      <c r="T1561" s="15"/>
      <c r="U1561" s="15"/>
    </row>
    <row r="1562" spans="12:21">
      <c r="L1562" s="15"/>
      <c r="M1562" s="15"/>
      <c r="N1562" s="15"/>
      <c r="T1562" s="15"/>
      <c r="U1562" s="15"/>
    </row>
    <row r="1563" spans="12:21">
      <c r="L1563" s="15"/>
      <c r="M1563" s="15"/>
      <c r="N1563" s="15"/>
      <c r="T1563" s="15"/>
      <c r="U1563" s="15"/>
    </row>
    <row r="1564" spans="12:21">
      <c r="L1564" s="15"/>
      <c r="M1564" s="15"/>
      <c r="N1564" s="15"/>
      <c r="T1564" s="15"/>
      <c r="U1564" s="15"/>
    </row>
    <row r="1565" spans="12:21">
      <c r="L1565" s="15"/>
      <c r="M1565" s="15"/>
      <c r="N1565" s="15"/>
      <c r="T1565" s="15"/>
      <c r="U1565" s="15"/>
    </row>
    <row r="1566" spans="12:21">
      <c r="L1566" s="15"/>
      <c r="M1566" s="15"/>
      <c r="N1566" s="15"/>
      <c r="T1566" s="15"/>
      <c r="U1566" s="15"/>
    </row>
    <row r="1567" spans="12:21">
      <c r="L1567" s="15"/>
      <c r="M1567" s="15"/>
      <c r="N1567" s="15"/>
      <c r="T1567" s="15"/>
      <c r="U1567" s="15"/>
    </row>
    <row r="1568" spans="12:21">
      <c r="L1568" s="15"/>
      <c r="M1568" s="15"/>
      <c r="N1568" s="15"/>
      <c r="T1568" s="15"/>
      <c r="U1568" s="15"/>
    </row>
    <row r="1569" spans="12:21">
      <c r="L1569" s="15"/>
      <c r="M1569" s="15"/>
      <c r="N1569" s="15"/>
      <c r="T1569" s="15"/>
      <c r="U1569" s="15"/>
    </row>
    <row r="1570" spans="12:21">
      <c r="L1570" s="15"/>
      <c r="M1570" s="15"/>
      <c r="N1570" s="15"/>
      <c r="T1570" s="15"/>
      <c r="U1570" s="15"/>
    </row>
    <row r="1571" spans="12:21">
      <c r="L1571" s="15"/>
      <c r="M1571" s="15"/>
      <c r="N1571" s="15"/>
      <c r="T1571" s="15"/>
      <c r="U1571" s="15"/>
    </row>
    <row r="1572" spans="12:21">
      <c r="L1572" s="15"/>
      <c r="M1572" s="15"/>
      <c r="N1572" s="15"/>
      <c r="T1572" s="15"/>
      <c r="U1572" s="15"/>
    </row>
    <row r="1573" spans="12:21">
      <c r="L1573" s="15"/>
      <c r="M1573" s="15"/>
      <c r="N1573" s="15"/>
      <c r="T1573" s="15"/>
      <c r="U1573" s="15"/>
    </row>
    <row r="1574" spans="12:21">
      <c r="L1574" s="15"/>
      <c r="M1574" s="15"/>
      <c r="N1574" s="15"/>
      <c r="T1574" s="15"/>
      <c r="U1574" s="15"/>
    </row>
    <row r="1575" spans="12:21">
      <c r="L1575" s="15"/>
      <c r="M1575" s="15"/>
      <c r="N1575" s="15"/>
      <c r="T1575" s="15"/>
      <c r="U1575" s="15"/>
    </row>
    <row r="1576" spans="12:21">
      <c r="L1576" s="15"/>
      <c r="M1576" s="15"/>
      <c r="N1576" s="15"/>
      <c r="T1576" s="15"/>
      <c r="U1576" s="15"/>
    </row>
    <row r="1577" spans="12:21">
      <c r="L1577" s="15"/>
      <c r="M1577" s="15"/>
      <c r="N1577" s="15"/>
      <c r="T1577" s="15"/>
      <c r="U1577" s="15"/>
    </row>
    <row r="1578" spans="12:21">
      <c r="L1578" s="15"/>
      <c r="M1578" s="15"/>
      <c r="N1578" s="15"/>
      <c r="T1578" s="15"/>
      <c r="U1578" s="15"/>
    </row>
    <row r="1579" spans="12:21">
      <c r="L1579" s="15"/>
      <c r="M1579" s="15"/>
      <c r="N1579" s="15"/>
      <c r="T1579" s="15"/>
      <c r="U1579" s="15"/>
    </row>
    <row r="1580" spans="12:21">
      <c r="L1580" s="15"/>
      <c r="M1580" s="15"/>
      <c r="N1580" s="15"/>
      <c r="T1580" s="15"/>
      <c r="U1580" s="15"/>
    </row>
    <row r="1581" spans="12:21">
      <c r="L1581" s="15"/>
      <c r="M1581" s="15"/>
      <c r="N1581" s="15"/>
      <c r="T1581" s="15"/>
      <c r="U1581" s="15"/>
    </row>
    <row r="1582" spans="12:21">
      <c r="L1582" s="15"/>
      <c r="M1582" s="15"/>
      <c r="N1582" s="15"/>
      <c r="T1582" s="15"/>
      <c r="U1582" s="15"/>
    </row>
    <row r="1583" spans="12:21">
      <c r="L1583" s="15"/>
      <c r="M1583" s="15"/>
      <c r="N1583" s="15"/>
      <c r="T1583" s="15"/>
      <c r="U1583" s="15"/>
    </row>
    <row r="1584" spans="12:21">
      <c r="L1584" s="15"/>
      <c r="M1584" s="15"/>
      <c r="N1584" s="15"/>
      <c r="T1584" s="15"/>
      <c r="U1584" s="15"/>
    </row>
    <row r="1585" spans="12:21">
      <c r="L1585" s="15"/>
      <c r="M1585" s="15"/>
      <c r="N1585" s="15"/>
      <c r="T1585" s="15"/>
      <c r="U1585" s="15"/>
    </row>
    <row r="1586" spans="12:21">
      <c r="L1586" s="15"/>
      <c r="M1586" s="15"/>
      <c r="N1586" s="15"/>
      <c r="T1586" s="15"/>
      <c r="U1586" s="15"/>
    </row>
    <row r="1587" spans="12:21">
      <c r="L1587" s="15"/>
      <c r="M1587" s="15"/>
      <c r="N1587" s="15"/>
      <c r="T1587" s="15"/>
      <c r="U1587" s="15"/>
    </row>
    <row r="1588" spans="12:21">
      <c r="L1588" s="15"/>
      <c r="M1588" s="15"/>
      <c r="N1588" s="15"/>
      <c r="T1588" s="15"/>
      <c r="U1588" s="15"/>
    </row>
    <row r="1589" spans="12:21">
      <c r="L1589" s="15"/>
      <c r="M1589" s="15"/>
      <c r="N1589" s="15"/>
      <c r="T1589" s="15"/>
      <c r="U1589" s="15"/>
    </row>
    <row r="1590" spans="12:21">
      <c r="L1590" s="15"/>
      <c r="M1590" s="15"/>
      <c r="N1590" s="15"/>
      <c r="T1590" s="15"/>
      <c r="U1590" s="15"/>
    </row>
    <row r="1591" spans="12:21">
      <c r="L1591" s="15"/>
      <c r="M1591" s="15"/>
      <c r="N1591" s="15"/>
      <c r="T1591" s="15"/>
      <c r="U1591" s="15"/>
    </row>
    <row r="1592" spans="12:21">
      <c r="L1592" s="15"/>
      <c r="M1592" s="15"/>
      <c r="N1592" s="15"/>
      <c r="T1592" s="15"/>
      <c r="U1592" s="15"/>
    </row>
    <row r="1593" spans="12:21">
      <c r="L1593" s="15"/>
      <c r="M1593" s="15"/>
      <c r="N1593" s="15"/>
      <c r="T1593" s="15"/>
      <c r="U1593" s="15"/>
    </row>
    <row r="1594" spans="12:21">
      <c r="L1594" s="15"/>
      <c r="M1594" s="15"/>
      <c r="N1594" s="15"/>
      <c r="T1594" s="15"/>
      <c r="U1594" s="15"/>
    </row>
    <row r="1595" spans="12:21">
      <c r="L1595" s="15"/>
      <c r="M1595" s="15"/>
      <c r="N1595" s="15"/>
      <c r="T1595" s="15"/>
      <c r="U1595" s="15"/>
    </row>
    <row r="1596" spans="12:21">
      <c r="L1596" s="15"/>
      <c r="M1596" s="15"/>
      <c r="N1596" s="15"/>
      <c r="T1596" s="15"/>
      <c r="U1596" s="15"/>
    </row>
    <row r="1597" spans="12:21">
      <c r="L1597" s="15"/>
      <c r="M1597" s="15"/>
      <c r="N1597" s="15"/>
      <c r="T1597" s="15"/>
      <c r="U1597" s="15"/>
    </row>
    <row r="1598" spans="12:21">
      <c r="L1598" s="15"/>
      <c r="M1598" s="15"/>
      <c r="N1598" s="15"/>
      <c r="T1598" s="15"/>
      <c r="U1598" s="15"/>
    </row>
    <row r="1599" spans="12:21">
      <c r="L1599" s="15"/>
      <c r="M1599" s="15"/>
      <c r="N1599" s="15"/>
      <c r="T1599" s="15"/>
      <c r="U1599" s="15"/>
    </row>
    <row r="1600" spans="12:21">
      <c r="L1600" s="15"/>
      <c r="M1600" s="15"/>
      <c r="N1600" s="15"/>
      <c r="T1600" s="15"/>
      <c r="U1600" s="15"/>
    </row>
    <row r="1601" spans="12:21">
      <c r="L1601" s="15"/>
      <c r="M1601" s="15"/>
      <c r="N1601" s="15"/>
      <c r="T1601" s="15"/>
      <c r="U1601" s="15"/>
    </row>
    <row r="1602" spans="12:21">
      <c r="L1602" s="15"/>
      <c r="M1602" s="15"/>
      <c r="N1602" s="15"/>
      <c r="T1602" s="15"/>
      <c r="U1602" s="15"/>
    </row>
    <row r="1603" spans="12:21">
      <c r="L1603" s="15"/>
      <c r="M1603" s="15"/>
      <c r="N1603" s="15"/>
      <c r="T1603" s="15"/>
      <c r="U1603" s="15"/>
    </row>
    <row r="1604" spans="12:21">
      <c r="L1604" s="15"/>
      <c r="M1604" s="15"/>
      <c r="N1604" s="15"/>
      <c r="T1604" s="15"/>
      <c r="U1604" s="15"/>
    </row>
    <row r="1605" spans="12:21">
      <c r="L1605" s="15"/>
      <c r="M1605" s="15"/>
      <c r="N1605" s="15"/>
      <c r="T1605" s="15"/>
      <c r="U1605" s="15"/>
    </row>
    <row r="1606" spans="12:21">
      <c r="L1606" s="15"/>
      <c r="M1606" s="15"/>
      <c r="N1606" s="15"/>
      <c r="T1606" s="15"/>
      <c r="U1606" s="15"/>
    </row>
    <row r="1607" spans="12:21">
      <c r="L1607" s="15"/>
      <c r="M1607" s="15"/>
      <c r="N1607" s="15"/>
      <c r="T1607" s="15"/>
      <c r="U1607" s="15"/>
    </row>
    <row r="1608" spans="12:21">
      <c r="L1608" s="15"/>
      <c r="M1608" s="15"/>
      <c r="N1608" s="15"/>
      <c r="T1608" s="15"/>
      <c r="U1608" s="15"/>
    </row>
    <row r="1609" spans="12:21">
      <c r="L1609" s="15"/>
      <c r="M1609" s="15"/>
      <c r="N1609" s="15"/>
      <c r="T1609" s="15"/>
      <c r="U1609" s="15"/>
    </row>
    <row r="1610" spans="12:21">
      <c r="L1610" s="15"/>
      <c r="M1610" s="15"/>
      <c r="N1610" s="15"/>
      <c r="T1610" s="15"/>
      <c r="U1610" s="15"/>
    </row>
    <row r="1611" spans="12:21">
      <c r="L1611" s="15"/>
      <c r="M1611" s="15"/>
      <c r="N1611" s="15"/>
      <c r="T1611" s="15"/>
      <c r="U1611" s="15"/>
    </row>
    <row r="1612" spans="12:21">
      <c r="L1612" s="15"/>
      <c r="M1612" s="15"/>
      <c r="N1612" s="15"/>
      <c r="T1612" s="15"/>
      <c r="U1612" s="15"/>
    </row>
    <row r="1613" spans="12:21">
      <c r="L1613" s="15"/>
      <c r="M1613" s="15"/>
      <c r="N1613" s="15"/>
      <c r="T1613" s="15"/>
      <c r="U1613" s="15"/>
    </row>
    <row r="1614" spans="12:21">
      <c r="L1614" s="15"/>
      <c r="M1614" s="15"/>
      <c r="N1614" s="15"/>
      <c r="T1614" s="15"/>
      <c r="U1614" s="15"/>
    </row>
    <row r="1615" spans="12:21">
      <c r="L1615" s="15"/>
      <c r="M1615" s="15"/>
      <c r="N1615" s="15"/>
      <c r="T1615" s="15"/>
      <c r="U1615" s="15"/>
    </row>
    <row r="1616" spans="12:21">
      <c r="L1616" s="15"/>
      <c r="M1616" s="15"/>
      <c r="N1616" s="15"/>
      <c r="T1616" s="15"/>
      <c r="U1616" s="15"/>
    </row>
    <row r="1617" spans="12:21">
      <c r="L1617" s="15"/>
      <c r="M1617" s="15"/>
      <c r="N1617" s="15"/>
      <c r="T1617" s="15"/>
      <c r="U1617" s="15"/>
    </row>
    <row r="1618" spans="12:21">
      <c r="L1618" s="15"/>
      <c r="M1618" s="15"/>
      <c r="N1618" s="15"/>
      <c r="T1618" s="15"/>
      <c r="U1618" s="15"/>
    </row>
    <row r="1619" spans="12:21">
      <c r="L1619" s="15"/>
      <c r="M1619" s="15"/>
      <c r="N1619" s="15"/>
      <c r="T1619" s="15"/>
      <c r="U1619" s="15"/>
    </row>
    <row r="1620" spans="12:21">
      <c r="L1620" s="15"/>
      <c r="M1620" s="15"/>
      <c r="N1620" s="15"/>
      <c r="T1620" s="15"/>
      <c r="U1620" s="15"/>
    </row>
    <row r="1621" spans="12:21">
      <c r="L1621" s="15"/>
      <c r="M1621" s="15"/>
      <c r="N1621" s="15"/>
      <c r="T1621" s="15"/>
      <c r="U1621" s="15"/>
    </row>
    <row r="1622" spans="12:21">
      <c r="L1622" s="15"/>
      <c r="M1622" s="15"/>
      <c r="N1622" s="15"/>
      <c r="T1622" s="15"/>
      <c r="U1622" s="15"/>
    </row>
    <row r="1623" spans="12:21">
      <c r="L1623" s="15"/>
      <c r="M1623" s="15"/>
      <c r="N1623" s="15"/>
      <c r="T1623" s="15"/>
      <c r="U1623" s="15"/>
    </row>
    <row r="1624" spans="12:21">
      <c r="L1624" s="15"/>
      <c r="M1624" s="15"/>
      <c r="N1624" s="15"/>
      <c r="T1624" s="15"/>
      <c r="U1624" s="15"/>
    </row>
    <row r="1625" spans="12:21">
      <c r="L1625" s="15"/>
      <c r="M1625" s="15"/>
      <c r="N1625" s="15"/>
      <c r="T1625" s="15"/>
      <c r="U1625" s="15"/>
    </row>
    <row r="1626" spans="12:21">
      <c r="L1626" s="15"/>
      <c r="M1626" s="15"/>
      <c r="N1626" s="15"/>
      <c r="T1626" s="15"/>
      <c r="U1626" s="15"/>
    </row>
    <row r="1627" spans="12:21">
      <c r="L1627" s="15"/>
      <c r="M1627" s="15"/>
      <c r="N1627" s="15"/>
      <c r="T1627" s="15"/>
      <c r="U1627" s="15"/>
    </row>
    <row r="1628" spans="12:21">
      <c r="L1628" s="15"/>
      <c r="M1628" s="15"/>
      <c r="N1628" s="15"/>
      <c r="T1628" s="15"/>
      <c r="U1628" s="15"/>
    </row>
    <row r="1629" spans="12:21">
      <c r="L1629" s="15"/>
      <c r="M1629" s="15"/>
      <c r="N1629" s="15"/>
      <c r="T1629" s="15"/>
      <c r="U1629" s="15"/>
    </row>
    <row r="1630" spans="12:21">
      <c r="L1630" s="15"/>
      <c r="M1630" s="15"/>
      <c r="N1630" s="15"/>
      <c r="T1630" s="15"/>
      <c r="U1630" s="15"/>
    </row>
    <row r="1631" spans="12:21">
      <c r="L1631" s="15"/>
      <c r="M1631" s="15"/>
      <c r="N1631" s="15"/>
      <c r="T1631" s="15"/>
      <c r="U1631" s="15"/>
    </row>
    <row r="1632" spans="12:21">
      <c r="L1632" s="15"/>
      <c r="M1632" s="15"/>
      <c r="N1632" s="15"/>
      <c r="T1632" s="15"/>
      <c r="U1632" s="15"/>
    </row>
    <row r="1633" spans="12:21">
      <c r="L1633" s="15"/>
      <c r="M1633" s="15"/>
      <c r="N1633" s="15"/>
      <c r="T1633" s="15"/>
      <c r="U1633" s="15"/>
    </row>
    <row r="1634" spans="12:21">
      <c r="L1634" s="15"/>
      <c r="M1634" s="15"/>
      <c r="N1634" s="15"/>
      <c r="T1634" s="15"/>
      <c r="U1634" s="15"/>
    </row>
    <row r="1635" spans="12:21">
      <c r="L1635" s="15"/>
      <c r="M1635" s="15"/>
      <c r="N1635" s="15"/>
      <c r="T1635" s="15"/>
      <c r="U1635" s="15"/>
    </row>
    <row r="1636" spans="12:21">
      <c r="L1636" s="15"/>
      <c r="M1636" s="15"/>
      <c r="N1636" s="15"/>
      <c r="T1636" s="15"/>
      <c r="U1636" s="15"/>
    </row>
    <row r="1637" spans="12:21">
      <c r="L1637" s="15"/>
      <c r="M1637" s="15"/>
      <c r="N1637" s="15"/>
      <c r="T1637" s="15"/>
      <c r="U1637" s="15"/>
    </row>
    <row r="1638" spans="12:21">
      <c r="L1638" s="15"/>
      <c r="M1638" s="15"/>
      <c r="N1638" s="15"/>
      <c r="T1638" s="15"/>
      <c r="U1638" s="15"/>
    </row>
    <row r="1639" spans="12:21">
      <c r="L1639" s="15"/>
      <c r="M1639" s="15"/>
      <c r="N1639" s="15"/>
      <c r="T1639" s="15"/>
      <c r="U1639" s="15"/>
    </row>
    <row r="1640" spans="12:21">
      <c r="L1640" s="15"/>
      <c r="M1640" s="15"/>
      <c r="N1640" s="15"/>
      <c r="T1640" s="15"/>
      <c r="U1640" s="15"/>
    </row>
    <row r="1641" spans="12:21">
      <c r="L1641" s="15"/>
      <c r="M1641" s="15"/>
      <c r="N1641" s="15"/>
      <c r="T1641" s="15"/>
      <c r="U1641" s="15"/>
    </row>
    <row r="1642" spans="12:21">
      <c r="L1642" s="15"/>
      <c r="M1642" s="15"/>
      <c r="N1642" s="15"/>
      <c r="T1642" s="15"/>
      <c r="U1642" s="15"/>
    </row>
    <row r="1643" spans="12:21">
      <c r="L1643" s="15"/>
      <c r="M1643" s="15"/>
      <c r="N1643" s="15"/>
      <c r="T1643" s="15"/>
      <c r="U1643" s="15"/>
    </row>
    <row r="1644" spans="12:21">
      <c r="L1644" s="15"/>
      <c r="M1644" s="15"/>
      <c r="N1644" s="15"/>
      <c r="T1644" s="15"/>
      <c r="U1644" s="15"/>
    </row>
    <row r="1645" spans="12:21">
      <c r="L1645" s="15"/>
      <c r="M1645" s="15"/>
      <c r="N1645" s="15"/>
      <c r="T1645" s="15"/>
      <c r="U1645" s="15"/>
    </row>
    <row r="1646" spans="12:21">
      <c r="L1646" s="15"/>
      <c r="M1646" s="15"/>
      <c r="N1646" s="15"/>
      <c r="T1646" s="15"/>
      <c r="U1646" s="15"/>
    </row>
    <row r="1647" spans="12:21">
      <c r="L1647" s="15"/>
      <c r="M1647" s="15"/>
      <c r="N1647" s="15"/>
      <c r="T1647" s="15"/>
      <c r="U1647" s="15"/>
    </row>
    <row r="1648" spans="12:21">
      <c r="L1648" s="15"/>
      <c r="M1648" s="15"/>
      <c r="N1648" s="15"/>
      <c r="T1648" s="15"/>
      <c r="U1648" s="15"/>
    </row>
    <row r="1649" spans="12:21">
      <c r="L1649" s="15"/>
      <c r="M1649" s="15"/>
      <c r="N1649" s="15"/>
      <c r="T1649" s="15"/>
      <c r="U1649" s="15"/>
    </row>
    <row r="1650" spans="12:21">
      <c r="L1650" s="15"/>
      <c r="M1650" s="15"/>
      <c r="N1650" s="15"/>
      <c r="T1650" s="15"/>
      <c r="U1650" s="15"/>
    </row>
    <row r="1651" spans="12:21">
      <c r="L1651" s="15"/>
      <c r="M1651" s="15"/>
      <c r="N1651" s="15"/>
      <c r="T1651" s="15"/>
      <c r="U1651" s="15"/>
    </row>
    <row r="1652" spans="12:21">
      <c r="L1652" s="15"/>
      <c r="M1652" s="15"/>
      <c r="N1652" s="15"/>
      <c r="T1652" s="15"/>
      <c r="U1652" s="15"/>
    </row>
    <row r="1653" spans="12:21">
      <c r="L1653" s="15"/>
      <c r="M1653" s="15"/>
      <c r="N1653" s="15"/>
      <c r="T1653" s="15"/>
      <c r="U1653" s="15"/>
    </row>
    <row r="1654" spans="12:21">
      <c r="L1654" s="15"/>
      <c r="M1654" s="15"/>
      <c r="N1654" s="15"/>
      <c r="T1654" s="15"/>
      <c r="U1654" s="15"/>
    </row>
    <row r="1655" spans="12:21">
      <c r="L1655" s="15"/>
      <c r="M1655" s="15"/>
      <c r="N1655" s="15"/>
      <c r="T1655" s="15"/>
      <c r="U1655" s="15"/>
    </row>
    <row r="1656" spans="12:21">
      <c r="L1656" s="15"/>
      <c r="M1656" s="15"/>
      <c r="N1656" s="15"/>
      <c r="T1656" s="15"/>
      <c r="U1656" s="15"/>
    </row>
    <row r="1657" spans="12:21">
      <c r="L1657" s="15"/>
      <c r="M1657" s="15"/>
      <c r="N1657" s="15"/>
      <c r="T1657" s="15"/>
      <c r="U1657" s="15"/>
    </row>
    <row r="1658" spans="12:21">
      <c r="L1658" s="15"/>
      <c r="M1658" s="15"/>
      <c r="N1658" s="15"/>
      <c r="T1658" s="15"/>
      <c r="U1658" s="15"/>
    </row>
    <row r="1659" spans="12:21">
      <c r="L1659" s="15"/>
      <c r="M1659" s="15"/>
      <c r="N1659" s="15"/>
      <c r="T1659" s="15"/>
      <c r="U1659" s="15"/>
    </row>
    <row r="1660" spans="12:21">
      <c r="L1660" s="15"/>
      <c r="M1660" s="15"/>
      <c r="N1660" s="15"/>
      <c r="T1660" s="15"/>
      <c r="U1660" s="15"/>
    </row>
    <row r="1661" spans="12:21">
      <c r="L1661" s="15"/>
      <c r="M1661" s="15"/>
      <c r="N1661" s="15"/>
      <c r="T1661" s="15"/>
      <c r="U1661" s="15"/>
    </row>
    <row r="1662" spans="12:21">
      <c r="L1662" s="15"/>
      <c r="M1662" s="15"/>
      <c r="N1662" s="15"/>
      <c r="T1662" s="15"/>
      <c r="U1662" s="15"/>
    </row>
    <row r="1663" spans="12:21">
      <c r="L1663" s="15"/>
      <c r="M1663" s="15"/>
      <c r="N1663" s="15"/>
      <c r="T1663" s="15"/>
      <c r="U1663" s="15"/>
    </row>
    <row r="1664" spans="12:21">
      <c r="L1664" s="15"/>
      <c r="M1664" s="15"/>
      <c r="N1664" s="15"/>
      <c r="T1664" s="15"/>
      <c r="U1664" s="15"/>
    </row>
    <row r="1665" spans="12:21">
      <c r="L1665" s="15"/>
      <c r="M1665" s="15"/>
      <c r="N1665" s="15"/>
      <c r="T1665" s="15"/>
      <c r="U1665" s="15"/>
    </row>
    <row r="1666" spans="12:21">
      <c r="L1666" s="15"/>
      <c r="M1666" s="15"/>
      <c r="N1666" s="15"/>
      <c r="T1666" s="15"/>
      <c r="U1666" s="15"/>
    </row>
    <row r="1667" spans="12:21">
      <c r="L1667" s="15"/>
      <c r="M1667" s="15"/>
      <c r="N1667" s="15"/>
      <c r="T1667" s="15"/>
      <c r="U1667" s="15"/>
    </row>
    <row r="1668" spans="12:21">
      <c r="L1668" s="15"/>
      <c r="M1668" s="15"/>
      <c r="N1668" s="15"/>
      <c r="T1668" s="15"/>
      <c r="U1668" s="15"/>
    </row>
    <row r="1669" spans="12:21">
      <c r="L1669" s="15"/>
      <c r="M1669" s="15"/>
      <c r="N1669" s="15"/>
      <c r="T1669" s="15"/>
      <c r="U1669" s="15"/>
    </row>
    <row r="1670" spans="12:21">
      <c r="L1670" s="15"/>
      <c r="M1670" s="15"/>
      <c r="N1670" s="15"/>
      <c r="T1670" s="15"/>
      <c r="U1670" s="15"/>
    </row>
    <row r="1671" spans="12:21">
      <c r="L1671" s="15"/>
      <c r="M1671" s="15"/>
      <c r="N1671" s="15"/>
      <c r="T1671" s="15"/>
      <c r="U1671" s="15"/>
    </row>
    <row r="1672" spans="12:21">
      <c r="L1672" s="15"/>
      <c r="M1672" s="15"/>
      <c r="N1672" s="15"/>
      <c r="T1672" s="15"/>
      <c r="U1672" s="15"/>
    </row>
    <row r="1673" spans="12:21">
      <c r="L1673" s="15"/>
      <c r="M1673" s="15"/>
      <c r="N1673" s="15"/>
      <c r="T1673" s="15"/>
      <c r="U1673" s="15"/>
    </row>
    <row r="1674" spans="12:21">
      <c r="L1674" s="15"/>
      <c r="M1674" s="15"/>
      <c r="N1674" s="15"/>
      <c r="T1674" s="15"/>
      <c r="U1674" s="15"/>
    </row>
    <row r="1675" spans="12:21">
      <c r="L1675" s="15"/>
      <c r="M1675" s="15"/>
      <c r="N1675" s="15"/>
      <c r="T1675" s="15"/>
      <c r="U1675" s="15"/>
    </row>
    <row r="1676" spans="12:21">
      <c r="L1676" s="15"/>
      <c r="M1676" s="15"/>
      <c r="N1676" s="15"/>
      <c r="T1676" s="15"/>
      <c r="U1676" s="15"/>
    </row>
    <row r="1677" spans="12:21">
      <c r="L1677" s="15"/>
      <c r="M1677" s="15"/>
      <c r="N1677" s="15"/>
      <c r="T1677" s="15"/>
      <c r="U1677" s="15"/>
    </row>
    <row r="1678" spans="12:21">
      <c r="L1678" s="15"/>
      <c r="M1678" s="15"/>
      <c r="N1678" s="15"/>
      <c r="T1678" s="15"/>
      <c r="U1678" s="15"/>
    </row>
    <row r="1679" spans="12:21">
      <c r="L1679" s="15"/>
      <c r="M1679" s="15"/>
      <c r="N1679" s="15"/>
      <c r="T1679" s="15"/>
      <c r="U1679" s="15"/>
    </row>
    <row r="1680" spans="12:21">
      <c r="L1680" s="15"/>
      <c r="M1680" s="15"/>
      <c r="N1680" s="15"/>
      <c r="T1680" s="15"/>
      <c r="U1680" s="15"/>
    </row>
    <row r="1681" spans="12:21">
      <c r="L1681" s="15"/>
      <c r="M1681" s="15"/>
      <c r="N1681" s="15"/>
      <c r="T1681" s="15"/>
      <c r="U1681" s="15"/>
    </row>
    <row r="1682" spans="12:21">
      <c r="L1682" s="15"/>
      <c r="M1682" s="15"/>
      <c r="N1682" s="15"/>
      <c r="T1682" s="15"/>
      <c r="U1682" s="15"/>
    </row>
    <row r="1683" spans="12:21">
      <c r="L1683" s="15"/>
      <c r="M1683" s="15"/>
      <c r="N1683" s="15"/>
      <c r="T1683" s="15"/>
      <c r="U1683" s="15"/>
    </row>
    <row r="1684" spans="12:21">
      <c r="L1684" s="15"/>
      <c r="M1684" s="15"/>
      <c r="N1684" s="15"/>
      <c r="T1684" s="15"/>
      <c r="U1684" s="15"/>
    </row>
    <row r="1685" spans="12:21">
      <c r="L1685" s="15"/>
      <c r="M1685" s="15"/>
      <c r="N1685" s="15"/>
      <c r="T1685" s="15"/>
      <c r="U1685" s="15"/>
    </row>
    <row r="1686" spans="12:21">
      <c r="L1686" s="15"/>
      <c r="M1686" s="15"/>
      <c r="N1686" s="15"/>
      <c r="T1686" s="15"/>
      <c r="U1686" s="15"/>
    </row>
    <row r="1687" spans="12:21">
      <c r="L1687" s="15"/>
      <c r="M1687" s="15"/>
      <c r="N1687" s="15"/>
      <c r="T1687" s="15"/>
      <c r="U1687" s="15"/>
    </row>
    <row r="1688" spans="12:21">
      <c r="L1688" s="15"/>
      <c r="M1688" s="15"/>
      <c r="N1688" s="15"/>
      <c r="T1688" s="15"/>
      <c r="U1688" s="15"/>
    </row>
    <row r="1689" spans="12:21">
      <c r="L1689" s="15"/>
      <c r="M1689" s="15"/>
      <c r="N1689" s="15"/>
      <c r="T1689" s="15"/>
      <c r="U1689" s="15"/>
    </row>
    <row r="1690" spans="12:21">
      <c r="L1690" s="15"/>
      <c r="M1690" s="15"/>
      <c r="N1690" s="15"/>
      <c r="T1690" s="15"/>
      <c r="U1690" s="15"/>
    </row>
    <row r="1691" spans="12:21">
      <c r="L1691" s="15"/>
      <c r="M1691" s="15"/>
      <c r="N1691" s="15"/>
      <c r="T1691" s="15"/>
      <c r="U1691" s="15"/>
    </row>
    <row r="1692" spans="12:21">
      <c r="L1692" s="15"/>
      <c r="M1692" s="15"/>
      <c r="N1692" s="15"/>
      <c r="T1692" s="15"/>
      <c r="U1692" s="15"/>
    </row>
    <row r="1693" spans="12:21">
      <c r="L1693" s="15"/>
      <c r="M1693" s="15"/>
      <c r="N1693" s="15"/>
      <c r="T1693" s="15"/>
      <c r="U1693" s="15"/>
    </row>
    <row r="1694" spans="12:21">
      <c r="L1694" s="15"/>
      <c r="M1694" s="15"/>
      <c r="N1694" s="15"/>
      <c r="T1694" s="15"/>
      <c r="U1694" s="15"/>
    </row>
    <row r="1695" spans="12:21">
      <c r="L1695" s="15"/>
      <c r="M1695" s="15"/>
      <c r="N1695" s="15"/>
      <c r="T1695" s="15"/>
      <c r="U1695" s="15"/>
    </row>
    <row r="1696" spans="12:21">
      <c r="L1696" s="15"/>
      <c r="M1696" s="15"/>
      <c r="N1696" s="15"/>
      <c r="T1696" s="15"/>
      <c r="U1696" s="15"/>
    </row>
    <row r="1697" spans="12:21">
      <c r="L1697" s="15"/>
      <c r="M1697" s="15"/>
      <c r="N1697" s="15"/>
      <c r="T1697" s="15"/>
      <c r="U1697" s="15"/>
    </row>
    <row r="1698" spans="12:21">
      <c r="L1698" s="15"/>
      <c r="M1698" s="15"/>
      <c r="N1698" s="15"/>
      <c r="T1698" s="15"/>
      <c r="U1698" s="15"/>
    </row>
    <row r="1699" spans="12:21">
      <c r="L1699" s="15"/>
      <c r="M1699" s="15"/>
      <c r="N1699" s="15"/>
      <c r="T1699" s="15"/>
      <c r="U1699" s="15"/>
    </row>
    <row r="1700" spans="12:21">
      <c r="L1700" s="15"/>
      <c r="M1700" s="15"/>
      <c r="N1700" s="15"/>
      <c r="T1700" s="15"/>
      <c r="U1700" s="15"/>
    </row>
    <row r="1701" spans="12:21">
      <c r="L1701" s="15"/>
      <c r="M1701" s="15"/>
      <c r="N1701" s="15"/>
      <c r="T1701" s="15"/>
      <c r="U1701" s="15"/>
    </row>
    <row r="1702" spans="12:21">
      <c r="L1702" s="15"/>
      <c r="M1702" s="15"/>
      <c r="N1702" s="15"/>
      <c r="T1702" s="15"/>
      <c r="U1702" s="15"/>
    </row>
    <row r="1703" spans="12:21">
      <c r="L1703" s="15"/>
      <c r="M1703" s="15"/>
      <c r="N1703" s="15"/>
      <c r="T1703" s="15"/>
      <c r="U1703" s="15"/>
    </row>
    <row r="1704" spans="12:21">
      <c r="L1704" s="15"/>
      <c r="M1704" s="15"/>
      <c r="N1704" s="15"/>
      <c r="T1704" s="15"/>
      <c r="U1704" s="15"/>
    </row>
    <row r="1705" spans="12:21">
      <c r="L1705" s="15"/>
      <c r="M1705" s="15"/>
      <c r="N1705" s="15"/>
      <c r="T1705" s="15"/>
      <c r="U1705" s="15"/>
    </row>
    <row r="1706" spans="12:21">
      <c r="L1706" s="15"/>
      <c r="M1706" s="15"/>
      <c r="N1706" s="15"/>
      <c r="T1706" s="15"/>
      <c r="U1706" s="15"/>
    </row>
    <row r="1707" spans="12:21">
      <c r="L1707" s="15"/>
      <c r="M1707" s="15"/>
      <c r="N1707" s="15"/>
      <c r="T1707" s="15"/>
      <c r="U1707" s="15"/>
    </row>
    <row r="1708" spans="12:21">
      <c r="L1708" s="15"/>
      <c r="M1708" s="15"/>
      <c r="N1708" s="15"/>
      <c r="T1708" s="15"/>
      <c r="U1708" s="15"/>
    </row>
    <row r="1709" spans="12:21">
      <c r="L1709" s="15"/>
      <c r="M1709" s="15"/>
      <c r="N1709" s="15"/>
      <c r="T1709" s="15"/>
      <c r="U1709" s="15"/>
    </row>
    <row r="1710" spans="12:21">
      <c r="L1710" s="15"/>
      <c r="M1710" s="15"/>
      <c r="N1710" s="15"/>
      <c r="T1710" s="15"/>
      <c r="U1710" s="15"/>
    </row>
    <row r="1711" spans="12:21">
      <c r="L1711" s="15"/>
      <c r="M1711" s="15"/>
      <c r="N1711" s="15"/>
      <c r="T1711" s="15"/>
      <c r="U1711" s="15"/>
    </row>
    <row r="1712" spans="12:21">
      <c r="L1712" s="15"/>
      <c r="M1712" s="15"/>
      <c r="N1712" s="15"/>
      <c r="T1712" s="15"/>
      <c r="U1712" s="15"/>
    </row>
    <row r="1713" spans="12:21">
      <c r="L1713" s="15"/>
      <c r="M1713" s="15"/>
      <c r="N1713" s="15"/>
      <c r="T1713" s="15"/>
      <c r="U1713" s="15"/>
    </row>
    <row r="1714" spans="12:21">
      <c r="L1714" s="15"/>
      <c r="M1714" s="15"/>
      <c r="N1714" s="15"/>
      <c r="T1714" s="15"/>
      <c r="U1714" s="15"/>
    </row>
    <row r="1715" spans="12:21">
      <c r="L1715" s="15"/>
      <c r="M1715" s="15"/>
      <c r="N1715" s="15"/>
      <c r="T1715" s="15"/>
      <c r="U1715" s="15"/>
    </row>
    <row r="1716" spans="12:21">
      <c r="L1716" s="15"/>
      <c r="M1716" s="15"/>
      <c r="N1716" s="15"/>
      <c r="T1716" s="15"/>
      <c r="U1716" s="15"/>
    </row>
    <row r="1717" spans="12:21">
      <c r="L1717" s="15"/>
      <c r="M1717" s="15"/>
      <c r="N1717" s="15"/>
      <c r="T1717" s="15"/>
      <c r="U1717" s="15"/>
    </row>
    <row r="1718" spans="12:21">
      <c r="L1718" s="15"/>
      <c r="M1718" s="15"/>
      <c r="N1718" s="15"/>
      <c r="T1718" s="15"/>
      <c r="U1718" s="15"/>
    </row>
    <row r="1719" spans="12:21">
      <c r="L1719" s="15"/>
      <c r="M1719" s="15"/>
      <c r="N1719" s="15"/>
      <c r="T1719" s="15"/>
      <c r="U1719" s="15"/>
    </row>
    <row r="1720" spans="12:21">
      <c r="L1720" s="15"/>
      <c r="M1720" s="15"/>
      <c r="N1720" s="15"/>
      <c r="T1720" s="15"/>
      <c r="U1720" s="15"/>
    </row>
    <row r="1721" spans="12:21">
      <c r="L1721" s="15"/>
      <c r="M1721" s="15"/>
      <c r="N1721" s="15"/>
      <c r="T1721" s="15"/>
      <c r="U1721" s="15"/>
    </row>
    <row r="1722" spans="12:21">
      <c r="L1722" s="15"/>
      <c r="M1722" s="15"/>
      <c r="N1722" s="15"/>
      <c r="T1722" s="15"/>
      <c r="U1722" s="15"/>
    </row>
    <row r="1723" spans="12:21">
      <c r="L1723" s="15"/>
      <c r="M1723" s="15"/>
      <c r="N1723" s="15"/>
      <c r="T1723" s="15"/>
      <c r="U1723" s="15"/>
    </row>
    <row r="1724" spans="12:21">
      <c r="L1724" s="15"/>
      <c r="M1724" s="15"/>
      <c r="N1724" s="15"/>
      <c r="T1724" s="15"/>
      <c r="U1724" s="15"/>
    </row>
    <row r="1725" spans="12:21">
      <c r="L1725" s="15"/>
      <c r="M1725" s="15"/>
      <c r="N1725" s="15"/>
      <c r="T1725" s="15"/>
      <c r="U1725" s="15"/>
    </row>
    <row r="1726" spans="12:21">
      <c r="L1726" s="15"/>
      <c r="M1726" s="15"/>
      <c r="N1726" s="15"/>
      <c r="T1726" s="15"/>
      <c r="U1726" s="15"/>
    </row>
    <row r="1727" spans="12:21">
      <c r="L1727" s="15"/>
      <c r="M1727" s="15"/>
      <c r="N1727" s="15"/>
      <c r="T1727" s="15"/>
      <c r="U1727" s="15"/>
    </row>
    <row r="1728" spans="12:21">
      <c r="L1728" s="15"/>
      <c r="M1728" s="15"/>
      <c r="N1728" s="15"/>
      <c r="T1728" s="15"/>
      <c r="U1728" s="15"/>
    </row>
    <row r="1729" spans="12:21">
      <c r="L1729" s="15"/>
      <c r="M1729" s="15"/>
      <c r="N1729" s="15"/>
      <c r="T1729" s="15"/>
      <c r="U1729" s="15"/>
    </row>
    <row r="1730" spans="12:21">
      <c r="L1730" s="15"/>
      <c r="M1730" s="15"/>
      <c r="N1730" s="15"/>
      <c r="T1730" s="15"/>
      <c r="U1730" s="15"/>
    </row>
    <row r="1731" spans="12:21">
      <c r="L1731" s="15"/>
      <c r="M1731" s="15"/>
      <c r="N1731" s="15"/>
      <c r="T1731" s="15"/>
      <c r="U1731" s="15"/>
    </row>
    <row r="1732" spans="12:21">
      <c r="L1732" s="15"/>
      <c r="M1732" s="15"/>
      <c r="N1732" s="15"/>
      <c r="T1732" s="15"/>
      <c r="U1732" s="15"/>
    </row>
    <row r="1733" spans="12:21">
      <c r="L1733" s="15"/>
      <c r="M1733" s="15"/>
      <c r="N1733" s="15"/>
      <c r="T1733" s="15"/>
      <c r="U1733" s="15"/>
    </row>
    <row r="1734" spans="12:21">
      <c r="L1734" s="15"/>
      <c r="M1734" s="15"/>
      <c r="N1734" s="15"/>
      <c r="T1734" s="15"/>
      <c r="U1734" s="15"/>
    </row>
    <row r="1735" spans="12:21">
      <c r="L1735" s="15"/>
      <c r="M1735" s="15"/>
      <c r="N1735" s="15"/>
      <c r="T1735" s="15"/>
      <c r="U1735" s="15"/>
    </row>
    <row r="1736" spans="12:21">
      <c r="L1736" s="15"/>
      <c r="M1736" s="15"/>
      <c r="N1736" s="15"/>
      <c r="T1736" s="15"/>
      <c r="U1736" s="15"/>
    </row>
    <row r="1737" spans="12:21">
      <c r="L1737" s="15"/>
      <c r="M1737" s="15"/>
      <c r="N1737" s="15"/>
      <c r="T1737" s="15"/>
      <c r="U1737" s="15"/>
    </row>
    <row r="1738" spans="12:21">
      <c r="L1738" s="15"/>
      <c r="M1738" s="15"/>
      <c r="N1738" s="15"/>
      <c r="T1738" s="15"/>
      <c r="U1738" s="15"/>
    </row>
    <row r="1739" spans="12:21">
      <c r="L1739" s="15"/>
      <c r="M1739" s="15"/>
      <c r="N1739" s="15"/>
      <c r="T1739" s="15"/>
      <c r="U1739" s="15"/>
    </row>
    <row r="1740" spans="12:21">
      <c r="L1740" s="15"/>
      <c r="M1740" s="15"/>
      <c r="N1740" s="15"/>
      <c r="T1740" s="15"/>
      <c r="U1740" s="15"/>
    </row>
    <row r="1741" spans="12:21">
      <c r="L1741" s="15"/>
      <c r="M1741" s="15"/>
      <c r="N1741" s="15"/>
      <c r="T1741" s="15"/>
      <c r="U1741" s="15"/>
    </row>
    <row r="1742" spans="12:21">
      <c r="L1742" s="15"/>
      <c r="M1742" s="15"/>
      <c r="N1742" s="15"/>
      <c r="T1742" s="15"/>
      <c r="U1742" s="15"/>
    </row>
    <row r="1743" spans="12:21">
      <c r="L1743" s="15"/>
      <c r="M1743" s="15"/>
      <c r="N1743" s="15"/>
      <c r="T1743" s="15"/>
      <c r="U1743" s="15"/>
    </row>
    <row r="1744" spans="12:21">
      <c r="L1744" s="15"/>
      <c r="M1744" s="15"/>
      <c r="N1744" s="15"/>
      <c r="T1744" s="15"/>
      <c r="U1744" s="15"/>
    </row>
    <row r="1745" spans="12:21">
      <c r="L1745" s="15"/>
      <c r="M1745" s="15"/>
      <c r="N1745" s="15"/>
      <c r="T1745" s="15"/>
      <c r="U1745" s="15"/>
    </row>
    <row r="1746" spans="12:21">
      <c r="L1746" s="15"/>
      <c r="M1746" s="15"/>
      <c r="N1746" s="15"/>
      <c r="T1746" s="15"/>
      <c r="U1746" s="15"/>
    </row>
    <row r="1747" spans="12:21">
      <c r="L1747" s="15"/>
      <c r="M1747" s="15"/>
      <c r="N1747" s="15"/>
      <c r="T1747" s="15"/>
      <c r="U1747" s="15"/>
    </row>
    <row r="1748" spans="12:21">
      <c r="L1748" s="15"/>
      <c r="M1748" s="15"/>
      <c r="N1748" s="15"/>
      <c r="T1748" s="15"/>
      <c r="U1748" s="15"/>
    </row>
    <row r="1749" spans="12:21">
      <c r="L1749" s="15"/>
      <c r="M1749" s="15"/>
      <c r="N1749" s="15"/>
      <c r="T1749" s="15"/>
      <c r="U1749" s="15"/>
    </row>
    <row r="1750" spans="12:21">
      <c r="L1750" s="15"/>
      <c r="M1750" s="15"/>
      <c r="N1750" s="15"/>
      <c r="T1750" s="15"/>
      <c r="U1750" s="15"/>
    </row>
    <row r="1751" spans="12:21">
      <c r="L1751" s="15"/>
      <c r="M1751" s="15"/>
      <c r="N1751" s="15"/>
      <c r="T1751" s="15"/>
      <c r="U1751" s="15"/>
    </row>
    <row r="1752" spans="12:21">
      <c r="L1752" s="15"/>
      <c r="M1752" s="15"/>
      <c r="N1752" s="15"/>
      <c r="T1752" s="15"/>
      <c r="U1752" s="15"/>
    </row>
    <row r="1753" spans="12:21">
      <c r="L1753" s="15"/>
      <c r="M1753" s="15"/>
      <c r="N1753" s="15"/>
      <c r="T1753" s="15"/>
      <c r="U1753" s="15"/>
    </row>
    <row r="1754" spans="12:21">
      <c r="L1754" s="15"/>
      <c r="M1754" s="15"/>
      <c r="N1754" s="15"/>
      <c r="T1754" s="15"/>
      <c r="U1754" s="15"/>
    </row>
    <row r="1755" spans="12:21">
      <c r="L1755" s="15"/>
      <c r="M1755" s="15"/>
      <c r="N1755" s="15"/>
      <c r="T1755" s="15"/>
      <c r="U1755" s="15"/>
    </row>
    <row r="1756" spans="12:21">
      <c r="L1756" s="15"/>
      <c r="M1756" s="15"/>
      <c r="N1756" s="15"/>
      <c r="T1756" s="15"/>
      <c r="U1756" s="15"/>
    </row>
    <row r="1757" spans="12:21">
      <c r="L1757" s="15"/>
      <c r="M1757" s="15"/>
      <c r="N1757" s="15"/>
      <c r="T1757" s="15"/>
      <c r="U1757" s="15"/>
    </row>
    <row r="1758" spans="12:21">
      <c r="L1758" s="15"/>
      <c r="M1758" s="15"/>
      <c r="N1758" s="15"/>
      <c r="T1758" s="15"/>
      <c r="U1758" s="15"/>
    </row>
    <row r="1759" spans="12:21">
      <c r="L1759" s="15"/>
      <c r="M1759" s="15"/>
      <c r="N1759" s="15"/>
      <c r="T1759" s="15"/>
      <c r="U1759" s="15"/>
    </row>
    <row r="1760" spans="12:21">
      <c r="L1760" s="15"/>
      <c r="M1760" s="15"/>
      <c r="N1760" s="15"/>
      <c r="T1760" s="15"/>
      <c r="U1760" s="15"/>
    </row>
    <row r="1761" spans="12:21">
      <c r="L1761" s="15"/>
      <c r="M1761" s="15"/>
      <c r="N1761" s="15"/>
      <c r="T1761" s="15"/>
      <c r="U1761" s="15"/>
    </row>
    <row r="1762" spans="12:21">
      <c r="L1762" s="15"/>
      <c r="M1762" s="15"/>
      <c r="N1762" s="15"/>
      <c r="T1762" s="15"/>
      <c r="U1762" s="15"/>
    </row>
    <row r="1763" spans="12:21">
      <c r="L1763" s="15"/>
      <c r="M1763" s="15"/>
      <c r="N1763" s="15"/>
      <c r="T1763" s="15"/>
      <c r="U1763" s="15"/>
    </row>
    <row r="1764" spans="12:21">
      <c r="L1764" s="15"/>
      <c r="M1764" s="15"/>
      <c r="N1764" s="15"/>
      <c r="T1764" s="15"/>
      <c r="U1764" s="15"/>
    </row>
    <row r="1765" spans="12:21">
      <c r="L1765" s="15"/>
      <c r="M1765" s="15"/>
      <c r="N1765" s="15"/>
      <c r="T1765" s="15"/>
      <c r="U1765" s="15"/>
    </row>
    <row r="1766" spans="12:21">
      <c r="L1766" s="15"/>
      <c r="M1766" s="15"/>
      <c r="N1766" s="15"/>
      <c r="T1766" s="15"/>
      <c r="U1766" s="15"/>
    </row>
    <row r="1767" spans="12:21">
      <c r="L1767" s="15"/>
      <c r="M1767" s="15"/>
      <c r="N1767" s="15"/>
      <c r="T1767" s="15"/>
      <c r="U1767" s="15"/>
    </row>
    <row r="1768" spans="12:21">
      <c r="L1768" s="15"/>
      <c r="M1768" s="15"/>
      <c r="N1768" s="15"/>
      <c r="T1768" s="15"/>
      <c r="U1768" s="15"/>
    </row>
    <row r="1769" spans="12:21">
      <c r="L1769" s="15"/>
      <c r="M1769" s="15"/>
      <c r="N1769" s="15"/>
      <c r="T1769" s="15"/>
      <c r="U1769" s="15"/>
    </row>
    <row r="1770" spans="12:21">
      <c r="L1770" s="15"/>
      <c r="M1770" s="15"/>
      <c r="N1770" s="15"/>
      <c r="T1770" s="15"/>
      <c r="U1770" s="15"/>
    </row>
    <row r="1771" spans="12:21">
      <c r="L1771" s="15"/>
      <c r="M1771" s="15"/>
      <c r="N1771" s="15"/>
      <c r="T1771" s="15"/>
      <c r="U1771" s="15"/>
    </row>
    <row r="1772" spans="12:21">
      <c r="L1772" s="15"/>
      <c r="M1772" s="15"/>
      <c r="N1772" s="15"/>
      <c r="T1772" s="15"/>
      <c r="U1772" s="15"/>
    </row>
    <row r="1773" spans="12:21">
      <c r="L1773" s="15"/>
      <c r="M1773" s="15"/>
      <c r="N1773" s="15"/>
      <c r="T1773" s="15"/>
      <c r="U1773" s="15"/>
    </row>
    <row r="1774" spans="12:21">
      <c r="L1774" s="15"/>
      <c r="M1774" s="15"/>
      <c r="N1774" s="15"/>
      <c r="T1774" s="15"/>
      <c r="U1774" s="15"/>
    </row>
    <row r="1775" spans="12:21">
      <c r="L1775" s="15"/>
      <c r="M1775" s="15"/>
      <c r="N1775" s="15"/>
      <c r="T1775" s="15"/>
      <c r="U1775" s="15"/>
    </row>
    <row r="1776" spans="12:21">
      <c r="L1776" s="15"/>
      <c r="M1776" s="15"/>
      <c r="N1776" s="15"/>
      <c r="T1776" s="15"/>
      <c r="U1776" s="15"/>
    </row>
    <row r="1777" spans="12:21">
      <c r="L1777" s="15"/>
      <c r="M1777" s="15"/>
      <c r="N1777" s="15"/>
      <c r="T1777" s="15"/>
      <c r="U1777" s="15"/>
    </row>
    <row r="1778" spans="12:21">
      <c r="L1778" s="15"/>
      <c r="M1778" s="15"/>
      <c r="N1778" s="15"/>
      <c r="T1778" s="15"/>
      <c r="U1778" s="15"/>
    </row>
    <row r="1779" spans="12:21">
      <c r="L1779" s="15"/>
      <c r="M1779" s="15"/>
      <c r="N1779" s="15"/>
      <c r="T1779" s="15"/>
      <c r="U1779" s="15"/>
    </row>
    <row r="1780" spans="12:21">
      <c r="L1780" s="15"/>
      <c r="M1780" s="15"/>
      <c r="N1780" s="15"/>
      <c r="T1780" s="15"/>
      <c r="U1780" s="15"/>
    </row>
    <row r="1781" spans="12:21">
      <c r="L1781" s="15"/>
      <c r="M1781" s="15"/>
      <c r="N1781" s="15"/>
      <c r="T1781" s="15"/>
      <c r="U1781" s="15"/>
    </row>
    <row r="1782" spans="12:21">
      <c r="L1782" s="15"/>
      <c r="M1782" s="15"/>
      <c r="N1782" s="15"/>
      <c r="T1782" s="15"/>
      <c r="U1782" s="15"/>
    </row>
    <row r="1783" spans="12:21">
      <c r="L1783" s="15"/>
      <c r="M1783" s="15"/>
      <c r="N1783" s="15"/>
      <c r="T1783" s="15"/>
      <c r="U1783" s="15"/>
    </row>
    <row r="1784" spans="12:21">
      <c r="L1784" s="15"/>
      <c r="M1784" s="15"/>
      <c r="N1784" s="15"/>
      <c r="T1784" s="15"/>
      <c r="U1784" s="15"/>
    </row>
    <row r="1785" spans="12:21">
      <c r="L1785" s="15"/>
      <c r="M1785" s="15"/>
      <c r="N1785" s="15"/>
      <c r="T1785" s="15"/>
      <c r="U1785" s="15"/>
    </row>
    <row r="1786" spans="12:21">
      <c r="L1786" s="15"/>
      <c r="M1786" s="15"/>
      <c r="N1786" s="15"/>
      <c r="T1786" s="15"/>
      <c r="U1786" s="15"/>
    </row>
    <row r="1787" spans="12:21">
      <c r="L1787" s="15"/>
      <c r="M1787" s="15"/>
      <c r="N1787" s="15"/>
      <c r="T1787" s="15"/>
      <c r="U1787" s="15"/>
    </row>
    <row r="1788" spans="12:21">
      <c r="L1788" s="15"/>
      <c r="M1788" s="15"/>
      <c r="N1788" s="15"/>
      <c r="T1788" s="15"/>
      <c r="U1788" s="15"/>
    </row>
    <row r="1789" spans="12:21">
      <c r="L1789" s="15"/>
      <c r="M1789" s="15"/>
      <c r="N1789" s="15"/>
      <c r="T1789" s="15"/>
      <c r="U1789" s="15"/>
    </row>
    <row r="1790" spans="12:21">
      <c r="L1790" s="15"/>
      <c r="M1790" s="15"/>
      <c r="N1790" s="15"/>
      <c r="T1790" s="15"/>
      <c r="U1790" s="15"/>
    </row>
    <row r="1791" spans="12:21">
      <c r="L1791" s="15"/>
      <c r="M1791" s="15"/>
      <c r="N1791" s="15"/>
      <c r="T1791" s="15"/>
      <c r="U1791" s="15"/>
    </row>
    <row r="1792" spans="12:21">
      <c r="L1792" s="15"/>
      <c r="M1792" s="15"/>
      <c r="N1792" s="15"/>
      <c r="T1792" s="15"/>
      <c r="U1792" s="15"/>
    </row>
    <row r="1793" spans="12:21">
      <c r="L1793" s="15"/>
      <c r="M1793" s="15"/>
      <c r="N1793" s="15"/>
      <c r="T1793" s="15"/>
      <c r="U1793" s="15"/>
    </row>
    <row r="1794" spans="12:21">
      <c r="L1794" s="15"/>
      <c r="M1794" s="15"/>
      <c r="N1794" s="15"/>
      <c r="T1794" s="15"/>
      <c r="U1794" s="15"/>
    </row>
    <row r="1795" spans="12:21">
      <c r="L1795" s="15"/>
      <c r="M1795" s="15"/>
      <c r="N1795" s="15"/>
      <c r="T1795" s="15"/>
      <c r="U1795" s="15"/>
    </row>
    <row r="1796" spans="12:21">
      <c r="L1796" s="15"/>
      <c r="M1796" s="15"/>
      <c r="N1796" s="15"/>
      <c r="T1796" s="15"/>
      <c r="U1796" s="15"/>
    </row>
    <row r="1797" spans="12:21">
      <c r="L1797" s="15"/>
      <c r="M1797" s="15"/>
      <c r="N1797" s="15"/>
      <c r="T1797" s="15"/>
      <c r="U1797" s="15"/>
    </row>
    <row r="1798" spans="12:21">
      <c r="L1798" s="15"/>
      <c r="M1798" s="15"/>
      <c r="N1798" s="15"/>
      <c r="T1798" s="15"/>
      <c r="U1798" s="15"/>
    </row>
    <row r="1799" spans="12:21">
      <c r="L1799" s="15"/>
      <c r="M1799" s="15"/>
      <c r="N1799" s="15"/>
      <c r="T1799" s="15"/>
      <c r="U1799" s="15"/>
    </row>
    <row r="1800" spans="12:21">
      <c r="L1800" s="15"/>
      <c r="M1800" s="15"/>
      <c r="N1800" s="15"/>
      <c r="T1800" s="15"/>
      <c r="U1800" s="15"/>
    </row>
    <row r="1801" spans="12:21">
      <c r="L1801" s="15"/>
      <c r="M1801" s="15"/>
      <c r="N1801" s="15"/>
      <c r="T1801" s="15"/>
      <c r="U1801" s="15"/>
    </row>
    <row r="1802" spans="12:21">
      <c r="L1802" s="15"/>
      <c r="M1802" s="15"/>
      <c r="N1802" s="15"/>
      <c r="T1802" s="15"/>
      <c r="U1802" s="15"/>
    </row>
    <row r="1803" spans="12:21">
      <c r="L1803" s="15"/>
      <c r="M1803" s="15"/>
      <c r="N1803" s="15"/>
      <c r="T1803" s="15"/>
      <c r="U1803" s="15"/>
    </row>
    <row r="1804" spans="12:21">
      <c r="L1804" s="15"/>
      <c r="M1804" s="15"/>
      <c r="N1804" s="15"/>
      <c r="T1804" s="15"/>
      <c r="U1804" s="15"/>
    </row>
    <row r="1805" spans="12:21">
      <c r="L1805" s="15"/>
      <c r="M1805" s="15"/>
      <c r="N1805" s="15"/>
      <c r="T1805" s="15"/>
      <c r="U1805" s="15"/>
    </row>
    <row r="1806" spans="12:21">
      <c r="L1806" s="15"/>
      <c r="M1806" s="15"/>
      <c r="N1806" s="15"/>
      <c r="T1806" s="15"/>
      <c r="U1806" s="15"/>
    </row>
    <row r="1807" spans="12:21">
      <c r="L1807" s="15"/>
      <c r="M1807" s="15"/>
      <c r="N1807" s="15"/>
      <c r="T1807" s="15"/>
      <c r="U1807" s="15"/>
    </row>
    <row r="1808" spans="12:21">
      <c r="L1808" s="15"/>
      <c r="M1808" s="15"/>
      <c r="N1808" s="15"/>
      <c r="T1808" s="15"/>
      <c r="U1808" s="15"/>
    </row>
    <row r="1809" spans="12:21">
      <c r="L1809" s="15"/>
      <c r="M1809" s="15"/>
      <c r="N1809" s="15"/>
      <c r="T1809" s="15"/>
      <c r="U1809" s="15"/>
    </row>
    <row r="1810" spans="12:21">
      <c r="L1810" s="15"/>
      <c r="M1810" s="15"/>
      <c r="N1810" s="15"/>
      <c r="T1810" s="15"/>
      <c r="U1810" s="15"/>
    </row>
    <row r="1811" spans="12:21">
      <c r="L1811" s="15"/>
      <c r="M1811" s="15"/>
      <c r="N1811" s="15"/>
      <c r="T1811" s="15"/>
      <c r="U1811" s="15"/>
    </row>
    <row r="1812" spans="12:21">
      <c r="L1812" s="15"/>
      <c r="M1812" s="15"/>
      <c r="N1812" s="15"/>
      <c r="T1812" s="15"/>
      <c r="U1812" s="15"/>
    </row>
    <row r="1813" spans="12:21">
      <c r="L1813" s="15"/>
      <c r="M1813" s="15"/>
      <c r="N1813" s="15"/>
      <c r="T1813" s="15"/>
      <c r="U1813" s="15"/>
    </row>
    <row r="1814" spans="12:21">
      <c r="L1814" s="15"/>
      <c r="M1814" s="15"/>
      <c r="N1814" s="15"/>
      <c r="T1814" s="15"/>
      <c r="U1814" s="15"/>
    </row>
    <row r="1815" spans="12:21">
      <c r="L1815" s="15"/>
      <c r="M1815" s="15"/>
      <c r="N1815" s="15"/>
      <c r="T1815" s="15"/>
      <c r="U1815" s="15"/>
    </row>
    <row r="1816" spans="12:21">
      <c r="L1816" s="15"/>
      <c r="M1816" s="15"/>
      <c r="N1816" s="15"/>
      <c r="T1816" s="15"/>
      <c r="U1816" s="15"/>
    </row>
    <row r="1817" spans="12:21">
      <c r="L1817" s="15"/>
      <c r="M1817" s="15"/>
      <c r="N1817" s="15"/>
      <c r="T1817" s="15"/>
      <c r="U1817" s="15"/>
    </row>
    <row r="1818" spans="12:21">
      <c r="L1818" s="15"/>
      <c r="M1818" s="15"/>
      <c r="N1818" s="15"/>
      <c r="T1818" s="15"/>
      <c r="U1818" s="15"/>
    </row>
    <row r="1819" spans="12:21">
      <c r="L1819" s="15"/>
      <c r="M1819" s="15"/>
      <c r="N1819" s="15"/>
      <c r="T1819" s="15"/>
      <c r="U1819" s="15"/>
    </row>
    <row r="1820" spans="12:21">
      <c r="L1820" s="15"/>
      <c r="M1820" s="15"/>
      <c r="N1820" s="15"/>
      <c r="T1820" s="15"/>
      <c r="U1820" s="15"/>
    </row>
    <row r="1821" spans="12:21">
      <c r="L1821" s="15"/>
      <c r="M1821" s="15"/>
      <c r="N1821" s="15"/>
      <c r="T1821" s="15"/>
      <c r="U1821" s="15"/>
    </row>
    <row r="1822" spans="12:21">
      <c r="L1822" s="15"/>
      <c r="M1822" s="15"/>
      <c r="N1822" s="15"/>
      <c r="T1822" s="15"/>
      <c r="U1822" s="15"/>
    </row>
    <row r="1823" spans="12:21">
      <c r="L1823" s="15"/>
      <c r="M1823" s="15"/>
      <c r="N1823" s="15"/>
      <c r="T1823" s="15"/>
      <c r="U1823" s="15"/>
    </row>
    <row r="1824" spans="12:21">
      <c r="L1824" s="15"/>
      <c r="M1824" s="15"/>
      <c r="N1824" s="15"/>
      <c r="T1824" s="15"/>
      <c r="U1824" s="15"/>
    </row>
    <row r="1825" spans="12:21">
      <c r="L1825" s="15"/>
      <c r="M1825" s="15"/>
      <c r="N1825" s="15"/>
      <c r="T1825" s="15"/>
      <c r="U1825" s="15"/>
    </row>
    <row r="1826" spans="12:21">
      <c r="L1826" s="15"/>
      <c r="M1826" s="15"/>
      <c r="N1826" s="15"/>
      <c r="T1826" s="15"/>
      <c r="U1826" s="15"/>
    </row>
    <row r="1827" spans="12:21">
      <c r="L1827" s="15"/>
      <c r="M1827" s="15"/>
      <c r="N1827" s="15"/>
      <c r="T1827" s="15"/>
      <c r="U1827" s="15"/>
    </row>
    <row r="1828" spans="12:21">
      <c r="L1828" s="15"/>
      <c r="M1828" s="15"/>
      <c r="N1828" s="15"/>
      <c r="T1828" s="15"/>
      <c r="U1828" s="15"/>
    </row>
    <row r="1829" spans="12:21">
      <c r="L1829" s="15"/>
      <c r="M1829" s="15"/>
      <c r="N1829" s="15"/>
      <c r="T1829" s="15"/>
      <c r="U1829" s="15"/>
    </row>
    <row r="1830" spans="12:21">
      <c r="L1830" s="15"/>
      <c r="M1830" s="15"/>
      <c r="N1830" s="15"/>
      <c r="T1830" s="15"/>
      <c r="U1830" s="15"/>
    </row>
    <row r="1831" spans="12:21">
      <c r="L1831" s="15"/>
      <c r="M1831" s="15"/>
      <c r="N1831" s="15"/>
      <c r="T1831" s="15"/>
      <c r="U1831" s="15"/>
    </row>
    <row r="1832" spans="12:21">
      <c r="L1832" s="15"/>
      <c r="M1832" s="15"/>
      <c r="N1832" s="15"/>
      <c r="T1832" s="15"/>
      <c r="U1832" s="15"/>
    </row>
    <row r="1833" spans="12:21">
      <c r="L1833" s="15"/>
      <c r="M1833" s="15"/>
      <c r="N1833" s="15"/>
      <c r="T1833" s="15"/>
      <c r="U1833" s="15"/>
    </row>
    <row r="1834" spans="12:21">
      <c r="L1834" s="15"/>
      <c r="M1834" s="15"/>
      <c r="N1834" s="15"/>
      <c r="T1834" s="15"/>
      <c r="U1834" s="15"/>
    </row>
    <row r="1835" spans="12:21">
      <c r="L1835" s="15"/>
      <c r="M1835" s="15"/>
      <c r="N1835" s="15"/>
      <c r="T1835" s="15"/>
      <c r="U1835" s="15"/>
    </row>
    <row r="1836" spans="12:21">
      <c r="L1836" s="15"/>
      <c r="M1836" s="15"/>
      <c r="N1836" s="15"/>
      <c r="T1836" s="15"/>
      <c r="U1836" s="15"/>
    </row>
    <row r="1837" spans="12:21">
      <c r="L1837" s="15"/>
      <c r="M1837" s="15"/>
      <c r="N1837" s="15"/>
      <c r="T1837" s="15"/>
      <c r="U1837" s="15"/>
    </row>
    <row r="1838" spans="12:21">
      <c r="L1838" s="15"/>
      <c r="M1838" s="15"/>
      <c r="N1838" s="15"/>
      <c r="T1838" s="15"/>
      <c r="U1838" s="15"/>
    </row>
    <row r="1839" spans="12:21">
      <c r="L1839" s="15"/>
      <c r="M1839" s="15"/>
      <c r="N1839" s="15"/>
      <c r="T1839" s="15"/>
      <c r="U1839" s="15"/>
    </row>
    <row r="1840" spans="12:21">
      <c r="L1840" s="15"/>
      <c r="M1840" s="15"/>
      <c r="N1840" s="15"/>
      <c r="T1840" s="15"/>
      <c r="U1840" s="15"/>
    </row>
    <row r="1841" spans="12:21">
      <c r="L1841" s="15"/>
      <c r="M1841" s="15"/>
      <c r="N1841" s="15"/>
      <c r="T1841" s="15"/>
      <c r="U1841" s="15"/>
    </row>
    <row r="1842" spans="12:21">
      <c r="L1842" s="15"/>
      <c r="M1842" s="15"/>
      <c r="N1842" s="15"/>
      <c r="T1842" s="15"/>
      <c r="U1842" s="15"/>
    </row>
    <row r="1843" spans="12:21">
      <c r="L1843" s="15"/>
      <c r="M1843" s="15"/>
      <c r="N1843" s="15"/>
      <c r="T1843" s="15"/>
      <c r="U1843" s="15"/>
    </row>
    <row r="1844" spans="12:21">
      <c r="L1844" s="15"/>
      <c r="M1844" s="15"/>
      <c r="N1844" s="15"/>
      <c r="T1844" s="15"/>
      <c r="U1844" s="15"/>
    </row>
    <row r="1845" spans="12:21">
      <c r="L1845" s="15"/>
      <c r="M1845" s="15"/>
      <c r="N1845" s="15"/>
      <c r="T1845" s="15"/>
      <c r="U1845" s="15"/>
    </row>
    <row r="1846" spans="12:21">
      <c r="L1846" s="15"/>
      <c r="M1846" s="15"/>
      <c r="N1846" s="15"/>
      <c r="T1846" s="15"/>
      <c r="U1846" s="15"/>
    </row>
    <row r="1847" spans="12:21">
      <c r="L1847" s="15"/>
      <c r="M1847" s="15"/>
      <c r="N1847" s="15"/>
      <c r="T1847" s="15"/>
      <c r="U1847" s="15"/>
    </row>
    <row r="1848" spans="12:21">
      <c r="L1848" s="15"/>
      <c r="M1848" s="15"/>
      <c r="N1848" s="15"/>
      <c r="T1848" s="15"/>
      <c r="U1848" s="15"/>
    </row>
    <row r="1849" spans="12:21">
      <c r="L1849" s="15"/>
      <c r="M1849" s="15"/>
      <c r="N1849" s="15"/>
      <c r="T1849" s="15"/>
      <c r="U1849" s="15"/>
    </row>
    <row r="1850" spans="12:21">
      <c r="L1850" s="15"/>
      <c r="M1850" s="15"/>
      <c r="N1850" s="15"/>
      <c r="T1850" s="15"/>
      <c r="U1850" s="15"/>
    </row>
    <row r="1851" spans="12:21">
      <c r="L1851" s="15"/>
      <c r="M1851" s="15"/>
      <c r="N1851" s="15"/>
      <c r="T1851" s="15"/>
      <c r="U1851" s="15"/>
    </row>
    <row r="1852" spans="12:21">
      <c r="L1852" s="15"/>
      <c r="M1852" s="15"/>
      <c r="N1852" s="15"/>
      <c r="T1852" s="15"/>
      <c r="U1852" s="15"/>
    </row>
    <row r="1853" spans="12:21">
      <c r="L1853" s="15"/>
      <c r="M1853" s="15"/>
      <c r="N1853" s="15"/>
      <c r="T1853" s="15"/>
      <c r="U1853" s="15"/>
    </row>
    <row r="1854" spans="12:21">
      <c r="L1854" s="15"/>
      <c r="M1854" s="15"/>
      <c r="N1854" s="15"/>
      <c r="T1854" s="15"/>
      <c r="U1854" s="15"/>
    </row>
    <row r="1855" spans="12:21">
      <c r="L1855" s="15"/>
      <c r="M1855" s="15"/>
      <c r="N1855" s="15"/>
      <c r="T1855" s="15"/>
      <c r="U1855" s="15"/>
    </row>
    <row r="1856" spans="12:21">
      <c r="L1856" s="15"/>
      <c r="M1856" s="15"/>
      <c r="N1856" s="15"/>
      <c r="T1856" s="15"/>
      <c r="U1856" s="15"/>
    </row>
    <row r="1857" spans="12:21">
      <c r="L1857" s="15"/>
      <c r="M1857" s="15"/>
      <c r="N1857" s="15"/>
      <c r="T1857" s="15"/>
      <c r="U1857" s="15"/>
    </row>
    <row r="1858" spans="12:21">
      <c r="L1858" s="15"/>
      <c r="M1858" s="15"/>
      <c r="N1858" s="15"/>
      <c r="T1858" s="15"/>
      <c r="U1858" s="15"/>
    </row>
    <row r="1859" spans="12:21">
      <c r="L1859" s="15"/>
      <c r="M1859" s="15"/>
      <c r="N1859" s="15"/>
      <c r="T1859" s="15"/>
      <c r="U1859" s="15"/>
    </row>
    <row r="1860" spans="12:21">
      <c r="L1860" s="15"/>
      <c r="M1860" s="15"/>
      <c r="N1860" s="15"/>
      <c r="T1860" s="15"/>
      <c r="U1860" s="15"/>
    </row>
    <row r="1861" spans="12:21">
      <c r="L1861" s="15"/>
      <c r="M1861" s="15"/>
      <c r="N1861" s="15"/>
      <c r="T1861" s="15"/>
      <c r="U1861" s="15"/>
    </row>
    <row r="1862" spans="12:21">
      <c r="L1862" s="15"/>
      <c r="M1862" s="15"/>
      <c r="N1862" s="15"/>
      <c r="T1862" s="15"/>
      <c r="U1862" s="15"/>
    </row>
    <row r="1863" spans="12:21">
      <c r="L1863" s="15"/>
      <c r="M1863" s="15"/>
      <c r="N1863" s="15"/>
      <c r="T1863" s="15"/>
      <c r="U1863" s="15"/>
    </row>
    <row r="1864" spans="12:21">
      <c r="L1864" s="15"/>
      <c r="M1864" s="15"/>
      <c r="N1864" s="15"/>
      <c r="T1864" s="15"/>
      <c r="U1864" s="15"/>
    </row>
    <row r="1865" spans="12:21">
      <c r="L1865" s="15"/>
      <c r="M1865" s="15"/>
      <c r="N1865" s="15"/>
      <c r="T1865" s="15"/>
      <c r="U1865" s="15"/>
    </row>
    <row r="1866" spans="12:21">
      <c r="L1866" s="15"/>
      <c r="M1866" s="15"/>
      <c r="N1866" s="15"/>
      <c r="T1866" s="15"/>
      <c r="U1866" s="15"/>
    </row>
    <row r="1867" spans="12:21">
      <c r="L1867" s="15"/>
      <c r="M1867" s="15"/>
      <c r="N1867" s="15"/>
      <c r="T1867" s="15"/>
      <c r="U1867" s="15"/>
    </row>
    <row r="1868" spans="12:21">
      <c r="L1868" s="15"/>
      <c r="M1868" s="15"/>
      <c r="N1868" s="15"/>
      <c r="T1868" s="15"/>
      <c r="U1868" s="15"/>
    </row>
    <row r="1869" spans="12:21">
      <c r="L1869" s="15"/>
      <c r="M1869" s="15"/>
      <c r="N1869" s="15"/>
      <c r="T1869" s="15"/>
      <c r="U1869" s="15"/>
    </row>
    <row r="1870" spans="12:21">
      <c r="L1870" s="15"/>
      <c r="M1870" s="15"/>
      <c r="N1870" s="15"/>
      <c r="T1870" s="15"/>
      <c r="U1870" s="15"/>
    </row>
    <row r="1871" spans="12:21">
      <c r="L1871" s="15"/>
      <c r="M1871" s="15"/>
      <c r="N1871" s="15"/>
      <c r="T1871" s="15"/>
      <c r="U1871" s="15"/>
    </row>
    <row r="1872" spans="12:21">
      <c r="L1872" s="15"/>
      <c r="M1872" s="15"/>
      <c r="N1872" s="15"/>
      <c r="T1872" s="15"/>
      <c r="U1872" s="15"/>
    </row>
    <row r="1873" spans="12:21">
      <c r="L1873" s="15"/>
      <c r="M1873" s="15"/>
      <c r="N1873" s="15"/>
      <c r="T1873" s="15"/>
      <c r="U1873" s="15"/>
    </row>
    <row r="1874" spans="12:21">
      <c r="L1874" s="15"/>
      <c r="M1874" s="15"/>
      <c r="N1874" s="15"/>
      <c r="T1874" s="15"/>
      <c r="U1874" s="15"/>
    </row>
    <row r="1875" spans="12:21">
      <c r="L1875" s="15"/>
      <c r="M1875" s="15"/>
      <c r="N1875" s="15"/>
      <c r="T1875" s="15"/>
      <c r="U1875" s="15"/>
    </row>
    <row r="1876" spans="12:21">
      <c r="L1876" s="15"/>
      <c r="M1876" s="15"/>
      <c r="N1876" s="15"/>
      <c r="T1876" s="15"/>
      <c r="U1876" s="15"/>
    </row>
    <row r="1877" spans="12:21">
      <c r="L1877" s="15"/>
      <c r="M1877" s="15"/>
      <c r="N1877" s="15"/>
      <c r="T1877" s="15"/>
      <c r="U1877" s="15"/>
    </row>
    <row r="1878" spans="12:21">
      <c r="L1878" s="15"/>
      <c r="M1878" s="15"/>
      <c r="N1878" s="15"/>
      <c r="T1878" s="15"/>
      <c r="U1878" s="15"/>
    </row>
    <row r="1879" spans="12:21">
      <c r="L1879" s="15"/>
      <c r="M1879" s="15"/>
      <c r="N1879" s="15"/>
      <c r="T1879" s="15"/>
      <c r="U1879" s="15"/>
    </row>
    <row r="1880" spans="12:21">
      <c r="L1880" s="15"/>
      <c r="M1880" s="15"/>
      <c r="N1880" s="15"/>
      <c r="T1880" s="15"/>
      <c r="U1880" s="15"/>
    </row>
    <row r="1881" spans="12:21">
      <c r="L1881" s="15"/>
      <c r="M1881" s="15"/>
      <c r="N1881" s="15"/>
      <c r="T1881" s="15"/>
      <c r="U1881" s="15"/>
    </row>
    <row r="1882" spans="12:21">
      <c r="L1882" s="15"/>
      <c r="M1882" s="15"/>
      <c r="N1882" s="15"/>
      <c r="T1882" s="15"/>
      <c r="U1882" s="15"/>
    </row>
    <row r="1883" spans="12:21">
      <c r="L1883" s="15"/>
      <c r="M1883" s="15"/>
      <c r="N1883" s="15"/>
      <c r="T1883" s="15"/>
      <c r="U1883" s="15"/>
    </row>
    <row r="1884" spans="12:21">
      <c r="L1884" s="15"/>
      <c r="M1884" s="15"/>
      <c r="N1884" s="15"/>
      <c r="T1884" s="15"/>
      <c r="U1884" s="15"/>
    </row>
    <row r="1885" spans="12:21">
      <c r="L1885" s="15"/>
      <c r="M1885" s="15"/>
      <c r="N1885" s="15"/>
      <c r="T1885" s="15"/>
      <c r="U1885" s="15"/>
    </row>
    <row r="1886" spans="12:21">
      <c r="L1886" s="15"/>
      <c r="M1886" s="15"/>
      <c r="N1886" s="15"/>
      <c r="T1886" s="15"/>
      <c r="U1886" s="15"/>
    </row>
    <row r="1887" spans="12:21">
      <c r="L1887" s="15"/>
      <c r="M1887" s="15"/>
      <c r="N1887" s="15"/>
      <c r="T1887" s="15"/>
      <c r="U1887" s="15"/>
    </row>
    <row r="1888" spans="12:21">
      <c r="L1888" s="15"/>
      <c r="M1888" s="15"/>
      <c r="N1888" s="15"/>
      <c r="T1888" s="15"/>
      <c r="U1888" s="15"/>
    </row>
    <row r="1889" spans="12:21">
      <c r="L1889" s="15"/>
      <c r="M1889" s="15"/>
      <c r="N1889" s="15"/>
      <c r="T1889" s="15"/>
      <c r="U1889" s="15"/>
    </row>
    <row r="1890" spans="12:21">
      <c r="L1890" s="15"/>
      <c r="M1890" s="15"/>
      <c r="N1890" s="15"/>
      <c r="T1890" s="15"/>
      <c r="U1890" s="15"/>
    </row>
    <row r="1891" spans="12:21">
      <c r="N1891" s="15"/>
    </row>
    <row r="1892" spans="12:21">
      <c r="N1892" s="15"/>
    </row>
    <row r="1893" spans="12:21">
      <c r="N1893" s="15"/>
    </row>
    <row r="1894" spans="12:21">
      <c r="N1894" s="15"/>
    </row>
    <row r="1895" spans="12:21">
      <c r="N1895" s="15"/>
    </row>
    <row r="1896" spans="12:21">
      <c r="N1896" s="15"/>
    </row>
    <row r="1897" spans="12:21">
      <c r="N1897" s="15"/>
    </row>
    <row r="1898" spans="12:21">
      <c r="N1898" s="15"/>
    </row>
    <row r="1899" spans="12:21">
      <c r="N1899" s="15"/>
    </row>
    <row r="1900" spans="12:21">
      <c r="N1900" s="15"/>
    </row>
    <row r="1901" spans="12:21">
      <c r="N1901" s="15"/>
    </row>
    <row r="1902" spans="12:21">
      <c r="N1902" s="15"/>
    </row>
    <row r="1903" spans="12:21">
      <c r="N1903" s="15"/>
    </row>
    <row r="1904" spans="12:21">
      <c r="N1904" s="15"/>
    </row>
    <row r="1905" spans="14:14">
      <c r="N1905" s="15"/>
    </row>
    <row r="1906" spans="14:14">
      <c r="N1906" s="15"/>
    </row>
  </sheetData>
  <mergeCells count="72">
    <mergeCell ref="B364:C378"/>
    <mergeCell ref="A22:A207"/>
    <mergeCell ref="C88:C102"/>
    <mergeCell ref="C133:C147"/>
    <mergeCell ref="A409:A470"/>
    <mergeCell ref="A347:A408"/>
    <mergeCell ref="B394:C408"/>
    <mergeCell ref="B409:C425"/>
    <mergeCell ref="B441:C455"/>
    <mergeCell ref="B426:C440"/>
    <mergeCell ref="B456:C470"/>
    <mergeCell ref="B379:C393"/>
    <mergeCell ref="C315:C329"/>
    <mergeCell ref="C148:C162"/>
    <mergeCell ref="C103:C117"/>
    <mergeCell ref="B330:C346"/>
    <mergeCell ref="B347:C363"/>
    <mergeCell ref="V1:W1"/>
    <mergeCell ref="C6:W6"/>
    <mergeCell ref="C7:W7"/>
    <mergeCell ref="C8:W8"/>
    <mergeCell ref="A13:C14"/>
    <mergeCell ref="D13:D14"/>
    <mergeCell ref="F13:U13"/>
    <mergeCell ref="V13:V14"/>
    <mergeCell ref="E13:E14"/>
    <mergeCell ref="C285:C299"/>
    <mergeCell ref="A330:A346"/>
    <mergeCell ref="B238:C252"/>
    <mergeCell ref="A253:A329"/>
    <mergeCell ref="B253:C269"/>
    <mergeCell ref="A15:W15"/>
    <mergeCell ref="A16:C18"/>
    <mergeCell ref="A19:C21"/>
    <mergeCell ref="B270:B299"/>
    <mergeCell ref="B300:B329"/>
    <mergeCell ref="A208:A252"/>
    <mergeCell ref="C270:C284"/>
    <mergeCell ref="C300:C314"/>
    <mergeCell ref="A471:A515"/>
    <mergeCell ref="B582:C596"/>
    <mergeCell ref="B612:C626"/>
    <mergeCell ref="W13:W14"/>
    <mergeCell ref="B208:C222"/>
    <mergeCell ref="B223:C237"/>
    <mergeCell ref="C73:C87"/>
    <mergeCell ref="B22:C38"/>
    <mergeCell ref="B39:C55"/>
    <mergeCell ref="B56:C72"/>
    <mergeCell ref="B73:B117"/>
    <mergeCell ref="B118:B162"/>
    <mergeCell ref="B163:C177"/>
    <mergeCell ref="B178:C192"/>
    <mergeCell ref="B193:C207"/>
    <mergeCell ref="C118:C132"/>
    <mergeCell ref="B471:C485"/>
    <mergeCell ref="B486:C500"/>
    <mergeCell ref="B501:C515"/>
    <mergeCell ref="B516:C532"/>
    <mergeCell ref="B533:C549"/>
    <mergeCell ref="B659:C673"/>
    <mergeCell ref="B689:C703"/>
    <mergeCell ref="B719:C733"/>
    <mergeCell ref="B734:C748"/>
    <mergeCell ref="A516:A748"/>
    <mergeCell ref="B550:C566"/>
    <mergeCell ref="B567:C581"/>
    <mergeCell ref="B597:C611"/>
    <mergeCell ref="B627:C643"/>
    <mergeCell ref="B644:C658"/>
    <mergeCell ref="B674:C688"/>
    <mergeCell ref="B704:C718"/>
  </mergeCells>
  <pageMargins left="0.19685039370078741" right="0.19685039370078741" top="0.19685039370078741" bottom="0.19685039370078741" header="0.19685039370078741" footer="0.31496062992125984"/>
  <pageSetup paperSize="9" scale="17" fitToHeight="2" orientation="portrait" r:id="rId1"/>
  <rowBreaks count="1" manualBreakCount="1">
    <brk id="500" max="2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7:F22"/>
  <sheetViews>
    <sheetView workbookViewId="0">
      <selection activeCell="E18" sqref="E18:F19"/>
    </sheetView>
  </sheetViews>
  <sheetFormatPr defaultRowHeight="12.55"/>
  <cols>
    <col min="3" max="3" width="18.44140625" customWidth="1"/>
    <col min="4" max="4" width="13.44140625" customWidth="1"/>
    <col min="5" max="5" width="12.6640625" customWidth="1"/>
    <col min="6" max="6" width="16.44140625" customWidth="1"/>
  </cols>
  <sheetData>
    <row r="7" spans="3:6" ht="17.55">
      <c r="C7" s="22"/>
      <c r="D7" s="22"/>
      <c r="E7" s="35" t="s">
        <v>74</v>
      </c>
      <c r="F7" s="35" t="s">
        <v>75</v>
      </c>
    </row>
    <row r="8" spans="3:6" ht="13.15">
      <c r="C8" s="20">
        <v>2271</v>
      </c>
      <c r="D8" s="21">
        <f>(E8+F8)/2</f>
        <v>0</v>
      </c>
      <c r="E8" s="22"/>
      <c r="F8" s="22"/>
    </row>
    <row r="9" spans="3:6">
      <c r="C9" s="22" t="s">
        <v>72</v>
      </c>
      <c r="D9" s="21">
        <f>(E9+F9)/2</f>
        <v>0</v>
      </c>
      <c r="E9" s="22"/>
      <c r="F9" s="22"/>
    </row>
    <row r="10" spans="3:6">
      <c r="C10" s="22" t="s">
        <v>73</v>
      </c>
      <c r="D10" s="21">
        <f>(E10+F10)/2</f>
        <v>0</v>
      </c>
      <c r="E10" s="21"/>
      <c r="F10" s="22"/>
    </row>
    <row r="11" spans="3:6">
      <c r="C11" s="23" t="s">
        <v>76</v>
      </c>
      <c r="D11" s="21">
        <f>(E11+F11)/2</f>
        <v>0</v>
      </c>
      <c r="E11" s="24"/>
      <c r="F11" s="25"/>
    </row>
    <row r="12" spans="3:6">
      <c r="C12" s="26" t="s">
        <v>77</v>
      </c>
      <c r="D12" s="21"/>
      <c r="E12" s="25"/>
      <c r="F12" s="22"/>
    </row>
    <row r="13" spans="3:6" ht="13.15">
      <c r="C13" s="20">
        <v>2272</v>
      </c>
      <c r="D13" s="21">
        <f>(E13+F13)/2</f>
        <v>0</v>
      </c>
      <c r="E13" s="25"/>
      <c r="F13" s="22"/>
    </row>
    <row r="14" spans="3:6">
      <c r="C14" s="27" t="s">
        <v>78</v>
      </c>
      <c r="D14" s="28">
        <f>(E14+F14)/2</f>
        <v>0</v>
      </c>
      <c r="E14" s="22"/>
      <c r="F14" s="22"/>
    </row>
    <row r="15" spans="3:6">
      <c r="C15" s="29" t="s">
        <v>79</v>
      </c>
      <c r="D15" s="21">
        <f>(E15+F15)/2</f>
        <v>0</v>
      </c>
      <c r="E15" s="19"/>
      <c r="F15" s="19"/>
    </row>
    <row r="16" spans="3:6" ht="13.15">
      <c r="C16" s="20">
        <v>2273</v>
      </c>
      <c r="D16" s="21">
        <f t="shared" ref="D16:D21" si="0">(E16+F16)/2</f>
        <v>0</v>
      </c>
      <c r="E16" s="80"/>
      <c r="F16" s="30"/>
    </row>
    <row r="17" spans="3:6" ht="13.15">
      <c r="C17" s="31">
        <v>2275</v>
      </c>
      <c r="D17" s="32">
        <f t="shared" si="0"/>
        <v>0</v>
      </c>
      <c r="E17" s="33"/>
      <c r="F17" s="33"/>
    </row>
    <row r="18" spans="3:6">
      <c r="C18" s="29" t="s">
        <v>80</v>
      </c>
      <c r="D18" s="21">
        <f t="shared" si="0"/>
        <v>0</v>
      </c>
      <c r="E18" s="22"/>
      <c r="F18" s="22"/>
    </row>
    <row r="19" spans="3:6">
      <c r="C19" s="29" t="s">
        <v>81</v>
      </c>
      <c r="D19" s="21">
        <f t="shared" si="0"/>
        <v>0</v>
      </c>
      <c r="E19" s="21"/>
      <c r="F19" s="21"/>
    </row>
    <row r="20" spans="3:6">
      <c r="C20" s="29" t="s">
        <v>82</v>
      </c>
      <c r="D20" s="21">
        <f t="shared" si="0"/>
        <v>0</v>
      </c>
      <c r="E20" s="34"/>
      <c r="F20" s="34"/>
    </row>
    <row r="21" spans="3:6">
      <c r="C21" s="29" t="s">
        <v>83</v>
      </c>
      <c r="D21" s="21">
        <f t="shared" si="0"/>
        <v>0</v>
      </c>
      <c r="E21" s="22"/>
      <c r="F21" s="22"/>
    </row>
    <row r="22" spans="3:6">
      <c r="C22" s="22"/>
      <c r="D22" s="22"/>
      <c r="E22" s="22"/>
      <c r="F22" s="22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N26"/>
  <sheetViews>
    <sheetView workbookViewId="0">
      <selection activeCell="F15" sqref="F15"/>
    </sheetView>
  </sheetViews>
  <sheetFormatPr defaultRowHeight="12.55"/>
  <cols>
    <col min="2" max="7" width="15.6640625" customWidth="1"/>
    <col min="9" max="9" width="10.109375" bestFit="1" customWidth="1"/>
    <col min="10" max="10" width="12.33203125" customWidth="1"/>
    <col min="11" max="11" width="10.88671875" customWidth="1"/>
    <col min="12" max="12" width="10.44140625" customWidth="1"/>
    <col min="13" max="13" width="10.33203125" customWidth="1"/>
    <col min="14" max="14" width="10.88671875" bestFit="1" customWidth="1"/>
  </cols>
  <sheetData>
    <row r="4" spans="2:14" ht="17.55">
      <c r="B4" s="693" t="s">
        <v>108</v>
      </c>
      <c r="C4" s="693"/>
      <c r="D4" s="693"/>
      <c r="E4" s="693"/>
      <c r="F4" s="693"/>
      <c r="G4" s="693"/>
    </row>
    <row r="5" spans="2:14" ht="14.4">
      <c r="B5" s="361"/>
      <c r="C5" s="362">
        <v>2271</v>
      </c>
      <c r="D5" s="362">
        <v>2272</v>
      </c>
      <c r="E5" s="362">
        <v>2273</v>
      </c>
      <c r="F5" s="362">
        <v>2275</v>
      </c>
      <c r="G5" s="362" t="s">
        <v>2</v>
      </c>
    </row>
    <row r="6" spans="2:14" ht="14.4">
      <c r="B6" s="362">
        <v>2</v>
      </c>
      <c r="C6" s="363">
        <f>№2!W35</f>
        <v>-92.858999999999995</v>
      </c>
      <c r="D6" s="363">
        <f>№2!W343</f>
        <v>9.4E-2</v>
      </c>
      <c r="E6" s="363">
        <f>№2!W482</f>
        <v>100.387</v>
      </c>
      <c r="F6" s="363">
        <f>№2!W529</f>
        <v>1.2270000000000001</v>
      </c>
      <c r="G6" s="364">
        <f t="shared" ref="G6:G16" si="0">SUM(C6:F6)</f>
        <v>8.8490000000000002</v>
      </c>
    </row>
    <row r="7" spans="2:14" ht="14.4">
      <c r="B7" s="362">
        <v>5</v>
      </c>
      <c r="C7" s="363">
        <f>№5!W35</f>
        <v>-94.323999999999998</v>
      </c>
      <c r="D7" s="363">
        <f>№5!W343</f>
        <v>-4.7430000000000003</v>
      </c>
      <c r="E7" s="363">
        <f>№5!W482</f>
        <v>57.317999999999998</v>
      </c>
      <c r="F7" s="363">
        <f>№5!W529</f>
        <v>-0.106</v>
      </c>
      <c r="G7" s="364">
        <f t="shared" si="0"/>
        <v>-41.854999999999997</v>
      </c>
    </row>
    <row r="8" spans="2:14" ht="14.4">
      <c r="B8" s="362">
        <v>6</v>
      </c>
      <c r="C8" s="363">
        <f>'№ 6'!W35</f>
        <v>-286.29300000000001</v>
      </c>
      <c r="D8" s="363">
        <f>'№ 6'!W343</f>
        <v>23.045999999999999</v>
      </c>
      <c r="E8" s="363">
        <f>'№ 6'!W482</f>
        <v>-73.864999999999995</v>
      </c>
      <c r="F8" s="363">
        <v>0</v>
      </c>
      <c r="G8" s="364">
        <f t="shared" si="0"/>
        <v>-337.11200000000002</v>
      </c>
    </row>
    <row r="9" spans="2:14" ht="14.4">
      <c r="B9" s="362">
        <v>14</v>
      </c>
      <c r="C9" s="363">
        <f>№14!W35</f>
        <v>-29.14</v>
      </c>
      <c r="D9" s="363">
        <f>№14!W343</f>
        <v>1.7999999999999999E-2</v>
      </c>
      <c r="E9" s="363">
        <f>№14!W482</f>
        <v>47.319000000000003</v>
      </c>
      <c r="F9" s="363">
        <f>№14!W529</f>
        <v>0.53600000000000003</v>
      </c>
      <c r="G9" s="364">
        <f t="shared" si="0"/>
        <v>18.733000000000001</v>
      </c>
    </row>
    <row r="10" spans="2:14" ht="14.4">
      <c r="B10" s="362">
        <v>20</v>
      </c>
      <c r="C10" s="363">
        <f>'№ 20'!W33</f>
        <v>-130.93199999999999</v>
      </c>
      <c r="D10" s="363">
        <f>'№ 20'!W343</f>
        <v>0.376</v>
      </c>
      <c r="E10" s="363">
        <f>'№ 20'!W482</f>
        <v>95.738</v>
      </c>
      <c r="F10" s="363">
        <f>'№ 20'!W529</f>
        <v>4.2880000000000003</v>
      </c>
      <c r="G10" s="364">
        <f t="shared" si="0"/>
        <v>-30.53</v>
      </c>
      <c r="I10">
        <v>0.45839999999999997</v>
      </c>
    </row>
    <row r="11" spans="2:14" ht="14.4">
      <c r="B11" s="362">
        <v>22</v>
      </c>
      <c r="C11" s="363" t="e">
        <f>#REF!</f>
        <v>#REF!</v>
      </c>
      <c r="D11" s="363" t="e">
        <f>#REF!</f>
        <v>#REF!</v>
      </c>
      <c r="E11" s="363" t="e">
        <f>#REF!</f>
        <v>#REF!</v>
      </c>
      <c r="F11" s="363" t="e">
        <f>#REF!</f>
        <v>#REF!</v>
      </c>
      <c r="G11" s="364" t="e">
        <f t="shared" si="0"/>
        <v>#REF!</v>
      </c>
      <c r="I11" s="367">
        <f>I10/31</f>
        <v>1.4787096774193501E-2</v>
      </c>
      <c r="J11">
        <f>I11*3</f>
        <v>4.4361290322580502E-2</v>
      </c>
    </row>
    <row r="12" spans="2:14" ht="14.4">
      <c r="B12" s="362">
        <v>23</v>
      </c>
      <c r="C12" s="363">
        <f>'№ 23'!W35+9.447</f>
        <v>-315.86700000000002</v>
      </c>
      <c r="D12" s="363">
        <f>'№ 23'!W343</f>
        <v>-10.752000000000001</v>
      </c>
      <c r="E12" s="363">
        <f>'№ 23'!W482</f>
        <v>-540.33500000000004</v>
      </c>
      <c r="F12" s="363">
        <f>'№ 23'!W529</f>
        <v>-1.6659999999999999</v>
      </c>
      <c r="G12" s="364">
        <f t="shared" si="0"/>
        <v>-868.62</v>
      </c>
      <c r="I12">
        <f>I11*I16*3</f>
        <v>3186.11197997418</v>
      </c>
    </row>
    <row r="13" spans="2:14" ht="14.4">
      <c r="B13" s="362">
        <v>27</v>
      </c>
      <c r="C13" s="363">
        <f>№27!W35</f>
        <v>179.577</v>
      </c>
      <c r="D13" s="363">
        <f>№27!W343</f>
        <v>47.216999999999999</v>
      </c>
      <c r="E13" s="363">
        <f>№27!W482</f>
        <v>234.53700000000001</v>
      </c>
      <c r="F13" s="363">
        <f>№27!W529</f>
        <v>5.694</v>
      </c>
      <c r="G13" s="364">
        <f t="shared" si="0"/>
        <v>467.02499999999998</v>
      </c>
    </row>
    <row r="14" spans="2:14" ht="14.4">
      <c r="B14" s="362">
        <v>31</v>
      </c>
      <c r="C14" s="369">
        <f>'№ 31'!W35+2.904</f>
        <v>-126.657</v>
      </c>
      <c r="D14" s="363">
        <f>'№ 31'!W343</f>
        <v>0.878</v>
      </c>
      <c r="E14" s="363">
        <f>'№ 31'!W482</f>
        <v>273.79599999999999</v>
      </c>
      <c r="F14" s="363">
        <f>'№ 31'!W529</f>
        <v>1.5569999999999999</v>
      </c>
      <c r="G14" s="364">
        <f t="shared" si="0"/>
        <v>149.57400000000001</v>
      </c>
      <c r="I14" s="29" t="s">
        <v>18</v>
      </c>
      <c r="J14" s="29" t="s">
        <v>19</v>
      </c>
      <c r="K14" s="29" t="s">
        <v>20</v>
      </c>
      <c r="L14" s="29" t="s">
        <v>21</v>
      </c>
      <c r="M14" s="29" t="s">
        <v>22</v>
      </c>
      <c r="N14" s="22"/>
    </row>
    <row r="15" spans="2:14" ht="14.4">
      <c r="B15" s="362">
        <v>34</v>
      </c>
      <c r="C15" s="363">
        <f>'№ 34'!W35</f>
        <v>10.119999999999999</v>
      </c>
      <c r="D15" s="363">
        <f>'№ 34'!W343</f>
        <v>-13.606999999999999</v>
      </c>
      <c r="E15" s="363">
        <f>'№ 34'!W482</f>
        <v>10.925000000000001</v>
      </c>
      <c r="F15" s="363">
        <f>'№ 34'!W529</f>
        <v>-2.819</v>
      </c>
      <c r="G15" s="364">
        <f t="shared" si="0"/>
        <v>4.6189999999999998</v>
      </c>
      <c r="I15" s="22">
        <f>0.4584+0.04436129</f>
        <v>0.50276129000000003</v>
      </c>
      <c r="J15" s="22">
        <v>0.45839999999999997</v>
      </c>
      <c r="K15" s="22">
        <v>0.45839999999999997</v>
      </c>
      <c r="L15" s="22">
        <v>0.45839999999999997</v>
      </c>
      <c r="M15" s="22">
        <v>0.45839999999999997</v>
      </c>
      <c r="N15" s="22"/>
    </row>
    <row r="16" spans="2:14" ht="14.4">
      <c r="B16" s="362">
        <v>41</v>
      </c>
      <c r="C16" s="363">
        <f>'№ 41'!W35</f>
        <v>-339.85899999999998</v>
      </c>
      <c r="D16" s="363">
        <f>'№ 41'!W343</f>
        <v>-24.516999999999999</v>
      </c>
      <c r="E16" s="363">
        <f>'№ 41'!W482</f>
        <v>-158.851</v>
      </c>
      <c r="F16" s="363">
        <f>'№ 41'!W529</f>
        <v>0.14799999999999999</v>
      </c>
      <c r="G16" s="364">
        <f t="shared" si="0"/>
        <v>-523.07899999999995</v>
      </c>
      <c r="I16" s="22">
        <v>71821.895999999993</v>
      </c>
      <c r="J16" s="22">
        <v>71821.895999999993</v>
      </c>
      <c r="K16" s="22">
        <v>72459.44</v>
      </c>
      <c r="L16" s="22">
        <v>72459.44</v>
      </c>
      <c r="M16" s="22">
        <v>72459.44</v>
      </c>
      <c r="N16" s="22"/>
    </row>
    <row r="17" spans="2:14" ht="14.4">
      <c r="B17" s="361" t="s">
        <v>2</v>
      </c>
      <c r="C17" s="366" t="e">
        <f>SUM(C6:C16)</f>
        <v>#REF!</v>
      </c>
      <c r="D17" s="366" t="e">
        <f t="shared" ref="D17:F17" si="1">SUM(D6:D16)</f>
        <v>#REF!</v>
      </c>
      <c r="E17" s="366" t="e">
        <f t="shared" si="1"/>
        <v>#REF!</v>
      </c>
      <c r="F17" s="366" t="e">
        <f t="shared" si="1"/>
        <v>#REF!</v>
      </c>
      <c r="G17" s="365" t="e">
        <f>SUM(G6:G16)</f>
        <v>#REF!</v>
      </c>
      <c r="I17" s="370">
        <f>I16*I15</f>
        <v>36109.269</v>
      </c>
      <c r="J17" s="370">
        <f t="shared" ref="J17:M17" si="2">J16*J15</f>
        <v>32923.156999999999</v>
      </c>
      <c r="K17" s="370">
        <f t="shared" si="2"/>
        <v>33215.406999999999</v>
      </c>
      <c r="L17" s="370">
        <f t="shared" si="2"/>
        <v>33215.406999999999</v>
      </c>
      <c r="M17" s="370">
        <f t="shared" si="2"/>
        <v>33215.406999999999</v>
      </c>
      <c r="N17" s="371">
        <f>SUM(I17:M17)</f>
        <v>168678.647</v>
      </c>
    </row>
    <row r="18" spans="2:14">
      <c r="I18" s="368">
        <f>I17+I12</f>
        <v>39295.381000000001</v>
      </c>
    </row>
    <row r="24" spans="2:14">
      <c r="B24" s="367" t="s">
        <v>107</v>
      </c>
      <c r="C24">
        <v>-2760.002</v>
      </c>
      <c r="D24">
        <v>183.23699999999999</v>
      </c>
      <c r="E24">
        <v>2459.1999999999998</v>
      </c>
      <c r="F24">
        <v>-13.430999999999999</v>
      </c>
      <c r="G24">
        <f>SUM(C24:F24)</f>
        <v>-130.99600000000001</v>
      </c>
    </row>
    <row r="26" spans="2:14">
      <c r="C26" s="368" t="e">
        <f>C17-C24</f>
        <v>#REF!</v>
      </c>
      <c r="D26" s="368" t="e">
        <f t="shared" ref="D26:G26" si="3">D17-D24</f>
        <v>#REF!</v>
      </c>
      <c r="E26" s="368" t="e">
        <f t="shared" si="3"/>
        <v>#REF!</v>
      </c>
      <c r="F26" s="368" t="e">
        <f t="shared" si="3"/>
        <v>#REF!</v>
      </c>
      <c r="G26" s="368" t="e">
        <f t="shared" si="3"/>
        <v>#REF!</v>
      </c>
    </row>
  </sheetData>
  <mergeCells count="1">
    <mergeCell ref="B4:G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51"/>
  <sheetViews>
    <sheetView workbookViewId="0">
      <selection activeCell="E55" sqref="E55"/>
    </sheetView>
  </sheetViews>
  <sheetFormatPr defaultRowHeight="15.65"/>
  <cols>
    <col min="1" max="1" width="8.88671875" style="551"/>
    <col min="2" max="2" width="14.5546875" style="556" customWidth="1"/>
    <col min="3" max="3" width="13.6640625" style="551" customWidth="1"/>
    <col min="4" max="4" width="12.21875" style="551" customWidth="1"/>
    <col min="5" max="5" width="22.109375" style="551" customWidth="1"/>
    <col min="6" max="6" width="19.33203125" style="551" customWidth="1"/>
    <col min="7" max="7" width="23.21875" style="551" customWidth="1"/>
    <col min="8" max="8" width="19.77734375" style="551" customWidth="1"/>
    <col min="9" max="16384" width="8.88671875" style="551"/>
  </cols>
  <sheetData>
    <row r="3" spans="2:11" s="552" customFormat="1" ht="47">
      <c r="B3" s="553" t="s">
        <v>145</v>
      </c>
      <c r="C3" s="553" t="s">
        <v>144</v>
      </c>
      <c r="D3" s="553" t="s">
        <v>143</v>
      </c>
      <c r="E3" s="554" t="s">
        <v>146</v>
      </c>
      <c r="F3" s="554" t="s">
        <v>147</v>
      </c>
      <c r="G3" s="554" t="s">
        <v>148</v>
      </c>
      <c r="H3" s="553" t="s">
        <v>149</v>
      </c>
    </row>
    <row r="4" spans="2:11">
      <c r="B4" s="694">
        <v>2</v>
      </c>
      <c r="C4" s="695" t="s">
        <v>94</v>
      </c>
      <c r="D4" s="555">
        <v>2271</v>
      </c>
      <c r="E4" s="558">
        <v>2352.989</v>
      </c>
      <c r="F4" s="557">
        <v>1538.29</v>
      </c>
      <c r="G4" s="558">
        <f>№2!J33+№2!K33+№2!N33+№2!O33+№2!P33+№2!Q33+№2!R33+№2!S33</f>
        <v>907.55799999999999</v>
      </c>
      <c r="H4" s="557">
        <f>E4-F4-G4</f>
        <v>-92.858999999999995</v>
      </c>
      <c r="J4" s="551">
        <v>2352989</v>
      </c>
      <c r="K4" s="551">
        <f>J4/1000</f>
        <v>2352.989</v>
      </c>
    </row>
    <row r="5" spans="2:11">
      <c r="B5" s="694"/>
      <c r="C5" s="696"/>
      <c r="D5" s="555">
        <v>2272</v>
      </c>
      <c r="E5" s="558">
        <v>65.2</v>
      </c>
      <c r="F5" s="557">
        <v>19.946000000000002</v>
      </c>
      <c r="G5" s="557">
        <f>№2!J341+№2!K341+№2!N341+№2!O341+№2!P341+№2!Q341+№2!R341+№2!S341</f>
        <v>45.158000000000001</v>
      </c>
      <c r="H5" s="557">
        <f t="shared" ref="H5:H43" si="0">E5-F5-G5</f>
        <v>9.6000000000000002E-2</v>
      </c>
      <c r="J5" s="551">
        <v>65200</v>
      </c>
      <c r="K5" s="551">
        <f t="shared" ref="K5:K7" si="1">J5/1000</f>
        <v>65.2</v>
      </c>
    </row>
    <row r="6" spans="2:11">
      <c r="B6" s="694"/>
      <c r="C6" s="696"/>
      <c r="D6" s="555">
        <v>2273</v>
      </c>
      <c r="E6" s="558">
        <v>604.524</v>
      </c>
      <c r="F6" s="557">
        <v>173.04</v>
      </c>
      <c r="G6" s="557">
        <f>№2!J480+№2!K480+№2!N480+№2!O480+№2!P480+№2!Q480+№2!R480+№2!S480</f>
        <v>347.286</v>
      </c>
      <c r="H6" s="557">
        <f t="shared" si="0"/>
        <v>84.197999999999993</v>
      </c>
      <c r="J6" s="551">
        <v>604524</v>
      </c>
      <c r="K6" s="551">
        <f t="shared" si="1"/>
        <v>604.524</v>
      </c>
    </row>
    <row r="7" spans="2:11">
      <c r="B7" s="694"/>
      <c r="C7" s="697"/>
      <c r="D7" s="555">
        <v>2275</v>
      </c>
      <c r="E7" s="558">
        <v>18.242999999999999</v>
      </c>
      <c r="F7" s="557">
        <v>5.1189999999999998</v>
      </c>
      <c r="G7" s="557">
        <f>№2!J527+№2!K527+№2!N527+№2!O527+№2!P527+№2!Q527+№2!R527+№2!S527</f>
        <v>11.9</v>
      </c>
      <c r="H7" s="557">
        <f t="shared" si="0"/>
        <v>1.224</v>
      </c>
      <c r="J7" s="551">
        <v>18243</v>
      </c>
      <c r="K7" s="551">
        <f t="shared" si="1"/>
        <v>18.242999999999999</v>
      </c>
    </row>
    <row r="8" spans="2:11">
      <c r="B8" s="694">
        <v>5</v>
      </c>
      <c r="C8" s="695" t="s">
        <v>94</v>
      </c>
      <c r="D8" s="555">
        <v>2271</v>
      </c>
      <c r="E8" s="557">
        <v>1083.7380000000001</v>
      </c>
      <c r="F8" s="557">
        <v>602.279</v>
      </c>
      <c r="G8" s="557">
        <f>№5!J33+№5!K33+№5!N33+№5!O33+№5!P33+№5!Q33+№5!R33+№5!S33</f>
        <v>575.78300000000002</v>
      </c>
      <c r="H8" s="557">
        <f t="shared" si="0"/>
        <v>-94.323999999999998</v>
      </c>
    </row>
    <row r="9" spans="2:11">
      <c r="B9" s="694"/>
      <c r="C9" s="696"/>
      <c r="D9" s="555">
        <v>2272</v>
      </c>
      <c r="E9" s="557">
        <v>52.293999999999997</v>
      </c>
      <c r="F9" s="557">
        <v>11.19</v>
      </c>
      <c r="G9" s="557">
        <f>№5!J341+№5!K341+№5!N341+№5!O341+№5!P341+№5!Q341+№5!R341+№5!S341</f>
        <v>45.845999999999997</v>
      </c>
      <c r="H9" s="557">
        <f t="shared" si="0"/>
        <v>-4.742</v>
      </c>
    </row>
    <row r="10" spans="2:11">
      <c r="B10" s="694"/>
      <c r="C10" s="696"/>
      <c r="D10" s="555">
        <v>2273</v>
      </c>
      <c r="E10" s="557">
        <v>412.48500000000001</v>
      </c>
      <c r="F10" s="557">
        <v>82.894999999999996</v>
      </c>
      <c r="G10" s="557">
        <f>№5!J480+№5!K480+№5!N480+№5!O480+№5!P480+№5!Q480+№5!R480+№5!S480</f>
        <v>272.27199999999999</v>
      </c>
      <c r="H10" s="557">
        <f t="shared" si="0"/>
        <v>57.317999999999998</v>
      </c>
    </row>
    <row r="11" spans="2:11">
      <c r="B11" s="694"/>
      <c r="C11" s="697"/>
      <c r="D11" s="555">
        <v>2275</v>
      </c>
      <c r="E11" s="557">
        <v>14.653</v>
      </c>
      <c r="F11" s="557">
        <v>3.028</v>
      </c>
      <c r="G11" s="557">
        <f>№5!J527+№5!K527+№5!N527+№5!O527+№5!P527+№5!Q527+№5!R527+№5!S527</f>
        <v>11.731</v>
      </c>
      <c r="H11" s="557">
        <f t="shared" si="0"/>
        <v>-0.106</v>
      </c>
    </row>
    <row r="12" spans="2:11">
      <c r="B12" s="694">
        <v>6</v>
      </c>
      <c r="C12" s="695" t="s">
        <v>94</v>
      </c>
      <c r="D12" s="555">
        <v>2271</v>
      </c>
      <c r="E12" s="557">
        <v>2756.3690000000001</v>
      </c>
      <c r="F12" s="557">
        <v>1393.5840000000001</v>
      </c>
      <c r="G12" s="557">
        <f>'№ 6'!J50+'№ 6'!K50+'№ 6'!N50+'№ 6'!O50+'№ 6'!P50+'№ 6'!Q50+'№ 6'!R50+'№ 6'!S50</f>
        <v>1649.0809999999999</v>
      </c>
      <c r="H12" s="557">
        <f t="shared" si="0"/>
        <v>-286.29599999999999</v>
      </c>
    </row>
    <row r="13" spans="2:11">
      <c r="B13" s="694"/>
      <c r="C13" s="696"/>
      <c r="D13" s="555">
        <v>2272</v>
      </c>
      <c r="E13" s="557">
        <v>67.325999999999993</v>
      </c>
      <c r="F13" s="557">
        <v>5.9189999999999996</v>
      </c>
      <c r="G13" s="557">
        <f>'№ 6'!J341+'№ 6'!K341+'№ 6'!N341+'№ 6'!O341+'№ 6'!P341+'№ 6'!Q341+'№ 6'!R341+'№ 6'!S341</f>
        <v>38.360999999999997</v>
      </c>
      <c r="H13" s="557">
        <f t="shared" si="0"/>
        <v>23.045999999999999</v>
      </c>
    </row>
    <row r="14" spans="2:11">
      <c r="B14" s="694"/>
      <c r="C14" s="696"/>
      <c r="D14" s="555">
        <v>2273</v>
      </c>
      <c r="E14" s="557">
        <v>305.06799999999998</v>
      </c>
      <c r="F14" s="557">
        <v>47.692</v>
      </c>
      <c r="G14" s="557">
        <f>'№ 6'!J480+'№ 6'!K480+'№ 6'!N480+'№ 6'!O480+'№ 6'!P480+'№ 6'!Q480+'№ 6'!R480+'№ 6'!S480</f>
        <v>331.23899999999998</v>
      </c>
      <c r="H14" s="557">
        <f t="shared" si="0"/>
        <v>-73.863</v>
      </c>
    </row>
    <row r="15" spans="2:11">
      <c r="B15" s="694"/>
      <c r="C15" s="697"/>
      <c r="D15" s="555">
        <v>2275</v>
      </c>
      <c r="E15" s="557">
        <v>20.975000000000001</v>
      </c>
      <c r="F15" s="557">
        <v>5.2619999999999996</v>
      </c>
      <c r="G15" s="557">
        <f>'№ 6'!J527+'№ 6'!K527+'№ 6'!N527+'№ 6'!O527+'№ 6'!P527+'№ 6'!Q527+'№ 6'!R527+'№ 6'!S527</f>
        <v>15.186999999999999</v>
      </c>
      <c r="H15" s="557">
        <f t="shared" si="0"/>
        <v>0.52600000000000002</v>
      </c>
    </row>
    <row r="16" spans="2:11">
      <c r="B16" s="694">
        <v>14</v>
      </c>
      <c r="C16" s="695" t="s">
        <v>94</v>
      </c>
      <c r="D16" s="555">
        <v>2271</v>
      </c>
      <c r="E16" s="557">
        <v>258.90100000000001</v>
      </c>
      <c r="F16" s="557">
        <v>196.63399999999999</v>
      </c>
      <c r="G16" s="557">
        <f>№14!J33+№14!K33+№14!N33+№14!O33+№14!P33+№14!Q33+№14!R33+№14!S33</f>
        <v>91.408000000000001</v>
      </c>
      <c r="H16" s="557">
        <f t="shared" si="0"/>
        <v>-29.140999999999998</v>
      </c>
    </row>
    <row r="17" spans="2:8">
      <c r="B17" s="694"/>
      <c r="C17" s="696"/>
      <c r="D17" s="555">
        <v>2272</v>
      </c>
      <c r="E17" s="557">
        <v>18.484000000000002</v>
      </c>
      <c r="F17" s="557">
        <v>3.7749999999999999</v>
      </c>
      <c r="G17" s="557">
        <f>№14!J341+№14!K341+№14!N341+№14!O341+№14!P341+№14!Q341+№14!R341+№14!S341</f>
        <v>14.69</v>
      </c>
      <c r="H17" s="557">
        <f t="shared" si="0"/>
        <v>1.9E-2</v>
      </c>
    </row>
    <row r="18" spans="2:8">
      <c r="B18" s="694"/>
      <c r="C18" s="696"/>
      <c r="D18" s="555">
        <v>2273</v>
      </c>
      <c r="E18" s="557">
        <v>887.94799999999998</v>
      </c>
      <c r="F18" s="557">
        <v>408.452</v>
      </c>
      <c r="G18" s="557">
        <f>№14!J480+№14!K480+№14!N480+№14!O480+№14!P480+№14!Q480+№14!R480+№14!S480</f>
        <v>432.17700000000002</v>
      </c>
      <c r="H18" s="557">
        <f t="shared" si="0"/>
        <v>47.319000000000003</v>
      </c>
    </row>
    <row r="19" spans="2:8">
      <c r="B19" s="694"/>
      <c r="C19" s="697"/>
      <c r="D19" s="555">
        <v>2275</v>
      </c>
      <c r="E19" s="557">
        <v>114.821</v>
      </c>
      <c r="F19" s="557">
        <v>2.8420000000000001</v>
      </c>
      <c r="G19" s="557">
        <f>№14!J527+№14!K527+№14!N527+№14!O527+№14!P527+№14!Q527+№14!R527+№14!S527</f>
        <v>111.44199999999999</v>
      </c>
      <c r="H19" s="557">
        <f t="shared" si="0"/>
        <v>0.53700000000000003</v>
      </c>
    </row>
    <row r="20" spans="2:8">
      <c r="B20" s="694">
        <v>20</v>
      </c>
      <c r="C20" s="695" t="s">
        <v>94</v>
      </c>
      <c r="D20" s="555">
        <v>2271</v>
      </c>
      <c r="E20" s="557">
        <v>3156.9250000000002</v>
      </c>
      <c r="F20" s="557">
        <v>1716.587</v>
      </c>
      <c r="G20" s="557">
        <f>'№ 20'!J33+'№ 20'!K33+'№ 20'!N33+'№ 20'!O33+'№ 20'!P33+'№ 20'!Q33+'№ 20'!R33+'№ 20'!S33</f>
        <v>1618.347</v>
      </c>
      <c r="H20" s="557">
        <f t="shared" si="0"/>
        <v>-178.00899999999999</v>
      </c>
    </row>
    <row r="21" spans="2:8">
      <c r="B21" s="694"/>
      <c r="C21" s="696"/>
      <c r="D21" s="555">
        <v>2272</v>
      </c>
      <c r="E21" s="557">
        <v>130.339</v>
      </c>
      <c r="F21" s="557">
        <v>45.118000000000002</v>
      </c>
      <c r="G21" s="557">
        <f>'№ 20'!J341+'№ 20'!K341+'№ 20'!N341+'№ 20'!O341+'№ 20'!P341+'№ 20'!Q341+'№ 20'!R341+'№ 20'!S341</f>
        <v>84.844999999999999</v>
      </c>
      <c r="H21" s="557">
        <f t="shared" si="0"/>
        <v>0.376</v>
      </c>
    </row>
    <row r="22" spans="2:8">
      <c r="B22" s="694"/>
      <c r="C22" s="696"/>
      <c r="D22" s="555">
        <v>2273</v>
      </c>
      <c r="E22" s="557">
        <v>865.88599999999997</v>
      </c>
      <c r="F22" s="557">
        <v>181.97</v>
      </c>
      <c r="G22" s="557">
        <f>'№ 20'!J480+'№ 20'!K480+'№ 20'!N480+'№ 20'!O480+'№ 20'!P480+'№ 20'!Q480+'№ 20'!S480+'№ 20'!R480</f>
        <v>588.178</v>
      </c>
      <c r="H22" s="557">
        <f t="shared" si="0"/>
        <v>95.738</v>
      </c>
    </row>
    <row r="23" spans="2:8">
      <c r="B23" s="694"/>
      <c r="C23" s="697"/>
      <c r="D23" s="555">
        <v>2275</v>
      </c>
      <c r="E23" s="557">
        <v>52.515000000000001</v>
      </c>
      <c r="F23" s="557">
        <v>12.769</v>
      </c>
      <c r="G23" s="557">
        <f>'№ 20'!J527+'№ 20'!K527+'№ 20'!N527+'№ 20'!O527+'№ 20'!P527+'№ 20'!Q527+'№ 20'!R527+'№ 20'!S527</f>
        <v>35.457000000000001</v>
      </c>
      <c r="H23" s="557">
        <f t="shared" si="0"/>
        <v>4.2889999999999997</v>
      </c>
    </row>
    <row r="24" spans="2:8">
      <c r="B24" s="694">
        <v>23</v>
      </c>
      <c r="C24" s="695" t="s">
        <v>94</v>
      </c>
      <c r="D24" s="555">
        <v>2271</v>
      </c>
      <c r="E24" s="557">
        <v>3205.355</v>
      </c>
      <c r="F24" s="557">
        <v>1967.8679999999999</v>
      </c>
      <c r="G24" s="557">
        <f>'№ 23'!J33+'№ 23'!K33+'№ 23'!N33+'№ 23'!O33+'№ 23'!P33+'№ 23'!Q33+'№ 23'!R33+'№ 23'!S33</f>
        <v>1562.8009999999999</v>
      </c>
      <c r="H24" s="557">
        <f t="shared" si="0"/>
        <v>-325.31400000000002</v>
      </c>
    </row>
    <row r="25" spans="2:8">
      <c r="B25" s="694"/>
      <c r="C25" s="696"/>
      <c r="D25" s="555">
        <v>2272</v>
      </c>
      <c r="E25" s="557">
        <v>39.816000000000003</v>
      </c>
      <c r="F25" s="557">
        <v>22.913</v>
      </c>
      <c r="G25" s="557">
        <f>'№ 23'!J341+'№ 23'!K341+'№ 23'!N341+'№ 23'!O341+'№ 23'!P341+'№ 23'!Q341+'№ 23'!R341+'№ 23'!S341</f>
        <v>27.654</v>
      </c>
      <c r="H25" s="557">
        <f t="shared" si="0"/>
        <v>-10.750999999999999</v>
      </c>
    </row>
    <row r="26" spans="2:8">
      <c r="B26" s="694"/>
      <c r="C26" s="696"/>
      <c r="D26" s="555">
        <v>2273</v>
      </c>
      <c r="E26" s="557">
        <v>789.95500000000004</v>
      </c>
      <c r="F26" s="557">
        <v>186.84800000000001</v>
      </c>
      <c r="G26" s="557">
        <f>'№ 23'!J480+'№ 23'!K480+'№ 23'!N480+'№ 23'!O480+'№ 23'!P480+'№ 23'!Q480++'№ 23'!R480+'№ 23'!S480</f>
        <v>1143.442</v>
      </c>
      <c r="H26" s="557">
        <f t="shared" si="0"/>
        <v>-540.33500000000004</v>
      </c>
    </row>
    <row r="27" spans="2:8">
      <c r="B27" s="694"/>
      <c r="C27" s="697"/>
      <c r="D27" s="555">
        <v>2275</v>
      </c>
      <c r="E27" s="557">
        <v>7.8140000000000001</v>
      </c>
      <c r="F27" s="557">
        <v>2.3359999999999999</v>
      </c>
      <c r="G27" s="557">
        <f>'№ 23'!J527+'№ 23'!K527+'№ 23'!N527+'№ 23'!O527+'№ 23'!P527+'№ 23'!Q527+'№ 23'!R527+'№ 23'!S527</f>
        <v>7.1429999999999998</v>
      </c>
      <c r="H27" s="557">
        <f t="shared" si="0"/>
        <v>-1.665</v>
      </c>
    </row>
    <row r="28" spans="2:8">
      <c r="B28" s="694">
        <v>27</v>
      </c>
      <c r="C28" s="695" t="s">
        <v>94</v>
      </c>
      <c r="D28" s="555">
        <v>2271</v>
      </c>
      <c r="E28" s="557">
        <v>3422.3670000000002</v>
      </c>
      <c r="F28" s="557">
        <v>1808.8230000000001</v>
      </c>
      <c r="G28" s="557">
        <f>№27!J33+№27!K33+№27!N33+№27!O33+№27!P33+№27!Q33+№27!R33+№27!S33</f>
        <v>1433.9670000000001</v>
      </c>
      <c r="H28" s="557">
        <f t="shared" si="0"/>
        <v>179.577</v>
      </c>
    </row>
    <row r="29" spans="2:8">
      <c r="B29" s="694"/>
      <c r="C29" s="696"/>
      <c r="D29" s="555">
        <v>2272</v>
      </c>
      <c r="E29" s="557">
        <v>302.46600000000001</v>
      </c>
      <c r="F29" s="557">
        <v>64.248000000000005</v>
      </c>
      <c r="G29" s="557">
        <f>№27!J341+№27!K341+№27!N341+№27!O341+№27!P341+№27!Q341+№27!R341+№27!S341</f>
        <v>191.001</v>
      </c>
      <c r="H29" s="557">
        <f t="shared" si="0"/>
        <v>47.216999999999999</v>
      </c>
    </row>
    <row r="30" spans="2:8">
      <c r="B30" s="694"/>
      <c r="C30" s="696"/>
      <c r="D30" s="555">
        <v>2273</v>
      </c>
      <c r="E30" s="557">
        <v>1956.9749999999999</v>
      </c>
      <c r="F30" s="557">
        <v>330.22199999999998</v>
      </c>
      <c r="G30" s="557">
        <f>№27!J480+№27!K480+№27!N480+№27!O480+№27!P480+№27!Q480+№27!R480+№27!S480</f>
        <v>1459.576</v>
      </c>
      <c r="H30" s="557">
        <f t="shared" si="0"/>
        <v>167.17699999999999</v>
      </c>
    </row>
    <row r="31" spans="2:8">
      <c r="B31" s="694"/>
      <c r="C31" s="697"/>
      <c r="D31" s="555">
        <v>2275</v>
      </c>
      <c r="E31" s="557">
        <v>119.18600000000001</v>
      </c>
      <c r="F31" s="557">
        <v>25.913</v>
      </c>
      <c r="G31" s="557">
        <f>№27!J527+№27!K527+№27!N527+№27!O527+№27!P527+№27!Q527+№27!R527+№27!S527</f>
        <v>87.578999999999994</v>
      </c>
      <c r="H31" s="557">
        <f t="shared" si="0"/>
        <v>5.694</v>
      </c>
    </row>
    <row r="32" spans="2:8">
      <c r="B32" s="694">
        <v>31</v>
      </c>
      <c r="C32" s="695" t="s">
        <v>94</v>
      </c>
      <c r="D32" s="555">
        <v>2271</v>
      </c>
      <c r="E32" s="557">
        <v>2268.3130000000001</v>
      </c>
      <c r="F32" s="557">
        <v>1349.345</v>
      </c>
      <c r="G32" s="557">
        <f>'№ 31'!J33+'№ 31'!K33+'№ 31'!N33+'№ 31'!O33+'№ 31'!P33+'№ 31'!Q33+'№ 31'!R33+'№ 31'!S33</f>
        <v>1048.529</v>
      </c>
      <c r="H32" s="557">
        <f t="shared" si="0"/>
        <v>-129.56100000000001</v>
      </c>
    </row>
    <row r="33" spans="2:8">
      <c r="B33" s="694"/>
      <c r="C33" s="696"/>
      <c r="D33" s="555">
        <v>2272</v>
      </c>
      <c r="E33" s="557">
        <v>160.71700000000001</v>
      </c>
      <c r="F33" s="557">
        <v>54.286999999999999</v>
      </c>
      <c r="G33" s="557">
        <f>'№ 31'!J341+'№ 31'!K341+'№ 31'!N341+'№ 31'!O341+'№ 31'!P341+'№ 31'!Q341+'№ 31'!R341+'№ 31'!S341</f>
        <v>105.556</v>
      </c>
      <c r="H33" s="557">
        <f t="shared" si="0"/>
        <v>0.874</v>
      </c>
    </row>
    <row r="34" spans="2:8">
      <c r="B34" s="694"/>
      <c r="C34" s="696"/>
      <c r="D34" s="555">
        <v>2273</v>
      </c>
      <c r="E34" s="557">
        <v>1238.4570000000001</v>
      </c>
      <c r="F34" s="557">
        <v>385</v>
      </c>
      <c r="G34" s="557">
        <f>'№ 31'!J480+'№ 31'!K480+'№ 31'!N480+'№ 31'!O480+'№ 31'!P480+'№ 31'!Q480+'№ 31'!R480+'№ 31'!S480</f>
        <v>628.00699999999995</v>
      </c>
      <c r="H34" s="557">
        <f t="shared" si="0"/>
        <v>225.45</v>
      </c>
    </row>
    <row r="35" spans="2:8">
      <c r="B35" s="694"/>
      <c r="C35" s="697"/>
      <c r="D35" s="555">
        <v>2275</v>
      </c>
      <c r="E35" s="557">
        <v>19.949000000000002</v>
      </c>
      <c r="F35" s="557">
        <v>4.5410000000000004</v>
      </c>
      <c r="G35" s="557">
        <f>'№ 31'!J527+'№ 31'!K527+'№ 31'!N527+'№ 31'!O527+'№ 31'!P527+'№ 31'!Q527+'№ 31'!R527+'№ 31'!S527</f>
        <v>13.848000000000001</v>
      </c>
      <c r="H35" s="557">
        <f t="shared" si="0"/>
        <v>1.56</v>
      </c>
    </row>
    <row r="36" spans="2:8">
      <c r="B36" s="694">
        <v>34</v>
      </c>
      <c r="C36" s="695" t="s">
        <v>94</v>
      </c>
      <c r="D36" s="555">
        <v>2271</v>
      </c>
      <c r="E36" s="557">
        <v>1228.8219999999999</v>
      </c>
      <c r="F36" s="557">
        <v>530.79399999999998</v>
      </c>
      <c r="G36" s="557">
        <f>'№ 34'!J33+'№ 34'!K33+'№ 34'!N33+'№ 34'!O33+'№ 34'!P33+'№ 34'!Q33+'№ 34'!R33+'№ 34'!S33</f>
        <v>687.90700000000004</v>
      </c>
      <c r="H36" s="557">
        <f t="shared" si="0"/>
        <v>10.121</v>
      </c>
    </row>
    <row r="37" spans="2:8">
      <c r="B37" s="694"/>
      <c r="C37" s="696"/>
      <c r="D37" s="555">
        <v>2272</v>
      </c>
      <c r="E37" s="557">
        <v>121.259</v>
      </c>
      <c r="F37" s="557">
        <v>33.927</v>
      </c>
      <c r="G37" s="557">
        <f>'№ 34'!J341+'№ 34'!K341+'№ 34'!N341+'№ 34'!O341+'№ 34'!P341+'№ 34'!Q341+'№ 34'!R341+'№ 34'!S341</f>
        <v>100.93899999999999</v>
      </c>
      <c r="H37" s="557">
        <f t="shared" si="0"/>
        <v>-13.606999999999999</v>
      </c>
    </row>
    <row r="38" spans="2:8">
      <c r="B38" s="694"/>
      <c r="C38" s="696"/>
      <c r="D38" s="555">
        <v>2273</v>
      </c>
      <c r="E38" s="557">
        <v>957.55100000000004</v>
      </c>
      <c r="F38" s="557">
        <v>367.06299999999999</v>
      </c>
      <c r="G38" s="557">
        <f>'№ 34'!J480+'№ 34'!K480+'№ 34'!N480+'№ 34'!O480+'№ 34'!P480+'№ 34'!Q480+'№ 34'!R480+'№ 34'!S480</f>
        <v>579.56200000000001</v>
      </c>
      <c r="H38" s="557">
        <f t="shared" si="0"/>
        <v>10.926</v>
      </c>
    </row>
    <row r="39" spans="2:8">
      <c r="B39" s="694"/>
      <c r="C39" s="697"/>
      <c r="D39" s="555">
        <v>2275</v>
      </c>
      <c r="E39" s="557">
        <v>23.280999999999999</v>
      </c>
      <c r="F39" s="557">
        <v>7.2119999999999997</v>
      </c>
      <c r="G39" s="557">
        <f>'№ 34'!J527+'№ 34'!K527+'№ 34'!N527+'№ 34'!O527+'№ 34'!P527+'№ 34'!Q527+'№ 34'!R527+'№ 34'!S527</f>
        <v>18.89</v>
      </c>
      <c r="H39" s="557">
        <f t="shared" si="0"/>
        <v>-2.8210000000000002</v>
      </c>
    </row>
    <row r="40" spans="2:8">
      <c r="B40" s="694">
        <v>41</v>
      </c>
      <c r="C40" s="695" t="s">
        <v>94</v>
      </c>
      <c r="D40" s="555">
        <v>2271</v>
      </c>
      <c r="E40" s="557">
        <v>2010.1590000000001</v>
      </c>
      <c r="F40" s="557">
        <v>1171.5519999999999</v>
      </c>
      <c r="G40" s="557">
        <f>'№ 41'!J50+'№ 41'!K50+'№ 41'!N50+'№ 41'!O50+'№ 41'!P50+'№ 41'!Q50+'№ 41'!R50+'№ 41'!S50</f>
        <v>1178.4639999999999</v>
      </c>
      <c r="H40" s="557">
        <f t="shared" si="0"/>
        <v>-339.85700000000003</v>
      </c>
    </row>
    <row r="41" spans="2:8">
      <c r="B41" s="694"/>
      <c r="C41" s="696"/>
      <c r="D41" s="555">
        <v>2272</v>
      </c>
      <c r="E41" s="557">
        <v>115.295</v>
      </c>
      <c r="F41" s="557">
        <v>39.698999999999998</v>
      </c>
      <c r="G41" s="557">
        <f>'№ 41'!J341+'№ 41'!K341+'№ 41'!N341+'№ 41'!O341+'№ 41'!P341+'№ 41'!Q341+'№ 41'!R341+'№ 41'!S341</f>
        <v>100.113</v>
      </c>
      <c r="H41" s="557">
        <f t="shared" si="0"/>
        <v>-24.516999999999999</v>
      </c>
    </row>
    <row r="42" spans="2:8">
      <c r="B42" s="694"/>
      <c r="C42" s="696"/>
      <c r="D42" s="555">
        <v>2273</v>
      </c>
      <c r="E42" s="557">
        <v>694.798</v>
      </c>
      <c r="F42" s="557">
        <v>206.66300000000001</v>
      </c>
      <c r="G42" s="557">
        <f>'№ 41'!J480+'№ 41'!K480+'№ 41'!N480+'№ 41'!O480+'№ 41'!P480+'№ 41'!Q480+'№ 41'!R480+'№ 41'!S480</f>
        <v>646.98900000000003</v>
      </c>
      <c r="H42" s="557">
        <f t="shared" si="0"/>
        <v>-158.85400000000001</v>
      </c>
    </row>
    <row r="43" spans="2:8">
      <c r="B43" s="694"/>
      <c r="C43" s="697"/>
      <c r="D43" s="555">
        <v>2275</v>
      </c>
      <c r="E43" s="557">
        <v>21.965</v>
      </c>
      <c r="F43" s="557">
        <v>5.36</v>
      </c>
      <c r="G43" s="557">
        <f>'№ 41'!J527+'№ 41'!K527+'№ 41'!N527+'№ 41'!O527+'№ 41'!P527+'№ 41'!Q527+'№ 41'!R527+'№ 41'!S527</f>
        <v>16.456</v>
      </c>
      <c r="H43" s="557">
        <f t="shared" si="0"/>
        <v>0.14899999999999999</v>
      </c>
    </row>
    <row r="44" spans="2:8" s="561" customFormat="1">
      <c r="B44" s="698" t="s">
        <v>150</v>
      </c>
      <c r="C44" s="699" t="s">
        <v>94</v>
      </c>
      <c r="D44" s="559">
        <v>2271</v>
      </c>
      <c r="E44" s="560">
        <f>E4+E8+E12+E16+E20+E24+E28+E32+E36+E40</f>
        <v>21743.937999999998</v>
      </c>
      <c r="F44" s="560">
        <f t="shared" ref="F44:H44" si="2">F4+F8+F12+F16+F20+F24+F28+F32+F36+F40</f>
        <v>12275.755999999999</v>
      </c>
      <c r="G44" s="560">
        <f t="shared" si="2"/>
        <v>10753.844999999999</v>
      </c>
      <c r="H44" s="560">
        <f t="shared" si="2"/>
        <v>-1285.663</v>
      </c>
    </row>
    <row r="45" spans="2:8" s="561" customFormat="1">
      <c r="B45" s="698"/>
      <c r="C45" s="699"/>
      <c r="D45" s="559">
        <v>2272</v>
      </c>
      <c r="E45" s="560">
        <f t="shared" ref="E45:H46" si="3">E5+E9+E13+E17+E21+E25+E29+E33+E37+E41</f>
        <v>1073.1959999999999</v>
      </c>
      <c r="F45" s="560">
        <f t="shared" si="3"/>
        <v>301.02199999999999</v>
      </c>
      <c r="G45" s="560">
        <f t="shared" si="3"/>
        <v>754.16300000000001</v>
      </c>
      <c r="H45" s="560">
        <f t="shared" si="3"/>
        <v>18.010999999999999</v>
      </c>
    </row>
    <row r="46" spans="2:8" s="561" customFormat="1">
      <c r="B46" s="698"/>
      <c r="C46" s="699"/>
      <c r="D46" s="559">
        <v>2273</v>
      </c>
      <c r="E46" s="560">
        <f t="shared" si="3"/>
        <v>8713.6470000000008</v>
      </c>
      <c r="F46" s="560">
        <f t="shared" si="3"/>
        <v>2369.8449999999998</v>
      </c>
      <c r="G46" s="560">
        <f t="shared" si="3"/>
        <v>6428.7280000000001</v>
      </c>
      <c r="H46" s="560">
        <f t="shared" si="3"/>
        <v>-84.926000000000002</v>
      </c>
    </row>
    <row r="47" spans="2:8" s="561" customFormat="1" hidden="1">
      <c r="B47" s="698"/>
      <c r="C47" s="699"/>
      <c r="D47" s="559"/>
      <c r="E47" s="560">
        <v>0</v>
      </c>
      <c r="F47" s="560">
        <v>0</v>
      </c>
      <c r="G47" s="560">
        <v>0</v>
      </c>
      <c r="H47" s="560">
        <v>0</v>
      </c>
    </row>
    <row r="48" spans="2:8" s="561" customFormat="1">
      <c r="B48" s="698"/>
      <c r="C48" s="699"/>
      <c r="D48" s="559">
        <v>2275</v>
      </c>
      <c r="E48" s="560">
        <f>E7+E11+E15+E19+E23+E27+E31+E35+E39+E43</f>
        <v>413.40199999999999</v>
      </c>
      <c r="F48" s="560">
        <f>F7+F11+F15+F19+F23+F27+F31+F35+F39+F43</f>
        <v>74.382000000000005</v>
      </c>
      <c r="G48" s="560">
        <f>G7+G11+G15+G19+G23+G27+G31+G35+G39+G43</f>
        <v>329.63299999999998</v>
      </c>
      <c r="H48" s="560">
        <f>H7+H11+H15+H19+H23+H27+H31+H35+H39+H43</f>
        <v>9.3870000000000005</v>
      </c>
    </row>
    <row r="49" spans="2:8">
      <c r="B49" s="698"/>
      <c r="C49" s="699"/>
      <c r="D49" s="559">
        <v>2270</v>
      </c>
      <c r="E49" s="560">
        <f>SUM(E44:E48)</f>
        <v>31944.183000000001</v>
      </c>
      <c r="F49" s="560">
        <f t="shared" ref="F49:H49" si="4">SUM(F44:F48)</f>
        <v>15021.004999999999</v>
      </c>
      <c r="G49" s="560">
        <f t="shared" si="4"/>
        <v>18266.368999999999</v>
      </c>
      <c r="H49" s="560">
        <f t="shared" si="4"/>
        <v>-1343.191</v>
      </c>
    </row>
    <row r="50" spans="2:8">
      <c r="E50" s="562">
        <v>31944.183000000001</v>
      </c>
      <c r="F50" s="562">
        <v>15021.005999999999</v>
      </c>
      <c r="G50" s="562">
        <f>серпень!J19+серпень!K19+серпень!N19+серпень!O19+серпень!P19+серпень!Q19+серпень!R19+серпень!S19</f>
        <v>18266.368999999999</v>
      </c>
    </row>
    <row r="51" spans="2:8">
      <c r="E51" s="562">
        <f>E49-E50</f>
        <v>0</v>
      </c>
      <c r="F51" s="562">
        <f>F49-F50</f>
        <v>-1E-3</v>
      </c>
      <c r="G51" s="562">
        <f>G49-G50</f>
        <v>0</v>
      </c>
    </row>
  </sheetData>
  <mergeCells count="22">
    <mergeCell ref="B40:B43"/>
    <mergeCell ref="C40:C43"/>
    <mergeCell ref="B44:B49"/>
    <mergeCell ref="C44:C49"/>
    <mergeCell ref="B28:B31"/>
    <mergeCell ref="C28:C31"/>
    <mergeCell ref="B32:B35"/>
    <mergeCell ref="C32:C35"/>
    <mergeCell ref="B36:B39"/>
    <mergeCell ref="C36:C39"/>
    <mergeCell ref="B16:B19"/>
    <mergeCell ref="C16:C19"/>
    <mergeCell ref="B20:B23"/>
    <mergeCell ref="C20:C23"/>
    <mergeCell ref="B24:B27"/>
    <mergeCell ref="C24:C27"/>
    <mergeCell ref="B4:B7"/>
    <mergeCell ref="B8:B11"/>
    <mergeCell ref="B12:B15"/>
    <mergeCell ref="C4:C7"/>
    <mergeCell ref="C8:C11"/>
    <mergeCell ref="C12:C1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C000"/>
  </sheetPr>
  <dimension ref="A1:AB1920"/>
  <sheetViews>
    <sheetView view="pageBreakPreview" zoomScale="70" zoomScaleNormal="70" zoomScaleSheetLayoutView="70" workbookViewId="0">
      <pane xSplit="5" ySplit="15" topLeftCell="I606" activePane="bottomRight" state="frozen"/>
      <selection activeCell="N691" sqref="N691"/>
      <selection pane="topRight" activeCell="N691" sqref="N691"/>
      <selection pane="bottomLeft" activeCell="N691" sqref="N691"/>
      <selection pane="bottomRight" activeCell="S622" sqref="S622"/>
    </sheetView>
  </sheetViews>
  <sheetFormatPr defaultColWidth="9.33203125" defaultRowHeight="15.05"/>
  <cols>
    <col min="1" max="1" width="10.44140625" style="249" customWidth="1"/>
    <col min="2" max="2" width="6.44140625" style="249" customWidth="1"/>
    <col min="3" max="3" width="7" style="155" customWidth="1"/>
    <col min="4" max="4" width="33.5546875" style="155" customWidth="1"/>
    <col min="5" max="5" width="18.44140625" style="155" customWidth="1"/>
    <col min="6" max="6" width="12.44140625" style="249" customWidth="1"/>
    <col min="7" max="7" width="11.44140625" style="249" customWidth="1"/>
    <col min="8" max="8" width="12.6640625" style="249" customWidth="1"/>
    <col min="9" max="10" width="11.44140625" style="249" customWidth="1"/>
    <col min="11" max="11" width="12.33203125" style="249" customWidth="1"/>
    <col min="12" max="12" width="12" style="252" customWidth="1"/>
    <col min="13" max="13" width="11.44140625" style="252" customWidth="1"/>
    <col min="14" max="14" width="13.6640625" style="253" customWidth="1"/>
    <col min="15" max="17" width="11.44140625" style="249" customWidth="1"/>
    <col min="18" max="18" width="13" style="249" customWidth="1"/>
    <col min="19" max="19" width="13.33203125" style="249" customWidth="1"/>
    <col min="20" max="20" width="13.44140625" style="252" customWidth="1"/>
    <col min="21" max="21" width="13.5546875" style="252" customWidth="1"/>
    <col min="22" max="22" width="17" style="250" customWidth="1"/>
    <col min="23" max="23" width="13.5546875" style="249" customWidth="1"/>
    <col min="24" max="24" width="13.5546875" style="251" customWidth="1"/>
    <col min="25" max="25" width="9.33203125" style="251"/>
    <col min="26" max="26" width="15" style="309" customWidth="1"/>
    <col min="27" max="27" width="11.88671875" style="251" customWidth="1"/>
    <col min="28" max="16384" width="9.33203125" style="251"/>
  </cols>
  <sheetData>
    <row r="1" spans="1:27" s="157" customFormat="1" ht="30.05" customHeight="1">
      <c r="A1" s="544" t="s">
        <v>41</v>
      </c>
      <c r="B1" s="155"/>
      <c r="E1" s="519" t="s">
        <v>131</v>
      </c>
      <c r="F1" s="472">
        <v>2870</v>
      </c>
      <c r="G1" s="472">
        <v>654974</v>
      </c>
      <c r="H1" s="472">
        <v>698397</v>
      </c>
      <c r="I1" s="472">
        <v>394527</v>
      </c>
      <c r="J1" s="472">
        <v>116104</v>
      </c>
      <c r="K1" s="472">
        <v>83406</v>
      </c>
      <c r="L1" s="472"/>
      <c r="M1" s="472"/>
      <c r="N1" s="472">
        <v>61338</v>
      </c>
      <c r="O1" s="472">
        <v>73018</v>
      </c>
      <c r="P1" s="472">
        <v>99519</v>
      </c>
      <c r="Q1" s="472">
        <v>120793</v>
      </c>
      <c r="R1" s="472">
        <v>124684</v>
      </c>
      <c r="S1" s="472">
        <v>627514</v>
      </c>
      <c r="T1" s="472">
        <v>3022410</v>
      </c>
      <c r="U1" s="372">
        <v>3057144</v>
      </c>
      <c r="V1" s="666" t="s">
        <v>3</v>
      </c>
      <c r="W1" s="666"/>
      <c r="Y1" s="311"/>
      <c r="Z1" s="310"/>
      <c r="AA1" s="312"/>
    </row>
    <row r="2" spans="1:27" s="157" customFormat="1" ht="17.100000000000001" customHeight="1">
      <c r="A2" s="155"/>
      <c r="B2" s="155"/>
      <c r="C2" s="470"/>
      <c r="D2" s="470"/>
      <c r="E2" s="385"/>
      <c r="F2" s="476">
        <f>F1/1000</f>
        <v>2.87</v>
      </c>
      <c r="G2" s="476">
        <f t="shared" ref="G2:K2" si="0">G1/1000</f>
        <v>654.97400000000005</v>
      </c>
      <c r="H2" s="476">
        <f t="shared" si="0"/>
        <v>698.39700000000005</v>
      </c>
      <c r="I2" s="476">
        <f t="shared" si="0"/>
        <v>394.52699999999999</v>
      </c>
      <c r="J2" s="476">
        <f t="shared" si="0"/>
        <v>116.104</v>
      </c>
      <c r="K2" s="476">
        <f t="shared" si="0"/>
        <v>83.406000000000006</v>
      </c>
      <c r="L2" s="476"/>
      <c r="M2" s="476"/>
      <c r="N2" s="476">
        <f>N1/1000</f>
        <v>61.338000000000001</v>
      </c>
      <c r="O2" s="476">
        <f t="shared" ref="O2:S2" si="1">O1/1000</f>
        <v>73.018000000000001</v>
      </c>
      <c r="P2" s="476">
        <f t="shared" si="1"/>
        <v>99.519000000000005</v>
      </c>
      <c r="Q2" s="476">
        <f t="shared" si="1"/>
        <v>120.79300000000001</v>
      </c>
      <c r="R2" s="476">
        <f t="shared" si="1"/>
        <v>124.684</v>
      </c>
      <c r="S2" s="476">
        <f t="shared" si="1"/>
        <v>627.51400000000001</v>
      </c>
      <c r="T2" s="479">
        <f>SUM(F2:S2)</f>
        <v>3057.1439999999998</v>
      </c>
      <c r="U2" s="329">
        <f>U1/1000</f>
        <v>3057.1439999999998</v>
      </c>
      <c r="V2" s="469"/>
      <c r="W2" s="469"/>
      <c r="Y2" s="311"/>
      <c r="Z2" s="310"/>
      <c r="AA2" s="312"/>
    </row>
    <row r="3" spans="1:27" s="157" customFormat="1" ht="17.100000000000001" customHeight="1">
      <c r="A3" s="155"/>
      <c r="B3" s="155"/>
      <c r="C3" s="470"/>
      <c r="D3" s="470"/>
      <c r="E3" s="385"/>
      <c r="F3" s="477">
        <f>F2-F17-F18</f>
        <v>0</v>
      </c>
      <c r="G3" s="477">
        <f>G2-G17-G18</f>
        <v>0</v>
      </c>
      <c r="H3" s="477">
        <f t="shared" ref="H3:K3" si="2">H2-H17-H18</f>
        <v>0</v>
      </c>
      <c r="I3" s="477">
        <f t="shared" si="2"/>
        <v>0</v>
      </c>
      <c r="J3" s="477">
        <f t="shared" si="2"/>
        <v>0</v>
      </c>
      <c r="K3" s="477">
        <f t="shared" si="2"/>
        <v>0</v>
      </c>
      <c r="L3" s="477"/>
      <c r="M3" s="477"/>
      <c r="N3" s="477">
        <f>N2-N17-N18</f>
        <v>0</v>
      </c>
      <c r="O3" s="477">
        <f>O2-O17-O18</f>
        <v>0</v>
      </c>
      <c r="P3" s="477">
        <f t="shared" ref="P3" si="3">P2-P17-P18</f>
        <v>0</v>
      </c>
      <c r="Q3" s="477">
        <f t="shared" ref="Q3" si="4">Q2-Q17-Q18</f>
        <v>0</v>
      </c>
      <c r="R3" s="477">
        <f t="shared" ref="R3" si="5">R2-R17-R18</f>
        <v>0</v>
      </c>
      <c r="S3" s="477">
        <f t="shared" ref="S3" si="6">S2-S17-S18</f>
        <v>0</v>
      </c>
      <c r="T3" s="478">
        <f>SUM(F3:S3)</f>
        <v>0</v>
      </c>
      <c r="U3" s="329">
        <f>U2-V16</f>
        <v>0</v>
      </c>
      <c r="V3" s="469"/>
      <c r="W3" s="469"/>
      <c r="Y3" s="311"/>
      <c r="Z3" s="310"/>
      <c r="AA3" s="312"/>
    </row>
    <row r="4" spans="1:27" s="157" customFormat="1" ht="17.100000000000001" customHeight="1">
      <c r="A4" s="155"/>
      <c r="B4" s="155"/>
      <c r="C4" s="470"/>
      <c r="D4" s="470"/>
      <c r="E4" s="155"/>
      <c r="F4" s="429"/>
      <c r="G4" s="156"/>
      <c r="H4" s="156"/>
      <c r="I4" s="156"/>
      <c r="J4" s="156"/>
      <c r="K4" s="156"/>
      <c r="L4" s="319"/>
      <c r="M4" s="341"/>
      <c r="N4" s="321"/>
      <c r="O4" s="321"/>
      <c r="P4" s="468"/>
      <c r="Q4" s="468"/>
      <c r="R4" s="156"/>
      <c r="S4" s="156"/>
      <c r="T4" s="155"/>
      <c r="U4" s="155"/>
      <c r="V4" s="469"/>
      <c r="W4" s="469"/>
      <c r="Y4" s="311"/>
      <c r="Z4" s="310"/>
      <c r="AA4" s="312"/>
    </row>
    <row r="5" spans="1:27" s="157" customFormat="1" ht="17.100000000000001" customHeight="1">
      <c r="A5" s="155"/>
      <c r="B5" s="155"/>
      <c r="C5" s="158"/>
      <c r="D5" s="159"/>
      <c r="E5" s="159"/>
      <c r="F5" s="435"/>
      <c r="G5" s="435"/>
      <c r="H5" s="160"/>
      <c r="I5" s="160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61"/>
      <c r="W5" s="155"/>
      <c r="Y5" s="163"/>
      <c r="Z5" s="293"/>
      <c r="AA5" s="270"/>
    </row>
    <row r="6" spans="1:27" s="163" customFormat="1" ht="17.55">
      <c r="A6" s="162"/>
      <c r="B6" s="162"/>
      <c r="C6" s="612" t="s">
        <v>85</v>
      </c>
      <c r="D6" s="612"/>
      <c r="E6" s="612"/>
      <c r="F6" s="612"/>
      <c r="G6" s="612"/>
      <c r="H6" s="612"/>
      <c r="I6" s="612"/>
      <c r="J6" s="612"/>
      <c r="K6" s="612"/>
      <c r="L6" s="612"/>
      <c r="M6" s="612"/>
      <c r="N6" s="612"/>
      <c r="O6" s="612"/>
      <c r="P6" s="612"/>
      <c r="Q6" s="612"/>
      <c r="R6" s="612"/>
      <c r="S6" s="612"/>
      <c r="T6" s="612"/>
      <c r="U6" s="612"/>
      <c r="V6" s="612"/>
      <c r="W6" s="612"/>
      <c r="Z6" s="293"/>
      <c r="AA6" s="270"/>
    </row>
    <row r="7" spans="1:27" s="163" customFormat="1" ht="15.65">
      <c r="A7" s="162"/>
      <c r="B7" s="162"/>
      <c r="C7" s="667" t="s">
        <v>1</v>
      </c>
      <c r="D7" s="667"/>
      <c r="E7" s="667"/>
      <c r="F7" s="667"/>
      <c r="G7" s="667"/>
      <c r="H7" s="667"/>
      <c r="I7" s="667"/>
      <c r="J7" s="667"/>
      <c r="K7" s="667"/>
      <c r="L7" s="667"/>
      <c r="M7" s="667"/>
      <c r="N7" s="667"/>
      <c r="O7" s="667"/>
      <c r="P7" s="667"/>
      <c r="Q7" s="667"/>
      <c r="R7" s="667"/>
      <c r="S7" s="667"/>
      <c r="T7" s="667"/>
      <c r="U7" s="667"/>
      <c r="V7" s="667"/>
      <c r="W7" s="667"/>
      <c r="Z7" s="293"/>
      <c r="AA7" s="270"/>
    </row>
    <row r="8" spans="1:27" s="163" customFormat="1" ht="15.65">
      <c r="A8" s="162"/>
      <c r="B8" s="162"/>
      <c r="C8" s="613" t="str">
        <f>серпень!C8</f>
        <v>станом на 01.09.2025</v>
      </c>
      <c r="D8" s="613"/>
      <c r="E8" s="613"/>
      <c r="F8" s="613"/>
      <c r="G8" s="613"/>
      <c r="H8" s="613"/>
      <c r="I8" s="613"/>
      <c r="J8" s="613"/>
      <c r="K8" s="613"/>
      <c r="L8" s="613"/>
      <c r="M8" s="613"/>
      <c r="N8" s="613"/>
      <c r="O8" s="613"/>
      <c r="P8" s="613"/>
      <c r="Q8" s="613"/>
      <c r="R8" s="613"/>
      <c r="S8" s="613"/>
      <c r="T8" s="613"/>
      <c r="U8" s="613"/>
      <c r="V8" s="613"/>
      <c r="W8" s="613"/>
      <c r="Z8" s="293"/>
      <c r="AA8" s="270"/>
    </row>
    <row r="9" spans="1:27" s="163" customFormat="1" ht="17.55">
      <c r="A9" s="162"/>
      <c r="B9" s="162"/>
      <c r="C9" s="162"/>
      <c r="D9" s="443"/>
      <c r="E9" s="443"/>
      <c r="F9" s="289"/>
      <c r="G9" s="289"/>
      <c r="H9" s="289"/>
      <c r="I9" s="289"/>
      <c r="J9" s="289"/>
      <c r="K9" s="313"/>
      <c r="L9" s="443"/>
      <c r="M9" s="443"/>
      <c r="N9" s="313"/>
      <c r="O9" s="455"/>
      <c r="P9" s="455"/>
      <c r="Q9" s="443"/>
      <c r="R9" s="443"/>
      <c r="S9" s="443"/>
      <c r="T9" s="443"/>
      <c r="U9" s="443"/>
      <c r="V9" s="444"/>
      <c r="W9" s="162"/>
      <c r="Z9" s="293"/>
    </row>
    <row r="10" spans="1:27" s="157" customFormat="1" ht="17.55">
      <c r="A10" s="155"/>
      <c r="B10" s="155"/>
      <c r="C10" s="155"/>
      <c r="D10" s="164"/>
      <c r="E10" s="162" t="s">
        <v>126</v>
      </c>
      <c r="F10" s="442">
        <v>0</v>
      </c>
      <c r="G10" s="442">
        <v>653500.68999999994</v>
      </c>
      <c r="H10" s="442">
        <v>661693.57999999996</v>
      </c>
      <c r="I10" s="442">
        <v>421200.17</v>
      </c>
      <c r="J10" s="442">
        <v>114210.87</v>
      </c>
      <c r="K10" s="442">
        <v>98970.1</v>
      </c>
      <c r="L10" s="155"/>
      <c r="M10" s="155"/>
      <c r="N10" s="442">
        <v>60367.15</v>
      </c>
      <c r="O10" s="442">
        <v>71947</v>
      </c>
      <c r="P10" s="442"/>
      <c r="Q10" s="442"/>
      <c r="R10" s="442"/>
      <c r="S10" s="442"/>
      <c r="T10" s="155"/>
      <c r="U10" s="155"/>
      <c r="V10" s="445">
        <f>U2</f>
        <v>3057.1439999999998</v>
      </c>
      <c r="W10" s="155"/>
      <c r="Z10" s="293"/>
    </row>
    <row r="11" spans="1:27" s="157" customFormat="1" ht="17.55">
      <c r="A11" s="155"/>
      <c r="B11" s="155"/>
      <c r="C11" s="155"/>
      <c r="D11" s="164"/>
      <c r="E11" s="155"/>
      <c r="F11" s="289">
        <f>F10/1000</f>
        <v>0</v>
      </c>
      <c r="G11" s="289">
        <f t="shared" ref="G11:K11" si="7">G10/1000</f>
        <v>653.50099999999998</v>
      </c>
      <c r="H11" s="289">
        <f t="shared" si="7"/>
        <v>661.69399999999996</v>
      </c>
      <c r="I11" s="289">
        <f t="shared" si="7"/>
        <v>421.2</v>
      </c>
      <c r="J11" s="289">
        <f t="shared" si="7"/>
        <v>114.211</v>
      </c>
      <c r="K11" s="289">
        <f t="shared" si="7"/>
        <v>98.97</v>
      </c>
      <c r="L11" s="155"/>
      <c r="M11" s="155"/>
      <c r="N11" s="289">
        <f>N10/1000</f>
        <v>60.366999999999997</v>
      </c>
      <c r="O11" s="289">
        <f t="shared" ref="O11" si="8">O10/1000</f>
        <v>71.947000000000003</v>
      </c>
      <c r="P11" s="289">
        <f t="shared" ref="P11" si="9">P10/1000</f>
        <v>0</v>
      </c>
      <c r="Q11" s="289">
        <f t="shared" ref="Q11" si="10">Q10/1000</f>
        <v>0</v>
      </c>
      <c r="R11" s="289">
        <f t="shared" ref="R11" si="11">R10/1000</f>
        <v>0</v>
      </c>
      <c r="S11" s="289">
        <f t="shared" ref="S11" si="12">S10/1000</f>
        <v>0</v>
      </c>
      <c r="T11" s="155"/>
      <c r="U11" s="155"/>
      <c r="V11" s="445">
        <f>V10-V16</f>
        <v>0</v>
      </c>
      <c r="W11" s="155"/>
      <c r="Z11" s="293"/>
    </row>
    <row r="12" spans="1:27" s="209" customFormat="1" ht="15.65">
      <c r="A12" s="525"/>
      <c r="B12" s="525"/>
      <c r="C12" s="525"/>
      <c r="D12" s="526"/>
      <c r="E12" s="525"/>
      <c r="F12" s="209">
        <f>F11-F19</f>
        <v>0</v>
      </c>
      <c r="G12" s="209">
        <f t="shared" ref="G12:K12" si="13">G11-G19</f>
        <v>2E-3</v>
      </c>
      <c r="H12" s="209">
        <f t="shared" si="13"/>
        <v>0</v>
      </c>
      <c r="I12" s="209">
        <f t="shared" si="13"/>
        <v>0</v>
      </c>
      <c r="J12" s="209">
        <f t="shared" si="13"/>
        <v>1E-3</v>
      </c>
      <c r="K12" s="209">
        <f t="shared" si="13"/>
        <v>0</v>
      </c>
      <c r="L12" s="525"/>
      <c r="M12" s="525"/>
      <c r="N12" s="209">
        <f>N11-N19</f>
        <v>0</v>
      </c>
      <c r="O12" s="209">
        <f t="shared" ref="O12" si="14">O11-O19</f>
        <v>0</v>
      </c>
      <c r="P12" s="209">
        <f t="shared" ref="P12" si="15">P11-P19</f>
        <v>-79.906999999999996</v>
      </c>
      <c r="Q12" s="209">
        <f t="shared" ref="Q12" si="16">Q11-Q19</f>
        <v>-98.787000000000006</v>
      </c>
      <c r="R12" s="209">
        <f t="shared" ref="R12" si="17">R11-R19</f>
        <v>-121.57</v>
      </c>
      <c r="S12" s="209">
        <f t="shared" ref="S12" si="18">S11-S19</f>
        <v>-666.14400000000001</v>
      </c>
      <c r="T12" s="525"/>
      <c r="U12" s="525"/>
      <c r="V12" s="533"/>
      <c r="W12" s="525"/>
      <c r="Z12" s="267"/>
    </row>
    <row r="13" spans="1:27" s="157" customFormat="1" ht="39.450000000000003" customHeight="1">
      <c r="A13" s="668" t="s">
        <v>5</v>
      </c>
      <c r="B13" s="668"/>
      <c r="C13" s="668"/>
      <c r="D13" s="668"/>
      <c r="E13" s="648" t="str">
        <f>серпень!E13</f>
        <v>оплата в січні 2025 за грудень 2024 року/в грудні 2024за січень 2025</v>
      </c>
      <c r="F13" s="669" t="s">
        <v>6</v>
      </c>
      <c r="G13" s="669"/>
      <c r="H13" s="669"/>
      <c r="I13" s="669"/>
      <c r="J13" s="669"/>
      <c r="K13" s="669"/>
      <c r="L13" s="669"/>
      <c r="M13" s="669"/>
      <c r="N13" s="669"/>
      <c r="O13" s="669"/>
      <c r="P13" s="669"/>
      <c r="Q13" s="669"/>
      <c r="R13" s="669"/>
      <c r="S13" s="669"/>
      <c r="T13" s="669"/>
      <c r="U13" s="669"/>
      <c r="V13" s="668" t="s">
        <v>7</v>
      </c>
      <c r="W13" s="668" t="s">
        <v>8</v>
      </c>
      <c r="Z13" s="293"/>
    </row>
    <row r="14" spans="1:27" s="157" customFormat="1" ht="51.05" customHeight="1">
      <c r="A14" s="668"/>
      <c r="B14" s="668"/>
      <c r="C14" s="668"/>
      <c r="D14" s="672"/>
      <c r="E14" s="649"/>
      <c r="F14" s="165" t="s">
        <v>9</v>
      </c>
      <c r="G14" s="165" t="s">
        <v>10</v>
      </c>
      <c r="H14" s="165" t="s">
        <v>11</v>
      </c>
      <c r="I14" s="165" t="s">
        <v>12</v>
      </c>
      <c r="J14" s="165" t="s">
        <v>13</v>
      </c>
      <c r="K14" s="165" t="s">
        <v>14</v>
      </c>
      <c r="L14" s="166" t="s">
        <v>15</v>
      </c>
      <c r="M14" s="167" t="s">
        <v>16</v>
      </c>
      <c r="N14" s="165" t="s">
        <v>17</v>
      </c>
      <c r="O14" s="165" t="s">
        <v>18</v>
      </c>
      <c r="P14" s="165" t="s">
        <v>19</v>
      </c>
      <c r="Q14" s="165" t="s">
        <v>20</v>
      </c>
      <c r="R14" s="165" t="s">
        <v>21</v>
      </c>
      <c r="S14" s="165" t="s">
        <v>22</v>
      </c>
      <c r="T14" s="167" t="s">
        <v>23</v>
      </c>
      <c r="U14" s="167" t="s">
        <v>2</v>
      </c>
      <c r="V14" s="668"/>
      <c r="W14" s="668"/>
      <c r="Z14" s="293"/>
    </row>
    <row r="15" spans="1:27" s="169" customFormat="1" ht="18.649999999999999" customHeight="1">
      <c r="A15" s="618" t="s">
        <v>94</v>
      </c>
      <c r="B15" s="619"/>
      <c r="C15" s="619"/>
      <c r="D15" s="619"/>
      <c r="E15" s="619"/>
      <c r="F15" s="619"/>
      <c r="G15" s="619"/>
      <c r="H15" s="619"/>
      <c r="I15" s="619"/>
      <c r="J15" s="619"/>
      <c r="K15" s="619"/>
      <c r="L15" s="619"/>
      <c r="M15" s="619"/>
      <c r="N15" s="619"/>
      <c r="O15" s="619"/>
      <c r="P15" s="619"/>
      <c r="Q15" s="619"/>
      <c r="R15" s="619"/>
      <c r="S15" s="619"/>
      <c r="T15" s="619"/>
      <c r="U15" s="619"/>
      <c r="V15" s="619"/>
      <c r="W15" s="620"/>
      <c r="X15" s="168"/>
      <c r="Z15" s="294"/>
    </row>
    <row r="16" spans="1:27" s="173" customFormat="1" ht="18" customHeight="1">
      <c r="A16" s="621">
        <v>2270</v>
      </c>
      <c r="B16" s="622"/>
      <c r="C16" s="623"/>
      <c r="D16" s="170" t="s">
        <v>0</v>
      </c>
      <c r="E16" s="171"/>
      <c r="F16" s="171">
        <f>F28+F334+F475+F520+F521</f>
        <v>656.91200000000003</v>
      </c>
      <c r="G16" s="171">
        <f t="shared" ref="G16:K16" si="19">G28+G334+G475+G520+G521</f>
        <v>652.702</v>
      </c>
      <c r="H16" s="171">
        <f t="shared" si="19"/>
        <v>421.21300000000002</v>
      </c>
      <c r="I16" s="171">
        <f t="shared" si="19"/>
        <v>113.645</v>
      </c>
      <c r="J16" s="171">
        <f t="shared" si="19"/>
        <v>99.492000000000004</v>
      </c>
      <c r="K16" s="171">
        <f t="shared" si="19"/>
        <v>64.787999999999997</v>
      </c>
      <c r="L16" s="171">
        <f t="shared" ref="L16:L18" si="20">SUM(F16:K16)</f>
        <v>2008.752</v>
      </c>
      <c r="M16" s="171">
        <f t="shared" ref="M16:M18" si="21">L16/6</f>
        <v>334.79199999999997</v>
      </c>
      <c r="N16" s="171">
        <f>N28+N334+N475+N520+N521</f>
        <v>70.195999999999998</v>
      </c>
      <c r="O16" s="171">
        <f t="shared" ref="O16:S16" si="22">O28+O334+O475+O520+O521</f>
        <v>73.936999999999998</v>
      </c>
      <c r="P16" s="171">
        <f t="shared" si="22"/>
        <v>99.727999999999994</v>
      </c>
      <c r="Q16" s="171">
        <f t="shared" si="22"/>
        <v>121.631</v>
      </c>
      <c r="R16" s="171">
        <f t="shared" si="22"/>
        <v>277.62</v>
      </c>
      <c r="S16" s="171">
        <f t="shared" si="22"/>
        <v>396.43099999999998</v>
      </c>
      <c r="T16" s="171">
        <f t="shared" ref="T16:T18" si="23">SUM(N16:S16)</f>
        <v>1039.5429999999999</v>
      </c>
      <c r="U16" s="171">
        <f>T16+L16</f>
        <v>3048.2950000000001</v>
      </c>
      <c r="V16" s="171">
        <f>V28+V334+V475+V520+V521</f>
        <v>3057.1439999999998</v>
      </c>
      <c r="W16" s="171">
        <f t="shared" ref="W16:W18" si="24">V16-U16</f>
        <v>8.8490000000000002</v>
      </c>
      <c r="X16" s="172"/>
      <c r="Z16" s="295"/>
    </row>
    <row r="17" spans="1:26" s="173" customFormat="1" ht="18" customHeight="1">
      <c r="A17" s="624"/>
      <c r="B17" s="625"/>
      <c r="C17" s="626"/>
      <c r="D17" s="174" t="s">
        <v>55</v>
      </c>
      <c r="E17" s="171"/>
      <c r="F17" s="171">
        <f t="shared" ref="F17:K17" si="25">F29+F337+F476+F540</f>
        <v>0</v>
      </c>
      <c r="G17" s="171">
        <f t="shared" si="25"/>
        <v>0</v>
      </c>
      <c r="H17" s="171">
        <f t="shared" si="25"/>
        <v>15.282</v>
      </c>
      <c r="I17" s="171">
        <f t="shared" si="25"/>
        <v>13.728999999999999</v>
      </c>
      <c r="J17" s="171">
        <f t="shared" si="25"/>
        <v>16.187999999999999</v>
      </c>
      <c r="K17" s="171">
        <f t="shared" si="25"/>
        <v>0</v>
      </c>
      <c r="L17" s="171">
        <f t="shared" si="20"/>
        <v>45.198999999999998</v>
      </c>
      <c r="M17" s="171">
        <f>L17/6</f>
        <v>7.5330000000000004</v>
      </c>
      <c r="N17" s="171">
        <f t="shared" ref="N17:S17" si="26">N29+N337+N476+N540</f>
        <v>0</v>
      </c>
      <c r="O17" s="171">
        <f t="shared" si="26"/>
        <v>0</v>
      </c>
      <c r="P17" s="171">
        <f t="shared" si="26"/>
        <v>0</v>
      </c>
      <c r="Q17" s="171">
        <f t="shared" si="26"/>
        <v>0</v>
      </c>
      <c r="R17" s="171">
        <f t="shared" si="26"/>
        <v>0</v>
      </c>
      <c r="S17" s="171">
        <f t="shared" si="26"/>
        <v>0</v>
      </c>
      <c r="T17" s="171">
        <f t="shared" si="23"/>
        <v>0</v>
      </c>
      <c r="U17" s="171">
        <f>T17+L17</f>
        <v>45.198999999999998</v>
      </c>
      <c r="V17" s="171">
        <f>V29+V337+V476+V540</f>
        <v>45.198999999999998</v>
      </c>
      <c r="W17" s="171">
        <f t="shared" si="24"/>
        <v>0</v>
      </c>
      <c r="X17" s="172"/>
      <c r="Z17" s="295"/>
    </row>
    <row r="18" spans="1:26" s="173" customFormat="1" ht="18" customHeight="1">
      <c r="A18" s="627"/>
      <c r="B18" s="628"/>
      <c r="C18" s="629"/>
      <c r="D18" s="170" t="s">
        <v>24</v>
      </c>
      <c r="E18" s="171"/>
      <c r="F18" s="171">
        <f>F30+F338+F477+F524</f>
        <v>2.87</v>
      </c>
      <c r="G18" s="171">
        <f>G30+G338+G477+G524</f>
        <v>654.97400000000005</v>
      </c>
      <c r="H18" s="171">
        <f t="shared" ref="H18:K18" si="27">H30+H338+H477+H524</f>
        <v>683.11500000000001</v>
      </c>
      <c r="I18" s="171">
        <f t="shared" si="27"/>
        <v>380.798</v>
      </c>
      <c r="J18" s="171">
        <f t="shared" si="27"/>
        <v>99.915999999999997</v>
      </c>
      <c r="K18" s="171">
        <f t="shared" si="27"/>
        <v>83.406000000000006</v>
      </c>
      <c r="L18" s="171">
        <f t="shared" si="20"/>
        <v>1905.079</v>
      </c>
      <c r="M18" s="171">
        <f t="shared" si="21"/>
        <v>317.51299999999998</v>
      </c>
      <c r="N18" s="171">
        <f t="shared" ref="N18:S18" si="28">N30+N338+N477+N524</f>
        <v>61.338000000000001</v>
      </c>
      <c r="O18" s="171">
        <f t="shared" si="28"/>
        <v>73.018000000000001</v>
      </c>
      <c r="P18" s="171">
        <f t="shared" si="28"/>
        <v>99.519000000000005</v>
      </c>
      <c r="Q18" s="171">
        <f t="shared" si="28"/>
        <v>120.79300000000001</v>
      </c>
      <c r="R18" s="171">
        <f t="shared" si="28"/>
        <v>124.684</v>
      </c>
      <c r="S18" s="171">
        <f t="shared" si="28"/>
        <v>627.51400000000001</v>
      </c>
      <c r="T18" s="171">
        <f t="shared" si="23"/>
        <v>1106.866</v>
      </c>
      <c r="U18" s="171">
        <f>T18+L18</f>
        <v>3011.9450000000002</v>
      </c>
      <c r="V18" s="171">
        <f>V30+V338+V477+V524</f>
        <v>3011.9450000000002</v>
      </c>
      <c r="W18" s="171">
        <f t="shared" si="24"/>
        <v>0</v>
      </c>
      <c r="X18" s="172"/>
      <c r="Z18" s="295"/>
    </row>
    <row r="19" spans="1:26" s="177" customFormat="1" ht="18" customHeight="1">
      <c r="A19" s="630">
        <v>2270</v>
      </c>
      <c r="B19" s="631"/>
      <c r="C19" s="632"/>
      <c r="D19" s="115" t="s">
        <v>25</v>
      </c>
      <c r="E19" s="175">
        <f t="shared" ref="E19:K19" si="29">E33+E341+E480+E527</f>
        <v>0</v>
      </c>
      <c r="F19" s="175">
        <f t="shared" si="29"/>
        <v>0</v>
      </c>
      <c r="G19" s="175">
        <f t="shared" si="29"/>
        <v>653.49900000000002</v>
      </c>
      <c r="H19" s="175">
        <f t="shared" si="29"/>
        <v>661.69399999999996</v>
      </c>
      <c r="I19" s="175">
        <f t="shared" si="29"/>
        <v>421.2</v>
      </c>
      <c r="J19" s="175">
        <f t="shared" si="29"/>
        <v>114.21</v>
      </c>
      <c r="K19" s="175">
        <f t="shared" si="29"/>
        <v>98.97</v>
      </c>
      <c r="L19" s="175">
        <f t="shared" ref="L19:L21" si="30">SUM(F19:K19)</f>
        <v>1949.5730000000001</v>
      </c>
      <c r="M19" s="175">
        <f t="shared" ref="M19:M21" si="31">L19/6</f>
        <v>324.92899999999997</v>
      </c>
      <c r="N19" s="175">
        <f t="shared" ref="N19:S21" si="32">N33+N341+N480+N527</f>
        <v>60.366999999999997</v>
      </c>
      <c r="O19" s="175">
        <f t="shared" si="32"/>
        <v>71.947000000000003</v>
      </c>
      <c r="P19" s="175">
        <f t="shared" si="32"/>
        <v>79.906999999999996</v>
      </c>
      <c r="Q19" s="175">
        <f t="shared" si="32"/>
        <v>98.787000000000006</v>
      </c>
      <c r="R19" s="175">
        <f t="shared" si="32"/>
        <v>121.57</v>
      </c>
      <c r="S19" s="175">
        <f t="shared" si="32"/>
        <v>666.14400000000001</v>
      </c>
      <c r="T19" s="175">
        <f t="shared" ref="T19:T21" si="33">SUM(N19:S19)</f>
        <v>1098.722</v>
      </c>
      <c r="U19" s="175">
        <f t="shared" ref="U19:U21" si="34">T19+L19</f>
        <v>3048.2950000000001</v>
      </c>
      <c r="V19" s="175">
        <f>V33+V341+V480+V527</f>
        <v>3057.1439999999998</v>
      </c>
      <c r="W19" s="175">
        <f t="shared" ref="W19:W20" si="35">V19-U19</f>
        <v>8.8490000000000002</v>
      </c>
      <c r="X19" s="176">
        <f>U16-U19</f>
        <v>0</v>
      </c>
      <c r="Z19" s="296"/>
    </row>
    <row r="20" spans="1:26" s="177" customFormat="1" ht="18" customHeight="1">
      <c r="A20" s="633"/>
      <c r="B20" s="634"/>
      <c r="C20" s="635"/>
      <c r="D20" s="115" t="s">
        <v>55</v>
      </c>
      <c r="E20" s="175"/>
      <c r="F20" s="175">
        <f t="shared" ref="F20:K21" si="36">F34+F342+F481+F528</f>
        <v>0</v>
      </c>
      <c r="G20" s="175">
        <f t="shared" si="36"/>
        <v>0</v>
      </c>
      <c r="H20" s="175">
        <f t="shared" si="36"/>
        <v>15.282</v>
      </c>
      <c r="I20" s="175">
        <f t="shared" si="36"/>
        <v>0</v>
      </c>
      <c r="J20" s="175">
        <f t="shared" si="36"/>
        <v>13.728999999999999</v>
      </c>
      <c r="K20" s="175">
        <f t="shared" si="36"/>
        <v>16.187999999999999</v>
      </c>
      <c r="L20" s="175">
        <f t="shared" si="30"/>
        <v>45.198999999999998</v>
      </c>
      <c r="M20" s="175">
        <f t="shared" si="31"/>
        <v>7.5330000000000004</v>
      </c>
      <c r="N20" s="175">
        <f t="shared" si="32"/>
        <v>0</v>
      </c>
      <c r="O20" s="175">
        <f t="shared" si="32"/>
        <v>0</v>
      </c>
      <c r="P20" s="175">
        <f t="shared" si="32"/>
        <v>0</v>
      </c>
      <c r="Q20" s="175">
        <f t="shared" si="32"/>
        <v>0</v>
      </c>
      <c r="R20" s="175">
        <f t="shared" si="32"/>
        <v>0</v>
      </c>
      <c r="S20" s="175">
        <f t="shared" si="32"/>
        <v>0</v>
      </c>
      <c r="T20" s="175">
        <f t="shared" si="33"/>
        <v>0</v>
      </c>
      <c r="U20" s="175">
        <f t="shared" si="34"/>
        <v>45.198999999999998</v>
      </c>
      <c r="V20" s="175">
        <f>V34+V342+V481+V528</f>
        <v>45.198999999999998</v>
      </c>
      <c r="W20" s="175">
        <f t="shared" si="35"/>
        <v>0</v>
      </c>
      <c r="X20" s="176">
        <f>U17-U20</f>
        <v>0</v>
      </c>
      <c r="Z20" s="296"/>
    </row>
    <row r="21" spans="1:26" s="177" customFormat="1" ht="18" customHeight="1">
      <c r="A21" s="636"/>
      <c r="B21" s="637"/>
      <c r="C21" s="638"/>
      <c r="D21" s="115" t="s">
        <v>24</v>
      </c>
      <c r="E21" s="175"/>
      <c r="F21" s="175">
        <f t="shared" si="36"/>
        <v>0</v>
      </c>
      <c r="G21" s="175">
        <f t="shared" si="36"/>
        <v>653.49900000000002</v>
      </c>
      <c r="H21" s="175">
        <f t="shared" si="36"/>
        <v>646.41200000000003</v>
      </c>
      <c r="I21" s="175">
        <f t="shared" si="36"/>
        <v>421.2</v>
      </c>
      <c r="J21" s="175">
        <f t="shared" si="36"/>
        <v>100.48099999999999</v>
      </c>
      <c r="K21" s="175">
        <f t="shared" si="36"/>
        <v>82.781999999999996</v>
      </c>
      <c r="L21" s="175">
        <f t="shared" si="30"/>
        <v>1904.374</v>
      </c>
      <c r="M21" s="175">
        <f t="shared" si="31"/>
        <v>317.39600000000002</v>
      </c>
      <c r="N21" s="175">
        <f t="shared" si="32"/>
        <v>60.366999999999997</v>
      </c>
      <c r="O21" s="175">
        <f t="shared" si="32"/>
        <v>71.947000000000003</v>
      </c>
      <c r="P21" s="175">
        <f t="shared" si="32"/>
        <v>79.906999999999996</v>
      </c>
      <c r="Q21" s="175">
        <f t="shared" si="32"/>
        <v>98.787000000000006</v>
      </c>
      <c r="R21" s="175">
        <f t="shared" si="32"/>
        <v>121.57</v>
      </c>
      <c r="S21" s="175">
        <f t="shared" si="32"/>
        <v>666.14400000000001</v>
      </c>
      <c r="T21" s="175">
        <f t="shared" si="33"/>
        <v>1098.722</v>
      </c>
      <c r="U21" s="175">
        <f t="shared" si="34"/>
        <v>3003.096</v>
      </c>
      <c r="V21" s="175">
        <f>V35+V343+V482+V529</f>
        <v>3011.9450000000002</v>
      </c>
      <c r="W21" s="175">
        <f>V21-U21</f>
        <v>8.8490000000000002</v>
      </c>
      <c r="X21" s="176">
        <f>U18-U21</f>
        <v>8.8490000000000002</v>
      </c>
      <c r="Z21" s="296"/>
    </row>
    <row r="22" spans="1:26" s="186" customFormat="1" ht="18" customHeight="1">
      <c r="A22" s="609">
        <v>2271</v>
      </c>
      <c r="B22" s="580" t="s">
        <v>86</v>
      </c>
      <c r="C22" s="575"/>
      <c r="D22" s="178" t="str">
        <f>серпень!D22</f>
        <v>факт. нат.п-ки 2023</v>
      </c>
      <c r="E22" s="179"/>
      <c r="F22" s="180">
        <f t="shared" ref="F22:K24" si="37">F56+F163+F208+F253</f>
        <v>150.5</v>
      </c>
      <c r="G22" s="180">
        <f t="shared" si="37"/>
        <v>140.9</v>
      </c>
      <c r="H22" s="180">
        <f t="shared" si="37"/>
        <v>75.8</v>
      </c>
      <c r="I22" s="180">
        <f t="shared" si="37"/>
        <v>0.6</v>
      </c>
      <c r="J22" s="180">
        <f t="shared" si="37"/>
        <v>0.6</v>
      </c>
      <c r="K22" s="180">
        <f t="shared" si="37"/>
        <v>0.6</v>
      </c>
      <c r="L22" s="181">
        <f t="shared" ref="L22:L23" si="38">SUM(F22:K22)</f>
        <v>369</v>
      </c>
      <c r="M22" s="181">
        <f>L22/6</f>
        <v>61.5</v>
      </c>
      <c r="N22" s="180">
        <f t="shared" ref="N22:S24" si="39">N56+N163+N208+N253</f>
        <v>0.6</v>
      </c>
      <c r="O22" s="180">
        <f t="shared" si="39"/>
        <v>0.6</v>
      </c>
      <c r="P22" s="180">
        <f t="shared" si="39"/>
        <v>0.6</v>
      </c>
      <c r="Q22" s="180">
        <f t="shared" si="39"/>
        <v>0.6</v>
      </c>
      <c r="R22" s="180">
        <f t="shared" si="39"/>
        <v>53.2</v>
      </c>
      <c r="S22" s="180">
        <f t="shared" si="39"/>
        <v>191.2</v>
      </c>
      <c r="T22" s="181">
        <f t="shared" ref="T22:T23" si="40">SUM(N22:S22)</f>
        <v>246.8</v>
      </c>
      <c r="U22" s="182">
        <f>T22+L22</f>
        <v>615.79999999999995</v>
      </c>
      <c r="V22" s="183">
        <f>V56+V163+V208+V253</f>
        <v>608.79999999999995</v>
      </c>
      <c r="W22" s="184"/>
      <c r="X22" s="185"/>
      <c r="Z22" s="297"/>
    </row>
    <row r="23" spans="1:26" s="186" customFormat="1" ht="18" customHeight="1">
      <c r="A23" s="610"/>
      <c r="B23" s="576"/>
      <c r="C23" s="577"/>
      <c r="D23" s="178" t="str">
        <f>серпень!D23</f>
        <v>факт. нат.п-ки 2024</v>
      </c>
      <c r="E23" s="179"/>
      <c r="F23" s="263">
        <f t="shared" si="37"/>
        <v>196.4</v>
      </c>
      <c r="G23" s="263">
        <f t="shared" si="37"/>
        <v>166.4</v>
      </c>
      <c r="H23" s="263">
        <f t="shared" si="37"/>
        <v>132.4</v>
      </c>
      <c r="I23" s="263">
        <f t="shared" si="37"/>
        <v>0.5</v>
      </c>
      <c r="J23" s="263">
        <f t="shared" si="37"/>
        <v>0.5</v>
      </c>
      <c r="K23" s="263">
        <f t="shared" si="37"/>
        <v>0.5</v>
      </c>
      <c r="L23" s="325">
        <f t="shared" si="38"/>
        <v>496.7</v>
      </c>
      <c r="M23" s="325">
        <f>L23/6</f>
        <v>82.783000000000001</v>
      </c>
      <c r="N23" s="180">
        <f t="shared" si="39"/>
        <v>0.5</v>
      </c>
      <c r="O23" s="180">
        <f t="shared" si="39"/>
        <v>0.5</v>
      </c>
      <c r="P23" s="180">
        <f t="shared" si="39"/>
        <v>0.5</v>
      </c>
      <c r="Q23" s="180">
        <f t="shared" si="39"/>
        <v>0.6</v>
      </c>
      <c r="R23" s="180">
        <f t="shared" si="39"/>
        <v>53.2</v>
      </c>
      <c r="S23" s="180">
        <f t="shared" si="39"/>
        <v>155</v>
      </c>
      <c r="T23" s="325">
        <f t="shared" si="40"/>
        <v>210.3</v>
      </c>
      <c r="U23" s="325">
        <f t="shared" ref="U23:U24" si="41">T23+L23</f>
        <v>707</v>
      </c>
      <c r="V23" s="183">
        <f>V57+V164+V209+V254</f>
        <v>700.4</v>
      </c>
      <c r="W23" s="184"/>
      <c r="X23" s="185"/>
      <c r="Z23" s="297"/>
    </row>
    <row r="24" spans="1:26" s="186" customFormat="1" ht="18" customHeight="1">
      <c r="A24" s="610"/>
      <c r="B24" s="576"/>
      <c r="C24" s="577"/>
      <c r="D24" s="178" t="str">
        <f>серпень!D24</f>
        <v>факт. нат.п-ки 2025</v>
      </c>
      <c r="E24" s="179"/>
      <c r="F24" s="263">
        <f>F58+F165+F210+F255</f>
        <v>194.7</v>
      </c>
      <c r="G24" s="263">
        <f t="shared" si="37"/>
        <v>193.67</v>
      </c>
      <c r="H24" s="263">
        <f t="shared" si="37"/>
        <v>116.6</v>
      </c>
      <c r="I24" s="263">
        <f t="shared" si="37"/>
        <v>0</v>
      </c>
      <c r="J24" s="263">
        <f t="shared" si="37"/>
        <v>0</v>
      </c>
      <c r="K24" s="263">
        <f t="shared" si="37"/>
        <v>0</v>
      </c>
      <c r="L24" s="334">
        <f t="shared" ref="L24" si="42">SUM(F24:K24)</f>
        <v>504.97</v>
      </c>
      <c r="M24" s="334">
        <f>L24/6</f>
        <v>84.161699999999996</v>
      </c>
      <c r="N24" s="180">
        <f>N58+N165+N210+N255</f>
        <v>0</v>
      </c>
      <c r="O24" s="180">
        <f t="shared" si="39"/>
        <v>0</v>
      </c>
      <c r="P24" s="180">
        <f t="shared" si="39"/>
        <v>0</v>
      </c>
      <c r="Q24" s="180">
        <f t="shared" si="39"/>
        <v>0</v>
      </c>
      <c r="R24" s="180">
        <f t="shared" si="39"/>
        <v>52.6</v>
      </c>
      <c r="S24" s="180">
        <f t="shared" si="39"/>
        <v>108.6</v>
      </c>
      <c r="T24" s="334">
        <f t="shared" ref="T24" si="43">SUM(N24:S24)</f>
        <v>161.19999999999999</v>
      </c>
      <c r="U24" s="334">
        <f t="shared" si="41"/>
        <v>666.17</v>
      </c>
      <c r="V24" s="183">
        <f>V58+V165+V210+V255</f>
        <v>654.6</v>
      </c>
      <c r="W24" s="184">
        <f>V24-U24</f>
        <v>-11.6</v>
      </c>
      <c r="X24" s="185"/>
      <c r="Z24" s="297"/>
    </row>
    <row r="25" spans="1:26" s="190" customFormat="1" ht="18" customHeight="1">
      <c r="A25" s="610"/>
      <c r="B25" s="576"/>
      <c r="C25" s="577"/>
      <c r="D25" s="187" t="str">
        <f>серпень!D25</f>
        <v>тариф, грн.</v>
      </c>
      <c r="E25" s="188"/>
      <c r="F25" s="188">
        <f>F26/F24*1000</f>
        <v>2721.32</v>
      </c>
      <c r="G25" s="188">
        <f t="shared" ref="G25:W25" si="44">G26/G24*1000</f>
        <v>2729.22</v>
      </c>
      <c r="H25" s="188">
        <f t="shared" si="44"/>
        <v>2678.105</v>
      </c>
      <c r="I25" s="188" t="e">
        <f t="shared" si="44"/>
        <v>#DIV/0!</v>
      </c>
      <c r="J25" s="188" t="e">
        <f t="shared" si="44"/>
        <v>#DIV/0!</v>
      </c>
      <c r="K25" s="188" t="e">
        <f t="shared" si="44"/>
        <v>#DIV/0!</v>
      </c>
      <c r="L25" s="188">
        <f t="shared" si="44"/>
        <v>2714.3710000000001</v>
      </c>
      <c r="M25" s="188">
        <f t="shared" si="44"/>
        <v>2714.37</v>
      </c>
      <c r="N25" s="188" t="e">
        <f t="shared" si="44"/>
        <v>#DIV/0!</v>
      </c>
      <c r="O25" s="188" t="e">
        <f>O26/O24*1000</f>
        <v>#DIV/0!</v>
      </c>
      <c r="P25" s="188" t="e">
        <f>P26/P24*1000</f>
        <v>#DIV/0!</v>
      </c>
      <c r="Q25" s="188" t="e">
        <f>Q26/Q24*1000</f>
        <v>#DIV/0!</v>
      </c>
      <c r="R25" s="188">
        <f>R26/R24*1000</f>
        <v>2622.3380000000002</v>
      </c>
      <c r="S25" s="188">
        <f>S26/S24*1000</f>
        <v>2636.5010000000002</v>
      </c>
      <c r="T25" s="188">
        <f t="shared" si="44"/>
        <v>2631.88</v>
      </c>
      <c r="U25" s="188">
        <f t="shared" si="44"/>
        <v>2694.41</v>
      </c>
      <c r="V25" s="188">
        <f t="shared" si="44"/>
        <v>2524.3519999999999</v>
      </c>
      <c r="W25" s="189">
        <f t="shared" si="44"/>
        <v>12283.966</v>
      </c>
      <c r="X25" s="185"/>
      <c r="Z25" s="298"/>
    </row>
    <row r="26" spans="1:26" s="196" customFormat="1" ht="18" customHeight="1">
      <c r="A26" s="610"/>
      <c r="B26" s="576"/>
      <c r="C26" s="577"/>
      <c r="D26" s="191" t="str">
        <f>серпень!D26</f>
        <v>сума, тис.грн.</v>
      </c>
      <c r="E26" s="192"/>
      <c r="F26" s="193">
        <f>F60+F167+F212+F257</f>
        <v>529.84100000000001</v>
      </c>
      <c r="G26" s="193">
        <f t="shared" ref="G26:K26" si="45">G60+G167+G212+G257</f>
        <v>528.56799999999998</v>
      </c>
      <c r="H26" s="193">
        <f t="shared" si="45"/>
        <v>312.267</v>
      </c>
      <c r="I26" s="193">
        <f t="shared" si="45"/>
        <v>0</v>
      </c>
      <c r="J26" s="193">
        <f t="shared" si="45"/>
        <v>0</v>
      </c>
      <c r="K26" s="193">
        <f t="shared" si="45"/>
        <v>0</v>
      </c>
      <c r="L26" s="194">
        <f t="shared" ref="L26:L31" si="46">SUM(F26:K26)</f>
        <v>1370.6759999999999</v>
      </c>
      <c r="M26" s="194">
        <f t="shared" ref="M26:M31" si="47">L26/6</f>
        <v>228.446</v>
      </c>
      <c r="N26" s="193">
        <f t="shared" ref="N26:S26" si="48">N60+N167+N212+N257</f>
        <v>0</v>
      </c>
      <c r="O26" s="193">
        <f t="shared" si="48"/>
        <v>0</v>
      </c>
      <c r="P26" s="193">
        <f t="shared" si="48"/>
        <v>0</v>
      </c>
      <c r="Q26" s="193">
        <f t="shared" si="48"/>
        <v>0</v>
      </c>
      <c r="R26" s="193">
        <f t="shared" si="48"/>
        <v>137.935</v>
      </c>
      <c r="S26" s="193">
        <f t="shared" si="48"/>
        <v>286.32400000000001</v>
      </c>
      <c r="T26" s="194">
        <f>SUM(N26:S26)</f>
        <v>424.25900000000001</v>
      </c>
      <c r="U26" s="194">
        <f>T26+L26</f>
        <v>1794.9349999999999</v>
      </c>
      <c r="V26" s="171">
        <f>V60+V167+V212+V257</f>
        <v>1652.441</v>
      </c>
      <c r="W26" s="193">
        <f>W60+W167+W212+W257</f>
        <v>-142.494</v>
      </c>
      <c r="X26" s="195"/>
      <c r="Z26" s="299"/>
    </row>
    <row r="27" spans="1:26" s="196" customFormat="1" ht="18" customHeight="1">
      <c r="A27" s="610"/>
      <c r="B27" s="576"/>
      <c r="C27" s="577"/>
      <c r="D27" s="174" t="str">
        <f>серпень!D27</f>
        <v>абоненська плата, тис.грн.</v>
      </c>
      <c r="E27" s="192"/>
      <c r="F27" s="278">
        <f>F44+F258</f>
        <v>56.436</v>
      </c>
      <c r="G27" s="278">
        <f t="shared" ref="G27:K27" si="49">G44+G258</f>
        <v>56.444000000000003</v>
      </c>
      <c r="H27" s="278">
        <f t="shared" si="49"/>
        <v>54.732999999999997</v>
      </c>
      <c r="I27" s="278">
        <f t="shared" si="49"/>
        <v>56.875999999999998</v>
      </c>
      <c r="J27" s="278">
        <f t="shared" si="49"/>
        <v>56.877000000000002</v>
      </c>
      <c r="K27" s="278">
        <f t="shared" si="49"/>
        <v>39.502000000000002</v>
      </c>
      <c r="L27" s="194">
        <f t="shared" si="46"/>
        <v>320.86799999999999</v>
      </c>
      <c r="M27" s="194">
        <f t="shared" si="47"/>
        <v>53.478000000000002</v>
      </c>
      <c r="N27" s="278">
        <f>N44+N258</f>
        <v>53.7</v>
      </c>
      <c r="O27" s="278">
        <f t="shared" ref="O27:S27" si="50">O44+O258</f>
        <v>55.268999999999998</v>
      </c>
      <c r="P27" s="278">
        <f t="shared" si="50"/>
        <v>55.268999999999998</v>
      </c>
      <c r="Q27" s="278">
        <f t="shared" si="50"/>
        <v>55.268999999999998</v>
      </c>
      <c r="R27" s="278">
        <f t="shared" si="50"/>
        <v>55.268999999999998</v>
      </c>
      <c r="S27" s="278">
        <f t="shared" si="50"/>
        <v>55.268999999999998</v>
      </c>
      <c r="T27" s="194">
        <f>SUM(N27:S27)</f>
        <v>330.04500000000002</v>
      </c>
      <c r="U27" s="194">
        <f>T27+L27</f>
        <v>650.91300000000001</v>
      </c>
      <c r="V27" s="171">
        <f t="shared" ref="V27" si="51">V44+V258</f>
        <v>700.548</v>
      </c>
      <c r="W27" s="193">
        <f>W61+W168+W213+W258</f>
        <v>49.634999999999998</v>
      </c>
      <c r="X27" s="195"/>
      <c r="Z27" s="299"/>
    </row>
    <row r="28" spans="1:26" s="196" customFormat="1" ht="18" customHeight="1">
      <c r="A28" s="610"/>
      <c r="B28" s="576"/>
      <c r="C28" s="577"/>
      <c r="D28" s="174" t="str">
        <f>серпень!D28</f>
        <v>разом сума тис. грн+абонплата</v>
      </c>
      <c r="E28" s="192"/>
      <c r="F28" s="278">
        <f>F62+F167+F212+F259</f>
        <v>586.27700000000004</v>
      </c>
      <c r="G28" s="278">
        <f t="shared" ref="G28:K28" si="52">G62+G167+G212+G259</f>
        <v>585.01199999999994</v>
      </c>
      <c r="H28" s="278">
        <f t="shared" si="52"/>
        <v>367</v>
      </c>
      <c r="I28" s="278">
        <f t="shared" si="52"/>
        <v>56.875999999999998</v>
      </c>
      <c r="J28" s="278">
        <f t="shared" si="52"/>
        <v>56.877000000000002</v>
      </c>
      <c r="K28" s="278">
        <f t="shared" si="52"/>
        <v>39.502000000000002</v>
      </c>
      <c r="L28" s="194">
        <f t="shared" si="46"/>
        <v>1691.5440000000001</v>
      </c>
      <c r="M28" s="194">
        <f t="shared" si="47"/>
        <v>281.92399999999998</v>
      </c>
      <c r="N28" s="278">
        <f>N62+N167+N212+N259</f>
        <v>53.7</v>
      </c>
      <c r="O28" s="278">
        <f t="shared" ref="O28:R28" si="53">O62+O167+O212+O259</f>
        <v>55.268999999999998</v>
      </c>
      <c r="P28" s="278">
        <f t="shared" si="53"/>
        <v>55.268999999999998</v>
      </c>
      <c r="Q28" s="278">
        <f t="shared" si="53"/>
        <v>55.268999999999998</v>
      </c>
      <c r="R28" s="278">
        <f t="shared" si="53"/>
        <v>193.20400000000001</v>
      </c>
      <c r="S28" s="278">
        <f>S62+S167+S212+S259</f>
        <v>341.59300000000002</v>
      </c>
      <c r="T28" s="194">
        <f t="shared" ref="T28:T29" si="54">SUM(N28:S28)</f>
        <v>754.30399999999997</v>
      </c>
      <c r="U28" s="194">
        <f t="shared" ref="U28:U29" si="55">T28+L28</f>
        <v>2445.848</v>
      </c>
      <c r="V28" s="171">
        <f>V45+V259</f>
        <v>2352.989</v>
      </c>
      <c r="W28" s="278">
        <f t="shared" ref="W28" si="56">W26+W27</f>
        <v>-92.858999999999995</v>
      </c>
      <c r="X28" s="195"/>
      <c r="Z28" s="299"/>
    </row>
    <row r="29" spans="1:26" s="196" customFormat="1" ht="18" customHeight="1">
      <c r="A29" s="610"/>
      <c r="B29" s="576"/>
      <c r="C29" s="577"/>
      <c r="D29" s="174" t="str">
        <f>серпень!D29</f>
        <v>дотація</v>
      </c>
      <c r="E29" s="192"/>
      <c r="F29" s="193">
        <f t="shared" ref="F29:K31" si="57">F63+F168+F213+F260</f>
        <v>0</v>
      </c>
      <c r="G29" s="193">
        <f t="shared" si="57"/>
        <v>0</v>
      </c>
      <c r="H29" s="193">
        <f t="shared" si="57"/>
        <v>15.282</v>
      </c>
      <c r="I29" s="193">
        <f t="shared" si="57"/>
        <v>0</v>
      </c>
      <c r="J29" s="193">
        <f t="shared" si="57"/>
        <v>0</v>
      </c>
      <c r="K29" s="193">
        <f t="shared" si="57"/>
        <v>0</v>
      </c>
      <c r="L29" s="194">
        <f t="shared" si="46"/>
        <v>15.282</v>
      </c>
      <c r="M29" s="194">
        <f t="shared" si="47"/>
        <v>2.5470000000000002</v>
      </c>
      <c r="N29" s="193">
        <f t="shared" ref="N29:S31" si="58">N63+N168+N213+N260</f>
        <v>0</v>
      </c>
      <c r="O29" s="193">
        <f t="shared" si="58"/>
        <v>0</v>
      </c>
      <c r="P29" s="193">
        <f t="shared" si="58"/>
        <v>0</v>
      </c>
      <c r="Q29" s="193">
        <f t="shared" si="58"/>
        <v>0</v>
      </c>
      <c r="R29" s="193">
        <f t="shared" si="58"/>
        <v>0</v>
      </c>
      <c r="S29" s="193">
        <f t="shared" si="58"/>
        <v>0</v>
      </c>
      <c r="T29" s="194">
        <f t="shared" si="54"/>
        <v>0</v>
      </c>
      <c r="U29" s="194">
        <f t="shared" si="55"/>
        <v>15.282</v>
      </c>
      <c r="V29" s="171">
        <f>V63+V168+V213+V260</f>
        <v>15.282</v>
      </c>
      <c r="W29" s="192">
        <f t="shared" ref="W29" si="59">W63+W169+W214+W260</f>
        <v>0</v>
      </c>
      <c r="X29" s="195"/>
      <c r="Y29" s="197"/>
      <c r="Z29" s="299"/>
    </row>
    <row r="30" spans="1:26" s="196" customFormat="1" ht="18" customHeight="1">
      <c r="A30" s="610"/>
      <c r="B30" s="576"/>
      <c r="C30" s="577"/>
      <c r="D30" s="174" t="str">
        <f>серпень!D30</f>
        <v>місцевий (план), тис.грн</v>
      </c>
      <c r="E30" s="192"/>
      <c r="F30" s="193">
        <f t="shared" si="57"/>
        <v>0</v>
      </c>
      <c r="G30" s="193">
        <f t="shared" si="57"/>
        <v>586.27700000000004</v>
      </c>
      <c r="H30" s="193">
        <f t="shared" si="57"/>
        <v>585.01300000000003</v>
      </c>
      <c r="I30" s="193">
        <f t="shared" si="57"/>
        <v>351.79399999999998</v>
      </c>
      <c r="J30" s="193">
        <f t="shared" si="57"/>
        <v>56.878999999999998</v>
      </c>
      <c r="K30" s="193">
        <f t="shared" si="57"/>
        <v>56.878999999999998</v>
      </c>
      <c r="L30" s="194">
        <f t="shared" si="46"/>
        <v>1636.8420000000001</v>
      </c>
      <c r="M30" s="194">
        <f t="shared" si="47"/>
        <v>272.80700000000002</v>
      </c>
      <c r="N30" s="193">
        <f t="shared" si="58"/>
        <v>39.478999999999999</v>
      </c>
      <c r="O30" s="193">
        <f t="shared" si="58"/>
        <v>53.679000000000002</v>
      </c>
      <c r="P30" s="193">
        <f t="shared" si="58"/>
        <v>58.378999999999998</v>
      </c>
      <c r="Q30" s="193">
        <f t="shared" si="58"/>
        <v>58.378999999999998</v>
      </c>
      <c r="R30" s="193">
        <f t="shared" si="58"/>
        <v>58.378999999999998</v>
      </c>
      <c r="S30" s="193">
        <f t="shared" si="58"/>
        <v>432.57</v>
      </c>
      <c r="T30" s="194">
        <f>SUM(N30:S30)</f>
        <v>700.86500000000001</v>
      </c>
      <c r="U30" s="194">
        <f>T30+L30</f>
        <v>2337.7069999999999</v>
      </c>
      <c r="V30" s="171">
        <f>V64+V169+V214+V261</f>
        <v>2337.7069999999999</v>
      </c>
      <c r="W30" s="192">
        <f>W64+W169+W214</f>
        <v>0</v>
      </c>
      <c r="X30" s="195"/>
      <c r="Y30" s="197"/>
      <c r="Z30" s="299"/>
    </row>
    <row r="31" spans="1:26" s="186" customFormat="1" ht="18" customHeight="1">
      <c r="A31" s="610"/>
      <c r="B31" s="576"/>
      <c r="C31" s="577"/>
      <c r="D31" s="178" t="str">
        <f>серпень!D31</f>
        <v>касові нат.п-ки 2025</v>
      </c>
      <c r="E31" s="180">
        <f>E65+E170+E215+E262</f>
        <v>0</v>
      </c>
      <c r="F31" s="216">
        <f>F65+F170+F215+F262</f>
        <v>0</v>
      </c>
      <c r="G31" s="216">
        <f t="shared" si="57"/>
        <v>194.7</v>
      </c>
      <c r="H31" s="216">
        <f t="shared" si="57"/>
        <v>193.67</v>
      </c>
      <c r="I31" s="216">
        <f t="shared" si="57"/>
        <v>116.6</v>
      </c>
      <c r="J31" s="216">
        <f t="shared" si="57"/>
        <v>0</v>
      </c>
      <c r="K31" s="216">
        <f t="shared" si="57"/>
        <v>0</v>
      </c>
      <c r="L31" s="334">
        <f t="shared" si="46"/>
        <v>504.97</v>
      </c>
      <c r="M31" s="334">
        <f t="shared" si="47"/>
        <v>84.161699999999996</v>
      </c>
      <c r="N31" s="288">
        <f>N65+N170+N215+N262</f>
        <v>0</v>
      </c>
      <c r="O31" s="288">
        <f t="shared" si="58"/>
        <v>0</v>
      </c>
      <c r="P31" s="288">
        <f t="shared" si="58"/>
        <v>0</v>
      </c>
      <c r="Q31" s="288">
        <f t="shared" si="58"/>
        <v>0</v>
      </c>
      <c r="R31" s="288">
        <f t="shared" si="58"/>
        <v>0</v>
      </c>
      <c r="S31" s="288">
        <f t="shared" si="58"/>
        <v>161.19999999999999</v>
      </c>
      <c r="T31" s="334">
        <f>SUM(N31:S31)</f>
        <v>161.19999999999999</v>
      </c>
      <c r="U31" s="334">
        <f>T31+L31</f>
        <v>666.17</v>
      </c>
      <c r="V31" s="183">
        <f t="shared" ref="V31:W31" si="60">V65+V170+V215</f>
        <v>654.6</v>
      </c>
      <c r="W31" s="184">
        <f t="shared" si="60"/>
        <v>-11.6</v>
      </c>
      <c r="X31" s="279">
        <f>U24-U31</f>
        <v>0</v>
      </c>
      <c r="Z31" s="297"/>
    </row>
    <row r="32" spans="1:26" s="190" customFormat="1" ht="18" customHeight="1">
      <c r="A32" s="610"/>
      <c r="B32" s="576"/>
      <c r="C32" s="577"/>
      <c r="D32" s="187" t="str">
        <f>серпень!D32</f>
        <v>тариф, грн.</v>
      </c>
      <c r="E32" s="188" t="e">
        <f t="shared" ref="E32:K32" si="61">E33/E31*1000</f>
        <v>#DIV/0!</v>
      </c>
      <c r="F32" s="188" t="e">
        <f t="shared" si="61"/>
        <v>#DIV/0!</v>
      </c>
      <c r="G32" s="188">
        <f t="shared" si="61"/>
        <v>3011.1860000000001</v>
      </c>
      <c r="H32" s="188">
        <f t="shared" si="61"/>
        <v>3020.6640000000002</v>
      </c>
      <c r="I32" s="188">
        <f t="shared" si="61"/>
        <v>3147.5129999999999</v>
      </c>
      <c r="J32" s="188" t="e">
        <f t="shared" si="61"/>
        <v>#DIV/0!</v>
      </c>
      <c r="K32" s="188" t="e">
        <f t="shared" si="61"/>
        <v>#DIV/0!</v>
      </c>
      <c r="L32" s="188">
        <f>L33/L31*1000</f>
        <v>3271.567</v>
      </c>
      <c r="M32" s="188">
        <f>M33/M31*1000</f>
        <v>3271.5709999999999</v>
      </c>
      <c r="N32" s="188" t="e">
        <f t="shared" ref="N32:S32" si="62">N33/N31*1000</f>
        <v>#DIV/0!</v>
      </c>
      <c r="O32" s="188" t="e">
        <f t="shared" si="62"/>
        <v>#DIV/0!</v>
      </c>
      <c r="P32" s="188" t="e">
        <f t="shared" si="62"/>
        <v>#DIV/0!</v>
      </c>
      <c r="Q32" s="188" t="e">
        <f t="shared" si="62"/>
        <v>#DIV/0!</v>
      </c>
      <c r="R32" s="188" t="e">
        <f t="shared" si="62"/>
        <v>#DIV/0!</v>
      </c>
      <c r="S32" s="188">
        <f t="shared" si="62"/>
        <v>3317.5929999999998</v>
      </c>
      <c r="T32" s="188">
        <f>T33/T31*1000</f>
        <v>4924.3490000000002</v>
      </c>
      <c r="U32" s="188">
        <f>U33/U31*1000</f>
        <v>3671.5070000000001</v>
      </c>
      <c r="V32" s="188">
        <f>V33/V31*1000</f>
        <v>3594.5450000000001</v>
      </c>
      <c r="W32" s="189">
        <f>W33/W31*1000</f>
        <v>8005.0860000000002</v>
      </c>
      <c r="X32" s="185"/>
      <c r="Z32" s="298"/>
    </row>
    <row r="33" spans="1:26" s="176" customFormat="1" ht="18" customHeight="1">
      <c r="A33" s="610"/>
      <c r="B33" s="576"/>
      <c r="C33" s="577"/>
      <c r="D33" s="198" t="str">
        <f>серпень!D33</f>
        <v>касові видатки, тис.грн.</v>
      </c>
      <c r="E33" s="199">
        <f t="shared" ref="E33" si="63">E67+E172+E217+E264</f>
        <v>0</v>
      </c>
      <c r="F33" s="199">
        <f>F67+F172+F217+F264</f>
        <v>0</v>
      </c>
      <c r="G33" s="199">
        <f t="shared" ref="G33:K33" si="64">G67+G172+G217+G264</f>
        <v>586.27800000000002</v>
      </c>
      <c r="H33" s="199">
        <f t="shared" si="64"/>
        <v>585.01199999999994</v>
      </c>
      <c r="I33" s="199">
        <f t="shared" si="64"/>
        <v>367</v>
      </c>
      <c r="J33" s="199">
        <f t="shared" si="64"/>
        <v>56.875999999999998</v>
      </c>
      <c r="K33" s="199">
        <f t="shared" si="64"/>
        <v>56.877000000000002</v>
      </c>
      <c r="L33" s="199">
        <f>SUM(F33:K33)</f>
        <v>1652.0429999999999</v>
      </c>
      <c r="M33" s="199">
        <f>L33/6</f>
        <v>275.34100000000001</v>
      </c>
      <c r="N33" s="199">
        <f>N67+N172+N217+N264</f>
        <v>39.502000000000002</v>
      </c>
      <c r="O33" s="199">
        <f t="shared" ref="O33:S33" si="65">O67+O172+O217+O264</f>
        <v>53.7</v>
      </c>
      <c r="P33" s="199">
        <f t="shared" si="65"/>
        <v>55.268999999999998</v>
      </c>
      <c r="Q33" s="199">
        <f t="shared" si="65"/>
        <v>55.268999999999998</v>
      </c>
      <c r="R33" s="199">
        <f t="shared" si="65"/>
        <v>55.268999999999998</v>
      </c>
      <c r="S33" s="199">
        <f t="shared" si="65"/>
        <v>534.79600000000005</v>
      </c>
      <c r="T33" s="199">
        <f>SUM(N33:S33)</f>
        <v>793.80499999999995</v>
      </c>
      <c r="U33" s="199">
        <f>T33+L33</f>
        <v>2445.848</v>
      </c>
      <c r="V33" s="175">
        <f>V67+V172+V217+V264</f>
        <v>2352.989</v>
      </c>
      <c r="W33" s="200">
        <f>W67+W172+W217+W264</f>
        <v>-92.858999999999995</v>
      </c>
      <c r="X33" s="176">
        <f>U28-U33</f>
        <v>0</v>
      </c>
      <c r="Z33" s="392"/>
    </row>
    <row r="34" spans="1:26" s="176" customFormat="1" ht="18" customHeight="1">
      <c r="A34" s="610"/>
      <c r="B34" s="576"/>
      <c r="C34" s="577"/>
      <c r="D34" s="201" t="str">
        <f>серпень!D34</f>
        <v>дотація</v>
      </c>
      <c r="E34" s="199"/>
      <c r="F34" s="199">
        <f t="shared" ref="F34:K35" si="66">F68+F173+F218+F265</f>
        <v>0</v>
      </c>
      <c r="G34" s="199">
        <f t="shared" si="66"/>
        <v>0</v>
      </c>
      <c r="H34" s="199">
        <f t="shared" si="66"/>
        <v>15.282</v>
      </c>
      <c r="I34" s="199">
        <f t="shared" si="66"/>
        <v>0</v>
      </c>
      <c r="J34" s="199">
        <f t="shared" si="66"/>
        <v>0</v>
      </c>
      <c r="K34" s="199">
        <f t="shared" si="66"/>
        <v>0</v>
      </c>
      <c r="L34" s="199">
        <f>SUM(F34:K34)</f>
        <v>15.282</v>
      </c>
      <c r="M34" s="199">
        <f>L34/6</f>
        <v>2.5470000000000002</v>
      </c>
      <c r="N34" s="199">
        <f t="shared" ref="N34:S35" si="67">N68+N173+N218+N265</f>
        <v>0</v>
      </c>
      <c r="O34" s="199">
        <f t="shared" si="67"/>
        <v>0</v>
      </c>
      <c r="P34" s="199">
        <f t="shared" si="67"/>
        <v>0</v>
      </c>
      <c r="Q34" s="199">
        <f t="shared" si="67"/>
        <v>0</v>
      </c>
      <c r="R34" s="199">
        <f t="shared" si="67"/>
        <v>0</v>
      </c>
      <c r="S34" s="199">
        <f t="shared" si="67"/>
        <v>0</v>
      </c>
      <c r="T34" s="199">
        <f>SUM(N34:S34)</f>
        <v>0</v>
      </c>
      <c r="U34" s="199">
        <f>T34+L34</f>
        <v>15.282</v>
      </c>
      <c r="V34" s="175">
        <f>V68+V173+V218+V265</f>
        <v>15.282</v>
      </c>
      <c r="W34" s="200">
        <f>V34-U34</f>
        <v>0</v>
      </c>
      <c r="X34" s="176">
        <f>U29-U34</f>
        <v>0</v>
      </c>
      <c r="Z34" s="391"/>
    </row>
    <row r="35" spans="1:26" s="176" customFormat="1" ht="18" customHeight="1">
      <c r="A35" s="610"/>
      <c r="B35" s="576"/>
      <c r="C35" s="577"/>
      <c r="D35" s="201" t="str">
        <f>серпень!D35</f>
        <v xml:space="preserve">місцевий </v>
      </c>
      <c r="E35" s="199"/>
      <c r="F35" s="199">
        <f t="shared" si="66"/>
        <v>0</v>
      </c>
      <c r="G35" s="199">
        <f t="shared" si="66"/>
        <v>586.27800000000002</v>
      </c>
      <c r="H35" s="199">
        <f t="shared" si="66"/>
        <v>569.73</v>
      </c>
      <c r="I35" s="199">
        <f t="shared" si="66"/>
        <v>367</v>
      </c>
      <c r="J35" s="199">
        <f t="shared" si="66"/>
        <v>56.875999999999998</v>
      </c>
      <c r="K35" s="199">
        <f t="shared" si="66"/>
        <v>56.877000000000002</v>
      </c>
      <c r="L35" s="199">
        <f>SUM(F35:K35)</f>
        <v>1636.761</v>
      </c>
      <c r="M35" s="199">
        <f>L35/6</f>
        <v>272.79399999999998</v>
      </c>
      <c r="N35" s="199">
        <f t="shared" si="67"/>
        <v>39.502000000000002</v>
      </c>
      <c r="O35" s="199">
        <f t="shared" si="67"/>
        <v>53.7</v>
      </c>
      <c r="P35" s="199">
        <f t="shared" si="67"/>
        <v>55.268999999999998</v>
      </c>
      <c r="Q35" s="199">
        <f t="shared" si="67"/>
        <v>55.268999999999998</v>
      </c>
      <c r="R35" s="199">
        <f t="shared" si="67"/>
        <v>55.268999999999998</v>
      </c>
      <c r="S35" s="199">
        <f t="shared" si="67"/>
        <v>534.79600000000005</v>
      </c>
      <c r="T35" s="199">
        <f>SUM(N35:S35)</f>
        <v>793.80499999999995</v>
      </c>
      <c r="U35" s="199">
        <f>T35+L35</f>
        <v>2430.5659999999998</v>
      </c>
      <c r="V35" s="175">
        <f>V69+V174+V219+V266</f>
        <v>2337.7069999999999</v>
      </c>
      <c r="W35" s="200">
        <f>V35-U35</f>
        <v>-92.858999999999995</v>
      </c>
      <c r="X35" s="176">
        <f>U30-U35</f>
        <v>-92.858999999999995</v>
      </c>
      <c r="Z35" s="300"/>
    </row>
    <row r="36" spans="1:26" s="205" customFormat="1" ht="18" customHeight="1">
      <c r="A36" s="610"/>
      <c r="B36" s="576"/>
      <c r="C36" s="577"/>
      <c r="D36" s="202" t="str">
        <f>серпень!D36</f>
        <v>план</v>
      </c>
      <c r="E36" s="203"/>
      <c r="F36" s="203">
        <f>F30+F29</f>
        <v>0</v>
      </c>
      <c r="G36" s="203">
        <f t="shared" ref="G36:K36" si="68">G30+G29</f>
        <v>586.27700000000004</v>
      </c>
      <c r="H36" s="203">
        <f t="shared" si="68"/>
        <v>600.29499999999996</v>
      </c>
      <c r="I36" s="203">
        <f t="shared" si="68"/>
        <v>351.79399999999998</v>
      </c>
      <c r="J36" s="203">
        <f t="shared" si="68"/>
        <v>56.878999999999998</v>
      </c>
      <c r="K36" s="203">
        <f t="shared" si="68"/>
        <v>56.878999999999998</v>
      </c>
      <c r="L36" s="203">
        <f>SUM(F36:K36)</f>
        <v>1652.124</v>
      </c>
      <c r="M36" s="203">
        <f>L36/6</f>
        <v>275.35399999999998</v>
      </c>
      <c r="N36" s="203">
        <f>N30+N29</f>
        <v>39.478999999999999</v>
      </c>
      <c r="O36" s="203">
        <f t="shared" ref="O36:S36" si="69">O30+O29</f>
        <v>53.679000000000002</v>
      </c>
      <c r="P36" s="203">
        <f t="shared" si="69"/>
        <v>58.378999999999998</v>
      </c>
      <c r="Q36" s="203">
        <f t="shared" si="69"/>
        <v>58.378999999999998</v>
      </c>
      <c r="R36" s="203">
        <f t="shared" si="69"/>
        <v>58.378999999999998</v>
      </c>
      <c r="S36" s="203">
        <f t="shared" si="69"/>
        <v>432.57</v>
      </c>
      <c r="T36" s="203">
        <f>SUM(N36:S36)</f>
        <v>700.86500000000001</v>
      </c>
      <c r="U36" s="203">
        <f>T36+L36</f>
        <v>2352.989</v>
      </c>
      <c r="V36" s="204">
        <f>V70+V175+V220+V267</f>
        <v>2352.989</v>
      </c>
      <c r="W36" s="203">
        <f>V36-U36</f>
        <v>0</v>
      </c>
      <c r="Z36" s="301"/>
    </row>
    <row r="37" spans="1:26" s="205" customFormat="1" ht="18" customHeight="1">
      <c r="A37" s="610"/>
      <c r="B37" s="576"/>
      <c r="C37" s="577"/>
      <c r="D37" s="202" t="str">
        <f>серпень!D37</f>
        <v xml:space="preserve">відхилення </v>
      </c>
      <c r="E37" s="203"/>
      <c r="F37" s="203">
        <f t="shared" ref="F37:K37" si="70">F33-F36</f>
        <v>0</v>
      </c>
      <c r="G37" s="203">
        <f t="shared" si="70"/>
        <v>1E-3</v>
      </c>
      <c r="H37" s="203">
        <f t="shared" si="70"/>
        <v>-15.282999999999999</v>
      </c>
      <c r="I37" s="203">
        <f t="shared" si="70"/>
        <v>15.206</v>
      </c>
      <c r="J37" s="203">
        <f t="shared" si="70"/>
        <v>-3.0000000000000001E-3</v>
      </c>
      <c r="K37" s="203">
        <f t="shared" si="70"/>
        <v>-2E-3</v>
      </c>
      <c r="L37" s="203"/>
      <c r="M37" s="203"/>
      <c r="N37" s="203">
        <f t="shared" ref="N37:S37" si="71">N33-N36</f>
        <v>2.3E-2</v>
      </c>
      <c r="O37" s="203">
        <f t="shared" si="71"/>
        <v>2.1000000000000001E-2</v>
      </c>
      <c r="P37" s="203">
        <f t="shared" si="71"/>
        <v>-3.11</v>
      </c>
      <c r="Q37" s="203">
        <f t="shared" si="71"/>
        <v>-3.11</v>
      </c>
      <c r="R37" s="203">
        <f t="shared" si="71"/>
        <v>-3.11</v>
      </c>
      <c r="S37" s="203">
        <f t="shared" si="71"/>
        <v>102.226</v>
      </c>
      <c r="T37" s="203"/>
      <c r="U37" s="203"/>
      <c r="V37" s="203"/>
      <c r="W37" s="203"/>
      <c r="Z37" s="301"/>
    </row>
    <row r="38" spans="1:26" s="205" customFormat="1" ht="18" customHeight="1">
      <c r="A38" s="610"/>
      <c r="B38" s="576"/>
      <c r="C38" s="577"/>
      <c r="D38" s="202" t="str">
        <f>серпень!D38</f>
        <v>відхилення з наростаючим</v>
      </c>
      <c r="E38" s="203"/>
      <c r="F38" s="203">
        <f>F37</f>
        <v>0</v>
      </c>
      <c r="G38" s="203">
        <f>G37+F38</f>
        <v>1E-3</v>
      </c>
      <c r="H38" s="203">
        <f>H37+G38</f>
        <v>-15.282</v>
      </c>
      <c r="I38" s="203">
        <f>I37+H38</f>
        <v>-7.5999999999999998E-2</v>
      </c>
      <c r="J38" s="203">
        <f>J37+I38</f>
        <v>-7.9000000000000001E-2</v>
      </c>
      <c r="K38" s="203">
        <f>K37+J38</f>
        <v>-8.1000000000000003E-2</v>
      </c>
      <c r="L38" s="203"/>
      <c r="M38" s="203"/>
      <c r="N38" s="203">
        <f>N37+K38</f>
        <v>-5.8000000000000003E-2</v>
      </c>
      <c r="O38" s="203">
        <f>O37+N38</f>
        <v>-3.6999999999999998E-2</v>
      </c>
      <c r="P38" s="203">
        <f>P37+O38</f>
        <v>-3.1469999999999998</v>
      </c>
      <c r="Q38" s="203">
        <f>Q37+P38</f>
        <v>-6.2569999999999997</v>
      </c>
      <c r="R38" s="203">
        <f>R37+Q38</f>
        <v>-9.3670000000000009</v>
      </c>
      <c r="S38" s="203">
        <f>S37+R38</f>
        <v>92.858999999999995</v>
      </c>
      <c r="T38" s="203"/>
      <c r="U38" s="203"/>
      <c r="V38" s="203"/>
      <c r="W38" s="203"/>
      <c r="Z38" s="301"/>
    </row>
    <row r="39" spans="1:26" s="206" customFormat="1" ht="18" customHeight="1">
      <c r="A39" s="610"/>
      <c r="B39" s="581" t="s">
        <v>71</v>
      </c>
      <c r="C39" s="581"/>
      <c r="D39" s="178" t="str">
        <f>серпень!D39</f>
        <v>факт. нат.п-ки 2023</v>
      </c>
      <c r="E39" s="179"/>
      <c r="F39" s="180">
        <f t="shared" ref="F39:K40" si="72">F56+F163+F208</f>
        <v>150.5</v>
      </c>
      <c r="G39" s="180">
        <f t="shared" si="72"/>
        <v>140.9</v>
      </c>
      <c r="H39" s="180">
        <f t="shared" si="72"/>
        <v>75.8</v>
      </c>
      <c r="I39" s="180">
        <f t="shared" si="72"/>
        <v>0.6</v>
      </c>
      <c r="J39" s="180">
        <f t="shared" si="72"/>
        <v>0.6</v>
      </c>
      <c r="K39" s="180">
        <f t="shared" si="72"/>
        <v>0.6</v>
      </c>
      <c r="L39" s="181">
        <f>SUM(F39:K39)</f>
        <v>369</v>
      </c>
      <c r="M39" s="181">
        <f>L39/6</f>
        <v>61.5</v>
      </c>
      <c r="N39" s="180">
        <f t="shared" ref="N39:S40" si="73">N56+N163+N208</f>
        <v>0.6</v>
      </c>
      <c r="O39" s="180">
        <f t="shared" si="73"/>
        <v>0.6</v>
      </c>
      <c r="P39" s="180">
        <f t="shared" si="73"/>
        <v>0.6</v>
      </c>
      <c r="Q39" s="180">
        <f t="shared" si="73"/>
        <v>0.6</v>
      </c>
      <c r="R39" s="180">
        <f t="shared" si="73"/>
        <v>53.2</v>
      </c>
      <c r="S39" s="180">
        <f t="shared" si="73"/>
        <v>191.2</v>
      </c>
      <c r="T39" s="181">
        <f>SUM(N39:S39)</f>
        <v>246.8</v>
      </c>
      <c r="U39" s="182">
        <f>T39+L39</f>
        <v>615.79999999999995</v>
      </c>
      <c r="V39" s="183">
        <f>V56+V163</f>
        <v>608.79999999999995</v>
      </c>
      <c r="W39" s="184"/>
      <c r="Z39" s="302"/>
    </row>
    <row r="40" spans="1:26" s="206" customFormat="1" ht="18" customHeight="1">
      <c r="A40" s="610"/>
      <c r="B40" s="581"/>
      <c r="C40" s="581"/>
      <c r="D40" s="178" t="str">
        <f>серпень!D40</f>
        <v>факт. нат.п-ки 2024</v>
      </c>
      <c r="E40" s="179"/>
      <c r="F40" s="180">
        <f t="shared" si="72"/>
        <v>196.4</v>
      </c>
      <c r="G40" s="180">
        <f t="shared" si="72"/>
        <v>166.4</v>
      </c>
      <c r="H40" s="180">
        <f t="shared" si="72"/>
        <v>132.4</v>
      </c>
      <c r="I40" s="180">
        <f t="shared" si="72"/>
        <v>0.5</v>
      </c>
      <c r="J40" s="180">
        <f t="shared" si="72"/>
        <v>0.5</v>
      </c>
      <c r="K40" s="180">
        <f t="shared" si="72"/>
        <v>0.5</v>
      </c>
      <c r="L40" s="181">
        <f>SUM(F40:K40)</f>
        <v>496.7</v>
      </c>
      <c r="M40" s="181">
        <f>L40/6</f>
        <v>82.8</v>
      </c>
      <c r="N40" s="180">
        <f t="shared" si="73"/>
        <v>0.5</v>
      </c>
      <c r="O40" s="180">
        <f t="shared" si="73"/>
        <v>0.5</v>
      </c>
      <c r="P40" s="180">
        <f t="shared" si="73"/>
        <v>0.5</v>
      </c>
      <c r="Q40" s="180">
        <f t="shared" si="73"/>
        <v>0.6</v>
      </c>
      <c r="R40" s="180">
        <f t="shared" si="73"/>
        <v>53.2</v>
      </c>
      <c r="S40" s="180">
        <f t="shared" si="73"/>
        <v>155</v>
      </c>
      <c r="T40" s="181">
        <f>SUM(N40:S40)</f>
        <v>210.3</v>
      </c>
      <c r="U40" s="182">
        <f>T40+L40</f>
        <v>707</v>
      </c>
      <c r="V40" s="183">
        <f>V57+V164</f>
        <v>700.4</v>
      </c>
      <c r="W40" s="184"/>
      <c r="Z40" s="302"/>
    </row>
    <row r="41" spans="1:26" s="206" customFormat="1" ht="18" customHeight="1">
      <c r="A41" s="610"/>
      <c r="B41" s="581"/>
      <c r="C41" s="581"/>
      <c r="D41" s="178" t="str">
        <f>серпень!D41</f>
        <v>факт. нат.п-ки 2025</v>
      </c>
      <c r="E41" s="179"/>
      <c r="F41" s="180">
        <f>F90+F135+F165+F210</f>
        <v>194.7</v>
      </c>
      <c r="G41" s="180">
        <f t="shared" ref="G41:K41" si="74">G90+G135+G165+G210</f>
        <v>193.7</v>
      </c>
      <c r="H41" s="180">
        <f t="shared" si="74"/>
        <v>116.6</v>
      </c>
      <c r="I41" s="180">
        <f t="shared" si="74"/>
        <v>0</v>
      </c>
      <c r="J41" s="180">
        <f t="shared" si="74"/>
        <v>0</v>
      </c>
      <c r="K41" s="180">
        <f t="shared" si="74"/>
        <v>0</v>
      </c>
      <c r="L41" s="181">
        <f>SUM(F41:K41)</f>
        <v>505</v>
      </c>
      <c r="M41" s="181">
        <f>L41/6</f>
        <v>84.2</v>
      </c>
      <c r="N41" s="180">
        <f>N90+N135+N165+N210</f>
        <v>0</v>
      </c>
      <c r="O41" s="180">
        <f t="shared" ref="O41:S41" si="75">O90+O135+O165+O210</f>
        <v>0</v>
      </c>
      <c r="P41" s="180">
        <f t="shared" si="75"/>
        <v>0</v>
      </c>
      <c r="Q41" s="180">
        <f t="shared" si="75"/>
        <v>0</v>
      </c>
      <c r="R41" s="180">
        <f t="shared" si="75"/>
        <v>52.6</v>
      </c>
      <c r="S41" s="180">
        <f t="shared" si="75"/>
        <v>108.6</v>
      </c>
      <c r="T41" s="181">
        <f>SUM(N41:S41)</f>
        <v>161.19999999999999</v>
      </c>
      <c r="U41" s="182">
        <f>T41+L41</f>
        <v>666.2</v>
      </c>
      <c r="V41" s="264">
        <f t="shared" ref="V41" si="76">V58+V165+V210</f>
        <v>654.6</v>
      </c>
      <c r="W41" s="184">
        <f>V41-U41</f>
        <v>-11.6</v>
      </c>
      <c r="Z41" s="302"/>
    </row>
    <row r="42" spans="1:26" s="206" customFormat="1" ht="18" customHeight="1">
      <c r="A42" s="610"/>
      <c r="B42" s="581"/>
      <c r="C42" s="581"/>
      <c r="D42" s="187" t="str">
        <f>серпень!D42</f>
        <v>тариф, грн.</v>
      </c>
      <c r="E42" s="188"/>
      <c r="F42" s="188">
        <f t="shared" ref="F42:S42" si="77">F43/F41*1000</f>
        <v>2721.32</v>
      </c>
      <c r="G42" s="188">
        <f t="shared" si="77"/>
        <v>2728.797</v>
      </c>
      <c r="H42" s="188">
        <f t="shared" si="77"/>
        <v>2678.105</v>
      </c>
      <c r="I42" s="188" t="e">
        <f>I43/I41*1000</f>
        <v>#DIV/0!</v>
      </c>
      <c r="J42" s="188" t="e">
        <f>J43/J41*1000</f>
        <v>#DIV/0!</v>
      </c>
      <c r="K42" s="188" t="e">
        <f t="shared" si="77"/>
        <v>#DIV/0!</v>
      </c>
      <c r="L42" s="188">
        <f t="shared" si="77"/>
        <v>2714.21</v>
      </c>
      <c r="M42" s="188">
        <f t="shared" si="77"/>
        <v>2713.1350000000002</v>
      </c>
      <c r="N42" s="188" t="e">
        <f t="shared" si="77"/>
        <v>#DIV/0!</v>
      </c>
      <c r="O42" s="188" t="e">
        <f t="shared" si="77"/>
        <v>#DIV/0!</v>
      </c>
      <c r="P42" s="188" t="e">
        <f t="shared" si="77"/>
        <v>#DIV/0!</v>
      </c>
      <c r="Q42" s="188" t="e">
        <f t="shared" si="77"/>
        <v>#DIV/0!</v>
      </c>
      <c r="R42" s="188">
        <f t="shared" si="77"/>
        <v>2622.3380000000002</v>
      </c>
      <c r="S42" s="188">
        <f t="shared" si="77"/>
        <v>2636.5010000000002</v>
      </c>
      <c r="T42" s="188">
        <f>T43/T41*1000</f>
        <v>2631.88</v>
      </c>
      <c r="U42" s="188">
        <f>U43/U41*1000</f>
        <v>2694.2890000000002</v>
      </c>
      <c r="V42" s="188">
        <f>V43/V41*1000</f>
        <v>2524.3519999999999</v>
      </c>
      <c r="W42" s="189">
        <f>W43/W41*1000</f>
        <v>12283.966</v>
      </c>
      <c r="Z42" s="302"/>
    </row>
    <row r="43" spans="1:26" s="206" customFormat="1" ht="18" customHeight="1">
      <c r="A43" s="610"/>
      <c r="B43" s="581"/>
      <c r="C43" s="581"/>
      <c r="D43" s="191" t="str">
        <f>серпень!D43</f>
        <v>сума, тис.грн.</v>
      </c>
      <c r="E43" s="192"/>
      <c r="F43" s="193">
        <f>F92+F137+F167+F212</f>
        <v>529.84100000000001</v>
      </c>
      <c r="G43" s="193">
        <f t="shared" ref="G43:K43" si="78">G92+G137+G167+G212</f>
        <v>528.56799999999998</v>
      </c>
      <c r="H43" s="193">
        <f t="shared" si="78"/>
        <v>312.267</v>
      </c>
      <c r="I43" s="193">
        <f t="shared" si="78"/>
        <v>0</v>
      </c>
      <c r="J43" s="193">
        <f t="shared" si="78"/>
        <v>0</v>
      </c>
      <c r="K43" s="193">
        <f t="shared" si="78"/>
        <v>0</v>
      </c>
      <c r="L43" s="194">
        <f t="shared" ref="L43:L48" si="79">SUM(F43:K43)</f>
        <v>1370.6759999999999</v>
      </c>
      <c r="M43" s="194">
        <f t="shared" ref="M43:M48" si="80">L43/6</f>
        <v>228.446</v>
      </c>
      <c r="N43" s="193">
        <f>N92+N137+N167+N212</f>
        <v>0</v>
      </c>
      <c r="O43" s="193">
        <f t="shared" ref="O43:S43" si="81">O92+O137+O167+O212</f>
        <v>0</v>
      </c>
      <c r="P43" s="193">
        <f t="shared" si="81"/>
        <v>0</v>
      </c>
      <c r="Q43" s="193">
        <f t="shared" si="81"/>
        <v>0</v>
      </c>
      <c r="R43" s="193">
        <f t="shared" si="81"/>
        <v>137.935</v>
      </c>
      <c r="S43" s="193">
        <f t="shared" si="81"/>
        <v>286.32400000000001</v>
      </c>
      <c r="T43" s="194">
        <f>SUM(N43:S43)</f>
        <v>424.25900000000001</v>
      </c>
      <c r="U43" s="194">
        <f>T43+L43</f>
        <v>1794.9349999999999</v>
      </c>
      <c r="V43" s="171">
        <f>V60+V167+V212</f>
        <v>1652.441</v>
      </c>
      <c r="W43" s="193">
        <f>V43-U43</f>
        <v>-142.494</v>
      </c>
      <c r="Z43" s="302"/>
    </row>
    <row r="44" spans="1:26" s="206" customFormat="1" ht="18" customHeight="1">
      <c r="A44" s="610"/>
      <c r="B44" s="581"/>
      <c r="C44" s="581"/>
      <c r="D44" s="174" t="str">
        <f>серпень!D44</f>
        <v>абоненська плата, тис.грн.</v>
      </c>
      <c r="E44" s="192"/>
      <c r="F44" s="193">
        <f>F77+F107+F122+F152</f>
        <v>56.436</v>
      </c>
      <c r="G44" s="193">
        <f t="shared" ref="G44:K44" si="82">G77+G107+G122+G152</f>
        <v>56.444000000000003</v>
      </c>
      <c r="H44" s="193">
        <f t="shared" si="82"/>
        <v>54.732999999999997</v>
      </c>
      <c r="I44" s="193">
        <f t="shared" si="82"/>
        <v>56.875999999999998</v>
      </c>
      <c r="J44" s="193">
        <f t="shared" si="82"/>
        <v>56.877000000000002</v>
      </c>
      <c r="K44" s="193">
        <f t="shared" si="82"/>
        <v>39.502000000000002</v>
      </c>
      <c r="L44" s="194">
        <f t="shared" si="79"/>
        <v>320.86799999999999</v>
      </c>
      <c r="M44" s="194">
        <f t="shared" si="80"/>
        <v>53.478000000000002</v>
      </c>
      <c r="N44" s="193">
        <f>N77+N107+N122+N152</f>
        <v>53.7</v>
      </c>
      <c r="O44" s="193">
        <f t="shared" ref="O44:S44" si="83">O77+O107+O122+O152</f>
        <v>55.268999999999998</v>
      </c>
      <c r="P44" s="193">
        <f t="shared" si="83"/>
        <v>55.268999999999998</v>
      </c>
      <c r="Q44" s="193">
        <f t="shared" si="83"/>
        <v>55.268999999999998</v>
      </c>
      <c r="R44" s="193">
        <f t="shared" si="83"/>
        <v>55.268999999999998</v>
      </c>
      <c r="S44" s="193">
        <f t="shared" si="83"/>
        <v>55.268999999999998</v>
      </c>
      <c r="T44" s="194">
        <f t="shared" ref="T44:T46" si="84">SUM(N44:S44)</f>
        <v>330.04500000000002</v>
      </c>
      <c r="U44" s="194">
        <f t="shared" ref="U44:U46" si="85">T44+L44</f>
        <v>650.91300000000001</v>
      </c>
      <c r="V44" s="171">
        <f t="shared" ref="V44" si="86">V77+V107+V122+V152</f>
        <v>700.548</v>
      </c>
      <c r="W44" s="193">
        <f t="shared" ref="W44:W45" si="87">V44-U44</f>
        <v>49.634999999999998</v>
      </c>
      <c r="Z44" s="302"/>
    </row>
    <row r="45" spans="1:26" s="206" customFormat="1" ht="18" customHeight="1">
      <c r="A45" s="610"/>
      <c r="B45" s="581"/>
      <c r="C45" s="581"/>
      <c r="D45" s="174" t="str">
        <f>серпень!D45</f>
        <v>разом сума тис. грн+абонплата</v>
      </c>
      <c r="E45" s="192"/>
      <c r="F45" s="193">
        <f>F43+F44</f>
        <v>586.27700000000004</v>
      </c>
      <c r="G45" s="193">
        <f t="shared" ref="G45:K45" si="88">G43+G44</f>
        <v>585.01199999999994</v>
      </c>
      <c r="H45" s="193">
        <f t="shared" si="88"/>
        <v>367</v>
      </c>
      <c r="I45" s="193">
        <f t="shared" si="88"/>
        <v>56.875999999999998</v>
      </c>
      <c r="J45" s="193">
        <f t="shared" si="88"/>
        <v>56.877000000000002</v>
      </c>
      <c r="K45" s="193">
        <f t="shared" si="88"/>
        <v>39.502000000000002</v>
      </c>
      <c r="L45" s="194">
        <f t="shared" si="79"/>
        <v>1691.5440000000001</v>
      </c>
      <c r="M45" s="194">
        <f t="shared" si="80"/>
        <v>281.92399999999998</v>
      </c>
      <c r="N45" s="193">
        <f t="shared" ref="N45:S45" si="89">N43+N44</f>
        <v>53.7</v>
      </c>
      <c r="O45" s="193">
        <f t="shared" si="89"/>
        <v>55.268999999999998</v>
      </c>
      <c r="P45" s="193">
        <f t="shared" si="89"/>
        <v>55.268999999999998</v>
      </c>
      <c r="Q45" s="193">
        <f t="shared" si="89"/>
        <v>55.268999999999998</v>
      </c>
      <c r="R45" s="193">
        <f t="shared" si="89"/>
        <v>193.20400000000001</v>
      </c>
      <c r="S45" s="193">
        <f t="shared" si="89"/>
        <v>341.59300000000002</v>
      </c>
      <c r="T45" s="194">
        <f t="shared" si="84"/>
        <v>754.30399999999997</v>
      </c>
      <c r="U45" s="194">
        <f t="shared" si="85"/>
        <v>2445.848</v>
      </c>
      <c r="V45" s="171">
        <f t="shared" ref="V45" si="90">V43+V44</f>
        <v>2352.989</v>
      </c>
      <c r="W45" s="193">
        <f t="shared" si="87"/>
        <v>-92.858999999999995</v>
      </c>
      <c r="Z45" s="302"/>
    </row>
    <row r="46" spans="1:26" s="206" customFormat="1" ht="18" customHeight="1">
      <c r="A46" s="610"/>
      <c r="B46" s="581"/>
      <c r="C46" s="581"/>
      <c r="D46" s="174" t="str">
        <f>серпень!D46</f>
        <v>дотація</v>
      </c>
      <c r="E46" s="192"/>
      <c r="F46" s="193">
        <f>F63+F168+F213</f>
        <v>0</v>
      </c>
      <c r="G46" s="193">
        <f t="shared" ref="G46:K47" si="91">G63+G168+G213</f>
        <v>0</v>
      </c>
      <c r="H46" s="193">
        <f t="shared" si="91"/>
        <v>15.282</v>
      </c>
      <c r="I46" s="193">
        <f t="shared" si="91"/>
        <v>0</v>
      </c>
      <c r="J46" s="193">
        <f t="shared" si="91"/>
        <v>0</v>
      </c>
      <c r="K46" s="193">
        <f t="shared" si="91"/>
        <v>0</v>
      </c>
      <c r="L46" s="194">
        <f t="shared" si="79"/>
        <v>15.282</v>
      </c>
      <c r="M46" s="194">
        <f t="shared" si="80"/>
        <v>2.5470000000000002</v>
      </c>
      <c r="N46" s="193">
        <f t="shared" ref="N46:S47" si="92">N63+N168+N213</f>
        <v>0</v>
      </c>
      <c r="O46" s="193">
        <f t="shared" si="92"/>
        <v>0</v>
      </c>
      <c r="P46" s="193">
        <f t="shared" si="92"/>
        <v>0</v>
      </c>
      <c r="Q46" s="193">
        <f t="shared" si="92"/>
        <v>0</v>
      </c>
      <c r="R46" s="193">
        <f t="shared" si="92"/>
        <v>0</v>
      </c>
      <c r="S46" s="193">
        <f t="shared" si="92"/>
        <v>0</v>
      </c>
      <c r="T46" s="194">
        <f t="shared" si="84"/>
        <v>0</v>
      </c>
      <c r="U46" s="194">
        <f t="shared" si="85"/>
        <v>15.282</v>
      </c>
      <c r="V46" s="171">
        <f t="shared" ref="V46" si="93">V63+V168+V213</f>
        <v>15.282</v>
      </c>
      <c r="W46" s="192">
        <f>V46-U46</f>
        <v>0</v>
      </c>
      <c r="Z46" s="302"/>
    </row>
    <row r="47" spans="1:26" s="206" customFormat="1" ht="18" customHeight="1">
      <c r="A47" s="610"/>
      <c r="B47" s="581"/>
      <c r="C47" s="581"/>
      <c r="D47" s="174" t="str">
        <f>серпень!D47</f>
        <v>місцевий (план), тис.грн</v>
      </c>
      <c r="E47" s="192"/>
      <c r="F47" s="193">
        <f>F64+F169+F214</f>
        <v>0</v>
      </c>
      <c r="G47" s="193">
        <f t="shared" si="91"/>
        <v>586.27700000000004</v>
      </c>
      <c r="H47" s="193">
        <f t="shared" si="91"/>
        <v>585.01300000000003</v>
      </c>
      <c r="I47" s="193">
        <f t="shared" si="91"/>
        <v>351.79399999999998</v>
      </c>
      <c r="J47" s="193">
        <f t="shared" si="91"/>
        <v>56.878999999999998</v>
      </c>
      <c r="K47" s="193">
        <f t="shared" si="91"/>
        <v>56.878999999999998</v>
      </c>
      <c r="L47" s="194">
        <f t="shared" si="79"/>
        <v>1636.8420000000001</v>
      </c>
      <c r="M47" s="194">
        <f t="shared" si="80"/>
        <v>272.80700000000002</v>
      </c>
      <c r="N47" s="193">
        <f t="shared" si="92"/>
        <v>39.478999999999999</v>
      </c>
      <c r="O47" s="193">
        <f t="shared" si="92"/>
        <v>53.679000000000002</v>
      </c>
      <c r="P47" s="193">
        <f t="shared" si="92"/>
        <v>58.378999999999998</v>
      </c>
      <c r="Q47" s="193">
        <f t="shared" si="92"/>
        <v>58.378999999999998</v>
      </c>
      <c r="R47" s="193">
        <f t="shared" si="92"/>
        <v>58.378999999999998</v>
      </c>
      <c r="S47" s="193">
        <f t="shared" si="92"/>
        <v>432.57</v>
      </c>
      <c r="T47" s="194">
        <f>SUM(N47:S47)</f>
        <v>700.86500000000001</v>
      </c>
      <c r="U47" s="194">
        <f>T47+L47</f>
        <v>2337.7069999999999</v>
      </c>
      <c r="V47" s="171">
        <f>V64+V169+V214</f>
        <v>2337.7069999999999</v>
      </c>
      <c r="W47" s="192">
        <f>V47-U47</f>
        <v>0</v>
      </c>
      <c r="Z47" s="302"/>
    </row>
    <row r="48" spans="1:26" s="206" customFormat="1" ht="18" customHeight="1">
      <c r="A48" s="610"/>
      <c r="B48" s="581"/>
      <c r="C48" s="581"/>
      <c r="D48" s="178" t="str">
        <f>серпень!D48</f>
        <v>касові нат.п-ки 2025</v>
      </c>
      <c r="E48" s="179">
        <f t="shared" ref="E48" si="94">E65+E170+E215</f>
        <v>0</v>
      </c>
      <c r="F48" s="264">
        <f>F95+F140+F170+F215</f>
        <v>0</v>
      </c>
      <c r="G48" s="264">
        <f t="shared" ref="G48:K48" si="95">G95+G140+G170+G215</f>
        <v>194.7</v>
      </c>
      <c r="H48" s="264">
        <f t="shared" si="95"/>
        <v>193.67</v>
      </c>
      <c r="I48" s="264">
        <f t="shared" si="95"/>
        <v>116.6</v>
      </c>
      <c r="J48" s="264">
        <f>J95+J140+J170+J215</f>
        <v>0</v>
      </c>
      <c r="K48" s="264">
        <f t="shared" si="95"/>
        <v>0</v>
      </c>
      <c r="L48" s="181">
        <f t="shared" si="79"/>
        <v>505</v>
      </c>
      <c r="M48" s="181">
        <f t="shared" si="80"/>
        <v>84.2</v>
      </c>
      <c r="N48" s="264">
        <f>N95+N140+N170+N215</f>
        <v>0</v>
      </c>
      <c r="O48" s="264">
        <f t="shared" ref="O48:S48" si="96">O95+O140+O170+O215</f>
        <v>0</v>
      </c>
      <c r="P48" s="264">
        <f t="shared" si="96"/>
        <v>0</v>
      </c>
      <c r="Q48" s="264">
        <f t="shared" si="96"/>
        <v>0</v>
      </c>
      <c r="R48" s="264">
        <f t="shared" si="96"/>
        <v>0</v>
      </c>
      <c r="S48" s="264">
        <f t="shared" si="96"/>
        <v>161.19999999999999</v>
      </c>
      <c r="T48" s="181">
        <f>SUM(N48:S48)</f>
        <v>161.19999999999999</v>
      </c>
      <c r="U48" s="181">
        <f>T48+L48</f>
        <v>666.2</v>
      </c>
      <c r="V48" s="260">
        <f t="shared" ref="V48" si="97">V80+V95+V110+V125+V140+V155+V170+V215</f>
        <v>661.33199999999999</v>
      </c>
      <c r="W48" s="184">
        <f>V48-U48</f>
        <v>-4.9000000000000004</v>
      </c>
      <c r="X48" s="206">
        <f>U41-U48</f>
        <v>0</v>
      </c>
      <c r="Y48" s="176">
        <f>E48-X48</f>
        <v>0</v>
      </c>
      <c r="Z48" s="302"/>
    </row>
    <row r="49" spans="1:26" s="206" customFormat="1" ht="18" customHeight="1">
      <c r="A49" s="610"/>
      <c r="B49" s="581"/>
      <c r="C49" s="581"/>
      <c r="D49" s="187" t="str">
        <f>серпень!D49</f>
        <v>тариф, грн.</v>
      </c>
      <c r="E49" s="188" t="e">
        <f t="shared" ref="E49:S49" si="98">E50/E48*1000</f>
        <v>#DIV/0!</v>
      </c>
      <c r="F49" s="188" t="e">
        <f t="shared" si="98"/>
        <v>#DIV/0!</v>
      </c>
      <c r="G49" s="188">
        <f t="shared" si="98"/>
        <v>3011.1860000000001</v>
      </c>
      <c r="H49" s="188">
        <f t="shared" si="98"/>
        <v>3020.6640000000002</v>
      </c>
      <c r="I49" s="188">
        <f>I50/I48*1000</f>
        <v>3147.5129999999999</v>
      </c>
      <c r="J49" s="188" t="e">
        <f>J50/J48*1000</f>
        <v>#DIV/0!</v>
      </c>
      <c r="K49" s="188" t="e">
        <f t="shared" si="98"/>
        <v>#DIV/0!</v>
      </c>
      <c r="L49" s="188">
        <f t="shared" si="98"/>
        <v>3271.3719999999998</v>
      </c>
      <c r="M49" s="188">
        <f t="shared" si="98"/>
        <v>3270.0830000000001</v>
      </c>
      <c r="N49" s="188" t="e">
        <f t="shared" si="98"/>
        <v>#DIV/0!</v>
      </c>
      <c r="O49" s="188" t="e">
        <f t="shared" si="98"/>
        <v>#DIV/0!</v>
      </c>
      <c r="P49" s="188" t="e">
        <f t="shared" si="98"/>
        <v>#DIV/0!</v>
      </c>
      <c r="Q49" s="188" t="e">
        <f t="shared" si="98"/>
        <v>#DIV/0!</v>
      </c>
      <c r="R49" s="188" t="e">
        <f t="shared" si="98"/>
        <v>#DIV/0!</v>
      </c>
      <c r="S49" s="188">
        <f t="shared" si="98"/>
        <v>3317.5929999999998</v>
      </c>
      <c r="T49" s="188">
        <f>T50/T48*1000</f>
        <v>4924.3490000000002</v>
      </c>
      <c r="U49" s="188">
        <f>U50/U48*1000</f>
        <v>3671.3420000000001</v>
      </c>
      <c r="V49" s="188">
        <f>V50/V48*1000</f>
        <v>3557.9540000000002</v>
      </c>
      <c r="W49" s="189">
        <f>W50/W48*1000</f>
        <v>18950.815999999999</v>
      </c>
      <c r="Z49" s="302"/>
    </row>
    <row r="50" spans="1:26" s="176" customFormat="1" ht="18" customHeight="1">
      <c r="A50" s="610"/>
      <c r="B50" s="581"/>
      <c r="C50" s="581"/>
      <c r="D50" s="198" t="str">
        <f>серпень!D50</f>
        <v>касові видатки, тис.грн.</v>
      </c>
      <c r="E50" s="199">
        <f t="shared" ref="E50" si="99">E67+E172+E217</f>
        <v>0</v>
      </c>
      <c r="F50" s="199">
        <f>F67+F172+F217</f>
        <v>0</v>
      </c>
      <c r="G50" s="199">
        <f t="shared" ref="F50:K52" si="100">G67+G172+G217</f>
        <v>586.27800000000002</v>
      </c>
      <c r="H50" s="199">
        <f t="shared" si="100"/>
        <v>585.01199999999994</v>
      </c>
      <c r="I50" s="199">
        <f t="shared" si="100"/>
        <v>367</v>
      </c>
      <c r="J50" s="199">
        <f t="shared" si="100"/>
        <v>56.875999999999998</v>
      </c>
      <c r="K50" s="199">
        <f t="shared" si="100"/>
        <v>56.877000000000002</v>
      </c>
      <c r="L50" s="199">
        <f>SUM(F50:K50)</f>
        <v>1652.0429999999999</v>
      </c>
      <c r="M50" s="199">
        <f>L50/6</f>
        <v>275.34100000000001</v>
      </c>
      <c r="N50" s="199">
        <f>N67+N172+N217</f>
        <v>39.502000000000002</v>
      </c>
      <c r="O50" s="199">
        <f t="shared" ref="O50:S50" si="101">O67+O172+O217</f>
        <v>53.7</v>
      </c>
      <c r="P50" s="199">
        <f t="shared" si="101"/>
        <v>55.268999999999998</v>
      </c>
      <c r="Q50" s="199">
        <f t="shared" si="101"/>
        <v>55.268999999999998</v>
      </c>
      <c r="R50" s="199">
        <f t="shared" si="101"/>
        <v>55.268999999999998</v>
      </c>
      <c r="S50" s="199">
        <f t="shared" si="101"/>
        <v>534.79600000000005</v>
      </c>
      <c r="T50" s="199">
        <f>SUM(N50:S50)</f>
        <v>793.80499999999995</v>
      </c>
      <c r="U50" s="199">
        <f>T50+L50</f>
        <v>2445.848</v>
      </c>
      <c r="V50" s="199">
        <f t="shared" ref="V50:V52" si="102">V67+V172+V217</f>
        <v>2352.989</v>
      </c>
      <c r="W50" s="200">
        <f>V50-U50</f>
        <v>-92.858999999999995</v>
      </c>
      <c r="X50" s="176">
        <f>U45-U50</f>
        <v>0</v>
      </c>
      <c r="Y50" s="176">
        <f>E50-X50</f>
        <v>0</v>
      </c>
      <c r="Z50" s="300"/>
    </row>
    <row r="51" spans="1:26" s="176" customFormat="1" ht="18" customHeight="1">
      <c r="A51" s="610"/>
      <c r="B51" s="581"/>
      <c r="C51" s="581"/>
      <c r="D51" s="201" t="str">
        <f>серпень!D51</f>
        <v>дотація</v>
      </c>
      <c r="E51" s="199"/>
      <c r="F51" s="199">
        <f>F68+F173+F218</f>
        <v>0</v>
      </c>
      <c r="G51" s="199">
        <f t="shared" si="100"/>
        <v>0</v>
      </c>
      <c r="H51" s="199">
        <f t="shared" si="100"/>
        <v>15.282</v>
      </c>
      <c r="I51" s="199">
        <f t="shared" si="100"/>
        <v>0</v>
      </c>
      <c r="J51" s="199">
        <f t="shared" si="100"/>
        <v>0</v>
      </c>
      <c r="K51" s="199">
        <f t="shared" si="100"/>
        <v>0</v>
      </c>
      <c r="L51" s="199">
        <f>SUM(F51:K51)</f>
        <v>15.282</v>
      </c>
      <c r="M51" s="199">
        <f>L51/6</f>
        <v>2.5470000000000002</v>
      </c>
      <c r="N51" s="199">
        <f t="shared" ref="N51:S52" si="103">N68+N173+N218</f>
        <v>0</v>
      </c>
      <c r="O51" s="199">
        <f t="shared" si="103"/>
        <v>0</v>
      </c>
      <c r="P51" s="199">
        <f t="shared" si="103"/>
        <v>0</v>
      </c>
      <c r="Q51" s="199">
        <f t="shared" si="103"/>
        <v>0</v>
      </c>
      <c r="R51" s="199">
        <f t="shared" si="103"/>
        <v>0</v>
      </c>
      <c r="S51" s="199">
        <f t="shared" si="103"/>
        <v>0</v>
      </c>
      <c r="T51" s="199">
        <f>SUM(N51:S51)</f>
        <v>0</v>
      </c>
      <c r="U51" s="199">
        <f>T51+L51</f>
        <v>15.282</v>
      </c>
      <c r="V51" s="199">
        <f t="shared" si="102"/>
        <v>15.282</v>
      </c>
      <c r="W51" s="200">
        <f>V51-U51</f>
        <v>0</v>
      </c>
      <c r="X51" s="176">
        <f>U46-U51</f>
        <v>0</v>
      </c>
      <c r="Z51" s="300"/>
    </row>
    <row r="52" spans="1:26" s="176" customFormat="1" ht="18" customHeight="1">
      <c r="A52" s="610"/>
      <c r="B52" s="581"/>
      <c r="C52" s="581"/>
      <c r="D52" s="201" t="str">
        <f>серпень!D52</f>
        <v xml:space="preserve">місцевий </v>
      </c>
      <c r="E52" s="199"/>
      <c r="F52" s="199">
        <f t="shared" si="100"/>
        <v>0</v>
      </c>
      <c r="G52" s="199">
        <f t="shared" si="100"/>
        <v>586.27800000000002</v>
      </c>
      <c r="H52" s="199">
        <f t="shared" si="100"/>
        <v>569.73</v>
      </c>
      <c r="I52" s="199">
        <f>I69+I174+I219</f>
        <v>367</v>
      </c>
      <c r="J52" s="199">
        <f t="shared" si="100"/>
        <v>56.875999999999998</v>
      </c>
      <c r="K52" s="199">
        <f t="shared" si="100"/>
        <v>56.877000000000002</v>
      </c>
      <c r="L52" s="199">
        <f>SUM(F52:K52)</f>
        <v>1636.761</v>
      </c>
      <c r="M52" s="199">
        <f>L52/6</f>
        <v>272.79399999999998</v>
      </c>
      <c r="N52" s="199">
        <f t="shared" si="103"/>
        <v>39.502000000000002</v>
      </c>
      <c r="O52" s="199">
        <f t="shared" si="103"/>
        <v>53.7</v>
      </c>
      <c r="P52" s="199">
        <f t="shared" si="103"/>
        <v>55.268999999999998</v>
      </c>
      <c r="Q52" s="199">
        <f t="shared" si="103"/>
        <v>55.268999999999998</v>
      </c>
      <c r="R52" s="199">
        <f t="shared" si="103"/>
        <v>55.268999999999998</v>
      </c>
      <c r="S52" s="199">
        <f t="shared" si="103"/>
        <v>534.79600000000005</v>
      </c>
      <c r="T52" s="199">
        <f>SUM(N52:S52)</f>
        <v>793.80499999999995</v>
      </c>
      <c r="U52" s="199">
        <f>T52+L52</f>
        <v>2430.5659999999998</v>
      </c>
      <c r="V52" s="199">
        <f t="shared" si="102"/>
        <v>2337.7069999999999</v>
      </c>
      <c r="W52" s="200">
        <f>V52-U52</f>
        <v>-92.858999999999995</v>
      </c>
      <c r="X52" s="176">
        <f>U47-U52</f>
        <v>-92.858999999999995</v>
      </c>
      <c r="Z52" s="300"/>
    </row>
    <row r="53" spans="1:26" s="205" customFormat="1" ht="18" customHeight="1">
      <c r="A53" s="610"/>
      <c r="B53" s="581"/>
      <c r="C53" s="581"/>
      <c r="D53" s="202" t="str">
        <f>серпень!D53</f>
        <v>план</v>
      </c>
      <c r="E53" s="203"/>
      <c r="F53" s="203">
        <f t="shared" ref="F53:G53" si="104">F47+F46</f>
        <v>0</v>
      </c>
      <c r="G53" s="203">
        <f t="shared" si="104"/>
        <v>586.27700000000004</v>
      </c>
      <c r="H53" s="203">
        <f>H47+H46</f>
        <v>600.29499999999996</v>
      </c>
      <c r="I53" s="203">
        <f t="shared" ref="I53:K53" si="105">I47+I46</f>
        <v>351.79399999999998</v>
      </c>
      <c r="J53" s="203">
        <f t="shared" si="105"/>
        <v>56.878999999999998</v>
      </c>
      <c r="K53" s="203">
        <f t="shared" si="105"/>
        <v>56.878999999999998</v>
      </c>
      <c r="L53" s="203">
        <f>SUM(F53:K53)</f>
        <v>1652.124</v>
      </c>
      <c r="M53" s="203">
        <f>L53/6</f>
        <v>275.35399999999998</v>
      </c>
      <c r="N53" s="203">
        <f>N47+N46</f>
        <v>39.478999999999999</v>
      </c>
      <c r="O53" s="203">
        <f t="shared" ref="O53:S53" si="106">O47+O46</f>
        <v>53.679000000000002</v>
      </c>
      <c r="P53" s="203">
        <f t="shared" si="106"/>
        <v>58.378999999999998</v>
      </c>
      <c r="Q53" s="203">
        <f t="shared" si="106"/>
        <v>58.378999999999998</v>
      </c>
      <c r="R53" s="203">
        <f t="shared" si="106"/>
        <v>58.378999999999998</v>
      </c>
      <c r="S53" s="203">
        <f t="shared" si="106"/>
        <v>432.57</v>
      </c>
      <c r="T53" s="203">
        <f>SUM(N53:S53)</f>
        <v>700.86500000000001</v>
      </c>
      <c r="U53" s="203">
        <f>T53+L53</f>
        <v>2352.989</v>
      </c>
      <c r="V53" s="203">
        <f>V47+V46</f>
        <v>2352.989</v>
      </c>
      <c r="W53" s="203">
        <f>V53-U53</f>
        <v>0</v>
      </c>
      <c r="Z53" s="301"/>
    </row>
    <row r="54" spans="1:26" s="205" customFormat="1" ht="18" customHeight="1">
      <c r="A54" s="610"/>
      <c r="B54" s="581"/>
      <c r="C54" s="581"/>
      <c r="D54" s="202" t="str">
        <f>серпень!D54</f>
        <v xml:space="preserve">відхилення </v>
      </c>
      <c r="E54" s="203"/>
      <c r="F54" s="203">
        <f t="shared" ref="F54:K54" si="107">F50-F53</f>
        <v>0</v>
      </c>
      <c r="G54" s="203">
        <f t="shared" si="107"/>
        <v>1E-3</v>
      </c>
      <c r="H54" s="203">
        <f t="shared" si="107"/>
        <v>-15.282999999999999</v>
      </c>
      <c r="I54" s="203">
        <f t="shared" si="107"/>
        <v>15.206</v>
      </c>
      <c r="J54" s="203">
        <f t="shared" si="107"/>
        <v>-3.0000000000000001E-3</v>
      </c>
      <c r="K54" s="203">
        <f t="shared" si="107"/>
        <v>-2E-3</v>
      </c>
      <c r="L54" s="203"/>
      <c r="M54" s="203"/>
      <c r="N54" s="203">
        <f t="shared" ref="N54:S54" si="108">N50-N53</f>
        <v>2.3E-2</v>
      </c>
      <c r="O54" s="203">
        <f t="shared" si="108"/>
        <v>2.1000000000000001E-2</v>
      </c>
      <c r="P54" s="203">
        <f t="shared" si="108"/>
        <v>-3.11</v>
      </c>
      <c r="Q54" s="203">
        <f t="shared" si="108"/>
        <v>-3.11</v>
      </c>
      <c r="R54" s="203">
        <f t="shared" si="108"/>
        <v>-3.11</v>
      </c>
      <c r="S54" s="203">
        <f t="shared" si="108"/>
        <v>102.226</v>
      </c>
      <c r="T54" s="203"/>
      <c r="U54" s="203"/>
      <c r="V54" s="203"/>
      <c r="W54" s="203"/>
      <c r="Z54" s="301"/>
    </row>
    <row r="55" spans="1:26" s="205" customFormat="1" ht="18" customHeight="1">
      <c r="A55" s="610"/>
      <c r="B55" s="581"/>
      <c r="C55" s="581"/>
      <c r="D55" s="202" t="str">
        <f>серпень!D55</f>
        <v>відхилення з наростаючим</v>
      </c>
      <c r="E55" s="203"/>
      <c r="F55" s="203">
        <f>F54</f>
        <v>0</v>
      </c>
      <c r="G55" s="203">
        <f>G54+F55</f>
        <v>1E-3</v>
      </c>
      <c r="H55" s="203">
        <f>H54+G55</f>
        <v>-15.282</v>
      </c>
      <c r="I55" s="203">
        <f>I54+H55</f>
        <v>-7.5999999999999998E-2</v>
      </c>
      <c r="J55" s="203">
        <f>J54+I55</f>
        <v>-7.9000000000000001E-2</v>
      </c>
      <c r="K55" s="203">
        <f>K54+J55</f>
        <v>-8.1000000000000003E-2</v>
      </c>
      <c r="L55" s="203"/>
      <c r="M55" s="203"/>
      <c r="N55" s="203">
        <f>N54+K55</f>
        <v>-5.8000000000000003E-2</v>
      </c>
      <c r="O55" s="203">
        <f>O54+N55</f>
        <v>-3.6999999999999998E-2</v>
      </c>
      <c r="P55" s="203">
        <f>P54+O55</f>
        <v>-3.1469999999999998</v>
      </c>
      <c r="Q55" s="203">
        <f>Q54+P55</f>
        <v>-6.2569999999999997</v>
      </c>
      <c r="R55" s="203">
        <f>R54+Q55</f>
        <v>-9.3670000000000009</v>
      </c>
      <c r="S55" s="203">
        <f>S54+R55</f>
        <v>92.858999999999995</v>
      </c>
      <c r="T55" s="203"/>
      <c r="U55" s="203"/>
      <c r="V55" s="203"/>
      <c r="W55" s="203"/>
      <c r="Z55" s="301"/>
    </row>
    <row r="56" spans="1:26" s="209" customFormat="1" ht="18" customHeight="1">
      <c r="A56" s="610"/>
      <c r="B56" s="580" t="s">
        <v>53</v>
      </c>
      <c r="C56" s="575"/>
      <c r="D56" s="178" t="str">
        <f>серпень!D56</f>
        <v>факт. нат.п-ки 2023</v>
      </c>
      <c r="E56" s="179"/>
      <c r="F56" s="180">
        <f t="shared" ref="F56:K57" si="109">F73+F88+F103+F118+F133+F148</f>
        <v>150.5</v>
      </c>
      <c r="G56" s="180">
        <f t="shared" si="109"/>
        <v>140.9</v>
      </c>
      <c r="H56" s="180">
        <f t="shared" si="109"/>
        <v>75.8</v>
      </c>
      <c r="I56" s="180">
        <f t="shared" si="109"/>
        <v>0.6</v>
      </c>
      <c r="J56" s="180">
        <f t="shared" si="109"/>
        <v>0.6</v>
      </c>
      <c r="K56" s="180">
        <f t="shared" si="109"/>
        <v>0.6</v>
      </c>
      <c r="L56" s="207">
        <f>SUM(F56:K56)</f>
        <v>369</v>
      </c>
      <c r="M56" s="207">
        <f>L56/6</f>
        <v>61.5</v>
      </c>
      <c r="N56" s="180">
        <f t="shared" ref="N56:S57" si="110">N73+N88+N103+N118+N133+N148</f>
        <v>0.6</v>
      </c>
      <c r="O56" s="180">
        <f t="shared" si="110"/>
        <v>0.6</v>
      </c>
      <c r="P56" s="180">
        <f t="shared" si="110"/>
        <v>0.6</v>
      </c>
      <c r="Q56" s="180">
        <f t="shared" si="110"/>
        <v>0.6</v>
      </c>
      <c r="R56" s="180">
        <f t="shared" si="110"/>
        <v>53.2</v>
      </c>
      <c r="S56" s="180">
        <f t="shared" si="110"/>
        <v>191.2</v>
      </c>
      <c r="T56" s="207">
        <f>SUM(N56:S56)</f>
        <v>246.8</v>
      </c>
      <c r="U56" s="208">
        <f>T56+L56</f>
        <v>615.79999999999995</v>
      </c>
      <c r="V56" s="183">
        <f>V88+V133</f>
        <v>608.79999999999995</v>
      </c>
      <c r="W56" s="184"/>
      <c r="Z56" s="293"/>
    </row>
    <row r="57" spans="1:26" s="209" customFormat="1" ht="18.649999999999999" customHeight="1">
      <c r="A57" s="610"/>
      <c r="B57" s="576"/>
      <c r="C57" s="577"/>
      <c r="D57" s="178" t="str">
        <f>серпень!D57</f>
        <v>факт. нат.п-ки 2024</v>
      </c>
      <c r="E57" s="179"/>
      <c r="F57" s="180">
        <f t="shared" si="109"/>
        <v>196.4</v>
      </c>
      <c r="G57" s="180">
        <f t="shared" si="109"/>
        <v>166.4</v>
      </c>
      <c r="H57" s="180">
        <f t="shared" si="109"/>
        <v>132.4</v>
      </c>
      <c r="I57" s="180">
        <f t="shared" si="109"/>
        <v>0.5</v>
      </c>
      <c r="J57" s="180">
        <f t="shared" si="109"/>
        <v>0.5</v>
      </c>
      <c r="K57" s="180">
        <f t="shared" si="109"/>
        <v>0.5</v>
      </c>
      <c r="L57" s="207">
        <f>SUM(F57:K57)</f>
        <v>496.7</v>
      </c>
      <c r="M57" s="207">
        <f>L57/6</f>
        <v>82.8</v>
      </c>
      <c r="N57" s="179">
        <f t="shared" si="110"/>
        <v>0.5</v>
      </c>
      <c r="O57" s="179">
        <f t="shared" si="110"/>
        <v>0.5</v>
      </c>
      <c r="P57" s="179">
        <f t="shared" si="110"/>
        <v>0.5</v>
      </c>
      <c r="Q57" s="179">
        <f t="shared" si="110"/>
        <v>0.6</v>
      </c>
      <c r="R57" s="179">
        <f t="shared" si="110"/>
        <v>53.2</v>
      </c>
      <c r="S57" s="179">
        <f t="shared" si="110"/>
        <v>155</v>
      </c>
      <c r="T57" s="207">
        <f>SUM(N57:S57)</f>
        <v>210.3</v>
      </c>
      <c r="U57" s="208">
        <f>T57+L57</f>
        <v>707</v>
      </c>
      <c r="V57" s="183">
        <f>V89+V134</f>
        <v>700.4</v>
      </c>
      <c r="W57" s="184"/>
      <c r="Z57" s="293"/>
    </row>
    <row r="58" spans="1:26" s="209" customFormat="1" ht="18" customHeight="1">
      <c r="A58" s="610"/>
      <c r="B58" s="576"/>
      <c r="C58" s="577"/>
      <c r="D58" s="178" t="str">
        <f>серпень!D58</f>
        <v>факт. нат.п-ки 2025</v>
      </c>
      <c r="E58" s="179"/>
      <c r="F58" s="263">
        <f>F90+F135</f>
        <v>194.7</v>
      </c>
      <c r="G58" s="263">
        <f t="shared" ref="G58:K58" si="111">G90+G135</f>
        <v>193.67</v>
      </c>
      <c r="H58" s="263">
        <f t="shared" si="111"/>
        <v>116.6</v>
      </c>
      <c r="I58" s="263">
        <f t="shared" si="111"/>
        <v>0</v>
      </c>
      <c r="J58" s="263">
        <f t="shared" si="111"/>
        <v>0</v>
      </c>
      <c r="K58" s="263">
        <f t="shared" si="111"/>
        <v>0</v>
      </c>
      <c r="L58" s="324">
        <f>SUM(F58:K58)</f>
        <v>504.97</v>
      </c>
      <c r="M58" s="324">
        <f>L58/6</f>
        <v>84.162000000000006</v>
      </c>
      <c r="N58" s="263">
        <f>N90+N135</f>
        <v>0</v>
      </c>
      <c r="O58" s="263">
        <f t="shared" ref="O58:S58" si="112">O90+O135</f>
        <v>0</v>
      </c>
      <c r="P58" s="263">
        <f t="shared" si="112"/>
        <v>0</v>
      </c>
      <c r="Q58" s="263">
        <f t="shared" si="112"/>
        <v>0</v>
      </c>
      <c r="R58" s="263">
        <f t="shared" si="112"/>
        <v>52.6</v>
      </c>
      <c r="S58" s="263">
        <f t="shared" si="112"/>
        <v>108.6</v>
      </c>
      <c r="T58" s="331">
        <f>SUM(N58:S58)</f>
        <v>161.19999999999999</v>
      </c>
      <c r="U58" s="335">
        <f>T58+L58</f>
        <v>666.17</v>
      </c>
      <c r="V58" s="233">
        <f>V90+V135</f>
        <v>654.6</v>
      </c>
      <c r="W58" s="184">
        <f>V58-U58</f>
        <v>-11.6</v>
      </c>
      <c r="Z58" s="293"/>
    </row>
    <row r="59" spans="1:26" s="209" customFormat="1" ht="18" customHeight="1">
      <c r="A59" s="610"/>
      <c r="B59" s="576"/>
      <c r="C59" s="577"/>
      <c r="D59" s="187" t="str">
        <f>серпень!D59</f>
        <v>тариф, грн.</v>
      </c>
      <c r="E59" s="188"/>
      <c r="F59" s="188">
        <f t="shared" ref="F59:S59" si="113">F60/F58*1000</f>
        <v>2721.32</v>
      </c>
      <c r="G59" s="188">
        <f t="shared" si="113"/>
        <v>2729.22</v>
      </c>
      <c r="H59" s="188">
        <f t="shared" si="113"/>
        <v>2678.105</v>
      </c>
      <c r="I59" s="188" t="e">
        <f>I60/I58*1000</f>
        <v>#DIV/0!</v>
      </c>
      <c r="J59" s="188" t="e">
        <f>J60/J58*1000</f>
        <v>#DIV/0!</v>
      </c>
      <c r="K59" s="188" t="e">
        <f t="shared" si="113"/>
        <v>#DIV/0!</v>
      </c>
      <c r="L59" s="188">
        <f t="shared" si="113"/>
        <v>2714.3710000000001</v>
      </c>
      <c r="M59" s="188">
        <f t="shared" si="113"/>
        <v>2714.36</v>
      </c>
      <c r="N59" s="188" t="e">
        <f t="shared" si="113"/>
        <v>#DIV/0!</v>
      </c>
      <c r="O59" s="188" t="e">
        <f t="shared" si="113"/>
        <v>#DIV/0!</v>
      </c>
      <c r="P59" s="188" t="e">
        <f t="shared" si="113"/>
        <v>#DIV/0!</v>
      </c>
      <c r="Q59" s="188" t="e">
        <f t="shared" si="113"/>
        <v>#DIV/0!</v>
      </c>
      <c r="R59" s="188">
        <f t="shared" si="113"/>
        <v>2622.3380000000002</v>
      </c>
      <c r="S59" s="188">
        <f t="shared" si="113"/>
        <v>2636.5010000000002</v>
      </c>
      <c r="T59" s="188">
        <f>T60/T58*1000</f>
        <v>2631.88</v>
      </c>
      <c r="U59" s="188">
        <f>U60/U58*1000</f>
        <v>2694.41</v>
      </c>
      <c r="V59" s="188">
        <f>V60/V58*1000</f>
        <v>2524.3519999999999</v>
      </c>
      <c r="W59" s="189">
        <f>W60/W58*1000</f>
        <v>12283.966</v>
      </c>
      <c r="Z59" s="293"/>
    </row>
    <row r="60" spans="1:26" s="209" customFormat="1" ht="18" customHeight="1">
      <c r="A60" s="610"/>
      <c r="B60" s="576"/>
      <c r="C60" s="577"/>
      <c r="D60" s="191" t="str">
        <f>серпень!D60</f>
        <v>сума, тис.грн.</v>
      </c>
      <c r="E60" s="192"/>
      <c r="F60" s="192">
        <f>F92+F137</f>
        <v>529.84100000000001</v>
      </c>
      <c r="G60" s="192">
        <f t="shared" ref="G60:K60" si="114">G92+G137</f>
        <v>528.56799999999998</v>
      </c>
      <c r="H60" s="192">
        <f t="shared" si="114"/>
        <v>312.267</v>
      </c>
      <c r="I60" s="192">
        <f t="shared" si="114"/>
        <v>0</v>
      </c>
      <c r="J60" s="192">
        <f t="shared" si="114"/>
        <v>0</v>
      </c>
      <c r="K60" s="192">
        <f t="shared" si="114"/>
        <v>0</v>
      </c>
      <c r="L60" s="192">
        <f t="shared" ref="L60:L65" si="115">SUM(F60:K60)</f>
        <v>1370.6759999999999</v>
      </c>
      <c r="M60" s="192">
        <f t="shared" ref="M60:M65" si="116">L60/6</f>
        <v>228.446</v>
      </c>
      <c r="N60" s="192">
        <f>N92+N137</f>
        <v>0</v>
      </c>
      <c r="O60" s="192">
        <f t="shared" ref="O60:S60" si="117">O92+O137</f>
        <v>0</v>
      </c>
      <c r="P60" s="192">
        <f t="shared" si="117"/>
        <v>0</v>
      </c>
      <c r="Q60" s="192">
        <f t="shared" si="117"/>
        <v>0</v>
      </c>
      <c r="R60" s="192">
        <f t="shared" si="117"/>
        <v>137.935</v>
      </c>
      <c r="S60" s="192">
        <f t="shared" si="117"/>
        <v>286.32400000000001</v>
      </c>
      <c r="T60" s="192">
        <f t="shared" ref="T60:T65" si="118">SUM(N60:S60)</f>
        <v>424.25900000000001</v>
      </c>
      <c r="U60" s="192">
        <f t="shared" ref="U60:U65" si="119">T60+L60</f>
        <v>1794.9349999999999</v>
      </c>
      <c r="V60" s="192">
        <f t="shared" ref="V60" si="120">V92+V137</f>
        <v>1652.441</v>
      </c>
      <c r="W60" s="193">
        <f>V60-U60</f>
        <v>-142.494</v>
      </c>
      <c r="Z60" s="293"/>
    </row>
    <row r="61" spans="1:26" s="209" customFormat="1" ht="18" customHeight="1">
      <c r="A61" s="610"/>
      <c r="B61" s="576"/>
      <c r="C61" s="577"/>
      <c r="D61" s="174" t="str">
        <f>серпень!D61</f>
        <v>абоненська плата, тис.грн.</v>
      </c>
      <c r="E61" s="192"/>
      <c r="F61" s="192">
        <f>F77+F107+F122+F152</f>
        <v>56.436</v>
      </c>
      <c r="G61" s="192">
        <f t="shared" ref="G61:K61" si="121">G77+G107+G122+G152</f>
        <v>56.444000000000003</v>
      </c>
      <c r="H61" s="192">
        <f t="shared" si="121"/>
        <v>54.732999999999997</v>
      </c>
      <c r="I61" s="192">
        <f t="shared" si="121"/>
        <v>56.875999999999998</v>
      </c>
      <c r="J61" s="192">
        <f t="shared" si="121"/>
        <v>56.877000000000002</v>
      </c>
      <c r="K61" s="192">
        <f t="shared" si="121"/>
        <v>39.502000000000002</v>
      </c>
      <c r="L61" s="192">
        <f t="shared" si="115"/>
        <v>320.86799999999999</v>
      </c>
      <c r="M61" s="192">
        <f t="shared" si="116"/>
        <v>53.478000000000002</v>
      </c>
      <c r="N61" s="192">
        <f>N77+N107+N122+N152</f>
        <v>53.7</v>
      </c>
      <c r="O61" s="192">
        <f t="shared" ref="O61:S61" si="122">O77+O107+O122+O152</f>
        <v>55.268999999999998</v>
      </c>
      <c r="P61" s="192">
        <f t="shared" si="122"/>
        <v>55.268999999999998</v>
      </c>
      <c r="Q61" s="192">
        <f t="shared" si="122"/>
        <v>55.268999999999998</v>
      </c>
      <c r="R61" s="192">
        <f t="shared" si="122"/>
        <v>55.268999999999998</v>
      </c>
      <c r="S61" s="192">
        <f t="shared" si="122"/>
        <v>55.268999999999998</v>
      </c>
      <c r="T61" s="192">
        <f t="shared" si="118"/>
        <v>330.04500000000002</v>
      </c>
      <c r="U61" s="192">
        <f t="shared" si="119"/>
        <v>650.91300000000001</v>
      </c>
      <c r="V61" s="192">
        <f t="shared" ref="V61" si="123">V77+V107+V122+V152</f>
        <v>700.548</v>
      </c>
      <c r="W61" s="193">
        <f t="shared" ref="W61:W63" si="124">V61-U61</f>
        <v>49.634999999999998</v>
      </c>
      <c r="Z61" s="293"/>
    </row>
    <row r="62" spans="1:26" s="209" customFormat="1" ht="18" customHeight="1">
      <c r="A62" s="610"/>
      <c r="B62" s="576"/>
      <c r="C62" s="577"/>
      <c r="D62" s="174" t="str">
        <f>серпень!D62</f>
        <v>разом сума тис. грн+абонплата</v>
      </c>
      <c r="E62" s="192"/>
      <c r="F62" s="192">
        <f>F60+F61</f>
        <v>586.27700000000004</v>
      </c>
      <c r="G62" s="192">
        <f>G60+G61</f>
        <v>585.01199999999994</v>
      </c>
      <c r="H62" s="192">
        <f t="shared" ref="H62:K62" si="125">H60+H61</f>
        <v>367</v>
      </c>
      <c r="I62" s="192">
        <f t="shared" si="125"/>
        <v>56.875999999999998</v>
      </c>
      <c r="J62" s="192">
        <f t="shared" si="125"/>
        <v>56.877000000000002</v>
      </c>
      <c r="K62" s="192">
        <f t="shared" si="125"/>
        <v>39.502000000000002</v>
      </c>
      <c r="L62" s="192">
        <f t="shared" si="115"/>
        <v>1691.5440000000001</v>
      </c>
      <c r="M62" s="192">
        <f t="shared" si="116"/>
        <v>281.92399999999998</v>
      </c>
      <c r="N62" s="192">
        <f t="shared" ref="N62:S62" si="126">N60+N61</f>
        <v>53.7</v>
      </c>
      <c r="O62" s="192">
        <f t="shared" si="126"/>
        <v>55.268999999999998</v>
      </c>
      <c r="P62" s="192">
        <f t="shared" si="126"/>
        <v>55.268999999999998</v>
      </c>
      <c r="Q62" s="192">
        <f t="shared" si="126"/>
        <v>55.268999999999998</v>
      </c>
      <c r="R62" s="192">
        <f t="shared" si="126"/>
        <v>193.20400000000001</v>
      </c>
      <c r="S62" s="192">
        <f t="shared" si="126"/>
        <v>341.59300000000002</v>
      </c>
      <c r="T62" s="192">
        <f t="shared" si="118"/>
        <v>754.30399999999997</v>
      </c>
      <c r="U62" s="192">
        <f t="shared" si="119"/>
        <v>2445.848</v>
      </c>
      <c r="V62" s="192">
        <f>V60+V61</f>
        <v>2352.989</v>
      </c>
      <c r="W62" s="193">
        <f t="shared" si="124"/>
        <v>-92.858999999999995</v>
      </c>
      <c r="Z62" s="293"/>
    </row>
    <row r="63" spans="1:26" s="209" customFormat="1" ht="18" customHeight="1">
      <c r="A63" s="610"/>
      <c r="B63" s="576"/>
      <c r="C63" s="577"/>
      <c r="D63" s="174" t="str">
        <f>серпень!D63</f>
        <v>дотація</v>
      </c>
      <c r="E63" s="210"/>
      <c r="F63" s="192">
        <f t="shared" ref="F63:K64" si="127">F78+F93+F108+F123+F138+F153</f>
        <v>0</v>
      </c>
      <c r="G63" s="192">
        <f t="shared" si="127"/>
        <v>0</v>
      </c>
      <c r="H63" s="192">
        <f t="shared" si="127"/>
        <v>15.282</v>
      </c>
      <c r="I63" s="192">
        <f t="shared" si="127"/>
        <v>0</v>
      </c>
      <c r="J63" s="192">
        <f t="shared" si="127"/>
        <v>0</v>
      </c>
      <c r="K63" s="192">
        <f t="shared" si="127"/>
        <v>0</v>
      </c>
      <c r="L63" s="192">
        <f t="shared" si="115"/>
        <v>15.282</v>
      </c>
      <c r="M63" s="192">
        <f t="shared" si="116"/>
        <v>2.5470000000000002</v>
      </c>
      <c r="N63" s="192">
        <f t="shared" ref="N63:S64" si="128">N78+N93+N108+N123+N138+N153</f>
        <v>0</v>
      </c>
      <c r="O63" s="192">
        <f t="shared" si="128"/>
        <v>0</v>
      </c>
      <c r="P63" s="192">
        <f t="shared" si="128"/>
        <v>0</v>
      </c>
      <c r="Q63" s="192">
        <f t="shared" si="128"/>
        <v>0</v>
      </c>
      <c r="R63" s="192">
        <f t="shared" si="128"/>
        <v>0</v>
      </c>
      <c r="S63" s="192">
        <f t="shared" si="128"/>
        <v>0</v>
      </c>
      <c r="T63" s="192">
        <f t="shared" si="118"/>
        <v>0</v>
      </c>
      <c r="U63" s="192">
        <f t="shared" si="119"/>
        <v>15.282</v>
      </c>
      <c r="V63" s="192">
        <f>V78+V93+V108+V123+V138+V153</f>
        <v>15.282</v>
      </c>
      <c r="W63" s="211">
        <f t="shared" si="124"/>
        <v>0</v>
      </c>
      <c r="Z63" s="293"/>
    </row>
    <row r="64" spans="1:26" s="209" customFormat="1" ht="18" customHeight="1">
      <c r="A64" s="610"/>
      <c r="B64" s="576"/>
      <c r="C64" s="577"/>
      <c r="D64" s="174" t="str">
        <f>серпень!D64</f>
        <v>місцевий (план), тис.грн</v>
      </c>
      <c r="E64" s="210"/>
      <c r="F64" s="192">
        <f>F79+F94+F109+F124+F139+F154</f>
        <v>0</v>
      </c>
      <c r="G64" s="192">
        <f>G79+G94+G109+G124+G139+G154</f>
        <v>586.27700000000004</v>
      </c>
      <c r="H64" s="192">
        <f t="shared" si="127"/>
        <v>585.01300000000003</v>
      </c>
      <c r="I64" s="192">
        <f t="shared" si="127"/>
        <v>351.79399999999998</v>
      </c>
      <c r="J64" s="192">
        <f t="shared" si="127"/>
        <v>56.878999999999998</v>
      </c>
      <c r="K64" s="192">
        <f t="shared" si="127"/>
        <v>56.878999999999998</v>
      </c>
      <c r="L64" s="192">
        <f t="shared" si="115"/>
        <v>1636.8420000000001</v>
      </c>
      <c r="M64" s="192">
        <f t="shared" si="116"/>
        <v>272.80700000000002</v>
      </c>
      <c r="N64" s="192">
        <f t="shared" si="128"/>
        <v>39.478999999999999</v>
      </c>
      <c r="O64" s="192">
        <f t="shared" si="128"/>
        <v>53.679000000000002</v>
      </c>
      <c r="P64" s="192">
        <f t="shared" si="128"/>
        <v>58.378999999999998</v>
      </c>
      <c r="Q64" s="192">
        <f t="shared" si="128"/>
        <v>58.378999999999998</v>
      </c>
      <c r="R64" s="192">
        <f t="shared" si="128"/>
        <v>58.378999999999998</v>
      </c>
      <c r="S64" s="192">
        <f t="shared" si="128"/>
        <v>432.57</v>
      </c>
      <c r="T64" s="192">
        <f t="shared" si="118"/>
        <v>700.86500000000001</v>
      </c>
      <c r="U64" s="192">
        <f t="shared" si="119"/>
        <v>2337.7069999999999</v>
      </c>
      <c r="V64" s="192">
        <f>V79+V94+V109+V124+V139+V154</f>
        <v>2337.7069999999999</v>
      </c>
      <c r="W64" s="193">
        <f>V64-U64</f>
        <v>0</v>
      </c>
      <c r="Z64" s="293"/>
    </row>
    <row r="65" spans="1:26" s="209" customFormat="1" ht="18" customHeight="1">
      <c r="A65" s="610"/>
      <c r="B65" s="576"/>
      <c r="C65" s="577"/>
      <c r="D65" s="178" t="str">
        <f>серпень!D65</f>
        <v>касові нат.п-ки 2025</v>
      </c>
      <c r="E65" s="260">
        <f>E80+E95+E110+E125+E140+E155</f>
        <v>0</v>
      </c>
      <c r="F65" s="256">
        <f>F95+F140</f>
        <v>0</v>
      </c>
      <c r="G65" s="256">
        <f t="shared" ref="G65:K65" si="129">G95+G140</f>
        <v>194.7</v>
      </c>
      <c r="H65" s="256">
        <f t="shared" si="129"/>
        <v>193.67</v>
      </c>
      <c r="I65" s="256">
        <f t="shared" si="129"/>
        <v>116.6</v>
      </c>
      <c r="J65" s="256">
        <f t="shared" si="129"/>
        <v>0</v>
      </c>
      <c r="K65" s="256">
        <f t="shared" si="129"/>
        <v>0</v>
      </c>
      <c r="L65" s="324">
        <f t="shared" si="115"/>
        <v>504.97</v>
      </c>
      <c r="M65" s="324">
        <f t="shared" si="116"/>
        <v>84.162000000000006</v>
      </c>
      <c r="N65" s="256">
        <f>N95+N140</f>
        <v>0</v>
      </c>
      <c r="O65" s="256">
        <f t="shared" ref="O65:S65" si="130">O95+O140</f>
        <v>0</v>
      </c>
      <c r="P65" s="256">
        <f t="shared" si="130"/>
        <v>0</v>
      </c>
      <c r="Q65" s="256">
        <f t="shared" si="130"/>
        <v>0</v>
      </c>
      <c r="R65" s="256">
        <f t="shared" si="130"/>
        <v>0</v>
      </c>
      <c r="S65" s="256">
        <f t="shared" si="130"/>
        <v>161.19999999999999</v>
      </c>
      <c r="T65" s="331">
        <f t="shared" si="118"/>
        <v>161.19999999999999</v>
      </c>
      <c r="U65" s="331">
        <f t="shared" si="119"/>
        <v>666.17</v>
      </c>
      <c r="V65" s="179">
        <f t="shared" ref="V65" si="131">V95+V140</f>
        <v>654.6</v>
      </c>
      <c r="W65" s="184">
        <f>V65-U65</f>
        <v>-11.6</v>
      </c>
      <c r="X65" s="319">
        <f>U58-U65</f>
        <v>0</v>
      </c>
      <c r="Z65" s="293"/>
    </row>
    <row r="66" spans="1:26" s="209" customFormat="1" ht="18" customHeight="1">
      <c r="A66" s="610"/>
      <c r="B66" s="576"/>
      <c r="C66" s="577"/>
      <c r="D66" s="187" t="str">
        <f>серпень!D66</f>
        <v>тариф, грн.</v>
      </c>
      <c r="E66" s="188" t="e">
        <f t="shared" ref="E66:S66" si="132">E67/E65*1000</f>
        <v>#DIV/0!</v>
      </c>
      <c r="F66" s="188" t="e">
        <f t="shared" si="132"/>
        <v>#DIV/0!</v>
      </c>
      <c r="G66" s="188">
        <f t="shared" si="132"/>
        <v>3011.1860000000001</v>
      </c>
      <c r="H66" s="188">
        <f t="shared" si="132"/>
        <v>3020.6640000000002</v>
      </c>
      <c r="I66" s="188">
        <f>I67/I65*1000</f>
        <v>3147.5129999999999</v>
      </c>
      <c r="J66" s="188" t="e">
        <f>J67/J65*1000</f>
        <v>#DIV/0!</v>
      </c>
      <c r="K66" s="188" t="e">
        <f t="shared" si="132"/>
        <v>#DIV/0!</v>
      </c>
      <c r="L66" s="188">
        <f t="shared" si="132"/>
        <v>3271.567</v>
      </c>
      <c r="M66" s="188">
        <f t="shared" si="132"/>
        <v>3271.56</v>
      </c>
      <c r="N66" s="188" t="e">
        <f t="shared" si="132"/>
        <v>#DIV/0!</v>
      </c>
      <c r="O66" s="188" t="e">
        <f t="shared" si="132"/>
        <v>#DIV/0!</v>
      </c>
      <c r="P66" s="188" t="e">
        <f t="shared" si="132"/>
        <v>#DIV/0!</v>
      </c>
      <c r="Q66" s="188" t="e">
        <f t="shared" si="132"/>
        <v>#DIV/0!</v>
      </c>
      <c r="R66" s="188" t="e">
        <f t="shared" si="132"/>
        <v>#DIV/0!</v>
      </c>
      <c r="S66" s="188">
        <f t="shared" si="132"/>
        <v>3317.5929999999998</v>
      </c>
      <c r="T66" s="188">
        <f>T67/T65*1000</f>
        <v>4924.3490000000002</v>
      </c>
      <c r="U66" s="188">
        <f>U67/U65*1000</f>
        <v>3671.5070000000001</v>
      </c>
      <c r="V66" s="188">
        <f>V67/V65*1000</f>
        <v>3594.5450000000001</v>
      </c>
      <c r="W66" s="189">
        <f>W67/W65*1000</f>
        <v>8005.0860000000002</v>
      </c>
      <c r="Z66" s="293"/>
    </row>
    <row r="67" spans="1:26" s="213" customFormat="1" ht="18" customHeight="1">
      <c r="A67" s="610"/>
      <c r="B67" s="576"/>
      <c r="C67" s="577"/>
      <c r="D67" s="198" t="str">
        <f>серпень!D67</f>
        <v>касові видатки, тис.грн.</v>
      </c>
      <c r="E67" s="199">
        <f>E82+E97+E112+E127+E142+E157+E279+E294+E309+E324</f>
        <v>0</v>
      </c>
      <c r="F67" s="199">
        <f>F82+F97+F112+F127+F142+F157</f>
        <v>0</v>
      </c>
      <c r="G67" s="199">
        <f t="shared" ref="G67:K67" si="133">G82+G97+G112+G127+G142+G157</f>
        <v>586.27800000000002</v>
      </c>
      <c r="H67" s="199">
        <f t="shared" si="133"/>
        <v>585.01199999999994</v>
      </c>
      <c r="I67" s="199">
        <f t="shared" si="133"/>
        <v>367</v>
      </c>
      <c r="J67" s="199">
        <f t="shared" si="133"/>
        <v>56.875999999999998</v>
      </c>
      <c r="K67" s="199">
        <f t="shared" si="133"/>
        <v>56.877000000000002</v>
      </c>
      <c r="L67" s="199">
        <f>SUM(F67:K67)</f>
        <v>1652.0429999999999</v>
      </c>
      <c r="M67" s="199">
        <f>L67/6</f>
        <v>275.34100000000001</v>
      </c>
      <c r="N67" s="199">
        <f>N82+N97+N112+N127+N142+N157</f>
        <v>39.502000000000002</v>
      </c>
      <c r="O67" s="199">
        <f t="shared" ref="O67:S67" si="134">O82+O97+O112+O127+O142+O157</f>
        <v>53.7</v>
      </c>
      <c r="P67" s="199">
        <f t="shared" si="134"/>
        <v>55.268999999999998</v>
      </c>
      <c r="Q67" s="199">
        <f t="shared" si="134"/>
        <v>55.268999999999998</v>
      </c>
      <c r="R67" s="199">
        <f t="shared" si="134"/>
        <v>55.268999999999998</v>
      </c>
      <c r="S67" s="199">
        <f t="shared" si="134"/>
        <v>534.79600000000005</v>
      </c>
      <c r="T67" s="199">
        <f>SUM(N67:S67)</f>
        <v>793.80499999999995</v>
      </c>
      <c r="U67" s="175">
        <f>T67+L67</f>
        <v>2445.848</v>
      </c>
      <c r="V67" s="175">
        <f t="shared" ref="V67:V69" si="135">V82+V97+V112+V127+V142+V157</f>
        <v>2352.989</v>
      </c>
      <c r="W67" s="175">
        <f>V67-U67</f>
        <v>-92.858999999999995</v>
      </c>
      <c r="X67" s="213">
        <f>U62-U67</f>
        <v>0</v>
      </c>
      <c r="Z67" s="296"/>
    </row>
    <row r="68" spans="1:26" s="213" customFormat="1" ht="18" customHeight="1">
      <c r="A68" s="610"/>
      <c r="B68" s="576"/>
      <c r="C68" s="577"/>
      <c r="D68" s="201" t="str">
        <f>серпень!D68</f>
        <v>дотація</v>
      </c>
      <c r="E68" s="212"/>
      <c r="F68" s="199">
        <f t="shared" ref="F68:K69" si="136">F83+F98+F113+F128+F143+F158</f>
        <v>0</v>
      </c>
      <c r="G68" s="199">
        <f t="shared" si="136"/>
        <v>0</v>
      </c>
      <c r="H68" s="199">
        <f t="shared" si="136"/>
        <v>15.282</v>
      </c>
      <c r="I68" s="199">
        <f t="shared" si="136"/>
        <v>0</v>
      </c>
      <c r="J68" s="199">
        <f t="shared" si="136"/>
        <v>0</v>
      </c>
      <c r="K68" s="199">
        <f t="shared" si="136"/>
        <v>0</v>
      </c>
      <c r="L68" s="199">
        <f>SUM(F68:K68)</f>
        <v>15.282</v>
      </c>
      <c r="M68" s="199">
        <f>L68/6</f>
        <v>2.5470000000000002</v>
      </c>
      <c r="N68" s="199">
        <f t="shared" ref="N68:S69" si="137">N83+N98+N113+N128+N143+N158</f>
        <v>0</v>
      </c>
      <c r="O68" s="199">
        <f t="shared" si="137"/>
        <v>0</v>
      </c>
      <c r="P68" s="199">
        <f t="shared" si="137"/>
        <v>0</v>
      </c>
      <c r="Q68" s="199">
        <f t="shared" si="137"/>
        <v>0</v>
      </c>
      <c r="R68" s="199">
        <f t="shared" si="137"/>
        <v>0</v>
      </c>
      <c r="S68" s="199">
        <f t="shared" si="137"/>
        <v>0</v>
      </c>
      <c r="T68" s="199">
        <f>SUM(N68:S68)</f>
        <v>0</v>
      </c>
      <c r="U68" s="175">
        <f>T68+L68</f>
        <v>15.282</v>
      </c>
      <c r="V68" s="175">
        <f t="shared" si="135"/>
        <v>15.282</v>
      </c>
      <c r="W68" s="175">
        <f>V68-U68</f>
        <v>0</v>
      </c>
      <c r="X68" s="213">
        <f>U63-U68</f>
        <v>0</v>
      </c>
      <c r="Z68" s="296"/>
    </row>
    <row r="69" spans="1:26" s="213" customFormat="1" ht="18" customHeight="1">
      <c r="A69" s="610"/>
      <c r="B69" s="576"/>
      <c r="C69" s="577"/>
      <c r="D69" s="201" t="str">
        <f>серпень!D69</f>
        <v xml:space="preserve">місцевий </v>
      </c>
      <c r="E69" s="212"/>
      <c r="F69" s="199">
        <f t="shared" si="136"/>
        <v>0</v>
      </c>
      <c r="G69" s="199">
        <f t="shared" si="136"/>
        <v>586.27800000000002</v>
      </c>
      <c r="H69" s="199">
        <f t="shared" si="136"/>
        <v>569.73</v>
      </c>
      <c r="I69" s="199">
        <f t="shared" si="136"/>
        <v>367</v>
      </c>
      <c r="J69" s="199">
        <f t="shared" si="136"/>
        <v>56.875999999999998</v>
      </c>
      <c r="K69" s="199">
        <f t="shared" si="136"/>
        <v>56.877000000000002</v>
      </c>
      <c r="L69" s="199">
        <f>SUM(F69:K69)</f>
        <v>1636.761</v>
      </c>
      <c r="M69" s="199">
        <f>L69/6</f>
        <v>272.79399999999998</v>
      </c>
      <c r="N69" s="199">
        <f t="shared" si="137"/>
        <v>39.502000000000002</v>
      </c>
      <c r="O69" s="199">
        <f t="shared" si="137"/>
        <v>53.7</v>
      </c>
      <c r="P69" s="199">
        <f t="shared" si="137"/>
        <v>55.268999999999998</v>
      </c>
      <c r="Q69" s="199">
        <f t="shared" si="137"/>
        <v>55.268999999999998</v>
      </c>
      <c r="R69" s="199">
        <f t="shared" si="137"/>
        <v>55.268999999999998</v>
      </c>
      <c r="S69" s="199">
        <f t="shared" si="137"/>
        <v>534.79600000000005</v>
      </c>
      <c r="T69" s="199">
        <f>SUM(N69:S69)</f>
        <v>793.80499999999995</v>
      </c>
      <c r="U69" s="175">
        <f>T69+L69</f>
        <v>2430.5659999999998</v>
      </c>
      <c r="V69" s="175">
        <f t="shared" si="135"/>
        <v>2337.7069999999999</v>
      </c>
      <c r="W69" s="175">
        <f>V69-U69</f>
        <v>-92.858999999999995</v>
      </c>
      <c r="X69" s="213">
        <f>U64-U69</f>
        <v>-92.858999999999995</v>
      </c>
      <c r="Z69" s="296"/>
    </row>
    <row r="70" spans="1:26" s="214" customFormat="1" ht="18" customHeight="1">
      <c r="A70" s="610"/>
      <c r="B70" s="576"/>
      <c r="C70" s="577"/>
      <c r="D70" s="202" t="str">
        <f>серпень!D70</f>
        <v>план</v>
      </c>
      <c r="E70" s="203"/>
      <c r="F70" s="203">
        <f>F64+F63</f>
        <v>0</v>
      </c>
      <c r="G70" s="203">
        <f t="shared" ref="G70:K70" si="138">G64+G63</f>
        <v>586.27700000000004</v>
      </c>
      <c r="H70" s="203">
        <f t="shared" si="138"/>
        <v>600.29499999999996</v>
      </c>
      <c r="I70" s="203">
        <f t="shared" si="138"/>
        <v>351.79399999999998</v>
      </c>
      <c r="J70" s="203">
        <f t="shared" si="138"/>
        <v>56.878999999999998</v>
      </c>
      <c r="K70" s="203">
        <f t="shared" si="138"/>
        <v>56.878999999999998</v>
      </c>
      <c r="L70" s="203">
        <f>SUM(F70:K70)</f>
        <v>1652.124</v>
      </c>
      <c r="M70" s="203">
        <f>L70/6</f>
        <v>275.35399999999998</v>
      </c>
      <c r="N70" s="203">
        <f>N64+N63</f>
        <v>39.478999999999999</v>
      </c>
      <c r="O70" s="203">
        <f t="shared" ref="O70:S70" si="139">O64+O63</f>
        <v>53.679000000000002</v>
      </c>
      <c r="P70" s="203">
        <f t="shared" si="139"/>
        <v>58.378999999999998</v>
      </c>
      <c r="Q70" s="203">
        <f t="shared" si="139"/>
        <v>58.378999999999998</v>
      </c>
      <c r="R70" s="203">
        <f t="shared" si="139"/>
        <v>58.378999999999998</v>
      </c>
      <c r="S70" s="203">
        <f t="shared" si="139"/>
        <v>432.57</v>
      </c>
      <c r="T70" s="203">
        <f>SUM(N70:S70)</f>
        <v>700.86500000000001</v>
      </c>
      <c r="U70" s="204">
        <f>T70+L70</f>
        <v>2352.989</v>
      </c>
      <c r="V70" s="204">
        <f>V64+V63</f>
        <v>2352.989</v>
      </c>
      <c r="W70" s="204">
        <f>V70-U70</f>
        <v>0</v>
      </c>
      <c r="Z70" s="303"/>
    </row>
    <row r="71" spans="1:26" s="214" customFormat="1" ht="18" customHeight="1">
      <c r="A71" s="610"/>
      <c r="B71" s="576"/>
      <c r="C71" s="577"/>
      <c r="D71" s="202" t="str">
        <f>серпень!D71</f>
        <v xml:space="preserve">відхилення </v>
      </c>
      <c r="E71" s="203"/>
      <c r="F71" s="203">
        <f t="shared" ref="F71:K71" si="140">F67-F70</f>
        <v>0</v>
      </c>
      <c r="G71" s="203">
        <f t="shared" si="140"/>
        <v>1E-3</v>
      </c>
      <c r="H71" s="203">
        <f t="shared" si="140"/>
        <v>-15.282999999999999</v>
      </c>
      <c r="I71" s="203">
        <f t="shared" si="140"/>
        <v>15.206</v>
      </c>
      <c r="J71" s="203">
        <f t="shared" si="140"/>
        <v>-3.0000000000000001E-3</v>
      </c>
      <c r="K71" s="203">
        <f t="shared" si="140"/>
        <v>-2E-3</v>
      </c>
      <c r="L71" s="203"/>
      <c r="M71" s="203"/>
      <c r="N71" s="203">
        <f>N67-N70</f>
        <v>2.3E-2</v>
      </c>
      <c r="O71" s="203">
        <f t="shared" ref="O71:S71" si="141">O67-O70</f>
        <v>2.1000000000000001E-2</v>
      </c>
      <c r="P71" s="203">
        <f t="shared" si="141"/>
        <v>-3.11</v>
      </c>
      <c r="Q71" s="203">
        <f t="shared" si="141"/>
        <v>-3.11</v>
      </c>
      <c r="R71" s="203">
        <f t="shared" si="141"/>
        <v>-3.11</v>
      </c>
      <c r="S71" s="203">
        <f t="shared" si="141"/>
        <v>102.226</v>
      </c>
      <c r="T71" s="203"/>
      <c r="U71" s="203"/>
      <c r="V71" s="203"/>
      <c r="W71" s="203"/>
      <c r="Z71" s="303"/>
    </row>
    <row r="72" spans="1:26" s="214" customFormat="1" ht="18" customHeight="1">
      <c r="A72" s="610"/>
      <c r="B72" s="578"/>
      <c r="C72" s="579"/>
      <c r="D72" s="202" t="str">
        <f>серпень!D72</f>
        <v>відхилення з наростаючим</v>
      </c>
      <c r="E72" s="203"/>
      <c r="F72" s="203">
        <f>F71</f>
        <v>0</v>
      </c>
      <c r="G72" s="203">
        <f>G71+F72</f>
        <v>1E-3</v>
      </c>
      <c r="H72" s="203">
        <f>H71+G72</f>
        <v>-15.282</v>
      </c>
      <c r="I72" s="203">
        <f>I71+H72</f>
        <v>-7.5999999999999998E-2</v>
      </c>
      <c r="J72" s="203">
        <f>J71+I72</f>
        <v>-7.9000000000000001E-2</v>
      </c>
      <c r="K72" s="203">
        <f>K71+J72</f>
        <v>-8.1000000000000003E-2</v>
      </c>
      <c r="L72" s="203"/>
      <c r="M72" s="203"/>
      <c r="N72" s="203">
        <f>N71+K72</f>
        <v>-5.8000000000000003E-2</v>
      </c>
      <c r="O72" s="203">
        <f>O71+N72</f>
        <v>-3.6999999999999998E-2</v>
      </c>
      <c r="P72" s="203">
        <f>P71+O72</f>
        <v>-3.1469999999999998</v>
      </c>
      <c r="Q72" s="203">
        <f>Q71+P72</f>
        <v>-6.2569999999999997</v>
      </c>
      <c r="R72" s="203">
        <f>R71+Q72</f>
        <v>-9.3670000000000009</v>
      </c>
      <c r="S72" s="203">
        <f>S71+R72</f>
        <v>92.858999999999995</v>
      </c>
      <c r="T72" s="203"/>
      <c r="U72" s="203"/>
      <c r="V72" s="203"/>
      <c r="W72" s="203"/>
      <c r="Z72" s="303"/>
    </row>
    <row r="73" spans="1:26" s="214" customFormat="1" ht="18" customHeight="1">
      <c r="A73" s="610"/>
      <c r="B73" s="582" t="s">
        <v>54</v>
      </c>
      <c r="C73" s="582" t="s">
        <v>98</v>
      </c>
      <c r="D73" s="178" t="str">
        <f>серпень!D73</f>
        <v>факт. нат.п-ки 2023</v>
      </c>
      <c r="E73" s="179"/>
      <c r="F73" s="258">
        <v>0.55800000000000005</v>
      </c>
      <c r="G73" s="258">
        <v>0.56100000000000005</v>
      </c>
      <c r="H73" s="259">
        <v>0.56100000000000005</v>
      </c>
      <c r="I73" s="259">
        <v>0.56100000000000005</v>
      </c>
      <c r="J73" s="259">
        <v>0.56100000000000005</v>
      </c>
      <c r="K73" s="259">
        <v>0.56100000000000005</v>
      </c>
      <c r="L73" s="340">
        <f>SUM(F73:K73)</f>
        <v>3.363</v>
      </c>
      <c r="M73" s="340">
        <f>L73/6</f>
        <v>0.5605</v>
      </c>
      <c r="N73" s="342">
        <v>0.56100000000000005</v>
      </c>
      <c r="O73" s="342">
        <v>0.625</v>
      </c>
      <c r="P73" s="342">
        <v>0.56100000000000005</v>
      </c>
      <c r="Q73" s="342">
        <v>0.56089999999999995</v>
      </c>
      <c r="R73" s="342">
        <v>0.56089999999999995</v>
      </c>
      <c r="S73" s="342">
        <v>0.55800000000000005</v>
      </c>
      <c r="T73" s="340">
        <f>SUM(N73:S73)</f>
        <v>3.4268000000000001</v>
      </c>
      <c r="U73" s="340">
        <f>T73+L73</f>
        <v>6.7897999999999996</v>
      </c>
      <c r="V73" s="342">
        <v>6.7897999999999996</v>
      </c>
      <c r="W73" s="184"/>
      <c r="Z73" s="303"/>
    </row>
    <row r="74" spans="1:26" s="214" customFormat="1" ht="18" customHeight="1">
      <c r="A74" s="610"/>
      <c r="B74" s="583"/>
      <c r="C74" s="583"/>
      <c r="D74" s="178" t="str">
        <f>серпень!D74</f>
        <v>факт. нат.п-ки 2024</v>
      </c>
      <c r="E74" s="179"/>
      <c r="F74" s="484">
        <v>0.55826600000000004</v>
      </c>
      <c r="G74" s="484">
        <v>0.55849000000000004</v>
      </c>
      <c r="H74" s="485">
        <v>0.5585</v>
      </c>
      <c r="I74" s="485">
        <v>0.49444700000000003</v>
      </c>
      <c r="J74" s="485">
        <v>0.54447800000000002</v>
      </c>
      <c r="K74" s="485">
        <v>0.54427700000000001</v>
      </c>
      <c r="L74" s="340">
        <f>SUM(F74:K74)</f>
        <v>3.2584580000000001</v>
      </c>
      <c r="M74" s="340">
        <f>L74/6</f>
        <v>0.543076</v>
      </c>
      <c r="N74" s="342">
        <v>0.54427700000000001</v>
      </c>
      <c r="O74" s="342">
        <v>0.53747800000000001</v>
      </c>
      <c r="P74" s="342">
        <v>0.54727999999999999</v>
      </c>
      <c r="Q74" s="342">
        <v>0.56067699999999998</v>
      </c>
      <c r="R74" s="342">
        <v>0.56067699999999998</v>
      </c>
      <c r="S74" s="342">
        <v>0.56067699999999998</v>
      </c>
      <c r="T74" s="340">
        <f>SUM(N74:S74)</f>
        <v>3.3110659999999998</v>
      </c>
      <c r="U74" s="340">
        <f>T74+L74</f>
        <v>6.5695240000000004</v>
      </c>
      <c r="V74" s="288">
        <v>6.569566</v>
      </c>
      <c r="W74" s="184"/>
      <c r="Z74" s="303"/>
    </row>
    <row r="75" spans="1:26" s="214" customFormat="1" ht="18" customHeight="1">
      <c r="A75" s="610"/>
      <c r="B75" s="583"/>
      <c r="C75" s="583"/>
      <c r="D75" s="178" t="str">
        <f>серпень!D75</f>
        <v>факт. нат.п-ки 2025</v>
      </c>
      <c r="E75" s="179"/>
      <c r="F75" s="288">
        <v>0.54230699999999998</v>
      </c>
      <c r="G75" s="288">
        <v>0.54033600000000004</v>
      </c>
      <c r="H75" s="288">
        <v>0.52395499999999995</v>
      </c>
      <c r="I75" s="288">
        <v>0.54447599999999996</v>
      </c>
      <c r="J75" s="288">
        <v>0.54447699999999999</v>
      </c>
      <c r="K75" s="288">
        <v>0.37815100000000001</v>
      </c>
      <c r="L75" s="340">
        <f>SUM(F75:K75)</f>
        <v>3.0737019999999999</v>
      </c>
      <c r="M75" s="340">
        <f>L75/6</f>
        <v>0.51228399999999996</v>
      </c>
      <c r="N75" s="288">
        <v>0.51406399999999997</v>
      </c>
      <c r="O75" s="288">
        <v>0.52908699999999997</v>
      </c>
      <c r="P75" s="288">
        <v>0.52908699999999997</v>
      </c>
      <c r="Q75" s="288">
        <v>0.52908699999999997</v>
      </c>
      <c r="R75" s="288">
        <v>0.52908699999999997</v>
      </c>
      <c r="S75" s="288">
        <v>0.52908699999999997</v>
      </c>
      <c r="T75" s="340">
        <f>SUM(N75:S75)</f>
        <v>3.1594989999999998</v>
      </c>
      <c r="U75" s="340">
        <f>T75+L75</f>
        <v>6.2332010000000002</v>
      </c>
      <c r="V75" s="288">
        <v>6.7317559999999999</v>
      </c>
      <c r="W75" s="184">
        <f>U75-V75</f>
        <v>-0.5</v>
      </c>
      <c r="Z75" s="303"/>
    </row>
    <row r="76" spans="1:26" s="214" customFormat="1" ht="18" customHeight="1">
      <c r="A76" s="610"/>
      <c r="B76" s="583"/>
      <c r="C76" s="583"/>
      <c r="D76" s="187" t="str">
        <f>серпень!D76</f>
        <v>тариф, грн.</v>
      </c>
      <c r="E76" s="188" t="e">
        <f t="shared" ref="E76:J76" si="142">E77/E75*1000</f>
        <v>#DIV/0!</v>
      </c>
      <c r="F76" s="188">
        <f t="shared" si="142"/>
        <v>104066.516</v>
      </c>
      <c r="G76" s="188">
        <f t="shared" si="142"/>
        <v>104460.928</v>
      </c>
      <c r="H76" s="188">
        <f t="shared" si="142"/>
        <v>104461.261</v>
      </c>
      <c r="I76" s="188">
        <f t="shared" si="142"/>
        <v>104460.068</v>
      </c>
      <c r="J76" s="188">
        <f t="shared" si="142"/>
        <v>104461.713</v>
      </c>
      <c r="K76" s="188">
        <v>104461.02</v>
      </c>
      <c r="L76" s="217">
        <f>L77/L75*1000</f>
        <v>104391.38</v>
      </c>
      <c r="M76" s="217">
        <f>M77/M75*1000</f>
        <v>104391.31</v>
      </c>
      <c r="N76" s="217">
        <v>104461.02</v>
      </c>
      <c r="O76" s="217">
        <v>104461.02</v>
      </c>
      <c r="P76" s="217">
        <v>104461.02</v>
      </c>
      <c r="Q76" s="217">
        <v>104461.02</v>
      </c>
      <c r="R76" s="217">
        <v>104461.02</v>
      </c>
      <c r="S76" s="217">
        <v>104461.02</v>
      </c>
      <c r="T76" s="217">
        <f>T77/T75*1000</f>
        <v>104461.18</v>
      </c>
      <c r="U76" s="217">
        <f>U77/U75*1000</f>
        <v>104426.76</v>
      </c>
      <c r="V76" s="218">
        <f>V77/V75*1000</f>
        <v>104066.16</v>
      </c>
      <c r="W76" s="219">
        <f>W77/W75*1000</f>
        <v>-99270</v>
      </c>
      <c r="Z76" s="303"/>
    </row>
    <row r="77" spans="1:26" s="214" customFormat="1" ht="18" customHeight="1">
      <c r="A77" s="610"/>
      <c r="B77" s="583"/>
      <c r="C77" s="583"/>
      <c r="D77" s="191" t="str">
        <f>серпень!D77</f>
        <v>сума, тис.грн.</v>
      </c>
      <c r="E77" s="192"/>
      <c r="F77" s="192">
        <v>56.436</v>
      </c>
      <c r="G77" s="192">
        <v>56.444000000000003</v>
      </c>
      <c r="H77" s="192">
        <v>54.732999999999997</v>
      </c>
      <c r="I77" s="192">
        <v>56.875999999999998</v>
      </c>
      <c r="J77" s="192">
        <f>56.876+0.001</f>
        <v>56.877000000000002</v>
      </c>
      <c r="K77" s="192">
        <v>39.502000000000002</v>
      </c>
      <c r="L77" s="194">
        <f>SUM(F77:K77)</f>
        <v>320.86799999999999</v>
      </c>
      <c r="M77" s="194">
        <f>L77/6</f>
        <v>53.478000000000002</v>
      </c>
      <c r="N77" s="192">
        <v>53.7</v>
      </c>
      <c r="O77" s="192">
        <v>55.268999999999998</v>
      </c>
      <c r="P77" s="192">
        <f t="shared" ref="P77" si="143">P75*P76/1000</f>
        <v>55.268999999999998</v>
      </c>
      <c r="Q77" s="192">
        <f t="shared" ref="Q77" si="144">Q75*Q76/1000</f>
        <v>55.268999999999998</v>
      </c>
      <c r="R77" s="192">
        <f t="shared" ref="R77" si="145">R75*R76/1000</f>
        <v>55.268999999999998</v>
      </c>
      <c r="S77" s="192">
        <f t="shared" ref="S77" si="146">S75*S76/1000</f>
        <v>55.268999999999998</v>
      </c>
      <c r="T77" s="194">
        <f>SUM(N77:S77)</f>
        <v>330.04500000000002</v>
      </c>
      <c r="U77" s="194">
        <f>T77+L77</f>
        <v>650.91300000000001</v>
      </c>
      <c r="V77" s="171">
        <f>V79</f>
        <v>700.548</v>
      </c>
      <c r="W77" s="192">
        <f>V77-U77</f>
        <v>49.634999999999998</v>
      </c>
      <c r="Z77" s="303"/>
    </row>
    <row r="78" spans="1:26" s="214" customFormat="1" ht="18" customHeight="1">
      <c r="A78" s="610"/>
      <c r="B78" s="583"/>
      <c r="C78" s="583"/>
      <c r="D78" s="174" t="str">
        <f>серпень!D78</f>
        <v>дотація</v>
      </c>
      <c r="E78" s="210"/>
      <c r="F78" s="486"/>
      <c r="G78" s="192"/>
      <c r="H78" s="192"/>
      <c r="I78" s="192"/>
      <c r="J78" s="192"/>
      <c r="K78" s="192"/>
      <c r="L78" s="194">
        <f>SUM(F78:K78)</f>
        <v>0</v>
      </c>
      <c r="M78" s="194">
        <f>L78/6</f>
        <v>0</v>
      </c>
      <c r="N78" s="192"/>
      <c r="O78" s="192"/>
      <c r="P78" s="192"/>
      <c r="Q78" s="192"/>
      <c r="R78" s="192"/>
      <c r="S78" s="192"/>
      <c r="T78" s="194">
        <f>SUM(N78:S78)</f>
        <v>0</v>
      </c>
      <c r="U78" s="194">
        <f>T78+L78</f>
        <v>0</v>
      </c>
      <c r="V78" s="171"/>
      <c r="W78" s="192">
        <f>V78-U78</f>
        <v>0</v>
      </c>
      <c r="Z78" s="303"/>
    </row>
    <row r="79" spans="1:26" s="214" customFormat="1" ht="18" customHeight="1">
      <c r="A79" s="610"/>
      <c r="B79" s="583"/>
      <c r="C79" s="583"/>
      <c r="D79" s="174" t="str">
        <f>серпень!D79</f>
        <v>місцевий (план), тис.грн</v>
      </c>
      <c r="E79" s="210"/>
      <c r="F79" s="192">
        <f>12.246-12.246</f>
        <v>0</v>
      </c>
      <c r="G79" s="192">
        <v>58.378999999999998</v>
      </c>
      <c r="H79" s="192">
        <v>58.378999999999998</v>
      </c>
      <c r="I79" s="192">
        <v>58.378999999999998</v>
      </c>
      <c r="J79" s="192">
        <v>56.878999999999998</v>
      </c>
      <c r="K79" s="192">
        <v>56.878999999999998</v>
      </c>
      <c r="L79" s="194">
        <f>SUM(F79:K79)</f>
        <v>288.89499999999998</v>
      </c>
      <c r="M79" s="194">
        <f>L79/6</f>
        <v>48.149000000000001</v>
      </c>
      <c r="N79" s="192">
        <v>39.478999999999999</v>
      </c>
      <c r="O79" s="192">
        <v>53.679000000000002</v>
      </c>
      <c r="P79" s="192">
        <v>58.378999999999998</v>
      </c>
      <c r="Q79" s="192">
        <v>58.378999999999998</v>
      </c>
      <c r="R79" s="192">
        <v>58.378999999999998</v>
      </c>
      <c r="S79" s="192">
        <f>58.379+58.379-0.221+1.5+1.5+19.121+4.7</f>
        <v>143.358</v>
      </c>
      <c r="T79" s="194">
        <f>SUM(N79:S79)</f>
        <v>411.65300000000002</v>
      </c>
      <c r="U79" s="194">
        <f>T79+L79</f>
        <v>700.548</v>
      </c>
      <c r="V79" s="171">
        <f>700.548</f>
        <v>700.548</v>
      </c>
      <c r="W79" s="192">
        <f>V79-U79</f>
        <v>0</v>
      </c>
      <c r="Z79" s="303"/>
    </row>
    <row r="80" spans="1:26" s="214" customFormat="1" ht="18" customHeight="1">
      <c r="A80" s="610"/>
      <c r="B80" s="583"/>
      <c r="C80" s="583"/>
      <c r="D80" s="178" t="str">
        <f>серпень!D80</f>
        <v>касові нат.п-ки 2025</v>
      </c>
      <c r="E80" s="179"/>
      <c r="F80" s="288">
        <v>0</v>
      </c>
      <c r="G80" s="288">
        <v>0.54230699999999998</v>
      </c>
      <c r="H80" s="288">
        <v>0.54033600000000004</v>
      </c>
      <c r="I80" s="288">
        <v>0.52395499999999995</v>
      </c>
      <c r="J80" s="288">
        <v>0.54447599999999996</v>
      </c>
      <c r="K80" s="288">
        <v>0.54447699999999999</v>
      </c>
      <c r="L80" s="340">
        <f>SUM(F80:K80)</f>
        <v>2.695551</v>
      </c>
      <c r="M80" s="340">
        <f>L80/6</f>
        <v>0.44925900000000002</v>
      </c>
      <c r="N80" s="288">
        <v>0.37815100000000001</v>
      </c>
      <c r="O80" s="288">
        <v>0.51406399999999997</v>
      </c>
      <c r="P80" s="288">
        <v>0.52908699999999997</v>
      </c>
      <c r="Q80" s="288">
        <v>0.52908699999999997</v>
      </c>
      <c r="R80" s="288">
        <v>0.52908699999999997</v>
      </c>
      <c r="S80" s="342">
        <f>R75+S75</f>
        <v>1.0581739999999999</v>
      </c>
      <c r="T80" s="419">
        <f>SUM(N80:S80)</f>
        <v>3.5376500000000002</v>
      </c>
      <c r="U80" s="419">
        <f>T80+L80</f>
        <v>6.2332010000000002</v>
      </c>
      <c r="V80" s="288">
        <f>V75</f>
        <v>6.7317559999999999</v>
      </c>
      <c r="W80" s="184">
        <f>V80-U80</f>
        <v>0.5</v>
      </c>
      <c r="X80" s="185">
        <f>U75-U80</f>
        <v>0</v>
      </c>
      <c r="Z80" s="303"/>
    </row>
    <row r="81" spans="1:26" s="214" customFormat="1" ht="18" customHeight="1">
      <c r="A81" s="610"/>
      <c r="B81" s="583"/>
      <c r="C81" s="583"/>
      <c r="D81" s="187" t="str">
        <f>серпень!D81</f>
        <v>тариф, грн.</v>
      </c>
      <c r="E81" s="188" t="e">
        <f t="shared" ref="E81:K81" si="147">E82/E80*1000</f>
        <v>#DIV/0!</v>
      </c>
      <c r="F81" s="188" t="e">
        <f t="shared" si="147"/>
        <v>#DIV/0!</v>
      </c>
      <c r="G81" s="188">
        <f t="shared" si="147"/>
        <v>104066.516</v>
      </c>
      <c r="H81" s="188">
        <f t="shared" si="147"/>
        <v>104460.928</v>
      </c>
      <c r="I81" s="188">
        <f t="shared" si="147"/>
        <v>104461.261</v>
      </c>
      <c r="J81" s="188">
        <f t="shared" si="147"/>
        <v>104460.068</v>
      </c>
      <c r="K81" s="188">
        <f t="shared" si="147"/>
        <v>104461.713</v>
      </c>
      <c r="L81" s="217">
        <f>L82/L80*1000</f>
        <v>104381.63</v>
      </c>
      <c r="M81" s="217">
        <f>M82/M80*1000</f>
        <v>104380.77</v>
      </c>
      <c r="N81" s="217">
        <f t="shared" ref="N81:P81" si="148">N82/N80*1000</f>
        <v>104460.92</v>
      </c>
      <c r="O81" s="217">
        <f t="shared" si="148"/>
        <v>104461.7</v>
      </c>
      <c r="P81" s="217">
        <f t="shared" si="148"/>
        <v>104461.08</v>
      </c>
      <c r="Q81" s="188">
        <v>104461.02</v>
      </c>
      <c r="R81" s="188">
        <v>104461.02</v>
      </c>
      <c r="S81" s="188">
        <v>104461.02</v>
      </c>
      <c r="T81" s="217">
        <f>T82/T80*1000</f>
        <v>104461.15</v>
      </c>
      <c r="U81" s="217">
        <f>U82/U80*1000</f>
        <v>104426.76</v>
      </c>
      <c r="V81" s="218">
        <f>V82/V80*1000</f>
        <v>104066.16</v>
      </c>
      <c r="W81" s="219">
        <f>W82/W80*1000</f>
        <v>99270</v>
      </c>
      <c r="X81" s="185"/>
      <c r="Z81" s="303"/>
    </row>
    <row r="82" spans="1:26" s="214" customFormat="1" ht="18" customHeight="1">
      <c r="A82" s="610"/>
      <c r="B82" s="583"/>
      <c r="C82" s="583"/>
      <c r="D82" s="198" t="str">
        <f>серпень!D82</f>
        <v>касові видатки, тис.грн.</v>
      </c>
      <c r="E82" s="220"/>
      <c r="F82" s="199">
        <v>0</v>
      </c>
      <c r="G82" s="199">
        <v>56.436</v>
      </c>
      <c r="H82" s="199">
        <v>56.444000000000003</v>
      </c>
      <c r="I82" s="199">
        <v>54.732999999999997</v>
      </c>
      <c r="J82" s="199">
        <v>56.875999999999998</v>
      </c>
      <c r="K82" s="199">
        <f>56.876+0.001</f>
        <v>56.877000000000002</v>
      </c>
      <c r="L82" s="199">
        <f>SUM(F82:K82)</f>
        <v>281.36599999999999</v>
      </c>
      <c r="M82" s="199">
        <f>L82/6</f>
        <v>46.893999999999998</v>
      </c>
      <c r="N82" s="199">
        <v>39.502000000000002</v>
      </c>
      <c r="O82" s="199">
        <v>53.7</v>
      </c>
      <c r="P82" s="199">
        <v>55.268999999999998</v>
      </c>
      <c r="Q82" s="199">
        <f t="shared" ref="Q82" si="149">Q80*Q81/1000</f>
        <v>55.268999999999998</v>
      </c>
      <c r="R82" s="199">
        <f t="shared" ref="R82" si="150">R80*R81/1000</f>
        <v>55.268999999999998</v>
      </c>
      <c r="S82" s="199">
        <f t="shared" ref="S82" si="151">S80*S81/1000</f>
        <v>110.538</v>
      </c>
      <c r="T82" s="199">
        <f>SUM(N82:S82)</f>
        <v>369.54700000000003</v>
      </c>
      <c r="U82" s="199">
        <f>T82+L82</f>
        <v>650.91300000000001</v>
      </c>
      <c r="V82" s="199">
        <f>V77</f>
        <v>700.548</v>
      </c>
      <c r="W82" s="221">
        <f>V82-U82</f>
        <v>49.634999999999998</v>
      </c>
      <c r="X82" s="176">
        <f>U77-U82</f>
        <v>0</v>
      </c>
      <c r="Z82" s="303"/>
    </row>
    <row r="83" spans="1:26" s="214" customFormat="1" ht="18" customHeight="1">
      <c r="A83" s="610"/>
      <c r="B83" s="583"/>
      <c r="C83" s="583"/>
      <c r="D83" s="201" t="str">
        <f>серпень!D83</f>
        <v>дотація</v>
      </c>
      <c r="E83" s="220"/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f>SUM(F83:K83)</f>
        <v>0</v>
      </c>
      <c r="M83" s="199">
        <f>L83/6</f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f>SUM(N83:S83)</f>
        <v>0</v>
      </c>
      <c r="U83" s="199">
        <f>T83+L83</f>
        <v>0</v>
      </c>
      <c r="V83" s="199">
        <f>V78</f>
        <v>0</v>
      </c>
      <c r="W83" s="221">
        <f>V83-U83</f>
        <v>0</v>
      </c>
      <c r="X83" s="176">
        <f>U78-U83</f>
        <v>0</v>
      </c>
      <c r="Z83" s="303"/>
    </row>
    <row r="84" spans="1:26" s="214" customFormat="1" ht="18" customHeight="1">
      <c r="A84" s="610"/>
      <c r="B84" s="583"/>
      <c r="C84" s="583"/>
      <c r="D84" s="201" t="str">
        <f>серпень!D84</f>
        <v xml:space="preserve">місцевий </v>
      </c>
      <c r="E84" s="220"/>
      <c r="F84" s="199">
        <f>F82-F83</f>
        <v>0</v>
      </c>
      <c r="G84" s="199">
        <f t="shared" ref="G84:K84" si="152">G82-G83</f>
        <v>56.436</v>
      </c>
      <c r="H84" s="199">
        <f t="shared" si="152"/>
        <v>56.444000000000003</v>
      </c>
      <c r="I84" s="199">
        <f t="shared" si="152"/>
        <v>54.732999999999997</v>
      </c>
      <c r="J84" s="199">
        <f t="shared" si="152"/>
        <v>56.875999999999998</v>
      </c>
      <c r="K84" s="199">
        <f t="shared" si="152"/>
        <v>56.877000000000002</v>
      </c>
      <c r="L84" s="199">
        <f>SUM(F84:K84)</f>
        <v>281.36599999999999</v>
      </c>
      <c r="M84" s="199">
        <f>L84/6</f>
        <v>46.893999999999998</v>
      </c>
      <c r="N84" s="199">
        <f>N82-N83</f>
        <v>39.502000000000002</v>
      </c>
      <c r="O84" s="199">
        <f t="shared" ref="O84" si="153">O82-O83</f>
        <v>53.7</v>
      </c>
      <c r="P84" s="199">
        <f t="shared" ref="P84" si="154">P82-P83</f>
        <v>55.268999999999998</v>
      </c>
      <c r="Q84" s="199">
        <f t="shared" ref="Q84" si="155">Q82-Q83</f>
        <v>55.268999999999998</v>
      </c>
      <c r="R84" s="199">
        <f t="shared" ref="R84" si="156">R82-R83</f>
        <v>55.268999999999998</v>
      </c>
      <c r="S84" s="199">
        <f>S82-S83</f>
        <v>110.538</v>
      </c>
      <c r="T84" s="199">
        <f>SUM(N84:S84)</f>
        <v>369.54700000000003</v>
      </c>
      <c r="U84" s="199">
        <f>T84+L84</f>
        <v>650.91300000000001</v>
      </c>
      <c r="V84" s="199">
        <f>V79</f>
        <v>700.548</v>
      </c>
      <c r="W84" s="221">
        <f>V84-U84</f>
        <v>49.634999999999998</v>
      </c>
      <c r="X84" s="176">
        <f>U79-U84</f>
        <v>49.634999999999998</v>
      </c>
      <c r="Z84" s="303"/>
    </row>
    <row r="85" spans="1:26" s="214" customFormat="1" ht="18" customHeight="1">
      <c r="A85" s="610"/>
      <c r="B85" s="583"/>
      <c r="C85" s="583"/>
      <c r="D85" s="202" t="str">
        <f>серпень!D85</f>
        <v>план</v>
      </c>
      <c r="E85" s="203"/>
      <c r="F85" s="203">
        <f t="shared" ref="F85:K85" si="157">F78+F79</f>
        <v>0</v>
      </c>
      <c r="G85" s="203">
        <f t="shared" si="157"/>
        <v>58.378999999999998</v>
      </c>
      <c r="H85" s="203">
        <f t="shared" si="157"/>
        <v>58.378999999999998</v>
      </c>
      <c r="I85" s="203">
        <f t="shared" si="157"/>
        <v>58.378999999999998</v>
      </c>
      <c r="J85" s="203">
        <f t="shared" si="157"/>
        <v>56.878999999999998</v>
      </c>
      <c r="K85" s="203">
        <f t="shared" si="157"/>
        <v>56.878999999999998</v>
      </c>
      <c r="L85" s="203">
        <f>SUM(F85:K85)</f>
        <v>288.89499999999998</v>
      </c>
      <c r="M85" s="203">
        <f>L85/6</f>
        <v>48.149000000000001</v>
      </c>
      <c r="N85" s="203">
        <f t="shared" ref="N85:S85" si="158">N79+N78</f>
        <v>39.478999999999999</v>
      </c>
      <c r="O85" s="203">
        <f t="shared" si="158"/>
        <v>53.679000000000002</v>
      </c>
      <c r="P85" s="203">
        <f t="shared" si="158"/>
        <v>58.378999999999998</v>
      </c>
      <c r="Q85" s="203">
        <f t="shared" si="158"/>
        <v>58.378999999999998</v>
      </c>
      <c r="R85" s="203">
        <f t="shared" si="158"/>
        <v>58.378999999999998</v>
      </c>
      <c r="S85" s="203">
        <f t="shared" si="158"/>
        <v>143.358</v>
      </c>
      <c r="T85" s="203">
        <f>SUM(N85:S85)</f>
        <v>411.65300000000002</v>
      </c>
      <c r="U85" s="203">
        <f>T85+L85</f>
        <v>700.548</v>
      </c>
      <c r="V85" s="203">
        <f>V82</f>
        <v>700.548</v>
      </c>
      <c r="W85" s="203">
        <f>V85-U85</f>
        <v>0</v>
      </c>
      <c r="Z85" s="303"/>
    </row>
    <row r="86" spans="1:26" s="214" customFormat="1" ht="18" customHeight="1">
      <c r="A86" s="610"/>
      <c r="B86" s="583"/>
      <c r="C86" s="583"/>
      <c r="D86" s="202" t="str">
        <f>серпень!D86</f>
        <v xml:space="preserve">відхилення </v>
      </c>
      <c r="E86" s="203"/>
      <c r="F86" s="203">
        <f t="shared" ref="F86:K86" si="159">F82-F85</f>
        <v>0</v>
      </c>
      <c r="G86" s="203">
        <f t="shared" si="159"/>
        <v>-1.9430000000000001</v>
      </c>
      <c r="H86" s="203">
        <f t="shared" si="159"/>
        <v>-1.9350000000000001</v>
      </c>
      <c r="I86" s="203">
        <f t="shared" si="159"/>
        <v>-3.6459999999999999</v>
      </c>
      <c r="J86" s="203">
        <f t="shared" si="159"/>
        <v>-3.0000000000000001E-3</v>
      </c>
      <c r="K86" s="203">
        <f t="shared" si="159"/>
        <v>-2E-3</v>
      </c>
      <c r="L86" s="203"/>
      <c r="M86" s="203"/>
      <c r="N86" s="203">
        <f t="shared" ref="N86:S86" si="160">N82-N85</f>
        <v>2.3E-2</v>
      </c>
      <c r="O86" s="203">
        <f t="shared" si="160"/>
        <v>2.1000000000000001E-2</v>
      </c>
      <c r="P86" s="203">
        <f t="shared" si="160"/>
        <v>-3.11</v>
      </c>
      <c r="Q86" s="203">
        <f t="shared" si="160"/>
        <v>-3.11</v>
      </c>
      <c r="R86" s="203">
        <f t="shared" si="160"/>
        <v>-3.11</v>
      </c>
      <c r="S86" s="203">
        <f t="shared" si="160"/>
        <v>-32.82</v>
      </c>
      <c r="T86" s="203"/>
      <c r="U86" s="203"/>
      <c r="V86" s="203"/>
      <c r="W86" s="203"/>
      <c r="Z86" s="303"/>
    </row>
    <row r="87" spans="1:26" s="214" customFormat="1" ht="25.2" customHeight="1">
      <c r="A87" s="610"/>
      <c r="B87" s="583"/>
      <c r="C87" s="584"/>
      <c r="D87" s="202" t="str">
        <f>серпень!D87</f>
        <v>відхилення з наростаючим</v>
      </c>
      <c r="E87" s="203"/>
      <c r="F87" s="203">
        <f>F86</f>
        <v>0</v>
      </c>
      <c r="G87" s="203">
        <f>G86+F87</f>
        <v>-1.9430000000000001</v>
      </c>
      <c r="H87" s="203">
        <f>H86+G87</f>
        <v>-3.8780000000000001</v>
      </c>
      <c r="I87" s="203">
        <f>I86+H87</f>
        <v>-7.524</v>
      </c>
      <c r="J87" s="203">
        <f>J86+I87</f>
        <v>-7.5270000000000001</v>
      </c>
      <c r="K87" s="203">
        <f>K86+J87</f>
        <v>-7.5289999999999999</v>
      </c>
      <c r="L87" s="203"/>
      <c r="M87" s="203"/>
      <c r="N87" s="203">
        <f>N86+K87</f>
        <v>-7.5060000000000002</v>
      </c>
      <c r="O87" s="203">
        <f>O86+N87</f>
        <v>-7.4850000000000003</v>
      </c>
      <c r="P87" s="203">
        <f>P86+O87</f>
        <v>-10.595000000000001</v>
      </c>
      <c r="Q87" s="203">
        <f>Q86+P87</f>
        <v>-13.705</v>
      </c>
      <c r="R87" s="203">
        <f>R86+Q87</f>
        <v>-16.815000000000001</v>
      </c>
      <c r="S87" s="203">
        <f>S86+R87</f>
        <v>-49.634999999999998</v>
      </c>
      <c r="T87" s="203"/>
      <c r="U87" s="203"/>
      <c r="V87" s="203"/>
      <c r="W87" s="203"/>
      <c r="Z87" s="303"/>
    </row>
    <row r="88" spans="1:26" s="185" customFormat="1" ht="18" customHeight="1">
      <c r="A88" s="610"/>
      <c r="B88" s="583"/>
      <c r="C88" s="582" t="s">
        <v>99</v>
      </c>
      <c r="D88" s="178" t="str">
        <f>серпень!D88</f>
        <v>факт. нат.п-ки 2023</v>
      </c>
      <c r="E88" s="179"/>
      <c r="F88" s="184">
        <v>113.85</v>
      </c>
      <c r="G88" s="184">
        <v>104.5</v>
      </c>
      <c r="H88" s="179">
        <v>48</v>
      </c>
      <c r="I88" s="179">
        <v>0</v>
      </c>
      <c r="J88" s="179">
        <v>0</v>
      </c>
      <c r="K88" s="179">
        <v>0</v>
      </c>
      <c r="L88" s="215">
        <f>SUM(F88:K88)</f>
        <v>266.39999999999998</v>
      </c>
      <c r="M88" s="215">
        <f>L88/6</f>
        <v>44.4</v>
      </c>
      <c r="N88" s="179">
        <v>0</v>
      </c>
      <c r="O88" s="179">
        <v>0</v>
      </c>
      <c r="P88" s="179">
        <v>0</v>
      </c>
      <c r="Q88" s="179">
        <v>0</v>
      </c>
      <c r="R88" s="179">
        <v>35.299999999999997</v>
      </c>
      <c r="S88" s="179">
        <v>122.5</v>
      </c>
      <c r="T88" s="215">
        <f>SUM(N88:S88)</f>
        <v>157.80000000000001</v>
      </c>
      <c r="U88" s="215">
        <f>T88+L88</f>
        <v>424.2</v>
      </c>
      <c r="V88" s="179">
        <v>424.2</v>
      </c>
      <c r="W88" s="184"/>
      <c r="Z88" s="297"/>
    </row>
    <row r="89" spans="1:26" s="185" customFormat="1" ht="18" customHeight="1">
      <c r="A89" s="610"/>
      <c r="B89" s="583"/>
      <c r="C89" s="583"/>
      <c r="D89" s="178" t="str">
        <f>серпень!D89</f>
        <v>факт. нат.п-ки 2024</v>
      </c>
      <c r="E89" s="179"/>
      <c r="F89" s="184">
        <v>126.02500000000001</v>
      </c>
      <c r="G89" s="184">
        <v>117.8</v>
      </c>
      <c r="H89" s="179">
        <v>82.5</v>
      </c>
      <c r="I89" s="179">
        <v>0</v>
      </c>
      <c r="J89" s="179">
        <v>0</v>
      </c>
      <c r="K89" s="179">
        <v>0</v>
      </c>
      <c r="L89" s="215">
        <f>SUM(F89:K89)</f>
        <v>326.3</v>
      </c>
      <c r="M89" s="215">
        <f>L89/6</f>
        <v>54.4</v>
      </c>
      <c r="N89" s="179">
        <v>0</v>
      </c>
      <c r="O89" s="179">
        <v>0</v>
      </c>
      <c r="P89" s="179">
        <v>0</v>
      </c>
      <c r="Q89" s="179">
        <v>0</v>
      </c>
      <c r="R89" s="179">
        <v>35.299999999999997</v>
      </c>
      <c r="S89" s="179">
        <v>85.3</v>
      </c>
      <c r="T89" s="215">
        <f>SUM(N89:S89)</f>
        <v>120.6</v>
      </c>
      <c r="U89" s="215">
        <f>T89+L89</f>
        <v>446.9</v>
      </c>
      <c r="V89" s="179">
        <v>446.9</v>
      </c>
      <c r="W89" s="184"/>
      <c r="Z89" s="297"/>
    </row>
    <row r="90" spans="1:26" s="185" customFormat="1" ht="18" customHeight="1">
      <c r="A90" s="610"/>
      <c r="B90" s="583"/>
      <c r="C90" s="583"/>
      <c r="D90" s="178" t="str">
        <f>серпень!D90</f>
        <v>факт. нат.п-ки 2025</v>
      </c>
      <c r="E90" s="179"/>
      <c r="F90" s="184">
        <v>163.4</v>
      </c>
      <c r="G90" s="184">
        <v>144.37</v>
      </c>
      <c r="H90" s="179">
        <v>82.7</v>
      </c>
      <c r="I90" s="179">
        <v>0</v>
      </c>
      <c r="J90" s="179">
        <v>0</v>
      </c>
      <c r="K90" s="179">
        <v>0</v>
      </c>
      <c r="L90" s="215">
        <f>SUM(F90:K90)</f>
        <v>390.5</v>
      </c>
      <c r="M90" s="215">
        <f>L90/6</f>
        <v>65.099999999999994</v>
      </c>
      <c r="N90" s="179">
        <v>0</v>
      </c>
      <c r="O90" s="179">
        <v>0</v>
      </c>
      <c r="P90" s="179">
        <v>0</v>
      </c>
      <c r="Q90" s="179">
        <v>0</v>
      </c>
      <c r="R90" s="179">
        <v>35.299999999999997</v>
      </c>
      <c r="S90" s="179">
        <v>74</v>
      </c>
      <c r="T90" s="215">
        <f>SUM(N90:S90)</f>
        <v>109.3</v>
      </c>
      <c r="U90" s="215">
        <f>T90+L90</f>
        <v>499.8</v>
      </c>
      <c r="V90" s="487">
        <v>435.6</v>
      </c>
      <c r="W90" s="184">
        <f>U90-V90</f>
        <v>64.2</v>
      </c>
      <c r="Z90" s="297"/>
    </row>
    <row r="91" spans="1:26" s="185" customFormat="1" ht="18" customHeight="1">
      <c r="A91" s="610"/>
      <c r="B91" s="583"/>
      <c r="C91" s="583"/>
      <c r="D91" s="187" t="str">
        <f>серпень!D91</f>
        <v>тариф, грн.</v>
      </c>
      <c r="E91" s="188" t="e">
        <f t="shared" ref="E91:K91" si="161">E92/E90*1000</f>
        <v>#DIV/0!</v>
      </c>
      <c r="F91" s="188">
        <f t="shared" si="161"/>
        <v>2925.9789999999998</v>
      </c>
      <c r="G91" s="188">
        <f t="shared" si="161"/>
        <v>3096.37</v>
      </c>
      <c r="H91" s="188">
        <f t="shared" si="161"/>
        <v>3096.6260000000002</v>
      </c>
      <c r="I91" s="188" t="e">
        <f t="shared" si="161"/>
        <v>#DIV/0!</v>
      </c>
      <c r="J91" s="188" t="e">
        <f t="shared" si="161"/>
        <v>#DIV/0!</v>
      </c>
      <c r="K91" s="188" t="e">
        <f t="shared" si="161"/>
        <v>#DIV/0!</v>
      </c>
      <c r="L91" s="217">
        <f>L92/L90*1000</f>
        <v>3024.89</v>
      </c>
      <c r="M91" s="217">
        <f>M92/M90*1000</f>
        <v>3024.12</v>
      </c>
      <c r="N91" s="217">
        <v>3096.37</v>
      </c>
      <c r="O91" s="217">
        <v>3096.37</v>
      </c>
      <c r="P91" s="217">
        <v>3096.37</v>
      </c>
      <c r="Q91" s="217">
        <v>3096.37</v>
      </c>
      <c r="R91" s="217">
        <v>3096.37</v>
      </c>
      <c r="S91" s="217">
        <v>3096.37</v>
      </c>
      <c r="T91" s="217">
        <f>T92/T90*1000</f>
        <v>3095.7</v>
      </c>
      <c r="U91" s="217">
        <f>U92/U90*1000</f>
        <v>3040.37</v>
      </c>
      <c r="V91" s="218">
        <f>V92/V90*1000</f>
        <v>2926.299</v>
      </c>
      <c r="W91" s="219">
        <f>W92/W90*1000</f>
        <v>-3814.377</v>
      </c>
      <c r="Z91" s="297"/>
    </row>
    <row r="92" spans="1:26" s="185" customFormat="1" ht="18" customHeight="1">
      <c r="A92" s="610"/>
      <c r="B92" s="583"/>
      <c r="C92" s="583"/>
      <c r="D92" s="191" t="str">
        <f>серпень!D92</f>
        <v>сума, тис.грн.</v>
      </c>
      <c r="E92" s="192"/>
      <c r="F92" s="192">
        <v>478.10500000000002</v>
      </c>
      <c r="G92" s="192">
        <v>447.02300000000002</v>
      </c>
      <c r="H92" s="192">
        <v>256.09100000000001</v>
      </c>
      <c r="I92" s="192">
        <v>0</v>
      </c>
      <c r="J92" s="192">
        <v>0</v>
      </c>
      <c r="K92" s="192">
        <v>0</v>
      </c>
      <c r="L92" s="194">
        <f>SUM(F92:K92)</f>
        <v>1181.2190000000001</v>
      </c>
      <c r="M92" s="194">
        <f>L92/6</f>
        <v>196.87</v>
      </c>
      <c r="N92" s="192">
        <v>0</v>
      </c>
      <c r="O92" s="192">
        <v>0</v>
      </c>
      <c r="P92" s="192">
        <v>0</v>
      </c>
      <c r="Q92" s="192">
        <v>0</v>
      </c>
      <c r="R92" s="192">
        <f t="shared" ref="R92" si="162">R90*R91/1000</f>
        <v>109.30200000000001</v>
      </c>
      <c r="S92" s="192">
        <f>S90*S91/1000-0.073</f>
        <v>229.05799999999999</v>
      </c>
      <c r="T92" s="194">
        <f>SUM(N92:S92)</f>
        <v>338.36</v>
      </c>
      <c r="U92" s="171">
        <f>T92+L92</f>
        <v>1519.579</v>
      </c>
      <c r="V92" s="171">
        <f>V94</f>
        <v>1274.6959999999999</v>
      </c>
      <c r="W92" s="192">
        <f>V92-U92</f>
        <v>-244.88300000000001</v>
      </c>
      <c r="Z92" s="297"/>
    </row>
    <row r="93" spans="1:26" s="185" customFormat="1" ht="18" customHeight="1">
      <c r="A93" s="610"/>
      <c r="B93" s="583"/>
      <c r="C93" s="583"/>
      <c r="D93" s="174" t="str">
        <f>серпень!D93</f>
        <v>дотація</v>
      </c>
      <c r="E93" s="210"/>
      <c r="F93" s="192"/>
      <c r="G93" s="192"/>
      <c r="H93" s="192"/>
      <c r="I93" s="192"/>
      <c r="J93" s="192"/>
      <c r="K93" s="192"/>
      <c r="L93" s="194">
        <f>SUM(F93:K93)</f>
        <v>0</v>
      </c>
      <c r="M93" s="194">
        <f>L93/6</f>
        <v>0</v>
      </c>
      <c r="N93" s="192"/>
      <c r="O93" s="192"/>
      <c r="P93" s="192"/>
      <c r="Q93" s="192"/>
      <c r="R93" s="192"/>
      <c r="S93" s="192"/>
      <c r="T93" s="194">
        <f>SUM(N93:S93)</f>
        <v>0</v>
      </c>
      <c r="U93" s="194">
        <f>T93+L93</f>
        <v>0</v>
      </c>
      <c r="V93" s="171"/>
      <c r="W93" s="192">
        <f>V93-U93</f>
        <v>0</v>
      </c>
      <c r="Z93" s="297"/>
    </row>
    <row r="94" spans="1:26" s="185" customFormat="1" ht="18" customHeight="1">
      <c r="A94" s="610"/>
      <c r="B94" s="583"/>
      <c r="C94" s="583"/>
      <c r="D94" s="174" t="str">
        <f>серпень!D94</f>
        <v>місцевий (план), тис.грн</v>
      </c>
      <c r="E94" s="210"/>
      <c r="F94" s="192">
        <f>99.854-99.854</f>
        <v>0</v>
      </c>
      <c r="G94" s="192">
        <f>368.787+43.586</f>
        <v>412.37299999999999</v>
      </c>
      <c r="H94" s="192">
        <f>344.718+102.472</f>
        <v>447.19</v>
      </c>
      <c r="I94" s="192">
        <f>241.42-29.6</f>
        <v>211.82</v>
      </c>
      <c r="J94" s="192">
        <v>0</v>
      </c>
      <c r="K94" s="192">
        <v>0</v>
      </c>
      <c r="L94" s="194">
        <f>SUM(F94:K94)</f>
        <v>1071.383</v>
      </c>
      <c r="M94" s="194">
        <f>L94/6</f>
        <v>178.56399999999999</v>
      </c>
      <c r="N94" s="192">
        <v>0</v>
      </c>
      <c r="O94" s="192">
        <v>0</v>
      </c>
      <c r="P94" s="192">
        <v>0</v>
      </c>
      <c r="Q94" s="192">
        <v>0</v>
      </c>
      <c r="R94" s="192">
        <v>0</v>
      </c>
      <c r="S94" s="192">
        <f>319.771-43.586-102.472+29.6-8.779+8.779</f>
        <v>203.31299999999999</v>
      </c>
      <c r="T94" s="194">
        <f>SUM(N94:S94)</f>
        <v>203.31299999999999</v>
      </c>
      <c r="U94" s="171">
        <f>T94+L94</f>
        <v>1274.6959999999999</v>
      </c>
      <c r="V94" s="488">
        <v>1274.6959999999999</v>
      </c>
      <c r="W94" s="192">
        <f>V94-U94</f>
        <v>0</v>
      </c>
      <c r="Z94" s="297"/>
    </row>
    <row r="95" spans="1:26" s="185" customFormat="1" ht="18" customHeight="1">
      <c r="A95" s="610"/>
      <c r="B95" s="583"/>
      <c r="C95" s="583"/>
      <c r="D95" s="178" t="str">
        <f>серпень!D95</f>
        <v>касові нат.п-ки 2025</v>
      </c>
      <c r="E95" s="179"/>
      <c r="F95" s="184">
        <v>0</v>
      </c>
      <c r="G95" s="184">
        <v>163.4</v>
      </c>
      <c r="H95" s="179">
        <v>144.37</v>
      </c>
      <c r="I95" s="179">
        <v>82.7</v>
      </c>
      <c r="J95" s="179">
        <v>0</v>
      </c>
      <c r="K95" s="179">
        <v>0</v>
      </c>
      <c r="L95" s="215">
        <f>SUM(F95:K95)</f>
        <v>390.5</v>
      </c>
      <c r="M95" s="215">
        <f>L95/6</f>
        <v>65.099999999999994</v>
      </c>
      <c r="N95" s="179"/>
      <c r="O95" s="179"/>
      <c r="P95" s="179"/>
      <c r="Q95" s="179"/>
      <c r="R95" s="179"/>
      <c r="S95" s="179">
        <f>R90+S90</f>
        <v>109.3</v>
      </c>
      <c r="T95" s="215">
        <f>SUM(N95:S95)</f>
        <v>109.3</v>
      </c>
      <c r="U95" s="215">
        <f>T95+L95</f>
        <v>499.8</v>
      </c>
      <c r="V95" s="179">
        <f>V90</f>
        <v>435.6</v>
      </c>
      <c r="W95" s="184">
        <f>V95-U95</f>
        <v>-64.2</v>
      </c>
      <c r="X95" s="185">
        <f>U90-U95</f>
        <v>0</v>
      </c>
      <c r="Z95" s="297"/>
    </row>
    <row r="96" spans="1:26" s="185" customFormat="1" ht="18" customHeight="1">
      <c r="A96" s="610"/>
      <c r="B96" s="583"/>
      <c r="C96" s="583"/>
      <c r="D96" s="187" t="str">
        <f>серпень!D96</f>
        <v>тариф, грн.</v>
      </c>
      <c r="E96" s="188" t="e">
        <f t="shared" ref="E96:K96" si="163">E97/E95*1000</f>
        <v>#DIV/0!</v>
      </c>
      <c r="F96" s="188" t="e">
        <f t="shared" si="163"/>
        <v>#DIV/0!</v>
      </c>
      <c r="G96" s="188">
        <f t="shared" si="163"/>
        <v>2925.9850000000001</v>
      </c>
      <c r="H96" s="188">
        <f t="shared" si="163"/>
        <v>3096.37</v>
      </c>
      <c r="I96" s="188">
        <f t="shared" si="163"/>
        <v>3096.6260000000002</v>
      </c>
      <c r="J96" s="188" t="e">
        <f t="shared" si="163"/>
        <v>#DIV/0!</v>
      </c>
      <c r="K96" s="188" t="e">
        <f t="shared" si="163"/>
        <v>#DIV/0!</v>
      </c>
      <c r="L96" s="217">
        <f t="shared" ref="L96:N96" si="164">L97/L95*1000</f>
        <v>3024.89</v>
      </c>
      <c r="M96" s="217">
        <f t="shared" si="164"/>
        <v>3024.12</v>
      </c>
      <c r="N96" s="217" t="e">
        <f t="shared" si="164"/>
        <v>#DIV/0!</v>
      </c>
      <c r="O96" s="217">
        <v>3096.37</v>
      </c>
      <c r="P96" s="217">
        <v>3096.37</v>
      </c>
      <c r="Q96" s="217">
        <v>3096.37</v>
      </c>
      <c r="R96" s="217">
        <v>3096.37</v>
      </c>
      <c r="S96" s="217">
        <v>3096.37</v>
      </c>
      <c r="T96" s="217">
        <f>T97/T95*1000</f>
        <v>3095.69</v>
      </c>
      <c r="U96" s="217">
        <f>U97/U95*1000</f>
        <v>3040.37</v>
      </c>
      <c r="V96" s="218">
        <f>V97/V95*1000</f>
        <v>2926.299</v>
      </c>
      <c r="W96" s="219">
        <f>W97/W95*1000</f>
        <v>3814.377</v>
      </c>
      <c r="Z96" s="297"/>
    </row>
    <row r="97" spans="1:26" s="176" customFormat="1" ht="18" customHeight="1">
      <c r="A97" s="610"/>
      <c r="B97" s="583"/>
      <c r="C97" s="583"/>
      <c r="D97" s="198" t="str">
        <f>серпень!D97</f>
        <v>касові видатки, тис.грн.</v>
      </c>
      <c r="E97" s="220"/>
      <c r="F97" s="199">
        <v>0</v>
      </c>
      <c r="G97" s="199">
        <v>478.10599999999999</v>
      </c>
      <c r="H97" s="199">
        <v>447.02300000000002</v>
      </c>
      <c r="I97" s="199">
        <v>256.09100000000001</v>
      </c>
      <c r="J97" s="199">
        <v>0</v>
      </c>
      <c r="K97" s="199">
        <v>0</v>
      </c>
      <c r="L97" s="199">
        <f>SUM(F97:K97)</f>
        <v>1181.22</v>
      </c>
      <c r="M97" s="199">
        <f>L97/6</f>
        <v>196.87</v>
      </c>
      <c r="N97" s="199">
        <v>0</v>
      </c>
      <c r="O97" s="199">
        <f t="shared" ref="O97" si="165">O95*O96/1000</f>
        <v>0</v>
      </c>
      <c r="P97" s="199">
        <f t="shared" ref="P97" si="166">P95*P96/1000</f>
        <v>0</v>
      </c>
      <c r="Q97" s="199">
        <f t="shared" ref="Q97" si="167">Q95*Q96/1000</f>
        <v>0</v>
      </c>
      <c r="R97" s="199">
        <f t="shared" ref="R97" si="168">R95*R96/1000</f>
        <v>0</v>
      </c>
      <c r="S97" s="199">
        <f>S95*S96/1000-0.074</f>
        <v>338.35899999999998</v>
      </c>
      <c r="T97" s="199">
        <f>SUM(N97:S97)</f>
        <v>338.35899999999998</v>
      </c>
      <c r="U97" s="199">
        <f>T97+L97</f>
        <v>1519.579</v>
      </c>
      <c r="V97" s="199">
        <f>V92</f>
        <v>1274.6959999999999</v>
      </c>
      <c r="W97" s="221">
        <f>V97-U97</f>
        <v>-244.88300000000001</v>
      </c>
      <c r="X97" s="176">
        <f>U92-U97</f>
        <v>0</v>
      </c>
      <c r="Z97" s="300"/>
    </row>
    <row r="98" spans="1:26" s="176" customFormat="1" ht="18" customHeight="1">
      <c r="A98" s="610"/>
      <c r="B98" s="583"/>
      <c r="C98" s="583"/>
      <c r="D98" s="201" t="str">
        <f>серпень!D98</f>
        <v>дотація</v>
      </c>
      <c r="E98" s="220"/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f>SUM(F98:K98)</f>
        <v>0</v>
      </c>
      <c r="M98" s="199">
        <f>L98/6</f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f>SUM(N98:S98)</f>
        <v>0</v>
      </c>
      <c r="U98" s="199">
        <f>T98+L98</f>
        <v>0</v>
      </c>
      <c r="V98" s="199">
        <f>V93</f>
        <v>0</v>
      </c>
      <c r="W98" s="221">
        <f>V98-U98</f>
        <v>0</v>
      </c>
      <c r="X98" s="176">
        <f>U93-U98</f>
        <v>0</v>
      </c>
      <c r="Z98" s="300"/>
    </row>
    <row r="99" spans="1:26" s="176" customFormat="1" ht="18" customHeight="1">
      <c r="A99" s="610"/>
      <c r="B99" s="583"/>
      <c r="C99" s="583"/>
      <c r="D99" s="201" t="str">
        <f>серпень!D99</f>
        <v xml:space="preserve">місцевий </v>
      </c>
      <c r="E99" s="220"/>
      <c r="F99" s="199">
        <f t="shared" ref="F99:K99" si="169">F97-F98</f>
        <v>0</v>
      </c>
      <c r="G99" s="199">
        <f t="shared" si="169"/>
        <v>478.10599999999999</v>
      </c>
      <c r="H99" s="199">
        <f t="shared" si="169"/>
        <v>447.02300000000002</v>
      </c>
      <c r="I99" s="199">
        <f t="shared" si="169"/>
        <v>256.09100000000001</v>
      </c>
      <c r="J99" s="199">
        <f t="shared" si="169"/>
        <v>0</v>
      </c>
      <c r="K99" s="199">
        <f t="shared" si="169"/>
        <v>0</v>
      </c>
      <c r="L99" s="199">
        <f>SUM(F99:K99)</f>
        <v>1181.22</v>
      </c>
      <c r="M99" s="199">
        <f>L99/6</f>
        <v>196.87</v>
      </c>
      <c r="N99" s="199">
        <f t="shared" ref="N99:S99" si="170">N97-N98</f>
        <v>0</v>
      </c>
      <c r="O99" s="199">
        <f t="shared" si="170"/>
        <v>0</v>
      </c>
      <c r="P99" s="199">
        <f t="shared" si="170"/>
        <v>0</v>
      </c>
      <c r="Q99" s="199">
        <f t="shared" si="170"/>
        <v>0</v>
      </c>
      <c r="R99" s="199">
        <f t="shared" si="170"/>
        <v>0</v>
      </c>
      <c r="S99" s="199">
        <f t="shared" si="170"/>
        <v>338.35899999999998</v>
      </c>
      <c r="T99" s="199">
        <f>SUM(N99:S99)</f>
        <v>338.35899999999998</v>
      </c>
      <c r="U99" s="199">
        <f>T99+L99</f>
        <v>1519.579</v>
      </c>
      <c r="V99" s="199">
        <f>V94</f>
        <v>1274.6959999999999</v>
      </c>
      <c r="W99" s="221">
        <f>V99-U99</f>
        <v>-244.88300000000001</v>
      </c>
      <c r="X99" s="176">
        <f>U94-U99</f>
        <v>-244.88300000000001</v>
      </c>
      <c r="Z99" s="300"/>
    </row>
    <row r="100" spans="1:26" s="205" customFormat="1" ht="18" customHeight="1">
      <c r="A100" s="610"/>
      <c r="B100" s="583"/>
      <c r="C100" s="583"/>
      <c r="D100" s="202" t="str">
        <f>серпень!D100</f>
        <v>план</v>
      </c>
      <c r="E100" s="203"/>
      <c r="F100" s="203">
        <f t="shared" ref="F100:K100" si="171">F93+F94</f>
        <v>0</v>
      </c>
      <c r="G100" s="203">
        <f t="shared" si="171"/>
        <v>412.37299999999999</v>
      </c>
      <c r="H100" s="203">
        <f t="shared" si="171"/>
        <v>447.19</v>
      </c>
      <c r="I100" s="203">
        <f t="shared" si="171"/>
        <v>211.82</v>
      </c>
      <c r="J100" s="203">
        <f t="shared" si="171"/>
        <v>0</v>
      </c>
      <c r="K100" s="203">
        <f t="shared" si="171"/>
        <v>0</v>
      </c>
      <c r="L100" s="203">
        <f>SUM(F100:K100)</f>
        <v>1071.383</v>
      </c>
      <c r="M100" s="203">
        <f>L100/6</f>
        <v>178.56399999999999</v>
      </c>
      <c r="N100" s="203">
        <f t="shared" ref="N100:S100" si="172">N94+N93</f>
        <v>0</v>
      </c>
      <c r="O100" s="203">
        <f t="shared" si="172"/>
        <v>0</v>
      </c>
      <c r="P100" s="203">
        <f t="shared" si="172"/>
        <v>0</v>
      </c>
      <c r="Q100" s="203">
        <f t="shared" si="172"/>
        <v>0</v>
      </c>
      <c r="R100" s="203">
        <f t="shared" si="172"/>
        <v>0</v>
      </c>
      <c r="S100" s="203">
        <f t="shared" si="172"/>
        <v>203.31299999999999</v>
      </c>
      <c r="T100" s="203">
        <f>SUM(N100:S100)</f>
        <v>203.31299999999999</v>
      </c>
      <c r="U100" s="203">
        <f>T100+L100</f>
        <v>1274.6959999999999</v>
      </c>
      <c r="V100" s="203">
        <f>V97</f>
        <v>1274.6959999999999</v>
      </c>
      <c r="W100" s="203">
        <f>V100-U100</f>
        <v>0</v>
      </c>
      <c r="Z100" s="301"/>
    </row>
    <row r="101" spans="1:26" s="205" customFormat="1" ht="18" customHeight="1">
      <c r="A101" s="610"/>
      <c r="B101" s="583"/>
      <c r="C101" s="583"/>
      <c r="D101" s="202" t="str">
        <f>серпень!D101</f>
        <v xml:space="preserve">відхилення </v>
      </c>
      <c r="E101" s="203"/>
      <c r="F101" s="203">
        <f t="shared" ref="F101:K101" si="173">F97-F100</f>
        <v>0</v>
      </c>
      <c r="G101" s="203">
        <f>G97-G100</f>
        <v>65.733000000000004</v>
      </c>
      <c r="H101" s="203">
        <f t="shared" si="173"/>
        <v>-0.16700000000000001</v>
      </c>
      <c r="I101" s="203">
        <f t="shared" si="173"/>
        <v>44.271000000000001</v>
      </c>
      <c r="J101" s="203">
        <f t="shared" si="173"/>
        <v>0</v>
      </c>
      <c r="K101" s="203">
        <f t="shared" si="173"/>
        <v>0</v>
      </c>
      <c r="L101" s="203"/>
      <c r="M101" s="203"/>
      <c r="N101" s="203">
        <f t="shared" ref="N101:S101" si="174">N97-N100</f>
        <v>0</v>
      </c>
      <c r="O101" s="203">
        <f t="shared" si="174"/>
        <v>0</v>
      </c>
      <c r="P101" s="203">
        <f t="shared" si="174"/>
        <v>0</v>
      </c>
      <c r="Q101" s="203">
        <f t="shared" si="174"/>
        <v>0</v>
      </c>
      <c r="R101" s="203">
        <f t="shared" si="174"/>
        <v>0</v>
      </c>
      <c r="S101" s="203">
        <f t="shared" si="174"/>
        <v>135.04599999999999</v>
      </c>
      <c r="T101" s="203"/>
      <c r="U101" s="203"/>
      <c r="V101" s="203"/>
      <c r="W101" s="203"/>
      <c r="Z101" s="301"/>
    </row>
    <row r="102" spans="1:26" s="205" customFormat="1" ht="23.5" customHeight="1">
      <c r="A102" s="610"/>
      <c r="B102" s="583"/>
      <c r="C102" s="584"/>
      <c r="D102" s="202" t="str">
        <f>серпень!D102</f>
        <v>відхилення з наростаючим</v>
      </c>
      <c r="E102" s="203"/>
      <c r="F102" s="203">
        <f>F101</f>
        <v>0</v>
      </c>
      <c r="G102" s="203">
        <f>G101+F102</f>
        <v>65.733000000000004</v>
      </c>
      <c r="H102" s="203">
        <f>H101+G102</f>
        <v>65.566000000000003</v>
      </c>
      <c r="I102" s="203">
        <f>I101+H102</f>
        <v>109.837</v>
      </c>
      <c r="J102" s="203">
        <f>J101+I102</f>
        <v>109.837</v>
      </c>
      <c r="K102" s="203">
        <f>K101+J102</f>
        <v>109.837</v>
      </c>
      <c r="L102" s="203"/>
      <c r="M102" s="203"/>
      <c r="N102" s="203">
        <f>N101+K102</f>
        <v>109.837</v>
      </c>
      <c r="O102" s="203">
        <f>O101+N102</f>
        <v>109.837</v>
      </c>
      <c r="P102" s="203">
        <f>P101+O102</f>
        <v>109.837</v>
      </c>
      <c r="Q102" s="203">
        <f>Q101+P102</f>
        <v>109.837</v>
      </c>
      <c r="R102" s="203">
        <f>R101+Q102</f>
        <v>109.837</v>
      </c>
      <c r="S102" s="203">
        <f>S101+R102</f>
        <v>244.88300000000001</v>
      </c>
      <c r="T102" s="203"/>
      <c r="U102" s="203"/>
      <c r="V102" s="203"/>
      <c r="W102" s="203"/>
      <c r="Z102" s="301"/>
    </row>
    <row r="103" spans="1:26" s="205" customFormat="1" ht="23.5" hidden="1" customHeight="1">
      <c r="A103" s="610"/>
      <c r="B103" s="583"/>
      <c r="C103" s="582" t="s">
        <v>96</v>
      </c>
      <c r="D103" s="178" t="str">
        <f>серпень!D103</f>
        <v>факт. нат.п-ки 2023</v>
      </c>
      <c r="E103" s="179"/>
      <c r="F103" s="184"/>
      <c r="G103" s="184"/>
      <c r="H103" s="179"/>
      <c r="I103" s="179"/>
      <c r="J103" s="179"/>
      <c r="K103" s="179"/>
      <c r="L103" s="215">
        <f>SUM(F103:K103)</f>
        <v>0</v>
      </c>
      <c r="M103" s="215">
        <f>L103/6</f>
        <v>0</v>
      </c>
      <c r="N103" s="179"/>
      <c r="O103" s="179"/>
      <c r="P103" s="179"/>
      <c r="Q103" s="179"/>
      <c r="R103" s="179"/>
      <c r="S103" s="179"/>
      <c r="T103" s="215">
        <f>SUM(N103:S103)</f>
        <v>0</v>
      </c>
      <c r="U103" s="215">
        <f>T103+L103</f>
        <v>0</v>
      </c>
      <c r="V103" s="179"/>
      <c r="W103" s="184"/>
      <c r="Z103" s="301"/>
    </row>
    <row r="104" spans="1:26" s="205" customFormat="1" ht="23.5" hidden="1" customHeight="1">
      <c r="A104" s="610"/>
      <c r="B104" s="583"/>
      <c r="C104" s="583"/>
      <c r="D104" s="178" t="str">
        <f>серпень!D104</f>
        <v>факт. нат.п-ки 2024</v>
      </c>
      <c r="E104" s="179"/>
      <c r="F104" s="184"/>
      <c r="G104" s="184"/>
      <c r="H104" s="179"/>
      <c r="I104" s="179"/>
      <c r="J104" s="179"/>
      <c r="K104" s="179"/>
      <c r="L104" s="215">
        <f>SUM(F104:K104)</f>
        <v>0</v>
      </c>
      <c r="M104" s="215">
        <f>L104/6</f>
        <v>0</v>
      </c>
      <c r="N104" s="179"/>
      <c r="O104" s="179"/>
      <c r="P104" s="179"/>
      <c r="Q104" s="179"/>
      <c r="R104" s="179"/>
      <c r="S104" s="179"/>
      <c r="T104" s="215">
        <f>SUM(N104:S104)</f>
        <v>0</v>
      </c>
      <c r="U104" s="215">
        <f>T104+L104</f>
        <v>0</v>
      </c>
      <c r="V104" s="179"/>
      <c r="W104" s="184"/>
      <c r="Z104" s="301"/>
    </row>
    <row r="105" spans="1:26" s="205" customFormat="1" ht="23.5" hidden="1" customHeight="1">
      <c r="A105" s="610"/>
      <c r="B105" s="583"/>
      <c r="C105" s="583"/>
      <c r="D105" s="178" t="str">
        <f>серпень!D105</f>
        <v>факт. нат.п-ки 2025</v>
      </c>
      <c r="E105" s="179"/>
      <c r="F105" s="184"/>
      <c r="G105" s="184"/>
      <c r="H105" s="179"/>
      <c r="I105" s="216"/>
      <c r="J105" s="179"/>
      <c r="K105" s="179"/>
      <c r="L105" s="215">
        <f>SUM(F105:K105)</f>
        <v>0</v>
      </c>
      <c r="M105" s="215">
        <f>L105/6</f>
        <v>0</v>
      </c>
      <c r="N105" s="179"/>
      <c r="O105" s="179"/>
      <c r="P105" s="179"/>
      <c r="Q105" s="179"/>
      <c r="R105" s="179"/>
      <c r="S105" s="179"/>
      <c r="T105" s="215">
        <f>SUM(N105:S105)</f>
        <v>0</v>
      </c>
      <c r="U105" s="215">
        <f>T105+L105</f>
        <v>0</v>
      </c>
      <c r="V105" s="179"/>
      <c r="W105" s="184">
        <f>U105-V105</f>
        <v>0</v>
      </c>
      <c r="Z105" s="301"/>
    </row>
    <row r="106" spans="1:26" s="205" customFormat="1" ht="23.5" hidden="1" customHeight="1">
      <c r="A106" s="610"/>
      <c r="B106" s="583"/>
      <c r="C106" s="583"/>
      <c r="D106" s="187" t="str">
        <f>серпень!D106</f>
        <v>тариф, грн.</v>
      </c>
      <c r="E106" s="188"/>
      <c r="F106" s="188"/>
      <c r="G106" s="188"/>
      <c r="H106" s="188"/>
      <c r="I106" s="188"/>
      <c r="J106" s="188"/>
      <c r="K106" s="188"/>
      <c r="L106" s="217" t="e">
        <f>L107/L105*1000</f>
        <v>#DIV/0!</v>
      </c>
      <c r="M106" s="217" t="e">
        <f>M107/M105*1000</f>
        <v>#DIV/0!</v>
      </c>
      <c r="N106" s="217"/>
      <c r="O106" s="217"/>
      <c r="P106" s="217"/>
      <c r="Q106" s="218"/>
      <c r="R106" s="218"/>
      <c r="S106" s="218"/>
      <c r="T106" s="217" t="e">
        <f>T107/T105*1000</f>
        <v>#DIV/0!</v>
      </c>
      <c r="U106" s="217" t="e">
        <f>U107/U105*1000</f>
        <v>#DIV/0!</v>
      </c>
      <c r="V106" s="218" t="e">
        <f>V107/V105*1000</f>
        <v>#DIV/0!</v>
      </c>
      <c r="W106" s="219" t="e">
        <f>W107/W105*1000</f>
        <v>#DIV/0!</v>
      </c>
      <c r="Z106" s="301"/>
    </row>
    <row r="107" spans="1:26" s="205" customFormat="1" ht="23.5" hidden="1" customHeight="1">
      <c r="A107" s="610"/>
      <c r="B107" s="583"/>
      <c r="C107" s="583"/>
      <c r="D107" s="191" t="str">
        <f>серпень!D107</f>
        <v>сума, тис.грн.</v>
      </c>
      <c r="E107" s="192"/>
      <c r="F107" s="192"/>
      <c r="G107" s="192"/>
      <c r="H107" s="192"/>
      <c r="I107" s="192"/>
      <c r="J107" s="192"/>
      <c r="K107" s="192"/>
      <c r="L107" s="194">
        <f>SUM(F107:K107)</f>
        <v>0</v>
      </c>
      <c r="M107" s="194">
        <f>L107/6</f>
        <v>0</v>
      </c>
      <c r="N107" s="192"/>
      <c r="O107" s="192"/>
      <c r="P107" s="192"/>
      <c r="Q107" s="192"/>
      <c r="R107" s="192"/>
      <c r="S107" s="192"/>
      <c r="T107" s="194">
        <f>SUM(N107:S107)</f>
        <v>0</v>
      </c>
      <c r="U107" s="194">
        <f>T107+L107</f>
        <v>0</v>
      </c>
      <c r="V107" s="171">
        <f>V108+V109</f>
        <v>0</v>
      </c>
      <c r="W107" s="192">
        <f>V107-U107</f>
        <v>0</v>
      </c>
      <c r="Z107" s="301"/>
    </row>
    <row r="108" spans="1:26" s="205" customFormat="1" ht="23.5" hidden="1" customHeight="1">
      <c r="A108" s="610"/>
      <c r="B108" s="583"/>
      <c r="C108" s="583"/>
      <c r="D108" s="174" t="str">
        <f>серпень!D108</f>
        <v>дотація</v>
      </c>
      <c r="E108" s="210"/>
      <c r="F108" s="192"/>
      <c r="G108" s="192"/>
      <c r="H108" s="192"/>
      <c r="I108" s="192"/>
      <c r="J108" s="192"/>
      <c r="K108" s="192"/>
      <c r="L108" s="194">
        <f>SUM(F108:K108)</f>
        <v>0</v>
      </c>
      <c r="M108" s="194">
        <f>L108/6</f>
        <v>0</v>
      </c>
      <c r="N108" s="192"/>
      <c r="O108" s="192"/>
      <c r="P108" s="192"/>
      <c r="Q108" s="192"/>
      <c r="R108" s="192"/>
      <c r="S108" s="192"/>
      <c r="T108" s="194">
        <f>SUM(N108:S108)</f>
        <v>0</v>
      </c>
      <c r="U108" s="194">
        <f>T108+L108</f>
        <v>0</v>
      </c>
      <c r="V108" s="171"/>
      <c r="W108" s="192">
        <f>V108-U108</f>
        <v>0</v>
      </c>
      <c r="Z108" s="301"/>
    </row>
    <row r="109" spans="1:26" s="205" customFormat="1" ht="23.5" hidden="1" customHeight="1">
      <c r="A109" s="610"/>
      <c r="B109" s="583"/>
      <c r="C109" s="583"/>
      <c r="D109" s="174" t="str">
        <f>серпень!D109</f>
        <v>місцевий (план), тис.грн</v>
      </c>
      <c r="E109" s="210"/>
      <c r="F109" s="192"/>
      <c r="G109" s="192"/>
      <c r="H109" s="192"/>
      <c r="I109" s="192"/>
      <c r="J109" s="192"/>
      <c r="K109" s="192"/>
      <c r="L109" s="194">
        <f>SUM(F109:K109)</f>
        <v>0</v>
      </c>
      <c r="M109" s="194">
        <f>L109/6</f>
        <v>0</v>
      </c>
      <c r="N109" s="192"/>
      <c r="O109" s="192"/>
      <c r="P109" s="192"/>
      <c r="Q109" s="192"/>
      <c r="R109" s="192"/>
      <c r="S109" s="192"/>
      <c r="T109" s="194">
        <f>SUM(N109:S109)</f>
        <v>0</v>
      </c>
      <c r="U109" s="194">
        <f>T109+L109</f>
        <v>0</v>
      </c>
      <c r="V109" s="171">
        <v>0</v>
      </c>
      <c r="W109" s="192">
        <f>V109-U109</f>
        <v>0</v>
      </c>
      <c r="Z109" s="301"/>
    </row>
    <row r="110" spans="1:26" s="205" customFormat="1" ht="23.5" hidden="1" customHeight="1">
      <c r="A110" s="610"/>
      <c r="B110" s="583"/>
      <c r="C110" s="583"/>
      <c r="D110" s="178" t="str">
        <f>серпень!D110</f>
        <v>касові нат.п-ки 2025</v>
      </c>
      <c r="E110" s="179"/>
      <c r="F110" s="184"/>
      <c r="G110" s="184"/>
      <c r="H110" s="179"/>
      <c r="I110" s="179"/>
      <c r="J110" s="216"/>
      <c r="K110" s="179"/>
      <c r="L110" s="215">
        <f>SUM(F110:K110)</f>
        <v>0</v>
      </c>
      <c r="M110" s="215">
        <f>L110/6</f>
        <v>0</v>
      </c>
      <c r="N110" s="179"/>
      <c r="O110" s="179"/>
      <c r="P110" s="179"/>
      <c r="Q110" s="179"/>
      <c r="R110" s="179"/>
      <c r="S110" s="179"/>
      <c r="T110" s="215">
        <f>SUM(N110:S110)</f>
        <v>0</v>
      </c>
      <c r="U110" s="215">
        <f>T110+L110</f>
        <v>0</v>
      </c>
      <c r="V110" s="179">
        <f>V105</f>
        <v>0</v>
      </c>
      <c r="W110" s="184">
        <f>V110-U110</f>
        <v>0</v>
      </c>
      <c r="X110" s="185">
        <f>U105-U110</f>
        <v>0</v>
      </c>
      <c r="Z110" s="301"/>
    </row>
    <row r="111" spans="1:26" s="205" customFormat="1" ht="23.5" hidden="1" customHeight="1">
      <c r="A111" s="610"/>
      <c r="B111" s="583"/>
      <c r="C111" s="583"/>
      <c r="D111" s="187" t="str">
        <f>серпень!D111</f>
        <v>тариф, грн.</v>
      </c>
      <c r="E111" s="188" t="e">
        <f t="shared" ref="E111" si="175">E112/E110*1000</f>
        <v>#DIV/0!</v>
      </c>
      <c r="F111" s="188"/>
      <c r="G111" s="188"/>
      <c r="H111" s="188"/>
      <c r="I111" s="188"/>
      <c r="J111" s="188"/>
      <c r="K111" s="188"/>
      <c r="L111" s="217" t="e">
        <f>L112/L110*1000</f>
        <v>#DIV/0!</v>
      </c>
      <c r="M111" s="217" t="e">
        <f>M112/M110*1000</f>
        <v>#DIV/0!</v>
      </c>
      <c r="N111" s="188"/>
      <c r="O111" s="188"/>
      <c r="P111" s="188"/>
      <c r="Q111" s="188"/>
      <c r="R111" s="218"/>
      <c r="S111" s="218"/>
      <c r="T111" s="217" t="e">
        <f>T112/T110*1000</f>
        <v>#DIV/0!</v>
      </c>
      <c r="U111" s="217" t="e">
        <f>U112/U110*1000</f>
        <v>#DIV/0!</v>
      </c>
      <c r="V111" s="218" t="e">
        <f>V112/V110*1000</f>
        <v>#DIV/0!</v>
      </c>
      <c r="W111" s="219" t="e">
        <f>W112/W110*1000</f>
        <v>#DIV/0!</v>
      </c>
      <c r="X111" s="185"/>
      <c r="Z111" s="301"/>
    </row>
    <row r="112" spans="1:26" s="205" customFormat="1" ht="23.5" hidden="1" customHeight="1">
      <c r="A112" s="610"/>
      <c r="B112" s="583"/>
      <c r="C112" s="583"/>
      <c r="D112" s="198" t="str">
        <f>серпень!D112</f>
        <v>касові видатки, тис.грн.</v>
      </c>
      <c r="E112" s="220"/>
      <c r="F112" s="199"/>
      <c r="G112" s="199"/>
      <c r="H112" s="199"/>
      <c r="I112" s="199"/>
      <c r="J112" s="199"/>
      <c r="K112" s="199"/>
      <c r="L112" s="199">
        <f>SUM(F112:K112)</f>
        <v>0</v>
      </c>
      <c r="M112" s="199">
        <f>L112/6</f>
        <v>0</v>
      </c>
      <c r="N112" s="199"/>
      <c r="O112" s="199"/>
      <c r="P112" s="199"/>
      <c r="Q112" s="199"/>
      <c r="R112" s="199"/>
      <c r="S112" s="199"/>
      <c r="T112" s="199">
        <f>SUM(N112:S112)</f>
        <v>0</v>
      </c>
      <c r="U112" s="199">
        <f>T112+L112</f>
        <v>0</v>
      </c>
      <c r="V112" s="199">
        <f>V107</f>
        <v>0</v>
      </c>
      <c r="W112" s="221">
        <f>V112-U112</f>
        <v>0</v>
      </c>
      <c r="X112" s="176">
        <f>U107-U112</f>
        <v>0</v>
      </c>
      <c r="Z112" s="301"/>
    </row>
    <row r="113" spans="1:26" s="205" customFormat="1" ht="23.5" hidden="1" customHeight="1">
      <c r="A113" s="610"/>
      <c r="B113" s="583"/>
      <c r="C113" s="583"/>
      <c r="D113" s="201" t="str">
        <f>серпень!D113</f>
        <v>дотація</v>
      </c>
      <c r="E113" s="220"/>
      <c r="F113" s="199">
        <v>0</v>
      </c>
      <c r="G113" s="199">
        <v>0</v>
      </c>
      <c r="H113" s="199">
        <v>0</v>
      </c>
      <c r="I113" s="199">
        <v>0</v>
      </c>
      <c r="J113" s="199">
        <v>0</v>
      </c>
      <c r="K113" s="199">
        <v>0</v>
      </c>
      <c r="L113" s="199">
        <f>SUM(F113:K113)</f>
        <v>0</v>
      </c>
      <c r="M113" s="199">
        <f>L113/6</f>
        <v>0</v>
      </c>
      <c r="N113" s="199">
        <v>0</v>
      </c>
      <c r="O113" s="199">
        <v>0</v>
      </c>
      <c r="P113" s="199">
        <v>0</v>
      </c>
      <c r="Q113" s="199">
        <v>0</v>
      </c>
      <c r="R113" s="199">
        <v>0</v>
      </c>
      <c r="S113" s="199">
        <v>0</v>
      </c>
      <c r="T113" s="199">
        <f>SUM(N113:S113)</f>
        <v>0</v>
      </c>
      <c r="U113" s="199">
        <f>T113+L113</f>
        <v>0</v>
      </c>
      <c r="V113" s="199">
        <f>V108</f>
        <v>0</v>
      </c>
      <c r="W113" s="221">
        <f>V113-U113</f>
        <v>0</v>
      </c>
      <c r="X113" s="176">
        <f>U108-U113</f>
        <v>0</v>
      </c>
      <c r="Z113" s="301"/>
    </row>
    <row r="114" spans="1:26" s="205" customFormat="1" ht="23.5" hidden="1" customHeight="1">
      <c r="A114" s="610"/>
      <c r="B114" s="583"/>
      <c r="C114" s="583"/>
      <c r="D114" s="201" t="str">
        <f>серпень!D114</f>
        <v xml:space="preserve">місцевий </v>
      </c>
      <c r="E114" s="220"/>
      <c r="F114" s="199">
        <f t="shared" ref="F114:K114" si="176">F112-F113</f>
        <v>0</v>
      </c>
      <c r="G114" s="199">
        <f t="shared" si="176"/>
        <v>0</v>
      </c>
      <c r="H114" s="199">
        <f t="shared" si="176"/>
        <v>0</v>
      </c>
      <c r="I114" s="199">
        <f t="shared" si="176"/>
        <v>0</v>
      </c>
      <c r="J114" s="199">
        <f t="shared" si="176"/>
        <v>0</v>
      </c>
      <c r="K114" s="199">
        <f t="shared" si="176"/>
        <v>0</v>
      </c>
      <c r="L114" s="199">
        <f>SUM(F114:K114)</f>
        <v>0</v>
      </c>
      <c r="M114" s="199">
        <f>L114/6</f>
        <v>0</v>
      </c>
      <c r="N114" s="199">
        <f t="shared" ref="N114:S114" si="177">N112-N113</f>
        <v>0</v>
      </c>
      <c r="O114" s="199">
        <f t="shared" si="177"/>
        <v>0</v>
      </c>
      <c r="P114" s="199">
        <f t="shared" si="177"/>
        <v>0</v>
      </c>
      <c r="Q114" s="199">
        <f t="shared" si="177"/>
        <v>0</v>
      </c>
      <c r="R114" s="199">
        <f t="shared" si="177"/>
        <v>0</v>
      </c>
      <c r="S114" s="199">
        <f t="shared" si="177"/>
        <v>0</v>
      </c>
      <c r="T114" s="199">
        <f>SUM(N114:S114)</f>
        <v>0</v>
      </c>
      <c r="U114" s="199">
        <f>T114+L114</f>
        <v>0</v>
      </c>
      <c r="V114" s="199">
        <f>V109</f>
        <v>0</v>
      </c>
      <c r="W114" s="221">
        <f>V114-U114</f>
        <v>0</v>
      </c>
      <c r="X114" s="176">
        <f>U109-U114</f>
        <v>0</v>
      </c>
      <c r="Z114" s="301"/>
    </row>
    <row r="115" spans="1:26" s="205" customFormat="1" ht="23.5" hidden="1" customHeight="1">
      <c r="A115" s="610"/>
      <c r="B115" s="583"/>
      <c r="C115" s="583"/>
      <c r="D115" s="202" t="str">
        <f>серпень!D115</f>
        <v>план</v>
      </c>
      <c r="E115" s="203"/>
      <c r="F115" s="203">
        <f t="shared" ref="F115:K115" si="178">F108+F109</f>
        <v>0</v>
      </c>
      <c r="G115" s="203">
        <f t="shared" si="178"/>
        <v>0</v>
      </c>
      <c r="H115" s="203">
        <f t="shared" si="178"/>
        <v>0</v>
      </c>
      <c r="I115" s="203">
        <f t="shared" si="178"/>
        <v>0</v>
      </c>
      <c r="J115" s="203">
        <f t="shared" si="178"/>
        <v>0</v>
      </c>
      <c r="K115" s="203">
        <f t="shared" si="178"/>
        <v>0</v>
      </c>
      <c r="L115" s="203">
        <f>SUM(F115:K115)</f>
        <v>0</v>
      </c>
      <c r="M115" s="203">
        <f>L115/6</f>
        <v>0</v>
      </c>
      <c r="N115" s="203">
        <f t="shared" ref="N115:S115" si="179">N109+N108</f>
        <v>0</v>
      </c>
      <c r="O115" s="203">
        <f t="shared" si="179"/>
        <v>0</v>
      </c>
      <c r="P115" s="203">
        <f t="shared" si="179"/>
        <v>0</v>
      </c>
      <c r="Q115" s="203">
        <f t="shared" si="179"/>
        <v>0</v>
      </c>
      <c r="R115" s="203">
        <f t="shared" si="179"/>
        <v>0</v>
      </c>
      <c r="S115" s="203">
        <f t="shared" si="179"/>
        <v>0</v>
      </c>
      <c r="T115" s="203">
        <f>SUM(N115:S115)</f>
        <v>0</v>
      </c>
      <c r="U115" s="203">
        <f>T115+L115</f>
        <v>0</v>
      </c>
      <c r="V115" s="203">
        <f>V112</f>
        <v>0</v>
      </c>
      <c r="W115" s="203">
        <f>V115-U115</f>
        <v>0</v>
      </c>
      <c r="Z115" s="301"/>
    </row>
    <row r="116" spans="1:26" s="205" customFormat="1" ht="23.5" hidden="1" customHeight="1">
      <c r="A116" s="610"/>
      <c r="B116" s="583"/>
      <c r="C116" s="583"/>
      <c r="D116" s="202" t="str">
        <f>серпень!D116</f>
        <v xml:space="preserve">відхилення </v>
      </c>
      <c r="E116" s="203"/>
      <c r="F116" s="203">
        <f t="shared" ref="F116:K116" si="180">F112-F115</f>
        <v>0</v>
      </c>
      <c r="G116" s="203">
        <f t="shared" si="180"/>
        <v>0</v>
      </c>
      <c r="H116" s="203">
        <f t="shared" si="180"/>
        <v>0</v>
      </c>
      <c r="I116" s="203">
        <f t="shared" si="180"/>
        <v>0</v>
      </c>
      <c r="J116" s="203">
        <f t="shared" si="180"/>
        <v>0</v>
      </c>
      <c r="K116" s="203">
        <f t="shared" si="180"/>
        <v>0</v>
      </c>
      <c r="L116" s="203"/>
      <c r="M116" s="203"/>
      <c r="N116" s="203">
        <f t="shared" ref="N116:S116" si="181">N112-N115</f>
        <v>0</v>
      </c>
      <c r="O116" s="203">
        <f t="shared" si="181"/>
        <v>0</v>
      </c>
      <c r="P116" s="203">
        <f t="shared" si="181"/>
        <v>0</v>
      </c>
      <c r="Q116" s="203">
        <f t="shared" si="181"/>
        <v>0</v>
      </c>
      <c r="R116" s="203">
        <f t="shared" si="181"/>
        <v>0</v>
      </c>
      <c r="S116" s="203">
        <f t="shared" si="181"/>
        <v>0</v>
      </c>
      <c r="T116" s="203"/>
      <c r="U116" s="203"/>
      <c r="V116" s="203"/>
      <c r="W116" s="203"/>
      <c r="Z116" s="301"/>
    </row>
    <row r="117" spans="1:26" s="205" customFormat="1" ht="23.5" hidden="1" customHeight="1">
      <c r="A117" s="610"/>
      <c r="B117" s="583"/>
      <c r="C117" s="584"/>
      <c r="D117" s="202" t="str">
        <f>серпень!D117</f>
        <v>відхилення з наростаючим</v>
      </c>
      <c r="E117" s="203"/>
      <c r="F117" s="203">
        <f>F116</f>
        <v>0</v>
      </c>
      <c r="G117" s="203">
        <f>G116+F117</f>
        <v>0</v>
      </c>
      <c r="H117" s="203">
        <f>H116+G117</f>
        <v>0</v>
      </c>
      <c r="I117" s="203">
        <f>I116+H117</f>
        <v>0</v>
      </c>
      <c r="J117" s="203">
        <f>J116+I117</f>
        <v>0</v>
      </c>
      <c r="K117" s="203">
        <f>K116+J117</f>
        <v>0</v>
      </c>
      <c r="L117" s="203"/>
      <c r="M117" s="203"/>
      <c r="N117" s="203">
        <f>N116+K117</f>
        <v>0</v>
      </c>
      <c r="O117" s="203">
        <f>O116+N117</f>
        <v>0</v>
      </c>
      <c r="P117" s="203">
        <f>P116+O117</f>
        <v>0</v>
      </c>
      <c r="Q117" s="203">
        <f>Q116+P117</f>
        <v>0</v>
      </c>
      <c r="R117" s="203">
        <f>R116+Q117</f>
        <v>0</v>
      </c>
      <c r="S117" s="203">
        <f>S116+R117</f>
        <v>0</v>
      </c>
      <c r="T117" s="203"/>
      <c r="U117" s="203"/>
      <c r="V117" s="203"/>
      <c r="W117" s="203"/>
      <c r="Z117" s="301"/>
    </row>
    <row r="118" spans="1:26" s="214" customFormat="1" ht="18" hidden="1" customHeight="1">
      <c r="A118" s="610"/>
      <c r="B118" s="581" t="s">
        <v>57</v>
      </c>
      <c r="C118" s="582" t="s">
        <v>98</v>
      </c>
      <c r="D118" s="178" t="str">
        <f>серпень!D118</f>
        <v>факт. нат.п-ки 2023</v>
      </c>
      <c r="E118" s="179"/>
      <c r="F118" s="184"/>
      <c r="G118" s="184"/>
      <c r="H118" s="179"/>
      <c r="I118" s="179"/>
      <c r="J118" s="179"/>
      <c r="K118" s="179"/>
      <c r="L118" s="215">
        <f>SUM(F118:K118)</f>
        <v>0</v>
      </c>
      <c r="M118" s="215">
        <f>L118/6</f>
        <v>0</v>
      </c>
      <c r="N118" s="179"/>
      <c r="O118" s="179"/>
      <c r="P118" s="179"/>
      <c r="Q118" s="179"/>
      <c r="R118" s="179"/>
      <c r="S118" s="179"/>
      <c r="T118" s="215">
        <f>SUM(N118:S118)</f>
        <v>0</v>
      </c>
      <c r="U118" s="215">
        <f>T118+L118</f>
        <v>0</v>
      </c>
      <c r="V118" s="179"/>
      <c r="W118" s="184"/>
      <c r="Z118" s="303"/>
    </row>
    <row r="119" spans="1:26" s="214" customFormat="1" ht="18" hidden="1" customHeight="1">
      <c r="A119" s="610"/>
      <c r="B119" s="581"/>
      <c r="C119" s="583"/>
      <c r="D119" s="178" t="str">
        <f>серпень!D119</f>
        <v>факт. нат.п-ки 2024</v>
      </c>
      <c r="E119" s="179"/>
      <c r="F119" s="184"/>
      <c r="G119" s="184"/>
      <c r="H119" s="179"/>
      <c r="I119" s="179"/>
      <c r="J119" s="179"/>
      <c r="K119" s="179"/>
      <c r="L119" s="215">
        <f>SUM(F119:K119)</f>
        <v>0</v>
      </c>
      <c r="M119" s="215">
        <f>L119/6</f>
        <v>0</v>
      </c>
      <c r="N119" s="179"/>
      <c r="O119" s="179"/>
      <c r="P119" s="179"/>
      <c r="Q119" s="179"/>
      <c r="R119" s="179"/>
      <c r="S119" s="179"/>
      <c r="T119" s="215">
        <f>SUM(N119:S119)</f>
        <v>0</v>
      </c>
      <c r="U119" s="215">
        <f>T119+L119</f>
        <v>0</v>
      </c>
      <c r="V119" s="179"/>
      <c r="W119" s="184"/>
      <c r="Z119" s="303"/>
    </row>
    <row r="120" spans="1:26" s="214" customFormat="1" ht="18" hidden="1" customHeight="1">
      <c r="A120" s="610"/>
      <c r="B120" s="581"/>
      <c r="C120" s="583"/>
      <c r="D120" s="178" t="str">
        <f>серпень!D120</f>
        <v>факт. нат.п-ки 2025</v>
      </c>
      <c r="E120" s="179"/>
      <c r="F120" s="184"/>
      <c r="G120" s="184"/>
      <c r="H120" s="179"/>
      <c r="I120" s="216"/>
      <c r="J120" s="179"/>
      <c r="K120" s="179"/>
      <c r="L120" s="215">
        <f>SUM(F120:K120)</f>
        <v>0</v>
      </c>
      <c r="M120" s="215">
        <f>L120/6</f>
        <v>0</v>
      </c>
      <c r="N120" s="179"/>
      <c r="O120" s="179"/>
      <c r="P120" s="179"/>
      <c r="Q120" s="179"/>
      <c r="R120" s="179"/>
      <c r="S120" s="179"/>
      <c r="T120" s="215">
        <f>SUM(N120:S120)</f>
        <v>0</v>
      </c>
      <c r="U120" s="215">
        <f>T120+L120</f>
        <v>0</v>
      </c>
      <c r="V120" s="179"/>
      <c r="W120" s="184">
        <f>U120-V120</f>
        <v>0</v>
      </c>
      <c r="Z120" s="303"/>
    </row>
    <row r="121" spans="1:26" s="214" customFormat="1" ht="18" hidden="1" customHeight="1">
      <c r="A121" s="610"/>
      <c r="B121" s="581"/>
      <c r="C121" s="583"/>
      <c r="D121" s="187" t="str">
        <f>серпень!D121</f>
        <v>тариф, грн.</v>
      </c>
      <c r="E121" s="188"/>
      <c r="F121" s="188"/>
      <c r="G121" s="188"/>
      <c r="H121" s="188"/>
      <c r="I121" s="188"/>
      <c r="J121" s="188"/>
      <c r="K121" s="188"/>
      <c r="L121" s="217" t="e">
        <f>L122/L120*1000</f>
        <v>#DIV/0!</v>
      </c>
      <c r="M121" s="217" t="e">
        <f>M122/M120*1000</f>
        <v>#DIV/0!</v>
      </c>
      <c r="N121" s="188"/>
      <c r="O121" s="188"/>
      <c r="P121" s="218"/>
      <c r="Q121" s="218"/>
      <c r="R121" s="218"/>
      <c r="S121" s="218"/>
      <c r="T121" s="217" t="e">
        <f>T122/T120*1000</f>
        <v>#DIV/0!</v>
      </c>
      <c r="U121" s="217" t="e">
        <f>U122/U120*1000</f>
        <v>#DIV/0!</v>
      </c>
      <c r="V121" s="218" t="e">
        <f>V122/V120*1000</f>
        <v>#DIV/0!</v>
      </c>
      <c r="W121" s="219" t="e">
        <f>W122/W120*1000</f>
        <v>#DIV/0!</v>
      </c>
      <c r="Z121" s="303"/>
    </row>
    <row r="122" spans="1:26" s="214" customFormat="1" ht="18" hidden="1" customHeight="1">
      <c r="A122" s="610"/>
      <c r="B122" s="581"/>
      <c r="C122" s="583"/>
      <c r="D122" s="191" t="str">
        <f>серпень!D122</f>
        <v>сума, тис.грн.</v>
      </c>
      <c r="E122" s="192"/>
      <c r="F122" s="192"/>
      <c r="G122" s="192"/>
      <c r="H122" s="192"/>
      <c r="I122" s="192"/>
      <c r="J122" s="192"/>
      <c r="K122" s="192"/>
      <c r="L122" s="194">
        <f>SUM(F122:K122)</f>
        <v>0</v>
      </c>
      <c r="M122" s="194">
        <f>L122/6</f>
        <v>0</v>
      </c>
      <c r="N122" s="192"/>
      <c r="O122" s="192"/>
      <c r="P122" s="192"/>
      <c r="Q122" s="192"/>
      <c r="R122" s="192"/>
      <c r="S122" s="192"/>
      <c r="T122" s="194">
        <f>SUM(N122:S122)</f>
        <v>0</v>
      </c>
      <c r="U122" s="194">
        <f>T122+L122</f>
        <v>0</v>
      </c>
      <c r="V122" s="171">
        <f>V123+V124</f>
        <v>0</v>
      </c>
      <c r="W122" s="192">
        <f>V122-U122</f>
        <v>0</v>
      </c>
      <c r="Z122" s="303"/>
    </row>
    <row r="123" spans="1:26" s="214" customFormat="1" ht="18" hidden="1" customHeight="1">
      <c r="A123" s="610"/>
      <c r="B123" s="581"/>
      <c r="C123" s="583"/>
      <c r="D123" s="174" t="str">
        <f>серпень!D123</f>
        <v>дотація</v>
      </c>
      <c r="E123" s="210"/>
      <c r="F123" s="192"/>
      <c r="G123" s="192"/>
      <c r="H123" s="192"/>
      <c r="I123" s="192"/>
      <c r="J123" s="192"/>
      <c r="K123" s="192"/>
      <c r="L123" s="194">
        <f>SUM(F123:K123)</f>
        <v>0</v>
      </c>
      <c r="M123" s="194">
        <f>L123/6</f>
        <v>0</v>
      </c>
      <c r="N123" s="192"/>
      <c r="O123" s="192"/>
      <c r="P123" s="192"/>
      <c r="Q123" s="192"/>
      <c r="R123" s="192"/>
      <c r="S123" s="192"/>
      <c r="T123" s="194">
        <f>SUM(N123:S123)</f>
        <v>0</v>
      </c>
      <c r="U123" s="194">
        <f>T123+L123</f>
        <v>0</v>
      </c>
      <c r="V123" s="171"/>
      <c r="W123" s="192">
        <f>V123-U123</f>
        <v>0</v>
      </c>
      <c r="Z123" s="303"/>
    </row>
    <row r="124" spans="1:26" s="214" customFormat="1" ht="18" hidden="1" customHeight="1">
      <c r="A124" s="610"/>
      <c r="B124" s="581"/>
      <c r="C124" s="583"/>
      <c r="D124" s="174" t="str">
        <f>серпень!D124</f>
        <v>місцевий (план), тис.грн</v>
      </c>
      <c r="E124" s="210"/>
      <c r="F124" s="192"/>
      <c r="G124" s="192"/>
      <c r="H124" s="192"/>
      <c r="I124" s="192"/>
      <c r="J124" s="192"/>
      <c r="K124" s="192"/>
      <c r="L124" s="194">
        <f>SUM(F124:K124)</f>
        <v>0</v>
      </c>
      <c r="M124" s="194">
        <f>L124/6</f>
        <v>0</v>
      </c>
      <c r="N124" s="192"/>
      <c r="O124" s="192"/>
      <c r="P124" s="192"/>
      <c r="Q124" s="192"/>
      <c r="R124" s="192"/>
      <c r="S124" s="192"/>
      <c r="T124" s="194">
        <f>SUM(N124:S124)</f>
        <v>0</v>
      </c>
      <c r="U124" s="194">
        <f>T124+L124</f>
        <v>0</v>
      </c>
      <c r="V124" s="171"/>
      <c r="W124" s="192">
        <f>V124-U124</f>
        <v>0</v>
      </c>
      <c r="Z124" s="303"/>
    </row>
    <row r="125" spans="1:26" s="214" customFormat="1" ht="18" hidden="1" customHeight="1">
      <c r="A125" s="610"/>
      <c r="B125" s="581"/>
      <c r="C125" s="583"/>
      <c r="D125" s="178" t="str">
        <f>серпень!D125</f>
        <v>касові нат.п-ки 2025</v>
      </c>
      <c r="E125" s="179"/>
      <c r="F125" s="184"/>
      <c r="G125" s="184"/>
      <c r="H125" s="179"/>
      <c r="I125" s="179"/>
      <c r="J125" s="216"/>
      <c r="K125" s="179"/>
      <c r="L125" s="215">
        <f>SUM(F125:K125)</f>
        <v>0</v>
      </c>
      <c r="M125" s="215">
        <f>L125/6</f>
        <v>0</v>
      </c>
      <c r="N125" s="179"/>
      <c r="O125" s="179"/>
      <c r="P125" s="179"/>
      <c r="Q125" s="179"/>
      <c r="R125" s="179"/>
      <c r="S125" s="179"/>
      <c r="T125" s="215">
        <f>SUM(N125:S125)</f>
        <v>0</v>
      </c>
      <c r="U125" s="215">
        <f>T125+L125</f>
        <v>0</v>
      </c>
      <c r="V125" s="179">
        <f>V120</f>
        <v>0</v>
      </c>
      <c r="W125" s="184">
        <f>V125-U125</f>
        <v>0</v>
      </c>
      <c r="X125" s="185">
        <f>U120-U125</f>
        <v>0</v>
      </c>
      <c r="Z125" s="303"/>
    </row>
    <row r="126" spans="1:26" s="214" customFormat="1" ht="18" hidden="1" customHeight="1">
      <c r="A126" s="610"/>
      <c r="B126" s="581"/>
      <c r="C126" s="583"/>
      <c r="D126" s="187" t="str">
        <f>серпень!D126</f>
        <v>тариф, грн.</v>
      </c>
      <c r="E126" s="188" t="e">
        <f t="shared" ref="E126" si="182">E127/E125*1000</f>
        <v>#DIV/0!</v>
      </c>
      <c r="F126" s="188"/>
      <c r="G126" s="188"/>
      <c r="H126" s="188"/>
      <c r="I126" s="188"/>
      <c r="J126" s="188"/>
      <c r="K126" s="188"/>
      <c r="L126" s="217" t="e">
        <f>L127/L125*1000</f>
        <v>#DIV/0!</v>
      </c>
      <c r="M126" s="217" t="e">
        <f>M127/M125*1000</f>
        <v>#DIV/0!</v>
      </c>
      <c r="N126" s="188"/>
      <c r="O126" s="188"/>
      <c r="P126" s="188"/>
      <c r="Q126" s="218"/>
      <c r="R126" s="218"/>
      <c r="S126" s="218"/>
      <c r="T126" s="217" t="e">
        <f>T127/T125*1000</f>
        <v>#DIV/0!</v>
      </c>
      <c r="U126" s="217" t="e">
        <f>U127/U125*1000</f>
        <v>#DIV/0!</v>
      </c>
      <c r="V126" s="218" t="e">
        <f>V127/V125*1000</f>
        <v>#DIV/0!</v>
      </c>
      <c r="W126" s="219" t="e">
        <f>W127/W125*1000</f>
        <v>#DIV/0!</v>
      </c>
      <c r="X126" s="185"/>
      <c r="Z126" s="303"/>
    </row>
    <row r="127" spans="1:26" s="214" customFormat="1" ht="18" hidden="1" customHeight="1">
      <c r="A127" s="610"/>
      <c r="B127" s="581"/>
      <c r="C127" s="583"/>
      <c r="D127" s="198" t="str">
        <f>серпень!D127</f>
        <v>касові видатки, тис.грн.</v>
      </c>
      <c r="E127" s="220"/>
      <c r="F127" s="199"/>
      <c r="G127" s="199"/>
      <c r="H127" s="199"/>
      <c r="I127" s="199"/>
      <c r="J127" s="199"/>
      <c r="K127" s="199"/>
      <c r="L127" s="199">
        <f>SUM(F127:K127)</f>
        <v>0</v>
      </c>
      <c r="M127" s="199">
        <f>L127/6</f>
        <v>0</v>
      </c>
      <c r="N127" s="199"/>
      <c r="O127" s="199"/>
      <c r="P127" s="199"/>
      <c r="Q127" s="199"/>
      <c r="R127" s="199"/>
      <c r="S127" s="199"/>
      <c r="T127" s="199">
        <f>SUM(N127:S127)</f>
        <v>0</v>
      </c>
      <c r="U127" s="199">
        <f>T127+L127</f>
        <v>0</v>
      </c>
      <c r="V127" s="199">
        <f>V122</f>
        <v>0</v>
      </c>
      <c r="W127" s="221">
        <f>V127-U127</f>
        <v>0</v>
      </c>
      <c r="X127" s="176">
        <f>U122-U127</f>
        <v>0</v>
      </c>
      <c r="Z127" s="303"/>
    </row>
    <row r="128" spans="1:26" s="214" customFormat="1" ht="18" hidden="1" customHeight="1">
      <c r="A128" s="610"/>
      <c r="B128" s="581"/>
      <c r="C128" s="583"/>
      <c r="D128" s="201" t="str">
        <f>серпень!D128</f>
        <v>дотація</v>
      </c>
      <c r="E128" s="220"/>
      <c r="F128" s="199">
        <v>0</v>
      </c>
      <c r="G128" s="199">
        <v>0</v>
      </c>
      <c r="H128" s="199">
        <v>0</v>
      </c>
      <c r="I128" s="199">
        <v>0</v>
      </c>
      <c r="J128" s="199">
        <v>0</v>
      </c>
      <c r="K128" s="199">
        <v>0</v>
      </c>
      <c r="L128" s="199">
        <f>SUM(F128:K128)</f>
        <v>0</v>
      </c>
      <c r="M128" s="199">
        <f>L128/6</f>
        <v>0</v>
      </c>
      <c r="N128" s="199">
        <v>0</v>
      </c>
      <c r="O128" s="199">
        <v>0</v>
      </c>
      <c r="P128" s="199">
        <v>0</v>
      </c>
      <c r="Q128" s="199">
        <v>0</v>
      </c>
      <c r="R128" s="199">
        <v>0</v>
      </c>
      <c r="S128" s="199">
        <v>0</v>
      </c>
      <c r="T128" s="199">
        <f>SUM(N128:S128)</f>
        <v>0</v>
      </c>
      <c r="U128" s="199">
        <f>T128+L128</f>
        <v>0</v>
      </c>
      <c r="V128" s="199">
        <f>V123</f>
        <v>0</v>
      </c>
      <c r="W128" s="221">
        <f>V128-U128</f>
        <v>0</v>
      </c>
      <c r="X128" s="176">
        <f>U123-U128</f>
        <v>0</v>
      </c>
      <c r="Z128" s="303"/>
    </row>
    <row r="129" spans="1:26" s="214" customFormat="1" ht="18" hidden="1" customHeight="1">
      <c r="A129" s="610"/>
      <c r="B129" s="581"/>
      <c r="C129" s="583"/>
      <c r="D129" s="201" t="str">
        <f>серпень!D129</f>
        <v xml:space="preserve">місцевий </v>
      </c>
      <c r="E129" s="220"/>
      <c r="F129" s="199">
        <f t="shared" ref="F129:K129" si="183">F127-F128</f>
        <v>0</v>
      </c>
      <c r="G129" s="199">
        <f t="shared" si="183"/>
        <v>0</v>
      </c>
      <c r="H129" s="199">
        <f t="shared" si="183"/>
        <v>0</v>
      </c>
      <c r="I129" s="199">
        <f t="shared" si="183"/>
        <v>0</v>
      </c>
      <c r="J129" s="199">
        <f t="shared" si="183"/>
        <v>0</v>
      </c>
      <c r="K129" s="199">
        <f t="shared" si="183"/>
        <v>0</v>
      </c>
      <c r="L129" s="199">
        <f>SUM(F129:K129)</f>
        <v>0</v>
      </c>
      <c r="M129" s="199">
        <f>L129/6</f>
        <v>0</v>
      </c>
      <c r="N129" s="199">
        <f t="shared" ref="N129:S129" si="184">N127-N128</f>
        <v>0</v>
      </c>
      <c r="O129" s="199">
        <f t="shared" si="184"/>
        <v>0</v>
      </c>
      <c r="P129" s="199">
        <f t="shared" si="184"/>
        <v>0</v>
      </c>
      <c r="Q129" s="199">
        <f t="shared" si="184"/>
        <v>0</v>
      </c>
      <c r="R129" s="199">
        <f t="shared" si="184"/>
        <v>0</v>
      </c>
      <c r="S129" s="199">
        <f t="shared" si="184"/>
        <v>0</v>
      </c>
      <c r="T129" s="199">
        <f>SUM(N129:S129)</f>
        <v>0</v>
      </c>
      <c r="U129" s="199">
        <f>T129+L129</f>
        <v>0</v>
      </c>
      <c r="V129" s="199">
        <f>V124</f>
        <v>0</v>
      </c>
      <c r="W129" s="221">
        <f>V129-U129</f>
        <v>0</v>
      </c>
      <c r="X129" s="176">
        <f>U124-U129</f>
        <v>0</v>
      </c>
      <c r="Z129" s="303"/>
    </row>
    <row r="130" spans="1:26" s="214" customFormat="1" ht="18" hidden="1" customHeight="1">
      <c r="A130" s="610"/>
      <c r="B130" s="581"/>
      <c r="C130" s="583"/>
      <c r="D130" s="202" t="str">
        <f>серпень!D130</f>
        <v>план</v>
      </c>
      <c r="E130" s="203"/>
      <c r="F130" s="203">
        <f t="shared" ref="F130:K130" si="185">F123+F124</f>
        <v>0</v>
      </c>
      <c r="G130" s="203">
        <f t="shared" si="185"/>
        <v>0</v>
      </c>
      <c r="H130" s="203">
        <f t="shared" si="185"/>
        <v>0</v>
      </c>
      <c r="I130" s="203">
        <f t="shared" si="185"/>
        <v>0</v>
      </c>
      <c r="J130" s="203">
        <f t="shared" si="185"/>
        <v>0</v>
      </c>
      <c r="K130" s="203">
        <f t="shared" si="185"/>
        <v>0</v>
      </c>
      <c r="L130" s="203">
        <f>SUM(F130:K130)</f>
        <v>0</v>
      </c>
      <c r="M130" s="203">
        <f>L130/6</f>
        <v>0</v>
      </c>
      <c r="N130" s="203">
        <f t="shared" ref="N130:S130" si="186">N124+N123</f>
        <v>0</v>
      </c>
      <c r="O130" s="203">
        <f t="shared" si="186"/>
        <v>0</v>
      </c>
      <c r="P130" s="203">
        <f t="shared" si="186"/>
        <v>0</v>
      </c>
      <c r="Q130" s="203">
        <f t="shared" si="186"/>
        <v>0</v>
      </c>
      <c r="R130" s="203">
        <f t="shared" si="186"/>
        <v>0</v>
      </c>
      <c r="S130" s="203">
        <f t="shared" si="186"/>
        <v>0</v>
      </c>
      <c r="T130" s="203">
        <f>SUM(N130:S130)</f>
        <v>0</v>
      </c>
      <c r="U130" s="203">
        <f>T130+L130</f>
        <v>0</v>
      </c>
      <c r="V130" s="203">
        <f>V127</f>
        <v>0</v>
      </c>
      <c r="W130" s="203">
        <f>V130-U130</f>
        <v>0</v>
      </c>
      <c r="Z130" s="303"/>
    </row>
    <row r="131" spans="1:26" s="214" customFormat="1" ht="18" hidden="1" customHeight="1">
      <c r="A131" s="610"/>
      <c r="B131" s="581"/>
      <c r="C131" s="583"/>
      <c r="D131" s="202" t="str">
        <f>серпень!D131</f>
        <v xml:space="preserve">відхилення </v>
      </c>
      <c r="E131" s="203"/>
      <c r="F131" s="203">
        <f t="shared" ref="F131:K131" si="187">F127-F130</f>
        <v>0</v>
      </c>
      <c r="G131" s="203">
        <f t="shared" si="187"/>
        <v>0</v>
      </c>
      <c r="H131" s="203">
        <f t="shared" si="187"/>
        <v>0</v>
      </c>
      <c r="I131" s="203">
        <f t="shared" si="187"/>
        <v>0</v>
      </c>
      <c r="J131" s="203">
        <f t="shared" si="187"/>
        <v>0</v>
      </c>
      <c r="K131" s="203">
        <f t="shared" si="187"/>
        <v>0</v>
      </c>
      <c r="L131" s="203"/>
      <c r="M131" s="203"/>
      <c r="N131" s="203">
        <f t="shared" ref="N131:S131" si="188">N127-N130</f>
        <v>0</v>
      </c>
      <c r="O131" s="203">
        <f t="shared" si="188"/>
        <v>0</v>
      </c>
      <c r="P131" s="203">
        <f t="shared" si="188"/>
        <v>0</v>
      </c>
      <c r="Q131" s="203">
        <f t="shared" si="188"/>
        <v>0</v>
      </c>
      <c r="R131" s="203">
        <f t="shared" si="188"/>
        <v>0</v>
      </c>
      <c r="S131" s="203">
        <f t="shared" si="188"/>
        <v>0</v>
      </c>
      <c r="T131" s="203"/>
      <c r="U131" s="203"/>
      <c r="V131" s="203"/>
      <c r="W131" s="203"/>
      <c r="Z131" s="303"/>
    </row>
    <row r="132" spans="1:26" s="214" customFormat="1" ht="25.2" hidden="1" customHeight="1">
      <c r="A132" s="610"/>
      <c r="B132" s="581"/>
      <c r="C132" s="584"/>
      <c r="D132" s="202" t="str">
        <f>серпень!D132</f>
        <v>відхилення з наростаючим</v>
      </c>
      <c r="E132" s="203"/>
      <c r="F132" s="203">
        <f>F131</f>
        <v>0</v>
      </c>
      <c r="G132" s="203">
        <f>G131+F132</f>
        <v>0</v>
      </c>
      <c r="H132" s="203">
        <f>H131+G132</f>
        <v>0</v>
      </c>
      <c r="I132" s="203">
        <f>I131+H132</f>
        <v>0</v>
      </c>
      <c r="J132" s="203">
        <f>J131+I132</f>
        <v>0</v>
      </c>
      <c r="K132" s="203">
        <f>K131+J132</f>
        <v>0</v>
      </c>
      <c r="L132" s="203"/>
      <c r="M132" s="203"/>
      <c r="N132" s="203">
        <f>N131+K132</f>
        <v>0</v>
      </c>
      <c r="O132" s="203">
        <f>O131+N132</f>
        <v>0</v>
      </c>
      <c r="P132" s="203">
        <f>P131+O132</f>
        <v>0</v>
      </c>
      <c r="Q132" s="203">
        <f>Q131+P132</f>
        <v>0</v>
      </c>
      <c r="R132" s="203">
        <f>R131+Q132</f>
        <v>0</v>
      </c>
      <c r="S132" s="203">
        <f>S131+R132</f>
        <v>0</v>
      </c>
      <c r="T132" s="203"/>
      <c r="U132" s="203"/>
      <c r="V132" s="203"/>
      <c r="W132" s="203"/>
      <c r="Z132" s="303"/>
    </row>
    <row r="133" spans="1:26" s="185" customFormat="1" ht="18" customHeight="1">
      <c r="A133" s="610"/>
      <c r="B133" s="581"/>
      <c r="C133" s="582" t="s">
        <v>99</v>
      </c>
      <c r="D133" s="178" t="str">
        <f>серпень!D133</f>
        <v>факт. нат.п-ки 2023</v>
      </c>
      <c r="E133" s="179"/>
      <c r="F133" s="184">
        <v>36.125</v>
      </c>
      <c r="G133" s="184">
        <v>35.799999999999997</v>
      </c>
      <c r="H133" s="179">
        <v>27.285</v>
      </c>
      <c r="I133" s="179">
        <v>0</v>
      </c>
      <c r="J133" s="179">
        <v>0</v>
      </c>
      <c r="K133" s="179">
        <v>0</v>
      </c>
      <c r="L133" s="215">
        <f>SUM(F133:K133)</f>
        <v>99.2</v>
      </c>
      <c r="M133" s="215">
        <f>L133/6</f>
        <v>16.5</v>
      </c>
      <c r="N133" s="179">
        <v>0</v>
      </c>
      <c r="O133" s="179">
        <v>0</v>
      </c>
      <c r="P133" s="179">
        <v>0</v>
      </c>
      <c r="Q133" s="179">
        <v>0</v>
      </c>
      <c r="R133" s="179">
        <v>17.3</v>
      </c>
      <c r="S133" s="179">
        <v>68.099999999999994</v>
      </c>
      <c r="T133" s="215">
        <f>SUM(N133:S133)</f>
        <v>85.4</v>
      </c>
      <c r="U133" s="215">
        <f>T133+L133</f>
        <v>184.6</v>
      </c>
      <c r="V133" s="179">
        <v>184.6</v>
      </c>
      <c r="W133" s="184"/>
      <c r="Z133" s="297"/>
    </row>
    <row r="134" spans="1:26" s="185" customFormat="1" ht="18" customHeight="1">
      <c r="A134" s="610"/>
      <c r="B134" s="581"/>
      <c r="C134" s="583"/>
      <c r="D134" s="178" t="str">
        <f>серпень!D134</f>
        <v>факт. нат.п-ки 2024</v>
      </c>
      <c r="E134" s="179"/>
      <c r="F134" s="184">
        <v>69.8</v>
      </c>
      <c r="G134" s="184">
        <v>48</v>
      </c>
      <c r="H134" s="179">
        <v>49.3</v>
      </c>
      <c r="I134" s="179">
        <v>0</v>
      </c>
      <c r="J134" s="179">
        <v>0</v>
      </c>
      <c r="K134" s="179">
        <v>0</v>
      </c>
      <c r="L134" s="215">
        <f>SUM(F134:K134)</f>
        <v>167.1</v>
      </c>
      <c r="M134" s="215">
        <f>L134/6</f>
        <v>27.9</v>
      </c>
      <c r="N134" s="179">
        <v>0</v>
      </c>
      <c r="O134" s="179">
        <v>0</v>
      </c>
      <c r="P134" s="179">
        <v>0</v>
      </c>
      <c r="Q134" s="179">
        <v>0</v>
      </c>
      <c r="R134" s="179">
        <v>17.3</v>
      </c>
      <c r="S134" s="179">
        <v>69.099999999999994</v>
      </c>
      <c r="T134" s="215">
        <f>SUM(N134:S134)</f>
        <v>86.4</v>
      </c>
      <c r="U134" s="215">
        <f>T134+L134</f>
        <v>253.5</v>
      </c>
      <c r="V134" s="179">
        <v>253.5</v>
      </c>
      <c r="W134" s="184"/>
      <c r="Z134" s="297"/>
    </row>
    <row r="135" spans="1:26" s="185" customFormat="1" ht="18" customHeight="1">
      <c r="A135" s="610"/>
      <c r="B135" s="581"/>
      <c r="C135" s="583"/>
      <c r="D135" s="178" t="str">
        <f>серпень!D135</f>
        <v>факт. нат.п-ки 2025</v>
      </c>
      <c r="E135" s="179"/>
      <c r="F135" s="184">
        <v>31.3</v>
      </c>
      <c r="G135" s="184">
        <v>49.3</v>
      </c>
      <c r="H135" s="179">
        <v>33.9</v>
      </c>
      <c r="I135" s="179">
        <v>0</v>
      </c>
      <c r="J135" s="179">
        <v>0</v>
      </c>
      <c r="K135" s="179">
        <v>0</v>
      </c>
      <c r="L135" s="215">
        <f>SUM(F135:K135)</f>
        <v>114.5</v>
      </c>
      <c r="M135" s="215">
        <f>L135/6</f>
        <v>19.100000000000001</v>
      </c>
      <c r="N135" s="179">
        <v>0</v>
      </c>
      <c r="O135" s="179">
        <v>0</v>
      </c>
      <c r="P135" s="179">
        <v>0</v>
      </c>
      <c r="Q135" s="179">
        <v>0</v>
      </c>
      <c r="R135" s="179">
        <v>17.3</v>
      </c>
      <c r="S135" s="179">
        <v>34.6</v>
      </c>
      <c r="T135" s="215">
        <f>SUM(N135:S135)</f>
        <v>51.9</v>
      </c>
      <c r="U135" s="215">
        <f>T135+L135</f>
        <v>166.4</v>
      </c>
      <c r="V135" s="179">
        <v>219</v>
      </c>
      <c r="W135" s="184">
        <f>V135-U135</f>
        <v>52.6</v>
      </c>
      <c r="Z135" s="297"/>
    </row>
    <row r="136" spans="1:26" s="185" customFormat="1" ht="18" customHeight="1">
      <c r="A136" s="610"/>
      <c r="B136" s="581"/>
      <c r="C136" s="583"/>
      <c r="D136" s="187" t="str">
        <f>серпень!D136</f>
        <v>тариф, грн.</v>
      </c>
      <c r="E136" s="188" t="e">
        <f t="shared" ref="E136:K136" si="189">E137/E135*1000</f>
        <v>#DIV/0!</v>
      </c>
      <c r="F136" s="188">
        <f t="shared" si="189"/>
        <v>1652.9069999999999</v>
      </c>
      <c r="G136" s="188">
        <f t="shared" si="189"/>
        <v>1654.057</v>
      </c>
      <c r="H136" s="188">
        <f t="shared" si="189"/>
        <v>1657.1089999999999</v>
      </c>
      <c r="I136" s="188" t="e">
        <f t="shared" si="189"/>
        <v>#DIV/0!</v>
      </c>
      <c r="J136" s="188" t="e">
        <f t="shared" si="189"/>
        <v>#DIV/0!</v>
      </c>
      <c r="K136" s="188" t="e">
        <f t="shared" si="189"/>
        <v>#DIV/0!</v>
      </c>
      <c r="L136" s="49">
        <f t="shared" ref="L136" si="190">L137/L135*1000</f>
        <v>1654.646</v>
      </c>
      <c r="M136" s="121">
        <f>M137/M135*1000</f>
        <v>1653.19</v>
      </c>
      <c r="N136" s="188">
        <v>1655.08</v>
      </c>
      <c r="O136" s="188">
        <v>1655.08</v>
      </c>
      <c r="P136" s="188">
        <v>1655.08</v>
      </c>
      <c r="Q136" s="188">
        <v>1655.08</v>
      </c>
      <c r="R136" s="188">
        <v>1655.08</v>
      </c>
      <c r="S136" s="188">
        <v>1655.08</v>
      </c>
      <c r="T136" s="217">
        <f>T137/T135*1000</f>
        <v>1655.09</v>
      </c>
      <c r="U136" s="217">
        <f>U137/U135*1000</f>
        <v>1654.78</v>
      </c>
      <c r="V136" s="218">
        <f>V137/V135*1000</f>
        <v>1724.8630000000001</v>
      </c>
      <c r="W136" s="219">
        <f>W137/W135*1000</f>
        <v>1946.559</v>
      </c>
      <c r="Z136" s="297"/>
    </row>
    <row r="137" spans="1:26" s="185" customFormat="1" ht="18" customHeight="1">
      <c r="A137" s="610"/>
      <c r="B137" s="581"/>
      <c r="C137" s="583"/>
      <c r="D137" s="191" t="str">
        <f>серпень!D137</f>
        <v>сума, тис.грн.</v>
      </c>
      <c r="E137" s="192"/>
      <c r="F137" s="192">
        <v>51.735999999999997</v>
      </c>
      <c r="G137" s="192">
        <v>81.545000000000002</v>
      </c>
      <c r="H137" s="192">
        <v>56.176000000000002</v>
      </c>
      <c r="I137" s="192">
        <v>0</v>
      </c>
      <c r="J137" s="192">
        <v>0</v>
      </c>
      <c r="K137" s="192">
        <v>0</v>
      </c>
      <c r="L137" s="194">
        <f>SUM(F137:K137)</f>
        <v>189.45699999999999</v>
      </c>
      <c r="M137" s="194">
        <f>L137/6</f>
        <v>31.576000000000001</v>
      </c>
      <c r="N137" s="192">
        <f>N135*N136/1000</f>
        <v>0</v>
      </c>
      <c r="O137" s="192">
        <f t="shared" ref="O137" si="191">O135*O136/1000</f>
        <v>0</v>
      </c>
      <c r="P137" s="192">
        <f t="shared" ref="P137" si="192">P135*P136/1000</f>
        <v>0</v>
      </c>
      <c r="Q137" s="192">
        <f t="shared" ref="Q137" si="193">Q135*Q136/1000</f>
        <v>0</v>
      </c>
      <c r="R137" s="192">
        <f t="shared" ref="R137" si="194">R135*R136/1000</f>
        <v>28.632999999999999</v>
      </c>
      <c r="S137" s="192">
        <f t="shared" ref="S137" si="195">S135*S136/1000</f>
        <v>57.265999999999998</v>
      </c>
      <c r="T137" s="194">
        <f>SUM(N137:S137)</f>
        <v>85.899000000000001</v>
      </c>
      <c r="U137" s="194">
        <f>T137+L137</f>
        <v>275.35599999999999</v>
      </c>
      <c r="V137" s="171">
        <f>V139+V138</f>
        <v>377.745</v>
      </c>
      <c r="W137" s="192">
        <f>V137-U137</f>
        <v>102.389</v>
      </c>
      <c r="Z137" s="297"/>
    </row>
    <row r="138" spans="1:26" s="185" customFormat="1" ht="18" customHeight="1">
      <c r="A138" s="610"/>
      <c r="B138" s="581"/>
      <c r="C138" s="583"/>
      <c r="D138" s="174" t="str">
        <f>серпень!D138</f>
        <v>дотація</v>
      </c>
      <c r="E138" s="210"/>
      <c r="F138" s="192"/>
      <c r="G138" s="192"/>
      <c r="H138" s="192">
        <v>15.282</v>
      </c>
      <c r="I138" s="192"/>
      <c r="J138" s="192"/>
      <c r="K138" s="192"/>
      <c r="L138" s="194">
        <f>SUM(F138:K138)</f>
        <v>15.282</v>
      </c>
      <c r="M138" s="194">
        <f>L138/6</f>
        <v>2.5470000000000002</v>
      </c>
      <c r="N138" s="192"/>
      <c r="O138" s="192"/>
      <c r="P138" s="192"/>
      <c r="Q138" s="192"/>
      <c r="R138" s="192"/>
      <c r="S138" s="192"/>
      <c r="T138" s="194">
        <f>SUM(N138:S138)</f>
        <v>0</v>
      </c>
      <c r="U138" s="194">
        <f>T138+L138</f>
        <v>15.282</v>
      </c>
      <c r="V138" s="171">
        <f>10.465+4.817</f>
        <v>15.282</v>
      </c>
      <c r="W138" s="192">
        <f>V138-U138</f>
        <v>0</v>
      </c>
      <c r="Z138" s="297"/>
    </row>
    <row r="139" spans="1:26" s="185" customFormat="1" ht="18" customHeight="1">
      <c r="A139" s="610"/>
      <c r="B139" s="581"/>
      <c r="C139" s="583"/>
      <c r="D139" s="174" t="str">
        <f>серпень!D139</f>
        <v>місцевий (план), тис.грн</v>
      </c>
      <c r="E139" s="210"/>
      <c r="F139" s="192">
        <f>13.241-13.241</f>
        <v>0</v>
      </c>
      <c r="G139" s="192">
        <v>115.52500000000001</v>
      </c>
      <c r="H139" s="192">
        <v>79.444000000000003</v>
      </c>
      <c r="I139" s="192">
        <v>81.594999999999999</v>
      </c>
      <c r="J139" s="192">
        <v>0</v>
      </c>
      <c r="K139" s="192">
        <v>0</v>
      </c>
      <c r="L139" s="194">
        <f>SUM(F139:K139)</f>
        <v>276.56400000000002</v>
      </c>
      <c r="M139" s="194">
        <f>L139/6</f>
        <v>46.094000000000001</v>
      </c>
      <c r="N139" s="192">
        <v>0</v>
      </c>
      <c r="O139" s="192">
        <v>0</v>
      </c>
      <c r="P139" s="192">
        <v>0</v>
      </c>
      <c r="Q139" s="192">
        <v>0</v>
      </c>
      <c r="R139" s="192">
        <v>0</v>
      </c>
      <c r="S139" s="192">
        <v>85.899000000000001</v>
      </c>
      <c r="T139" s="194">
        <f>SUM(N139:S139)</f>
        <v>85.899000000000001</v>
      </c>
      <c r="U139" s="194">
        <f>T139+L139</f>
        <v>362.46300000000002</v>
      </c>
      <c r="V139" s="171">
        <v>362.46300000000002</v>
      </c>
      <c r="W139" s="192">
        <f>V139-U139</f>
        <v>0</v>
      </c>
      <c r="Z139" s="297"/>
    </row>
    <row r="140" spans="1:26" s="185" customFormat="1" ht="18" customHeight="1">
      <c r="A140" s="610"/>
      <c r="B140" s="581"/>
      <c r="C140" s="583"/>
      <c r="D140" s="178" t="str">
        <f>серпень!D140</f>
        <v>касові нат.п-ки 2025</v>
      </c>
      <c r="E140" s="179"/>
      <c r="F140" s="184">
        <v>0</v>
      </c>
      <c r="G140" s="184">
        <v>31.3</v>
      </c>
      <c r="H140" s="179">
        <v>49.3</v>
      </c>
      <c r="I140" s="179">
        <v>33.9</v>
      </c>
      <c r="J140" s="179">
        <v>0</v>
      </c>
      <c r="K140" s="179">
        <v>0</v>
      </c>
      <c r="L140" s="215">
        <f>SUM(F140:K140)</f>
        <v>114.5</v>
      </c>
      <c r="M140" s="215">
        <f>L140/6</f>
        <v>19.100000000000001</v>
      </c>
      <c r="N140" s="179"/>
      <c r="O140" s="179"/>
      <c r="P140" s="179"/>
      <c r="Q140" s="179"/>
      <c r="R140" s="179"/>
      <c r="S140" s="179">
        <f>R135+S135</f>
        <v>51.9</v>
      </c>
      <c r="T140" s="215">
        <f>SUM(N140:S140)</f>
        <v>51.9</v>
      </c>
      <c r="U140" s="215">
        <f>T140+L140</f>
        <v>166.4</v>
      </c>
      <c r="V140" s="179">
        <f>V135</f>
        <v>219</v>
      </c>
      <c r="W140" s="184">
        <f>V140-U140</f>
        <v>52.6</v>
      </c>
      <c r="X140" s="185">
        <f>U135-U140</f>
        <v>0</v>
      </c>
      <c r="Z140" s="297"/>
    </row>
    <row r="141" spans="1:26" s="185" customFormat="1" ht="18" customHeight="1">
      <c r="A141" s="610"/>
      <c r="B141" s="581"/>
      <c r="C141" s="583"/>
      <c r="D141" s="187" t="str">
        <f>серпень!D141</f>
        <v>тариф, грн.</v>
      </c>
      <c r="E141" s="188" t="e">
        <f t="shared" ref="E141:K141" si="196">E142/E140*1000</f>
        <v>#DIV/0!</v>
      </c>
      <c r="F141" s="188" t="e">
        <f t="shared" si="196"/>
        <v>#DIV/0!</v>
      </c>
      <c r="G141" s="188">
        <f t="shared" si="196"/>
        <v>1652.9069999999999</v>
      </c>
      <c r="H141" s="188">
        <f t="shared" si="196"/>
        <v>1654.057</v>
      </c>
      <c r="I141" s="188">
        <f t="shared" si="196"/>
        <v>1657.1089999999999</v>
      </c>
      <c r="J141" s="188" t="e">
        <f t="shared" si="196"/>
        <v>#DIV/0!</v>
      </c>
      <c r="K141" s="188" t="e">
        <f t="shared" si="196"/>
        <v>#DIV/0!</v>
      </c>
      <c r="L141" s="49">
        <f t="shared" ref="L141" si="197">L142/L140*1000</f>
        <v>1654.646</v>
      </c>
      <c r="M141" s="121">
        <f>M142/M140*1000</f>
        <v>1653.19</v>
      </c>
      <c r="N141" s="188">
        <v>1655.08</v>
      </c>
      <c r="O141" s="188">
        <v>1655.08</v>
      </c>
      <c r="P141" s="188">
        <v>1655.08</v>
      </c>
      <c r="Q141" s="188">
        <v>1655.08</v>
      </c>
      <c r="R141" s="188">
        <v>1655.08</v>
      </c>
      <c r="S141" s="188">
        <v>1655.08</v>
      </c>
      <c r="T141" s="217">
        <f>T142/T140*1000</f>
        <v>1655.09</v>
      </c>
      <c r="U141" s="217">
        <f>U142/U140*1000</f>
        <v>1654.78</v>
      </c>
      <c r="V141" s="218">
        <f>V142/V140*1000</f>
        <v>1724.8630000000001</v>
      </c>
      <c r="W141" s="219">
        <f>W142/W140*1000</f>
        <v>1946.559</v>
      </c>
      <c r="Z141" s="297"/>
    </row>
    <row r="142" spans="1:26" s="176" customFormat="1" ht="18" customHeight="1">
      <c r="A142" s="610"/>
      <c r="B142" s="581"/>
      <c r="C142" s="583"/>
      <c r="D142" s="198" t="str">
        <f>серпень!D142</f>
        <v>касові видатки, тис.грн.</v>
      </c>
      <c r="E142" s="220"/>
      <c r="F142" s="199">
        <v>0</v>
      </c>
      <c r="G142" s="199">
        <v>51.735999999999997</v>
      </c>
      <c r="H142" s="199">
        <v>81.545000000000002</v>
      </c>
      <c r="I142" s="199">
        <v>56.176000000000002</v>
      </c>
      <c r="J142" s="199">
        <v>0</v>
      </c>
      <c r="K142" s="199">
        <v>0</v>
      </c>
      <c r="L142" s="199">
        <f>SUM(F142:K142)</f>
        <v>189.45699999999999</v>
      </c>
      <c r="M142" s="199">
        <f>L142/6</f>
        <v>31.576000000000001</v>
      </c>
      <c r="N142" s="199">
        <f>N140*N141/1000</f>
        <v>0</v>
      </c>
      <c r="O142" s="199">
        <f>O140*O141/1000</f>
        <v>0</v>
      </c>
      <c r="P142" s="199">
        <f t="shared" ref="P142" si="198">P140*P141/1000</f>
        <v>0</v>
      </c>
      <c r="Q142" s="199">
        <f t="shared" ref="Q142" si="199">Q140*Q141/1000</f>
        <v>0</v>
      </c>
      <c r="R142" s="199">
        <f t="shared" ref="R142" si="200">R140*R141/1000</f>
        <v>0</v>
      </c>
      <c r="S142" s="199">
        <f t="shared" ref="S142" si="201">S140*S141/1000</f>
        <v>85.899000000000001</v>
      </c>
      <c r="T142" s="199">
        <f>SUM(N142:S142)</f>
        <v>85.899000000000001</v>
      </c>
      <c r="U142" s="199">
        <f>T142+L142</f>
        <v>275.35599999999999</v>
      </c>
      <c r="V142" s="199">
        <f>V137</f>
        <v>377.745</v>
      </c>
      <c r="W142" s="221">
        <f>V142-U142</f>
        <v>102.389</v>
      </c>
      <c r="X142" s="176">
        <f>U137-U142</f>
        <v>0</v>
      </c>
      <c r="Z142" s="300"/>
    </row>
    <row r="143" spans="1:26" s="176" customFormat="1" ht="18" customHeight="1">
      <c r="A143" s="610"/>
      <c r="B143" s="581"/>
      <c r="C143" s="583"/>
      <c r="D143" s="201" t="str">
        <f>серпень!D143</f>
        <v>дотація</v>
      </c>
      <c r="E143" s="220"/>
      <c r="F143" s="199">
        <v>0</v>
      </c>
      <c r="G143" s="199">
        <v>0</v>
      </c>
      <c r="H143" s="199">
        <v>15.282</v>
      </c>
      <c r="I143" s="199">
        <v>0</v>
      </c>
      <c r="J143" s="199">
        <v>0</v>
      </c>
      <c r="K143" s="199">
        <v>0</v>
      </c>
      <c r="L143" s="199">
        <f>SUM(F143:K143)</f>
        <v>15.282</v>
      </c>
      <c r="M143" s="199">
        <f>L143/6</f>
        <v>2.5470000000000002</v>
      </c>
      <c r="N143" s="199">
        <v>0</v>
      </c>
      <c r="O143" s="199">
        <v>0</v>
      </c>
      <c r="P143" s="199">
        <v>0</v>
      </c>
      <c r="Q143" s="199">
        <v>0</v>
      </c>
      <c r="R143" s="199">
        <v>0</v>
      </c>
      <c r="S143" s="199">
        <v>0</v>
      </c>
      <c r="T143" s="199">
        <f>SUM(N143:S143)</f>
        <v>0</v>
      </c>
      <c r="U143" s="199">
        <f>T143+L143</f>
        <v>15.282</v>
      </c>
      <c r="V143" s="199">
        <f>V138</f>
        <v>15.282</v>
      </c>
      <c r="W143" s="221">
        <f>V143-U143</f>
        <v>0</v>
      </c>
      <c r="X143" s="176">
        <f>U138-U143</f>
        <v>0</v>
      </c>
      <c r="Z143" s="300"/>
    </row>
    <row r="144" spans="1:26" s="176" customFormat="1" ht="18" customHeight="1">
      <c r="A144" s="610"/>
      <c r="B144" s="581"/>
      <c r="C144" s="583"/>
      <c r="D144" s="201" t="str">
        <f>серпень!D144</f>
        <v xml:space="preserve">місцевий </v>
      </c>
      <c r="E144" s="220"/>
      <c r="F144" s="199">
        <f t="shared" ref="F144:K144" si="202">F142-F143</f>
        <v>0</v>
      </c>
      <c r="G144" s="199">
        <f t="shared" si="202"/>
        <v>51.735999999999997</v>
      </c>
      <c r="H144" s="199">
        <f t="shared" si="202"/>
        <v>66.263000000000005</v>
      </c>
      <c r="I144" s="199">
        <f t="shared" si="202"/>
        <v>56.176000000000002</v>
      </c>
      <c r="J144" s="199">
        <f t="shared" si="202"/>
        <v>0</v>
      </c>
      <c r="K144" s="199">
        <f t="shared" si="202"/>
        <v>0</v>
      </c>
      <c r="L144" s="199">
        <f>SUM(F144:K144)</f>
        <v>174.17500000000001</v>
      </c>
      <c r="M144" s="199">
        <f>L144/6</f>
        <v>29.029</v>
      </c>
      <c r="N144" s="199">
        <f t="shared" ref="N144:S144" si="203">N142-N143</f>
        <v>0</v>
      </c>
      <c r="O144" s="199">
        <f t="shared" si="203"/>
        <v>0</v>
      </c>
      <c r="P144" s="199">
        <f t="shared" si="203"/>
        <v>0</v>
      </c>
      <c r="Q144" s="199">
        <f t="shared" si="203"/>
        <v>0</v>
      </c>
      <c r="R144" s="199">
        <f t="shared" si="203"/>
        <v>0</v>
      </c>
      <c r="S144" s="199">
        <f t="shared" si="203"/>
        <v>85.899000000000001</v>
      </c>
      <c r="T144" s="199">
        <f>SUM(N144:S144)</f>
        <v>85.899000000000001</v>
      </c>
      <c r="U144" s="199">
        <f>T144+L144</f>
        <v>260.07400000000001</v>
      </c>
      <c r="V144" s="199">
        <f>V139</f>
        <v>362.46300000000002</v>
      </c>
      <c r="W144" s="221">
        <f>V144-U144</f>
        <v>102.389</v>
      </c>
      <c r="X144" s="176">
        <f>U139-U144</f>
        <v>102.389</v>
      </c>
      <c r="Z144" s="300"/>
    </row>
    <row r="145" spans="1:26" s="205" customFormat="1" ht="18" customHeight="1">
      <c r="A145" s="610"/>
      <c r="B145" s="581"/>
      <c r="C145" s="583"/>
      <c r="D145" s="202" t="str">
        <f>серпень!D145</f>
        <v>план</v>
      </c>
      <c r="E145" s="203"/>
      <c r="F145" s="203">
        <f>F139+F138</f>
        <v>0</v>
      </c>
      <c r="G145" s="203">
        <f t="shared" ref="G145:K145" si="204">G139+G138</f>
        <v>115.52500000000001</v>
      </c>
      <c r="H145" s="203">
        <f t="shared" si="204"/>
        <v>94.725999999999999</v>
      </c>
      <c r="I145" s="203">
        <f t="shared" si="204"/>
        <v>81.594999999999999</v>
      </c>
      <c r="J145" s="203">
        <f t="shared" si="204"/>
        <v>0</v>
      </c>
      <c r="K145" s="203">
        <f t="shared" si="204"/>
        <v>0</v>
      </c>
      <c r="L145" s="203">
        <f>SUM(F145:K145)</f>
        <v>291.846</v>
      </c>
      <c r="M145" s="203">
        <f>L145/6</f>
        <v>48.640999999999998</v>
      </c>
      <c r="N145" s="203">
        <f t="shared" ref="N145:R145" si="205">N139+N138</f>
        <v>0</v>
      </c>
      <c r="O145" s="203">
        <f t="shared" si="205"/>
        <v>0</v>
      </c>
      <c r="P145" s="203">
        <f t="shared" si="205"/>
        <v>0</v>
      </c>
      <c r="Q145" s="203">
        <f t="shared" si="205"/>
        <v>0</v>
      </c>
      <c r="R145" s="203">
        <f t="shared" si="205"/>
        <v>0</v>
      </c>
      <c r="S145" s="203">
        <f>S139+S138</f>
        <v>85.899000000000001</v>
      </c>
      <c r="T145" s="203">
        <f>SUM(N145:S145)</f>
        <v>85.899000000000001</v>
      </c>
      <c r="U145" s="203">
        <f>T145+L145</f>
        <v>377.745</v>
      </c>
      <c r="V145" s="203">
        <f>V142</f>
        <v>377.745</v>
      </c>
      <c r="W145" s="203">
        <f>V145-U145</f>
        <v>0</v>
      </c>
      <c r="Z145" s="301"/>
    </row>
    <row r="146" spans="1:26" s="205" customFormat="1" ht="18" customHeight="1">
      <c r="A146" s="610"/>
      <c r="B146" s="581"/>
      <c r="C146" s="583"/>
      <c r="D146" s="202" t="str">
        <f>серпень!D146</f>
        <v xml:space="preserve">відхилення </v>
      </c>
      <c r="E146" s="203"/>
      <c r="F146" s="203">
        <f t="shared" ref="F146:K146" si="206">F142-F145</f>
        <v>0</v>
      </c>
      <c r="G146" s="203">
        <f t="shared" si="206"/>
        <v>-63.789000000000001</v>
      </c>
      <c r="H146" s="203">
        <f t="shared" si="206"/>
        <v>-13.180999999999999</v>
      </c>
      <c r="I146" s="203">
        <f t="shared" si="206"/>
        <v>-25.419</v>
      </c>
      <c r="J146" s="203">
        <f t="shared" si="206"/>
        <v>0</v>
      </c>
      <c r="K146" s="203">
        <f t="shared" si="206"/>
        <v>0</v>
      </c>
      <c r="L146" s="203"/>
      <c r="M146" s="203"/>
      <c r="N146" s="203">
        <f t="shared" ref="N146:S146" si="207">N142-N145</f>
        <v>0</v>
      </c>
      <c r="O146" s="203">
        <f t="shared" si="207"/>
        <v>0</v>
      </c>
      <c r="P146" s="203">
        <f t="shared" si="207"/>
        <v>0</v>
      </c>
      <c r="Q146" s="203">
        <f t="shared" si="207"/>
        <v>0</v>
      </c>
      <c r="R146" s="203">
        <f t="shared" si="207"/>
        <v>0</v>
      </c>
      <c r="S146" s="203">
        <f t="shared" si="207"/>
        <v>0</v>
      </c>
      <c r="T146" s="203"/>
      <c r="U146" s="203"/>
      <c r="V146" s="203"/>
      <c r="W146" s="203"/>
      <c r="Z146" s="301"/>
    </row>
    <row r="147" spans="1:26" s="205" customFormat="1" ht="27.55" customHeight="1">
      <c r="A147" s="610"/>
      <c r="B147" s="581"/>
      <c r="C147" s="584"/>
      <c r="D147" s="202" t="str">
        <f>серпень!D147</f>
        <v>відхилення з наростаючим</v>
      </c>
      <c r="E147" s="203"/>
      <c r="F147" s="203">
        <f>F146</f>
        <v>0</v>
      </c>
      <c r="G147" s="203">
        <f>G146+F147</f>
        <v>-63.789000000000001</v>
      </c>
      <c r="H147" s="203">
        <f>H146+G147</f>
        <v>-76.97</v>
      </c>
      <c r="I147" s="203">
        <f>I146+H147</f>
        <v>-102.389</v>
      </c>
      <c r="J147" s="203">
        <f>J146+I147</f>
        <v>-102.389</v>
      </c>
      <c r="K147" s="203">
        <f>K146+J147</f>
        <v>-102.389</v>
      </c>
      <c r="L147" s="203"/>
      <c r="M147" s="203"/>
      <c r="N147" s="203">
        <f>N146+K147</f>
        <v>-102.389</v>
      </c>
      <c r="O147" s="203">
        <f>O146+N147</f>
        <v>-102.389</v>
      </c>
      <c r="P147" s="203">
        <f>P146+O147</f>
        <v>-102.389</v>
      </c>
      <c r="Q147" s="203">
        <f>Q146+P147</f>
        <v>-102.389</v>
      </c>
      <c r="R147" s="203">
        <f>R146+Q147</f>
        <v>-102.389</v>
      </c>
      <c r="S147" s="203">
        <f>S146+R147</f>
        <v>-102.389</v>
      </c>
      <c r="T147" s="203"/>
      <c r="U147" s="203"/>
      <c r="V147" s="203"/>
      <c r="W147" s="203"/>
      <c r="Z147" s="301"/>
    </row>
    <row r="148" spans="1:26" s="43" customFormat="1" ht="18" hidden="1" customHeight="1">
      <c r="A148" s="610"/>
      <c r="B148" s="581"/>
      <c r="C148" s="582" t="s">
        <v>96</v>
      </c>
      <c r="D148" s="178" t="str">
        <f>серпень!D148</f>
        <v>факт. нат.п-ки 2023</v>
      </c>
      <c r="E148" s="179"/>
      <c r="F148" s="184"/>
      <c r="G148" s="184"/>
      <c r="H148" s="179"/>
      <c r="I148" s="179"/>
      <c r="J148" s="179"/>
      <c r="K148" s="179"/>
      <c r="L148" s="215">
        <f>SUM(F148:K148)</f>
        <v>0</v>
      </c>
      <c r="M148" s="215">
        <f>L148/6</f>
        <v>0</v>
      </c>
      <c r="N148" s="179"/>
      <c r="O148" s="179"/>
      <c r="P148" s="179"/>
      <c r="Q148" s="179"/>
      <c r="R148" s="179"/>
      <c r="S148" s="179"/>
      <c r="T148" s="215">
        <f>SUM(N148:S148)</f>
        <v>0</v>
      </c>
      <c r="U148" s="215">
        <f>T148+L148</f>
        <v>0</v>
      </c>
      <c r="V148" s="179"/>
      <c r="W148" s="184"/>
      <c r="Z148" s="304"/>
    </row>
    <row r="149" spans="1:26" s="43" customFormat="1" ht="18" hidden="1" customHeight="1">
      <c r="A149" s="610"/>
      <c r="B149" s="581"/>
      <c r="C149" s="583"/>
      <c r="D149" s="178" t="str">
        <f>серпень!D149</f>
        <v>факт. нат.п-ки 2024</v>
      </c>
      <c r="E149" s="179"/>
      <c r="F149" s="184"/>
      <c r="G149" s="184"/>
      <c r="H149" s="179"/>
      <c r="I149" s="179"/>
      <c r="J149" s="179"/>
      <c r="K149" s="179"/>
      <c r="L149" s="215">
        <f>SUM(F149:K149)</f>
        <v>0</v>
      </c>
      <c r="M149" s="215">
        <f>L149/6</f>
        <v>0</v>
      </c>
      <c r="N149" s="179"/>
      <c r="O149" s="179"/>
      <c r="P149" s="179"/>
      <c r="Q149" s="179"/>
      <c r="R149" s="179"/>
      <c r="S149" s="179"/>
      <c r="T149" s="215">
        <f>SUM(N149:S149)</f>
        <v>0</v>
      </c>
      <c r="U149" s="215">
        <f>T149+L149</f>
        <v>0</v>
      </c>
      <c r="V149" s="179"/>
      <c r="W149" s="184"/>
      <c r="Z149" s="304"/>
    </row>
    <row r="150" spans="1:26" s="205" customFormat="1" ht="23.5" hidden="1" customHeight="1">
      <c r="A150" s="610"/>
      <c r="B150" s="581"/>
      <c r="C150" s="583"/>
      <c r="D150" s="178" t="str">
        <f>серпень!D150</f>
        <v>факт. нат.п-ки 2025</v>
      </c>
      <c r="E150" s="179"/>
      <c r="F150" s="184"/>
      <c r="G150" s="184"/>
      <c r="H150" s="179"/>
      <c r="I150" s="216"/>
      <c r="J150" s="179"/>
      <c r="K150" s="179"/>
      <c r="L150" s="215">
        <f>SUM(F150:K150)</f>
        <v>0</v>
      </c>
      <c r="M150" s="215">
        <f>L150/6</f>
        <v>0</v>
      </c>
      <c r="N150" s="179"/>
      <c r="O150" s="179"/>
      <c r="P150" s="179"/>
      <c r="Q150" s="179"/>
      <c r="R150" s="179"/>
      <c r="S150" s="179"/>
      <c r="T150" s="215">
        <f>SUM(N150:S150)</f>
        <v>0</v>
      </c>
      <c r="U150" s="215">
        <f>T150+L150</f>
        <v>0</v>
      </c>
      <c r="V150" s="179"/>
      <c r="W150" s="184">
        <f>U150-V150</f>
        <v>0</v>
      </c>
      <c r="Z150" s="301"/>
    </row>
    <row r="151" spans="1:26" s="205" customFormat="1" ht="23.5" hidden="1" customHeight="1">
      <c r="A151" s="610"/>
      <c r="B151" s="581"/>
      <c r="C151" s="583"/>
      <c r="D151" s="187" t="str">
        <f>серпень!D151</f>
        <v>тариф, грн.</v>
      </c>
      <c r="E151" s="188"/>
      <c r="F151" s="188"/>
      <c r="G151" s="188"/>
      <c r="H151" s="188"/>
      <c r="I151" s="188"/>
      <c r="J151" s="188"/>
      <c r="K151" s="188"/>
      <c r="L151" s="217" t="e">
        <f>L152/L150*1000</f>
        <v>#DIV/0!</v>
      </c>
      <c r="M151" s="217" t="e">
        <f>M152/M150*1000</f>
        <v>#DIV/0!</v>
      </c>
      <c r="N151" s="217"/>
      <c r="O151" s="217"/>
      <c r="P151" s="217"/>
      <c r="Q151" s="218"/>
      <c r="R151" s="218"/>
      <c r="S151" s="218"/>
      <c r="T151" s="217" t="e">
        <f>T152/T150*1000</f>
        <v>#DIV/0!</v>
      </c>
      <c r="U151" s="217" t="e">
        <f>U152/U150*1000</f>
        <v>#DIV/0!</v>
      </c>
      <c r="V151" s="218" t="e">
        <f>V152/V150*1000</f>
        <v>#DIV/0!</v>
      </c>
      <c r="W151" s="219" t="e">
        <f>W152/W150*1000</f>
        <v>#DIV/0!</v>
      </c>
      <c r="Z151" s="301"/>
    </row>
    <row r="152" spans="1:26" s="205" customFormat="1" ht="23.5" hidden="1" customHeight="1">
      <c r="A152" s="610"/>
      <c r="B152" s="581"/>
      <c r="C152" s="583"/>
      <c r="D152" s="191" t="str">
        <f>серпень!D152</f>
        <v>сума, тис.грн.</v>
      </c>
      <c r="E152" s="192"/>
      <c r="F152" s="192"/>
      <c r="G152" s="192"/>
      <c r="H152" s="192"/>
      <c r="I152" s="192"/>
      <c r="J152" s="192"/>
      <c r="K152" s="192"/>
      <c r="L152" s="194">
        <f>SUM(F152:K152)</f>
        <v>0</v>
      </c>
      <c r="M152" s="194">
        <f>L152/6</f>
        <v>0</v>
      </c>
      <c r="N152" s="192"/>
      <c r="O152" s="192"/>
      <c r="P152" s="192"/>
      <c r="Q152" s="192"/>
      <c r="R152" s="192"/>
      <c r="S152" s="192"/>
      <c r="T152" s="194">
        <f>SUM(N152:S152)</f>
        <v>0</v>
      </c>
      <c r="U152" s="194">
        <f>T152+L152</f>
        <v>0</v>
      </c>
      <c r="V152" s="171">
        <f>V153+V154</f>
        <v>0</v>
      </c>
      <c r="W152" s="192">
        <f>V152-U152</f>
        <v>0</v>
      </c>
      <c r="Z152" s="301"/>
    </row>
    <row r="153" spans="1:26" s="205" customFormat="1" ht="23.5" hidden="1" customHeight="1">
      <c r="A153" s="610"/>
      <c r="B153" s="581"/>
      <c r="C153" s="583"/>
      <c r="D153" s="174" t="str">
        <f>серпень!D153</f>
        <v>дотація</v>
      </c>
      <c r="E153" s="210"/>
      <c r="F153" s="192"/>
      <c r="G153" s="192"/>
      <c r="H153" s="192"/>
      <c r="I153" s="192"/>
      <c r="J153" s="192"/>
      <c r="K153" s="192"/>
      <c r="L153" s="194">
        <f>SUM(F153:K153)</f>
        <v>0</v>
      </c>
      <c r="M153" s="194">
        <f>L153/6</f>
        <v>0</v>
      </c>
      <c r="N153" s="192"/>
      <c r="O153" s="192"/>
      <c r="P153" s="192"/>
      <c r="Q153" s="192"/>
      <c r="R153" s="192"/>
      <c r="S153" s="192"/>
      <c r="T153" s="194">
        <f>SUM(N153:S153)</f>
        <v>0</v>
      </c>
      <c r="U153" s="194">
        <f>T153+L153</f>
        <v>0</v>
      </c>
      <c r="V153" s="171"/>
      <c r="W153" s="192">
        <f>V153-U153</f>
        <v>0</v>
      </c>
      <c r="Z153" s="301"/>
    </row>
    <row r="154" spans="1:26" s="205" customFormat="1" ht="23.5" hidden="1" customHeight="1">
      <c r="A154" s="610"/>
      <c r="B154" s="581"/>
      <c r="C154" s="583"/>
      <c r="D154" s="174" t="str">
        <f>серпень!D154</f>
        <v>місцевий (план), тис.грн</v>
      </c>
      <c r="E154" s="210"/>
      <c r="F154" s="192"/>
      <c r="G154" s="192"/>
      <c r="H154" s="192"/>
      <c r="I154" s="192"/>
      <c r="J154" s="192"/>
      <c r="K154" s="192"/>
      <c r="L154" s="194">
        <f>SUM(F154:K154)</f>
        <v>0</v>
      </c>
      <c r="M154" s="194">
        <f>L154/6</f>
        <v>0</v>
      </c>
      <c r="N154" s="192"/>
      <c r="O154" s="192"/>
      <c r="P154" s="192"/>
      <c r="Q154" s="192"/>
      <c r="R154" s="192"/>
      <c r="S154" s="192"/>
      <c r="T154" s="194">
        <f>SUM(N154:S154)</f>
        <v>0</v>
      </c>
      <c r="U154" s="194">
        <f>T154+L154</f>
        <v>0</v>
      </c>
      <c r="V154" s="171"/>
      <c r="W154" s="192">
        <f>V154-U154</f>
        <v>0</v>
      </c>
      <c r="Z154" s="301"/>
    </row>
    <row r="155" spans="1:26" s="205" customFormat="1" ht="23.5" hidden="1" customHeight="1">
      <c r="A155" s="610"/>
      <c r="B155" s="581"/>
      <c r="C155" s="583"/>
      <c r="D155" s="178" t="str">
        <f>серпень!D155</f>
        <v>касові нат.п-ки 2025</v>
      </c>
      <c r="E155" s="179"/>
      <c r="F155" s="184"/>
      <c r="G155" s="184"/>
      <c r="H155" s="179"/>
      <c r="I155" s="179"/>
      <c r="J155" s="216"/>
      <c r="K155" s="179"/>
      <c r="L155" s="215">
        <f>SUM(F155:K155)</f>
        <v>0</v>
      </c>
      <c r="M155" s="215">
        <f>L155/6</f>
        <v>0</v>
      </c>
      <c r="N155" s="179"/>
      <c r="O155" s="179"/>
      <c r="P155" s="179"/>
      <c r="Q155" s="179"/>
      <c r="R155" s="179"/>
      <c r="S155" s="179"/>
      <c r="T155" s="215">
        <f>SUM(N155:S155)</f>
        <v>0</v>
      </c>
      <c r="U155" s="215">
        <f>T155+L155</f>
        <v>0</v>
      </c>
      <c r="V155" s="179">
        <f>V150</f>
        <v>0</v>
      </c>
      <c r="W155" s="184">
        <f>V155-U155</f>
        <v>0</v>
      </c>
      <c r="X155" s="185">
        <f>U150-U155</f>
        <v>0</v>
      </c>
      <c r="Z155" s="301"/>
    </row>
    <row r="156" spans="1:26" s="205" customFormat="1" ht="23.5" hidden="1" customHeight="1">
      <c r="A156" s="610"/>
      <c r="B156" s="581"/>
      <c r="C156" s="583"/>
      <c r="D156" s="187" t="str">
        <f>серпень!D156</f>
        <v>тариф, грн.</v>
      </c>
      <c r="E156" s="188" t="e">
        <f t="shared" ref="E156" si="208">E157/E155*1000</f>
        <v>#DIV/0!</v>
      </c>
      <c r="F156" s="188"/>
      <c r="G156" s="188"/>
      <c r="H156" s="188"/>
      <c r="I156" s="188"/>
      <c r="J156" s="188"/>
      <c r="K156" s="188"/>
      <c r="L156" s="217" t="e">
        <f>L157/L155*1000</f>
        <v>#DIV/0!</v>
      </c>
      <c r="M156" s="217" t="e">
        <f>M157/M155*1000</f>
        <v>#DIV/0!</v>
      </c>
      <c r="N156" s="188"/>
      <c r="O156" s="188"/>
      <c r="P156" s="188"/>
      <c r="Q156" s="188"/>
      <c r="R156" s="218"/>
      <c r="S156" s="218"/>
      <c r="T156" s="217" t="e">
        <f>T157/T155*1000</f>
        <v>#DIV/0!</v>
      </c>
      <c r="U156" s="217" t="e">
        <f>U157/U155*1000</f>
        <v>#DIV/0!</v>
      </c>
      <c r="V156" s="218" t="e">
        <f>V157/V155*1000</f>
        <v>#DIV/0!</v>
      </c>
      <c r="W156" s="219" t="e">
        <f>W157/W155*1000</f>
        <v>#DIV/0!</v>
      </c>
      <c r="X156" s="185"/>
      <c r="Z156" s="301"/>
    </row>
    <row r="157" spans="1:26" s="205" customFormat="1" ht="23.5" hidden="1" customHeight="1">
      <c r="A157" s="610"/>
      <c r="B157" s="581"/>
      <c r="C157" s="583"/>
      <c r="D157" s="198" t="str">
        <f>серпень!D157</f>
        <v>касові видатки, тис.грн.</v>
      </c>
      <c r="E157" s="220"/>
      <c r="F157" s="199"/>
      <c r="G157" s="199"/>
      <c r="H157" s="199"/>
      <c r="I157" s="199"/>
      <c r="J157" s="199"/>
      <c r="K157" s="199">
        <v>0</v>
      </c>
      <c r="L157" s="199">
        <f>SUM(F157:K157)</f>
        <v>0</v>
      </c>
      <c r="M157" s="199">
        <f>L157/6</f>
        <v>0</v>
      </c>
      <c r="N157" s="199">
        <v>0</v>
      </c>
      <c r="O157" s="199">
        <v>0</v>
      </c>
      <c r="P157" s="199">
        <v>0</v>
      </c>
      <c r="Q157" s="199">
        <v>0</v>
      </c>
      <c r="R157" s="199">
        <v>0</v>
      </c>
      <c r="S157" s="199">
        <v>0</v>
      </c>
      <c r="T157" s="199">
        <f>SUM(N157:S157)</f>
        <v>0</v>
      </c>
      <c r="U157" s="199">
        <f>T157+L157</f>
        <v>0</v>
      </c>
      <c r="V157" s="199">
        <f>V152</f>
        <v>0</v>
      </c>
      <c r="W157" s="221">
        <f>V157-U157</f>
        <v>0</v>
      </c>
      <c r="X157" s="176">
        <f>U152-U157</f>
        <v>0</v>
      </c>
      <c r="Z157" s="301"/>
    </row>
    <row r="158" spans="1:26" s="205" customFormat="1" ht="23.5" hidden="1" customHeight="1">
      <c r="A158" s="610"/>
      <c r="B158" s="581"/>
      <c r="C158" s="583"/>
      <c r="D158" s="201" t="str">
        <f>серпень!D158</f>
        <v>дотація</v>
      </c>
      <c r="E158" s="220"/>
      <c r="F158" s="199">
        <v>0</v>
      </c>
      <c r="G158" s="199">
        <v>0</v>
      </c>
      <c r="H158" s="199">
        <v>0</v>
      </c>
      <c r="I158" s="199">
        <v>0</v>
      </c>
      <c r="J158" s="199">
        <v>0</v>
      </c>
      <c r="K158" s="199">
        <v>0</v>
      </c>
      <c r="L158" s="199">
        <f>SUM(F158:K158)</f>
        <v>0</v>
      </c>
      <c r="M158" s="199">
        <f>L158/6</f>
        <v>0</v>
      </c>
      <c r="N158" s="199">
        <v>0</v>
      </c>
      <c r="O158" s="199">
        <v>0</v>
      </c>
      <c r="P158" s="199">
        <v>0</v>
      </c>
      <c r="Q158" s="199">
        <v>0</v>
      </c>
      <c r="R158" s="199">
        <v>0</v>
      </c>
      <c r="S158" s="199">
        <v>0</v>
      </c>
      <c r="T158" s="199">
        <f>SUM(N158:S158)</f>
        <v>0</v>
      </c>
      <c r="U158" s="199">
        <f>T158+L158</f>
        <v>0</v>
      </c>
      <c r="V158" s="199">
        <f>V153</f>
        <v>0</v>
      </c>
      <c r="W158" s="221">
        <f>V158-U158</f>
        <v>0</v>
      </c>
      <c r="X158" s="176">
        <f>U153-U158</f>
        <v>0</v>
      </c>
      <c r="Z158" s="301"/>
    </row>
    <row r="159" spans="1:26" s="205" customFormat="1" ht="23.5" hidden="1" customHeight="1">
      <c r="A159" s="610"/>
      <c r="B159" s="581"/>
      <c r="C159" s="583"/>
      <c r="D159" s="201" t="str">
        <f>серпень!D159</f>
        <v xml:space="preserve">місцевий </v>
      </c>
      <c r="E159" s="220"/>
      <c r="F159" s="199">
        <f t="shared" ref="F159:K159" si="209">F157-F158</f>
        <v>0</v>
      </c>
      <c r="G159" s="199">
        <f t="shared" si="209"/>
        <v>0</v>
      </c>
      <c r="H159" s="199">
        <f t="shared" si="209"/>
        <v>0</v>
      </c>
      <c r="I159" s="199">
        <f t="shared" si="209"/>
        <v>0</v>
      </c>
      <c r="J159" s="199">
        <f t="shared" si="209"/>
        <v>0</v>
      </c>
      <c r="K159" s="199">
        <f t="shared" si="209"/>
        <v>0</v>
      </c>
      <c r="L159" s="199">
        <f>SUM(F159:K159)</f>
        <v>0</v>
      </c>
      <c r="M159" s="199">
        <f>L159/6</f>
        <v>0</v>
      </c>
      <c r="N159" s="199">
        <f t="shared" ref="N159:S159" si="210">N157-N158</f>
        <v>0</v>
      </c>
      <c r="O159" s="199">
        <f t="shared" si="210"/>
        <v>0</v>
      </c>
      <c r="P159" s="199">
        <f t="shared" si="210"/>
        <v>0</v>
      </c>
      <c r="Q159" s="199">
        <f t="shared" si="210"/>
        <v>0</v>
      </c>
      <c r="R159" s="199">
        <f t="shared" si="210"/>
        <v>0</v>
      </c>
      <c r="S159" s="199">
        <f t="shared" si="210"/>
        <v>0</v>
      </c>
      <c r="T159" s="199">
        <f>SUM(N159:S159)</f>
        <v>0</v>
      </c>
      <c r="U159" s="199">
        <f>T159+L159</f>
        <v>0</v>
      </c>
      <c r="V159" s="199">
        <f>V154</f>
        <v>0</v>
      </c>
      <c r="W159" s="221">
        <f>V159-U159</f>
        <v>0</v>
      </c>
      <c r="X159" s="176">
        <f>U154-U159</f>
        <v>0</v>
      </c>
      <c r="Z159" s="301"/>
    </row>
    <row r="160" spans="1:26" s="43" customFormat="1" ht="18" hidden="1" customHeight="1">
      <c r="A160" s="610"/>
      <c r="B160" s="581"/>
      <c r="C160" s="583"/>
      <c r="D160" s="202" t="str">
        <f>серпень!D160</f>
        <v>план</v>
      </c>
      <c r="E160" s="203"/>
      <c r="F160" s="203">
        <f t="shared" ref="F160:K160" si="211">F153+F154</f>
        <v>0</v>
      </c>
      <c r="G160" s="203">
        <f t="shared" si="211"/>
        <v>0</v>
      </c>
      <c r="H160" s="203">
        <f t="shared" si="211"/>
        <v>0</v>
      </c>
      <c r="I160" s="203">
        <f t="shared" si="211"/>
        <v>0</v>
      </c>
      <c r="J160" s="203">
        <f t="shared" si="211"/>
        <v>0</v>
      </c>
      <c r="K160" s="203">
        <f t="shared" si="211"/>
        <v>0</v>
      </c>
      <c r="L160" s="203">
        <f>SUM(F160:K160)</f>
        <v>0</v>
      </c>
      <c r="M160" s="203">
        <f>L160/6</f>
        <v>0</v>
      </c>
      <c r="N160" s="203">
        <f t="shared" ref="N160:S160" si="212">N154+N153</f>
        <v>0</v>
      </c>
      <c r="O160" s="203">
        <f t="shared" si="212"/>
        <v>0</v>
      </c>
      <c r="P160" s="203">
        <f t="shared" si="212"/>
        <v>0</v>
      </c>
      <c r="Q160" s="203">
        <f t="shared" si="212"/>
        <v>0</v>
      </c>
      <c r="R160" s="203">
        <f t="shared" si="212"/>
        <v>0</v>
      </c>
      <c r="S160" s="203">
        <f t="shared" si="212"/>
        <v>0</v>
      </c>
      <c r="T160" s="203">
        <f>SUM(N160:S160)</f>
        <v>0</v>
      </c>
      <c r="U160" s="203">
        <f>T160+L160</f>
        <v>0</v>
      </c>
      <c r="V160" s="203">
        <f>V157</f>
        <v>0</v>
      </c>
      <c r="W160" s="203">
        <f>V160-U160</f>
        <v>0</v>
      </c>
      <c r="Z160" s="304"/>
    </row>
    <row r="161" spans="1:26" s="43" customFormat="1" ht="18" hidden="1" customHeight="1">
      <c r="A161" s="610"/>
      <c r="B161" s="581"/>
      <c r="C161" s="583"/>
      <c r="D161" s="202" t="str">
        <f>серпень!D161</f>
        <v xml:space="preserve">відхилення </v>
      </c>
      <c r="E161" s="203"/>
      <c r="F161" s="203">
        <f t="shared" ref="F161:K161" si="213">F157-F160</f>
        <v>0</v>
      </c>
      <c r="G161" s="203">
        <f t="shared" si="213"/>
        <v>0</v>
      </c>
      <c r="H161" s="203">
        <f t="shared" si="213"/>
        <v>0</v>
      </c>
      <c r="I161" s="203">
        <f t="shared" si="213"/>
        <v>0</v>
      </c>
      <c r="J161" s="203">
        <f t="shared" si="213"/>
        <v>0</v>
      </c>
      <c r="K161" s="203">
        <f t="shared" si="213"/>
        <v>0</v>
      </c>
      <c r="L161" s="203"/>
      <c r="M161" s="203"/>
      <c r="N161" s="203">
        <f t="shared" ref="N161:S161" si="214">N157-N160</f>
        <v>0</v>
      </c>
      <c r="O161" s="203">
        <f t="shared" si="214"/>
        <v>0</v>
      </c>
      <c r="P161" s="203">
        <f t="shared" si="214"/>
        <v>0</v>
      </c>
      <c r="Q161" s="203">
        <f t="shared" si="214"/>
        <v>0</v>
      </c>
      <c r="R161" s="203">
        <f t="shared" si="214"/>
        <v>0</v>
      </c>
      <c r="S161" s="203">
        <f t="shared" si="214"/>
        <v>0</v>
      </c>
      <c r="T161" s="203"/>
      <c r="U161" s="203"/>
      <c r="V161" s="203"/>
      <c r="W161" s="203"/>
      <c r="Z161" s="304"/>
    </row>
    <row r="162" spans="1:26" s="43" customFormat="1" ht="18" hidden="1" customHeight="1">
      <c r="A162" s="610"/>
      <c r="B162" s="581"/>
      <c r="C162" s="584"/>
      <c r="D162" s="202" t="str">
        <f>серпень!D162</f>
        <v>відхилення з наростаючим</v>
      </c>
      <c r="E162" s="203"/>
      <c r="F162" s="203">
        <f>F161</f>
        <v>0</v>
      </c>
      <c r="G162" s="203">
        <f>G161+F162</f>
        <v>0</v>
      </c>
      <c r="H162" s="203">
        <f>H161+G162</f>
        <v>0</v>
      </c>
      <c r="I162" s="203">
        <f>I161+H162</f>
        <v>0</v>
      </c>
      <c r="J162" s="203">
        <f>J161+I162</f>
        <v>0</v>
      </c>
      <c r="K162" s="203">
        <f>K161+J162</f>
        <v>0</v>
      </c>
      <c r="L162" s="203"/>
      <c r="M162" s="203"/>
      <c r="N162" s="203">
        <f>N161+K162</f>
        <v>0</v>
      </c>
      <c r="O162" s="203">
        <f>O161+N162</f>
        <v>0</v>
      </c>
      <c r="P162" s="203">
        <f>P161+O162</f>
        <v>0</v>
      </c>
      <c r="Q162" s="203">
        <f>Q161+P162</f>
        <v>0</v>
      </c>
      <c r="R162" s="203">
        <f>R161+Q162</f>
        <v>0</v>
      </c>
      <c r="S162" s="203">
        <f>S161+R162</f>
        <v>0</v>
      </c>
      <c r="T162" s="203"/>
      <c r="U162" s="203"/>
      <c r="V162" s="203"/>
      <c r="W162" s="203"/>
      <c r="Z162" s="304"/>
    </row>
    <row r="163" spans="1:26" s="186" customFormat="1" ht="18" hidden="1" customHeight="1">
      <c r="A163" s="610"/>
      <c r="B163" s="576" t="s">
        <v>61</v>
      </c>
      <c r="C163" s="577"/>
      <c r="D163" s="178" t="str">
        <f>серпень!D163</f>
        <v>факт. нат.п-ки 2023</v>
      </c>
      <c r="E163" s="179"/>
      <c r="F163" s="180">
        <f t="shared" ref="F163:K165" si="215">F178+F193</f>
        <v>0</v>
      </c>
      <c r="G163" s="180">
        <f t="shared" si="215"/>
        <v>0</v>
      </c>
      <c r="H163" s="180">
        <f t="shared" si="215"/>
        <v>0</v>
      </c>
      <c r="I163" s="180">
        <f t="shared" si="215"/>
        <v>0</v>
      </c>
      <c r="J163" s="180">
        <f t="shared" si="215"/>
        <v>0</v>
      </c>
      <c r="K163" s="180">
        <f t="shared" si="215"/>
        <v>0</v>
      </c>
      <c r="L163" s="207">
        <f>SUM(F163:K163)</f>
        <v>0</v>
      </c>
      <c r="M163" s="207">
        <f>L163/6</f>
        <v>0</v>
      </c>
      <c r="N163" s="180">
        <f t="shared" ref="N163:S165" si="216">N178+N193</f>
        <v>0</v>
      </c>
      <c r="O163" s="180">
        <f t="shared" si="216"/>
        <v>0</v>
      </c>
      <c r="P163" s="180">
        <f t="shared" si="216"/>
        <v>0</v>
      </c>
      <c r="Q163" s="180">
        <f t="shared" si="216"/>
        <v>0</v>
      </c>
      <c r="R163" s="180">
        <f t="shared" si="216"/>
        <v>0</v>
      </c>
      <c r="S163" s="180">
        <f t="shared" si="216"/>
        <v>0</v>
      </c>
      <c r="T163" s="207">
        <f>SUM(N163:S163)</f>
        <v>0</v>
      </c>
      <c r="U163" s="222">
        <f>T163+L163</f>
        <v>0</v>
      </c>
      <c r="V163" s="183">
        <f>V178+V193</f>
        <v>0</v>
      </c>
      <c r="W163" s="184">
        <f>V163-U163</f>
        <v>0</v>
      </c>
      <c r="X163" s="185"/>
      <c r="Z163" s="297"/>
    </row>
    <row r="164" spans="1:26" s="186" customFormat="1" ht="18" hidden="1" customHeight="1">
      <c r="A164" s="610"/>
      <c r="B164" s="576"/>
      <c r="C164" s="577"/>
      <c r="D164" s="178" t="str">
        <f>серпень!D164</f>
        <v>факт. нат.п-ки 2024</v>
      </c>
      <c r="E164" s="179"/>
      <c r="F164" s="180">
        <f t="shared" si="215"/>
        <v>0</v>
      </c>
      <c r="G164" s="180">
        <f t="shared" si="215"/>
        <v>0</v>
      </c>
      <c r="H164" s="180">
        <f t="shared" si="215"/>
        <v>0</v>
      </c>
      <c r="I164" s="180">
        <f t="shared" si="215"/>
        <v>0</v>
      </c>
      <c r="J164" s="180">
        <f t="shared" si="215"/>
        <v>0</v>
      </c>
      <c r="K164" s="180">
        <f t="shared" si="215"/>
        <v>0</v>
      </c>
      <c r="L164" s="207">
        <f>SUM(F164:K164)</f>
        <v>0</v>
      </c>
      <c r="M164" s="207">
        <f>L164/6</f>
        <v>0</v>
      </c>
      <c r="N164" s="179">
        <f t="shared" si="216"/>
        <v>0</v>
      </c>
      <c r="O164" s="179">
        <f t="shared" si="216"/>
        <v>0</v>
      </c>
      <c r="P164" s="179">
        <f t="shared" si="216"/>
        <v>0</v>
      </c>
      <c r="Q164" s="179">
        <f t="shared" si="216"/>
        <v>0</v>
      </c>
      <c r="R164" s="179">
        <f t="shared" si="216"/>
        <v>0</v>
      </c>
      <c r="S164" s="179">
        <f t="shared" si="216"/>
        <v>0</v>
      </c>
      <c r="T164" s="207">
        <f>SUM(N164:S164)</f>
        <v>0</v>
      </c>
      <c r="U164" s="222">
        <f>T164+L164</f>
        <v>0</v>
      </c>
      <c r="V164" s="183">
        <f>V179+V194</f>
        <v>0</v>
      </c>
      <c r="W164" s="184">
        <f>V164-U164</f>
        <v>0</v>
      </c>
      <c r="X164" s="185"/>
      <c r="Z164" s="297"/>
    </row>
    <row r="165" spans="1:26" s="186" customFormat="1" ht="18" hidden="1" customHeight="1">
      <c r="A165" s="610"/>
      <c r="B165" s="576"/>
      <c r="C165" s="577"/>
      <c r="D165" s="178" t="str">
        <f>серпень!D165</f>
        <v>факт. нат.п-ки 2025</v>
      </c>
      <c r="E165" s="179"/>
      <c r="F165" s="180">
        <f t="shared" si="215"/>
        <v>0</v>
      </c>
      <c r="G165" s="180">
        <f t="shared" si="215"/>
        <v>0</v>
      </c>
      <c r="H165" s="180">
        <f t="shared" si="215"/>
        <v>0</v>
      </c>
      <c r="I165" s="180">
        <f t="shared" si="215"/>
        <v>0</v>
      </c>
      <c r="J165" s="180">
        <f t="shared" si="215"/>
        <v>0</v>
      </c>
      <c r="K165" s="180">
        <f t="shared" si="215"/>
        <v>0</v>
      </c>
      <c r="L165" s="207">
        <f>SUM(F165:K165)</f>
        <v>0</v>
      </c>
      <c r="M165" s="207">
        <f>L165/6</f>
        <v>0</v>
      </c>
      <c r="N165" s="180">
        <f t="shared" si="216"/>
        <v>0</v>
      </c>
      <c r="O165" s="180">
        <f t="shared" si="216"/>
        <v>0</v>
      </c>
      <c r="P165" s="180">
        <f t="shared" si="216"/>
        <v>0</v>
      </c>
      <c r="Q165" s="180">
        <f t="shared" si="216"/>
        <v>0</v>
      </c>
      <c r="R165" s="180">
        <f t="shared" si="216"/>
        <v>0</v>
      </c>
      <c r="S165" s="180">
        <f t="shared" si="216"/>
        <v>0</v>
      </c>
      <c r="T165" s="207">
        <f>SUM(N165:S165)</f>
        <v>0</v>
      </c>
      <c r="U165" s="222">
        <f>T165+L165</f>
        <v>0</v>
      </c>
      <c r="V165" s="183">
        <f>V180+V195</f>
        <v>0</v>
      </c>
      <c r="W165" s="184">
        <f>V165-U165</f>
        <v>0</v>
      </c>
      <c r="X165" s="185"/>
      <c r="Z165" s="297"/>
    </row>
    <row r="166" spans="1:26" s="190" customFormat="1" ht="18" hidden="1" customHeight="1">
      <c r="A166" s="610"/>
      <c r="B166" s="576"/>
      <c r="C166" s="577"/>
      <c r="D166" s="187" t="str">
        <f>серпень!D166</f>
        <v>тариф, грн.</v>
      </c>
      <c r="E166" s="188"/>
      <c r="F166" s="188" t="e">
        <f>F167/F165*1000</f>
        <v>#DIV/0!</v>
      </c>
      <c r="G166" s="188" t="e">
        <f>G167/G165*1000</f>
        <v>#DIV/0!</v>
      </c>
      <c r="H166" s="188" t="e">
        <f>H167/H165*1000</f>
        <v>#DIV/0!</v>
      </c>
      <c r="I166" s="188" t="e">
        <f>I167/I165*1000</f>
        <v>#DIV/0!</v>
      </c>
      <c r="J166" s="188" t="e">
        <f>J167/J165*1000</f>
        <v>#DIV/0!</v>
      </c>
      <c r="K166" s="188" t="e">
        <f t="shared" ref="K166:S166" si="217">K167/K165*1000</f>
        <v>#DIV/0!</v>
      </c>
      <c r="L166" s="188" t="e">
        <f t="shared" si="217"/>
        <v>#DIV/0!</v>
      </c>
      <c r="M166" s="188" t="e">
        <f t="shared" si="217"/>
        <v>#DIV/0!</v>
      </c>
      <c r="N166" s="188" t="e">
        <f t="shared" si="217"/>
        <v>#DIV/0!</v>
      </c>
      <c r="O166" s="188" t="e">
        <f t="shared" si="217"/>
        <v>#DIV/0!</v>
      </c>
      <c r="P166" s="188" t="e">
        <f t="shared" si="217"/>
        <v>#DIV/0!</v>
      </c>
      <c r="Q166" s="188" t="e">
        <f t="shared" si="217"/>
        <v>#DIV/0!</v>
      </c>
      <c r="R166" s="188" t="e">
        <f t="shared" si="217"/>
        <v>#DIV/0!</v>
      </c>
      <c r="S166" s="188" t="e">
        <f t="shared" si="217"/>
        <v>#DIV/0!</v>
      </c>
      <c r="T166" s="188" t="e">
        <f>T167/T165*1000</f>
        <v>#DIV/0!</v>
      </c>
      <c r="U166" s="188" t="e">
        <f>U167/U165*1000</f>
        <v>#DIV/0!</v>
      </c>
      <c r="V166" s="188" t="e">
        <f>V167/V165*1000</f>
        <v>#DIV/0!</v>
      </c>
      <c r="W166" s="189" t="e">
        <f>W167/W165*1000</f>
        <v>#DIV/0!</v>
      </c>
      <c r="X166" s="223"/>
      <c r="Z166" s="298"/>
    </row>
    <row r="167" spans="1:26" s="196" customFormat="1" ht="18" hidden="1" customHeight="1">
      <c r="A167" s="610"/>
      <c r="B167" s="576"/>
      <c r="C167" s="577"/>
      <c r="D167" s="191" t="str">
        <f>серпень!D167</f>
        <v>сума, тис.грн.</v>
      </c>
      <c r="E167" s="192"/>
      <c r="F167" s="192">
        <f t="shared" ref="F167:K170" si="218">F182+F197</f>
        <v>0</v>
      </c>
      <c r="G167" s="192">
        <f t="shared" si="218"/>
        <v>0</v>
      </c>
      <c r="H167" s="192">
        <f t="shared" si="218"/>
        <v>0</v>
      </c>
      <c r="I167" s="192">
        <f t="shared" si="218"/>
        <v>0</v>
      </c>
      <c r="J167" s="192">
        <f t="shared" si="218"/>
        <v>0</v>
      </c>
      <c r="K167" s="192">
        <f t="shared" si="218"/>
        <v>0</v>
      </c>
      <c r="L167" s="192">
        <f>SUM(F167:K167)</f>
        <v>0</v>
      </c>
      <c r="M167" s="192">
        <f>L167/6</f>
        <v>0</v>
      </c>
      <c r="N167" s="192">
        <f t="shared" ref="N167:S170" si="219">N182+N197</f>
        <v>0</v>
      </c>
      <c r="O167" s="192">
        <f t="shared" si="219"/>
        <v>0</v>
      </c>
      <c r="P167" s="192">
        <f t="shared" si="219"/>
        <v>0</v>
      </c>
      <c r="Q167" s="192">
        <f t="shared" si="219"/>
        <v>0</v>
      </c>
      <c r="R167" s="192">
        <f t="shared" si="219"/>
        <v>0</v>
      </c>
      <c r="S167" s="192">
        <f t="shared" si="219"/>
        <v>0</v>
      </c>
      <c r="T167" s="192">
        <f>SUM(N167:S167)</f>
        <v>0</v>
      </c>
      <c r="U167" s="192">
        <f>T167+L167</f>
        <v>0</v>
      </c>
      <c r="V167" s="193">
        <f>V182+V197</f>
        <v>0</v>
      </c>
      <c r="W167" s="193">
        <f>V167-U167</f>
        <v>0</v>
      </c>
      <c r="X167" s="224">
        <f>9891253.845/1000</f>
        <v>9891.2540000000008</v>
      </c>
      <c r="Z167" s="299"/>
    </row>
    <row r="168" spans="1:26" s="196" customFormat="1" ht="18" hidden="1" customHeight="1">
      <c r="A168" s="610"/>
      <c r="B168" s="576"/>
      <c r="C168" s="577"/>
      <c r="D168" s="174" t="str">
        <f>серпень!D168</f>
        <v>дотація</v>
      </c>
      <c r="E168" s="210"/>
      <c r="F168" s="192">
        <f t="shared" si="218"/>
        <v>0</v>
      </c>
      <c r="G168" s="192">
        <f t="shared" si="218"/>
        <v>0</v>
      </c>
      <c r="H168" s="192">
        <f t="shared" si="218"/>
        <v>0</v>
      </c>
      <c r="I168" s="192">
        <f t="shared" si="218"/>
        <v>0</v>
      </c>
      <c r="J168" s="192">
        <f t="shared" si="218"/>
        <v>0</v>
      </c>
      <c r="K168" s="192">
        <f t="shared" si="218"/>
        <v>0</v>
      </c>
      <c r="L168" s="192">
        <f>SUM(F168:K168)</f>
        <v>0</v>
      </c>
      <c r="M168" s="192">
        <f>L168/6</f>
        <v>0</v>
      </c>
      <c r="N168" s="192">
        <f t="shared" si="219"/>
        <v>0</v>
      </c>
      <c r="O168" s="192">
        <f t="shared" si="219"/>
        <v>0</v>
      </c>
      <c r="P168" s="192">
        <f t="shared" si="219"/>
        <v>0</v>
      </c>
      <c r="Q168" s="192">
        <f t="shared" si="219"/>
        <v>0</v>
      </c>
      <c r="R168" s="192">
        <f t="shared" si="219"/>
        <v>0</v>
      </c>
      <c r="S168" s="192">
        <f t="shared" si="219"/>
        <v>0</v>
      </c>
      <c r="T168" s="192">
        <f>SUM(N168:S168)</f>
        <v>0</v>
      </c>
      <c r="U168" s="192">
        <f>T168+L168</f>
        <v>0</v>
      </c>
      <c r="V168" s="193">
        <f>V183+V198</f>
        <v>0</v>
      </c>
      <c r="W168" s="211">
        <f>V168-U168</f>
        <v>0</v>
      </c>
      <c r="X168" s="195"/>
      <c r="Z168" s="299"/>
    </row>
    <row r="169" spans="1:26" s="196" customFormat="1" ht="18" hidden="1" customHeight="1">
      <c r="A169" s="610"/>
      <c r="B169" s="576"/>
      <c r="C169" s="577"/>
      <c r="D169" s="174" t="str">
        <f>серпень!D169</f>
        <v>місцевий (план), тис.грн</v>
      </c>
      <c r="E169" s="210"/>
      <c r="F169" s="192">
        <f t="shared" si="218"/>
        <v>0</v>
      </c>
      <c r="G169" s="192">
        <f t="shared" si="218"/>
        <v>0</v>
      </c>
      <c r="H169" s="192">
        <f t="shared" si="218"/>
        <v>0</v>
      </c>
      <c r="I169" s="192">
        <f t="shared" si="218"/>
        <v>0</v>
      </c>
      <c r="J169" s="192">
        <f t="shared" si="218"/>
        <v>0</v>
      </c>
      <c r="K169" s="192">
        <f t="shared" si="218"/>
        <v>0</v>
      </c>
      <c r="L169" s="192">
        <f>SUM(F169:K169)</f>
        <v>0</v>
      </c>
      <c r="M169" s="192">
        <f>L169/6</f>
        <v>0</v>
      </c>
      <c r="N169" s="192">
        <f t="shared" si="219"/>
        <v>0</v>
      </c>
      <c r="O169" s="192">
        <f t="shared" si="219"/>
        <v>0</v>
      </c>
      <c r="P169" s="192">
        <f t="shared" si="219"/>
        <v>0</v>
      </c>
      <c r="Q169" s="192">
        <f t="shared" si="219"/>
        <v>0</v>
      </c>
      <c r="R169" s="192">
        <f t="shared" si="219"/>
        <v>0</v>
      </c>
      <c r="S169" s="192">
        <f t="shared" si="219"/>
        <v>0</v>
      </c>
      <c r="T169" s="192">
        <f>SUM(N169:S169)</f>
        <v>0</v>
      </c>
      <c r="U169" s="192">
        <f>T169+L169</f>
        <v>0</v>
      </c>
      <c r="V169" s="193">
        <f>V184+V199</f>
        <v>0</v>
      </c>
      <c r="W169" s="193">
        <f>V169-U169</f>
        <v>0</v>
      </c>
      <c r="X169" s="195"/>
      <c r="Z169" s="299"/>
    </row>
    <row r="170" spans="1:26" s="186" customFormat="1" ht="18" hidden="1" customHeight="1">
      <c r="A170" s="610"/>
      <c r="B170" s="576"/>
      <c r="C170" s="577"/>
      <c r="D170" s="178" t="str">
        <f>серпень!D170</f>
        <v>касові нат.п-ки 2025</v>
      </c>
      <c r="E170" s="179">
        <f>E185+E200</f>
        <v>0</v>
      </c>
      <c r="F170" s="179">
        <f t="shared" si="218"/>
        <v>0</v>
      </c>
      <c r="G170" s="179">
        <f t="shared" si="218"/>
        <v>0</v>
      </c>
      <c r="H170" s="179">
        <f t="shared" si="218"/>
        <v>0</v>
      </c>
      <c r="I170" s="179">
        <f t="shared" si="218"/>
        <v>0</v>
      </c>
      <c r="J170" s="179">
        <f t="shared" si="218"/>
        <v>0</v>
      </c>
      <c r="K170" s="179">
        <f t="shared" si="218"/>
        <v>0</v>
      </c>
      <c r="L170" s="207">
        <f>SUM(F170:K170)</f>
        <v>0</v>
      </c>
      <c r="M170" s="207">
        <f>L170/6</f>
        <v>0</v>
      </c>
      <c r="N170" s="179">
        <f t="shared" si="219"/>
        <v>0</v>
      </c>
      <c r="O170" s="179">
        <f t="shared" si="219"/>
        <v>0</v>
      </c>
      <c r="P170" s="179">
        <f t="shared" si="219"/>
        <v>0</v>
      </c>
      <c r="Q170" s="179">
        <f t="shared" si="219"/>
        <v>0</v>
      </c>
      <c r="R170" s="179">
        <f t="shared" si="219"/>
        <v>0</v>
      </c>
      <c r="S170" s="179">
        <f t="shared" si="219"/>
        <v>0</v>
      </c>
      <c r="T170" s="207">
        <f>SUM(N170:S170)</f>
        <v>0</v>
      </c>
      <c r="U170" s="207">
        <f>T170+L170</f>
        <v>0</v>
      </c>
      <c r="V170" s="184">
        <f>V185+V200</f>
        <v>0</v>
      </c>
      <c r="W170" s="184">
        <f>V170-U170</f>
        <v>0</v>
      </c>
      <c r="X170" s="185">
        <f>U165-U170</f>
        <v>0</v>
      </c>
      <c r="Z170" s="297"/>
    </row>
    <row r="171" spans="1:26" s="190" customFormat="1" ht="18" hidden="1" customHeight="1">
      <c r="A171" s="610"/>
      <c r="B171" s="576"/>
      <c r="C171" s="577"/>
      <c r="D171" s="187" t="str">
        <f>серпень!D171</f>
        <v>тариф, грн.</v>
      </c>
      <c r="E171" s="188" t="e">
        <f t="shared" ref="E171:S171" si="220">E172/E170*1000</f>
        <v>#DIV/0!</v>
      </c>
      <c r="F171" s="188" t="e">
        <f t="shared" si="220"/>
        <v>#DIV/0!</v>
      </c>
      <c r="G171" s="188" t="e">
        <f t="shared" si="220"/>
        <v>#DIV/0!</v>
      </c>
      <c r="H171" s="188" t="e">
        <f t="shared" si="220"/>
        <v>#DIV/0!</v>
      </c>
      <c r="I171" s="188" t="e">
        <f t="shared" si="220"/>
        <v>#DIV/0!</v>
      </c>
      <c r="J171" s="188" t="e">
        <f t="shared" si="220"/>
        <v>#DIV/0!</v>
      </c>
      <c r="K171" s="188" t="e">
        <f t="shared" si="220"/>
        <v>#DIV/0!</v>
      </c>
      <c r="L171" s="188" t="e">
        <f t="shared" si="220"/>
        <v>#DIV/0!</v>
      </c>
      <c r="M171" s="188" t="e">
        <f t="shared" si="220"/>
        <v>#DIV/0!</v>
      </c>
      <c r="N171" s="188" t="e">
        <f t="shared" si="220"/>
        <v>#DIV/0!</v>
      </c>
      <c r="O171" s="188" t="e">
        <f t="shared" si="220"/>
        <v>#DIV/0!</v>
      </c>
      <c r="P171" s="188" t="e">
        <f t="shared" si="220"/>
        <v>#DIV/0!</v>
      </c>
      <c r="Q171" s="188" t="e">
        <f t="shared" si="220"/>
        <v>#DIV/0!</v>
      </c>
      <c r="R171" s="188" t="e">
        <f t="shared" si="220"/>
        <v>#DIV/0!</v>
      </c>
      <c r="S171" s="188" t="e">
        <f t="shared" si="220"/>
        <v>#DIV/0!</v>
      </c>
      <c r="T171" s="188" t="e">
        <f>T172/T170*1000</f>
        <v>#DIV/0!</v>
      </c>
      <c r="U171" s="188" t="e">
        <f>U172/U170*1000</f>
        <v>#DIV/0!</v>
      </c>
      <c r="V171" s="188" t="e">
        <f>V172/V170*1000</f>
        <v>#DIV/0!</v>
      </c>
      <c r="W171" s="189" t="e">
        <f>W172/W170*1000</f>
        <v>#DIV/0!</v>
      </c>
      <c r="X171" s="225"/>
      <c r="Z171" s="298"/>
    </row>
    <row r="172" spans="1:26" s="176" customFormat="1" ht="18" hidden="1" customHeight="1">
      <c r="A172" s="610"/>
      <c r="B172" s="576"/>
      <c r="C172" s="577"/>
      <c r="D172" s="198" t="str">
        <f>серпень!D172</f>
        <v>касові видатки, тис.грн.</v>
      </c>
      <c r="E172" s="212">
        <f t="shared" ref="E172:K174" si="221">E187+E202</f>
        <v>0</v>
      </c>
      <c r="F172" s="199">
        <f t="shared" si="221"/>
        <v>0</v>
      </c>
      <c r="G172" s="199">
        <f t="shared" si="221"/>
        <v>0</v>
      </c>
      <c r="H172" s="199">
        <f t="shared" si="221"/>
        <v>0</v>
      </c>
      <c r="I172" s="199">
        <f t="shared" si="221"/>
        <v>0</v>
      </c>
      <c r="J172" s="199">
        <f t="shared" si="221"/>
        <v>0</v>
      </c>
      <c r="K172" s="199">
        <f t="shared" si="221"/>
        <v>0</v>
      </c>
      <c r="L172" s="199">
        <f>SUM(F172:K172)</f>
        <v>0</v>
      </c>
      <c r="M172" s="199">
        <f>L172/6</f>
        <v>0</v>
      </c>
      <c r="N172" s="199">
        <f t="shared" ref="N172:S174" si="222">N187+N202</f>
        <v>0</v>
      </c>
      <c r="O172" s="199">
        <f t="shared" si="222"/>
        <v>0</v>
      </c>
      <c r="P172" s="199">
        <f t="shared" si="222"/>
        <v>0</v>
      </c>
      <c r="Q172" s="199">
        <f t="shared" si="222"/>
        <v>0</v>
      </c>
      <c r="R172" s="199">
        <f t="shared" si="222"/>
        <v>0</v>
      </c>
      <c r="S172" s="199">
        <f t="shared" si="222"/>
        <v>0</v>
      </c>
      <c r="T172" s="199">
        <f>SUM(N172:S172)</f>
        <v>0</v>
      </c>
      <c r="U172" s="199">
        <f>T172+L172</f>
        <v>0</v>
      </c>
      <c r="V172" s="175">
        <f>V187+V202</f>
        <v>0</v>
      </c>
      <c r="W172" s="175">
        <f>V172-U172</f>
        <v>0</v>
      </c>
      <c r="X172" s="176">
        <f>U167-U172</f>
        <v>0</v>
      </c>
      <c r="Z172" s="300"/>
    </row>
    <row r="173" spans="1:26" s="176" customFormat="1" ht="18" hidden="1" customHeight="1">
      <c r="A173" s="610"/>
      <c r="B173" s="576"/>
      <c r="C173" s="577"/>
      <c r="D173" s="201" t="str">
        <f>серпень!D173</f>
        <v>дотація</v>
      </c>
      <c r="E173" s="212"/>
      <c r="F173" s="199">
        <f t="shared" si="221"/>
        <v>0</v>
      </c>
      <c r="G173" s="199">
        <f t="shared" si="221"/>
        <v>0</v>
      </c>
      <c r="H173" s="199">
        <f t="shared" si="221"/>
        <v>0</v>
      </c>
      <c r="I173" s="199">
        <f t="shared" si="221"/>
        <v>0</v>
      </c>
      <c r="J173" s="199">
        <f>J188+J203</f>
        <v>0</v>
      </c>
      <c r="K173" s="199">
        <f t="shared" si="221"/>
        <v>0</v>
      </c>
      <c r="L173" s="199">
        <f>SUM(F173:K173)</f>
        <v>0</v>
      </c>
      <c r="M173" s="199">
        <f>L173/6</f>
        <v>0</v>
      </c>
      <c r="N173" s="199">
        <f t="shared" si="222"/>
        <v>0</v>
      </c>
      <c r="O173" s="199">
        <f t="shared" si="222"/>
        <v>0</v>
      </c>
      <c r="P173" s="199">
        <f t="shared" si="222"/>
        <v>0</v>
      </c>
      <c r="Q173" s="199">
        <f t="shared" si="222"/>
        <v>0</v>
      </c>
      <c r="R173" s="199">
        <f t="shared" si="222"/>
        <v>0</v>
      </c>
      <c r="S173" s="199">
        <f t="shared" si="222"/>
        <v>0</v>
      </c>
      <c r="T173" s="199">
        <f>SUM(N173:S173)</f>
        <v>0</v>
      </c>
      <c r="U173" s="199">
        <f>T173+L173</f>
        <v>0</v>
      </c>
      <c r="V173" s="175">
        <f>V188+V203</f>
        <v>0</v>
      </c>
      <c r="W173" s="175">
        <f>V173-U173</f>
        <v>0</v>
      </c>
      <c r="X173" s="176">
        <f>U168-U173</f>
        <v>0</v>
      </c>
      <c r="Z173" s="300"/>
    </row>
    <row r="174" spans="1:26" s="176" customFormat="1" ht="18" hidden="1" customHeight="1">
      <c r="A174" s="610"/>
      <c r="B174" s="576"/>
      <c r="C174" s="577"/>
      <c r="D174" s="201" t="str">
        <f>серпень!D174</f>
        <v xml:space="preserve">місцевий </v>
      </c>
      <c r="E174" s="212"/>
      <c r="F174" s="199">
        <f t="shared" si="221"/>
        <v>0</v>
      </c>
      <c r="G174" s="199">
        <f t="shared" si="221"/>
        <v>0</v>
      </c>
      <c r="H174" s="199">
        <f t="shared" si="221"/>
        <v>0</v>
      </c>
      <c r="I174" s="199">
        <f t="shared" si="221"/>
        <v>0</v>
      </c>
      <c r="J174" s="199">
        <f>J189+J204</f>
        <v>0</v>
      </c>
      <c r="K174" s="199">
        <f t="shared" si="221"/>
        <v>0</v>
      </c>
      <c r="L174" s="199">
        <f>SUM(F174:K174)</f>
        <v>0</v>
      </c>
      <c r="M174" s="199">
        <f>L174/6</f>
        <v>0</v>
      </c>
      <c r="N174" s="199">
        <f t="shared" si="222"/>
        <v>0</v>
      </c>
      <c r="O174" s="199">
        <f t="shared" si="222"/>
        <v>0</v>
      </c>
      <c r="P174" s="199">
        <f t="shared" si="222"/>
        <v>0</v>
      </c>
      <c r="Q174" s="199">
        <f t="shared" si="222"/>
        <v>0</v>
      </c>
      <c r="R174" s="199">
        <f t="shared" si="222"/>
        <v>0</v>
      </c>
      <c r="S174" s="199">
        <f t="shared" si="222"/>
        <v>0</v>
      </c>
      <c r="T174" s="199">
        <f>SUM(N174:S174)</f>
        <v>0</v>
      </c>
      <c r="U174" s="199">
        <f>T174+L174</f>
        <v>0</v>
      </c>
      <c r="V174" s="175">
        <f>V189+V204</f>
        <v>0</v>
      </c>
      <c r="W174" s="175">
        <f>V174-U174</f>
        <v>0</v>
      </c>
      <c r="X174" s="176">
        <f>U169-U174</f>
        <v>0</v>
      </c>
      <c r="Z174" s="300"/>
    </row>
    <row r="175" spans="1:26" s="205" customFormat="1" ht="18" hidden="1" customHeight="1">
      <c r="A175" s="610"/>
      <c r="B175" s="576"/>
      <c r="C175" s="577"/>
      <c r="D175" s="202" t="str">
        <f>серпень!D175</f>
        <v>план</v>
      </c>
      <c r="E175" s="203"/>
      <c r="F175" s="203">
        <f t="shared" ref="F175:K175" si="223">F169</f>
        <v>0</v>
      </c>
      <c r="G175" s="203">
        <f t="shared" si="223"/>
        <v>0</v>
      </c>
      <c r="H175" s="203">
        <f t="shared" si="223"/>
        <v>0</v>
      </c>
      <c r="I175" s="203">
        <f t="shared" si="223"/>
        <v>0</v>
      </c>
      <c r="J175" s="203">
        <f t="shared" si="223"/>
        <v>0</v>
      </c>
      <c r="K175" s="203">
        <f t="shared" si="223"/>
        <v>0</v>
      </c>
      <c r="L175" s="203">
        <f>SUM(F175:K175)</f>
        <v>0</v>
      </c>
      <c r="M175" s="203">
        <f>L175/6</f>
        <v>0</v>
      </c>
      <c r="N175" s="203">
        <f t="shared" ref="N175:S175" si="224">N169+N168</f>
        <v>0</v>
      </c>
      <c r="O175" s="203">
        <f t="shared" si="224"/>
        <v>0</v>
      </c>
      <c r="P175" s="203">
        <f t="shared" si="224"/>
        <v>0</v>
      </c>
      <c r="Q175" s="203">
        <f t="shared" si="224"/>
        <v>0</v>
      </c>
      <c r="R175" s="203">
        <f t="shared" si="224"/>
        <v>0</v>
      </c>
      <c r="S175" s="203">
        <f t="shared" si="224"/>
        <v>0</v>
      </c>
      <c r="T175" s="203">
        <f>SUM(N175:S175)</f>
        <v>0</v>
      </c>
      <c r="U175" s="203">
        <f>T175+L175</f>
        <v>0</v>
      </c>
      <c r="V175" s="204">
        <f>V190+V205</f>
        <v>0</v>
      </c>
      <c r="W175" s="204">
        <f>V175-U175</f>
        <v>0</v>
      </c>
      <c r="Z175" s="301"/>
    </row>
    <row r="176" spans="1:26" s="205" customFormat="1" ht="18" hidden="1" customHeight="1">
      <c r="A176" s="610"/>
      <c r="B176" s="576"/>
      <c r="C176" s="577"/>
      <c r="D176" s="202" t="str">
        <f>серпень!D176</f>
        <v xml:space="preserve">відхилення </v>
      </c>
      <c r="E176" s="203"/>
      <c r="F176" s="203">
        <f t="shared" ref="F176:K176" si="225">F172-F175</f>
        <v>0</v>
      </c>
      <c r="G176" s="203">
        <f t="shared" si="225"/>
        <v>0</v>
      </c>
      <c r="H176" s="203">
        <f t="shared" si="225"/>
        <v>0</v>
      </c>
      <c r="I176" s="203">
        <f t="shared" si="225"/>
        <v>0</v>
      </c>
      <c r="J176" s="203">
        <f t="shared" si="225"/>
        <v>0</v>
      </c>
      <c r="K176" s="203">
        <f t="shared" si="225"/>
        <v>0</v>
      </c>
      <c r="L176" s="203"/>
      <c r="M176" s="203"/>
      <c r="N176" s="203">
        <f t="shared" ref="N176:S176" si="226">N172-N175</f>
        <v>0</v>
      </c>
      <c r="O176" s="203">
        <f t="shared" si="226"/>
        <v>0</v>
      </c>
      <c r="P176" s="203">
        <f t="shared" si="226"/>
        <v>0</v>
      </c>
      <c r="Q176" s="203">
        <f t="shared" si="226"/>
        <v>0</v>
      </c>
      <c r="R176" s="203">
        <f t="shared" si="226"/>
        <v>0</v>
      </c>
      <c r="S176" s="203">
        <f t="shared" si="226"/>
        <v>0</v>
      </c>
      <c r="T176" s="203"/>
      <c r="U176" s="203"/>
      <c r="V176" s="203"/>
      <c r="W176" s="203"/>
      <c r="Z176" s="301"/>
    </row>
    <row r="177" spans="1:26" s="205" customFormat="1" ht="18" hidden="1" customHeight="1">
      <c r="A177" s="610"/>
      <c r="B177" s="576"/>
      <c r="C177" s="577"/>
      <c r="D177" s="202" t="str">
        <f>серпень!D177</f>
        <v>відхилення з наростаючим</v>
      </c>
      <c r="E177" s="203"/>
      <c r="F177" s="203">
        <f>F176</f>
        <v>0</v>
      </c>
      <c r="G177" s="203">
        <f>G176+F177</f>
        <v>0</v>
      </c>
      <c r="H177" s="203">
        <f>H176+G177</f>
        <v>0</v>
      </c>
      <c r="I177" s="203">
        <f>I176+H177</f>
        <v>0</v>
      </c>
      <c r="J177" s="203">
        <f>J176+I177</f>
        <v>0</v>
      </c>
      <c r="K177" s="203">
        <f>K176+J177</f>
        <v>0</v>
      </c>
      <c r="L177" s="203"/>
      <c r="M177" s="203"/>
      <c r="N177" s="203">
        <f>N176+K177</f>
        <v>0</v>
      </c>
      <c r="O177" s="203">
        <f>O176+N177</f>
        <v>0</v>
      </c>
      <c r="P177" s="203">
        <f>P176+O177</f>
        <v>0</v>
      </c>
      <c r="Q177" s="203">
        <f>Q176+P177</f>
        <v>0</v>
      </c>
      <c r="R177" s="203">
        <f>R176+Q177</f>
        <v>0</v>
      </c>
      <c r="S177" s="203">
        <f>S176+R177</f>
        <v>0</v>
      </c>
      <c r="T177" s="203"/>
      <c r="U177" s="203"/>
      <c r="V177" s="203"/>
      <c r="W177" s="203"/>
      <c r="Z177" s="301"/>
    </row>
    <row r="178" spans="1:26" s="185" customFormat="1" ht="18" hidden="1" customHeight="1">
      <c r="A178" s="610"/>
      <c r="B178" s="581" t="s">
        <v>89</v>
      </c>
      <c r="C178" s="581"/>
      <c r="D178" s="178" t="str">
        <f>серпень!D178</f>
        <v>факт. нат.п-ки 2023</v>
      </c>
      <c r="E178" s="179"/>
      <c r="F178" s="180"/>
      <c r="G178" s="180"/>
      <c r="H178" s="180"/>
      <c r="I178" s="180"/>
      <c r="J178" s="180"/>
      <c r="K178" s="180"/>
      <c r="L178" s="215">
        <f>SUM(F178:K178)</f>
        <v>0</v>
      </c>
      <c r="M178" s="215">
        <f>L178/6</f>
        <v>0</v>
      </c>
      <c r="N178" s="180"/>
      <c r="O178" s="180"/>
      <c r="P178" s="180"/>
      <c r="Q178" s="180"/>
      <c r="R178" s="180"/>
      <c r="S178" s="180"/>
      <c r="T178" s="215">
        <f>SUM(N178:S178)</f>
        <v>0</v>
      </c>
      <c r="U178" s="226">
        <f>T178+L178</f>
        <v>0</v>
      </c>
      <c r="V178" s="227"/>
      <c r="W178" s="184">
        <f>V178-U178</f>
        <v>0</v>
      </c>
      <c r="Z178" s="297"/>
    </row>
    <row r="179" spans="1:26" s="185" customFormat="1" ht="18" hidden="1" customHeight="1">
      <c r="A179" s="610"/>
      <c r="B179" s="581"/>
      <c r="C179" s="581"/>
      <c r="D179" s="178" t="str">
        <f>серпень!D179</f>
        <v>факт. нат.п-ки 2024</v>
      </c>
      <c r="E179" s="179"/>
      <c r="F179" s="180"/>
      <c r="G179" s="180"/>
      <c r="H179" s="180"/>
      <c r="I179" s="180"/>
      <c r="J179" s="180"/>
      <c r="K179" s="180"/>
      <c r="L179" s="215">
        <f>SUM(F179:K179)</f>
        <v>0</v>
      </c>
      <c r="M179" s="215">
        <f>L179/6</f>
        <v>0</v>
      </c>
      <c r="N179" s="179"/>
      <c r="O179" s="179"/>
      <c r="P179" s="179"/>
      <c r="Q179" s="179"/>
      <c r="R179" s="179"/>
      <c r="S179" s="179"/>
      <c r="T179" s="215">
        <f>SUM(N179:S179)</f>
        <v>0</v>
      </c>
      <c r="U179" s="226">
        <f>T179+L179</f>
        <v>0</v>
      </c>
      <c r="V179" s="227"/>
      <c r="W179" s="184">
        <f>V179-U179</f>
        <v>0</v>
      </c>
      <c r="Z179" s="297"/>
    </row>
    <row r="180" spans="1:26" s="185" customFormat="1" ht="18" hidden="1" customHeight="1">
      <c r="A180" s="610"/>
      <c r="B180" s="581"/>
      <c r="C180" s="581"/>
      <c r="D180" s="178" t="str">
        <f>серпень!D180</f>
        <v>факт. нат.п-ки 2025</v>
      </c>
      <c r="E180" s="179"/>
      <c r="F180" s="180"/>
      <c r="G180" s="180"/>
      <c r="H180" s="180"/>
      <c r="I180" s="180"/>
      <c r="J180" s="180"/>
      <c r="K180" s="180"/>
      <c r="L180" s="215">
        <f>SUM(F180:K180)</f>
        <v>0</v>
      </c>
      <c r="M180" s="215">
        <f>L180/6</f>
        <v>0</v>
      </c>
      <c r="N180" s="180"/>
      <c r="O180" s="180"/>
      <c r="P180" s="180"/>
      <c r="Q180" s="180"/>
      <c r="R180" s="180"/>
      <c r="S180" s="179"/>
      <c r="T180" s="215">
        <f>SUM(N180:S180)</f>
        <v>0</v>
      </c>
      <c r="U180" s="226">
        <f>T180+L180</f>
        <v>0</v>
      </c>
      <c r="V180" s="179"/>
      <c r="W180" s="184">
        <f>V180-U180</f>
        <v>0</v>
      </c>
      <c r="Z180" s="297"/>
    </row>
    <row r="181" spans="1:26" s="185" customFormat="1" ht="18" hidden="1" customHeight="1">
      <c r="A181" s="610"/>
      <c r="B181" s="581"/>
      <c r="C181" s="581"/>
      <c r="D181" s="187" t="str">
        <f>серпень!D181</f>
        <v>тариф, грн.</v>
      </c>
      <c r="E181" s="188"/>
      <c r="F181" s="188">
        <v>2665.4160000000002</v>
      </c>
      <c r="G181" s="188">
        <v>2665.4160000000002</v>
      </c>
      <c r="H181" s="188">
        <v>2665.4160000000002</v>
      </c>
      <c r="I181" s="188">
        <v>2665.4160000000002</v>
      </c>
      <c r="J181" s="188">
        <v>2665.4160000000002</v>
      </c>
      <c r="K181" s="188">
        <v>2665.4160000000002</v>
      </c>
      <c r="L181" s="188" t="e">
        <f>L182/L180*1000</f>
        <v>#DIV/0!</v>
      </c>
      <c r="M181" s="188" t="e">
        <f>M182/M180*1000</f>
        <v>#DIV/0!</v>
      </c>
      <c r="N181" s="188">
        <v>2665.4160000000002</v>
      </c>
      <c r="O181" s="188">
        <v>2665.4160000000002</v>
      </c>
      <c r="P181" s="188">
        <v>2665.4160000000002</v>
      </c>
      <c r="Q181" s="188">
        <v>2665.4160000000002</v>
      </c>
      <c r="R181" s="188">
        <v>2665.4160000000002</v>
      </c>
      <c r="S181" s="188">
        <v>2665.4160000000002</v>
      </c>
      <c r="T181" s="188" t="e">
        <f>T182/T180*1000</f>
        <v>#DIV/0!</v>
      </c>
      <c r="U181" s="188" t="e">
        <f>U182/U180*1000</f>
        <v>#DIV/0!</v>
      </c>
      <c r="V181" s="218" t="e">
        <f>V182/V180*1000</f>
        <v>#DIV/0!</v>
      </c>
      <c r="W181" s="189" t="e">
        <f>W182/W180*1000</f>
        <v>#DIV/0!</v>
      </c>
      <c r="Z181" s="297"/>
    </row>
    <row r="182" spans="1:26" s="185" customFormat="1" ht="18" hidden="1" customHeight="1">
      <c r="A182" s="610"/>
      <c r="B182" s="581"/>
      <c r="C182" s="581"/>
      <c r="D182" s="191" t="str">
        <f>серпень!D182</f>
        <v>сума, тис.грн.</v>
      </c>
      <c r="E182" s="192"/>
      <c r="F182" s="192">
        <f t="shared" ref="F182:K182" si="227">F180*F181/1000</f>
        <v>0</v>
      </c>
      <c r="G182" s="192">
        <f t="shared" si="227"/>
        <v>0</v>
      </c>
      <c r="H182" s="192">
        <f t="shared" si="227"/>
        <v>0</v>
      </c>
      <c r="I182" s="192">
        <f t="shared" si="227"/>
        <v>0</v>
      </c>
      <c r="J182" s="192">
        <f t="shared" si="227"/>
        <v>0</v>
      </c>
      <c r="K182" s="192">
        <f t="shared" si="227"/>
        <v>0</v>
      </c>
      <c r="L182" s="194">
        <f>SUM(F182:K182)</f>
        <v>0</v>
      </c>
      <c r="M182" s="194">
        <f>L182/6</f>
        <v>0</v>
      </c>
      <c r="N182" s="192">
        <f t="shared" ref="N182:S182" si="228">N180*N181/1000</f>
        <v>0</v>
      </c>
      <c r="O182" s="192">
        <f t="shared" si="228"/>
        <v>0</v>
      </c>
      <c r="P182" s="192">
        <f t="shared" si="228"/>
        <v>0</v>
      </c>
      <c r="Q182" s="192">
        <f t="shared" si="228"/>
        <v>0</v>
      </c>
      <c r="R182" s="192">
        <f t="shared" si="228"/>
        <v>0</v>
      </c>
      <c r="S182" s="192">
        <f t="shared" si="228"/>
        <v>0</v>
      </c>
      <c r="T182" s="194">
        <f>SUM(N182:S182)</f>
        <v>0</v>
      </c>
      <c r="U182" s="194">
        <f>T182+L182</f>
        <v>0</v>
      </c>
      <c r="V182" s="171">
        <f>V183+V184</f>
        <v>0</v>
      </c>
      <c r="W182" s="193">
        <f>V182-U182</f>
        <v>0</v>
      </c>
      <c r="Z182" s="297"/>
    </row>
    <row r="183" spans="1:26" s="185" customFormat="1" ht="18" hidden="1" customHeight="1">
      <c r="A183" s="610"/>
      <c r="B183" s="581"/>
      <c r="C183" s="581"/>
      <c r="D183" s="174" t="str">
        <f>серпень!D183</f>
        <v>дотація</v>
      </c>
      <c r="E183" s="210"/>
      <c r="F183" s="192"/>
      <c r="G183" s="192"/>
      <c r="H183" s="192"/>
      <c r="I183" s="192"/>
      <c r="J183" s="192"/>
      <c r="K183" s="192"/>
      <c r="L183" s="194">
        <f>SUM(F183:K183)</f>
        <v>0</v>
      </c>
      <c r="M183" s="194">
        <f>L183/6</f>
        <v>0</v>
      </c>
      <c r="N183" s="192"/>
      <c r="O183" s="192"/>
      <c r="P183" s="192"/>
      <c r="Q183" s="192"/>
      <c r="R183" s="192"/>
      <c r="S183" s="192"/>
      <c r="T183" s="194">
        <f>SUM(N183:S183)</f>
        <v>0</v>
      </c>
      <c r="U183" s="194">
        <f>T183+L183</f>
        <v>0</v>
      </c>
      <c r="V183" s="171"/>
      <c r="W183" s="193">
        <f>V183-U183</f>
        <v>0</v>
      </c>
      <c r="Z183" s="297"/>
    </row>
    <row r="184" spans="1:26" s="185" customFormat="1" ht="18" hidden="1" customHeight="1">
      <c r="A184" s="610"/>
      <c r="B184" s="581"/>
      <c r="C184" s="581"/>
      <c r="D184" s="174" t="str">
        <f>серпень!D184</f>
        <v>місцевий (план), тис.грн</v>
      </c>
      <c r="E184" s="210"/>
      <c r="F184" s="192"/>
      <c r="G184" s="192"/>
      <c r="H184" s="192"/>
      <c r="I184" s="192"/>
      <c r="J184" s="192"/>
      <c r="K184" s="192"/>
      <c r="L184" s="194">
        <f>SUM(F184:K184)</f>
        <v>0</v>
      </c>
      <c r="M184" s="194">
        <f>L184/6</f>
        <v>0</v>
      </c>
      <c r="N184" s="192"/>
      <c r="O184" s="192"/>
      <c r="P184" s="192"/>
      <c r="Q184" s="192"/>
      <c r="R184" s="192"/>
      <c r="S184" s="192"/>
      <c r="T184" s="194">
        <f>SUM(N184:S184)</f>
        <v>0</v>
      </c>
      <c r="U184" s="194">
        <f>T184+L184</f>
        <v>0</v>
      </c>
      <c r="V184" s="171"/>
      <c r="W184" s="193">
        <f>V184-U184</f>
        <v>0</v>
      </c>
      <c r="Z184" s="297"/>
    </row>
    <row r="185" spans="1:26" s="185" customFormat="1" ht="18" hidden="1" customHeight="1">
      <c r="A185" s="610"/>
      <c r="B185" s="581"/>
      <c r="C185" s="581"/>
      <c r="D185" s="178" t="str">
        <f>серпень!D185</f>
        <v>касові нат.п-ки 2025</v>
      </c>
      <c r="E185" s="179"/>
      <c r="F185" s="179"/>
      <c r="G185" s="179"/>
      <c r="H185" s="179"/>
      <c r="I185" s="179"/>
      <c r="J185" s="179"/>
      <c r="K185" s="179"/>
      <c r="L185" s="215">
        <f>SUM(F185:K185)</f>
        <v>0</v>
      </c>
      <c r="M185" s="215">
        <f>L185/6</f>
        <v>0</v>
      </c>
      <c r="N185" s="179"/>
      <c r="O185" s="179"/>
      <c r="P185" s="179"/>
      <c r="Q185" s="179"/>
      <c r="R185" s="179"/>
      <c r="S185" s="179">
        <f>S180+R180</f>
        <v>0</v>
      </c>
      <c r="T185" s="215">
        <f>SUM(N185:S185)</f>
        <v>0</v>
      </c>
      <c r="U185" s="215">
        <f>T185+L185</f>
        <v>0</v>
      </c>
      <c r="V185" s="179">
        <f>V180</f>
        <v>0</v>
      </c>
      <c r="W185" s="184">
        <f>V185-U185</f>
        <v>0</v>
      </c>
      <c r="X185" s="185">
        <f>U180-U185</f>
        <v>0</v>
      </c>
      <c r="Z185" s="297"/>
    </row>
    <row r="186" spans="1:26" s="185" customFormat="1" ht="18" hidden="1" customHeight="1">
      <c r="A186" s="610"/>
      <c r="B186" s="581"/>
      <c r="C186" s="581"/>
      <c r="D186" s="187" t="str">
        <f>серпень!D186</f>
        <v>тариф, грн.</v>
      </c>
      <c r="E186" s="188" t="e">
        <f>E187/E185*1000</f>
        <v>#DIV/0!</v>
      </c>
      <c r="F186" s="188">
        <v>2665.4160000000002</v>
      </c>
      <c r="G186" s="188">
        <v>2665.4160000000002</v>
      </c>
      <c r="H186" s="188">
        <v>2665.4160000000002</v>
      </c>
      <c r="I186" s="188">
        <v>2665.4160000000002</v>
      </c>
      <c r="J186" s="188">
        <v>2665.4160000000002</v>
      </c>
      <c r="K186" s="188">
        <v>2665.4160000000002</v>
      </c>
      <c r="L186" s="188" t="e">
        <f>L187/L185*1000</f>
        <v>#DIV/0!</v>
      </c>
      <c r="M186" s="188" t="e">
        <f>M187/M185*1000</f>
        <v>#DIV/0!</v>
      </c>
      <c r="N186" s="188">
        <v>2665.4160000000002</v>
      </c>
      <c r="O186" s="188">
        <v>2665.4160000000002</v>
      </c>
      <c r="P186" s="188">
        <v>2665.4160000000002</v>
      </c>
      <c r="Q186" s="188">
        <v>2665.4160000000002</v>
      </c>
      <c r="R186" s="188">
        <v>2665.4160000000002</v>
      </c>
      <c r="S186" s="188">
        <v>2665.4160000000002</v>
      </c>
      <c r="T186" s="188" t="e">
        <f>T187/T185*1000</f>
        <v>#DIV/0!</v>
      </c>
      <c r="U186" s="188" t="e">
        <f>U187/U185*1000</f>
        <v>#DIV/0!</v>
      </c>
      <c r="V186" s="218" t="e">
        <f>V187/V185*1000</f>
        <v>#DIV/0!</v>
      </c>
      <c r="W186" s="189" t="e">
        <f>W187/W185*1000</f>
        <v>#DIV/0!</v>
      </c>
      <c r="Z186" s="297"/>
    </row>
    <row r="187" spans="1:26" s="176" customFormat="1" ht="18" hidden="1" customHeight="1">
      <c r="A187" s="610"/>
      <c r="B187" s="581"/>
      <c r="C187" s="581"/>
      <c r="D187" s="198" t="str">
        <f>серпень!D187</f>
        <v>касові видатки, тис.грн.</v>
      </c>
      <c r="E187" s="220"/>
      <c r="F187" s="199">
        <f t="shared" ref="F187:K187" si="229">F185*F186/1000</f>
        <v>0</v>
      </c>
      <c r="G187" s="199">
        <f t="shared" si="229"/>
        <v>0</v>
      </c>
      <c r="H187" s="199">
        <f t="shared" si="229"/>
        <v>0</v>
      </c>
      <c r="I187" s="199">
        <f t="shared" si="229"/>
        <v>0</v>
      </c>
      <c r="J187" s="199">
        <f t="shared" si="229"/>
        <v>0</v>
      </c>
      <c r="K187" s="199">
        <f t="shared" si="229"/>
        <v>0</v>
      </c>
      <c r="L187" s="199">
        <f>SUM(F187:K187)</f>
        <v>0</v>
      </c>
      <c r="M187" s="199">
        <f>L187/6</f>
        <v>0</v>
      </c>
      <c r="N187" s="199">
        <f t="shared" ref="N187:S187" si="230">N185*N186/1000</f>
        <v>0</v>
      </c>
      <c r="O187" s="199">
        <f t="shared" si="230"/>
        <v>0</v>
      </c>
      <c r="P187" s="199">
        <f t="shared" si="230"/>
        <v>0</v>
      </c>
      <c r="Q187" s="199">
        <f t="shared" si="230"/>
        <v>0</v>
      </c>
      <c r="R187" s="199">
        <f t="shared" si="230"/>
        <v>0</v>
      </c>
      <c r="S187" s="199">
        <f t="shared" si="230"/>
        <v>0</v>
      </c>
      <c r="T187" s="199">
        <f>SUM(N187:S187)</f>
        <v>0</v>
      </c>
      <c r="U187" s="199">
        <f>T187+L187</f>
        <v>0</v>
      </c>
      <c r="V187" s="199">
        <f>V182</f>
        <v>0</v>
      </c>
      <c r="W187" s="221">
        <f>V187-U187</f>
        <v>0</v>
      </c>
      <c r="X187" s="176">
        <f>U182-U187</f>
        <v>0</v>
      </c>
      <c r="Z187" s="300"/>
    </row>
    <row r="188" spans="1:26" s="176" customFormat="1" ht="18" hidden="1" customHeight="1">
      <c r="A188" s="610"/>
      <c r="B188" s="581"/>
      <c r="C188" s="581"/>
      <c r="D188" s="201" t="str">
        <f>серпень!D188</f>
        <v>дотація</v>
      </c>
      <c r="E188" s="220"/>
      <c r="F188" s="199"/>
      <c r="G188" s="199"/>
      <c r="H188" s="199"/>
      <c r="I188" s="199"/>
      <c r="J188" s="199"/>
      <c r="K188" s="199"/>
      <c r="L188" s="199">
        <f>SUM(F188:K188)</f>
        <v>0</v>
      </c>
      <c r="M188" s="199">
        <f>L188/6</f>
        <v>0</v>
      </c>
      <c r="N188" s="199"/>
      <c r="O188" s="199"/>
      <c r="P188" s="199"/>
      <c r="Q188" s="199"/>
      <c r="R188" s="199"/>
      <c r="S188" s="199"/>
      <c r="T188" s="199">
        <f>SUM(N188:S188)</f>
        <v>0</v>
      </c>
      <c r="U188" s="199">
        <f>T188+L188</f>
        <v>0</v>
      </c>
      <c r="V188" s="199">
        <f>V183</f>
        <v>0</v>
      </c>
      <c r="W188" s="221">
        <f>V188-U188</f>
        <v>0</v>
      </c>
      <c r="X188" s="176">
        <f>U183-U188</f>
        <v>0</v>
      </c>
      <c r="Z188" s="300"/>
    </row>
    <row r="189" spans="1:26" s="176" customFormat="1" ht="18" hidden="1" customHeight="1">
      <c r="A189" s="610"/>
      <c r="B189" s="581"/>
      <c r="C189" s="581"/>
      <c r="D189" s="201" t="str">
        <f>серпень!D189</f>
        <v xml:space="preserve">місцевий </v>
      </c>
      <c r="E189" s="220"/>
      <c r="F189" s="199">
        <f t="shared" ref="F189:K189" si="231">F187-F188</f>
        <v>0</v>
      </c>
      <c r="G189" s="199">
        <f t="shared" si="231"/>
        <v>0</v>
      </c>
      <c r="H189" s="199">
        <f t="shared" si="231"/>
        <v>0</v>
      </c>
      <c r="I189" s="199">
        <f t="shared" si="231"/>
        <v>0</v>
      </c>
      <c r="J189" s="199">
        <f t="shared" si="231"/>
        <v>0</v>
      </c>
      <c r="K189" s="199">
        <f t="shared" si="231"/>
        <v>0</v>
      </c>
      <c r="L189" s="199">
        <f>SUM(F189:K189)</f>
        <v>0</v>
      </c>
      <c r="M189" s="199">
        <f>L189/6</f>
        <v>0</v>
      </c>
      <c r="N189" s="199">
        <f t="shared" ref="N189:S189" si="232">N187-N188</f>
        <v>0</v>
      </c>
      <c r="O189" s="199">
        <f t="shared" si="232"/>
        <v>0</v>
      </c>
      <c r="P189" s="199">
        <f t="shared" si="232"/>
        <v>0</v>
      </c>
      <c r="Q189" s="199">
        <f t="shared" si="232"/>
        <v>0</v>
      </c>
      <c r="R189" s="199">
        <f t="shared" si="232"/>
        <v>0</v>
      </c>
      <c r="S189" s="199">
        <f t="shared" si="232"/>
        <v>0</v>
      </c>
      <c r="T189" s="199">
        <f>SUM(N189:S189)</f>
        <v>0</v>
      </c>
      <c r="U189" s="199">
        <f>T189+L189</f>
        <v>0</v>
      </c>
      <c r="V189" s="199">
        <f>V184</f>
        <v>0</v>
      </c>
      <c r="W189" s="221">
        <f>V189-U189</f>
        <v>0</v>
      </c>
      <c r="X189" s="176">
        <f>U184-U189</f>
        <v>0</v>
      </c>
      <c r="Z189" s="300"/>
    </row>
    <row r="190" spans="1:26" s="205" customFormat="1" ht="18" hidden="1" customHeight="1">
      <c r="A190" s="610"/>
      <c r="B190" s="581"/>
      <c r="C190" s="581"/>
      <c r="D190" s="202" t="str">
        <f>серпень!D190</f>
        <v>план</v>
      </c>
      <c r="E190" s="203"/>
      <c r="F190" s="203">
        <f t="shared" ref="F190:K190" si="233">F184</f>
        <v>0</v>
      </c>
      <c r="G190" s="203">
        <f t="shared" si="233"/>
        <v>0</v>
      </c>
      <c r="H190" s="203">
        <f t="shared" si="233"/>
        <v>0</v>
      </c>
      <c r="I190" s="203">
        <f t="shared" si="233"/>
        <v>0</v>
      </c>
      <c r="J190" s="203">
        <f t="shared" si="233"/>
        <v>0</v>
      </c>
      <c r="K190" s="203">
        <f t="shared" si="233"/>
        <v>0</v>
      </c>
      <c r="L190" s="203">
        <f>SUM(F190:K190)</f>
        <v>0</v>
      </c>
      <c r="M190" s="203">
        <f>L190/6</f>
        <v>0</v>
      </c>
      <c r="N190" s="203">
        <f t="shared" ref="N190:S190" si="234">N184+N183</f>
        <v>0</v>
      </c>
      <c r="O190" s="203">
        <f t="shared" si="234"/>
        <v>0</v>
      </c>
      <c r="P190" s="203">
        <f t="shared" si="234"/>
        <v>0</v>
      </c>
      <c r="Q190" s="203">
        <f t="shared" si="234"/>
        <v>0</v>
      </c>
      <c r="R190" s="203">
        <f t="shared" si="234"/>
        <v>0</v>
      </c>
      <c r="S190" s="203">
        <f t="shared" si="234"/>
        <v>0</v>
      </c>
      <c r="T190" s="203">
        <f>SUM(N190:S190)</f>
        <v>0</v>
      </c>
      <c r="U190" s="203">
        <f>T190+L190</f>
        <v>0</v>
      </c>
      <c r="V190" s="203">
        <f>V187</f>
        <v>0</v>
      </c>
      <c r="W190" s="203">
        <f>V190-U190</f>
        <v>0</v>
      </c>
      <c r="Z190" s="301"/>
    </row>
    <row r="191" spans="1:26" s="205" customFormat="1" ht="18" hidden="1" customHeight="1">
      <c r="A191" s="610"/>
      <c r="B191" s="581"/>
      <c r="C191" s="581"/>
      <c r="D191" s="202" t="str">
        <f>серпень!D191</f>
        <v xml:space="preserve">відхилення </v>
      </c>
      <c r="E191" s="203"/>
      <c r="F191" s="203">
        <f t="shared" ref="F191:K191" si="235">F187-F190</f>
        <v>0</v>
      </c>
      <c r="G191" s="203">
        <f t="shared" si="235"/>
        <v>0</v>
      </c>
      <c r="H191" s="203">
        <f t="shared" si="235"/>
        <v>0</v>
      </c>
      <c r="I191" s="203">
        <f t="shared" si="235"/>
        <v>0</v>
      </c>
      <c r="J191" s="203">
        <f t="shared" si="235"/>
        <v>0</v>
      </c>
      <c r="K191" s="203">
        <f t="shared" si="235"/>
        <v>0</v>
      </c>
      <c r="L191" s="203"/>
      <c r="M191" s="203"/>
      <c r="N191" s="203">
        <f t="shared" ref="N191:S191" si="236">N187-N190</f>
        <v>0</v>
      </c>
      <c r="O191" s="203">
        <f t="shared" si="236"/>
        <v>0</v>
      </c>
      <c r="P191" s="203">
        <f t="shared" si="236"/>
        <v>0</v>
      </c>
      <c r="Q191" s="203">
        <f t="shared" si="236"/>
        <v>0</v>
      </c>
      <c r="R191" s="203">
        <f t="shared" si="236"/>
        <v>0</v>
      </c>
      <c r="S191" s="203">
        <f t="shared" si="236"/>
        <v>0</v>
      </c>
      <c r="T191" s="203"/>
      <c r="U191" s="203"/>
      <c r="V191" s="203"/>
      <c r="W191" s="203"/>
      <c r="Z191" s="301"/>
    </row>
    <row r="192" spans="1:26" s="205" customFormat="1" ht="18" hidden="1" customHeight="1">
      <c r="A192" s="610"/>
      <c r="B192" s="581"/>
      <c r="C192" s="581"/>
      <c r="D192" s="202" t="str">
        <f>серпень!D192</f>
        <v>відхилення з наростаючим</v>
      </c>
      <c r="E192" s="203"/>
      <c r="F192" s="203">
        <f>F191</f>
        <v>0</v>
      </c>
      <c r="G192" s="203">
        <f>G191+F192</f>
        <v>0</v>
      </c>
      <c r="H192" s="203">
        <f>H191+G192</f>
        <v>0</v>
      </c>
      <c r="I192" s="203">
        <f>I191+H192</f>
        <v>0</v>
      </c>
      <c r="J192" s="203">
        <f>J191+I192</f>
        <v>0</v>
      </c>
      <c r="K192" s="203">
        <f>K191+J192</f>
        <v>0</v>
      </c>
      <c r="L192" s="203"/>
      <c r="M192" s="203"/>
      <c r="N192" s="203">
        <f>N191+K192</f>
        <v>0</v>
      </c>
      <c r="O192" s="203">
        <f>O191+N192</f>
        <v>0</v>
      </c>
      <c r="P192" s="203">
        <f>P191+O192</f>
        <v>0</v>
      </c>
      <c r="Q192" s="203">
        <f>Q191+P192</f>
        <v>0</v>
      </c>
      <c r="R192" s="203">
        <f>R191+Q192</f>
        <v>0</v>
      </c>
      <c r="S192" s="203">
        <f>S191+R192</f>
        <v>0</v>
      </c>
      <c r="T192" s="203"/>
      <c r="U192" s="203"/>
      <c r="V192" s="203"/>
      <c r="W192" s="203"/>
      <c r="Z192" s="301"/>
    </row>
    <row r="193" spans="1:26" s="186" customFormat="1" ht="18" hidden="1" customHeight="1">
      <c r="A193" s="610"/>
      <c r="B193" s="576" t="s">
        <v>69</v>
      </c>
      <c r="C193" s="577"/>
      <c r="D193" s="178" t="str">
        <f>серпень!D193</f>
        <v>факт. нат.п-ки 2023</v>
      </c>
      <c r="E193" s="179"/>
      <c r="F193" s="180"/>
      <c r="G193" s="180"/>
      <c r="H193" s="180"/>
      <c r="I193" s="180"/>
      <c r="J193" s="180"/>
      <c r="K193" s="180"/>
      <c r="L193" s="215">
        <f>SUM(F193:K193)</f>
        <v>0</v>
      </c>
      <c r="M193" s="215">
        <f>L193/6</f>
        <v>0</v>
      </c>
      <c r="N193" s="180"/>
      <c r="O193" s="180"/>
      <c r="P193" s="180"/>
      <c r="Q193" s="180"/>
      <c r="R193" s="180"/>
      <c r="S193" s="180"/>
      <c r="T193" s="215">
        <f>SUM(N193:S193)</f>
        <v>0</v>
      </c>
      <c r="U193" s="226">
        <f>T193+L193</f>
        <v>0</v>
      </c>
      <c r="V193" s="227"/>
      <c r="W193" s="184">
        <f>V193-U193</f>
        <v>0</v>
      </c>
      <c r="X193" s="185"/>
      <c r="Z193" s="297"/>
    </row>
    <row r="194" spans="1:26" s="186" customFormat="1" ht="18" hidden="1" customHeight="1">
      <c r="A194" s="610"/>
      <c r="B194" s="576"/>
      <c r="C194" s="577"/>
      <c r="D194" s="178" t="str">
        <f>серпень!D194</f>
        <v>факт. нат.п-ки 2024</v>
      </c>
      <c r="E194" s="179"/>
      <c r="F194" s="180"/>
      <c r="G194" s="180"/>
      <c r="H194" s="180"/>
      <c r="I194" s="180"/>
      <c r="J194" s="180"/>
      <c r="K194" s="180"/>
      <c r="L194" s="215">
        <f>SUM(F194:K194)</f>
        <v>0</v>
      </c>
      <c r="M194" s="215">
        <f>L194/6</f>
        <v>0</v>
      </c>
      <c r="N194" s="179"/>
      <c r="O194" s="179"/>
      <c r="P194" s="179"/>
      <c r="Q194" s="179"/>
      <c r="R194" s="179"/>
      <c r="S194" s="179"/>
      <c r="T194" s="215">
        <f>SUM(N194:S194)</f>
        <v>0</v>
      </c>
      <c r="U194" s="226">
        <f>T194+L194</f>
        <v>0</v>
      </c>
      <c r="V194" s="227"/>
      <c r="W194" s="184">
        <f>V194-U194</f>
        <v>0</v>
      </c>
      <c r="X194" s="185"/>
      <c r="Z194" s="297"/>
    </row>
    <row r="195" spans="1:26" s="186" customFormat="1" ht="18" hidden="1" customHeight="1">
      <c r="A195" s="610"/>
      <c r="B195" s="576"/>
      <c r="C195" s="577"/>
      <c r="D195" s="178" t="str">
        <f>серпень!D195</f>
        <v>факт. нат.п-ки 2025</v>
      </c>
      <c r="E195" s="179"/>
      <c r="F195" s="180"/>
      <c r="G195" s="180"/>
      <c r="H195" s="180"/>
      <c r="I195" s="180"/>
      <c r="J195" s="180"/>
      <c r="K195" s="180"/>
      <c r="L195" s="215">
        <f>SUM(F195:K195)</f>
        <v>0</v>
      </c>
      <c r="M195" s="215">
        <f>L195/6</f>
        <v>0</v>
      </c>
      <c r="N195" s="180"/>
      <c r="O195" s="180"/>
      <c r="P195" s="180"/>
      <c r="Q195" s="180"/>
      <c r="R195" s="180"/>
      <c r="S195" s="179"/>
      <c r="T195" s="215">
        <f>SUM(N195:S195)</f>
        <v>0</v>
      </c>
      <c r="U195" s="226">
        <f>T195+L195</f>
        <v>0</v>
      </c>
      <c r="V195" s="179"/>
      <c r="W195" s="184">
        <f>V195-U195</f>
        <v>0</v>
      </c>
      <c r="X195" s="185"/>
      <c r="Z195" s="297"/>
    </row>
    <row r="196" spans="1:26" s="190" customFormat="1" ht="18" hidden="1" customHeight="1">
      <c r="A196" s="610"/>
      <c r="B196" s="576"/>
      <c r="C196" s="577"/>
      <c r="D196" s="187" t="str">
        <f>серпень!D196</f>
        <v>тариф, грн.</v>
      </c>
      <c r="E196" s="188"/>
      <c r="F196" s="188">
        <v>1441.6559999999999</v>
      </c>
      <c r="G196" s="188">
        <v>1441.6559999999999</v>
      </c>
      <c r="H196" s="188">
        <v>1441.6559999999999</v>
      </c>
      <c r="I196" s="188">
        <v>1441.6559999999999</v>
      </c>
      <c r="J196" s="188">
        <v>1441.6559999999999</v>
      </c>
      <c r="K196" s="188">
        <v>1441.6559999999999</v>
      </c>
      <c r="L196" s="188" t="e">
        <f>L197/L195*1000</f>
        <v>#DIV/0!</v>
      </c>
      <c r="M196" s="188" t="e">
        <f>M197/M195*1000</f>
        <v>#DIV/0!</v>
      </c>
      <c r="N196" s="188">
        <v>1441.6559999999999</v>
      </c>
      <c r="O196" s="188">
        <v>1441.6559999999999</v>
      </c>
      <c r="P196" s="188">
        <v>1441.6559999999999</v>
      </c>
      <c r="Q196" s="188">
        <v>1441.6559999999999</v>
      </c>
      <c r="R196" s="188">
        <v>1441.6559999999999</v>
      </c>
      <c r="S196" s="188">
        <v>1441.6559999999999</v>
      </c>
      <c r="T196" s="188" t="e">
        <f>T197/T195*1000</f>
        <v>#DIV/0!</v>
      </c>
      <c r="U196" s="188" t="e">
        <f>U197/U195*1000</f>
        <v>#DIV/0!</v>
      </c>
      <c r="V196" s="218" t="e">
        <f>V197/V195*1000</f>
        <v>#DIV/0!</v>
      </c>
      <c r="W196" s="189" t="e">
        <f>W197/W195*1000</f>
        <v>#DIV/0!</v>
      </c>
      <c r="X196" s="225"/>
      <c r="Z196" s="298"/>
    </row>
    <row r="197" spans="1:26" s="196" customFormat="1" ht="18" hidden="1" customHeight="1">
      <c r="A197" s="610"/>
      <c r="B197" s="576"/>
      <c r="C197" s="577"/>
      <c r="D197" s="191" t="str">
        <f>серпень!D197</f>
        <v>сума, тис.грн.</v>
      </c>
      <c r="E197" s="192"/>
      <c r="F197" s="192">
        <f t="shared" ref="F197:K197" si="237">F195*F196/1000</f>
        <v>0</v>
      </c>
      <c r="G197" s="192">
        <f t="shared" si="237"/>
        <v>0</v>
      </c>
      <c r="H197" s="192">
        <f t="shared" si="237"/>
        <v>0</v>
      </c>
      <c r="I197" s="192">
        <f t="shared" si="237"/>
        <v>0</v>
      </c>
      <c r="J197" s="192">
        <f t="shared" si="237"/>
        <v>0</v>
      </c>
      <c r="K197" s="192">
        <f t="shared" si="237"/>
        <v>0</v>
      </c>
      <c r="L197" s="194">
        <f>SUM(F197:K197)</f>
        <v>0</v>
      </c>
      <c r="M197" s="194">
        <f>L197/6</f>
        <v>0</v>
      </c>
      <c r="N197" s="192">
        <f t="shared" ref="N197:S197" si="238">N195*N196/1000</f>
        <v>0</v>
      </c>
      <c r="O197" s="192">
        <f t="shared" si="238"/>
        <v>0</v>
      </c>
      <c r="P197" s="192">
        <f t="shared" si="238"/>
        <v>0</v>
      </c>
      <c r="Q197" s="192">
        <f t="shared" si="238"/>
        <v>0</v>
      </c>
      <c r="R197" s="192">
        <f t="shared" si="238"/>
        <v>0</v>
      </c>
      <c r="S197" s="192">
        <f t="shared" si="238"/>
        <v>0</v>
      </c>
      <c r="T197" s="194">
        <f>SUM(N197:S197)</f>
        <v>0</v>
      </c>
      <c r="U197" s="194">
        <f>T197+L197</f>
        <v>0</v>
      </c>
      <c r="V197" s="171">
        <f>V198+V199</f>
        <v>0</v>
      </c>
      <c r="W197" s="193">
        <f>V197-U197</f>
        <v>0</v>
      </c>
      <c r="X197" s="224">
        <f>2726951.723/1000</f>
        <v>2726.9520000000002</v>
      </c>
      <c r="Z197" s="299"/>
    </row>
    <row r="198" spans="1:26" s="196" customFormat="1" ht="18" hidden="1" customHeight="1">
      <c r="A198" s="610"/>
      <c r="B198" s="576"/>
      <c r="C198" s="577"/>
      <c r="D198" s="174" t="str">
        <f>серпень!D198</f>
        <v>дотація</v>
      </c>
      <c r="E198" s="210"/>
      <c r="F198" s="192"/>
      <c r="G198" s="192"/>
      <c r="H198" s="192"/>
      <c r="I198" s="192"/>
      <c r="J198" s="192"/>
      <c r="K198" s="192"/>
      <c r="L198" s="194">
        <f>SUM(F198:K198)</f>
        <v>0</v>
      </c>
      <c r="M198" s="194">
        <f>L198/6</f>
        <v>0</v>
      </c>
      <c r="N198" s="192"/>
      <c r="O198" s="192"/>
      <c r="P198" s="192"/>
      <c r="Q198" s="192"/>
      <c r="R198" s="192"/>
      <c r="S198" s="192"/>
      <c r="T198" s="194">
        <f>SUM(N198:S198)</f>
        <v>0</v>
      </c>
      <c r="U198" s="194">
        <f>T198+L198</f>
        <v>0</v>
      </c>
      <c r="V198" s="171">
        <v>0</v>
      </c>
      <c r="W198" s="193">
        <f>V198-U198</f>
        <v>0</v>
      </c>
      <c r="X198" s="195"/>
      <c r="Z198" s="299"/>
    </row>
    <row r="199" spans="1:26" s="196" customFormat="1" ht="18" hidden="1" customHeight="1">
      <c r="A199" s="610"/>
      <c r="B199" s="576"/>
      <c r="C199" s="577"/>
      <c r="D199" s="174" t="str">
        <f>серпень!D199</f>
        <v>місцевий (план), тис.грн</v>
      </c>
      <c r="E199" s="210"/>
      <c r="F199" s="192"/>
      <c r="G199" s="192"/>
      <c r="H199" s="192"/>
      <c r="I199" s="192"/>
      <c r="J199" s="192"/>
      <c r="K199" s="192"/>
      <c r="L199" s="194">
        <f>SUM(F199:K199)</f>
        <v>0</v>
      </c>
      <c r="M199" s="194">
        <f>L199/6</f>
        <v>0</v>
      </c>
      <c r="N199" s="192"/>
      <c r="O199" s="192"/>
      <c r="P199" s="192"/>
      <c r="Q199" s="192"/>
      <c r="R199" s="192"/>
      <c r="S199" s="192"/>
      <c r="T199" s="194">
        <f>SUM(N199:S199)</f>
        <v>0</v>
      </c>
      <c r="U199" s="194">
        <f>T199+L199</f>
        <v>0</v>
      </c>
      <c r="V199" s="171"/>
      <c r="W199" s="193">
        <f>V199-U199</f>
        <v>0</v>
      </c>
      <c r="X199" s="195"/>
      <c r="Z199" s="299"/>
    </row>
    <row r="200" spans="1:26" s="186" customFormat="1" ht="18" hidden="1" customHeight="1">
      <c r="A200" s="610"/>
      <c r="B200" s="576"/>
      <c r="C200" s="577"/>
      <c r="D200" s="178" t="str">
        <f>серпень!D200</f>
        <v>касові нат.п-ки 2025</v>
      </c>
      <c r="E200" s="179"/>
      <c r="F200" s="179"/>
      <c r="G200" s="179"/>
      <c r="H200" s="179"/>
      <c r="I200" s="179"/>
      <c r="J200" s="179"/>
      <c r="K200" s="179"/>
      <c r="L200" s="215">
        <f>SUM(F200:K200)</f>
        <v>0</v>
      </c>
      <c r="M200" s="215">
        <f>L200/6</f>
        <v>0</v>
      </c>
      <c r="N200" s="179"/>
      <c r="O200" s="179"/>
      <c r="P200" s="179"/>
      <c r="Q200" s="179"/>
      <c r="R200" s="179"/>
      <c r="S200" s="179">
        <f>S195+R195</f>
        <v>0</v>
      </c>
      <c r="T200" s="215">
        <f>SUM(N200:S200)</f>
        <v>0</v>
      </c>
      <c r="U200" s="215">
        <f>T200+L200</f>
        <v>0</v>
      </c>
      <c r="V200" s="179">
        <f>V195</f>
        <v>0</v>
      </c>
      <c r="W200" s="184">
        <f>V200-U200</f>
        <v>0</v>
      </c>
      <c r="X200" s="185">
        <f>U195-U200</f>
        <v>0</v>
      </c>
      <c r="Z200" s="297"/>
    </row>
    <row r="201" spans="1:26" s="190" customFormat="1" ht="18" hidden="1" customHeight="1">
      <c r="A201" s="610"/>
      <c r="B201" s="576"/>
      <c r="C201" s="577"/>
      <c r="D201" s="187" t="str">
        <f>серпень!D201</f>
        <v>тариф, грн.</v>
      </c>
      <c r="E201" s="188" t="e">
        <f>E202/E200*1000</f>
        <v>#DIV/0!</v>
      </c>
      <c r="F201" s="188">
        <v>1441.6559999999999</v>
      </c>
      <c r="G201" s="188">
        <v>1441.6559999999999</v>
      </c>
      <c r="H201" s="188">
        <v>1441.6559999999999</v>
      </c>
      <c r="I201" s="188">
        <v>1441.6559999999999</v>
      </c>
      <c r="J201" s="188">
        <v>1441.6559999999999</v>
      </c>
      <c r="K201" s="188">
        <v>1441.6559999999999</v>
      </c>
      <c r="L201" s="188" t="e">
        <f>L202/L200*1000</f>
        <v>#DIV/0!</v>
      </c>
      <c r="M201" s="188" t="e">
        <f>M202/M200*1000</f>
        <v>#DIV/0!</v>
      </c>
      <c r="N201" s="188">
        <v>1441.6559999999999</v>
      </c>
      <c r="O201" s="188">
        <v>1441.6559999999999</v>
      </c>
      <c r="P201" s="188">
        <v>1441.6559999999999</v>
      </c>
      <c r="Q201" s="188">
        <v>1441.6559999999999</v>
      </c>
      <c r="R201" s="188">
        <v>1441.6559999999999</v>
      </c>
      <c r="S201" s="188">
        <v>1441.6559999999999</v>
      </c>
      <c r="T201" s="188" t="e">
        <f>T202/T200*1000</f>
        <v>#DIV/0!</v>
      </c>
      <c r="U201" s="188" t="e">
        <f>U202/U200*1000</f>
        <v>#DIV/0!</v>
      </c>
      <c r="V201" s="218" t="e">
        <f>V202/V200*1000</f>
        <v>#DIV/0!</v>
      </c>
      <c r="W201" s="189" t="e">
        <f>W202/W200*1000</f>
        <v>#DIV/0!</v>
      </c>
      <c r="X201" s="225"/>
      <c r="Z201" s="298"/>
    </row>
    <row r="202" spans="1:26" s="176" customFormat="1" ht="18" hidden="1" customHeight="1">
      <c r="A202" s="610"/>
      <c r="B202" s="576"/>
      <c r="C202" s="577"/>
      <c r="D202" s="198" t="str">
        <f>серпень!D202</f>
        <v>касові видатки, тис.грн.</v>
      </c>
      <c r="E202" s="220"/>
      <c r="F202" s="199">
        <f t="shared" ref="F202:K202" si="239">F200*F201/1000</f>
        <v>0</v>
      </c>
      <c r="G202" s="199">
        <f t="shared" si="239"/>
        <v>0</v>
      </c>
      <c r="H202" s="199">
        <f t="shared" si="239"/>
        <v>0</v>
      </c>
      <c r="I202" s="199">
        <f t="shared" si="239"/>
        <v>0</v>
      </c>
      <c r="J202" s="199">
        <f t="shared" si="239"/>
        <v>0</v>
      </c>
      <c r="K202" s="199">
        <f t="shared" si="239"/>
        <v>0</v>
      </c>
      <c r="L202" s="199">
        <f>SUM(F202:K202)</f>
        <v>0</v>
      </c>
      <c r="M202" s="199">
        <f>L202/6</f>
        <v>0</v>
      </c>
      <c r="N202" s="199">
        <f t="shared" ref="N202:S202" si="240">N200*N201/1000</f>
        <v>0</v>
      </c>
      <c r="O202" s="199">
        <f t="shared" si="240"/>
        <v>0</v>
      </c>
      <c r="P202" s="199">
        <f t="shared" si="240"/>
        <v>0</v>
      </c>
      <c r="Q202" s="199">
        <f t="shared" si="240"/>
        <v>0</v>
      </c>
      <c r="R202" s="199">
        <f t="shared" si="240"/>
        <v>0</v>
      </c>
      <c r="S202" s="199">
        <f t="shared" si="240"/>
        <v>0</v>
      </c>
      <c r="T202" s="199">
        <f>SUM(N202:S202)</f>
        <v>0</v>
      </c>
      <c r="U202" s="199">
        <f>T202+L202</f>
        <v>0</v>
      </c>
      <c r="V202" s="199">
        <f>V197</f>
        <v>0</v>
      </c>
      <c r="W202" s="221">
        <f>V202-U202</f>
        <v>0</v>
      </c>
      <c r="X202" s="176">
        <f>U197-U202</f>
        <v>0</v>
      </c>
      <c r="Z202" s="300"/>
    </row>
    <row r="203" spans="1:26" s="176" customFormat="1" ht="18" hidden="1" customHeight="1">
      <c r="A203" s="610"/>
      <c r="B203" s="576"/>
      <c r="C203" s="577"/>
      <c r="D203" s="201" t="str">
        <f>серпень!D203</f>
        <v>дотація</v>
      </c>
      <c r="E203" s="220"/>
      <c r="F203" s="199"/>
      <c r="G203" s="199"/>
      <c r="H203" s="199"/>
      <c r="I203" s="199"/>
      <c r="J203" s="199"/>
      <c r="K203" s="199"/>
      <c r="L203" s="199">
        <f>SUM(F203:K203)</f>
        <v>0</v>
      </c>
      <c r="M203" s="199">
        <f>L203/6</f>
        <v>0</v>
      </c>
      <c r="N203" s="199"/>
      <c r="O203" s="199"/>
      <c r="P203" s="199"/>
      <c r="Q203" s="199"/>
      <c r="R203" s="199"/>
      <c r="S203" s="199"/>
      <c r="T203" s="199">
        <f>SUM(N203:S203)</f>
        <v>0</v>
      </c>
      <c r="U203" s="199">
        <f>T203+L203</f>
        <v>0</v>
      </c>
      <c r="V203" s="199">
        <f>V198</f>
        <v>0</v>
      </c>
      <c r="W203" s="221">
        <f>V203-U203</f>
        <v>0</v>
      </c>
      <c r="X203" s="176">
        <f>U198-U203</f>
        <v>0</v>
      </c>
      <c r="Z203" s="300"/>
    </row>
    <row r="204" spans="1:26" s="176" customFormat="1" ht="18" hidden="1" customHeight="1">
      <c r="A204" s="610"/>
      <c r="B204" s="576"/>
      <c r="C204" s="577"/>
      <c r="D204" s="201" t="str">
        <f>серпень!D204</f>
        <v xml:space="preserve">місцевий </v>
      </c>
      <c r="E204" s="220"/>
      <c r="F204" s="199">
        <f t="shared" ref="F204:K204" si="241">F202-F203</f>
        <v>0</v>
      </c>
      <c r="G204" s="199">
        <f t="shared" si="241"/>
        <v>0</v>
      </c>
      <c r="H204" s="199">
        <f t="shared" si="241"/>
        <v>0</v>
      </c>
      <c r="I204" s="199">
        <f t="shared" si="241"/>
        <v>0</v>
      </c>
      <c r="J204" s="199">
        <f t="shared" si="241"/>
        <v>0</v>
      </c>
      <c r="K204" s="199">
        <f t="shared" si="241"/>
        <v>0</v>
      </c>
      <c r="L204" s="199">
        <f>SUM(F204:K204)</f>
        <v>0</v>
      </c>
      <c r="M204" s="199">
        <f>L204/6</f>
        <v>0</v>
      </c>
      <c r="N204" s="199">
        <f t="shared" ref="N204:S204" si="242">N202-N203</f>
        <v>0</v>
      </c>
      <c r="O204" s="199">
        <f t="shared" si="242"/>
        <v>0</v>
      </c>
      <c r="P204" s="199">
        <f t="shared" si="242"/>
        <v>0</v>
      </c>
      <c r="Q204" s="199">
        <f t="shared" si="242"/>
        <v>0</v>
      </c>
      <c r="R204" s="199">
        <f t="shared" si="242"/>
        <v>0</v>
      </c>
      <c r="S204" s="199">
        <f t="shared" si="242"/>
        <v>0</v>
      </c>
      <c r="T204" s="199">
        <f>SUM(N204:S204)</f>
        <v>0</v>
      </c>
      <c r="U204" s="199">
        <f>T204+L204</f>
        <v>0</v>
      </c>
      <c r="V204" s="199">
        <f>V199</f>
        <v>0</v>
      </c>
      <c r="W204" s="221">
        <f>V204-U204</f>
        <v>0</v>
      </c>
      <c r="X204" s="176">
        <f>U199-U204</f>
        <v>0</v>
      </c>
      <c r="Z204" s="300"/>
    </row>
    <row r="205" spans="1:26" s="205" customFormat="1" ht="18" hidden="1" customHeight="1">
      <c r="A205" s="610"/>
      <c r="B205" s="576"/>
      <c r="C205" s="577"/>
      <c r="D205" s="202" t="str">
        <f>серпень!D205</f>
        <v>план</v>
      </c>
      <c r="E205" s="203"/>
      <c r="F205" s="203">
        <f t="shared" ref="F205:K205" si="243">F199</f>
        <v>0</v>
      </c>
      <c r="G205" s="203">
        <f t="shared" si="243"/>
        <v>0</v>
      </c>
      <c r="H205" s="203">
        <f t="shared" si="243"/>
        <v>0</v>
      </c>
      <c r="I205" s="203">
        <f t="shared" si="243"/>
        <v>0</v>
      </c>
      <c r="J205" s="203">
        <f t="shared" si="243"/>
        <v>0</v>
      </c>
      <c r="K205" s="203">
        <f t="shared" si="243"/>
        <v>0</v>
      </c>
      <c r="L205" s="203">
        <f>SUM(F205:K205)</f>
        <v>0</v>
      </c>
      <c r="M205" s="203">
        <f>L205/6</f>
        <v>0</v>
      </c>
      <c r="N205" s="203">
        <f t="shared" ref="N205:S205" si="244">N199+N198</f>
        <v>0</v>
      </c>
      <c r="O205" s="203">
        <f t="shared" si="244"/>
        <v>0</v>
      </c>
      <c r="P205" s="203">
        <f t="shared" si="244"/>
        <v>0</v>
      </c>
      <c r="Q205" s="203">
        <f t="shared" si="244"/>
        <v>0</v>
      </c>
      <c r="R205" s="203">
        <f t="shared" si="244"/>
        <v>0</v>
      </c>
      <c r="S205" s="203">
        <f t="shared" si="244"/>
        <v>0</v>
      </c>
      <c r="T205" s="203">
        <f>SUM(N205:S205)</f>
        <v>0</v>
      </c>
      <c r="U205" s="203">
        <f>T205+L205</f>
        <v>0</v>
      </c>
      <c r="V205" s="203">
        <f>V202</f>
        <v>0</v>
      </c>
      <c r="W205" s="203">
        <f>V205-U205</f>
        <v>0</v>
      </c>
      <c r="Z205" s="301"/>
    </row>
    <row r="206" spans="1:26" s="205" customFormat="1" ht="18" hidden="1" customHeight="1">
      <c r="A206" s="610"/>
      <c r="B206" s="576"/>
      <c r="C206" s="577"/>
      <c r="D206" s="202" t="str">
        <f>серпень!D206</f>
        <v xml:space="preserve">відхилення </v>
      </c>
      <c r="E206" s="203"/>
      <c r="F206" s="203">
        <f t="shared" ref="F206:K206" si="245">F202-F205</f>
        <v>0</v>
      </c>
      <c r="G206" s="203">
        <f t="shared" si="245"/>
        <v>0</v>
      </c>
      <c r="H206" s="203">
        <f t="shared" si="245"/>
        <v>0</v>
      </c>
      <c r="I206" s="203">
        <f t="shared" si="245"/>
        <v>0</v>
      </c>
      <c r="J206" s="203">
        <f t="shared" si="245"/>
        <v>0</v>
      </c>
      <c r="K206" s="203">
        <f t="shared" si="245"/>
        <v>0</v>
      </c>
      <c r="L206" s="203"/>
      <c r="M206" s="203"/>
      <c r="N206" s="203">
        <f t="shared" ref="N206:S206" si="246">N202-N205</f>
        <v>0</v>
      </c>
      <c r="O206" s="203">
        <f t="shared" si="246"/>
        <v>0</v>
      </c>
      <c r="P206" s="203">
        <f t="shared" si="246"/>
        <v>0</v>
      </c>
      <c r="Q206" s="203">
        <f t="shared" si="246"/>
        <v>0</v>
      </c>
      <c r="R206" s="203">
        <f t="shared" si="246"/>
        <v>0</v>
      </c>
      <c r="S206" s="203">
        <f t="shared" si="246"/>
        <v>0</v>
      </c>
      <c r="T206" s="203"/>
      <c r="U206" s="203"/>
      <c r="V206" s="203"/>
      <c r="W206" s="203"/>
      <c r="Z206" s="301"/>
    </row>
    <row r="207" spans="1:26" s="205" customFormat="1" ht="18" hidden="1" customHeight="1">
      <c r="A207" s="611"/>
      <c r="B207" s="578"/>
      <c r="C207" s="579"/>
      <c r="D207" s="202" t="str">
        <f>серпень!D207</f>
        <v>відхилення з наростаючим</v>
      </c>
      <c r="E207" s="203"/>
      <c r="F207" s="203">
        <f>F206</f>
        <v>0</v>
      </c>
      <c r="G207" s="203">
        <f>G206+F207</f>
        <v>0</v>
      </c>
      <c r="H207" s="203">
        <f>H206+G207</f>
        <v>0</v>
      </c>
      <c r="I207" s="203">
        <f>I206+H207</f>
        <v>0</v>
      </c>
      <c r="J207" s="203">
        <f>J206+I207</f>
        <v>0</v>
      </c>
      <c r="K207" s="203">
        <f>K206+J207</f>
        <v>0</v>
      </c>
      <c r="L207" s="203"/>
      <c r="M207" s="203"/>
      <c r="N207" s="203">
        <f>N206+K207</f>
        <v>0</v>
      </c>
      <c r="O207" s="203">
        <f>O206+N207</f>
        <v>0</v>
      </c>
      <c r="P207" s="203">
        <f>P206+O207</f>
        <v>0</v>
      </c>
      <c r="Q207" s="203">
        <f>Q206+P207</f>
        <v>0</v>
      </c>
      <c r="R207" s="203">
        <f>R206+Q207</f>
        <v>0</v>
      </c>
      <c r="S207" s="203">
        <f>S206+R207</f>
        <v>0</v>
      </c>
      <c r="T207" s="203"/>
      <c r="U207" s="203"/>
      <c r="V207" s="203"/>
      <c r="W207" s="203"/>
      <c r="Z207" s="301"/>
    </row>
    <row r="208" spans="1:26" s="185" customFormat="1" ht="18" hidden="1" customHeight="1">
      <c r="A208" s="609"/>
      <c r="B208" s="580" t="s">
        <v>92</v>
      </c>
      <c r="C208" s="575"/>
      <c r="D208" s="178" t="str">
        <f>серпень!D208</f>
        <v>факт. нат.п-ки 2023</v>
      </c>
      <c r="E208" s="179"/>
      <c r="F208" s="180">
        <f t="shared" ref="F208:K210" si="247">F223+F238</f>
        <v>0</v>
      </c>
      <c r="G208" s="180">
        <f t="shared" si="247"/>
        <v>0</v>
      </c>
      <c r="H208" s="180">
        <f t="shared" si="247"/>
        <v>0</v>
      </c>
      <c r="I208" s="180">
        <f t="shared" si="247"/>
        <v>0</v>
      </c>
      <c r="J208" s="180">
        <f t="shared" si="247"/>
        <v>0</v>
      </c>
      <c r="K208" s="180">
        <f t="shared" si="247"/>
        <v>0</v>
      </c>
      <c r="L208" s="207">
        <f>SUM(F208:K208)</f>
        <v>0</v>
      </c>
      <c r="M208" s="207">
        <f>L208/6</f>
        <v>0</v>
      </c>
      <c r="N208" s="180">
        <f t="shared" ref="N208:S210" si="248">N223+N238</f>
        <v>0</v>
      </c>
      <c r="O208" s="180">
        <f t="shared" si="248"/>
        <v>0</v>
      </c>
      <c r="P208" s="180">
        <f t="shared" si="248"/>
        <v>0</v>
      </c>
      <c r="Q208" s="180">
        <f t="shared" si="248"/>
        <v>0</v>
      </c>
      <c r="R208" s="180">
        <f t="shared" si="248"/>
        <v>0</v>
      </c>
      <c r="S208" s="180">
        <f t="shared" si="248"/>
        <v>0</v>
      </c>
      <c r="T208" s="207">
        <f>SUM(N208:S208)</f>
        <v>0</v>
      </c>
      <c r="U208" s="222">
        <f>T208+L208</f>
        <v>0</v>
      </c>
      <c r="V208" s="183">
        <f>V223+V238</f>
        <v>0</v>
      </c>
      <c r="W208" s="184">
        <f>V208-U208</f>
        <v>0</v>
      </c>
      <c r="Z208" s="297"/>
    </row>
    <row r="209" spans="1:26" s="185" customFormat="1" ht="18" hidden="1" customHeight="1">
      <c r="A209" s="610"/>
      <c r="B209" s="576"/>
      <c r="C209" s="577"/>
      <c r="D209" s="178" t="str">
        <f>серпень!D209</f>
        <v>факт. нат.п-ки 2024</v>
      </c>
      <c r="E209" s="179"/>
      <c r="F209" s="180">
        <f t="shared" si="247"/>
        <v>0</v>
      </c>
      <c r="G209" s="180">
        <f t="shared" si="247"/>
        <v>0</v>
      </c>
      <c r="H209" s="180">
        <f t="shared" si="247"/>
        <v>0</v>
      </c>
      <c r="I209" s="180">
        <f t="shared" si="247"/>
        <v>0</v>
      </c>
      <c r="J209" s="180">
        <f>J224+J239</f>
        <v>0</v>
      </c>
      <c r="K209" s="180">
        <f t="shared" si="247"/>
        <v>0</v>
      </c>
      <c r="L209" s="207">
        <f>SUM(F209:K209)</f>
        <v>0</v>
      </c>
      <c r="M209" s="207">
        <f>L209/6</f>
        <v>0</v>
      </c>
      <c r="N209" s="179">
        <f t="shared" si="248"/>
        <v>0</v>
      </c>
      <c r="O209" s="179">
        <f t="shared" si="248"/>
        <v>0</v>
      </c>
      <c r="P209" s="179">
        <f t="shared" si="248"/>
        <v>0</v>
      </c>
      <c r="Q209" s="179">
        <f t="shared" si="248"/>
        <v>0</v>
      </c>
      <c r="R209" s="179">
        <f t="shared" si="248"/>
        <v>0</v>
      </c>
      <c r="S209" s="179">
        <f t="shared" si="248"/>
        <v>0</v>
      </c>
      <c r="T209" s="207">
        <f>SUM(N209:S209)</f>
        <v>0</v>
      </c>
      <c r="U209" s="222">
        <f>T209+L209</f>
        <v>0</v>
      </c>
      <c r="V209" s="183">
        <f>V224+V239</f>
        <v>0</v>
      </c>
      <c r="W209" s="184">
        <f>V209-U209</f>
        <v>0</v>
      </c>
      <c r="Z209" s="297"/>
    </row>
    <row r="210" spans="1:26" s="185" customFormat="1" ht="18" hidden="1" customHeight="1">
      <c r="A210" s="610"/>
      <c r="B210" s="576"/>
      <c r="C210" s="577"/>
      <c r="D210" s="178" t="str">
        <f>серпень!D210</f>
        <v>факт. нат.п-ки 2025</v>
      </c>
      <c r="E210" s="179"/>
      <c r="F210" s="180">
        <f t="shared" si="247"/>
        <v>0</v>
      </c>
      <c r="G210" s="180">
        <f t="shared" si="247"/>
        <v>0</v>
      </c>
      <c r="H210" s="180">
        <f t="shared" si="247"/>
        <v>0</v>
      </c>
      <c r="I210" s="180">
        <f t="shared" si="247"/>
        <v>0</v>
      </c>
      <c r="J210" s="180">
        <f>J225+J240</f>
        <v>0</v>
      </c>
      <c r="K210" s="180">
        <f t="shared" si="247"/>
        <v>0</v>
      </c>
      <c r="L210" s="207">
        <f>SUM(F210:K210)</f>
        <v>0</v>
      </c>
      <c r="M210" s="207">
        <f>L210/6</f>
        <v>0</v>
      </c>
      <c r="N210" s="180">
        <f t="shared" si="248"/>
        <v>0</v>
      </c>
      <c r="O210" s="180">
        <f t="shared" si="248"/>
        <v>0</v>
      </c>
      <c r="P210" s="180">
        <f t="shared" si="248"/>
        <v>0</v>
      </c>
      <c r="Q210" s="180">
        <f t="shared" si="248"/>
        <v>0</v>
      </c>
      <c r="R210" s="180">
        <f t="shared" si="248"/>
        <v>0</v>
      </c>
      <c r="S210" s="180">
        <f t="shared" si="248"/>
        <v>0</v>
      </c>
      <c r="T210" s="207">
        <f>SUM(N210:S210)</f>
        <v>0</v>
      </c>
      <c r="U210" s="222">
        <f>T210+L210</f>
        <v>0</v>
      </c>
      <c r="V210" s="183">
        <f>V225+V240</f>
        <v>0</v>
      </c>
      <c r="W210" s="184">
        <f>V210-U210</f>
        <v>0</v>
      </c>
      <c r="Z210" s="297"/>
    </row>
    <row r="211" spans="1:26" s="185" customFormat="1" ht="18" hidden="1" customHeight="1">
      <c r="A211" s="610"/>
      <c r="B211" s="576"/>
      <c r="C211" s="577"/>
      <c r="D211" s="187" t="str">
        <f>серпень!D211</f>
        <v>тариф, грн.</v>
      </c>
      <c r="E211" s="188"/>
      <c r="F211" s="188" t="e">
        <f>F212/F210*1000</f>
        <v>#DIV/0!</v>
      </c>
      <c r="G211" s="188" t="e">
        <f>G212/G210*1000</f>
        <v>#DIV/0!</v>
      </c>
      <c r="H211" s="188" t="e">
        <f>H212/H210*1000</f>
        <v>#DIV/0!</v>
      </c>
      <c r="I211" s="188" t="e">
        <f>I212/I210*1000</f>
        <v>#DIV/0!</v>
      </c>
      <c r="J211" s="188" t="e">
        <f>J212/J210*1000</f>
        <v>#DIV/0!</v>
      </c>
      <c r="K211" s="188" t="e">
        <f t="shared" ref="K211:S211" si="249">K212/K210*1000</f>
        <v>#DIV/0!</v>
      </c>
      <c r="L211" s="188" t="e">
        <f t="shared" si="249"/>
        <v>#DIV/0!</v>
      </c>
      <c r="M211" s="188" t="e">
        <f t="shared" si="249"/>
        <v>#DIV/0!</v>
      </c>
      <c r="N211" s="188" t="e">
        <f t="shared" si="249"/>
        <v>#DIV/0!</v>
      </c>
      <c r="O211" s="188" t="e">
        <f t="shared" si="249"/>
        <v>#DIV/0!</v>
      </c>
      <c r="P211" s="188" t="e">
        <f t="shared" si="249"/>
        <v>#DIV/0!</v>
      </c>
      <c r="Q211" s="188" t="e">
        <f t="shared" si="249"/>
        <v>#DIV/0!</v>
      </c>
      <c r="R211" s="188" t="e">
        <f t="shared" si="249"/>
        <v>#DIV/0!</v>
      </c>
      <c r="S211" s="188" t="e">
        <f t="shared" si="249"/>
        <v>#DIV/0!</v>
      </c>
      <c r="T211" s="188" t="e">
        <f>T212/T210*1000</f>
        <v>#DIV/0!</v>
      </c>
      <c r="U211" s="188" t="e">
        <f>U212/U210*1000</f>
        <v>#DIV/0!</v>
      </c>
      <c r="V211" s="188" t="e">
        <f>V212/V210*1000</f>
        <v>#DIV/0!</v>
      </c>
      <c r="W211" s="189" t="e">
        <f>W212/W210*1000</f>
        <v>#DIV/0!</v>
      </c>
      <c r="Z211" s="297"/>
    </row>
    <row r="212" spans="1:26" s="185" customFormat="1" ht="18" hidden="1" customHeight="1">
      <c r="A212" s="610"/>
      <c r="B212" s="576"/>
      <c r="C212" s="577"/>
      <c r="D212" s="191" t="str">
        <f>серпень!D212</f>
        <v>сума, тис.грн.</v>
      </c>
      <c r="E212" s="192"/>
      <c r="F212" s="192">
        <f t="shared" ref="F212:K215" si="250">F227+F242</f>
        <v>0</v>
      </c>
      <c r="G212" s="192">
        <f t="shared" si="250"/>
        <v>0</v>
      </c>
      <c r="H212" s="192">
        <f t="shared" si="250"/>
        <v>0</v>
      </c>
      <c r="I212" s="192">
        <f t="shared" si="250"/>
        <v>0</v>
      </c>
      <c r="J212" s="192">
        <f t="shared" si="250"/>
        <v>0</v>
      </c>
      <c r="K212" s="192">
        <f t="shared" si="250"/>
        <v>0</v>
      </c>
      <c r="L212" s="192">
        <f>SUM(F212:K212)</f>
        <v>0</v>
      </c>
      <c r="M212" s="192">
        <f>L212/6</f>
        <v>0</v>
      </c>
      <c r="N212" s="192">
        <f t="shared" ref="N212:S215" si="251">N227+N242</f>
        <v>0</v>
      </c>
      <c r="O212" s="192">
        <f t="shared" si="251"/>
        <v>0</v>
      </c>
      <c r="P212" s="192">
        <f t="shared" si="251"/>
        <v>0</v>
      </c>
      <c r="Q212" s="192">
        <f t="shared" si="251"/>
        <v>0</v>
      </c>
      <c r="R212" s="192">
        <f t="shared" si="251"/>
        <v>0</v>
      </c>
      <c r="S212" s="192">
        <f t="shared" si="251"/>
        <v>0</v>
      </c>
      <c r="T212" s="192">
        <f>SUM(N212:S212)</f>
        <v>0</v>
      </c>
      <c r="U212" s="192">
        <f>T212+L212</f>
        <v>0</v>
      </c>
      <c r="V212" s="193">
        <f>V227+V242</f>
        <v>0</v>
      </c>
      <c r="W212" s="193">
        <f>V212-U212</f>
        <v>0</v>
      </c>
      <c r="Z212" s="297"/>
    </row>
    <row r="213" spans="1:26" s="185" customFormat="1" ht="18" hidden="1" customHeight="1">
      <c r="A213" s="610"/>
      <c r="B213" s="576"/>
      <c r="C213" s="577"/>
      <c r="D213" s="174" t="str">
        <f>серпень!D213</f>
        <v>дотація</v>
      </c>
      <c r="E213" s="210"/>
      <c r="F213" s="192">
        <f t="shared" si="250"/>
        <v>0</v>
      </c>
      <c r="G213" s="192">
        <f t="shared" si="250"/>
        <v>0</v>
      </c>
      <c r="H213" s="192">
        <f t="shared" si="250"/>
        <v>0</v>
      </c>
      <c r="I213" s="192">
        <f t="shared" si="250"/>
        <v>0</v>
      </c>
      <c r="J213" s="192">
        <f>J228+J243</f>
        <v>0</v>
      </c>
      <c r="K213" s="192">
        <f t="shared" si="250"/>
        <v>0</v>
      </c>
      <c r="L213" s="192">
        <f>SUM(F213:K213)</f>
        <v>0</v>
      </c>
      <c r="M213" s="192">
        <f>L213/6</f>
        <v>0</v>
      </c>
      <c r="N213" s="192">
        <f t="shared" si="251"/>
        <v>0</v>
      </c>
      <c r="O213" s="192">
        <f t="shared" si="251"/>
        <v>0</v>
      </c>
      <c r="P213" s="192">
        <f t="shared" si="251"/>
        <v>0</v>
      </c>
      <c r="Q213" s="192">
        <f t="shared" si="251"/>
        <v>0</v>
      </c>
      <c r="R213" s="192">
        <f t="shared" si="251"/>
        <v>0</v>
      </c>
      <c r="S213" s="192">
        <f t="shared" si="251"/>
        <v>0</v>
      </c>
      <c r="T213" s="192">
        <f>SUM(N213:S213)</f>
        <v>0</v>
      </c>
      <c r="U213" s="192">
        <f>T213+L213</f>
        <v>0</v>
      </c>
      <c r="V213" s="193">
        <f>V228+V243</f>
        <v>0</v>
      </c>
      <c r="W213" s="211">
        <f>V213-U213</f>
        <v>0</v>
      </c>
      <c r="Z213" s="297"/>
    </row>
    <row r="214" spans="1:26" s="185" customFormat="1" ht="18" hidden="1" customHeight="1">
      <c r="A214" s="610"/>
      <c r="B214" s="576"/>
      <c r="C214" s="577"/>
      <c r="D214" s="174" t="str">
        <f>серпень!D214</f>
        <v>місцевий (план), тис.грн</v>
      </c>
      <c r="E214" s="210"/>
      <c r="F214" s="192">
        <f t="shared" si="250"/>
        <v>0</v>
      </c>
      <c r="G214" s="192">
        <f t="shared" si="250"/>
        <v>0</v>
      </c>
      <c r="H214" s="192">
        <f t="shared" si="250"/>
        <v>0</v>
      </c>
      <c r="I214" s="192">
        <f t="shared" si="250"/>
        <v>0</v>
      </c>
      <c r="J214" s="192">
        <f>J229+J244</f>
        <v>0</v>
      </c>
      <c r="K214" s="192">
        <f t="shared" si="250"/>
        <v>0</v>
      </c>
      <c r="L214" s="192">
        <f>SUM(F214:K214)</f>
        <v>0</v>
      </c>
      <c r="M214" s="192">
        <f>L214/6</f>
        <v>0</v>
      </c>
      <c r="N214" s="192">
        <f t="shared" si="251"/>
        <v>0</v>
      </c>
      <c r="O214" s="192">
        <f t="shared" si="251"/>
        <v>0</v>
      </c>
      <c r="P214" s="192">
        <f t="shared" si="251"/>
        <v>0</v>
      </c>
      <c r="Q214" s="192">
        <f t="shared" si="251"/>
        <v>0</v>
      </c>
      <c r="R214" s="192">
        <f t="shared" si="251"/>
        <v>0</v>
      </c>
      <c r="S214" s="192">
        <f t="shared" si="251"/>
        <v>0</v>
      </c>
      <c r="T214" s="192">
        <f>SUM(N214:S214)</f>
        <v>0</v>
      </c>
      <c r="U214" s="192">
        <f>T214+L214</f>
        <v>0</v>
      </c>
      <c r="V214" s="193">
        <f>V229+V244</f>
        <v>0</v>
      </c>
      <c r="W214" s="193">
        <f>V214-U214</f>
        <v>0</v>
      </c>
      <c r="Z214" s="297"/>
    </row>
    <row r="215" spans="1:26" s="185" customFormat="1" ht="18" hidden="1" customHeight="1">
      <c r="A215" s="610"/>
      <c r="B215" s="576"/>
      <c r="C215" s="577"/>
      <c r="D215" s="178" t="str">
        <f>серпень!D215</f>
        <v>касові нат.п-ки 2025</v>
      </c>
      <c r="E215" s="179">
        <f>E230+E245</f>
        <v>0</v>
      </c>
      <c r="F215" s="179">
        <f t="shared" si="250"/>
        <v>0</v>
      </c>
      <c r="G215" s="179">
        <f t="shared" si="250"/>
        <v>0</v>
      </c>
      <c r="H215" s="179">
        <f t="shared" si="250"/>
        <v>0</v>
      </c>
      <c r="I215" s="179">
        <f t="shared" si="250"/>
        <v>0</v>
      </c>
      <c r="J215" s="179">
        <f>J230+J245</f>
        <v>0</v>
      </c>
      <c r="K215" s="179">
        <f t="shared" si="250"/>
        <v>0</v>
      </c>
      <c r="L215" s="207">
        <f>SUM(F215:K215)</f>
        <v>0</v>
      </c>
      <c r="M215" s="207">
        <f>L215/6</f>
        <v>0</v>
      </c>
      <c r="N215" s="179">
        <f t="shared" si="251"/>
        <v>0</v>
      </c>
      <c r="O215" s="179">
        <f t="shared" si="251"/>
        <v>0</v>
      </c>
      <c r="P215" s="179">
        <f t="shared" si="251"/>
        <v>0</v>
      </c>
      <c r="Q215" s="179">
        <f t="shared" si="251"/>
        <v>0</v>
      </c>
      <c r="R215" s="179">
        <f t="shared" si="251"/>
        <v>0</v>
      </c>
      <c r="S215" s="179">
        <f t="shared" si="251"/>
        <v>0</v>
      </c>
      <c r="T215" s="207">
        <f>SUM(N215:S215)</f>
        <v>0</v>
      </c>
      <c r="U215" s="207">
        <f>T215+L215</f>
        <v>0</v>
      </c>
      <c r="V215" s="184">
        <f>V230+V245</f>
        <v>0</v>
      </c>
      <c r="W215" s="184">
        <f>V215-U215</f>
        <v>0</v>
      </c>
      <c r="X215" s="185">
        <f>U210-U215</f>
        <v>0</v>
      </c>
      <c r="Z215" s="297"/>
    </row>
    <row r="216" spans="1:26" s="185" customFormat="1" ht="18" hidden="1" customHeight="1">
      <c r="A216" s="610"/>
      <c r="B216" s="576"/>
      <c r="C216" s="577"/>
      <c r="D216" s="187" t="str">
        <f>серпень!D216</f>
        <v>тариф, грн.</v>
      </c>
      <c r="E216" s="188" t="e">
        <f t="shared" ref="E216:S216" si="252">E217/E215*1000</f>
        <v>#DIV/0!</v>
      </c>
      <c r="F216" s="188" t="e">
        <f t="shared" si="252"/>
        <v>#DIV/0!</v>
      </c>
      <c r="G216" s="188" t="e">
        <f t="shared" si="252"/>
        <v>#DIV/0!</v>
      </c>
      <c r="H216" s="188" t="e">
        <f t="shared" si="252"/>
        <v>#DIV/0!</v>
      </c>
      <c r="I216" s="188" t="e">
        <f t="shared" si="252"/>
        <v>#DIV/0!</v>
      </c>
      <c r="J216" s="188" t="e">
        <f t="shared" si="252"/>
        <v>#DIV/0!</v>
      </c>
      <c r="K216" s="188" t="e">
        <f t="shared" si="252"/>
        <v>#DIV/0!</v>
      </c>
      <c r="L216" s="188" t="e">
        <f t="shared" si="252"/>
        <v>#DIV/0!</v>
      </c>
      <c r="M216" s="188" t="e">
        <f t="shared" si="252"/>
        <v>#DIV/0!</v>
      </c>
      <c r="N216" s="188" t="e">
        <f t="shared" si="252"/>
        <v>#DIV/0!</v>
      </c>
      <c r="O216" s="188" t="e">
        <f t="shared" si="252"/>
        <v>#DIV/0!</v>
      </c>
      <c r="P216" s="188" t="e">
        <f t="shared" si="252"/>
        <v>#DIV/0!</v>
      </c>
      <c r="Q216" s="188" t="e">
        <f t="shared" si="252"/>
        <v>#DIV/0!</v>
      </c>
      <c r="R216" s="188" t="e">
        <f t="shared" si="252"/>
        <v>#DIV/0!</v>
      </c>
      <c r="S216" s="188" t="e">
        <f t="shared" si="252"/>
        <v>#DIV/0!</v>
      </c>
      <c r="T216" s="188" t="e">
        <f>T217/T215*1000</f>
        <v>#DIV/0!</v>
      </c>
      <c r="U216" s="188" t="e">
        <f>U217/U215*1000</f>
        <v>#DIV/0!</v>
      </c>
      <c r="V216" s="188" t="e">
        <f>V217/V215*1000</f>
        <v>#DIV/0!</v>
      </c>
      <c r="W216" s="189" t="e">
        <f>W217/W215*1000</f>
        <v>#DIV/0!</v>
      </c>
      <c r="Z216" s="297"/>
    </row>
    <row r="217" spans="1:26" s="176" customFormat="1" ht="18" hidden="1" customHeight="1">
      <c r="A217" s="610"/>
      <c r="B217" s="576"/>
      <c r="C217" s="577"/>
      <c r="D217" s="198" t="str">
        <f>серпень!D217</f>
        <v>касові видатки, тис.грн.</v>
      </c>
      <c r="E217" s="212">
        <f t="shared" ref="E217:K219" si="253">E232+E247</f>
        <v>0</v>
      </c>
      <c r="F217" s="199">
        <f t="shared" si="253"/>
        <v>0</v>
      </c>
      <c r="G217" s="199">
        <f t="shared" si="253"/>
        <v>0</v>
      </c>
      <c r="H217" s="199">
        <f t="shared" si="253"/>
        <v>0</v>
      </c>
      <c r="I217" s="199">
        <f t="shared" si="253"/>
        <v>0</v>
      </c>
      <c r="J217" s="199">
        <f t="shared" si="253"/>
        <v>0</v>
      </c>
      <c r="K217" s="199">
        <f t="shared" si="253"/>
        <v>0</v>
      </c>
      <c r="L217" s="199">
        <f>SUM(F217:K217)</f>
        <v>0</v>
      </c>
      <c r="M217" s="199">
        <f>L217/6</f>
        <v>0</v>
      </c>
      <c r="N217" s="199">
        <f t="shared" ref="N217:S219" si="254">N232+N247</f>
        <v>0</v>
      </c>
      <c r="O217" s="199">
        <f t="shared" si="254"/>
        <v>0</v>
      </c>
      <c r="P217" s="199">
        <f t="shared" si="254"/>
        <v>0</v>
      </c>
      <c r="Q217" s="199">
        <f t="shared" si="254"/>
        <v>0</v>
      </c>
      <c r="R217" s="199">
        <f t="shared" si="254"/>
        <v>0</v>
      </c>
      <c r="S217" s="199">
        <f t="shared" si="254"/>
        <v>0</v>
      </c>
      <c r="T217" s="199">
        <f>SUM(N217:S217)</f>
        <v>0</v>
      </c>
      <c r="U217" s="199">
        <f>T217+L217</f>
        <v>0</v>
      </c>
      <c r="V217" s="175">
        <f>V232+V247</f>
        <v>0</v>
      </c>
      <c r="W217" s="175">
        <f>V217-U217</f>
        <v>0</v>
      </c>
      <c r="X217" s="176">
        <f>U212-U217</f>
        <v>0</v>
      </c>
      <c r="Z217" s="300"/>
    </row>
    <row r="218" spans="1:26" s="176" customFormat="1" ht="18" hidden="1" customHeight="1">
      <c r="A218" s="610"/>
      <c r="B218" s="576"/>
      <c r="C218" s="577"/>
      <c r="D218" s="201" t="str">
        <f>серпень!D218</f>
        <v>дотація</v>
      </c>
      <c r="E218" s="212"/>
      <c r="F218" s="199">
        <f t="shared" si="253"/>
        <v>0</v>
      </c>
      <c r="G218" s="199">
        <f t="shared" si="253"/>
        <v>0</v>
      </c>
      <c r="H218" s="199">
        <f t="shared" si="253"/>
        <v>0</v>
      </c>
      <c r="I218" s="199">
        <f t="shared" si="253"/>
        <v>0</v>
      </c>
      <c r="J218" s="199">
        <f>J233+J248</f>
        <v>0</v>
      </c>
      <c r="K218" s="199">
        <f t="shared" si="253"/>
        <v>0</v>
      </c>
      <c r="L218" s="199">
        <f>SUM(F218:K218)</f>
        <v>0</v>
      </c>
      <c r="M218" s="199">
        <f>L218/6</f>
        <v>0</v>
      </c>
      <c r="N218" s="199">
        <f t="shared" si="254"/>
        <v>0</v>
      </c>
      <c r="O218" s="199">
        <f t="shared" si="254"/>
        <v>0</v>
      </c>
      <c r="P218" s="199">
        <f t="shared" si="254"/>
        <v>0</v>
      </c>
      <c r="Q218" s="199">
        <f t="shared" si="254"/>
        <v>0</v>
      </c>
      <c r="R218" s="199">
        <f t="shared" si="254"/>
        <v>0</v>
      </c>
      <c r="S218" s="199">
        <f t="shared" si="254"/>
        <v>0</v>
      </c>
      <c r="T218" s="199">
        <f>SUM(N218:S218)</f>
        <v>0</v>
      </c>
      <c r="U218" s="199">
        <f>T218+L218</f>
        <v>0</v>
      </c>
      <c r="V218" s="175">
        <f>V233+V248</f>
        <v>0</v>
      </c>
      <c r="W218" s="175">
        <f>V218-U218</f>
        <v>0</v>
      </c>
      <c r="X218" s="176">
        <f>U213-U218</f>
        <v>0</v>
      </c>
      <c r="Z218" s="300"/>
    </row>
    <row r="219" spans="1:26" s="176" customFormat="1" ht="18" hidden="1" customHeight="1">
      <c r="A219" s="610"/>
      <c r="B219" s="576"/>
      <c r="C219" s="577"/>
      <c r="D219" s="201" t="str">
        <f>серпень!D219</f>
        <v xml:space="preserve">місцевий </v>
      </c>
      <c r="E219" s="212"/>
      <c r="F219" s="199">
        <f t="shared" si="253"/>
        <v>0</v>
      </c>
      <c r="G219" s="199">
        <f t="shared" si="253"/>
        <v>0</v>
      </c>
      <c r="H219" s="199">
        <f t="shared" si="253"/>
        <v>0</v>
      </c>
      <c r="I219" s="199">
        <f t="shared" si="253"/>
        <v>0</v>
      </c>
      <c r="J219" s="199">
        <f>J234+J249</f>
        <v>0</v>
      </c>
      <c r="K219" s="199">
        <f t="shared" si="253"/>
        <v>0</v>
      </c>
      <c r="L219" s="199">
        <f>SUM(F219:K219)</f>
        <v>0</v>
      </c>
      <c r="M219" s="199">
        <f>L219/6</f>
        <v>0</v>
      </c>
      <c r="N219" s="199">
        <f t="shared" si="254"/>
        <v>0</v>
      </c>
      <c r="O219" s="199">
        <f t="shared" si="254"/>
        <v>0</v>
      </c>
      <c r="P219" s="199">
        <f t="shared" si="254"/>
        <v>0</v>
      </c>
      <c r="Q219" s="199">
        <f t="shared" si="254"/>
        <v>0</v>
      </c>
      <c r="R219" s="199">
        <f t="shared" si="254"/>
        <v>0</v>
      </c>
      <c r="S219" s="199">
        <f t="shared" si="254"/>
        <v>0</v>
      </c>
      <c r="T219" s="199">
        <f>SUM(N219:S219)</f>
        <v>0</v>
      </c>
      <c r="U219" s="199">
        <f>T219+L219</f>
        <v>0</v>
      </c>
      <c r="V219" s="175">
        <f>V234+V249</f>
        <v>0</v>
      </c>
      <c r="W219" s="175">
        <f>V219-U219</f>
        <v>0</v>
      </c>
      <c r="X219" s="176">
        <f>U214-U219</f>
        <v>0</v>
      </c>
      <c r="Z219" s="300"/>
    </row>
    <row r="220" spans="1:26" s="205" customFormat="1" ht="18" hidden="1" customHeight="1">
      <c r="A220" s="610"/>
      <c r="B220" s="576"/>
      <c r="C220" s="577"/>
      <c r="D220" s="202" t="str">
        <f>серпень!D220</f>
        <v>план</v>
      </c>
      <c r="E220" s="203"/>
      <c r="F220" s="203">
        <f t="shared" ref="F220:K220" si="255">F214</f>
        <v>0</v>
      </c>
      <c r="G220" s="203">
        <f t="shared" si="255"/>
        <v>0</v>
      </c>
      <c r="H220" s="203">
        <f t="shared" si="255"/>
        <v>0</v>
      </c>
      <c r="I220" s="203">
        <f t="shared" si="255"/>
        <v>0</v>
      </c>
      <c r="J220" s="203">
        <f t="shared" si="255"/>
        <v>0</v>
      </c>
      <c r="K220" s="203">
        <f t="shared" si="255"/>
        <v>0</v>
      </c>
      <c r="L220" s="203">
        <f>SUM(F220:K220)</f>
        <v>0</v>
      </c>
      <c r="M220" s="203">
        <f>L220/6</f>
        <v>0</v>
      </c>
      <c r="N220" s="203">
        <f t="shared" ref="N220:S220" si="256">N214+N213</f>
        <v>0</v>
      </c>
      <c r="O220" s="203">
        <f t="shared" si="256"/>
        <v>0</v>
      </c>
      <c r="P220" s="203">
        <f t="shared" si="256"/>
        <v>0</v>
      </c>
      <c r="Q220" s="203">
        <f t="shared" si="256"/>
        <v>0</v>
      </c>
      <c r="R220" s="203">
        <f t="shared" si="256"/>
        <v>0</v>
      </c>
      <c r="S220" s="203">
        <f t="shared" si="256"/>
        <v>0</v>
      </c>
      <c r="T220" s="203">
        <f>SUM(N220:S220)</f>
        <v>0</v>
      </c>
      <c r="U220" s="203">
        <f>T220+L220</f>
        <v>0</v>
      </c>
      <c r="V220" s="204">
        <f>V235+V250</f>
        <v>0</v>
      </c>
      <c r="W220" s="204">
        <f>V220-U220</f>
        <v>0</v>
      </c>
      <c r="Z220" s="301"/>
    </row>
    <row r="221" spans="1:26" s="205" customFormat="1" ht="18" hidden="1" customHeight="1">
      <c r="A221" s="610"/>
      <c r="B221" s="576"/>
      <c r="C221" s="577"/>
      <c r="D221" s="202" t="str">
        <f>серпень!D221</f>
        <v xml:space="preserve">відхилення </v>
      </c>
      <c r="E221" s="203"/>
      <c r="F221" s="203">
        <f t="shared" ref="F221:K221" si="257">F217-F220</f>
        <v>0</v>
      </c>
      <c r="G221" s="203">
        <f t="shared" si="257"/>
        <v>0</v>
      </c>
      <c r="H221" s="203">
        <f t="shared" si="257"/>
        <v>0</v>
      </c>
      <c r="I221" s="203">
        <f t="shared" si="257"/>
        <v>0</v>
      </c>
      <c r="J221" s="203">
        <f t="shared" si="257"/>
        <v>0</v>
      </c>
      <c r="K221" s="203">
        <f t="shared" si="257"/>
        <v>0</v>
      </c>
      <c r="L221" s="203"/>
      <c r="M221" s="203"/>
      <c r="N221" s="203">
        <f t="shared" ref="N221:S221" si="258">N217-N220</f>
        <v>0</v>
      </c>
      <c r="O221" s="203">
        <f t="shared" si="258"/>
        <v>0</v>
      </c>
      <c r="P221" s="203">
        <f t="shared" si="258"/>
        <v>0</v>
      </c>
      <c r="Q221" s="203">
        <f t="shared" si="258"/>
        <v>0</v>
      </c>
      <c r="R221" s="203">
        <f t="shared" si="258"/>
        <v>0</v>
      </c>
      <c r="S221" s="203">
        <f t="shared" si="258"/>
        <v>0</v>
      </c>
      <c r="T221" s="203"/>
      <c r="U221" s="203"/>
      <c r="V221" s="203"/>
      <c r="W221" s="203"/>
      <c r="Z221" s="301"/>
    </row>
    <row r="222" spans="1:26" s="205" customFormat="1" ht="18" hidden="1" customHeight="1">
      <c r="A222" s="610"/>
      <c r="B222" s="576"/>
      <c r="C222" s="577"/>
      <c r="D222" s="202" t="str">
        <f>серпень!D222</f>
        <v>відхилення з наростаючим</v>
      </c>
      <c r="E222" s="203"/>
      <c r="F222" s="203">
        <f>F221</f>
        <v>0</v>
      </c>
      <c r="G222" s="203">
        <f>G221+F222</f>
        <v>0</v>
      </c>
      <c r="H222" s="203">
        <f>H221+G222</f>
        <v>0</v>
      </c>
      <c r="I222" s="203">
        <f>I221+H222</f>
        <v>0</v>
      </c>
      <c r="J222" s="203">
        <f>J221+I222</f>
        <v>0</v>
      </c>
      <c r="K222" s="203">
        <f>K221+J222</f>
        <v>0</v>
      </c>
      <c r="L222" s="203"/>
      <c r="M222" s="203"/>
      <c r="N222" s="203">
        <f>N221+K222</f>
        <v>0</v>
      </c>
      <c r="O222" s="203">
        <f>O221+N222</f>
        <v>0</v>
      </c>
      <c r="P222" s="203">
        <f>P221+O222</f>
        <v>0</v>
      </c>
      <c r="Q222" s="203">
        <f>Q221+P222</f>
        <v>0</v>
      </c>
      <c r="R222" s="203">
        <f>R221+Q222</f>
        <v>0</v>
      </c>
      <c r="S222" s="203">
        <f>S221+R222</f>
        <v>0</v>
      </c>
      <c r="T222" s="203"/>
      <c r="U222" s="203"/>
      <c r="V222" s="203"/>
      <c r="W222" s="203"/>
      <c r="Z222" s="301"/>
    </row>
    <row r="223" spans="1:26" s="186" customFormat="1" ht="18" hidden="1" customHeight="1">
      <c r="A223" s="610"/>
      <c r="B223" s="581" t="s">
        <v>91</v>
      </c>
      <c r="C223" s="581"/>
      <c r="D223" s="178" t="str">
        <f>серпень!D223</f>
        <v>факт. нат.п-ки 2023</v>
      </c>
      <c r="E223" s="179"/>
      <c r="F223" s="180"/>
      <c r="G223" s="180"/>
      <c r="H223" s="180"/>
      <c r="I223" s="180"/>
      <c r="J223" s="180"/>
      <c r="K223" s="180"/>
      <c r="L223" s="215">
        <f>SUM(F223:K223)</f>
        <v>0</v>
      </c>
      <c r="M223" s="215">
        <f>L223/6</f>
        <v>0</v>
      </c>
      <c r="N223" s="180"/>
      <c r="O223" s="180"/>
      <c r="P223" s="180"/>
      <c r="Q223" s="180"/>
      <c r="R223" s="180"/>
      <c r="S223" s="180"/>
      <c r="T223" s="215">
        <f>SUM(N223:S223)</f>
        <v>0</v>
      </c>
      <c r="U223" s="226">
        <f>T223+L223</f>
        <v>0</v>
      </c>
      <c r="V223" s="227"/>
      <c r="W223" s="184">
        <f>V223-U223</f>
        <v>0</v>
      </c>
      <c r="X223" s="185"/>
      <c r="Z223" s="297"/>
    </row>
    <row r="224" spans="1:26" s="186" customFormat="1" ht="18" hidden="1" customHeight="1">
      <c r="A224" s="610"/>
      <c r="B224" s="581"/>
      <c r="C224" s="581"/>
      <c r="D224" s="178" t="str">
        <f>серпень!D224</f>
        <v>факт. нат.п-ки 2024</v>
      </c>
      <c r="E224" s="179"/>
      <c r="F224" s="180"/>
      <c r="G224" s="180"/>
      <c r="H224" s="180"/>
      <c r="I224" s="180"/>
      <c r="J224" s="180"/>
      <c r="K224" s="180"/>
      <c r="L224" s="215">
        <f>SUM(F224:K224)</f>
        <v>0</v>
      </c>
      <c r="M224" s="215">
        <f>L224/6</f>
        <v>0</v>
      </c>
      <c r="N224" s="179"/>
      <c r="O224" s="179"/>
      <c r="P224" s="179"/>
      <c r="Q224" s="179"/>
      <c r="R224" s="179"/>
      <c r="S224" s="179"/>
      <c r="T224" s="215">
        <f>SUM(N224:S224)</f>
        <v>0</v>
      </c>
      <c r="U224" s="226">
        <f>T224+L224</f>
        <v>0</v>
      </c>
      <c r="V224" s="227"/>
      <c r="W224" s="184">
        <f>V224-U224</f>
        <v>0</v>
      </c>
      <c r="X224" s="185"/>
      <c r="Z224" s="297"/>
    </row>
    <row r="225" spans="1:26" s="186" customFormat="1" ht="18" hidden="1" customHeight="1">
      <c r="A225" s="610"/>
      <c r="B225" s="581"/>
      <c r="C225" s="581"/>
      <c r="D225" s="178" t="str">
        <f>серпень!D225</f>
        <v>факт. нат.п-ки 2025</v>
      </c>
      <c r="E225" s="179"/>
      <c r="F225" s="180"/>
      <c r="G225" s="180"/>
      <c r="H225" s="180"/>
      <c r="I225" s="180"/>
      <c r="J225" s="180"/>
      <c r="K225" s="180"/>
      <c r="L225" s="215">
        <f>SUM(F225:K225)</f>
        <v>0</v>
      </c>
      <c r="M225" s="215">
        <f>L225/6</f>
        <v>0</v>
      </c>
      <c r="N225" s="180"/>
      <c r="O225" s="180"/>
      <c r="P225" s="180"/>
      <c r="Q225" s="180"/>
      <c r="R225" s="180"/>
      <c r="S225" s="179"/>
      <c r="T225" s="215">
        <f>SUM(N225:S225)</f>
        <v>0</v>
      </c>
      <c r="U225" s="226">
        <f>T225+L225</f>
        <v>0</v>
      </c>
      <c r="V225" s="179"/>
      <c r="W225" s="184">
        <f>V225-U225</f>
        <v>0</v>
      </c>
      <c r="X225" s="185"/>
      <c r="Z225" s="297"/>
    </row>
    <row r="226" spans="1:26" s="190" customFormat="1" ht="18" hidden="1" customHeight="1">
      <c r="A226" s="610"/>
      <c r="B226" s="581"/>
      <c r="C226" s="581"/>
      <c r="D226" s="187" t="str">
        <f>серпень!D226</f>
        <v>тариф, грн.</v>
      </c>
      <c r="E226" s="188"/>
      <c r="F226" s="188">
        <v>3501.96</v>
      </c>
      <c r="G226" s="188">
        <v>3501.96</v>
      </c>
      <c r="H226" s="188">
        <v>3501.96</v>
      </c>
      <c r="I226" s="188">
        <v>3501.96</v>
      </c>
      <c r="J226" s="188">
        <v>3501.96</v>
      </c>
      <c r="K226" s="188">
        <v>3501.96</v>
      </c>
      <c r="L226" s="188" t="e">
        <f>L227/L225*1000</f>
        <v>#DIV/0!</v>
      </c>
      <c r="M226" s="188" t="e">
        <f>M227/M225*1000</f>
        <v>#DIV/0!</v>
      </c>
      <c r="N226" s="188">
        <v>3501.96</v>
      </c>
      <c r="O226" s="188">
        <v>3501.96</v>
      </c>
      <c r="P226" s="188">
        <v>3501.96</v>
      </c>
      <c r="Q226" s="188">
        <v>3501.96</v>
      </c>
      <c r="R226" s="188">
        <v>3501.96</v>
      </c>
      <c r="S226" s="188">
        <v>3501.96</v>
      </c>
      <c r="T226" s="188" t="e">
        <f>T227/T225*1000</f>
        <v>#DIV/0!</v>
      </c>
      <c r="U226" s="188" t="e">
        <f>U227/U225*1000</f>
        <v>#DIV/0!</v>
      </c>
      <c r="V226" s="218" t="e">
        <f>V227/V225*1000</f>
        <v>#DIV/0!</v>
      </c>
      <c r="W226" s="189" t="e">
        <f>W227/W225*1000</f>
        <v>#DIV/0!</v>
      </c>
      <c r="X226" s="225"/>
      <c r="Z226" s="298"/>
    </row>
    <row r="227" spans="1:26" s="196" customFormat="1" ht="18" hidden="1" customHeight="1">
      <c r="A227" s="610"/>
      <c r="B227" s="581"/>
      <c r="C227" s="581"/>
      <c r="D227" s="191" t="str">
        <f>серпень!D227</f>
        <v>сума, тис.грн.</v>
      </c>
      <c r="E227" s="192"/>
      <c r="F227" s="192">
        <f t="shared" ref="F227:K227" si="259">F225*F226/1000</f>
        <v>0</v>
      </c>
      <c r="G227" s="192">
        <f t="shared" si="259"/>
        <v>0</v>
      </c>
      <c r="H227" s="192">
        <f t="shared" si="259"/>
        <v>0</v>
      </c>
      <c r="I227" s="192">
        <f t="shared" si="259"/>
        <v>0</v>
      </c>
      <c r="J227" s="192">
        <f t="shared" si="259"/>
        <v>0</v>
      </c>
      <c r="K227" s="192">
        <f t="shared" si="259"/>
        <v>0</v>
      </c>
      <c r="L227" s="194">
        <f>SUM(F227:K227)</f>
        <v>0</v>
      </c>
      <c r="M227" s="194">
        <f>L227/6</f>
        <v>0</v>
      </c>
      <c r="N227" s="192">
        <f t="shared" ref="N227:S227" si="260">N225*N226/1000</f>
        <v>0</v>
      </c>
      <c r="O227" s="192">
        <f t="shared" si="260"/>
        <v>0</v>
      </c>
      <c r="P227" s="192">
        <f t="shared" si="260"/>
        <v>0</v>
      </c>
      <c r="Q227" s="192">
        <f t="shared" si="260"/>
        <v>0</v>
      </c>
      <c r="R227" s="192">
        <f t="shared" si="260"/>
        <v>0</v>
      </c>
      <c r="S227" s="192">
        <f t="shared" si="260"/>
        <v>0</v>
      </c>
      <c r="T227" s="194">
        <f>SUM(N227:S227)</f>
        <v>0</v>
      </c>
      <c r="U227" s="194">
        <f>T227+L227</f>
        <v>0</v>
      </c>
      <c r="V227" s="171">
        <f>V228+V229</f>
        <v>0</v>
      </c>
      <c r="W227" s="193">
        <f>V227-U227</f>
        <v>0</v>
      </c>
      <c r="X227" s="224">
        <f>2726951.723/1000</f>
        <v>2726.9520000000002</v>
      </c>
      <c r="Z227" s="299"/>
    </row>
    <row r="228" spans="1:26" s="196" customFormat="1" ht="18" hidden="1" customHeight="1">
      <c r="A228" s="610"/>
      <c r="B228" s="581"/>
      <c r="C228" s="581"/>
      <c r="D228" s="174" t="str">
        <f>серпень!D228</f>
        <v>дотація</v>
      </c>
      <c r="E228" s="210"/>
      <c r="F228" s="192"/>
      <c r="G228" s="192"/>
      <c r="H228" s="192"/>
      <c r="I228" s="192"/>
      <c r="J228" s="192"/>
      <c r="K228" s="192"/>
      <c r="L228" s="194">
        <f>SUM(F228:K228)</f>
        <v>0</v>
      </c>
      <c r="M228" s="194">
        <f>L228/6</f>
        <v>0</v>
      </c>
      <c r="N228" s="192"/>
      <c r="O228" s="192"/>
      <c r="P228" s="192"/>
      <c r="Q228" s="192"/>
      <c r="R228" s="192"/>
      <c r="S228" s="192"/>
      <c r="T228" s="194">
        <f>SUM(N228:S228)</f>
        <v>0</v>
      </c>
      <c r="U228" s="194">
        <f>T228+L228</f>
        <v>0</v>
      </c>
      <c r="V228" s="171">
        <v>0</v>
      </c>
      <c r="W228" s="193">
        <f>V228-U228</f>
        <v>0</v>
      </c>
      <c r="X228" s="195"/>
      <c r="Z228" s="299"/>
    </row>
    <row r="229" spans="1:26" s="196" customFormat="1" ht="18" hidden="1" customHeight="1">
      <c r="A229" s="610"/>
      <c r="B229" s="581"/>
      <c r="C229" s="581"/>
      <c r="D229" s="174" t="str">
        <f>серпень!D229</f>
        <v>місцевий (план), тис.грн</v>
      </c>
      <c r="E229" s="210"/>
      <c r="F229" s="192"/>
      <c r="G229" s="192"/>
      <c r="H229" s="192"/>
      <c r="I229" s="192"/>
      <c r="J229" s="192"/>
      <c r="K229" s="192"/>
      <c r="L229" s="194">
        <f>SUM(F229:K229)</f>
        <v>0</v>
      </c>
      <c r="M229" s="194">
        <f>L229/6</f>
        <v>0</v>
      </c>
      <c r="N229" s="192"/>
      <c r="O229" s="192"/>
      <c r="P229" s="192"/>
      <c r="Q229" s="192"/>
      <c r="R229" s="192"/>
      <c r="S229" s="192"/>
      <c r="T229" s="194">
        <f>SUM(N229:S229)</f>
        <v>0</v>
      </c>
      <c r="U229" s="194">
        <f>T229+L229</f>
        <v>0</v>
      </c>
      <c r="V229" s="171"/>
      <c r="W229" s="193">
        <f>V229-U229</f>
        <v>0</v>
      </c>
      <c r="X229" s="195"/>
      <c r="Z229" s="299"/>
    </row>
    <row r="230" spans="1:26" s="186" customFormat="1" ht="18" hidden="1" customHeight="1">
      <c r="A230" s="610"/>
      <c r="B230" s="581"/>
      <c r="C230" s="581"/>
      <c r="D230" s="178" t="str">
        <f>серпень!D230</f>
        <v>касові нат.п-ки 2025</v>
      </c>
      <c r="E230" s="179"/>
      <c r="F230" s="179"/>
      <c r="G230" s="179"/>
      <c r="H230" s="179"/>
      <c r="I230" s="179"/>
      <c r="J230" s="179"/>
      <c r="K230" s="179"/>
      <c r="L230" s="215">
        <f>SUM(F230:K230)</f>
        <v>0</v>
      </c>
      <c r="M230" s="215">
        <f>L230/6</f>
        <v>0</v>
      </c>
      <c r="N230" s="179"/>
      <c r="O230" s="179"/>
      <c r="P230" s="179"/>
      <c r="Q230" s="179"/>
      <c r="R230" s="179"/>
      <c r="S230" s="179">
        <f>S225+R225</f>
        <v>0</v>
      </c>
      <c r="T230" s="215">
        <f>SUM(N230:S230)</f>
        <v>0</v>
      </c>
      <c r="U230" s="215">
        <f>T230+L230</f>
        <v>0</v>
      </c>
      <c r="V230" s="179">
        <f>V225</f>
        <v>0</v>
      </c>
      <c r="W230" s="184">
        <f>V230-U230</f>
        <v>0</v>
      </c>
      <c r="X230" s="185">
        <f>U225-U230</f>
        <v>0</v>
      </c>
      <c r="Z230" s="297"/>
    </row>
    <row r="231" spans="1:26" s="190" customFormat="1" ht="18" hidden="1" customHeight="1">
      <c r="A231" s="610"/>
      <c r="B231" s="581"/>
      <c r="C231" s="581"/>
      <c r="D231" s="187" t="str">
        <f>серпень!D231</f>
        <v>тариф, грн.</v>
      </c>
      <c r="E231" s="188" t="e">
        <f>E232/E230*1000</f>
        <v>#DIV/0!</v>
      </c>
      <c r="F231" s="188">
        <v>3501.96</v>
      </c>
      <c r="G231" s="188">
        <v>3501.96</v>
      </c>
      <c r="H231" s="188">
        <v>3501.96</v>
      </c>
      <c r="I231" s="188">
        <v>3501.96</v>
      </c>
      <c r="J231" s="188">
        <v>3501.96</v>
      </c>
      <c r="K231" s="188">
        <v>3501.96</v>
      </c>
      <c r="L231" s="188" t="e">
        <f>L232/L230*1000</f>
        <v>#DIV/0!</v>
      </c>
      <c r="M231" s="188" t="e">
        <f>M232/M230*1000</f>
        <v>#DIV/0!</v>
      </c>
      <c r="N231" s="188">
        <v>3501.96</v>
      </c>
      <c r="O231" s="188">
        <v>3501.96</v>
      </c>
      <c r="P231" s="188">
        <v>3501.96</v>
      </c>
      <c r="Q231" s="188">
        <v>3501.96</v>
      </c>
      <c r="R231" s="188">
        <v>3501.96</v>
      </c>
      <c r="S231" s="188">
        <v>3501.96</v>
      </c>
      <c r="T231" s="188" t="e">
        <f>T232/T230*1000</f>
        <v>#DIV/0!</v>
      </c>
      <c r="U231" s="188" t="e">
        <f>U232/U230*1000</f>
        <v>#DIV/0!</v>
      </c>
      <c r="V231" s="218" t="e">
        <f>V232/V230*1000</f>
        <v>#DIV/0!</v>
      </c>
      <c r="W231" s="189" t="e">
        <f>W232/W230*1000</f>
        <v>#DIV/0!</v>
      </c>
      <c r="X231" s="225"/>
      <c r="Z231" s="298"/>
    </row>
    <row r="232" spans="1:26" s="176" customFormat="1" ht="18" hidden="1" customHeight="1">
      <c r="A232" s="610"/>
      <c r="B232" s="581"/>
      <c r="C232" s="581"/>
      <c r="D232" s="198" t="str">
        <f>серпень!D232</f>
        <v>касові видатки, тис.грн.</v>
      </c>
      <c r="E232" s="220"/>
      <c r="F232" s="199">
        <f t="shared" ref="F232:K232" si="261">F230*F231/1000</f>
        <v>0</v>
      </c>
      <c r="G232" s="199">
        <f t="shared" si="261"/>
        <v>0</v>
      </c>
      <c r="H232" s="199">
        <f t="shared" si="261"/>
        <v>0</v>
      </c>
      <c r="I232" s="199">
        <f t="shared" si="261"/>
        <v>0</v>
      </c>
      <c r="J232" s="199">
        <f t="shared" si="261"/>
        <v>0</v>
      </c>
      <c r="K232" s="199">
        <f t="shared" si="261"/>
        <v>0</v>
      </c>
      <c r="L232" s="199">
        <f>SUM(F232:K232)</f>
        <v>0</v>
      </c>
      <c r="M232" s="199">
        <f>L232/6</f>
        <v>0</v>
      </c>
      <c r="N232" s="199">
        <f t="shared" ref="N232:S232" si="262">N230*N231/1000</f>
        <v>0</v>
      </c>
      <c r="O232" s="199">
        <f t="shared" si="262"/>
        <v>0</v>
      </c>
      <c r="P232" s="199">
        <f t="shared" si="262"/>
        <v>0</v>
      </c>
      <c r="Q232" s="199">
        <f t="shared" si="262"/>
        <v>0</v>
      </c>
      <c r="R232" s="199">
        <f t="shared" si="262"/>
        <v>0</v>
      </c>
      <c r="S232" s="199">
        <f t="shared" si="262"/>
        <v>0</v>
      </c>
      <c r="T232" s="199">
        <f>SUM(N232:S232)</f>
        <v>0</v>
      </c>
      <c r="U232" s="199">
        <f>T232+L232</f>
        <v>0</v>
      </c>
      <c r="V232" s="199">
        <f>V227</f>
        <v>0</v>
      </c>
      <c r="W232" s="221">
        <f>V232-U232</f>
        <v>0</v>
      </c>
      <c r="X232" s="176">
        <f>U227-U232</f>
        <v>0</v>
      </c>
      <c r="Z232" s="300"/>
    </row>
    <row r="233" spans="1:26" s="176" customFormat="1" ht="18" hidden="1" customHeight="1">
      <c r="A233" s="610"/>
      <c r="B233" s="581"/>
      <c r="C233" s="581"/>
      <c r="D233" s="201" t="str">
        <f>серпень!D233</f>
        <v>дотація</v>
      </c>
      <c r="E233" s="220"/>
      <c r="F233" s="199"/>
      <c r="G233" s="199"/>
      <c r="H233" s="199"/>
      <c r="I233" s="199"/>
      <c r="J233" s="199"/>
      <c r="K233" s="199"/>
      <c r="L233" s="199">
        <f>SUM(F233:K233)</f>
        <v>0</v>
      </c>
      <c r="M233" s="199">
        <f>L233/6</f>
        <v>0</v>
      </c>
      <c r="N233" s="199"/>
      <c r="O233" s="199"/>
      <c r="P233" s="199"/>
      <c r="Q233" s="199"/>
      <c r="R233" s="199"/>
      <c r="S233" s="199"/>
      <c r="T233" s="199">
        <f>SUM(N233:S233)</f>
        <v>0</v>
      </c>
      <c r="U233" s="199">
        <f>T233+L233</f>
        <v>0</v>
      </c>
      <c r="V233" s="199">
        <f>V228</f>
        <v>0</v>
      </c>
      <c r="W233" s="221">
        <f>V233-U233</f>
        <v>0</v>
      </c>
      <c r="X233" s="176">
        <f>U228-U233</f>
        <v>0</v>
      </c>
      <c r="Z233" s="300"/>
    </row>
    <row r="234" spans="1:26" s="176" customFormat="1" ht="18" hidden="1" customHeight="1">
      <c r="A234" s="610"/>
      <c r="B234" s="581"/>
      <c r="C234" s="581"/>
      <c r="D234" s="201" t="str">
        <f>серпень!D234</f>
        <v xml:space="preserve">місцевий </v>
      </c>
      <c r="E234" s="220"/>
      <c r="F234" s="199">
        <f t="shared" ref="F234:K234" si="263">F232-F233</f>
        <v>0</v>
      </c>
      <c r="G234" s="199">
        <f t="shared" si="263"/>
        <v>0</v>
      </c>
      <c r="H234" s="199">
        <f t="shared" si="263"/>
        <v>0</v>
      </c>
      <c r="I234" s="199">
        <f t="shared" si="263"/>
        <v>0</v>
      </c>
      <c r="J234" s="199">
        <f t="shared" si="263"/>
        <v>0</v>
      </c>
      <c r="K234" s="199">
        <f t="shared" si="263"/>
        <v>0</v>
      </c>
      <c r="L234" s="199">
        <f>SUM(F234:K234)</f>
        <v>0</v>
      </c>
      <c r="M234" s="199">
        <f>L234/6</f>
        <v>0</v>
      </c>
      <c r="N234" s="199">
        <f t="shared" ref="N234:S234" si="264">N232-N233</f>
        <v>0</v>
      </c>
      <c r="O234" s="199">
        <f t="shared" si="264"/>
        <v>0</v>
      </c>
      <c r="P234" s="199">
        <f t="shared" si="264"/>
        <v>0</v>
      </c>
      <c r="Q234" s="199">
        <f t="shared" si="264"/>
        <v>0</v>
      </c>
      <c r="R234" s="199">
        <f t="shared" si="264"/>
        <v>0</v>
      </c>
      <c r="S234" s="199">
        <f t="shared" si="264"/>
        <v>0</v>
      </c>
      <c r="T234" s="199">
        <f>SUM(N234:S234)</f>
        <v>0</v>
      </c>
      <c r="U234" s="199">
        <f>T234+L234</f>
        <v>0</v>
      </c>
      <c r="V234" s="199">
        <f>V229</f>
        <v>0</v>
      </c>
      <c r="W234" s="221">
        <f>V234-U234</f>
        <v>0</v>
      </c>
      <c r="X234" s="176">
        <f>U229-U234</f>
        <v>0</v>
      </c>
      <c r="Z234" s="300"/>
    </row>
    <row r="235" spans="1:26" s="205" customFormat="1" ht="18" hidden="1" customHeight="1">
      <c r="A235" s="610"/>
      <c r="B235" s="581"/>
      <c r="C235" s="581"/>
      <c r="D235" s="202" t="str">
        <f>серпень!D235</f>
        <v>план</v>
      </c>
      <c r="E235" s="203"/>
      <c r="F235" s="203">
        <f t="shared" ref="F235:K235" si="265">F229</f>
        <v>0</v>
      </c>
      <c r="G235" s="203">
        <f t="shared" si="265"/>
        <v>0</v>
      </c>
      <c r="H235" s="203">
        <f t="shared" si="265"/>
        <v>0</v>
      </c>
      <c r="I235" s="203">
        <f t="shared" si="265"/>
        <v>0</v>
      </c>
      <c r="J235" s="203">
        <f t="shared" si="265"/>
        <v>0</v>
      </c>
      <c r="K235" s="203">
        <f t="shared" si="265"/>
        <v>0</v>
      </c>
      <c r="L235" s="203">
        <f>SUM(F235:K235)</f>
        <v>0</v>
      </c>
      <c r="M235" s="203">
        <f>L235/6</f>
        <v>0</v>
      </c>
      <c r="N235" s="203">
        <f t="shared" ref="N235:S235" si="266">N229+N228</f>
        <v>0</v>
      </c>
      <c r="O235" s="203">
        <f t="shared" si="266"/>
        <v>0</v>
      </c>
      <c r="P235" s="203">
        <f t="shared" si="266"/>
        <v>0</v>
      </c>
      <c r="Q235" s="203">
        <f t="shared" si="266"/>
        <v>0</v>
      </c>
      <c r="R235" s="203">
        <f t="shared" si="266"/>
        <v>0</v>
      </c>
      <c r="S235" s="203">
        <f t="shared" si="266"/>
        <v>0</v>
      </c>
      <c r="T235" s="203">
        <f>SUM(N235:S235)</f>
        <v>0</v>
      </c>
      <c r="U235" s="203">
        <f>T235+L235</f>
        <v>0</v>
      </c>
      <c r="V235" s="203">
        <f>V232</f>
        <v>0</v>
      </c>
      <c r="W235" s="203">
        <f>V235-U235</f>
        <v>0</v>
      </c>
      <c r="Z235" s="301"/>
    </row>
    <row r="236" spans="1:26" s="205" customFormat="1" ht="18" hidden="1" customHeight="1">
      <c r="A236" s="610"/>
      <c r="B236" s="581"/>
      <c r="C236" s="581"/>
      <c r="D236" s="202" t="str">
        <f>серпень!D236</f>
        <v xml:space="preserve">відхилення </v>
      </c>
      <c r="E236" s="203"/>
      <c r="F236" s="203">
        <f t="shared" ref="F236:K236" si="267">F232-F235</f>
        <v>0</v>
      </c>
      <c r="G236" s="203">
        <f t="shared" si="267"/>
        <v>0</v>
      </c>
      <c r="H236" s="203">
        <f t="shared" si="267"/>
        <v>0</v>
      </c>
      <c r="I236" s="203">
        <f t="shared" si="267"/>
        <v>0</v>
      </c>
      <c r="J236" s="203">
        <f t="shared" si="267"/>
        <v>0</v>
      </c>
      <c r="K236" s="203">
        <f t="shared" si="267"/>
        <v>0</v>
      </c>
      <c r="L236" s="203"/>
      <c r="M236" s="203"/>
      <c r="N236" s="203">
        <f t="shared" ref="N236:S236" si="268">N232-N235</f>
        <v>0</v>
      </c>
      <c r="O236" s="203">
        <f t="shared" si="268"/>
        <v>0</v>
      </c>
      <c r="P236" s="203">
        <f t="shared" si="268"/>
        <v>0</v>
      </c>
      <c r="Q236" s="203">
        <f t="shared" si="268"/>
        <v>0</v>
      </c>
      <c r="R236" s="203">
        <f t="shared" si="268"/>
        <v>0</v>
      </c>
      <c r="S236" s="203">
        <f t="shared" si="268"/>
        <v>0</v>
      </c>
      <c r="T236" s="203"/>
      <c r="U236" s="203"/>
      <c r="V236" s="203"/>
      <c r="W236" s="203"/>
      <c r="Z236" s="301"/>
    </row>
    <row r="237" spans="1:26" s="205" customFormat="1" ht="18" hidden="1" customHeight="1">
      <c r="A237" s="610"/>
      <c r="B237" s="581"/>
      <c r="C237" s="581"/>
      <c r="D237" s="202" t="str">
        <f>серпень!D237</f>
        <v>відхилення з наростаючим</v>
      </c>
      <c r="E237" s="203"/>
      <c r="F237" s="203">
        <f>F236</f>
        <v>0</v>
      </c>
      <c r="G237" s="203">
        <f>G236+F237</f>
        <v>0</v>
      </c>
      <c r="H237" s="203">
        <f>H236+G237</f>
        <v>0</v>
      </c>
      <c r="I237" s="203">
        <f>I236+H237</f>
        <v>0</v>
      </c>
      <c r="J237" s="203">
        <f>J236+I237</f>
        <v>0</v>
      </c>
      <c r="K237" s="203">
        <f>K236+J237</f>
        <v>0</v>
      </c>
      <c r="L237" s="203"/>
      <c r="M237" s="203"/>
      <c r="N237" s="203">
        <f>N236+K237</f>
        <v>0</v>
      </c>
      <c r="O237" s="203">
        <f>O236+N237</f>
        <v>0</v>
      </c>
      <c r="P237" s="203">
        <f>P236+O237</f>
        <v>0</v>
      </c>
      <c r="Q237" s="203">
        <f>Q236+P237</f>
        <v>0</v>
      </c>
      <c r="R237" s="203">
        <f>R236+Q237</f>
        <v>0</v>
      </c>
      <c r="S237" s="203">
        <f>S236+R237</f>
        <v>0</v>
      </c>
      <c r="T237" s="203"/>
      <c r="U237" s="203"/>
      <c r="V237" s="203"/>
      <c r="W237" s="203"/>
      <c r="Z237" s="301"/>
    </row>
    <row r="238" spans="1:26" s="186" customFormat="1" ht="18" hidden="1" customHeight="1">
      <c r="A238" s="610"/>
      <c r="B238" s="576" t="s">
        <v>56</v>
      </c>
      <c r="C238" s="577"/>
      <c r="D238" s="178" t="str">
        <f>серпень!D238</f>
        <v>факт. нат.п-ки 2023</v>
      </c>
      <c r="E238" s="179"/>
      <c r="F238" s="180"/>
      <c r="G238" s="180"/>
      <c r="H238" s="180"/>
      <c r="I238" s="180"/>
      <c r="J238" s="180"/>
      <c r="K238" s="180"/>
      <c r="L238" s="215">
        <f>SUM(F238:K238)</f>
        <v>0</v>
      </c>
      <c r="M238" s="215">
        <f>L238/6</f>
        <v>0</v>
      </c>
      <c r="N238" s="180"/>
      <c r="O238" s="180"/>
      <c r="P238" s="180"/>
      <c r="Q238" s="180"/>
      <c r="R238" s="180"/>
      <c r="S238" s="180"/>
      <c r="T238" s="215">
        <f>SUM(N238:S238)</f>
        <v>0</v>
      </c>
      <c r="U238" s="226">
        <f>T238+L238</f>
        <v>0</v>
      </c>
      <c r="V238" s="227"/>
      <c r="W238" s="184">
        <f>V238-U238</f>
        <v>0</v>
      </c>
      <c r="X238" s="185"/>
      <c r="Z238" s="297"/>
    </row>
    <row r="239" spans="1:26" s="186" customFormat="1" ht="18" hidden="1" customHeight="1">
      <c r="A239" s="610"/>
      <c r="B239" s="576"/>
      <c r="C239" s="577"/>
      <c r="D239" s="178" t="str">
        <f>серпень!D239</f>
        <v>факт. нат.п-ки 2024</v>
      </c>
      <c r="E239" s="179"/>
      <c r="F239" s="180"/>
      <c r="G239" s="180"/>
      <c r="H239" s="180"/>
      <c r="I239" s="180"/>
      <c r="J239" s="180"/>
      <c r="K239" s="180"/>
      <c r="L239" s="215">
        <f>SUM(F239:K239)</f>
        <v>0</v>
      </c>
      <c r="M239" s="215">
        <f>L239/6</f>
        <v>0</v>
      </c>
      <c r="N239" s="179"/>
      <c r="O239" s="179"/>
      <c r="P239" s="179"/>
      <c r="Q239" s="179"/>
      <c r="R239" s="179"/>
      <c r="S239" s="179"/>
      <c r="T239" s="215">
        <f>SUM(N239:S239)</f>
        <v>0</v>
      </c>
      <c r="U239" s="226">
        <f>T239+L239</f>
        <v>0</v>
      </c>
      <c r="V239" s="227"/>
      <c r="W239" s="184">
        <f>V239-U239</f>
        <v>0</v>
      </c>
      <c r="X239" s="185"/>
      <c r="Z239" s="297"/>
    </row>
    <row r="240" spans="1:26" s="186" customFormat="1" ht="18" hidden="1" customHeight="1">
      <c r="A240" s="610"/>
      <c r="B240" s="576"/>
      <c r="C240" s="577"/>
      <c r="D240" s="178" t="str">
        <f>серпень!D240</f>
        <v>факт. нат.п-ки 2025</v>
      </c>
      <c r="E240" s="179"/>
      <c r="F240" s="180"/>
      <c r="G240" s="180"/>
      <c r="H240" s="180"/>
      <c r="I240" s="180"/>
      <c r="J240" s="180"/>
      <c r="K240" s="180"/>
      <c r="L240" s="215">
        <f>SUM(F240:K240)</f>
        <v>0</v>
      </c>
      <c r="M240" s="215">
        <f>L240/6</f>
        <v>0</v>
      </c>
      <c r="N240" s="180"/>
      <c r="O240" s="180"/>
      <c r="P240" s="180"/>
      <c r="Q240" s="180"/>
      <c r="R240" s="180"/>
      <c r="S240" s="179"/>
      <c r="T240" s="215">
        <f>SUM(N240:S240)</f>
        <v>0</v>
      </c>
      <c r="U240" s="226">
        <f>T240+L240</f>
        <v>0</v>
      </c>
      <c r="V240" s="179"/>
      <c r="W240" s="184">
        <f>V240-U240</f>
        <v>0</v>
      </c>
      <c r="X240" s="185"/>
      <c r="Z240" s="297"/>
    </row>
    <row r="241" spans="1:26" s="190" customFormat="1" ht="18" hidden="1" customHeight="1">
      <c r="A241" s="610"/>
      <c r="B241" s="576"/>
      <c r="C241" s="577"/>
      <c r="D241" s="187" t="str">
        <f>серпень!D241</f>
        <v>тариф, грн.</v>
      </c>
      <c r="E241" s="188"/>
      <c r="F241" s="188">
        <v>1655.08</v>
      </c>
      <c r="G241" s="188">
        <v>1655.08</v>
      </c>
      <c r="H241" s="188">
        <v>1655.08</v>
      </c>
      <c r="I241" s="188">
        <v>1655.08</v>
      </c>
      <c r="J241" s="188">
        <v>1655.08</v>
      </c>
      <c r="K241" s="188">
        <v>1655.08</v>
      </c>
      <c r="L241" s="188" t="e">
        <f>L242/L240*1000</f>
        <v>#DIV/0!</v>
      </c>
      <c r="M241" s="188" t="e">
        <f>M242/M240*1000</f>
        <v>#DIV/0!</v>
      </c>
      <c r="N241" s="188">
        <v>1655.08</v>
      </c>
      <c r="O241" s="188">
        <v>1655.08</v>
      </c>
      <c r="P241" s="188">
        <v>1655.08</v>
      </c>
      <c r="Q241" s="188">
        <v>1655.08</v>
      </c>
      <c r="R241" s="188">
        <v>1655.08</v>
      </c>
      <c r="S241" s="188">
        <v>1655.08</v>
      </c>
      <c r="T241" s="188" t="e">
        <f>T242/T240*1000</f>
        <v>#DIV/0!</v>
      </c>
      <c r="U241" s="188" t="e">
        <f>U242/U240*1000</f>
        <v>#DIV/0!</v>
      </c>
      <c r="V241" s="218" t="e">
        <f>V242/V240*1000</f>
        <v>#DIV/0!</v>
      </c>
      <c r="W241" s="189" t="e">
        <f>W242/W240*1000</f>
        <v>#DIV/0!</v>
      </c>
      <c r="X241" s="225"/>
      <c r="Z241" s="298"/>
    </row>
    <row r="242" spans="1:26" s="196" customFormat="1" ht="18" hidden="1" customHeight="1">
      <c r="A242" s="610"/>
      <c r="B242" s="576"/>
      <c r="C242" s="577"/>
      <c r="D242" s="191" t="str">
        <f>серпень!D242</f>
        <v>сума, тис.грн.</v>
      </c>
      <c r="E242" s="192"/>
      <c r="F242" s="192">
        <f t="shared" ref="F242:K242" si="269">F240*F241/1000</f>
        <v>0</v>
      </c>
      <c r="G242" s="192">
        <f t="shared" si="269"/>
        <v>0</v>
      </c>
      <c r="H242" s="192">
        <f t="shared" si="269"/>
        <v>0</v>
      </c>
      <c r="I242" s="192">
        <f t="shared" si="269"/>
        <v>0</v>
      </c>
      <c r="J242" s="192">
        <f t="shared" si="269"/>
        <v>0</v>
      </c>
      <c r="K242" s="192">
        <f t="shared" si="269"/>
        <v>0</v>
      </c>
      <c r="L242" s="194">
        <f>SUM(F242:K242)</f>
        <v>0</v>
      </c>
      <c r="M242" s="194">
        <f>L242/6</f>
        <v>0</v>
      </c>
      <c r="N242" s="192">
        <f t="shared" ref="N242:S242" si="270">N240*N241/1000</f>
        <v>0</v>
      </c>
      <c r="O242" s="192">
        <f t="shared" si="270"/>
        <v>0</v>
      </c>
      <c r="P242" s="192">
        <f t="shared" si="270"/>
        <v>0</v>
      </c>
      <c r="Q242" s="192">
        <f t="shared" si="270"/>
        <v>0</v>
      </c>
      <c r="R242" s="192">
        <f t="shared" si="270"/>
        <v>0</v>
      </c>
      <c r="S242" s="192">
        <f t="shared" si="270"/>
        <v>0</v>
      </c>
      <c r="T242" s="194">
        <f>SUM(N242:S242)</f>
        <v>0</v>
      </c>
      <c r="U242" s="194">
        <f>T242+L242</f>
        <v>0</v>
      </c>
      <c r="V242" s="171">
        <f>V243+V244</f>
        <v>0</v>
      </c>
      <c r="W242" s="193">
        <f>V242-U242</f>
        <v>0</v>
      </c>
      <c r="X242" s="224">
        <f>2726951.723/1000</f>
        <v>2726.9520000000002</v>
      </c>
      <c r="Z242" s="299"/>
    </row>
    <row r="243" spans="1:26" s="196" customFormat="1" ht="18" hidden="1" customHeight="1">
      <c r="A243" s="610"/>
      <c r="B243" s="576"/>
      <c r="C243" s="577"/>
      <c r="D243" s="174" t="str">
        <f>серпень!D243</f>
        <v>дотація</v>
      </c>
      <c r="E243" s="210"/>
      <c r="F243" s="192"/>
      <c r="G243" s="192"/>
      <c r="H243" s="192"/>
      <c r="I243" s="192"/>
      <c r="J243" s="192"/>
      <c r="K243" s="192"/>
      <c r="L243" s="194">
        <f>SUM(F243:K243)</f>
        <v>0</v>
      </c>
      <c r="M243" s="194">
        <f>L243/6</f>
        <v>0</v>
      </c>
      <c r="N243" s="192"/>
      <c r="O243" s="192"/>
      <c r="P243" s="192"/>
      <c r="Q243" s="192"/>
      <c r="R243" s="192"/>
      <c r="S243" s="192"/>
      <c r="T243" s="194">
        <f>SUM(N243:S243)</f>
        <v>0</v>
      </c>
      <c r="U243" s="194">
        <f>T243+L243</f>
        <v>0</v>
      </c>
      <c r="V243" s="171">
        <v>0</v>
      </c>
      <c r="W243" s="193">
        <f>V243-U243</f>
        <v>0</v>
      </c>
      <c r="X243" s="195"/>
      <c r="Z243" s="299"/>
    </row>
    <row r="244" spans="1:26" s="196" customFormat="1" ht="18" hidden="1" customHeight="1">
      <c r="A244" s="610"/>
      <c r="B244" s="576"/>
      <c r="C244" s="577"/>
      <c r="D244" s="174" t="str">
        <f>серпень!D244</f>
        <v>місцевий (план), тис.грн</v>
      </c>
      <c r="E244" s="210"/>
      <c r="F244" s="192"/>
      <c r="G244" s="192"/>
      <c r="H244" s="192"/>
      <c r="I244" s="192"/>
      <c r="J244" s="192"/>
      <c r="K244" s="192"/>
      <c r="L244" s="194">
        <f>SUM(F244:K244)</f>
        <v>0</v>
      </c>
      <c r="M244" s="194">
        <f>L244/6</f>
        <v>0</v>
      </c>
      <c r="N244" s="192"/>
      <c r="O244" s="192"/>
      <c r="P244" s="192"/>
      <c r="Q244" s="192"/>
      <c r="R244" s="192"/>
      <c r="S244" s="192"/>
      <c r="T244" s="194">
        <f>SUM(N244:S244)</f>
        <v>0</v>
      </c>
      <c r="U244" s="194">
        <f>T244+L244</f>
        <v>0</v>
      </c>
      <c r="V244" s="171"/>
      <c r="W244" s="193">
        <f>V244-U244</f>
        <v>0</v>
      </c>
      <c r="X244" s="195"/>
      <c r="Z244" s="299"/>
    </row>
    <row r="245" spans="1:26" s="186" customFormat="1" ht="18" hidden="1" customHeight="1">
      <c r="A245" s="610"/>
      <c r="B245" s="576"/>
      <c r="C245" s="577"/>
      <c r="D245" s="178" t="str">
        <f>серпень!D245</f>
        <v>касові нат.п-ки 2025</v>
      </c>
      <c r="E245" s="179"/>
      <c r="F245" s="179"/>
      <c r="G245" s="179"/>
      <c r="H245" s="179"/>
      <c r="I245" s="179"/>
      <c r="J245" s="179"/>
      <c r="K245" s="179"/>
      <c r="L245" s="215">
        <f>SUM(F245:K245)</f>
        <v>0</v>
      </c>
      <c r="M245" s="215">
        <f>L245/6</f>
        <v>0</v>
      </c>
      <c r="N245" s="179"/>
      <c r="O245" s="179"/>
      <c r="P245" s="179"/>
      <c r="Q245" s="179"/>
      <c r="R245" s="179"/>
      <c r="S245" s="179">
        <f>S240+R240</f>
        <v>0</v>
      </c>
      <c r="T245" s="215">
        <f>SUM(N245:S245)</f>
        <v>0</v>
      </c>
      <c r="U245" s="215">
        <f>T245+L245</f>
        <v>0</v>
      </c>
      <c r="V245" s="179">
        <f>V240</f>
        <v>0</v>
      </c>
      <c r="W245" s="184">
        <f>V245-U245</f>
        <v>0</v>
      </c>
      <c r="X245" s="185">
        <f>U240-U245</f>
        <v>0</v>
      </c>
      <c r="Z245" s="297"/>
    </row>
    <row r="246" spans="1:26" s="190" customFormat="1" ht="18" hidden="1" customHeight="1">
      <c r="A246" s="610"/>
      <c r="B246" s="576"/>
      <c r="C246" s="577"/>
      <c r="D246" s="187" t="str">
        <f>серпень!D246</f>
        <v>тариф, грн.</v>
      </c>
      <c r="E246" s="188" t="e">
        <f>E247/E245*1000</f>
        <v>#DIV/0!</v>
      </c>
      <c r="F246" s="188">
        <v>1655.08</v>
      </c>
      <c r="G246" s="188">
        <v>1655.08</v>
      </c>
      <c r="H246" s="188">
        <v>1655.08</v>
      </c>
      <c r="I246" s="188">
        <v>1655.08</v>
      </c>
      <c r="J246" s="188">
        <v>1655.08</v>
      </c>
      <c r="K246" s="188">
        <v>1655.08</v>
      </c>
      <c r="L246" s="188" t="e">
        <f>L247/L245*1000</f>
        <v>#DIV/0!</v>
      </c>
      <c r="M246" s="188" t="e">
        <f>M247/M245*1000</f>
        <v>#DIV/0!</v>
      </c>
      <c r="N246" s="188">
        <v>1655.08</v>
      </c>
      <c r="O246" s="188">
        <v>1655.08</v>
      </c>
      <c r="P246" s="188">
        <v>1655.08</v>
      </c>
      <c r="Q246" s="188">
        <v>1655.08</v>
      </c>
      <c r="R246" s="188">
        <v>1655.08</v>
      </c>
      <c r="S246" s="188">
        <v>1655.08</v>
      </c>
      <c r="T246" s="188" t="e">
        <f>T247/T245*1000</f>
        <v>#DIV/0!</v>
      </c>
      <c r="U246" s="188" t="e">
        <f>U247/U245*1000</f>
        <v>#DIV/0!</v>
      </c>
      <c r="V246" s="218" t="e">
        <f>V247/V245*1000</f>
        <v>#DIV/0!</v>
      </c>
      <c r="W246" s="189" t="e">
        <f>W247/W245*1000</f>
        <v>#DIV/0!</v>
      </c>
      <c r="X246" s="225"/>
      <c r="Z246" s="298"/>
    </row>
    <row r="247" spans="1:26" s="176" customFormat="1" ht="18" hidden="1" customHeight="1">
      <c r="A247" s="610"/>
      <c r="B247" s="576"/>
      <c r="C247" s="577"/>
      <c r="D247" s="198" t="str">
        <f>серпень!D247</f>
        <v>касові видатки, тис.грн.</v>
      </c>
      <c r="E247" s="220"/>
      <c r="F247" s="199">
        <f t="shared" ref="F247:K247" si="271">F245*F246/1000</f>
        <v>0</v>
      </c>
      <c r="G247" s="199">
        <f t="shared" si="271"/>
        <v>0</v>
      </c>
      <c r="H247" s="199">
        <f t="shared" si="271"/>
        <v>0</v>
      </c>
      <c r="I247" s="199">
        <f t="shared" si="271"/>
        <v>0</v>
      </c>
      <c r="J247" s="199">
        <f t="shared" si="271"/>
        <v>0</v>
      </c>
      <c r="K247" s="199">
        <f t="shared" si="271"/>
        <v>0</v>
      </c>
      <c r="L247" s="199">
        <f>SUM(F247:K247)</f>
        <v>0</v>
      </c>
      <c r="M247" s="199">
        <f>L247/6</f>
        <v>0</v>
      </c>
      <c r="N247" s="199">
        <f t="shared" ref="N247:S247" si="272">N245*N246/1000</f>
        <v>0</v>
      </c>
      <c r="O247" s="199">
        <f t="shared" si="272"/>
        <v>0</v>
      </c>
      <c r="P247" s="199">
        <f t="shared" si="272"/>
        <v>0</v>
      </c>
      <c r="Q247" s="199">
        <f t="shared" si="272"/>
        <v>0</v>
      </c>
      <c r="R247" s="199">
        <f t="shared" si="272"/>
        <v>0</v>
      </c>
      <c r="S247" s="199">
        <f t="shared" si="272"/>
        <v>0</v>
      </c>
      <c r="T247" s="199">
        <f>SUM(N247:S247)</f>
        <v>0</v>
      </c>
      <c r="U247" s="199">
        <f>T247+L247</f>
        <v>0</v>
      </c>
      <c r="V247" s="199">
        <f>V242</f>
        <v>0</v>
      </c>
      <c r="W247" s="221">
        <f>V247-U247</f>
        <v>0</v>
      </c>
      <c r="X247" s="176">
        <f>U242-U247</f>
        <v>0</v>
      </c>
      <c r="Z247" s="300"/>
    </row>
    <row r="248" spans="1:26" s="176" customFormat="1" ht="18" hidden="1" customHeight="1">
      <c r="A248" s="610"/>
      <c r="B248" s="576"/>
      <c r="C248" s="577"/>
      <c r="D248" s="201" t="str">
        <f>серпень!D248</f>
        <v>дотація</v>
      </c>
      <c r="E248" s="220"/>
      <c r="F248" s="199"/>
      <c r="G248" s="199"/>
      <c r="H248" s="199"/>
      <c r="I248" s="199"/>
      <c r="J248" s="199"/>
      <c r="K248" s="199"/>
      <c r="L248" s="199">
        <f>SUM(F248:K248)</f>
        <v>0</v>
      </c>
      <c r="M248" s="199">
        <f>L248/6</f>
        <v>0</v>
      </c>
      <c r="N248" s="199"/>
      <c r="O248" s="199"/>
      <c r="P248" s="199"/>
      <c r="Q248" s="199"/>
      <c r="R248" s="199"/>
      <c r="S248" s="199"/>
      <c r="T248" s="199">
        <f>SUM(N248:S248)</f>
        <v>0</v>
      </c>
      <c r="U248" s="199">
        <f>T248+L248</f>
        <v>0</v>
      </c>
      <c r="V248" s="199">
        <f>V243</f>
        <v>0</v>
      </c>
      <c r="W248" s="221">
        <f>V248-U248</f>
        <v>0</v>
      </c>
      <c r="X248" s="176">
        <f>U243-U248</f>
        <v>0</v>
      </c>
      <c r="Z248" s="300"/>
    </row>
    <row r="249" spans="1:26" s="176" customFormat="1" ht="18" hidden="1" customHeight="1">
      <c r="A249" s="610"/>
      <c r="B249" s="576"/>
      <c r="C249" s="577"/>
      <c r="D249" s="201" t="str">
        <f>серпень!D249</f>
        <v xml:space="preserve">місцевий </v>
      </c>
      <c r="E249" s="220"/>
      <c r="F249" s="199">
        <f t="shared" ref="F249:K249" si="273">F247-F248</f>
        <v>0</v>
      </c>
      <c r="G249" s="199">
        <f t="shared" si="273"/>
        <v>0</v>
      </c>
      <c r="H249" s="199">
        <f t="shared" si="273"/>
        <v>0</v>
      </c>
      <c r="I249" s="199">
        <f t="shared" si="273"/>
        <v>0</v>
      </c>
      <c r="J249" s="199">
        <f t="shared" si="273"/>
        <v>0</v>
      </c>
      <c r="K249" s="199">
        <f t="shared" si="273"/>
        <v>0</v>
      </c>
      <c r="L249" s="199">
        <f>SUM(F249:K249)</f>
        <v>0</v>
      </c>
      <c r="M249" s="199">
        <f>L249/6</f>
        <v>0</v>
      </c>
      <c r="N249" s="199">
        <f t="shared" ref="N249:S249" si="274">N247-N248</f>
        <v>0</v>
      </c>
      <c r="O249" s="199">
        <f t="shared" si="274"/>
        <v>0</v>
      </c>
      <c r="P249" s="199">
        <f t="shared" si="274"/>
        <v>0</v>
      </c>
      <c r="Q249" s="199">
        <f t="shared" si="274"/>
        <v>0</v>
      </c>
      <c r="R249" s="199">
        <f t="shared" si="274"/>
        <v>0</v>
      </c>
      <c r="S249" s="199">
        <f t="shared" si="274"/>
        <v>0</v>
      </c>
      <c r="T249" s="199">
        <f>SUM(N249:S249)</f>
        <v>0</v>
      </c>
      <c r="U249" s="199">
        <f>T249+L249</f>
        <v>0</v>
      </c>
      <c r="V249" s="199">
        <f>V244</f>
        <v>0</v>
      </c>
      <c r="W249" s="221">
        <f>V249-U249</f>
        <v>0</v>
      </c>
      <c r="X249" s="176">
        <f>U244-U249</f>
        <v>0</v>
      </c>
      <c r="Z249" s="300"/>
    </row>
    <row r="250" spans="1:26" s="205" customFormat="1" ht="18" hidden="1" customHeight="1">
      <c r="A250" s="610"/>
      <c r="B250" s="576"/>
      <c r="C250" s="577"/>
      <c r="D250" s="202" t="str">
        <f>серпень!D250</f>
        <v>план</v>
      </c>
      <c r="E250" s="203"/>
      <c r="F250" s="203">
        <f t="shared" ref="F250:K250" si="275">F244</f>
        <v>0</v>
      </c>
      <c r="G250" s="203">
        <f t="shared" si="275"/>
        <v>0</v>
      </c>
      <c r="H250" s="203">
        <f t="shared" si="275"/>
        <v>0</v>
      </c>
      <c r="I250" s="203">
        <f t="shared" si="275"/>
        <v>0</v>
      </c>
      <c r="J250" s="203">
        <f t="shared" si="275"/>
        <v>0</v>
      </c>
      <c r="K250" s="203">
        <f t="shared" si="275"/>
        <v>0</v>
      </c>
      <c r="L250" s="203">
        <f>SUM(F250:K250)</f>
        <v>0</v>
      </c>
      <c r="M250" s="203">
        <f>L250/6</f>
        <v>0</v>
      </c>
      <c r="N250" s="203">
        <f t="shared" ref="N250:S250" si="276">N244+N243</f>
        <v>0</v>
      </c>
      <c r="O250" s="203">
        <f t="shared" si="276"/>
        <v>0</v>
      </c>
      <c r="P250" s="203">
        <f t="shared" si="276"/>
        <v>0</v>
      </c>
      <c r="Q250" s="203">
        <f t="shared" si="276"/>
        <v>0</v>
      </c>
      <c r="R250" s="203">
        <f t="shared" si="276"/>
        <v>0</v>
      </c>
      <c r="S250" s="203">
        <f t="shared" si="276"/>
        <v>0</v>
      </c>
      <c r="T250" s="203">
        <f>SUM(N250:S250)</f>
        <v>0</v>
      </c>
      <c r="U250" s="203">
        <f>T250+L250</f>
        <v>0</v>
      </c>
      <c r="V250" s="203">
        <f>V247</f>
        <v>0</v>
      </c>
      <c r="W250" s="203">
        <f>V250-U250</f>
        <v>0</v>
      </c>
      <c r="Z250" s="301"/>
    </row>
    <row r="251" spans="1:26" s="205" customFormat="1" ht="18" hidden="1" customHeight="1">
      <c r="A251" s="610"/>
      <c r="B251" s="576"/>
      <c r="C251" s="577"/>
      <c r="D251" s="202" t="str">
        <f>серпень!D251</f>
        <v xml:space="preserve">відхилення </v>
      </c>
      <c r="E251" s="203"/>
      <c r="F251" s="203">
        <f t="shared" ref="F251:K251" si="277">F247-F250</f>
        <v>0</v>
      </c>
      <c r="G251" s="203">
        <f t="shared" si="277"/>
        <v>0</v>
      </c>
      <c r="H251" s="203">
        <f t="shared" si="277"/>
        <v>0</v>
      </c>
      <c r="I251" s="203">
        <f t="shared" si="277"/>
        <v>0</v>
      </c>
      <c r="J251" s="203">
        <f t="shared" si="277"/>
        <v>0</v>
      </c>
      <c r="K251" s="203">
        <f t="shared" si="277"/>
        <v>0</v>
      </c>
      <c r="L251" s="203"/>
      <c r="M251" s="203"/>
      <c r="N251" s="203">
        <f t="shared" ref="N251:S251" si="278">N247-N250</f>
        <v>0</v>
      </c>
      <c r="O251" s="203">
        <f t="shared" si="278"/>
        <v>0</v>
      </c>
      <c r="P251" s="203">
        <f t="shared" si="278"/>
        <v>0</v>
      </c>
      <c r="Q251" s="203">
        <f t="shared" si="278"/>
        <v>0</v>
      </c>
      <c r="R251" s="203">
        <f t="shared" si="278"/>
        <v>0</v>
      </c>
      <c r="S251" s="203">
        <f t="shared" si="278"/>
        <v>0</v>
      </c>
      <c r="T251" s="203"/>
      <c r="U251" s="203"/>
      <c r="V251" s="203"/>
      <c r="W251" s="203"/>
      <c r="Z251" s="301"/>
    </row>
    <row r="252" spans="1:26" s="205" customFormat="1" ht="18" hidden="1" customHeight="1">
      <c r="A252" s="611"/>
      <c r="B252" s="578"/>
      <c r="C252" s="579"/>
      <c r="D252" s="202" t="str">
        <f>серпень!D252</f>
        <v>відхилення з наростаючим</v>
      </c>
      <c r="E252" s="203"/>
      <c r="F252" s="203">
        <f>F251</f>
        <v>0</v>
      </c>
      <c r="G252" s="203">
        <f>G251+F252</f>
        <v>0</v>
      </c>
      <c r="H252" s="203">
        <f>H251+G252</f>
        <v>0</v>
      </c>
      <c r="I252" s="203">
        <f>I251+H252</f>
        <v>0</v>
      </c>
      <c r="J252" s="203">
        <f>J251+I252</f>
        <v>0</v>
      </c>
      <c r="K252" s="203">
        <f>K251+J252</f>
        <v>0</v>
      </c>
      <c r="L252" s="203"/>
      <c r="M252" s="203"/>
      <c r="N252" s="203">
        <f>N251+K252</f>
        <v>0</v>
      </c>
      <c r="O252" s="203">
        <f>O251+N252</f>
        <v>0</v>
      </c>
      <c r="P252" s="203">
        <f>P251+O252</f>
        <v>0</v>
      </c>
      <c r="Q252" s="203">
        <f>Q251+P252</f>
        <v>0</v>
      </c>
      <c r="R252" s="203">
        <f>R251+Q252</f>
        <v>0</v>
      </c>
      <c r="S252" s="203">
        <f>S251+R252</f>
        <v>0</v>
      </c>
      <c r="T252" s="203"/>
      <c r="U252" s="203"/>
      <c r="V252" s="203"/>
      <c r="W252" s="203"/>
      <c r="Z252" s="301"/>
    </row>
    <row r="253" spans="1:26" s="186" customFormat="1" ht="18" hidden="1" customHeight="1">
      <c r="A253" s="609" t="s">
        <v>58</v>
      </c>
      <c r="B253" s="659" t="s">
        <v>62</v>
      </c>
      <c r="C253" s="660"/>
      <c r="D253" s="178" t="str">
        <f>серпень!D253</f>
        <v>факт. нат.п-ки 2023</v>
      </c>
      <c r="E253" s="179"/>
      <c r="F253" s="180">
        <f t="shared" ref="F253:K255" si="279">F270+F300</f>
        <v>0</v>
      </c>
      <c r="G253" s="180">
        <f t="shared" si="279"/>
        <v>0</v>
      </c>
      <c r="H253" s="180">
        <f t="shared" si="279"/>
        <v>0</v>
      </c>
      <c r="I253" s="180">
        <f t="shared" si="279"/>
        <v>0</v>
      </c>
      <c r="J253" s="180">
        <f t="shared" si="279"/>
        <v>0</v>
      </c>
      <c r="K253" s="180">
        <f t="shared" si="279"/>
        <v>0</v>
      </c>
      <c r="L253" s="207">
        <f>SUM(F253:K253)</f>
        <v>0</v>
      </c>
      <c r="M253" s="207">
        <f>L253/6</f>
        <v>0</v>
      </c>
      <c r="N253" s="180">
        <f t="shared" ref="N253:S255" si="280">N270+N300</f>
        <v>0</v>
      </c>
      <c r="O253" s="180">
        <f t="shared" si="280"/>
        <v>0</v>
      </c>
      <c r="P253" s="180">
        <f t="shared" si="280"/>
        <v>0</v>
      </c>
      <c r="Q253" s="180">
        <f t="shared" si="280"/>
        <v>0</v>
      </c>
      <c r="R253" s="180">
        <f t="shared" si="280"/>
        <v>0</v>
      </c>
      <c r="S253" s="180">
        <f t="shared" si="280"/>
        <v>0</v>
      </c>
      <c r="T253" s="207">
        <f>SUM(N253:S253)</f>
        <v>0</v>
      </c>
      <c r="U253" s="222">
        <f>T253+L253</f>
        <v>0</v>
      </c>
      <c r="V253" s="183">
        <f>V270+V300</f>
        <v>0</v>
      </c>
      <c r="W253" s="184"/>
      <c r="X253" s="185"/>
      <c r="Z253" s="297"/>
    </row>
    <row r="254" spans="1:26" s="186" customFormat="1" ht="18" hidden="1" customHeight="1">
      <c r="A254" s="610"/>
      <c r="B254" s="661"/>
      <c r="C254" s="662"/>
      <c r="D254" s="178" t="str">
        <f>серпень!D254</f>
        <v>факт. нат.п-ки 2024</v>
      </c>
      <c r="E254" s="179"/>
      <c r="F254" s="180">
        <f t="shared" si="279"/>
        <v>0</v>
      </c>
      <c r="G254" s="180">
        <f t="shared" si="279"/>
        <v>0</v>
      </c>
      <c r="H254" s="180">
        <f t="shared" si="279"/>
        <v>0</v>
      </c>
      <c r="I254" s="180">
        <f t="shared" si="279"/>
        <v>0</v>
      </c>
      <c r="J254" s="180">
        <f t="shared" si="279"/>
        <v>0</v>
      </c>
      <c r="K254" s="180">
        <f t="shared" si="279"/>
        <v>0</v>
      </c>
      <c r="L254" s="207">
        <f>SUM(F254:K254)</f>
        <v>0</v>
      </c>
      <c r="M254" s="207">
        <f>L254/6</f>
        <v>0</v>
      </c>
      <c r="N254" s="179">
        <f t="shared" si="280"/>
        <v>0</v>
      </c>
      <c r="O254" s="179">
        <f t="shared" si="280"/>
        <v>0</v>
      </c>
      <c r="P254" s="179">
        <f t="shared" si="280"/>
        <v>0</v>
      </c>
      <c r="Q254" s="179">
        <f t="shared" si="280"/>
        <v>0</v>
      </c>
      <c r="R254" s="179">
        <f t="shared" si="280"/>
        <v>0</v>
      </c>
      <c r="S254" s="179">
        <f t="shared" si="280"/>
        <v>0</v>
      </c>
      <c r="T254" s="207">
        <f>SUM(N254:S254)</f>
        <v>0</v>
      </c>
      <c r="U254" s="222">
        <f>T254+L254</f>
        <v>0</v>
      </c>
      <c r="V254" s="183">
        <f>V271+V301</f>
        <v>0</v>
      </c>
      <c r="W254" s="184"/>
      <c r="X254" s="185"/>
      <c r="Z254" s="297"/>
    </row>
    <row r="255" spans="1:26" s="186" customFormat="1" ht="18" hidden="1" customHeight="1">
      <c r="A255" s="610"/>
      <c r="B255" s="661"/>
      <c r="C255" s="662"/>
      <c r="D255" s="178" t="str">
        <f>серпень!D255</f>
        <v>факт. нат.п-ки 2025</v>
      </c>
      <c r="E255" s="179"/>
      <c r="F255" s="180">
        <f>F272+F302</f>
        <v>0</v>
      </c>
      <c r="G255" s="180">
        <f t="shared" si="279"/>
        <v>0</v>
      </c>
      <c r="H255" s="180">
        <f t="shared" si="279"/>
        <v>0</v>
      </c>
      <c r="I255" s="180">
        <f t="shared" si="279"/>
        <v>0</v>
      </c>
      <c r="J255" s="180">
        <f t="shared" si="279"/>
        <v>0</v>
      </c>
      <c r="K255" s="180">
        <f t="shared" si="279"/>
        <v>0</v>
      </c>
      <c r="L255" s="207">
        <f>SUM(F255:K255)</f>
        <v>0</v>
      </c>
      <c r="M255" s="207">
        <f>L255/6</f>
        <v>0</v>
      </c>
      <c r="N255" s="180">
        <f>N272+N302</f>
        <v>0</v>
      </c>
      <c r="O255" s="180">
        <f t="shared" si="280"/>
        <v>0</v>
      </c>
      <c r="P255" s="180">
        <f t="shared" si="280"/>
        <v>0</v>
      </c>
      <c r="Q255" s="180">
        <f t="shared" si="280"/>
        <v>0</v>
      </c>
      <c r="R255" s="180">
        <f t="shared" si="280"/>
        <v>0</v>
      </c>
      <c r="S255" s="180">
        <f t="shared" si="280"/>
        <v>0</v>
      </c>
      <c r="T255" s="207">
        <f>SUM(N255:S255)</f>
        <v>0</v>
      </c>
      <c r="U255" s="222">
        <f>T255+L255</f>
        <v>0</v>
      </c>
      <c r="V255" s="183">
        <f>V272+V287+V302+V317</f>
        <v>0</v>
      </c>
      <c r="W255" s="184">
        <f>V255-U255</f>
        <v>0</v>
      </c>
      <c r="X255" s="185"/>
      <c r="Z255" s="297"/>
    </row>
    <row r="256" spans="1:26" s="190" customFormat="1" ht="18" hidden="1" customHeight="1">
      <c r="A256" s="610"/>
      <c r="B256" s="661"/>
      <c r="C256" s="662"/>
      <c r="D256" s="187" t="str">
        <f>серпень!D256</f>
        <v>тариф, грн.</v>
      </c>
      <c r="E256" s="188"/>
      <c r="F256" s="188" t="e">
        <f>F257/F255*1000</f>
        <v>#DIV/0!</v>
      </c>
      <c r="G256" s="188" t="e">
        <f>G257/G255*1000</f>
        <v>#DIV/0!</v>
      </c>
      <c r="H256" s="188" t="e">
        <f>H257/H255*1000</f>
        <v>#DIV/0!</v>
      </c>
      <c r="I256" s="188" t="e">
        <f>I257/I255*1000</f>
        <v>#DIV/0!</v>
      </c>
      <c r="J256" s="188" t="e">
        <f>J257/J255*1000</f>
        <v>#DIV/0!</v>
      </c>
      <c r="K256" s="188" t="e">
        <f t="shared" ref="K256:S256" si="281">K257/K255*1000</f>
        <v>#DIV/0!</v>
      </c>
      <c r="L256" s="188" t="e">
        <f t="shared" si="281"/>
        <v>#DIV/0!</v>
      </c>
      <c r="M256" s="188" t="e">
        <f t="shared" si="281"/>
        <v>#DIV/0!</v>
      </c>
      <c r="N256" s="188" t="e">
        <f t="shared" si="281"/>
        <v>#DIV/0!</v>
      </c>
      <c r="O256" s="188" t="e">
        <f t="shared" si="281"/>
        <v>#DIV/0!</v>
      </c>
      <c r="P256" s="188" t="e">
        <f t="shared" si="281"/>
        <v>#DIV/0!</v>
      </c>
      <c r="Q256" s="188" t="e">
        <f t="shared" si="281"/>
        <v>#DIV/0!</v>
      </c>
      <c r="R256" s="188" t="e">
        <f t="shared" si="281"/>
        <v>#DIV/0!</v>
      </c>
      <c r="S256" s="188" t="e">
        <f t="shared" si="281"/>
        <v>#DIV/0!</v>
      </c>
      <c r="T256" s="188" t="e">
        <f>T257/T255*1000</f>
        <v>#DIV/0!</v>
      </c>
      <c r="U256" s="188" t="e">
        <f>U257/U255*1000</f>
        <v>#DIV/0!</v>
      </c>
      <c r="V256" s="188" t="e">
        <f>V257/V255*1000</f>
        <v>#DIV/0!</v>
      </c>
      <c r="W256" s="189" t="e">
        <f>W257/W255*1000</f>
        <v>#DIV/0!</v>
      </c>
      <c r="X256" s="225"/>
      <c r="Z256" s="298"/>
    </row>
    <row r="257" spans="1:28" s="228" customFormat="1" ht="18" hidden="1" customHeight="1">
      <c r="A257" s="610"/>
      <c r="B257" s="661"/>
      <c r="C257" s="662"/>
      <c r="D257" s="191" t="str">
        <f>серпень!D257</f>
        <v>сума, тис.грн.</v>
      </c>
      <c r="E257" s="192"/>
      <c r="F257" s="192">
        <f>F274+F304</f>
        <v>0</v>
      </c>
      <c r="G257" s="192">
        <f t="shared" ref="G257:K257" si="282">G274+G304</f>
        <v>0</v>
      </c>
      <c r="H257" s="192">
        <f t="shared" si="282"/>
        <v>0</v>
      </c>
      <c r="I257" s="192">
        <f t="shared" si="282"/>
        <v>0</v>
      </c>
      <c r="J257" s="192">
        <f t="shared" si="282"/>
        <v>0</v>
      </c>
      <c r="K257" s="192">
        <f t="shared" si="282"/>
        <v>0</v>
      </c>
      <c r="L257" s="192">
        <f t="shared" ref="L257:L262" si="283">SUM(F257:K257)</f>
        <v>0</v>
      </c>
      <c r="M257" s="192">
        <f t="shared" ref="M257:M262" si="284">L257/6</f>
        <v>0</v>
      </c>
      <c r="N257" s="192">
        <f>N274+N304</f>
        <v>0</v>
      </c>
      <c r="O257" s="192">
        <f t="shared" ref="O257:S257" si="285">O274+O304</f>
        <v>0</v>
      </c>
      <c r="P257" s="192">
        <f t="shared" si="285"/>
        <v>0</v>
      </c>
      <c r="Q257" s="192">
        <f t="shared" si="285"/>
        <v>0</v>
      </c>
      <c r="R257" s="192">
        <f t="shared" si="285"/>
        <v>0</v>
      </c>
      <c r="S257" s="192">
        <f t="shared" si="285"/>
        <v>0</v>
      </c>
      <c r="T257" s="192">
        <f t="shared" ref="T257:T262" si="286">SUM(N257:S257)</f>
        <v>0</v>
      </c>
      <c r="U257" s="192">
        <f t="shared" ref="U257:U262" si="287">T257+L257</f>
        <v>0</v>
      </c>
      <c r="V257" s="193">
        <f>V274+V289+V304+V319</f>
        <v>0</v>
      </c>
      <c r="W257" s="193">
        <f t="shared" ref="W257:W262" si="288">V257-U257</f>
        <v>0</v>
      </c>
      <c r="X257" s="209"/>
      <c r="Y257" s="209"/>
      <c r="Z257" s="293"/>
      <c r="AA257" s="209"/>
      <c r="AB257" s="209"/>
    </row>
    <row r="258" spans="1:28" s="228" customFormat="1" ht="18" hidden="1" customHeight="1">
      <c r="A258" s="610"/>
      <c r="B258" s="661"/>
      <c r="C258" s="662"/>
      <c r="D258" s="174" t="str">
        <f>серпень!D258</f>
        <v>абоненська плата, тис.грн.</v>
      </c>
      <c r="E258" s="192"/>
      <c r="F258" s="192">
        <f>F289+F319</f>
        <v>0</v>
      </c>
      <c r="G258" s="192">
        <f t="shared" ref="G258:K258" si="289">G289+G319</f>
        <v>0</v>
      </c>
      <c r="H258" s="192">
        <f t="shared" si="289"/>
        <v>0</v>
      </c>
      <c r="I258" s="192">
        <f t="shared" si="289"/>
        <v>0</v>
      </c>
      <c r="J258" s="192">
        <f t="shared" si="289"/>
        <v>0</v>
      </c>
      <c r="K258" s="192">
        <f t="shared" si="289"/>
        <v>0</v>
      </c>
      <c r="L258" s="192">
        <f t="shared" si="283"/>
        <v>0</v>
      </c>
      <c r="M258" s="192">
        <f t="shared" si="284"/>
        <v>0</v>
      </c>
      <c r="N258" s="192">
        <f>N289+N319</f>
        <v>0</v>
      </c>
      <c r="O258" s="192">
        <f t="shared" ref="O258:S258" si="290">O289+O319</f>
        <v>0</v>
      </c>
      <c r="P258" s="192">
        <f t="shared" si="290"/>
        <v>0</v>
      </c>
      <c r="Q258" s="192">
        <f t="shared" si="290"/>
        <v>0</v>
      </c>
      <c r="R258" s="192">
        <f t="shared" si="290"/>
        <v>0</v>
      </c>
      <c r="S258" s="192">
        <f t="shared" si="290"/>
        <v>0</v>
      </c>
      <c r="T258" s="192">
        <f t="shared" si="286"/>
        <v>0</v>
      </c>
      <c r="U258" s="192">
        <f t="shared" si="287"/>
        <v>0</v>
      </c>
      <c r="V258" s="193">
        <f>V289+V319</f>
        <v>0</v>
      </c>
      <c r="W258" s="193">
        <f t="shared" si="288"/>
        <v>0</v>
      </c>
      <c r="X258" s="209"/>
      <c r="Y258" s="209"/>
      <c r="Z258" s="293"/>
      <c r="AA258" s="209"/>
      <c r="AB258" s="209"/>
    </row>
    <row r="259" spans="1:28" s="228" customFormat="1" ht="18" hidden="1" customHeight="1">
      <c r="A259" s="610"/>
      <c r="B259" s="661"/>
      <c r="C259" s="662"/>
      <c r="D259" s="174" t="str">
        <f>серпень!D259</f>
        <v>разом сума тис. грн+абонплата</v>
      </c>
      <c r="E259" s="192"/>
      <c r="F259" s="192">
        <f>F257+F258</f>
        <v>0</v>
      </c>
      <c r="G259" s="192">
        <f t="shared" ref="G259:K259" si="291">G257+G258</f>
        <v>0</v>
      </c>
      <c r="H259" s="192">
        <f t="shared" si="291"/>
        <v>0</v>
      </c>
      <c r="I259" s="192">
        <f t="shared" si="291"/>
        <v>0</v>
      </c>
      <c r="J259" s="192">
        <f t="shared" si="291"/>
        <v>0</v>
      </c>
      <c r="K259" s="192">
        <f t="shared" si="291"/>
        <v>0</v>
      </c>
      <c r="L259" s="192">
        <f t="shared" si="283"/>
        <v>0</v>
      </c>
      <c r="M259" s="192">
        <f t="shared" si="284"/>
        <v>0</v>
      </c>
      <c r="N259" s="192">
        <f>N257+N258</f>
        <v>0</v>
      </c>
      <c r="O259" s="192">
        <f t="shared" ref="O259:S259" si="292">O257+O258</f>
        <v>0</v>
      </c>
      <c r="P259" s="192">
        <f t="shared" si="292"/>
        <v>0</v>
      </c>
      <c r="Q259" s="192">
        <f t="shared" si="292"/>
        <v>0</v>
      </c>
      <c r="R259" s="192">
        <f t="shared" si="292"/>
        <v>0</v>
      </c>
      <c r="S259" s="192">
        <f t="shared" si="292"/>
        <v>0</v>
      </c>
      <c r="T259" s="192">
        <f t="shared" si="286"/>
        <v>0</v>
      </c>
      <c r="U259" s="192">
        <f t="shared" si="287"/>
        <v>0</v>
      </c>
      <c r="V259" s="193">
        <f>V290+V320</f>
        <v>0</v>
      </c>
      <c r="W259" s="193">
        <f t="shared" si="288"/>
        <v>0</v>
      </c>
      <c r="X259" s="209"/>
      <c r="Y259" s="209"/>
      <c r="Z259" s="293"/>
      <c r="AA259" s="209"/>
      <c r="AB259" s="209"/>
    </row>
    <row r="260" spans="1:28" s="228" customFormat="1" ht="18" hidden="1" customHeight="1">
      <c r="A260" s="610"/>
      <c r="B260" s="661"/>
      <c r="C260" s="662"/>
      <c r="D260" s="174" t="str">
        <f>серпень!D260</f>
        <v>дотація</v>
      </c>
      <c r="E260" s="210"/>
      <c r="F260" s="192">
        <f t="shared" ref="F260:K261" si="293">F275+F290+F305+F320</f>
        <v>0</v>
      </c>
      <c r="G260" s="192">
        <f t="shared" si="293"/>
        <v>0</v>
      </c>
      <c r="H260" s="192">
        <f t="shared" si="293"/>
        <v>0</v>
      </c>
      <c r="I260" s="192">
        <f t="shared" si="293"/>
        <v>0</v>
      </c>
      <c r="J260" s="192">
        <f t="shared" si="293"/>
        <v>0</v>
      </c>
      <c r="K260" s="192">
        <f t="shared" si="293"/>
        <v>0</v>
      </c>
      <c r="L260" s="192">
        <f t="shared" si="283"/>
        <v>0</v>
      </c>
      <c r="M260" s="192">
        <f t="shared" si="284"/>
        <v>0</v>
      </c>
      <c r="N260" s="192">
        <f t="shared" ref="N260:S262" si="294">N275+N290+N305+N320</f>
        <v>0</v>
      </c>
      <c r="O260" s="192">
        <f t="shared" si="294"/>
        <v>0</v>
      </c>
      <c r="P260" s="192">
        <f t="shared" si="294"/>
        <v>0</v>
      </c>
      <c r="Q260" s="192">
        <f t="shared" si="294"/>
        <v>0</v>
      </c>
      <c r="R260" s="192">
        <f t="shared" si="294"/>
        <v>0</v>
      </c>
      <c r="S260" s="192">
        <f t="shared" si="294"/>
        <v>0</v>
      </c>
      <c r="T260" s="192">
        <f t="shared" si="286"/>
        <v>0</v>
      </c>
      <c r="U260" s="192">
        <f t="shared" si="287"/>
        <v>0</v>
      </c>
      <c r="V260" s="193">
        <f t="shared" ref="V260:V262" si="295">V275+V290+V305+V320</f>
        <v>0</v>
      </c>
      <c r="W260" s="211">
        <f t="shared" si="288"/>
        <v>0</v>
      </c>
      <c r="X260" s="209"/>
      <c r="Y260" s="209"/>
      <c r="Z260" s="293"/>
      <c r="AA260" s="209"/>
      <c r="AB260" s="209"/>
    </row>
    <row r="261" spans="1:28" s="228" customFormat="1" ht="18" hidden="1" customHeight="1">
      <c r="A261" s="610"/>
      <c r="B261" s="661"/>
      <c r="C261" s="662"/>
      <c r="D261" s="174" t="str">
        <f>серпень!D261</f>
        <v>місцевий (план), тис.грн</v>
      </c>
      <c r="E261" s="210"/>
      <c r="F261" s="192">
        <f t="shared" si="293"/>
        <v>0</v>
      </c>
      <c r="G261" s="192">
        <f t="shared" si="293"/>
        <v>0</v>
      </c>
      <c r="H261" s="192">
        <f t="shared" si="293"/>
        <v>0</v>
      </c>
      <c r="I261" s="192">
        <f t="shared" si="293"/>
        <v>0</v>
      </c>
      <c r="J261" s="192">
        <f t="shared" si="293"/>
        <v>0</v>
      </c>
      <c r="K261" s="192">
        <f t="shared" si="293"/>
        <v>0</v>
      </c>
      <c r="L261" s="192">
        <f t="shared" si="283"/>
        <v>0</v>
      </c>
      <c r="M261" s="192">
        <f t="shared" si="284"/>
        <v>0</v>
      </c>
      <c r="N261" s="192">
        <f t="shared" si="294"/>
        <v>0</v>
      </c>
      <c r="O261" s="192">
        <f t="shared" si="294"/>
        <v>0</v>
      </c>
      <c r="P261" s="192">
        <f t="shared" si="294"/>
        <v>0</v>
      </c>
      <c r="Q261" s="192">
        <f t="shared" si="294"/>
        <v>0</v>
      </c>
      <c r="R261" s="192">
        <f t="shared" si="294"/>
        <v>0</v>
      </c>
      <c r="S261" s="192">
        <f t="shared" si="294"/>
        <v>0</v>
      </c>
      <c r="T261" s="192">
        <f t="shared" si="286"/>
        <v>0</v>
      </c>
      <c r="U261" s="192">
        <f t="shared" si="287"/>
        <v>0</v>
      </c>
      <c r="V261" s="193">
        <f t="shared" si="295"/>
        <v>0</v>
      </c>
      <c r="W261" s="193">
        <f t="shared" si="288"/>
        <v>0</v>
      </c>
      <c r="X261" s="209"/>
      <c r="Y261" s="209"/>
      <c r="Z261" s="293"/>
      <c r="AA261" s="209"/>
      <c r="AB261" s="209"/>
    </row>
    <row r="262" spans="1:28" s="186" customFormat="1" ht="18" hidden="1" customHeight="1">
      <c r="A262" s="610"/>
      <c r="B262" s="661"/>
      <c r="C262" s="662"/>
      <c r="D262" s="178" t="str">
        <f>серпень!D262</f>
        <v>касові нат.п-ки 2025</v>
      </c>
      <c r="E262" s="179">
        <f>E277+E307</f>
        <v>0</v>
      </c>
      <c r="F262" s="179">
        <f>F277+F307</f>
        <v>0</v>
      </c>
      <c r="G262" s="179">
        <f t="shared" ref="G262:K262" si="296">G277+G307</f>
        <v>0</v>
      </c>
      <c r="H262" s="179">
        <f t="shared" si="296"/>
        <v>0</v>
      </c>
      <c r="I262" s="179">
        <f t="shared" si="296"/>
        <v>0</v>
      </c>
      <c r="J262" s="179">
        <f t="shared" si="296"/>
        <v>0</v>
      </c>
      <c r="K262" s="179">
        <f t="shared" si="296"/>
        <v>0</v>
      </c>
      <c r="L262" s="207">
        <f t="shared" si="283"/>
        <v>0</v>
      </c>
      <c r="M262" s="207">
        <f t="shared" si="284"/>
        <v>0</v>
      </c>
      <c r="N262" s="179">
        <f t="shared" si="294"/>
        <v>0</v>
      </c>
      <c r="O262" s="179">
        <f t="shared" si="294"/>
        <v>0</v>
      </c>
      <c r="P262" s="179">
        <f t="shared" si="294"/>
        <v>0</v>
      </c>
      <c r="Q262" s="179">
        <f t="shared" si="294"/>
        <v>0</v>
      </c>
      <c r="R262" s="179">
        <f t="shared" si="294"/>
        <v>0</v>
      </c>
      <c r="S262" s="179">
        <f t="shared" si="294"/>
        <v>0</v>
      </c>
      <c r="T262" s="207">
        <f t="shared" si="286"/>
        <v>0</v>
      </c>
      <c r="U262" s="207">
        <f t="shared" si="287"/>
        <v>0</v>
      </c>
      <c r="V262" s="184">
        <f t="shared" si="295"/>
        <v>0</v>
      </c>
      <c r="W262" s="184">
        <f t="shared" si="288"/>
        <v>0</v>
      </c>
      <c r="X262" s="185">
        <f>U255-U262</f>
        <v>0</v>
      </c>
      <c r="Z262" s="297"/>
    </row>
    <row r="263" spans="1:28" s="190" customFormat="1" ht="18" hidden="1" customHeight="1">
      <c r="A263" s="610"/>
      <c r="B263" s="661"/>
      <c r="C263" s="662"/>
      <c r="D263" s="187" t="str">
        <f>серпень!D263</f>
        <v>тариф, грн.</v>
      </c>
      <c r="E263" s="188" t="e">
        <f t="shared" ref="E263:S263" si="297">E264/E262*1000</f>
        <v>#DIV/0!</v>
      </c>
      <c r="F263" s="188" t="e">
        <f t="shared" si="297"/>
        <v>#DIV/0!</v>
      </c>
      <c r="G263" s="188" t="e">
        <f t="shared" si="297"/>
        <v>#DIV/0!</v>
      </c>
      <c r="H263" s="188" t="e">
        <f t="shared" si="297"/>
        <v>#DIV/0!</v>
      </c>
      <c r="I263" s="188" t="e">
        <f t="shared" si="297"/>
        <v>#DIV/0!</v>
      </c>
      <c r="J263" s="188" t="e">
        <f t="shared" si="297"/>
        <v>#DIV/0!</v>
      </c>
      <c r="K263" s="188" t="e">
        <f t="shared" si="297"/>
        <v>#DIV/0!</v>
      </c>
      <c r="L263" s="188" t="e">
        <f t="shared" si="297"/>
        <v>#DIV/0!</v>
      </c>
      <c r="M263" s="188" t="e">
        <f t="shared" si="297"/>
        <v>#DIV/0!</v>
      </c>
      <c r="N263" s="188" t="e">
        <f t="shared" si="297"/>
        <v>#DIV/0!</v>
      </c>
      <c r="O263" s="188" t="e">
        <f t="shared" si="297"/>
        <v>#DIV/0!</v>
      </c>
      <c r="P263" s="188" t="e">
        <f t="shared" si="297"/>
        <v>#DIV/0!</v>
      </c>
      <c r="Q263" s="188" t="e">
        <f t="shared" si="297"/>
        <v>#DIV/0!</v>
      </c>
      <c r="R263" s="188" t="e">
        <f t="shared" si="297"/>
        <v>#DIV/0!</v>
      </c>
      <c r="S263" s="188" t="e">
        <f t="shared" si="297"/>
        <v>#DIV/0!</v>
      </c>
      <c r="T263" s="188" t="e">
        <f>T264/T262*1000</f>
        <v>#DIV/0!</v>
      </c>
      <c r="U263" s="188" t="e">
        <f>U264/U262*1000</f>
        <v>#DIV/0!</v>
      </c>
      <c r="V263" s="188" t="e">
        <f>V264/V262*1000</f>
        <v>#DIV/0!</v>
      </c>
      <c r="W263" s="189" t="e">
        <f>W264/W262*1000</f>
        <v>#DIV/0!</v>
      </c>
      <c r="X263" s="225"/>
      <c r="Z263" s="298"/>
    </row>
    <row r="264" spans="1:28" s="213" customFormat="1" ht="18" hidden="1" customHeight="1">
      <c r="A264" s="610"/>
      <c r="B264" s="661"/>
      <c r="C264" s="662"/>
      <c r="D264" s="198" t="str">
        <f>серпень!D264</f>
        <v>касові видатки, тис.грн.</v>
      </c>
      <c r="E264" s="212">
        <f>E279+E309</f>
        <v>0</v>
      </c>
      <c r="F264" s="199">
        <f>F279+F294+F309+F324</f>
        <v>0</v>
      </c>
      <c r="G264" s="199">
        <f t="shared" ref="G264:K264" si="298">G279+G294+G309+G324</f>
        <v>0</v>
      </c>
      <c r="H264" s="199">
        <f t="shared" si="298"/>
        <v>0</v>
      </c>
      <c r="I264" s="199">
        <f t="shared" si="298"/>
        <v>0</v>
      </c>
      <c r="J264" s="199">
        <f t="shared" si="298"/>
        <v>0</v>
      </c>
      <c r="K264" s="199">
        <f t="shared" si="298"/>
        <v>0</v>
      </c>
      <c r="L264" s="199">
        <f>SUM(F264:K264)</f>
        <v>0</v>
      </c>
      <c r="M264" s="199">
        <f>L264/6</f>
        <v>0</v>
      </c>
      <c r="N264" s="199">
        <f t="shared" ref="N264:S266" si="299">N279+N294+N309+N324</f>
        <v>0</v>
      </c>
      <c r="O264" s="199">
        <f t="shared" si="299"/>
        <v>0</v>
      </c>
      <c r="P264" s="199">
        <f t="shared" si="299"/>
        <v>0</v>
      </c>
      <c r="Q264" s="199">
        <f t="shared" si="299"/>
        <v>0</v>
      </c>
      <c r="R264" s="199">
        <f t="shared" si="299"/>
        <v>0</v>
      </c>
      <c r="S264" s="199">
        <f t="shared" si="299"/>
        <v>0</v>
      </c>
      <c r="T264" s="199">
        <f>SUM(N264:S264)</f>
        <v>0</v>
      </c>
      <c r="U264" s="199">
        <f>T264+L264</f>
        <v>0</v>
      </c>
      <c r="V264" s="175">
        <f t="shared" ref="V264:V267" si="300">V279+V294+V309+V324</f>
        <v>0</v>
      </c>
      <c r="W264" s="175">
        <f>V264-U264</f>
        <v>0</v>
      </c>
      <c r="X264" s="176">
        <f>U259-U264</f>
        <v>0</v>
      </c>
      <c r="Z264" s="296"/>
    </row>
    <row r="265" spans="1:28" s="213" customFormat="1" ht="18" hidden="1" customHeight="1">
      <c r="A265" s="610"/>
      <c r="B265" s="661"/>
      <c r="C265" s="662"/>
      <c r="D265" s="201" t="str">
        <f>серпень!D265</f>
        <v>дотація</v>
      </c>
      <c r="E265" s="212"/>
      <c r="F265" s="199">
        <f t="shared" ref="F265:K266" si="301">F280+F295+F310+F325</f>
        <v>0</v>
      </c>
      <c r="G265" s="199">
        <f t="shared" si="301"/>
        <v>0</v>
      </c>
      <c r="H265" s="199">
        <f t="shared" si="301"/>
        <v>0</v>
      </c>
      <c r="I265" s="199">
        <f t="shared" si="301"/>
        <v>0</v>
      </c>
      <c r="J265" s="199">
        <f t="shared" si="301"/>
        <v>0</v>
      </c>
      <c r="K265" s="199">
        <f t="shared" si="301"/>
        <v>0</v>
      </c>
      <c r="L265" s="199">
        <f>SUM(F265:K265)</f>
        <v>0</v>
      </c>
      <c r="M265" s="199">
        <f>L265/6</f>
        <v>0</v>
      </c>
      <c r="N265" s="199">
        <f t="shared" si="299"/>
        <v>0</v>
      </c>
      <c r="O265" s="199">
        <f t="shared" si="299"/>
        <v>0</v>
      </c>
      <c r="P265" s="199">
        <f t="shared" si="299"/>
        <v>0</v>
      </c>
      <c r="Q265" s="199">
        <f t="shared" si="299"/>
        <v>0</v>
      </c>
      <c r="R265" s="199">
        <f t="shared" si="299"/>
        <v>0</v>
      </c>
      <c r="S265" s="199">
        <f t="shared" si="299"/>
        <v>0</v>
      </c>
      <c r="T265" s="199">
        <f>SUM(N265:S265)</f>
        <v>0</v>
      </c>
      <c r="U265" s="199">
        <f>T265+L265</f>
        <v>0</v>
      </c>
      <c r="V265" s="175">
        <f t="shared" si="300"/>
        <v>0</v>
      </c>
      <c r="W265" s="175">
        <f>V265-U265</f>
        <v>0</v>
      </c>
      <c r="X265" s="176">
        <f>U260-U265</f>
        <v>0</v>
      </c>
      <c r="Z265" s="296"/>
    </row>
    <row r="266" spans="1:28" s="213" customFormat="1" ht="18" hidden="1" customHeight="1">
      <c r="A266" s="610"/>
      <c r="B266" s="661"/>
      <c r="C266" s="662"/>
      <c r="D266" s="201" t="str">
        <f>серпень!D266</f>
        <v xml:space="preserve">місцевий </v>
      </c>
      <c r="E266" s="212"/>
      <c r="F266" s="199">
        <f t="shared" si="301"/>
        <v>0</v>
      </c>
      <c r="G266" s="199">
        <f t="shared" si="301"/>
        <v>0</v>
      </c>
      <c r="H266" s="199">
        <f t="shared" si="301"/>
        <v>0</v>
      </c>
      <c r="I266" s="199">
        <f t="shared" si="301"/>
        <v>0</v>
      </c>
      <c r="J266" s="199">
        <f t="shared" si="301"/>
        <v>0</v>
      </c>
      <c r="K266" s="199">
        <f t="shared" si="301"/>
        <v>0</v>
      </c>
      <c r="L266" s="199">
        <f>SUM(F266:K266)</f>
        <v>0</v>
      </c>
      <c r="M266" s="199">
        <f>L266/6</f>
        <v>0</v>
      </c>
      <c r="N266" s="199">
        <f t="shared" si="299"/>
        <v>0</v>
      </c>
      <c r="O266" s="199">
        <f t="shared" si="299"/>
        <v>0</v>
      </c>
      <c r="P266" s="199">
        <f t="shared" si="299"/>
        <v>0</v>
      </c>
      <c r="Q266" s="199">
        <f t="shared" si="299"/>
        <v>0</v>
      </c>
      <c r="R266" s="199">
        <f t="shared" si="299"/>
        <v>0</v>
      </c>
      <c r="S266" s="199">
        <f t="shared" si="299"/>
        <v>0</v>
      </c>
      <c r="T266" s="199">
        <f>SUM(N266:S266)</f>
        <v>0</v>
      </c>
      <c r="U266" s="199">
        <f>T266+L266</f>
        <v>0</v>
      </c>
      <c r="V266" s="175">
        <f t="shared" si="300"/>
        <v>0</v>
      </c>
      <c r="W266" s="175">
        <f>V266-U266</f>
        <v>0</v>
      </c>
      <c r="X266" s="176">
        <f>U261-U266</f>
        <v>0</v>
      </c>
      <c r="Z266" s="296"/>
    </row>
    <row r="267" spans="1:28" s="205" customFormat="1" ht="18" hidden="1" customHeight="1">
      <c r="A267" s="610"/>
      <c r="B267" s="661"/>
      <c r="C267" s="662"/>
      <c r="D267" s="202" t="str">
        <f>серпень!D267</f>
        <v>план</v>
      </c>
      <c r="E267" s="203"/>
      <c r="F267" s="203">
        <f>F261</f>
        <v>0</v>
      </c>
      <c r="G267" s="203">
        <f t="shared" ref="G267:K267" si="302">G261</f>
        <v>0</v>
      </c>
      <c r="H267" s="203">
        <f t="shared" si="302"/>
        <v>0</v>
      </c>
      <c r="I267" s="203">
        <f t="shared" si="302"/>
        <v>0</v>
      </c>
      <c r="J267" s="203">
        <f t="shared" si="302"/>
        <v>0</v>
      </c>
      <c r="K267" s="203">
        <f t="shared" si="302"/>
        <v>0</v>
      </c>
      <c r="L267" s="203">
        <f>SUM(F267:K267)</f>
        <v>0</v>
      </c>
      <c r="M267" s="203">
        <f>L267/6</f>
        <v>0</v>
      </c>
      <c r="N267" s="203">
        <f t="shared" ref="N267:S267" si="303">N261+N260</f>
        <v>0</v>
      </c>
      <c r="O267" s="203">
        <f t="shared" si="303"/>
        <v>0</v>
      </c>
      <c r="P267" s="203">
        <f t="shared" si="303"/>
        <v>0</v>
      </c>
      <c r="Q267" s="203">
        <f t="shared" si="303"/>
        <v>0</v>
      </c>
      <c r="R267" s="203">
        <f t="shared" si="303"/>
        <v>0</v>
      </c>
      <c r="S267" s="203">
        <f t="shared" si="303"/>
        <v>0</v>
      </c>
      <c r="T267" s="203">
        <f>SUM(N267:S267)</f>
        <v>0</v>
      </c>
      <c r="U267" s="203">
        <f>T267+L267</f>
        <v>0</v>
      </c>
      <c r="V267" s="204">
        <f t="shared" si="300"/>
        <v>0</v>
      </c>
      <c r="W267" s="204">
        <f>V267-U267</f>
        <v>0</v>
      </c>
      <c r="Z267" s="301"/>
    </row>
    <row r="268" spans="1:28" s="205" customFormat="1" ht="18" hidden="1" customHeight="1">
      <c r="A268" s="610"/>
      <c r="B268" s="661"/>
      <c r="C268" s="662"/>
      <c r="D268" s="202" t="str">
        <f>серпень!D268</f>
        <v xml:space="preserve">відхилення </v>
      </c>
      <c r="E268" s="203"/>
      <c r="F268" s="203">
        <f t="shared" ref="F268:K268" si="304">F264-F267</f>
        <v>0</v>
      </c>
      <c r="G268" s="203">
        <f t="shared" si="304"/>
        <v>0</v>
      </c>
      <c r="H268" s="203">
        <f t="shared" si="304"/>
        <v>0</v>
      </c>
      <c r="I268" s="203">
        <f t="shared" si="304"/>
        <v>0</v>
      </c>
      <c r="J268" s="203">
        <f t="shared" si="304"/>
        <v>0</v>
      </c>
      <c r="K268" s="203">
        <f t="shared" si="304"/>
        <v>0</v>
      </c>
      <c r="L268" s="203"/>
      <c r="M268" s="203"/>
      <c r="N268" s="203">
        <f t="shared" ref="N268:S268" si="305">N264-N267</f>
        <v>0</v>
      </c>
      <c r="O268" s="203">
        <f t="shared" si="305"/>
        <v>0</v>
      </c>
      <c r="P268" s="203">
        <f t="shared" si="305"/>
        <v>0</v>
      </c>
      <c r="Q268" s="203">
        <f t="shared" si="305"/>
        <v>0</v>
      </c>
      <c r="R268" s="203">
        <f t="shared" si="305"/>
        <v>0</v>
      </c>
      <c r="S268" s="203">
        <f t="shared" si="305"/>
        <v>0</v>
      </c>
      <c r="T268" s="203"/>
      <c r="U268" s="203"/>
      <c r="V268" s="203"/>
      <c r="W268" s="203"/>
      <c r="Z268" s="301"/>
    </row>
    <row r="269" spans="1:28" s="205" customFormat="1" ht="18" hidden="1" customHeight="1">
      <c r="A269" s="610"/>
      <c r="B269" s="663"/>
      <c r="C269" s="664"/>
      <c r="D269" s="202" t="str">
        <f>серпень!D269</f>
        <v>відхилення з наростаючим</v>
      </c>
      <c r="E269" s="203"/>
      <c r="F269" s="203">
        <f>F268</f>
        <v>0</v>
      </c>
      <c r="G269" s="203">
        <f>G268+F269</f>
        <v>0</v>
      </c>
      <c r="H269" s="203">
        <f>H268+G269</f>
        <v>0</v>
      </c>
      <c r="I269" s="203">
        <f>I268+H269</f>
        <v>0</v>
      </c>
      <c r="J269" s="203">
        <f>J268+I269</f>
        <v>0</v>
      </c>
      <c r="K269" s="203">
        <f>K268+J269</f>
        <v>0</v>
      </c>
      <c r="L269" s="203"/>
      <c r="M269" s="203"/>
      <c r="N269" s="203">
        <f>N268+K269</f>
        <v>0</v>
      </c>
      <c r="O269" s="203">
        <f>O268+N269</f>
        <v>0</v>
      </c>
      <c r="P269" s="203">
        <f>P268+O269</f>
        <v>0</v>
      </c>
      <c r="Q269" s="203">
        <f>Q268+P269</f>
        <v>0</v>
      </c>
      <c r="R269" s="203">
        <f>R268+Q269</f>
        <v>0</v>
      </c>
      <c r="S269" s="203">
        <f>S268+R269</f>
        <v>0</v>
      </c>
      <c r="T269" s="203"/>
      <c r="U269" s="203"/>
      <c r="V269" s="203"/>
      <c r="W269" s="203"/>
      <c r="Z269" s="301"/>
    </row>
    <row r="270" spans="1:28" s="186" customFormat="1" ht="18" hidden="1" customHeight="1">
      <c r="A270" s="610"/>
      <c r="B270" s="582" t="s">
        <v>60</v>
      </c>
      <c r="C270" s="582" t="s">
        <v>97</v>
      </c>
      <c r="D270" s="178" t="str">
        <f>серпень!D270</f>
        <v>факт. нат.п-ки 2023</v>
      </c>
      <c r="E270" s="179"/>
      <c r="F270" s="180"/>
      <c r="G270" s="180"/>
      <c r="H270" s="180"/>
      <c r="I270" s="180"/>
      <c r="J270" s="180"/>
      <c r="K270" s="180"/>
      <c r="L270" s="215">
        <f>SUM(F270:K270)</f>
        <v>0</v>
      </c>
      <c r="M270" s="215">
        <f>L270/6</f>
        <v>0</v>
      </c>
      <c r="N270" s="180"/>
      <c r="O270" s="180"/>
      <c r="P270" s="180"/>
      <c r="Q270" s="180"/>
      <c r="R270" s="180"/>
      <c r="S270" s="180"/>
      <c r="T270" s="215">
        <f>SUM(N270:S270)</f>
        <v>0</v>
      </c>
      <c r="U270" s="226">
        <f>T270+L270</f>
        <v>0</v>
      </c>
      <c r="V270" s="227"/>
      <c r="W270" s="184">
        <f>V270-U270</f>
        <v>0</v>
      </c>
      <c r="X270" s="185"/>
      <c r="Z270" s="297"/>
    </row>
    <row r="271" spans="1:28" s="186" customFormat="1" ht="18" hidden="1" customHeight="1">
      <c r="A271" s="610"/>
      <c r="B271" s="583"/>
      <c r="C271" s="583"/>
      <c r="D271" s="178" t="str">
        <f>серпень!D271</f>
        <v>факт. нат.п-ки 2024</v>
      </c>
      <c r="E271" s="179"/>
      <c r="F271" s="180"/>
      <c r="G271" s="180"/>
      <c r="H271" s="180"/>
      <c r="I271" s="180"/>
      <c r="J271" s="180"/>
      <c r="K271" s="180"/>
      <c r="L271" s="215">
        <f>SUM(F271:K271)</f>
        <v>0</v>
      </c>
      <c r="M271" s="215">
        <f>L271/6</f>
        <v>0</v>
      </c>
      <c r="N271" s="179"/>
      <c r="O271" s="179"/>
      <c r="P271" s="179"/>
      <c r="Q271" s="179"/>
      <c r="R271" s="179"/>
      <c r="S271" s="179"/>
      <c r="T271" s="215">
        <f>SUM(N271:S271)</f>
        <v>0</v>
      </c>
      <c r="U271" s="226">
        <f>T271+L271</f>
        <v>0</v>
      </c>
      <c r="V271" s="227"/>
      <c r="W271" s="184">
        <f>V271-U271</f>
        <v>0</v>
      </c>
      <c r="X271" s="185"/>
      <c r="Z271" s="297"/>
    </row>
    <row r="272" spans="1:28" s="186" customFormat="1" ht="18" hidden="1" customHeight="1">
      <c r="A272" s="610"/>
      <c r="B272" s="583"/>
      <c r="C272" s="583"/>
      <c r="D272" s="178" t="str">
        <f>серпень!D272</f>
        <v>факт. нат.п-ки 2025</v>
      </c>
      <c r="E272" s="179"/>
      <c r="F272" s="180"/>
      <c r="G272" s="180"/>
      <c r="H272" s="180"/>
      <c r="I272" s="180"/>
      <c r="J272" s="180"/>
      <c r="K272" s="180"/>
      <c r="L272" s="215">
        <f>SUM(F272:K272)</f>
        <v>0</v>
      </c>
      <c r="M272" s="215">
        <f>L272/6</f>
        <v>0</v>
      </c>
      <c r="N272" s="180"/>
      <c r="O272" s="180"/>
      <c r="P272" s="180"/>
      <c r="Q272" s="180"/>
      <c r="R272" s="180"/>
      <c r="S272" s="179"/>
      <c r="T272" s="215">
        <f>SUM(N272:S272)</f>
        <v>0</v>
      </c>
      <c r="U272" s="226">
        <f>T272+L272</f>
        <v>0</v>
      </c>
      <c r="V272" s="179"/>
      <c r="W272" s="184">
        <f>V272-U272</f>
        <v>0</v>
      </c>
      <c r="X272" s="185"/>
      <c r="Z272" s="297"/>
    </row>
    <row r="273" spans="1:26" s="190" customFormat="1" ht="18" hidden="1" customHeight="1">
      <c r="A273" s="610"/>
      <c r="B273" s="583"/>
      <c r="C273" s="583"/>
      <c r="D273" s="187" t="str">
        <f>серпень!D273</f>
        <v>тариф, грн.</v>
      </c>
      <c r="E273" s="188"/>
      <c r="F273" s="188"/>
      <c r="G273" s="188"/>
      <c r="H273" s="188"/>
      <c r="I273" s="188"/>
      <c r="J273" s="188"/>
      <c r="K273" s="188"/>
      <c r="L273" s="188" t="e">
        <f>L274/L272*1000</f>
        <v>#DIV/0!</v>
      </c>
      <c r="M273" s="188" t="e">
        <f>M274/M272*1000</f>
        <v>#DIV/0!</v>
      </c>
      <c r="N273" s="188"/>
      <c r="O273" s="188"/>
      <c r="P273" s="188"/>
      <c r="Q273" s="188"/>
      <c r="R273" s="188"/>
      <c r="S273" s="188"/>
      <c r="T273" s="188" t="e">
        <f>T274/T272*1000</f>
        <v>#DIV/0!</v>
      </c>
      <c r="U273" s="188" t="e">
        <f>U274/U272*1000</f>
        <v>#DIV/0!</v>
      </c>
      <c r="V273" s="218" t="e">
        <f>V274/V272*1000</f>
        <v>#DIV/0!</v>
      </c>
      <c r="W273" s="189" t="e">
        <f>W274/W272*1000</f>
        <v>#DIV/0!</v>
      </c>
      <c r="X273" s="223"/>
      <c r="Z273" s="298"/>
    </row>
    <row r="274" spans="1:26" s="196" customFormat="1" ht="18" hidden="1" customHeight="1">
      <c r="A274" s="610"/>
      <c r="B274" s="583"/>
      <c r="C274" s="583"/>
      <c r="D274" s="191" t="str">
        <f>серпень!D274</f>
        <v>сума, тис.грн.</v>
      </c>
      <c r="E274" s="192"/>
      <c r="F274" s="192">
        <f t="shared" ref="F274:K274" si="306">F272*F273/1000</f>
        <v>0</v>
      </c>
      <c r="G274" s="192">
        <f t="shared" si="306"/>
        <v>0</v>
      </c>
      <c r="H274" s="192">
        <f t="shared" si="306"/>
        <v>0</v>
      </c>
      <c r="I274" s="192">
        <f t="shared" si="306"/>
        <v>0</v>
      </c>
      <c r="J274" s="192">
        <f t="shared" si="306"/>
        <v>0</v>
      </c>
      <c r="K274" s="192">
        <f t="shared" si="306"/>
        <v>0</v>
      </c>
      <c r="L274" s="194">
        <f>SUM(F274:K274)</f>
        <v>0</v>
      </c>
      <c r="M274" s="194">
        <f>L274/6</f>
        <v>0</v>
      </c>
      <c r="N274" s="192">
        <f t="shared" ref="N274:S274" si="307">N272*N273/1000</f>
        <v>0</v>
      </c>
      <c r="O274" s="192">
        <f t="shared" si="307"/>
        <v>0</v>
      </c>
      <c r="P274" s="192">
        <f t="shared" si="307"/>
        <v>0</v>
      </c>
      <c r="Q274" s="192">
        <f t="shared" si="307"/>
        <v>0</v>
      </c>
      <c r="R274" s="192">
        <f t="shared" si="307"/>
        <v>0</v>
      </c>
      <c r="S274" s="192">
        <f t="shared" si="307"/>
        <v>0</v>
      </c>
      <c r="T274" s="194">
        <f>SUM(N274:S274)</f>
        <v>0</v>
      </c>
      <c r="U274" s="194">
        <f>T274+L274</f>
        <v>0</v>
      </c>
      <c r="V274" s="171">
        <f>V275+V276</f>
        <v>0</v>
      </c>
      <c r="W274" s="193">
        <f>V274-U274</f>
        <v>0</v>
      </c>
      <c r="X274" s="224">
        <f>9891253.845/1000</f>
        <v>9891.2540000000008</v>
      </c>
      <c r="Z274" s="299"/>
    </row>
    <row r="275" spans="1:26" s="196" customFormat="1" ht="18" hidden="1" customHeight="1">
      <c r="A275" s="610"/>
      <c r="B275" s="583"/>
      <c r="C275" s="583"/>
      <c r="D275" s="174" t="str">
        <f>серпень!D275</f>
        <v>абоненська плата, тис.грн.</v>
      </c>
      <c r="E275" s="210"/>
      <c r="F275" s="192"/>
      <c r="G275" s="192"/>
      <c r="H275" s="192"/>
      <c r="I275" s="192"/>
      <c r="J275" s="192"/>
      <c r="K275" s="192"/>
      <c r="L275" s="194">
        <f>SUM(F275:K275)</f>
        <v>0</v>
      </c>
      <c r="M275" s="194">
        <f>L275/6</f>
        <v>0</v>
      </c>
      <c r="N275" s="192"/>
      <c r="O275" s="192"/>
      <c r="P275" s="192"/>
      <c r="Q275" s="192"/>
      <c r="R275" s="192"/>
      <c r="S275" s="192"/>
      <c r="T275" s="194">
        <f>SUM(N275:S275)</f>
        <v>0</v>
      </c>
      <c r="U275" s="194">
        <f>T275+L275</f>
        <v>0</v>
      </c>
      <c r="V275" s="171"/>
      <c r="W275" s="193">
        <f>V275-U275</f>
        <v>0</v>
      </c>
      <c r="X275" s="195"/>
      <c r="Z275" s="299"/>
    </row>
    <row r="276" spans="1:26" s="196" customFormat="1" ht="18" hidden="1" customHeight="1">
      <c r="A276" s="610"/>
      <c r="B276" s="583"/>
      <c r="C276" s="583"/>
      <c r="D276" s="174" t="str">
        <f>серпень!D276</f>
        <v>разом сума тис. грн+абонплата</v>
      </c>
      <c r="E276" s="210"/>
      <c r="F276" s="192"/>
      <c r="G276" s="192"/>
      <c r="H276" s="192"/>
      <c r="I276" s="192"/>
      <c r="J276" s="192"/>
      <c r="K276" s="192"/>
      <c r="L276" s="194">
        <f>SUM(F276:K276)</f>
        <v>0</v>
      </c>
      <c r="M276" s="194">
        <f>L276/6</f>
        <v>0</v>
      </c>
      <c r="N276" s="192"/>
      <c r="O276" s="192"/>
      <c r="P276" s="192"/>
      <c r="Q276" s="192"/>
      <c r="R276" s="192"/>
      <c r="S276" s="192"/>
      <c r="T276" s="194">
        <f>SUM(N276:S276)</f>
        <v>0</v>
      </c>
      <c r="U276" s="194">
        <f>T276+L276</f>
        <v>0</v>
      </c>
      <c r="V276" s="171"/>
      <c r="W276" s="193">
        <f>V276-U276</f>
        <v>0</v>
      </c>
      <c r="X276" s="195"/>
      <c r="Z276" s="299"/>
    </row>
    <row r="277" spans="1:26" s="186" customFormat="1" ht="18" hidden="1" customHeight="1">
      <c r="A277" s="610"/>
      <c r="B277" s="583"/>
      <c r="C277" s="583"/>
      <c r="D277" s="178" t="str">
        <f>серпень!D277</f>
        <v>дотація</v>
      </c>
      <c r="E277" s="179"/>
      <c r="F277" s="179"/>
      <c r="G277" s="179"/>
      <c r="H277" s="179"/>
      <c r="I277" s="179"/>
      <c r="J277" s="179"/>
      <c r="K277" s="179"/>
      <c r="L277" s="215">
        <f>SUM(F277:K277)</f>
        <v>0</v>
      </c>
      <c r="M277" s="215">
        <f>L277/6</f>
        <v>0</v>
      </c>
      <c r="N277" s="179"/>
      <c r="O277" s="179"/>
      <c r="P277" s="179"/>
      <c r="Q277" s="179"/>
      <c r="R277" s="179"/>
      <c r="S277" s="179">
        <f>S272+R272</f>
        <v>0</v>
      </c>
      <c r="T277" s="215">
        <f>SUM(N277:S277)</f>
        <v>0</v>
      </c>
      <c r="U277" s="215">
        <f>T277+L277</f>
        <v>0</v>
      </c>
      <c r="V277" s="179">
        <f>V272</f>
        <v>0</v>
      </c>
      <c r="W277" s="184">
        <f>V277-U277</f>
        <v>0</v>
      </c>
      <c r="X277" s="185">
        <f>U272-U277</f>
        <v>0</v>
      </c>
      <c r="Z277" s="297"/>
    </row>
    <row r="278" spans="1:26" s="190" customFormat="1" ht="18" hidden="1" customHeight="1">
      <c r="A278" s="610"/>
      <c r="B278" s="583"/>
      <c r="C278" s="583"/>
      <c r="D278" s="187" t="str">
        <f>серпень!D278</f>
        <v>місцевий (план), тис.грн</v>
      </c>
      <c r="E278" s="188" t="e">
        <f>E279/E277*1000</f>
        <v>#DIV/0!</v>
      </c>
      <c r="F278" s="188"/>
      <c r="G278" s="188"/>
      <c r="H278" s="188"/>
      <c r="I278" s="188"/>
      <c r="J278" s="188"/>
      <c r="K278" s="188"/>
      <c r="L278" s="188" t="e">
        <f>L279/L277*1000</f>
        <v>#DIV/0!</v>
      </c>
      <c r="M278" s="188" t="e">
        <f>M279/M277*1000</f>
        <v>#DIV/0!</v>
      </c>
      <c r="N278" s="188"/>
      <c r="O278" s="188"/>
      <c r="P278" s="188"/>
      <c r="Q278" s="188"/>
      <c r="R278" s="188"/>
      <c r="S278" s="188"/>
      <c r="T278" s="188" t="e">
        <f>T279/T277*1000</f>
        <v>#DIV/0!</v>
      </c>
      <c r="U278" s="188" t="e">
        <f>U279/U277*1000</f>
        <v>#DIV/0!</v>
      </c>
      <c r="V278" s="218" t="e">
        <f>V279/V277*1000</f>
        <v>#DIV/0!</v>
      </c>
      <c r="W278" s="189" t="e">
        <f>W279/W277*1000</f>
        <v>#DIV/0!</v>
      </c>
      <c r="X278" s="225"/>
      <c r="Z278" s="298"/>
    </row>
    <row r="279" spans="1:26" s="176" customFormat="1" ht="18" hidden="1" customHeight="1">
      <c r="A279" s="610"/>
      <c r="B279" s="583"/>
      <c r="C279" s="583"/>
      <c r="D279" s="198" t="str">
        <f>серпень!D279</f>
        <v>касові нат.п-ки 2025</v>
      </c>
      <c r="E279" s="220"/>
      <c r="F279" s="199">
        <f t="shared" ref="F279:K279" si="308">F277*F278/1000</f>
        <v>0</v>
      </c>
      <c r="G279" s="199">
        <f t="shared" si="308"/>
        <v>0</v>
      </c>
      <c r="H279" s="199">
        <f t="shared" si="308"/>
        <v>0</v>
      </c>
      <c r="I279" s="199">
        <f t="shared" si="308"/>
        <v>0</v>
      </c>
      <c r="J279" s="199">
        <f t="shared" si="308"/>
        <v>0</v>
      </c>
      <c r="K279" s="199">
        <f t="shared" si="308"/>
        <v>0</v>
      </c>
      <c r="L279" s="199">
        <f>SUM(F279:K279)</f>
        <v>0</v>
      </c>
      <c r="M279" s="199">
        <f>L279/6</f>
        <v>0</v>
      </c>
      <c r="N279" s="199">
        <f t="shared" ref="N279:S279" si="309">N277*N278/1000</f>
        <v>0</v>
      </c>
      <c r="O279" s="199">
        <f t="shared" si="309"/>
        <v>0</v>
      </c>
      <c r="P279" s="199">
        <f t="shared" si="309"/>
        <v>0</v>
      </c>
      <c r="Q279" s="199">
        <f t="shared" si="309"/>
        <v>0</v>
      </c>
      <c r="R279" s="199">
        <f t="shared" si="309"/>
        <v>0</v>
      </c>
      <c r="S279" s="199">
        <f t="shared" si="309"/>
        <v>0</v>
      </c>
      <c r="T279" s="199">
        <f>SUM(N279:S279)</f>
        <v>0</v>
      </c>
      <c r="U279" s="199">
        <f>T279+L279</f>
        <v>0</v>
      </c>
      <c r="V279" s="199">
        <f>V274</f>
        <v>0</v>
      </c>
      <c r="W279" s="221">
        <f>V279-U279</f>
        <v>0</v>
      </c>
      <c r="X279" s="176">
        <f>U274-U279</f>
        <v>0</v>
      </c>
      <c r="Z279" s="300"/>
    </row>
    <row r="280" spans="1:26" s="176" customFormat="1" ht="18" hidden="1" customHeight="1">
      <c r="A280" s="610"/>
      <c r="B280" s="583"/>
      <c r="C280" s="583"/>
      <c r="D280" s="201" t="str">
        <f>серпень!D280</f>
        <v>тариф, грн.</v>
      </c>
      <c r="E280" s="220"/>
      <c r="F280" s="199"/>
      <c r="G280" s="199"/>
      <c r="H280" s="199"/>
      <c r="I280" s="199"/>
      <c r="J280" s="199"/>
      <c r="K280" s="199"/>
      <c r="L280" s="199">
        <f>SUM(F280:K280)</f>
        <v>0</v>
      </c>
      <c r="M280" s="199">
        <f>L280/6</f>
        <v>0</v>
      </c>
      <c r="N280" s="199"/>
      <c r="O280" s="199"/>
      <c r="P280" s="199"/>
      <c r="Q280" s="199"/>
      <c r="R280" s="199"/>
      <c r="S280" s="199"/>
      <c r="T280" s="199">
        <f>SUM(N280:S280)</f>
        <v>0</v>
      </c>
      <c r="U280" s="199">
        <f>T280+L280</f>
        <v>0</v>
      </c>
      <c r="V280" s="199">
        <f>V275</f>
        <v>0</v>
      </c>
      <c r="W280" s="221">
        <f>V280-U280</f>
        <v>0</v>
      </c>
      <c r="X280" s="176">
        <f>U275-U280</f>
        <v>0</v>
      </c>
      <c r="Z280" s="300"/>
    </row>
    <row r="281" spans="1:26" s="176" customFormat="1" ht="18" hidden="1" customHeight="1">
      <c r="A281" s="610"/>
      <c r="B281" s="583"/>
      <c r="C281" s="583"/>
      <c r="D281" s="201" t="str">
        <f>серпень!D281</f>
        <v>касові видатки, тис.грн.</v>
      </c>
      <c r="E281" s="220"/>
      <c r="F281" s="199">
        <f t="shared" ref="F281:K281" si="310">F279-F280</f>
        <v>0</v>
      </c>
      <c r="G281" s="199">
        <f t="shared" si="310"/>
        <v>0</v>
      </c>
      <c r="H281" s="199">
        <f t="shared" si="310"/>
        <v>0</v>
      </c>
      <c r="I281" s="199">
        <f t="shared" si="310"/>
        <v>0</v>
      </c>
      <c r="J281" s="199">
        <f t="shared" si="310"/>
        <v>0</v>
      </c>
      <c r="K281" s="199">
        <f t="shared" si="310"/>
        <v>0</v>
      </c>
      <c r="L281" s="199">
        <f>SUM(F281:K281)</f>
        <v>0</v>
      </c>
      <c r="M281" s="199">
        <f>L281/6</f>
        <v>0</v>
      </c>
      <c r="N281" s="199">
        <f t="shared" ref="N281:S281" si="311">N279-N280</f>
        <v>0</v>
      </c>
      <c r="O281" s="199">
        <f t="shared" si="311"/>
        <v>0</v>
      </c>
      <c r="P281" s="199">
        <f t="shared" si="311"/>
        <v>0</v>
      </c>
      <c r="Q281" s="199">
        <f t="shared" si="311"/>
        <v>0</v>
      </c>
      <c r="R281" s="199">
        <f t="shared" si="311"/>
        <v>0</v>
      </c>
      <c r="S281" s="199">
        <f t="shared" si="311"/>
        <v>0</v>
      </c>
      <c r="T281" s="199">
        <f>SUM(N281:S281)</f>
        <v>0</v>
      </c>
      <c r="U281" s="199">
        <f>T281+L281</f>
        <v>0</v>
      </c>
      <c r="V281" s="199">
        <f>V276</f>
        <v>0</v>
      </c>
      <c r="W281" s="221">
        <f>V281-U281</f>
        <v>0</v>
      </c>
      <c r="X281" s="176">
        <f>U276-U281</f>
        <v>0</v>
      </c>
      <c r="Z281" s="300"/>
    </row>
    <row r="282" spans="1:26" s="205" customFormat="1" ht="18" hidden="1" customHeight="1">
      <c r="A282" s="610"/>
      <c r="B282" s="583"/>
      <c r="C282" s="583"/>
      <c r="D282" s="202" t="str">
        <f>серпень!D282</f>
        <v>дотація</v>
      </c>
      <c r="E282" s="203"/>
      <c r="F282" s="203">
        <f t="shared" ref="F282:K282" si="312">F276</f>
        <v>0</v>
      </c>
      <c r="G282" s="203">
        <f t="shared" si="312"/>
        <v>0</v>
      </c>
      <c r="H282" s="203">
        <f t="shared" si="312"/>
        <v>0</v>
      </c>
      <c r="I282" s="203">
        <f t="shared" si="312"/>
        <v>0</v>
      </c>
      <c r="J282" s="203">
        <f t="shared" si="312"/>
        <v>0</v>
      </c>
      <c r="K282" s="203">
        <f t="shared" si="312"/>
        <v>0</v>
      </c>
      <c r="L282" s="203">
        <f>SUM(F282:K282)</f>
        <v>0</v>
      </c>
      <c r="M282" s="203">
        <f>L282/6</f>
        <v>0</v>
      </c>
      <c r="N282" s="203">
        <f t="shared" ref="N282:S282" si="313">N276+N275</f>
        <v>0</v>
      </c>
      <c r="O282" s="203">
        <f t="shared" si="313"/>
        <v>0</v>
      </c>
      <c r="P282" s="203">
        <f t="shared" si="313"/>
        <v>0</v>
      </c>
      <c r="Q282" s="203">
        <f t="shared" si="313"/>
        <v>0</v>
      </c>
      <c r="R282" s="203">
        <f t="shared" si="313"/>
        <v>0</v>
      </c>
      <c r="S282" s="203">
        <f t="shared" si="313"/>
        <v>0</v>
      </c>
      <c r="T282" s="203">
        <f>SUM(N282:S282)</f>
        <v>0</v>
      </c>
      <c r="U282" s="203">
        <f>T282+L282</f>
        <v>0</v>
      </c>
      <c r="V282" s="203">
        <f>V279</f>
        <v>0</v>
      </c>
      <c r="W282" s="203">
        <f>V282-U282</f>
        <v>0</v>
      </c>
      <c r="Z282" s="301"/>
    </row>
    <row r="283" spans="1:26" s="205" customFormat="1" ht="18" hidden="1" customHeight="1">
      <c r="A283" s="610"/>
      <c r="B283" s="583"/>
      <c r="C283" s="583"/>
      <c r="D283" s="202" t="str">
        <f>серпень!D283</f>
        <v xml:space="preserve">місцевий </v>
      </c>
      <c r="E283" s="203"/>
      <c r="F283" s="203">
        <f t="shared" ref="F283:K283" si="314">F279-F282</f>
        <v>0</v>
      </c>
      <c r="G283" s="203">
        <f t="shared" si="314"/>
        <v>0</v>
      </c>
      <c r="H283" s="203">
        <f t="shared" si="314"/>
        <v>0</v>
      </c>
      <c r="I283" s="203">
        <f t="shared" si="314"/>
        <v>0</v>
      </c>
      <c r="J283" s="203">
        <f t="shared" si="314"/>
        <v>0</v>
      </c>
      <c r="K283" s="203">
        <f t="shared" si="314"/>
        <v>0</v>
      </c>
      <c r="L283" s="203"/>
      <c r="M283" s="203"/>
      <c r="N283" s="203">
        <f t="shared" ref="N283:S283" si="315">N279-N282</f>
        <v>0</v>
      </c>
      <c r="O283" s="203">
        <f t="shared" si="315"/>
        <v>0</v>
      </c>
      <c r="P283" s="203">
        <f t="shared" si="315"/>
        <v>0</v>
      </c>
      <c r="Q283" s="203">
        <f t="shared" si="315"/>
        <v>0</v>
      </c>
      <c r="R283" s="203">
        <f t="shared" si="315"/>
        <v>0</v>
      </c>
      <c r="S283" s="203">
        <f t="shared" si="315"/>
        <v>0</v>
      </c>
      <c r="T283" s="203"/>
      <c r="U283" s="203"/>
      <c r="V283" s="203"/>
      <c r="W283" s="203"/>
      <c r="Z283" s="301"/>
    </row>
    <row r="284" spans="1:26" s="205" customFormat="1" ht="24.6" hidden="1" customHeight="1">
      <c r="A284" s="610"/>
      <c r="B284" s="583"/>
      <c r="C284" s="584"/>
      <c r="D284" s="202" t="str">
        <f>серпень!D284</f>
        <v>план</v>
      </c>
      <c r="E284" s="203"/>
      <c r="F284" s="203">
        <f>F283</f>
        <v>0</v>
      </c>
      <c r="G284" s="203">
        <f>G283+F284</f>
        <v>0</v>
      </c>
      <c r="H284" s="203">
        <f>H283+G284</f>
        <v>0</v>
      </c>
      <c r="I284" s="203">
        <f>I283+H284</f>
        <v>0</v>
      </c>
      <c r="J284" s="203">
        <f>J283+I284</f>
        <v>0</v>
      </c>
      <c r="K284" s="203">
        <f>K283+J284</f>
        <v>0</v>
      </c>
      <c r="L284" s="203"/>
      <c r="M284" s="203"/>
      <c r="N284" s="203">
        <f>N283+K284</f>
        <v>0</v>
      </c>
      <c r="O284" s="203">
        <f>O283+N284</f>
        <v>0</v>
      </c>
      <c r="P284" s="203">
        <f>P283+O284</f>
        <v>0</v>
      </c>
      <c r="Q284" s="203">
        <f>Q283+P284</f>
        <v>0</v>
      </c>
      <c r="R284" s="203">
        <f>R283+Q284</f>
        <v>0</v>
      </c>
      <c r="S284" s="203">
        <f>S283+R284</f>
        <v>0</v>
      </c>
      <c r="T284" s="203"/>
      <c r="U284" s="203"/>
      <c r="V284" s="203"/>
      <c r="W284" s="203"/>
      <c r="Z284" s="301"/>
    </row>
    <row r="285" spans="1:26" s="205" customFormat="1" ht="24.6" hidden="1" customHeight="1">
      <c r="A285" s="610"/>
      <c r="B285" s="583"/>
      <c r="C285" s="582" t="s">
        <v>96</v>
      </c>
      <c r="D285" s="178" t="s">
        <v>93</v>
      </c>
      <c r="E285" s="179"/>
      <c r="F285" s="180"/>
      <c r="G285" s="180"/>
      <c r="H285" s="180"/>
      <c r="I285" s="180"/>
      <c r="J285" s="180"/>
      <c r="K285" s="180"/>
      <c r="L285" s="215">
        <f>SUM(F285:K285)</f>
        <v>0</v>
      </c>
      <c r="M285" s="215">
        <f>L285/6</f>
        <v>0</v>
      </c>
      <c r="N285" s="180"/>
      <c r="O285" s="180"/>
      <c r="P285" s="180"/>
      <c r="Q285" s="180"/>
      <c r="R285" s="180"/>
      <c r="S285" s="180"/>
      <c r="T285" s="215">
        <f>SUM(N285:S285)</f>
        <v>0</v>
      </c>
      <c r="U285" s="226">
        <f>T285+L285</f>
        <v>0</v>
      </c>
      <c r="V285" s="227"/>
      <c r="W285" s="184">
        <f>V285-U285</f>
        <v>0</v>
      </c>
      <c r="Z285" s="301"/>
    </row>
    <row r="286" spans="1:26" s="205" customFormat="1" ht="24.6" hidden="1" customHeight="1">
      <c r="A286" s="610"/>
      <c r="B286" s="583"/>
      <c r="C286" s="583"/>
      <c r="D286" s="178" t="s">
        <v>95</v>
      </c>
      <c r="E286" s="179"/>
      <c r="F286" s="180"/>
      <c r="G286" s="180"/>
      <c r="H286" s="180"/>
      <c r="I286" s="180"/>
      <c r="J286" s="180"/>
      <c r="K286" s="180"/>
      <c r="L286" s="215">
        <f>SUM(F286:K286)</f>
        <v>0</v>
      </c>
      <c r="M286" s="215">
        <f>L286/6</f>
        <v>0</v>
      </c>
      <c r="N286" s="179"/>
      <c r="O286" s="179"/>
      <c r="P286" s="179"/>
      <c r="Q286" s="179"/>
      <c r="R286" s="179"/>
      <c r="S286" s="179"/>
      <c r="T286" s="215">
        <f>SUM(N286:S286)</f>
        <v>0</v>
      </c>
      <c r="U286" s="226">
        <f>T286+L286</f>
        <v>0</v>
      </c>
      <c r="V286" s="227"/>
      <c r="W286" s="184">
        <f>V286-U286</f>
        <v>0</v>
      </c>
      <c r="Z286" s="301"/>
    </row>
    <row r="287" spans="1:26" s="205" customFormat="1" ht="23.5" hidden="1" customHeight="1">
      <c r="A287" s="610"/>
      <c r="B287" s="583"/>
      <c r="C287" s="583"/>
      <c r="D287" s="178" t="s">
        <v>105</v>
      </c>
      <c r="E287" s="179"/>
      <c r="F287" s="180"/>
      <c r="G287" s="180"/>
      <c r="H287" s="180"/>
      <c r="I287" s="180"/>
      <c r="J287" s="180"/>
      <c r="K287" s="180"/>
      <c r="L287" s="215">
        <f>SUM(F287:K287)</f>
        <v>0</v>
      </c>
      <c r="M287" s="215">
        <f>L287/6</f>
        <v>0</v>
      </c>
      <c r="N287" s="180"/>
      <c r="O287" s="180"/>
      <c r="P287" s="180"/>
      <c r="Q287" s="180"/>
      <c r="R287" s="180"/>
      <c r="S287" s="179"/>
      <c r="T287" s="215">
        <f>SUM(N287:S287)</f>
        <v>0</v>
      </c>
      <c r="U287" s="226">
        <f>T287+L287</f>
        <v>0</v>
      </c>
      <c r="V287" s="179"/>
      <c r="W287" s="184">
        <f>V287-U287</f>
        <v>0</v>
      </c>
      <c r="Z287" s="301"/>
    </row>
    <row r="288" spans="1:26" s="205" customFormat="1" ht="23.5" hidden="1" customHeight="1">
      <c r="A288" s="610"/>
      <c r="B288" s="583"/>
      <c r="C288" s="583"/>
      <c r="D288" s="187" t="s">
        <v>27</v>
      </c>
      <c r="E288" s="188"/>
      <c r="F288" s="188"/>
      <c r="G288" s="188"/>
      <c r="H288" s="188"/>
      <c r="I288" s="188"/>
      <c r="J288" s="188"/>
      <c r="K288" s="188"/>
      <c r="L288" s="188" t="e">
        <f>L289/L287*1000</f>
        <v>#DIV/0!</v>
      </c>
      <c r="M288" s="188" t="e">
        <f>M289/M287*1000</f>
        <v>#DIV/0!</v>
      </c>
      <c r="N288" s="188"/>
      <c r="O288" s="188"/>
      <c r="P288" s="188"/>
      <c r="Q288" s="188"/>
      <c r="R288" s="188"/>
      <c r="S288" s="188"/>
      <c r="T288" s="188" t="e">
        <f>T289/T287*1000</f>
        <v>#DIV/0!</v>
      </c>
      <c r="U288" s="188" t="e">
        <f>U289/U287*1000</f>
        <v>#DIV/0!</v>
      </c>
      <c r="V288" s="218" t="e">
        <f>V289/V287*1000</f>
        <v>#DIV/0!</v>
      </c>
      <c r="W288" s="189" t="e">
        <f>W289/W287*1000</f>
        <v>#DIV/0!</v>
      </c>
      <c r="Z288" s="301"/>
    </row>
    <row r="289" spans="1:26" s="205" customFormat="1" ht="23.5" hidden="1" customHeight="1">
      <c r="A289" s="610"/>
      <c r="B289" s="583"/>
      <c r="C289" s="583"/>
      <c r="D289" s="191" t="s">
        <v>0</v>
      </c>
      <c r="E289" s="192"/>
      <c r="F289" s="192">
        <f t="shared" ref="F289:K289" si="316">F287*F288/1000</f>
        <v>0</v>
      </c>
      <c r="G289" s="192">
        <f t="shared" si="316"/>
        <v>0</v>
      </c>
      <c r="H289" s="192">
        <f t="shared" si="316"/>
        <v>0</v>
      </c>
      <c r="I289" s="192">
        <f t="shared" si="316"/>
        <v>0</v>
      </c>
      <c r="J289" s="192">
        <f t="shared" si="316"/>
        <v>0</v>
      </c>
      <c r="K289" s="192">
        <f t="shared" si="316"/>
        <v>0</v>
      </c>
      <c r="L289" s="194">
        <f>SUM(F289:K289)</f>
        <v>0</v>
      </c>
      <c r="M289" s="194">
        <f>L289/6</f>
        <v>0</v>
      </c>
      <c r="N289" s="192">
        <f t="shared" ref="N289:S289" si="317">N287*N288/1000</f>
        <v>0</v>
      </c>
      <c r="O289" s="192">
        <f t="shared" si="317"/>
        <v>0</v>
      </c>
      <c r="P289" s="192">
        <f t="shared" si="317"/>
        <v>0</v>
      </c>
      <c r="Q289" s="192">
        <f t="shared" si="317"/>
        <v>0</v>
      </c>
      <c r="R289" s="192">
        <f t="shared" si="317"/>
        <v>0</v>
      </c>
      <c r="S289" s="192">
        <f t="shared" si="317"/>
        <v>0</v>
      </c>
      <c r="T289" s="194">
        <f>SUM(N289:S289)</f>
        <v>0</v>
      </c>
      <c r="U289" s="194">
        <f>T289+L289</f>
        <v>0</v>
      </c>
      <c r="V289" s="171">
        <f>V290+V291</f>
        <v>0</v>
      </c>
      <c r="W289" s="193">
        <f>V289-U289</f>
        <v>0</v>
      </c>
      <c r="Z289" s="301"/>
    </row>
    <row r="290" spans="1:26" s="205" customFormat="1" ht="23.5" hidden="1" customHeight="1">
      <c r="A290" s="610"/>
      <c r="B290" s="583"/>
      <c r="C290" s="583"/>
      <c r="D290" s="174" t="s">
        <v>55</v>
      </c>
      <c r="E290" s="210"/>
      <c r="F290" s="192"/>
      <c r="G290" s="192"/>
      <c r="H290" s="192"/>
      <c r="I290" s="192"/>
      <c r="J290" s="192"/>
      <c r="K290" s="192"/>
      <c r="L290" s="194">
        <f>SUM(F290:K290)</f>
        <v>0</v>
      </c>
      <c r="M290" s="194">
        <f>L290/6</f>
        <v>0</v>
      </c>
      <c r="N290" s="192"/>
      <c r="O290" s="192"/>
      <c r="P290" s="192"/>
      <c r="Q290" s="192"/>
      <c r="R290" s="192"/>
      <c r="S290" s="192"/>
      <c r="T290" s="194">
        <f>SUM(N290:S290)</f>
        <v>0</v>
      </c>
      <c r="U290" s="194">
        <f>T290+L290</f>
        <v>0</v>
      </c>
      <c r="V290" s="171"/>
      <c r="W290" s="193">
        <f>V290-U290</f>
        <v>0</v>
      </c>
      <c r="Z290" s="301"/>
    </row>
    <row r="291" spans="1:26" s="205" customFormat="1" ht="23.5" hidden="1" customHeight="1">
      <c r="A291" s="610"/>
      <c r="B291" s="583"/>
      <c r="C291" s="583"/>
      <c r="D291" s="174" t="s">
        <v>28</v>
      </c>
      <c r="E291" s="210"/>
      <c r="F291" s="192"/>
      <c r="G291" s="192"/>
      <c r="H291" s="192"/>
      <c r="I291" s="192"/>
      <c r="J291" s="192"/>
      <c r="K291" s="192"/>
      <c r="L291" s="194">
        <f>SUM(F291:K291)</f>
        <v>0</v>
      </c>
      <c r="M291" s="194">
        <f>L291/6</f>
        <v>0</v>
      </c>
      <c r="N291" s="192"/>
      <c r="O291" s="192"/>
      <c r="P291" s="192"/>
      <c r="Q291" s="192"/>
      <c r="R291" s="192"/>
      <c r="S291" s="192"/>
      <c r="T291" s="194">
        <f>SUM(N291:S291)</f>
        <v>0</v>
      </c>
      <c r="U291" s="194">
        <f>T291+L291</f>
        <v>0</v>
      </c>
      <c r="V291" s="171"/>
      <c r="W291" s="193">
        <f>V291-U291</f>
        <v>0</v>
      </c>
      <c r="Z291" s="301"/>
    </row>
    <row r="292" spans="1:26" s="205" customFormat="1" ht="23.5" hidden="1" customHeight="1">
      <c r="A292" s="610"/>
      <c r="B292" s="583"/>
      <c r="C292" s="583"/>
      <c r="D292" s="178" t="s">
        <v>106</v>
      </c>
      <c r="E292" s="179"/>
      <c r="F292" s="179"/>
      <c r="G292" s="179"/>
      <c r="H292" s="179"/>
      <c r="I292" s="179"/>
      <c r="J292" s="179"/>
      <c r="K292" s="179"/>
      <c r="L292" s="215">
        <f>SUM(F292:K292)</f>
        <v>0</v>
      </c>
      <c r="M292" s="215">
        <f>L292/6</f>
        <v>0</v>
      </c>
      <c r="N292" s="179"/>
      <c r="O292" s="179"/>
      <c r="P292" s="179"/>
      <c r="Q292" s="179"/>
      <c r="R292" s="179"/>
      <c r="S292" s="179"/>
      <c r="T292" s="215">
        <f>SUM(N292:S292)</f>
        <v>0</v>
      </c>
      <c r="U292" s="215">
        <f>T292+L292</f>
        <v>0</v>
      </c>
      <c r="V292" s="179">
        <f>V287</f>
        <v>0</v>
      </c>
      <c r="W292" s="184">
        <f>V292-U292</f>
        <v>0</v>
      </c>
      <c r="X292" s="185">
        <f>U287-U292</f>
        <v>0</v>
      </c>
      <c r="Z292" s="301"/>
    </row>
    <row r="293" spans="1:26" s="205" customFormat="1" ht="23.5" hidden="1" customHeight="1">
      <c r="A293" s="610"/>
      <c r="B293" s="583"/>
      <c r="C293" s="583"/>
      <c r="D293" s="187" t="s">
        <v>27</v>
      </c>
      <c r="E293" s="188" t="e">
        <f>E294/E292*1000</f>
        <v>#DIV/0!</v>
      </c>
      <c r="F293" s="188"/>
      <c r="G293" s="188"/>
      <c r="H293" s="188"/>
      <c r="I293" s="188"/>
      <c r="J293" s="188"/>
      <c r="K293" s="188"/>
      <c r="L293" s="188" t="e">
        <f>L294/L292*1000</f>
        <v>#DIV/0!</v>
      </c>
      <c r="M293" s="188" t="e">
        <f>M294/M292*1000</f>
        <v>#DIV/0!</v>
      </c>
      <c r="N293" s="188"/>
      <c r="O293" s="188"/>
      <c r="P293" s="188"/>
      <c r="Q293" s="188"/>
      <c r="R293" s="188"/>
      <c r="S293" s="188"/>
      <c r="T293" s="188" t="e">
        <f>T294/T292*1000</f>
        <v>#DIV/0!</v>
      </c>
      <c r="U293" s="188" t="e">
        <f>U294/U292*1000</f>
        <v>#DIV/0!</v>
      </c>
      <c r="V293" s="218" t="e">
        <f>V294/V292*1000</f>
        <v>#DIV/0!</v>
      </c>
      <c r="W293" s="189" t="e">
        <f>W294/W292*1000</f>
        <v>#DIV/0!</v>
      </c>
      <c r="X293" s="185"/>
      <c r="Z293" s="301"/>
    </row>
    <row r="294" spans="1:26" s="205" customFormat="1" ht="23.5" hidden="1" customHeight="1">
      <c r="A294" s="610"/>
      <c r="B294" s="583"/>
      <c r="C294" s="583"/>
      <c r="D294" s="198" t="s">
        <v>25</v>
      </c>
      <c r="E294" s="220"/>
      <c r="F294" s="199">
        <f t="shared" ref="F294:K294" si="318">F292*F293/1000</f>
        <v>0</v>
      </c>
      <c r="G294" s="199">
        <f t="shared" si="318"/>
        <v>0</v>
      </c>
      <c r="H294" s="199">
        <f t="shared" si="318"/>
        <v>0</v>
      </c>
      <c r="I294" s="199">
        <f t="shared" si="318"/>
        <v>0</v>
      </c>
      <c r="J294" s="199">
        <f t="shared" si="318"/>
        <v>0</v>
      </c>
      <c r="K294" s="199">
        <f t="shared" si="318"/>
        <v>0</v>
      </c>
      <c r="L294" s="199">
        <f>SUM(F294:K294)</f>
        <v>0</v>
      </c>
      <c r="M294" s="199">
        <f>L294/6</f>
        <v>0</v>
      </c>
      <c r="N294" s="199">
        <f t="shared" ref="N294:S294" si="319">N292*N293/1000</f>
        <v>0</v>
      </c>
      <c r="O294" s="199">
        <f t="shared" si="319"/>
        <v>0</v>
      </c>
      <c r="P294" s="199">
        <f t="shared" si="319"/>
        <v>0</v>
      </c>
      <c r="Q294" s="199">
        <f t="shared" si="319"/>
        <v>0</v>
      </c>
      <c r="R294" s="199">
        <f t="shared" si="319"/>
        <v>0</v>
      </c>
      <c r="S294" s="199">
        <f t="shared" si="319"/>
        <v>0</v>
      </c>
      <c r="T294" s="199">
        <f>SUM(N294:S294)</f>
        <v>0</v>
      </c>
      <c r="U294" s="199">
        <f>T294+L294</f>
        <v>0</v>
      </c>
      <c r="V294" s="199">
        <f>V289</f>
        <v>0</v>
      </c>
      <c r="W294" s="221">
        <f>V294-U294</f>
        <v>0</v>
      </c>
      <c r="X294" s="176">
        <f>U289-U294</f>
        <v>0</v>
      </c>
      <c r="Z294" s="301"/>
    </row>
    <row r="295" spans="1:26" s="205" customFormat="1" ht="23.5" hidden="1" customHeight="1">
      <c r="A295" s="610"/>
      <c r="B295" s="583"/>
      <c r="C295" s="583"/>
      <c r="D295" s="201" t="s">
        <v>55</v>
      </c>
      <c r="E295" s="220"/>
      <c r="F295" s="199"/>
      <c r="G295" s="199"/>
      <c r="H295" s="199"/>
      <c r="I295" s="199"/>
      <c r="J295" s="199"/>
      <c r="K295" s="199"/>
      <c r="L295" s="199">
        <f>SUM(F295:K295)</f>
        <v>0</v>
      </c>
      <c r="M295" s="199">
        <f>L295/6</f>
        <v>0</v>
      </c>
      <c r="N295" s="199"/>
      <c r="O295" s="199"/>
      <c r="P295" s="199"/>
      <c r="Q295" s="199"/>
      <c r="R295" s="199"/>
      <c r="S295" s="199"/>
      <c r="T295" s="199">
        <f>SUM(N295:S295)</f>
        <v>0</v>
      </c>
      <c r="U295" s="199">
        <f>T295+L295</f>
        <v>0</v>
      </c>
      <c r="V295" s="199">
        <f>V290</f>
        <v>0</v>
      </c>
      <c r="W295" s="221">
        <f>V295-U295</f>
        <v>0</v>
      </c>
      <c r="X295" s="176">
        <f>U290-U295</f>
        <v>0</v>
      </c>
      <c r="Z295" s="301"/>
    </row>
    <row r="296" spans="1:26" s="205" customFormat="1" ht="23.5" hidden="1" customHeight="1">
      <c r="A296" s="610"/>
      <c r="B296" s="583"/>
      <c r="C296" s="583"/>
      <c r="D296" s="201" t="s">
        <v>24</v>
      </c>
      <c r="E296" s="220"/>
      <c r="F296" s="199">
        <f t="shared" ref="F296:K296" si="320">F294-F295</f>
        <v>0</v>
      </c>
      <c r="G296" s="199">
        <f t="shared" si="320"/>
        <v>0</v>
      </c>
      <c r="H296" s="199">
        <f t="shared" si="320"/>
        <v>0</v>
      </c>
      <c r="I296" s="199">
        <f t="shared" si="320"/>
        <v>0</v>
      </c>
      <c r="J296" s="199">
        <f t="shared" si="320"/>
        <v>0</v>
      </c>
      <c r="K296" s="199">
        <f t="shared" si="320"/>
        <v>0</v>
      </c>
      <c r="L296" s="199">
        <f>SUM(F296:K296)</f>
        <v>0</v>
      </c>
      <c r="M296" s="199">
        <f>L296/6</f>
        <v>0</v>
      </c>
      <c r="N296" s="199">
        <f t="shared" ref="N296:S296" si="321">N294-N295</f>
        <v>0</v>
      </c>
      <c r="O296" s="199">
        <f t="shared" si="321"/>
        <v>0</v>
      </c>
      <c r="P296" s="199">
        <f t="shared" si="321"/>
        <v>0</v>
      </c>
      <c r="Q296" s="199">
        <f t="shared" si="321"/>
        <v>0</v>
      </c>
      <c r="R296" s="199">
        <f t="shared" si="321"/>
        <v>0</v>
      </c>
      <c r="S296" s="199">
        <f t="shared" si="321"/>
        <v>0</v>
      </c>
      <c r="T296" s="199">
        <f>SUM(N296:S296)</f>
        <v>0</v>
      </c>
      <c r="U296" s="199">
        <f>T296+L296</f>
        <v>0</v>
      </c>
      <c r="V296" s="199">
        <f>V291</f>
        <v>0</v>
      </c>
      <c r="W296" s="221">
        <f>V296-U296</f>
        <v>0</v>
      </c>
      <c r="X296" s="176">
        <f>U291-U296</f>
        <v>0</v>
      </c>
      <c r="Z296" s="301"/>
    </row>
    <row r="297" spans="1:26" s="205" customFormat="1" ht="23.5" hidden="1" customHeight="1">
      <c r="A297" s="610"/>
      <c r="B297" s="583"/>
      <c r="C297" s="583"/>
      <c r="D297" s="202" t="s">
        <v>29</v>
      </c>
      <c r="E297" s="203"/>
      <c r="F297" s="203">
        <f t="shared" ref="F297:K297" si="322">F291</f>
        <v>0</v>
      </c>
      <c r="G297" s="203">
        <f t="shared" si="322"/>
        <v>0</v>
      </c>
      <c r="H297" s="203">
        <f t="shared" si="322"/>
        <v>0</v>
      </c>
      <c r="I297" s="203">
        <f t="shared" si="322"/>
        <v>0</v>
      </c>
      <c r="J297" s="203">
        <f t="shared" si="322"/>
        <v>0</v>
      </c>
      <c r="K297" s="203">
        <f t="shared" si="322"/>
        <v>0</v>
      </c>
      <c r="L297" s="203">
        <f>SUM(F297:K297)</f>
        <v>0</v>
      </c>
      <c r="M297" s="203">
        <f>L297/6</f>
        <v>0</v>
      </c>
      <c r="N297" s="203">
        <f t="shared" ref="N297:S297" si="323">N291+N290</f>
        <v>0</v>
      </c>
      <c r="O297" s="203">
        <f t="shared" si="323"/>
        <v>0</v>
      </c>
      <c r="P297" s="203">
        <f t="shared" si="323"/>
        <v>0</v>
      </c>
      <c r="Q297" s="203">
        <f t="shared" si="323"/>
        <v>0</v>
      </c>
      <c r="R297" s="203">
        <f t="shared" si="323"/>
        <v>0</v>
      </c>
      <c r="S297" s="203">
        <f t="shared" si="323"/>
        <v>0</v>
      </c>
      <c r="T297" s="203">
        <f>SUM(N297:S297)</f>
        <v>0</v>
      </c>
      <c r="U297" s="203">
        <f>T297+L297</f>
        <v>0</v>
      </c>
      <c r="V297" s="203">
        <f>V294</f>
        <v>0</v>
      </c>
      <c r="W297" s="203">
        <f>V297-U297</f>
        <v>0</v>
      </c>
      <c r="Z297" s="301"/>
    </row>
    <row r="298" spans="1:26" s="205" customFormat="1" ht="23.5" hidden="1" customHeight="1">
      <c r="A298" s="610"/>
      <c r="B298" s="583"/>
      <c r="C298" s="583"/>
      <c r="D298" s="202" t="s">
        <v>30</v>
      </c>
      <c r="E298" s="203"/>
      <c r="F298" s="203">
        <f t="shared" ref="F298:K298" si="324">F294-F297</f>
        <v>0</v>
      </c>
      <c r="G298" s="203">
        <f t="shared" si="324"/>
        <v>0</v>
      </c>
      <c r="H298" s="203">
        <f t="shared" si="324"/>
        <v>0</v>
      </c>
      <c r="I298" s="203">
        <f t="shared" si="324"/>
        <v>0</v>
      </c>
      <c r="J298" s="203">
        <f t="shared" si="324"/>
        <v>0</v>
      </c>
      <c r="K298" s="203">
        <f t="shared" si="324"/>
        <v>0</v>
      </c>
      <c r="L298" s="203"/>
      <c r="M298" s="203"/>
      <c r="N298" s="203">
        <f t="shared" ref="N298:S298" si="325">N294-N297</f>
        <v>0</v>
      </c>
      <c r="O298" s="203">
        <f t="shared" si="325"/>
        <v>0</v>
      </c>
      <c r="P298" s="203">
        <f t="shared" si="325"/>
        <v>0</v>
      </c>
      <c r="Q298" s="203">
        <f t="shared" si="325"/>
        <v>0</v>
      </c>
      <c r="R298" s="203">
        <f t="shared" si="325"/>
        <v>0</v>
      </c>
      <c r="S298" s="203">
        <f t="shared" si="325"/>
        <v>0</v>
      </c>
      <c r="T298" s="203"/>
      <c r="U298" s="203"/>
      <c r="V298" s="203"/>
      <c r="W298" s="203"/>
      <c r="Z298" s="301"/>
    </row>
    <row r="299" spans="1:26" s="205" customFormat="1" ht="23.5" hidden="1" customHeight="1">
      <c r="A299" s="610"/>
      <c r="B299" s="583"/>
      <c r="C299" s="584"/>
      <c r="D299" s="202" t="s">
        <v>31</v>
      </c>
      <c r="E299" s="203"/>
      <c r="F299" s="203">
        <f>F298</f>
        <v>0</v>
      </c>
      <c r="G299" s="203">
        <f>G298+F299</f>
        <v>0</v>
      </c>
      <c r="H299" s="203">
        <f>H298+G299</f>
        <v>0</v>
      </c>
      <c r="I299" s="203">
        <f>I298+H299</f>
        <v>0</v>
      </c>
      <c r="J299" s="203">
        <f>J298+I299</f>
        <v>0</v>
      </c>
      <c r="K299" s="203">
        <f>K298+J299</f>
        <v>0</v>
      </c>
      <c r="L299" s="203"/>
      <c r="M299" s="203"/>
      <c r="N299" s="203">
        <f>N298+K299</f>
        <v>0</v>
      </c>
      <c r="O299" s="203">
        <f>O298+N299</f>
        <v>0</v>
      </c>
      <c r="P299" s="203">
        <f>P298+O299</f>
        <v>0</v>
      </c>
      <c r="Q299" s="203">
        <f>Q298+P299</f>
        <v>0</v>
      </c>
      <c r="R299" s="203">
        <f>R298+Q299</f>
        <v>0</v>
      </c>
      <c r="S299" s="203">
        <f>S298+R299</f>
        <v>0</v>
      </c>
      <c r="T299" s="203"/>
      <c r="U299" s="203"/>
      <c r="V299" s="203"/>
      <c r="W299" s="203"/>
      <c r="Z299" s="301"/>
    </row>
    <row r="300" spans="1:26" s="185" customFormat="1" ht="18" hidden="1" customHeight="1">
      <c r="A300" s="610"/>
      <c r="B300" s="581" t="s">
        <v>59</v>
      </c>
      <c r="C300" s="582" t="s">
        <v>97</v>
      </c>
      <c r="D300" s="178" t="s">
        <v>93</v>
      </c>
      <c r="E300" s="179"/>
      <c r="F300" s="180"/>
      <c r="G300" s="180"/>
      <c r="H300" s="180"/>
      <c r="I300" s="180"/>
      <c r="J300" s="180"/>
      <c r="K300" s="180"/>
      <c r="L300" s="215">
        <f>SUM(F300:K300)</f>
        <v>0</v>
      </c>
      <c r="M300" s="215">
        <f>L300/6</f>
        <v>0</v>
      </c>
      <c r="N300" s="180"/>
      <c r="O300" s="180"/>
      <c r="P300" s="180"/>
      <c r="Q300" s="180"/>
      <c r="R300" s="180"/>
      <c r="S300" s="180"/>
      <c r="T300" s="215">
        <f>SUM(N300:S300)</f>
        <v>0</v>
      </c>
      <c r="U300" s="226">
        <f>T300+L300</f>
        <v>0</v>
      </c>
      <c r="V300" s="227"/>
      <c r="W300" s="184">
        <f>V300-U300</f>
        <v>0</v>
      </c>
      <c r="Z300" s="297"/>
    </row>
    <row r="301" spans="1:26" s="185" customFormat="1" ht="18" hidden="1" customHeight="1">
      <c r="A301" s="610"/>
      <c r="B301" s="581"/>
      <c r="C301" s="583"/>
      <c r="D301" s="178" t="s">
        <v>95</v>
      </c>
      <c r="E301" s="179"/>
      <c r="F301" s="180"/>
      <c r="G301" s="180"/>
      <c r="H301" s="180"/>
      <c r="I301" s="180"/>
      <c r="J301" s="180"/>
      <c r="K301" s="180"/>
      <c r="L301" s="215">
        <f>SUM(F301:K301)</f>
        <v>0</v>
      </c>
      <c r="M301" s="215">
        <f>L301/6</f>
        <v>0</v>
      </c>
      <c r="N301" s="179"/>
      <c r="O301" s="179"/>
      <c r="P301" s="179"/>
      <c r="Q301" s="179"/>
      <c r="R301" s="179"/>
      <c r="S301" s="179"/>
      <c r="T301" s="215">
        <f>SUM(N301:S301)</f>
        <v>0</v>
      </c>
      <c r="U301" s="226">
        <f>T301+L301</f>
        <v>0</v>
      </c>
      <c r="V301" s="227"/>
      <c r="W301" s="184">
        <f>V301-U301</f>
        <v>0</v>
      </c>
      <c r="Z301" s="297"/>
    </row>
    <row r="302" spans="1:26" s="185" customFormat="1" ht="18" hidden="1" customHeight="1">
      <c r="A302" s="610"/>
      <c r="B302" s="581"/>
      <c r="C302" s="583"/>
      <c r="D302" s="178" t="s">
        <v>105</v>
      </c>
      <c r="E302" s="179"/>
      <c r="F302" s="180"/>
      <c r="G302" s="180"/>
      <c r="H302" s="180"/>
      <c r="I302" s="180"/>
      <c r="J302" s="180"/>
      <c r="K302" s="180"/>
      <c r="L302" s="215">
        <f>SUM(F302:K302)</f>
        <v>0</v>
      </c>
      <c r="M302" s="215">
        <f>L302/6</f>
        <v>0</v>
      </c>
      <c r="N302" s="180"/>
      <c r="O302" s="180"/>
      <c r="P302" s="180"/>
      <c r="Q302" s="180"/>
      <c r="R302" s="180"/>
      <c r="S302" s="179"/>
      <c r="T302" s="215">
        <f>SUM(N302:S302)</f>
        <v>0</v>
      </c>
      <c r="U302" s="226">
        <f>T302+L302</f>
        <v>0</v>
      </c>
      <c r="V302" s="179"/>
      <c r="W302" s="184">
        <f>V302-U302</f>
        <v>0</v>
      </c>
      <c r="Z302" s="297"/>
    </row>
    <row r="303" spans="1:26" s="185" customFormat="1" ht="18" hidden="1" customHeight="1">
      <c r="A303" s="610"/>
      <c r="B303" s="581"/>
      <c r="C303" s="583"/>
      <c r="D303" s="187" t="s">
        <v>27</v>
      </c>
      <c r="E303" s="188"/>
      <c r="F303" s="188"/>
      <c r="G303" s="188"/>
      <c r="H303" s="188"/>
      <c r="I303" s="188"/>
      <c r="J303" s="188"/>
      <c r="K303" s="188"/>
      <c r="L303" s="188" t="e">
        <f>L304/L302*1000</f>
        <v>#DIV/0!</v>
      </c>
      <c r="M303" s="188" t="e">
        <f>M304/M302*1000</f>
        <v>#DIV/0!</v>
      </c>
      <c r="N303" s="188"/>
      <c r="O303" s="188"/>
      <c r="P303" s="188"/>
      <c r="Q303" s="188"/>
      <c r="R303" s="188"/>
      <c r="S303" s="188"/>
      <c r="T303" s="188" t="e">
        <f>T304/T302*1000</f>
        <v>#DIV/0!</v>
      </c>
      <c r="U303" s="188" t="e">
        <f>U304/U302*1000</f>
        <v>#DIV/0!</v>
      </c>
      <c r="V303" s="218" t="e">
        <f>V304/V302*1000</f>
        <v>#DIV/0!</v>
      </c>
      <c r="W303" s="189" t="e">
        <f>W304/W302*1000</f>
        <v>#DIV/0!</v>
      </c>
      <c r="Z303" s="297"/>
    </row>
    <row r="304" spans="1:26" s="185" customFormat="1" ht="18" hidden="1" customHeight="1">
      <c r="A304" s="610"/>
      <c r="B304" s="581"/>
      <c r="C304" s="583"/>
      <c r="D304" s="191" t="s">
        <v>0</v>
      </c>
      <c r="E304" s="192"/>
      <c r="F304" s="192">
        <f t="shared" ref="F304:K304" si="326">F302*F303/1000</f>
        <v>0</v>
      </c>
      <c r="G304" s="192">
        <f t="shared" si="326"/>
        <v>0</v>
      </c>
      <c r="H304" s="192">
        <f t="shared" si="326"/>
        <v>0</v>
      </c>
      <c r="I304" s="192">
        <f t="shared" si="326"/>
        <v>0</v>
      </c>
      <c r="J304" s="192">
        <f t="shared" si="326"/>
        <v>0</v>
      </c>
      <c r="K304" s="192">
        <f t="shared" si="326"/>
        <v>0</v>
      </c>
      <c r="L304" s="194">
        <f>SUM(F304:K304)</f>
        <v>0</v>
      </c>
      <c r="M304" s="194">
        <f>L304/6</f>
        <v>0</v>
      </c>
      <c r="N304" s="192">
        <f t="shared" ref="N304:S304" si="327">N302*N303/1000</f>
        <v>0</v>
      </c>
      <c r="O304" s="192">
        <f t="shared" si="327"/>
        <v>0</v>
      </c>
      <c r="P304" s="192">
        <f t="shared" si="327"/>
        <v>0</v>
      </c>
      <c r="Q304" s="192">
        <f t="shared" si="327"/>
        <v>0</v>
      </c>
      <c r="R304" s="192">
        <f t="shared" si="327"/>
        <v>0</v>
      </c>
      <c r="S304" s="192">
        <f t="shared" si="327"/>
        <v>0</v>
      </c>
      <c r="T304" s="194">
        <f>SUM(N304:S304)</f>
        <v>0</v>
      </c>
      <c r="U304" s="194">
        <f>T304+L304</f>
        <v>0</v>
      </c>
      <c r="V304" s="171">
        <f>V305+V306</f>
        <v>0</v>
      </c>
      <c r="W304" s="193">
        <f>V304-U304</f>
        <v>0</v>
      </c>
      <c r="Z304" s="297"/>
    </row>
    <row r="305" spans="1:26" s="185" customFormat="1" ht="18" hidden="1" customHeight="1">
      <c r="A305" s="610"/>
      <c r="B305" s="581"/>
      <c r="C305" s="583"/>
      <c r="D305" s="174" t="s">
        <v>55</v>
      </c>
      <c r="E305" s="210"/>
      <c r="F305" s="192"/>
      <c r="G305" s="192"/>
      <c r="H305" s="192"/>
      <c r="I305" s="192"/>
      <c r="J305" s="192"/>
      <c r="K305" s="192"/>
      <c r="L305" s="194">
        <f>SUM(F305:K305)</f>
        <v>0</v>
      </c>
      <c r="M305" s="194">
        <f>L305/6</f>
        <v>0</v>
      </c>
      <c r="N305" s="192"/>
      <c r="O305" s="192"/>
      <c r="P305" s="192"/>
      <c r="Q305" s="192"/>
      <c r="R305" s="192"/>
      <c r="S305" s="192"/>
      <c r="T305" s="194">
        <f>SUM(N305:S305)</f>
        <v>0</v>
      </c>
      <c r="U305" s="194">
        <f>T305+L305</f>
        <v>0</v>
      </c>
      <c r="V305" s="171"/>
      <c r="W305" s="193">
        <f>V305-U305</f>
        <v>0</v>
      </c>
      <c r="Z305" s="297"/>
    </row>
    <row r="306" spans="1:26" s="185" customFormat="1" ht="18" hidden="1" customHeight="1">
      <c r="A306" s="610"/>
      <c r="B306" s="581"/>
      <c r="C306" s="583"/>
      <c r="D306" s="174" t="s">
        <v>28</v>
      </c>
      <c r="E306" s="210"/>
      <c r="F306" s="192"/>
      <c r="G306" s="192"/>
      <c r="H306" s="192"/>
      <c r="I306" s="192"/>
      <c r="J306" s="192"/>
      <c r="K306" s="192"/>
      <c r="L306" s="194">
        <f>SUM(F306:K306)</f>
        <v>0</v>
      </c>
      <c r="M306" s="194">
        <f>L306/6</f>
        <v>0</v>
      </c>
      <c r="N306" s="192"/>
      <c r="O306" s="192"/>
      <c r="P306" s="192"/>
      <c r="Q306" s="192"/>
      <c r="R306" s="192"/>
      <c r="S306" s="192"/>
      <c r="T306" s="194">
        <f>SUM(N306:S306)</f>
        <v>0</v>
      </c>
      <c r="U306" s="194">
        <f>T306+L306</f>
        <v>0</v>
      </c>
      <c r="V306" s="171"/>
      <c r="W306" s="193">
        <f>V306-U306</f>
        <v>0</v>
      </c>
      <c r="Z306" s="297"/>
    </row>
    <row r="307" spans="1:26" s="185" customFormat="1" ht="18" hidden="1" customHeight="1">
      <c r="A307" s="610"/>
      <c r="B307" s="581"/>
      <c r="C307" s="583"/>
      <c r="D307" s="178" t="s">
        <v>106</v>
      </c>
      <c r="E307" s="179"/>
      <c r="F307" s="179"/>
      <c r="G307" s="179"/>
      <c r="H307" s="179"/>
      <c r="I307" s="179"/>
      <c r="J307" s="179"/>
      <c r="K307" s="179"/>
      <c r="L307" s="215">
        <f>SUM(F307:K307)</f>
        <v>0</v>
      </c>
      <c r="M307" s="215">
        <f>L307/6</f>
        <v>0</v>
      </c>
      <c r="N307" s="179"/>
      <c r="O307" s="179"/>
      <c r="P307" s="179"/>
      <c r="Q307" s="179"/>
      <c r="R307" s="179"/>
      <c r="S307" s="179">
        <f>S302+R302</f>
        <v>0</v>
      </c>
      <c r="T307" s="215">
        <f>SUM(N307:S307)</f>
        <v>0</v>
      </c>
      <c r="U307" s="215">
        <f>T307+L307</f>
        <v>0</v>
      </c>
      <c r="V307" s="179">
        <f>V302</f>
        <v>0</v>
      </c>
      <c r="W307" s="184">
        <f>V307-U307</f>
        <v>0</v>
      </c>
      <c r="X307" s="185">
        <f>U302-U307</f>
        <v>0</v>
      </c>
      <c r="Z307" s="297"/>
    </row>
    <row r="308" spans="1:26" s="185" customFormat="1" ht="18" hidden="1" customHeight="1">
      <c r="A308" s="610"/>
      <c r="B308" s="581"/>
      <c r="C308" s="583"/>
      <c r="D308" s="187" t="s">
        <v>27</v>
      </c>
      <c r="E308" s="188" t="e">
        <f>E309/E307*1000</f>
        <v>#DIV/0!</v>
      </c>
      <c r="F308" s="188"/>
      <c r="G308" s="188"/>
      <c r="H308" s="188"/>
      <c r="I308" s="188"/>
      <c r="J308" s="188"/>
      <c r="K308" s="188"/>
      <c r="L308" s="188" t="e">
        <f>L309/L307*1000</f>
        <v>#DIV/0!</v>
      </c>
      <c r="M308" s="188" t="e">
        <f>M309/M307*1000</f>
        <v>#DIV/0!</v>
      </c>
      <c r="N308" s="188"/>
      <c r="O308" s="188"/>
      <c r="P308" s="188"/>
      <c r="Q308" s="188"/>
      <c r="R308" s="188"/>
      <c r="S308" s="188"/>
      <c r="T308" s="188" t="e">
        <f>T309/T307*1000</f>
        <v>#DIV/0!</v>
      </c>
      <c r="U308" s="188" t="e">
        <f>U309/U307*1000</f>
        <v>#DIV/0!</v>
      </c>
      <c r="V308" s="218" t="e">
        <f>V309/V307*1000</f>
        <v>#DIV/0!</v>
      </c>
      <c r="W308" s="189" t="e">
        <f>W309/W307*1000</f>
        <v>#DIV/0!</v>
      </c>
      <c r="Z308" s="297"/>
    </row>
    <row r="309" spans="1:26" s="176" customFormat="1" ht="18" hidden="1" customHeight="1">
      <c r="A309" s="610"/>
      <c r="B309" s="581"/>
      <c r="C309" s="583"/>
      <c r="D309" s="198" t="s">
        <v>25</v>
      </c>
      <c r="E309" s="220"/>
      <c r="F309" s="199">
        <f t="shared" ref="F309:K309" si="328">F307*F308/1000</f>
        <v>0</v>
      </c>
      <c r="G309" s="199">
        <f t="shared" si="328"/>
        <v>0</v>
      </c>
      <c r="H309" s="199">
        <f t="shared" si="328"/>
        <v>0</v>
      </c>
      <c r="I309" s="199">
        <f t="shared" si="328"/>
        <v>0</v>
      </c>
      <c r="J309" s="199">
        <f t="shared" si="328"/>
        <v>0</v>
      </c>
      <c r="K309" s="199">
        <f t="shared" si="328"/>
        <v>0</v>
      </c>
      <c r="L309" s="199">
        <f>SUM(F309:K309)</f>
        <v>0</v>
      </c>
      <c r="M309" s="199">
        <f>L309/6</f>
        <v>0</v>
      </c>
      <c r="N309" s="199">
        <f t="shared" ref="N309:S309" si="329">N307*N308/1000</f>
        <v>0</v>
      </c>
      <c r="O309" s="199">
        <f t="shared" si="329"/>
        <v>0</v>
      </c>
      <c r="P309" s="199">
        <f t="shared" si="329"/>
        <v>0</v>
      </c>
      <c r="Q309" s="199">
        <f t="shared" si="329"/>
        <v>0</v>
      </c>
      <c r="R309" s="199">
        <f t="shared" si="329"/>
        <v>0</v>
      </c>
      <c r="S309" s="199">
        <f t="shared" si="329"/>
        <v>0</v>
      </c>
      <c r="T309" s="199">
        <f>SUM(N309:S309)</f>
        <v>0</v>
      </c>
      <c r="U309" s="199">
        <f>T309+L309</f>
        <v>0</v>
      </c>
      <c r="V309" s="199">
        <f>V304</f>
        <v>0</v>
      </c>
      <c r="W309" s="221">
        <f>V309-U309</f>
        <v>0</v>
      </c>
      <c r="X309" s="176">
        <f>U304-U309</f>
        <v>0</v>
      </c>
      <c r="Z309" s="300"/>
    </row>
    <row r="310" spans="1:26" s="176" customFormat="1" ht="18" hidden="1" customHeight="1">
      <c r="A310" s="610"/>
      <c r="B310" s="581"/>
      <c r="C310" s="583"/>
      <c r="D310" s="201" t="s">
        <v>55</v>
      </c>
      <c r="E310" s="220"/>
      <c r="F310" s="199"/>
      <c r="G310" s="199"/>
      <c r="H310" s="199"/>
      <c r="I310" s="199"/>
      <c r="J310" s="199"/>
      <c r="K310" s="199"/>
      <c r="L310" s="199">
        <f>SUM(F310:K310)</f>
        <v>0</v>
      </c>
      <c r="M310" s="199">
        <f>L310/6</f>
        <v>0</v>
      </c>
      <c r="N310" s="199"/>
      <c r="O310" s="199"/>
      <c r="P310" s="199"/>
      <c r="Q310" s="199"/>
      <c r="R310" s="199"/>
      <c r="S310" s="199"/>
      <c r="T310" s="199">
        <f>SUM(N310:S310)</f>
        <v>0</v>
      </c>
      <c r="U310" s="199">
        <f>T310+L310</f>
        <v>0</v>
      </c>
      <c r="V310" s="199">
        <f>V305</f>
        <v>0</v>
      </c>
      <c r="W310" s="221">
        <f>V310-U310</f>
        <v>0</v>
      </c>
      <c r="X310" s="176">
        <f>U305-U310</f>
        <v>0</v>
      </c>
      <c r="Z310" s="300"/>
    </row>
    <row r="311" spans="1:26" s="176" customFormat="1" ht="18" hidden="1" customHeight="1">
      <c r="A311" s="610"/>
      <c r="B311" s="581"/>
      <c r="C311" s="583"/>
      <c r="D311" s="201" t="s">
        <v>24</v>
      </c>
      <c r="E311" s="220"/>
      <c r="F311" s="199">
        <f t="shared" ref="F311:K311" si="330">F309-F310</f>
        <v>0</v>
      </c>
      <c r="G311" s="199">
        <f t="shared" si="330"/>
        <v>0</v>
      </c>
      <c r="H311" s="199">
        <f t="shared" si="330"/>
        <v>0</v>
      </c>
      <c r="I311" s="199">
        <f t="shared" si="330"/>
        <v>0</v>
      </c>
      <c r="J311" s="199">
        <f t="shared" si="330"/>
        <v>0</v>
      </c>
      <c r="K311" s="199">
        <f t="shared" si="330"/>
        <v>0</v>
      </c>
      <c r="L311" s="199">
        <f>SUM(F311:K311)</f>
        <v>0</v>
      </c>
      <c r="M311" s="199">
        <f>L311/6</f>
        <v>0</v>
      </c>
      <c r="N311" s="199">
        <f t="shared" ref="N311:S311" si="331">N309-N310</f>
        <v>0</v>
      </c>
      <c r="O311" s="199">
        <f t="shared" si="331"/>
        <v>0</v>
      </c>
      <c r="P311" s="199">
        <f t="shared" si="331"/>
        <v>0</v>
      </c>
      <c r="Q311" s="199">
        <f t="shared" si="331"/>
        <v>0</v>
      </c>
      <c r="R311" s="199">
        <f t="shared" si="331"/>
        <v>0</v>
      </c>
      <c r="S311" s="199">
        <f t="shared" si="331"/>
        <v>0</v>
      </c>
      <c r="T311" s="199">
        <f>SUM(N311:S311)</f>
        <v>0</v>
      </c>
      <c r="U311" s="199">
        <f>T311+L311</f>
        <v>0</v>
      </c>
      <c r="V311" s="199">
        <f>V306</f>
        <v>0</v>
      </c>
      <c r="W311" s="221">
        <f>V311-U311</f>
        <v>0</v>
      </c>
      <c r="X311" s="176">
        <f>U306-U311</f>
        <v>0</v>
      </c>
      <c r="Z311" s="300"/>
    </row>
    <row r="312" spans="1:26" s="205" customFormat="1" ht="18" hidden="1" customHeight="1">
      <c r="A312" s="610"/>
      <c r="B312" s="581"/>
      <c r="C312" s="583"/>
      <c r="D312" s="202" t="s">
        <v>29</v>
      </c>
      <c r="E312" s="203"/>
      <c r="F312" s="203">
        <f t="shared" ref="F312:K312" si="332">F306</f>
        <v>0</v>
      </c>
      <c r="G312" s="203">
        <f t="shared" si="332"/>
        <v>0</v>
      </c>
      <c r="H312" s="203">
        <f t="shared" si="332"/>
        <v>0</v>
      </c>
      <c r="I312" s="203">
        <f t="shared" si="332"/>
        <v>0</v>
      </c>
      <c r="J312" s="203">
        <f t="shared" si="332"/>
        <v>0</v>
      </c>
      <c r="K312" s="203">
        <f t="shared" si="332"/>
        <v>0</v>
      </c>
      <c r="L312" s="203">
        <f>SUM(F312:K312)</f>
        <v>0</v>
      </c>
      <c r="M312" s="203">
        <f>L312/6</f>
        <v>0</v>
      </c>
      <c r="N312" s="203">
        <f t="shared" ref="N312:S312" si="333">N306+N305</f>
        <v>0</v>
      </c>
      <c r="O312" s="203">
        <f t="shared" si="333"/>
        <v>0</v>
      </c>
      <c r="P312" s="203">
        <f t="shared" si="333"/>
        <v>0</v>
      </c>
      <c r="Q312" s="203">
        <f t="shared" si="333"/>
        <v>0</v>
      </c>
      <c r="R312" s="203">
        <f t="shared" si="333"/>
        <v>0</v>
      </c>
      <c r="S312" s="203">
        <f t="shared" si="333"/>
        <v>0</v>
      </c>
      <c r="T312" s="203">
        <f>SUM(N312:S312)</f>
        <v>0</v>
      </c>
      <c r="U312" s="203">
        <f>T312+L312</f>
        <v>0</v>
      </c>
      <c r="V312" s="203">
        <f>V309</f>
        <v>0</v>
      </c>
      <c r="W312" s="203">
        <f>V312-U312</f>
        <v>0</v>
      </c>
      <c r="Z312" s="301"/>
    </row>
    <row r="313" spans="1:26" s="205" customFormat="1" ht="18" hidden="1" customHeight="1">
      <c r="A313" s="610"/>
      <c r="B313" s="581"/>
      <c r="C313" s="583"/>
      <c r="D313" s="202" t="s">
        <v>30</v>
      </c>
      <c r="E313" s="203"/>
      <c r="F313" s="203">
        <f t="shared" ref="F313:K313" si="334">F309-F312</f>
        <v>0</v>
      </c>
      <c r="G313" s="203">
        <f t="shared" si="334"/>
        <v>0</v>
      </c>
      <c r="H313" s="203">
        <f t="shared" si="334"/>
        <v>0</v>
      </c>
      <c r="I313" s="203">
        <f t="shared" si="334"/>
        <v>0</v>
      </c>
      <c r="J313" s="203">
        <f t="shared" si="334"/>
        <v>0</v>
      </c>
      <c r="K313" s="203">
        <f t="shared" si="334"/>
        <v>0</v>
      </c>
      <c r="L313" s="203"/>
      <c r="M313" s="203"/>
      <c r="N313" s="203">
        <f t="shared" ref="N313:S313" si="335">N309-N312</f>
        <v>0</v>
      </c>
      <c r="O313" s="203">
        <f t="shared" si="335"/>
        <v>0</v>
      </c>
      <c r="P313" s="203">
        <f t="shared" si="335"/>
        <v>0</v>
      </c>
      <c r="Q313" s="203">
        <f t="shared" si="335"/>
        <v>0</v>
      </c>
      <c r="R313" s="203">
        <f t="shared" si="335"/>
        <v>0</v>
      </c>
      <c r="S313" s="203">
        <f t="shared" si="335"/>
        <v>0</v>
      </c>
      <c r="T313" s="203"/>
      <c r="U313" s="203"/>
      <c r="V313" s="203"/>
      <c r="W313" s="203"/>
      <c r="Z313" s="301"/>
    </row>
    <row r="314" spans="1:26" s="205" customFormat="1" ht="18" hidden="1" customHeight="1">
      <c r="A314" s="610"/>
      <c r="B314" s="581"/>
      <c r="C314" s="584"/>
      <c r="D314" s="202" t="s">
        <v>31</v>
      </c>
      <c r="E314" s="203"/>
      <c r="F314" s="203">
        <f>F313</f>
        <v>0</v>
      </c>
      <c r="G314" s="203">
        <f>G313+F314</f>
        <v>0</v>
      </c>
      <c r="H314" s="203">
        <f>H313+G314</f>
        <v>0</v>
      </c>
      <c r="I314" s="203">
        <f>I313+H314</f>
        <v>0</v>
      </c>
      <c r="J314" s="203">
        <f>J313+I314</f>
        <v>0</v>
      </c>
      <c r="K314" s="203">
        <f>K313+J314</f>
        <v>0</v>
      </c>
      <c r="L314" s="203"/>
      <c r="M314" s="203"/>
      <c r="N314" s="203">
        <f>N313+K314</f>
        <v>0</v>
      </c>
      <c r="O314" s="203">
        <f>O313+N314</f>
        <v>0</v>
      </c>
      <c r="P314" s="203">
        <f>P313+O314</f>
        <v>0</v>
      </c>
      <c r="Q314" s="203">
        <f>Q313+P314</f>
        <v>0</v>
      </c>
      <c r="R314" s="203">
        <f>R313+Q314</f>
        <v>0</v>
      </c>
      <c r="S314" s="203">
        <f>S313+R314</f>
        <v>0</v>
      </c>
      <c r="T314" s="203"/>
      <c r="U314" s="203"/>
      <c r="V314" s="203"/>
      <c r="W314" s="203"/>
      <c r="Z314" s="301"/>
    </row>
    <row r="315" spans="1:26" s="205" customFormat="1" ht="18" hidden="1" customHeight="1">
      <c r="A315" s="610"/>
      <c r="B315" s="581"/>
      <c r="C315" s="582" t="s">
        <v>96</v>
      </c>
      <c r="D315" s="178" t="s">
        <v>93</v>
      </c>
      <c r="E315" s="179"/>
      <c r="F315" s="180"/>
      <c r="G315" s="180"/>
      <c r="H315" s="180"/>
      <c r="I315" s="180"/>
      <c r="J315" s="180"/>
      <c r="K315" s="180"/>
      <c r="L315" s="215">
        <f>SUM(F315:K315)</f>
        <v>0</v>
      </c>
      <c r="M315" s="215">
        <f>L315/6</f>
        <v>0</v>
      </c>
      <c r="N315" s="180"/>
      <c r="O315" s="180"/>
      <c r="P315" s="180"/>
      <c r="Q315" s="180"/>
      <c r="R315" s="180"/>
      <c r="S315" s="180"/>
      <c r="T315" s="215">
        <f>SUM(N315:S315)</f>
        <v>0</v>
      </c>
      <c r="U315" s="226">
        <f>T315+L315</f>
        <v>0</v>
      </c>
      <c r="V315" s="227"/>
      <c r="W315" s="184">
        <f>V315-U315</f>
        <v>0</v>
      </c>
      <c r="Z315" s="301"/>
    </row>
    <row r="316" spans="1:26" s="205" customFormat="1" ht="18" hidden="1" customHeight="1">
      <c r="A316" s="610"/>
      <c r="B316" s="581"/>
      <c r="C316" s="583"/>
      <c r="D316" s="178" t="s">
        <v>95</v>
      </c>
      <c r="E316" s="179"/>
      <c r="F316" s="180"/>
      <c r="G316" s="180"/>
      <c r="H316" s="180"/>
      <c r="I316" s="180"/>
      <c r="J316" s="180"/>
      <c r="K316" s="180"/>
      <c r="L316" s="215">
        <f>SUM(F316:K316)</f>
        <v>0</v>
      </c>
      <c r="M316" s="215">
        <f>L316/6</f>
        <v>0</v>
      </c>
      <c r="N316" s="179"/>
      <c r="O316" s="179"/>
      <c r="P316" s="179"/>
      <c r="Q316" s="179"/>
      <c r="R316" s="179"/>
      <c r="S316" s="179"/>
      <c r="T316" s="215">
        <f>SUM(N316:S316)</f>
        <v>0</v>
      </c>
      <c r="U316" s="226">
        <f>T316+L316</f>
        <v>0</v>
      </c>
      <c r="V316" s="227"/>
      <c r="W316" s="184">
        <f>V316-U316</f>
        <v>0</v>
      </c>
      <c r="Z316" s="301"/>
    </row>
    <row r="317" spans="1:26" s="205" customFormat="1" ht="18" hidden="1" customHeight="1">
      <c r="A317" s="610"/>
      <c r="B317" s="581"/>
      <c r="C317" s="583"/>
      <c r="D317" s="178" t="s">
        <v>105</v>
      </c>
      <c r="E317" s="179"/>
      <c r="F317" s="180"/>
      <c r="G317" s="180"/>
      <c r="H317" s="180"/>
      <c r="I317" s="180"/>
      <c r="J317" s="180"/>
      <c r="K317" s="180"/>
      <c r="L317" s="215">
        <f>SUM(F317:K317)</f>
        <v>0</v>
      </c>
      <c r="M317" s="215">
        <f>L317/6</f>
        <v>0</v>
      </c>
      <c r="N317" s="180"/>
      <c r="O317" s="180"/>
      <c r="P317" s="180"/>
      <c r="Q317" s="180"/>
      <c r="R317" s="180"/>
      <c r="S317" s="179"/>
      <c r="T317" s="215">
        <f>SUM(N317:S317)</f>
        <v>0</v>
      </c>
      <c r="U317" s="226">
        <f>T317+L317</f>
        <v>0</v>
      </c>
      <c r="V317" s="179"/>
      <c r="W317" s="184">
        <f>V317-U317</f>
        <v>0</v>
      </c>
      <c r="Z317" s="301"/>
    </row>
    <row r="318" spans="1:26" s="205" customFormat="1" ht="18" hidden="1" customHeight="1">
      <c r="A318" s="610"/>
      <c r="B318" s="581"/>
      <c r="C318" s="583"/>
      <c r="D318" s="187" t="s">
        <v>27</v>
      </c>
      <c r="E318" s="188"/>
      <c r="F318" s="188"/>
      <c r="G318" s="188"/>
      <c r="H318" s="188"/>
      <c r="I318" s="188"/>
      <c r="J318" s="188"/>
      <c r="K318" s="188"/>
      <c r="L318" s="188" t="e">
        <f>L319/L317*1000</f>
        <v>#DIV/0!</v>
      </c>
      <c r="M318" s="188" t="e">
        <f>M319/M317*1000</f>
        <v>#DIV/0!</v>
      </c>
      <c r="N318" s="188"/>
      <c r="O318" s="188"/>
      <c r="P318" s="188"/>
      <c r="Q318" s="188"/>
      <c r="R318" s="188"/>
      <c r="S318" s="188"/>
      <c r="T318" s="188" t="e">
        <f>T319/T317*1000</f>
        <v>#DIV/0!</v>
      </c>
      <c r="U318" s="188" t="e">
        <f>U319/U317*1000</f>
        <v>#DIV/0!</v>
      </c>
      <c r="V318" s="218" t="e">
        <f>V319/V317*1000</f>
        <v>#DIV/0!</v>
      </c>
      <c r="W318" s="189" t="e">
        <f>W319/W317*1000</f>
        <v>#DIV/0!</v>
      </c>
      <c r="Z318" s="301"/>
    </row>
    <row r="319" spans="1:26" s="205" customFormat="1" ht="18" hidden="1" customHeight="1">
      <c r="A319" s="610"/>
      <c r="B319" s="581"/>
      <c r="C319" s="583"/>
      <c r="D319" s="191" t="s">
        <v>0</v>
      </c>
      <c r="E319" s="192"/>
      <c r="F319" s="192">
        <f t="shared" ref="F319:K319" si="336">F317*F318/1000</f>
        <v>0</v>
      </c>
      <c r="G319" s="192">
        <f t="shared" si="336"/>
        <v>0</v>
      </c>
      <c r="H319" s="192">
        <f t="shared" si="336"/>
        <v>0</v>
      </c>
      <c r="I319" s="192">
        <f t="shared" si="336"/>
        <v>0</v>
      </c>
      <c r="J319" s="192">
        <f t="shared" si="336"/>
        <v>0</v>
      </c>
      <c r="K319" s="192">
        <f t="shared" si="336"/>
        <v>0</v>
      </c>
      <c r="L319" s="194">
        <f>SUM(F319:K319)</f>
        <v>0</v>
      </c>
      <c r="M319" s="194">
        <f>L319/6</f>
        <v>0</v>
      </c>
      <c r="N319" s="192">
        <f t="shared" ref="N319:S319" si="337">N317*N318/1000</f>
        <v>0</v>
      </c>
      <c r="O319" s="192">
        <f t="shared" si="337"/>
        <v>0</v>
      </c>
      <c r="P319" s="192">
        <f t="shared" si="337"/>
        <v>0</v>
      </c>
      <c r="Q319" s="192">
        <f t="shared" si="337"/>
        <v>0</v>
      </c>
      <c r="R319" s="192">
        <f t="shared" si="337"/>
        <v>0</v>
      </c>
      <c r="S319" s="192">
        <f t="shared" si="337"/>
        <v>0</v>
      </c>
      <c r="T319" s="194">
        <f>SUM(N319:S319)</f>
        <v>0</v>
      </c>
      <c r="U319" s="194">
        <f>T319+L319</f>
        <v>0</v>
      </c>
      <c r="V319" s="171">
        <f>V320+V321</f>
        <v>0</v>
      </c>
      <c r="W319" s="193">
        <f>V319-U319</f>
        <v>0</v>
      </c>
      <c r="Z319" s="301"/>
    </row>
    <row r="320" spans="1:26" s="205" customFormat="1" ht="18" hidden="1" customHeight="1">
      <c r="A320" s="610"/>
      <c r="B320" s="581"/>
      <c r="C320" s="583"/>
      <c r="D320" s="174" t="s">
        <v>55</v>
      </c>
      <c r="E320" s="210"/>
      <c r="F320" s="192"/>
      <c r="G320" s="192"/>
      <c r="H320" s="192"/>
      <c r="I320" s="192"/>
      <c r="J320" s="192"/>
      <c r="K320" s="192"/>
      <c r="L320" s="194">
        <f>SUM(F320:K320)</f>
        <v>0</v>
      </c>
      <c r="M320" s="194">
        <f>L320/6</f>
        <v>0</v>
      </c>
      <c r="N320" s="192"/>
      <c r="O320" s="192"/>
      <c r="P320" s="192"/>
      <c r="Q320" s="192"/>
      <c r="R320" s="192"/>
      <c r="S320" s="192"/>
      <c r="T320" s="194">
        <f>SUM(N320:S320)</f>
        <v>0</v>
      </c>
      <c r="U320" s="194">
        <f>T320+L320</f>
        <v>0</v>
      </c>
      <c r="V320" s="171"/>
      <c r="W320" s="193">
        <f>V320-U320</f>
        <v>0</v>
      </c>
      <c r="Z320" s="301"/>
    </row>
    <row r="321" spans="1:26" s="205" customFormat="1" ht="18" hidden="1" customHeight="1">
      <c r="A321" s="610"/>
      <c r="B321" s="581"/>
      <c r="C321" s="583"/>
      <c r="D321" s="174" t="s">
        <v>28</v>
      </c>
      <c r="E321" s="210"/>
      <c r="F321" s="192"/>
      <c r="G321" s="192"/>
      <c r="H321" s="192"/>
      <c r="I321" s="192"/>
      <c r="J321" s="192"/>
      <c r="K321" s="192"/>
      <c r="L321" s="194">
        <f>SUM(F321:K321)</f>
        <v>0</v>
      </c>
      <c r="M321" s="194">
        <f>L321/6</f>
        <v>0</v>
      </c>
      <c r="N321" s="192"/>
      <c r="O321" s="192"/>
      <c r="P321" s="192"/>
      <c r="Q321" s="192"/>
      <c r="R321" s="192"/>
      <c r="S321" s="192"/>
      <c r="T321" s="194">
        <f>SUM(N321:S321)</f>
        <v>0</v>
      </c>
      <c r="U321" s="194">
        <f>T321+L321</f>
        <v>0</v>
      </c>
      <c r="V321" s="171"/>
      <c r="W321" s="193">
        <f>V321-U321</f>
        <v>0</v>
      </c>
      <c r="Z321" s="301"/>
    </row>
    <row r="322" spans="1:26" s="205" customFormat="1" ht="18" hidden="1" customHeight="1">
      <c r="A322" s="610"/>
      <c r="B322" s="581"/>
      <c r="C322" s="583"/>
      <c r="D322" s="178" t="s">
        <v>106</v>
      </c>
      <c r="E322" s="179"/>
      <c r="F322" s="179"/>
      <c r="G322" s="179"/>
      <c r="H322" s="179"/>
      <c r="I322" s="179"/>
      <c r="J322" s="179"/>
      <c r="K322" s="179"/>
      <c r="L322" s="215">
        <f>SUM(F322:K322)</f>
        <v>0</v>
      </c>
      <c r="M322" s="215">
        <f>L322/6</f>
        <v>0</v>
      </c>
      <c r="N322" s="179"/>
      <c r="O322" s="179"/>
      <c r="P322" s="179"/>
      <c r="Q322" s="179"/>
      <c r="R322" s="179"/>
      <c r="S322" s="179"/>
      <c r="T322" s="215">
        <f>SUM(N322:S322)</f>
        <v>0</v>
      </c>
      <c r="U322" s="215">
        <f>T322+L322</f>
        <v>0</v>
      </c>
      <c r="V322" s="179">
        <f>V317</f>
        <v>0</v>
      </c>
      <c r="W322" s="184">
        <f>V322-U322</f>
        <v>0</v>
      </c>
      <c r="X322" s="185">
        <f>U317-U322</f>
        <v>0</v>
      </c>
      <c r="Z322" s="301"/>
    </row>
    <row r="323" spans="1:26" s="205" customFormat="1" ht="18" hidden="1" customHeight="1">
      <c r="A323" s="610"/>
      <c r="B323" s="581"/>
      <c r="C323" s="583"/>
      <c r="D323" s="187" t="s">
        <v>27</v>
      </c>
      <c r="E323" s="188" t="e">
        <f>E324/E322*1000</f>
        <v>#DIV/0!</v>
      </c>
      <c r="F323" s="188"/>
      <c r="G323" s="188"/>
      <c r="H323" s="188"/>
      <c r="I323" s="188"/>
      <c r="J323" s="188"/>
      <c r="K323" s="188"/>
      <c r="L323" s="188" t="e">
        <f>L324/L322*1000</f>
        <v>#DIV/0!</v>
      </c>
      <c r="M323" s="188" t="e">
        <f>M324/M322*1000</f>
        <v>#DIV/0!</v>
      </c>
      <c r="N323" s="188"/>
      <c r="O323" s="188"/>
      <c r="P323" s="188"/>
      <c r="Q323" s="188"/>
      <c r="R323" s="188"/>
      <c r="S323" s="188"/>
      <c r="T323" s="188" t="e">
        <f>T324/T322*1000</f>
        <v>#DIV/0!</v>
      </c>
      <c r="U323" s="188" t="e">
        <f>U324/U322*1000</f>
        <v>#DIV/0!</v>
      </c>
      <c r="V323" s="218" t="e">
        <f>V324/V322*1000</f>
        <v>#DIV/0!</v>
      </c>
      <c r="W323" s="189" t="e">
        <f>W324/W322*1000</f>
        <v>#DIV/0!</v>
      </c>
      <c r="X323" s="185"/>
      <c r="Z323" s="301"/>
    </row>
    <row r="324" spans="1:26" s="205" customFormat="1" ht="18" hidden="1" customHeight="1">
      <c r="A324" s="610"/>
      <c r="B324" s="581"/>
      <c r="C324" s="583"/>
      <c r="D324" s="198" t="s">
        <v>25</v>
      </c>
      <c r="E324" s="220"/>
      <c r="F324" s="199">
        <f t="shared" ref="F324:K324" si="338">F322*F323/1000</f>
        <v>0</v>
      </c>
      <c r="G324" s="199">
        <f t="shared" si="338"/>
        <v>0</v>
      </c>
      <c r="H324" s="199">
        <f t="shared" si="338"/>
        <v>0</v>
      </c>
      <c r="I324" s="199">
        <f t="shared" si="338"/>
        <v>0</v>
      </c>
      <c r="J324" s="199">
        <f t="shared" si="338"/>
        <v>0</v>
      </c>
      <c r="K324" s="199">
        <f t="shared" si="338"/>
        <v>0</v>
      </c>
      <c r="L324" s="199">
        <f>SUM(F324:K324)</f>
        <v>0</v>
      </c>
      <c r="M324" s="199">
        <f>L324/6</f>
        <v>0</v>
      </c>
      <c r="N324" s="199">
        <f t="shared" ref="N324:S324" si="339">N322*N323/1000</f>
        <v>0</v>
      </c>
      <c r="O324" s="199">
        <f t="shared" si="339"/>
        <v>0</v>
      </c>
      <c r="P324" s="199">
        <f t="shared" si="339"/>
        <v>0</v>
      </c>
      <c r="Q324" s="199">
        <f t="shared" si="339"/>
        <v>0</v>
      </c>
      <c r="R324" s="199">
        <f t="shared" si="339"/>
        <v>0</v>
      </c>
      <c r="S324" s="199">
        <f t="shared" si="339"/>
        <v>0</v>
      </c>
      <c r="T324" s="199">
        <f>SUM(N324:S324)</f>
        <v>0</v>
      </c>
      <c r="U324" s="199">
        <f>T324+L324</f>
        <v>0</v>
      </c>
      <c r="V324" s="199">
        <f>V319</f>
        <v>0</v>
      </c>
      <c r="W324" s="221">
        <f>V324-U324</f>
        <v>0</v>
      </c>
      <c r="X324" s="176">
        <f>U319-U324</f>
        <v>0</v>
      </c>
      <c r="Z324" s="301"/>
    </row>
    <row r="325" spans="1:26" s="205" customFormat="1" ht="18" hidden="1" customHeight="1">
      <c r="A325" s="610"/>
      <c r="B325" s="581"/>
      <c r="C325" s="583"/>
      <c r="D325" s="201" t="s">
        <v>55</v>
      </c>
      <c r="E325" s="220"/>
      <c r="F325" s="199"/>
      <c r="G325" s="199"/>
      <c r="H325" s="199"/>
      <c r="I325" s="199"/>
      <c r="J325" s="199"/>
      <c r="K325" s="199"/>
      <c r="L325" s="199">
        <f>SUM(F325:K325)</f>
        <v>0</v>
      </c>
      <c r="M325" s="199">
        <f>L325/6</f>
        <v>0</v>
      </c>
      <c r="N325" s="199"/>
      <c r="O325" s="199"/>
      <c r="P325" s="199"/>
      <c r="Q325" s="199"/>
      <c r="R325" s="199"/>
      <c r="S325" s="199"/>
      <c r="T325" s="199">
        <f>SUM(N325:S325)</f>
        <v>0</v>
      </c>
      <c r="U325" s="199">
        <f>T325+L325</f>
        <v>0</v>
      </c>
      <c r="V325" s="199">
        <f>V320</f>
        <v>0</v>
      </c>
      <c r="W325" s="221">
        <f>V325-U325</f>
        <v>0</v>
      </c>
      <c r="X325" s="176">
        <f>U320-U325</f>
        <v>0</v>
      </c>
      <c r="Z325" s="301"/>
    </row>
    <row r="326" spans="1:26" s="205" customFormat="1" ht="18" hidden="1" customHeight="1">
      <c r="A326" s="610"/>
      <c r="B326" s="581"/>
      <c r="C326" s="583"/>
      <c r="D326" s="201" t="s">
        <v>24</v>
      </c>
      <c r="E326" s="220"/>
      <c r="F326" s="199">
        <f t="shared" ref="F326:K326" si="340">F324-F325</f>
        <v>0</v>
      </c>
      <c r="G326" s="199">
        <f t="shared" si="340"/>
        <v>0</v>
      </c>
      <c r="H326" s="199">
        <f t="shared" si="340"/>
        <v>0</v>
      </c>
      <c r="I326" s="199">
        <f t="shared" si="340"/>
        <v>0</v>
      </c>
      <c r="J326" s="199">
        <f t="shared" si="340"/>
        <v>0</v>
      </c>
      <c r="K326" s="199">
        <f t="shared" si="340"/>
        <v>0</v>
      </c>
      <c r="L326" s="199">
        <f>SUM(F326:K326)</f>
        <v>0</v>
      </c>
      <c r="M326" s="199">
        <f>L326/6</f>
        <v>0</v>
      </c>
      <c r="N326" s="199">
        <f t="shared" ref="N326:S326" si="341">N324-N325</f>
        <v>0</v>
      </c>
      <c r="O326" s="199">
        <f t="shared" si="341"/>
        <v>0</v>
      </c>
      <c r="P326" s="199">
        <f t="shared" si="341"/>
        <v>0</v>
      </c>
      <c r="Q326" s="199">
        <f t="shared" si="341"/>
        <v>0</v>
      </c>
      <c r="R326" s="199">
        <f t="shared" si="341"/>
        <v>0</v>
      </c>
      <c r="S326" s="199">
        <f t="shared" si="341"/>
        <v>0</v>
      </c>
      <c r="T326" s="199">
        <f>SUM(N326:S326)</f>
        <v>0</v>
      </c>
      <c r="U326" s="199">
        <f>T326+L326</f>
        <v>0</v>
      </c>
      <c r="V326" s="199">
        <f>V321</f>
        <v>0</v>
      </c>
      <c r="W326" s="221">
        <f>V326-U326</f>
        <v>0</v>
      </c>
      <c r="X326" s="176">
        <f>U321-U326</f>
        <v>0</v>
      </c>
      <c r="Z326" s="301"/>
    </row>
    <row r="327" spans="1:26" s="205" customFormat="1" ht="18" hidden="1" customHeight="1">
      <c r="A327" s="610"/>
      <c r="B327" s="581"/>
      <c r="C327" s="583"/>
      <c r="D327" s="202" t="s">
        <v>29</v>
      </c>
      <c r="E327" s="203"/>
      <c r="F327" s="203">
        <f t="shared" ref="F327:K327" si="342">F321</f>
        <v>0</v>
      </c>
      <c r="G327" s="203">
        <f t="shared" si="342"/>
        <v>0</v>
      </c>
      <c r="H327" s="203">
        <f t="shared" si="342"/>
        <v>0</v>
      </c>
      <c r="I327" s="203">
        <f t="shared" si="342"/>
        <v>0</v>
      </c>
      <c r="J327" s="203">
        <f t="shared" si="342"/>
        <v>0</v>
      </c>
      <c r="K327" s="203">
        <f t="shared" si="342"/>
        <v>0</v>
      </c>
      <c r="L327" s="203">
        <f>SUM(F327:K327)</f>
        <v>0</v>
      </c>
      <c r="M327" s="203">
        <f>L327/6</f>
        <v>0</v>
      </c>
      <c r="N327" s="203">
        <f t="shared" ref="N327:S327" si="343">N321+N320</f>
        <v>0</v>
      </c>
      <c r="O327" s="203">
        <f t="shared" si="343"/>
        <v>0</v>
      </c>
      <c r="P327" s="203">
        <f t="shared" si="343"/>
        <v>0</v>
      </c>
      <c r="Q327" s="203">
        <f t="shared" si="343"/>
        <v>0</v>
      </c>
      <c r="R327" s="203">
        <f t="shared" si="343"/>
        <v>0</v>
      </c>
      <c r="S327" s="203">
        <f t="shared" si="343"/>
        <v>0</v>
      </c>
      <c r="T327" s="203">
        <f>SUM(N327:S327)</f>
        <v>0</v>
      </c>
      <c r="U327" s="203">
        <f>T327+L327</f>
        <v>0</v>
      </c>
      <c r="V327" s="203">
        <f>V324</f>
        <v>0</v>
      </c>
      <c r="W327" s="203">
        <f>V327-U327</f>
        <v>0</v>
      </c>
      <c r="Z327" s="301"/>
    </row>
    <row r="328" spans="1:26" s="205" customFormat="1" ht="18" hidden="1" customHeight="1">
      <c r="A328" s="610"/>
      <c r="B328" s="581"/>
      <c r="C328" s="583"/>
      <c r="D328" s="202" t="s">
        <v>30</v>
      </c>
      <c r="E328" s="203"/>
      <c r="F328" s="203">
        <f t="shared" ref="F328:K328" si="344">F324-F327</f>
        <v>0</v>
      </c>
      <c r="G328" s="203">
        <f t="shared" si="344"/>
        <v>0</v>
      </c>
      <c r="H328" s="203">
        <f t="shared" si="344"/>
        <v>0</v>
      </c>
      <c r="I328" s="203">
        <f t="shared" si="344"/>
        <v>0</v>
      </c>
      <c r="J328" s="203">
        <f t="shared" si="344"/>
        <v>0</v>
      </c>
      <c r="K328" s="203">
        <f t="shared" si="344"/>
        <v>0</v>
      </c>
      <c r="L328" s="203"/>
      <c r="M328" s="203"/>
      <c r="N328" s="203">
        <f t="shared" ref="N328:S328" si="345">N324-N327</f>
        <v>0</v>
      </c>
      <c r="O328" s="203">
        <f t="shared" si="345"/>
        <v>0</v>
      </c>
      <c r="P328" s="203">
        <f t="shared" si="345"/>
        <v>0</v>
      </c>
      <c r="Q328" s="203">
        <f t="shared" si="345"/>
        <v>0</v>
      </c>
      <c r="R328" s="203">
        <f t="shared" si="345"/>
        <v>0</v>
      </c>
      <c r="S328" s="203">
        <f t="shared" si="345"/>
        <v>0</v>
      </c>
      <c r="T328" s="203"/>
      <c r="U328" s="203"/>
      <c r="V328" s="203"/>
      <c r="W328" s="203"/>
      <c r="Z328" s="301"/>
    </row>
    <row r="329" spans="1:26" s="205" customFormat="1" ht="18" hidden="1" customHeight="1">
      <c r="A329" s="611"/>
      <c r="B329" s="581"/>
      <c r="C329" s="584"/>
      <c r="D329" s="202" t="s">
        <v>31</v>
      </c>
      <c r="E329" s="203"/>
      <c r="F329" s="203">
        <f>F328</f>
        <v>0</v>
      </c>
      <c r="G329" s="203">
        <f>G328+F329</f>
        <v>0</v>
      </c>
      <c r="H329" s="203">
        <f>H328+G329</f>
        <v>0</v>
      </c>
      <c r="I329" s="203">
        <f>I328+H329</f>
        <v>0</v>
      </c>
      <c r="J329" s="203">
        <f>J328+I329</f>
        <v>0</v>
      </c>
      <c r="K329" s="203">
        <f>K328+J329</f>
        <v>0</v>
      </c>
      <c r="L329" s="203"/>
      <c r="M329" s="203"/>
      <c r="N329" s="203">
        <f>N328+K329</f>
        <v>0</v>
      </c>
      <c r="O329" s="203">
        <f>O328+N329</f>
        <v>0</v>
      </c>
      <c r="P329" s="203">
        <f>P328+O329</f>
        <v>0</v>
      </c>
      <c r="Q329" s="203">
        <f>Q328+P329</f>
        <v>0</v>
      </c>
      <c r="R329" s="203">
        <f>R328+Q329</f>
        <v>0</v>
      </c>
      <c r="S329" s="203">
        <f>S328+R329</f>
        <v>0</v>
      </c>
      <c r="T329" s="203"/>
      <c r="U329" s="203"/>
      <c r="V329" s="203"/>
      <c r="W329" s="203"/>
      <c r="Z329" s="301"/>
    </row>
    <row r="330" spans="1:26" s="186" customFormat="1" ht="18" customHeight="1">
      <c r="A330" s="591">
        <v>2272</v>
      </c>
      <c r="B330" s="659" t="s">
        <v>34</v>
      </c>
      <c r="C330" s="660"/>
      <c r="D330" s="178" t="str">
        <f>серпень!D253</f>
        <v>факт. нат.п-ки 2023</v>
      </c>
      <c r="E330" s="179"/>
      <c r="F330" s="180">
        <f t="shared" ref="F330:K332" si="346">F347+F409</f>
        <v>0</v>
      </c>
      <c r="G330" s="180">
        <f t="shared" si="346"/>
        <v>376</v>
      </c>
      <c r="H330" s="180">
        <f t="shared" si="346"/>
        <v>258</v>
      </c>
      <c r="I330" s="180">
        <f t="shared" si="346"/>
        <v>332</v>
      </c>
      <c r="J330" s="180">
        <f t="shared" si="346"/>
        <v>262</v>
      </c>
      <c r="K330" s="180">
        <f t="shared" si="346"/>
        <v>329.8</v>
      </c>
      <c r="L330" s="215">
        <f>SUM(F330:K330)</f>
        <v>1557.8</v>
      </c>
      <c r="M330" s="215">
        <f>L330/6</f>
        <v>259.60000000000002</v>
      </c>
      <c r="N330" s="180">
        <f t="shared" ref="N330:S332" si="347">N347+N409</f>
        <v>293.39999999999998</v>
      </c>
      <c r="O330" s="180">
        <f t="shared" si="347"/>
        <v>340</v>
      </c>
      <c r="P330" s="179">
        <f t="shared" si="347"/>
        <v>264.89999999999998</v>
      </c>
      <c r="Q330" s="180">
        <f t="shared" si="347"/>
        <v>290.8</v>
      </c>
      <c r="R330" s="180">
        <f t="shared" si="347"/>
        <v>407.7</v>
      </c>
      <c r="S330" s="180">
        <f t="shared" si="347"/>
        <v>337.7</v>
      </c>
      <c r="T330" s="215">
        <f>SUM(N330:S330)</f>
        <v>1934.5</v>
      </c>
      <c r="U330" s="215">
        <f>T330+L330</f>
        <v>3492.3</v>
      </c>
      <c r="V330" s="229">
        <f>V347+V409</f>
        <v>3492.3</v>
      </c>
      <c r="W330" s="184"/>
      <c r="X330" s="185"/>
      <c r="Z330" s="297"/>
    </row>
    <row r="331" spans="1:26" s="186" customFormat="1" ht="18" customHeight="1">
      <c r="A331" s="592"/>
      <c r="B331" s="661"/>
      <c r="C331" s="662"/>
      <c r="D331" s="178" t="str">
        <f>серпень!D254</f>
        <v>факт. нат.п-ки 2024</v>
      </c>
      <c r="E331" s="179"/>
      <c r="F331" s="180">
        <f t="shared" si="346"/>
        <v>66</v>
      </c>
      <c r="G331" s="180">
        <f t="shared" si="346"/>
        <v>198.3</v>
      </c>
      <c r="H331" s="180">
        <f t="shared" si="346"/>
        <v>259</v>
      </c>
      <c r="I331" s="180">
        <f t="shared" si="346"/>
        <v>329.3</v>
      </c>
      <c r="J331" s="180">
        <f t="shared" si="346"/>
        <v>361.3</v>
      </c>
      <c r="K331" s="180">
        <f t="shared" si="346"/>
        <v>415.1</v>
      </c>
      <c r="L331" s="215">
        <f>SUM(F331:K331)</f>
        <v>1629</v>
      </c>
      <c r="M331" s="215">
        <f>L331/6</f>
        <v>271.5</v>
      </c>
      <c r="N331" s="180">
        <f t="shared" si="347"/>
        <v>342</v>
      </c>
      <c r="O331" s="180">
        <f t="shared" si="347"/>
        <v>400</v>
      </c>
      <c r="P331" s="179">
        <f t="shared" si="347"/>
        <v>427</v>
      </c>
      <c r="Q331" s="180">
        <f t="shared" si="347"/>
        <v>378</v>
      </c>
      <c r="R331" s="180">
        <f t="shared" si="347"/>
        <v>407.7</v>
      </c>
      <c r="S331" s="180">
        <f t="shared" si="347"/>
        <v>424.9</v>
      </c>
      <c r="T331" s="215">
        <f>SUM(N331:S331)</f>
        <v>2379.6</v>
      </c>
      <c r="U331" s="215">
        <f>T331+L331</f>
        <v>4008.6</v>
      </c>
      <c r="V331" s="229">
        <f>V348+V410</f>
        <v>4008.6</v>
      </c>
      <c r="W331" s="184"/>
      <c r="X331" s="185"/>
      <c r="Z331" s="297"/>
    </row>
    <row r="332" spans="1:26" s="186" customFormat="1" ht="18" customHeight="1">
      <c r="A332" s="592"/>
      <c r="B332" s="661"/>
      <c r="C332" s="662"/>
      <c r="D332" s="178" t="str">
        <f>серпень!D255</f>
        <v>факт. нат.п-ки 2025</v>
      </c>
      <c r="E332" s="179"/>
      <c r="F332" s="180">
        <f t="shared" si="346"/>
        <v>172.5</v>
      </c>
      <c r="G332" s="180">
        <f t="shared" si="346"/>
        <v>324.60000000000002</v>
      </c>
      <c r="H332" s="180">
        <f t="shared" si="346"/>
        <v>300</v>
      </c>
      <c r="I332" s="180">
        <f t="shared" si="346"/>
        <v>303.89999999999998</v>
      </c>
      <c r="J332" s="180">
        <f t="shared" si="346"/>
        <v>329.2</v>
      </c>
      <c r="K332" s="180">
        <f t="shared" si="346"/>
        <v>354.1</v>
      </c>
      <c r="L332" s="230">
        <f>SUM(F332:K332)</f>
        <v>1784.3</v>
      </c>
      <c r="M332" s="215">
        <f>L332/6</f>
        <v>297.39999999999998</v>
      </c>
      <c r="N332" s="180">
        <f t="shared" si="347"/>
        <v>45.6</v>
      </c>
      <c r="O332" s="180">
        <f t="shared" si="347"/>
        <v>354.9</v>
      </c>
      <c r="P332" s="180">
        <f t="shared" si="347"/>
        <v>427</v>
      </c>
      <c r="Q332" s="180">
        <f t="shared" si="347"/>
        <v>378</v>
      </c>
      <c r="R332" s="180">
        <f t="shared" si="347"/>
        <v>407.7</v>
      </c>
      <c r="S332" s="180">
        <f t="shared" si="347"/>
        <v>316.2</v>
      </c>
      <c r="T332" s="215">
        <f>SUM(N332:S332)</f>
        <v>1929.4</v>
      </c>
      <c r="U332" s="182">
        <f>T332+L332</f>
        <v>3713.7</v>
      </c>
      <c r="V332" s="229">
        <f>V349+V411</f>
        <v>3899.9</v>
      </c>
      <c r="W332" s="184">
        <f>V332-U332</f>
        <v>186.2</v>
      </c>
      <c r="X332" s="185"/>
      <c r="Z332" s="297"/>
    </row>
    <row r="333" spans="1:26" s="190" customFormat="1" ht="18" customHeight="1">
      <c r="A333" s="592"/>
      <c r="B333" s="661"/>
      <c r="C333" s="662"/>
      <c r="D333" s="187" t="str">
        <f>серпень!D256</f>
        <v>тариф, грн.</v>
      </c>
      <c r="E333" s="188"/>
      <c r="F333" s="188">
        <f t="shared" ref="F333:S333" si="348">F334/F332*1000</f>
        <v>19.768000000000001</v>
      </c>
      <c r="G333" s="188">
        <f t="shared" si="348"/>
        <v>16.596</v>
      </c>
      <c r="H333" s="188">
        <f t="shared" si="348"/>
        <v>18.603000000000002</v>
      </c>
      <c r="I333" s="188">
        <f t="shared" si="348"/>
        <v>18.318999999999999</v>
      </c>
      <c r="J333" s="188">
        <f t="shared" si="348"/>
        <v>18.63</v>
      </c>
      <c r="K333" s="188">
        <f t="shared" si="348"/>
        <v>15.851000000000001</v>
      </c>
      <c r="L333" s="188">
        <f t="shared" si="348"/>
        <v>17.760999999999999</v>
      </c>
      <c r="M333" s="188">
        <f t="shared" si="348"/>
        <v>17.760999999999999</v>
      </c>
      <c r="N333" s="188">
        <f t="shared" si="348"/>
        <v>26.184000000000001</v>
      </c>
      <c r="O333" s="188">
        <f t="shared" si="348"/>
        <v>19.155000000000001</v>
      </c>
      <c r="P333" s="188">
        <f t="shared" si="348"/>
        <v>16.773</v>
      </c>
      <c r="Q333" s="188">
        <f t="shared" si="348"/>
        <v>16.95</v>
      </c>
      <c r="R333" s="188">
        <f t="shared" si="348"/>
        <v>16.917000000000002</v>
      </c>
      <c r="S333" s="188">
        <f t="shared" si="348"/>
        <v>15.677</v>
      </c>
      <c r="T333" s="188">
        <f>T334/T332*1000</f>
        <v>17.318999999999999</v>
      </c>
      <c r="U333" s="188">
        <f>U334/U332*1000</f>
        <v>17.530999999999999</v>
      </c>
      <c r="V333" s="188">
        <f>V334/V332*1000</f>
        <v>16.718</v>
      </c>
      <c r="W333" s="189">
        <f>W334/W332*1000</f>
        <v>0.505</v>
      </c>
      <c r="X333" s="225"/>
      <c r="Z333" s="298"/>
    </row>
    <row r="334" spans="1:26" s="113" customFormat="1" ht="18" customHeight="1">
      <c r="A334" s="670"/>
      <c r="B334" s="661"/>
      <c r="C334" s="662"/>
      <c r="D334" s="191" t="str">
        <f>серпень!D257</f>
        <v>сума, тис.грн.</v>
      </c>
      <c r="E334" s="52"/>
      <c r="F334" s="52">
        <f t="shared" ref="F334:K335" si="349">F351+F413</f>
        <v>3.41</v>
      </c>
      <c r="G334" s="52">
        <f t="shared" si="349"/>
        <v>5.3869999999999996</v>
      </c>
      <c r="H334" s="52">
        <f t="shared" si="349"/>
        <v>5.5810000000000004</v>
      </c>
      <c r="I334" s="52">
        <f t="shared" si="349"/>
        <v>5.5670000000000002</v>
      </c>
      <c r="J334" s="52">
        <f t="shared" si="349"/>
        <v>6.133</v>
      </c>
      <c r="K334" s="52">
        <f t="shared" si="349"/>
        <v>5.6130000000000004</v>
      </c>
      <c r="L334" s="69">
        <f>SUM(F334:K334)</f>
        <v>31.690999999999999</v>
      </c>
      <c r="M334" s="69">
        <f>L334/6</f>
        <v>5.282</v>
      </c>
      <c r="N334" s="52">
        <f t="shared" ref="N334:S335" si="350">N351+N413</f>
        <v>1.194</v>
      </c>
      <c r="O334" s="52">
        <f t="shared" si="350"/>
        <v>6.798</v>
      </c>
      <c r="P334" s="52">
        <f t="shared" si="350"/>
        <v>7.1619999999999999</v>
      </c>
      <c r="Q334" s="52">
        <f t="shared" si="350"/>
        <v>6.407</v>
      </c>
      <c r="R334" s="52">
        <f t="shared" si="350"/>
        <v>6.8970000000000002</v>
      </c>
      <c r="S334" s="52">
        <f t="shared" si="350"/>
        <v>4.9569999999999999</v>
      </c>
      <c r="T334" s="69">
        <f t="shared" ref="T334:T339" si="351">SUM(N334:S334)</f>
        <v>33.414999999999999</v>
      </c>
      <c r="U334" s="69">
        <f t="shared" ref="U334:U339" si="352">T334+L334</f>
        <v>65.105999999999995</v>
      </c>
      <c r="V334" s="52">
        <f t="shared" ref="V334" si="353">V351+V413</f>
        <v>65.2</v>
      </c>
      <c r="W334" s="52">
        <f>V334-U334</f>
        <v>9.4E-2</v>
      </c>
      <c r="Z334" s="305"/>
    </row>
    <row r="335" spans="1:26" s="113" customFormat="1" ht="18" customHeight="1">
      <c r="A335" s="670"/>
      <c r="B335" s="661"/>
      <c r="C335" s="662"/>
      <c r="D335" s="174" t="str">
        <f>серпень!D258</f>
        <v>абоненська плата, тис.грн.</v>
      </c>
      <c r="E335" s="52"/>
      <c r="F335" s="52">
        <f>F352+F414</f>
        <v>0</v>
      </c>
      <c r="G335" s="52">
        <f t="shared" si="349"/>
        <v>0</v>
      </c>
      <c r="H335" s="52">
        <f t="shared" si="349"/>
        <v>0</v>
      </c>
      <c r="I335" s="52">
        <f t="shared" si="349"/>
        <v>0</v>
      </c>
      <c r="J335" s="52">
        <f t="shared" si="349"/>
        <v>0</v>
      </c>
      <c r="K335" s="52">
        <f t="shared" si="349"/>
        <v>0</v>
      </c>
      <c r="L335" s="69">
        <f t="shared" ref="L335:L337" si="354">SUM(F335:K335)</f>
        <v>0</v>
      </c>
      <c r="M335" s="69">
        <f t="shared" ref="M335:M337" si="355">L335/6</f>
        <v>0</v>
      </c>
      <c r="N335" s="52">
        <f t="shared" si="350"/>
        <v>0</v>
      </c>
      <c r="O335" s="52">
        <f t="shared" si="350"/>
        <v>0</v>
      </c>
      <c r="P335" s="52">
        <f t="shared" si="350"/>
        <v>0</v>
      </c>
      <c r="Q335" s="52">
        <f t="shared" si="350"/>
        <v>0</v>
      </c>
      <c r="R335" s="52">
        <f t="shared" si="350"/>
        <v>0</v>
      </c>
      <c r="S335" s="52">
        <f t="shared" si="350"/>
        <v>0</v>
      </c>
      <c r="T335" s="69">
        <f t="shared" si="351"/>
        <v>0</v>
      </c>
      <c r="U335" s="69">
        <f t="shared" si="352"/>
        <v>0</v>
      </c>
      <c r="V335" s="52">
        <f t="shared" ref="V335" si="356">V352+V414</f>
        <v>0</v>
      </c>
      <c r="W335" s="52">
        <f t="shared" ref="W335:W337" si="357">V335-U335</f>
        <v>0</v>
      </c>
      <c r="Z335" s="305"/>
    </row>
    <row r="336" spans="1:26" s="113" customFormat="1" ht="18" customHeight="1">
      <c r="A336" s="670"/>
      <c r="B336" s="661"/>
      <c r="C336" s="662"/>
      <c r="D336" s="174" t="str">
        <f>серпень!D259</f>
        <v>разом сума тис. грн+абонплата</v>
      </c>
      <c r="E336" s="52"/>
      <c r="F336" s="52">
        <f>F334+F335</f>
        <v>3.41</v>
      </c>
      <c r="G336" s="52">
        <f t="shared" ref="G336:K336" si="358">G334+G335</f>
        <v>5.3869999999999996</v>
      </c>
      <c r="H336" s="52">
        <f t="shared" si="358"/>
        <v>5.5810000000000004</v>
      </c>
      <c r="I336" s="52">
        <f t="shared" si="358"/>
        <v>5.5670000000000002</v>
      </c>
      <c r="J336" s="52">
        <f t="shared" si="358"/>
        <v>6.133</v>
      </c>
      <c r="K336" s="52">
        <f t="shared" si="358"/>
        <v>5.6130000000000004</v>
      </c>
      <c r="L336" s="69">
        <f t="shared" si="354"/>
        <v>31.690999999999999</v>
      </c>
      <c r="M336" s="69">
        <f t="shared" si="355"/>
        <v>5.282</v>
      </c>
      <c r="N336" s="52">
        <f>N334+N335</f>
        <v>1.194</v>
      </c>
      <c r="O336" s="52">
        <f t="shared" ref="O336:S336" si="359">O334+O335</f>
        <v>6.798</v>
      </c>
      <c r="P336" s="52">
        <f t="shared" si="359"/>
        <v>7.1619999999999999</v>
      </c>
      <c r="Q336" s="52">
        <f t="shared" si="359"/>
        <v>6.407</v>
      </c>
      <c r="R336" s="52">
        <f t="shared" si="359"/>
        <v>6.8970000000000002</v>
      </c>
      <c r="S336" s="52">
        <f t="shared" si="359"/>
        <v>4.9569999999999999</v>
      </c>
      <c r="T336" s="69">
        <f t="shared" si="351"/>
        <v>33.414999999999999</v>
      </c>
      <c r="U336" s="69">
        <f t="shared" si="352"/>
        <v>65.105999999999995</v>
      </c>
      <c r="V336" s="52">
        <f t="shared" ref="V336" si="360">V334+V335</f>
        <v>65.2</v>
      </c>
      <c r="W336" s="52">
        <f t="shared" si="357"/>
        <v>9.4E-2</v>
      </c>
      <c r="Z336" s="305"/>
    </row>
    <row r="337" spans="1:26" s="113" customFormat="1" ht="18" customHeight="1">
      <c r="A337" s="670"/>
      <c r="B337" s="661"/>
      <c r="C337" s="662"/>
      <c r="D337" s="174" t="str">
        <f>серпень!D260</f>
        <v>дотація</v>
      </c>
      <c r="E337" s="52"/>
      <c r="F337" s="52">
        <f t="shared" ref="F337:K338" si="361">F354+F416</f>
        <v>0</v>
      </c>
      <c r="G337" s="52">
        <f t="shared" si="361"/>
        <v>0</v>
      </c>
      <c r="H337" s="52">
        <f t="shared" si="361"/>
        <v>0</v>
      </c>
      <c r="I337" s="52">
        <f t="shared" si="361"/>
        <v>0</v>
      </c>
      <c r="J337" s="52">
        <f t="shared" si="361"/>
        <v>0</v>
      </c>
      <c r="K337" s="52">
        <f t="shared" si="361"/>
        <v>0</v>
      </c>
      <c r="L337" s="69">
        <f t="shared" si="354"/>
        <v>0</v>
      </c>
      <c r="M337" s="69">
        <f t="shared" si="355"/>
        <v>0</v>
      </c>
      <c r="N337" s="52">
        <f t="shared" ref="N337:S338" si="362">N354+N416</f>
        <v>0</v>
      </c>
      <c r="O337" s="52">
        <f t="shared" si="362"/>
        <v>0</v>
      </c>
      <c r="P337" s="52">
        <f t="shared" si="362"/>
        <v>0</v>
      </c>
      <c r="Q337" s="52">
        <f t="shared" si="362"/>
        <v>0</v>
      </c>
      <c r="R337" s="52">
        <f t="shared" si="362"/>
        <v>0</v>
      </c>
      <c r="S337" s="52">
        <f t="shared" si="362"/>
        <v>0</v>
      </c>
      <c r="T337" s="69">
        <f t="shared" si="351"/>
        <v>0</v>
      </c>
      <c r="U337" s="69">
        <f t="shared" si="352"/>
        <v>0</v>
      </c>
      <c r="V337" s="52">
        <f t="shared" ref="V337" si="363">V354+V416</f>
        <v>0</v>
      </c>
      <c r="W337" s="52">
        <f t="shared" si="357"/>
        <v>0</v>
      </c>
      <c r="Z337" s="305"/>
    </row>
    <row r="338" spans="1:26" s="113" customFormat="1" ht="18" customHeight="1">
      <c r="A338" s="670"/>
      <c r="B338" s="661"/>
      <c r="C338" s="662"/>
      <c r="D338" s="174" t="str">
        <f>серпень!D261</f>
        <v>місцевий (план), тис.грн</v>
      </c>
      <c r="E338" s="52"/>
      <c r="F338" s="52">
        <f t="shared" si="361"/>
        <v>1.1439999999999999</v>
      </c>
      <c r="G338" s="52">
        <f t="shared" si="361"/>
        <v>3.1829999999999998</v>
      </c>
      <c r="H338" s="52">
        <f t="shared" si="361"/>
        <v>10.051</v>
      </c>
      <c r="I338" s="52">
        <f t="shared" si="361"/>
        <v>5.5679999999999996</v>
      </c>
      <c r="J338" s="52">
        <f t="shared" si="361"/>
        <v>6.133</v>
      </c>
      <c r="K338" s="52">
        <f t="shared" si="361"/>
        <v>5.6130000000000004</v>
      </c>
      <c r="L338" s="69">
        <f>SUM(F338:K338)</f>
        <v>31.692</v>
      </c>
      <c r="M338" s="69">
        <f>L338/6</f>
        <v>5.282</v>
      </c>
      <c r="N338" s="52">
        <f t="shared" si="362"/>
        <v>2.444</v>
      </c>
      <c r="O338" s="52">
        <f t="shared" si="362"/>
        <v>4.2789999999999999</v>
      </c>
      <c r="P338" s="52">
        <f t="shared" si="362"/>
        <v>9.0749999999999993</v>
      </c>
      <c r="Q338" s="52">
        <f t="shared" si="362"/>
        <v>6.1879999999999997</v>
      </c>
      <c r="R338" s="52">
        <f t="shared" si="362"/>
        <v>6.6639999999999997</v>
      </c>
      <c r="S338" s="52">
        <f t="shared" si="362"/>
        <v>4.8579999999999997</v>
      </c>
      <c r="T338" s="69">
        <f t="shared" si="351"/>
        <v>33.508000000000003</v>
      </c>
      <c r="U338" s="69">
        <f t="shared" si="352"/>
        <v>65.2</v>
      </c>
      <c r="V338" s="52">
        <f t="shared" ref="V338" si="364">V355+V417</f>
        <v>65.2</v>
      </c>
      <c r="W338" s="52">
        <f>V338-U338</f>
        <v>0</v>
      </c>
      <c r="Z338" s="305"/>
    </row>
    <row r="339" spans="1:26" s="186" customFormat="1" ht="18" customHeight="1">
      <c r="A339" s="592"/>
      <c r="B339" s="661"/>
      <c r="C339" s="662"/>
      <c r="D339" s="178" t="str">
        <f>серпень!D262</f>
        <v>касові нат.п-ки 2025</v>
      </c>
      <c r="E339" s="179">
        <f>E371+E433</f>
        <v>0</v>
      </c>
      <c r="F339" s="179">
        <f t="shared" ref="F339:K339" si="365">F356+F418</f>
        <v>0</v>
      </c>
      <c r="G339" s="179">
        <f t="shared" si="365"/>
        <v>0</v>
      </c>
      <c r="H339" s="179">
        <f t="shared" si="365"/>
        <v>797.1</v>
      </c>
      <c r="I339" s="179">
        <f t="shared" si="365"/>
        <v>303.89999999999998</v>
      </c>
      <c r="J339" s="179">
        <f t="shared" si="365"/>
        <v>329.2</v>
      </c>
      <c r="K339" s="179">
        <f t="shared" si="365"/>
        <v>354.1</v>
      </c>
      <c r="L339" s="231">
        <f>SUM(F339:K339)</f>
        <v>1784.3</v>
      </c>
      <c r="M339" s="215">
        <f>L339/6</f>
        <v>297.39999999999998</v>
      </c>
      <c r="N339" s="179">
        <f t="shared" ref="N339:S339" si="366">N356+N418</f>
        <v>45.6</v>
      </c>
      <c r="O339" s="179">
        <f t="shared" si="366"/>
        <v>207.6</v>
      </c>
      <c r="P339" s="179">
        <f t="shared" si="366"/>
        <v>574.29999999999995</v>
      </c>
      <c r="Q339" s="179">
        <f t="shared" si="366"/>
        <v>378</v>
      </c>
      <c r="R339" s="179">
        <f t="shared" si="366"/>
        <v>407.7</v>
      </c>
      <c r="S339" s="179">
        <f t="shared" si="366"/>
        <v>316.2</v>
      </c>
      <c r="T339" s="215">
        <f t="shared" si="351"/>
        <v>1929.4</v>
      </c>
      <c r="U339" s="215">
        <f t="shared" si="352"/>
        <v>3713.7</v>
      </c>
      <c r="V339" s="232">
        <f>V356+V418</f>
        <v>3899.9</v>
      </c>
      <c r="W339" s="232">
        <f>V339-U339</f>
        <v>186.2</v>
      </c>
      <c r="X339" s="185">
        <f>U332-U339</f>
        <v>0</v>
      </c>
      <c r="Z339" s="297"/>
    </row>
    <row r="340" spans="1:26" s="190" customFormat="1" ht="18" customHeight="1">
      <c r="A340" s="592"/>
      <c r="B340" s="661"/>
      <c r="C340" s="662"/>
      <c r="D340" s="187" t="str">
        <f>серпень!D263</f>
        <v>тариф, грн.</v>
      </c>
      <c r="E340" s="188" t="e">
        <f t="shared" ref="E340:S340" si="367">E341/E339*1000</f>
        <v>#DIV/0!</v>
      </c>
      <c r="F340" s="188" t="e">
        <f t="shared" si="367"/>
        <v>#DIV/0!</v>
      </c>
      <c r="G340" s="188" t="e">
        <f t="shared" si="367"/>
        <v>#DIV/0!</v>
      </c>
      <c r="H340" s="188">
        <f t="shared" si="367"/>
        <v>18.038</v>
      </c>
      <c r="I340" s="188">
        <f t="shared" si="367"/>
        <v>18.321999999999999</v>
      </c>
      <c r="J340" s="188">
        <f t="shared" si="367"/>
        <v>18.626999999999999</v>
      </c>
      <c r="K340" s="188">
        <f t="shared" si="367"/>
        <v>15.846</v>
      </c>
      <c r="L340" s="188">
        <f t="shared" si="367"/>
        <v>17.760999999999999</v>
      </c>
      <c r="M340" s="188">
        <f t="shared" si="367"/>
        <v>17.760999999999999</v>
      </c>
      <c r="N340" s="188">
        <f t="shared" si="367"/>
        <v>26.184000000000001</v>
      </c>
      <c r="O340" s="188">
        <f t="shared" si="367"/>
        <v>14.186</v>
      </c>
      <c r="P340" s="188">
        <f t="shared" si="367"/>
        <v>19.183</v>
      </c>
      <c r="Q340" s="188">
        <f t="shared" si="367"/>
        <v>16.95</v>
      </c>
      <c r="R340" s="188">
        <f t="shared" si="367"/>
        <v>16.917000000000002</v>
      </c>
      <c r="S340" s="188">
        <f t="shared" si="367"/>
        <v>15.67</v>
      </c>
      <c r="T340" s="188">
        <f>T341/T339*1000</f>
        <v>17.318999999999999</v>
      </c>
      <c r="U340" s="188">
        <f>U341/U339*1000</f>
        <v>17.530999999999999</v>
      </c>
      <c r="V340" s="188">
        <f>V341/V339*1000</f>
        <v>16.718</v>
      </c>
      <c r="W340" s="189">
        <f>W341/W339*1000</f>
        <v>0.505</v>
      </c>
      <c r="X340" s="185"/>
      <c r="Z340" s="298"/>
    </row>
    <row r="341" spans="1:26" s="213" customFormat="1" ht="18" customHeight="1">
      <c r="A341" s="592"/>
      <c r="B341" s="661"/>
      <c r="C341" s="662"/>
      <c r="D341" s="198" t="str">
        <f>серпень!D264</f>
        <v>касові видатки, тис.грн.</v>
      </c>
      <c r="E341" s="220">
        <f>E358+E420</f>
        <v>0</v>
      </c>
      <c r="F341" s="199">
        <f t="shared" ref="F341:K341" si="368">F358+F420</f>
        <v>0</v>
      </c>
      <c r="G341" s="199">
        <f t="shared" si="368"/>
        <v>2E-3</v>
      </c>
      <c r="H341" s="199">
        <f t="shared" si="368"/>
        <v>14.378</v>
      </c>
      <c r="I341" s="199">
        <f t="shared" si="368"/>
        <v>5.5679999999999996</v>
      </c>
      <c r="J341" s="199">
        <f t="shared" si="368"/>
        <v>6.1319999999999997</v>
      </c>
      <c r="K341" s="199">
        <f t="shared" si="368"/>
        <v>5.6109999999999998</v>
      </c>
      <c r="L341" s="199">
        <f>SUM(F341:K341)</f>
        <v>31.690999999999999</v>
      </c>
      <c r="M341" s="199">
        <f>L341/6</f>
        <v>5.282</v>
      </c>
      <c r="N341" s="199">
        <f t="shared" ref="N341:S343" si="369">N358+N420</f>
        <v>1.194</v>
      </c>
      <c r="O341" s="199">
        <f t="shared" si="369"/>
        <v>2.9449999999999998</v>
      </c>
      <c r="P341" s="199">
        <f t="shared" si="369"/>
        <v>11.016999999999999</v>
      </c>
      <c r="Q341" s="199">
        <f t="shared" si="369"/>
        <v>6.407</v>
      </c>
      <c r="R341" s="199">
        <f t="shared" si="369"/>
        <v>6.8970000000000002</v>
      </c>
      <c r="S341" s="199">
        <f t="shared" si="369"/>
        <v>4.9550000000000001</v>
      </c>
      <c r="T341" s="199">
        <f>SUM(N341:S341)</f>
        <v>33.414999999999999</v>
      </c>
      <c r="U341" s="199">
        <f>T341+L341</f>
        <v>65.105999999999995</v>
      </c>
      <c r="V341" s="199">
        <f>V358+V420</f>
        <v>65.2</v>
      </c>
      <c r="W341" s="221">
        <f>V341-U341</f>
        <v>9.4E-2</v>
      </c>
      <c r="X341" s="176">
        <f>U334-U341</f>
        <v>0</v>
      </c>
      <c r="Z341" s="296"/>
    </row>
    <row r="342" spans="1:26" s="213" customFormat="1" ht="18" customHeight="1">
      <c r="A342" s="592"/>
      <c r="B342" s="661"/>
      <c r="C342" s="662"/>
      <c r="D342" s="201" t="str">
        <f>серпень!D265</f>
        <v>дотація</v>
      </c>
      <c r="E342" s="220"/>
      <c r="F342" s="199">
        <f t="shared" ref="F342:K343" si="370">F359+F421</f>
        <v>0</v>
      </c>
      <c r="G342" s="199">
        <f t="shared" si="370"/>
        <v>0</v>
      </c>
      <c r="H342" s="199">
        <f t="shared" si="370"/>
        <v>0</v>
      </c>
      <c r="I342" s="199">
        <f t="shared" si="370"/>
        <v>0</v>
      </c>
      <c r="J342" s="199">
        <f t="shared" si="370"/>
        <v>0</v>
      </c>
      <c r="K342" s="199">
        <f t="shared" si="370"/>
        <v>0</v>
      </c>
      <c r="L342" s="199">
        <f>SUM(F342:K342)</f>
        <v>0</v>
      </c>
      <c r="M342" s="199">
        <f>L342/6</f>
        <v>0</v>
      </c>
      <c r="N342" s="199">
        <f t="shared" si="369"/>
        <v>0</v>
      </c>
      <c r="O342" s="199">
        <f t="shared" si="369"/>
        <v>0</v>
      </c>
      <c r="P342" s="199">
        <f t="shared" si="369"/>
        <v>0</v>
      </c>
      <c r="Q342" s="199">
        <f t="shared" si="369"/>
        <v>0</v>
      </c>
      <c r="R342" s="199">
        <f t="shared" si="369"/>
        <v>0</v>
      </c>
      <c r="S342" s="199">
        <f t="shared" si="369"/>
        <v>0</v>
      </c>
      <c r="T342" s="199">
        <f>SUM(N342:S342)</f>
        <v>0</v>
      </c>
      <c r="U342" s="199">
        <f>T342+L342</f>
        <v>0</v>
      </c>
      <c r="V342" s="199">
        <f>V359+V421</f>
        <v>0</v>
      </c>
      <c r="W342" s="221">
        <f>V342-U342</f>
        <v>0</v>
      </c>
      <c r="X342" s="176">
        <f>U337-U342</f>
        <v>0</v>
      </c>
      <c r="Z342" s="296"/>
    </row>
    <row r="343" spans="1:26" s="213" customFormat="1" ht="18" customHeight="1">
      <c r="A343" s="592"/>
      <c r="B343" s="661"/>
      <c r="C343" s="662"/>
      <c r="D343" s="201" t="str">
        <f>серпень!D266</f>
        <v xml:space="preserve">місцевий </v>
      </c>
      <c r="E343" s="199"/>
      <c r="F343" s="199">
        <f t="shared" si="370"/>
        <v>0</v>
      </c>
      <c r="G343" s="199">
        <f t="shared" si="370"/>
        <v>2E-3</v>
      </c>
      <c r="H343" s="199">
        <f t="shared" si="370"/>
        <v>14.378</v>
      </c>
      <c r="I343" s="199">
        <f t="shared" si="370"/>
        <v>5.5679999999999996</v>
      </c>
      <c r="J343" s="199">
        <f t="shared" si="370"/>
        <v>6.1319999999999997</v>
      </c>
      <c r="K343" s="199">
        <f t="shared" si="370"/>
        <v>5.6109999999999998</v>
      </c>
      <c r="L343" s="199">
        <f>SUM(F343:K343)</f>
        <v>31.690999999999999</v>
      </c>
      <c r="M343" s="199">
        <f>L343/6</f>
        <v>5.282</v>
      </c>
      <c r="N343" s="199">
        <f t="shared" si="369"/>
        <v>1.194</v>
      </c>
      <c r="O343" s="199">
        <f t="shared" si="369"/>
        <v>2.9449999999999998</v>
      </c>
      <c r="P343" s="199">
        <f t="shared" si="369"/>
        <v>11.016999999999999</v>
      </c>
      <c r="Q343" s="199">
        <f t="shared" si="369"/>
        <v>6.407</v>
      </c>
      <c r="R343" s="199">
        <f t="shared" si="369"/>
        <v>6.8970000000000002</v>
      </c>
      <c r="S343" s="199">
        <f t="shared" si="369"/>
        <v>4.9550000000000001</v>
      </c>
      <c r="T343" s="199">
        <f>SUM(N343:S343)</f>
        <v>33.414999999999999</v>
      </c>
      <c r="U343" s="199">
        <f>T343+L343</f>
        <v>65.105999999999995</v>
      </c>
      <c r="V343" s="199">
        <f>V360+V422</f>
        <v>65.2</v>
      </c>
      <c r="W343" s="221">
        <f>V343-U343</f>
        <v>9.4E-2</v>
      </c>
      <c r="X343" s="176">
        <f>U338-U343</f>
        <v>9.4E-2</v>
      </c>
      <c r="Z343" s="296"/>
    </row>
    <row r="344" spans="1:26" s="205" customFormat="1" ht="18" customHeight="1">
      <c r="A344" s="592"/>
      <c r="B344" s="661"/>
      <c r="C344" s="662"/>
      <c r="D344" s="202" t="str">
        <f>серпень!D267</f>
        <v>план</v>
      </c>
      <c r="E344" s="203"/>
      <c r="F344" s="203">
        <f t="shared" ref="F344:K344" si="371">F338</f>
        <v>1.1439999999999999</v>
      </c>
      <c r="G344" s="203">
        <f t="shared" si="371"/>
        <v>3.1829999999999998</v>
      </c>
      <c r="H344" s="203">
        <f t="shared" si="371"/>
        <v>10.051</v>
      </c>
      <c r="I344" s="203">
        <f t="shared" si="371"/>
        <v>5.5679999999999996</v>
      </c>
      <c r="J344" s="203">
        <f t="shared" si="371"/>
        <v>6.133</v>
      </c>
      <c r="K344" s="203">
        <f t="shared" si="371"/>
        <v>5.6130000000000004</v>
      </c>
      <c r="L344" s="203">
        <f>SUM(F344:K344)</f>
        <v>31.692</v>
      </c>
      <c r="M344" s="203">
        <f>L344/6</f>
        <v>5.282</v>
      </c>
      <c r="N344" s="203">
        <f t="shared" ref="N344:S344" si="372">N338+N337</f>
        <v>2.444</v>
      </c>
      <c r="O344" s="203">
        <f t="shared" si="372"/>
        <v>4.2789999999999999</v>
      </c>
      <c r="P344" s="203">
        <f t="shared" si="372"/>
        <v>9.0749999999999993</v>
      </c>
      <c r="Q344" s="203">
        <f t="shared" si="372"/>
        <v>6.1879999999999997</v>
      </c>
      <c r="R344" s="203">
        <f t="shared" si="372"/>
        <v>6.6639999999999997</v>
      </c>
      <c r="S344" s="203">
        <f t="shared" si="372"/>
        <v>4.8579999999999997</v>
      </c>
      <c r="T344" s="203">
        <f>SUM(N344:S344)</f>
        <v>33.508000000000003</v>
      </c>
      <c r="U344" s="203">
        <f>T344+L344</f>
        <v>65.2</v>
      </c>
      <c r="V344" s="203">
        <f>V338+V337</f>
        <v>65.2</v>
      </c>
      <c r="W344" s="203">
        <f>V344-U344</f>
        <v>0</v>
      </c>
      <c r="Z344" s="301"/>
    </row>
    <row r="345" spans="1:26" s="205" customFormat="1" ht="18" customHeight="1">
      <c r="A345" s="592"/>
      <c r="B345" s="661"/>
      <c r="C345" s="662"/>
      <c r="D345" s="202" t="str">
        <f>серпень!D268</f>
        <v xml:space="preserve">відхилення </v>
      </c>
      <c r="E345" s="203"/>
      <c r="F345" s="203">
        <f t="shared" ref="F345:K345" si="373">F341-F344</f>
        <v>-1.1439999999999999</v>
      </c>
      <c r="G345" s="203">
        <f t="shared" si="373"/>
        <v>-3.181</v>
      </c>
      <c r="H345" s="203">
        <f t="shared" si="373"/>
        <v>4.327</v>
      </c>
      <c r="I345" s="203">
        <f t="shared" si="373"/>
        <v>0</v>
      </c>
      <c r="J345" s="203">
        <f t="shared" si="373"/>
        <v>-1E-3</v>
      </c>
      <c r="K345" s="203">
        <f t="shared" si="373"/>
        <v>-2E-3</v>
      </c>
      <c r="L345" s="203"/>
      <c r="M345" s="203"/>
      <c r="N345" s="203">
        <f t="shared" ref="N345:S345" si="374">N341-N344</f>
        <v>-1.25</v>
      </c>
      <c r="O345" s="203">
        <f t="shared" si="374"/>
        <v>-1.3340000000000001</v>
      </c>
      <c r="P345" s="203">
        <f t="shared" si="374"/>
        <v>1.9419999999999999</v>
      </c>
      <c r="Q345" s="203">
        <f t="shared" si="374"/>
        <v>0.219</v>
      </c>
      <c r="R345" s="203">
        <f t="shared" si="374"/>
        <v>0.23300000000000001</v>
      </c>
      <c r="S345" s="203">
        <f t="shared" si="374"/>
        <v>9.7000000000000003E-2</v>
      </c>
      <c r="T345" s="203"/>
      <c r="U345" s="203"/>
      <c r="V345" s="203"/>
      <c r="W345" s="203"/>
      <c r="Z345" s="301"/>
    </row>
    <row r="346" spans="1:26" s="205" customFormat="1" ht="18" customHeight="1">
      <c r="A346" s="593"/>
      <c r="B346" s="663"/>
      <c r="C346" s="664"/>
      <c r="D346" s="202" t="str">
        <f>серпень!D269</f>
        <v>відхилення з наростаючим</v>
      </c>
      <c r="E346" s="203"/>
      <c r="F346" s="203">
        <f>F345</f>
        <v>-1.1439999999999999</v>
      </c>
      <c r="G346" s="203">
        <f>G345+F346</f>
        <v>-4.3250000000000002</v>
      </c>
      <c r="H346" s="203">
        <f>H345+G346</f>
        <v>2E-3</v>
      </c>
      <c r="I346" s="203">
        <f>I345+H346</f>
        <v>2E-3</v>
      </c>
      <c r="J346" s="203">
        <f>J345+I346</f>
        <v>1E-3</v>
      </c>
      <c r="K346" s="203">
        <f>K345+J346</f>
        <v>-1E-3</v>
      </c>
      <c r="L346" s="203"/>
      <c r="M346" s="203"/>
      <c r="N346" s="203">
        <f>N345+K346</f>
        <v>-1.2509999999999999</v>
      </c>
      <c r="O346" s="203">
        <f>O345+N346</f>
        <v>-2.585</v>
      </c>
      <c r="P346" s="203">
        <f>P345+O346</f>
        <v>-0.64300000000000002</v>
      </c>
      <c r="Q346" s="203">
        <f>Q345+P346</f>
        <v>-0.42399999999999999</v>
      </c>
      <c r="R346" s="203">
        <f>R345+Q346</f>
        <v>-0.191</v>
      </c>
      <c r="S346" s="203">
        <f>S345+R346</f>
        <v>-9.4E-2</v>
      </c>
      <c r="T346" s="203"/>
      <c r="U346" s="203"/>
      <c r="V346" s="203"/>
      <c r="W346" s="203"/>
      <c r="Z346" s="301"/>
    </row>
    <row r="347" spans="1:26" s="186" customFormat="1" ht="18" customHeight="1">
      <c r="A347" s="595" t="s">
        <v>35</v>
      </c>
      <c r="B347" s="665" t="s">
        <v>36</v>
      </c>
      <c r="C347" s="665"/>
      <c r="D347" s="178" t="str">
        <f>серпень!D270</f>
        <v>факт. нат.п-ки 2023</v>
      </c>
      <c r="E347" s="179"/>
      <c r="F347" s="180">
        <f t="shared" ref="F347:K349" si="375">F364+F379+F394</f>
        <v>0</v>
      </c>
      <c r="G347" s="180">
        <f t="shared" si="375"/>
        <v>68</v>
      </c>
      <c r="H347" s="180">
        <f t="shared" si="375"/>
        <v>68</v>
      </c>
      <c r="I347" s="180">
        <f t="shared" si="375"/>
        <v>96</v>
      </c>
      <c r="J347" s="180">
        <f t="shared" si="375"/>
        <v>48</v>
      </c>
      <c r="K347" s="180">
        <f t="shared" si="375"/>
        <v>109</v>
      </c>
      <c r="L347" s="215">
        <f>SUM(F347:K347)</f>
        <v>389</v>
      </c>
      <c r="M347" s="215">
        <f>L347/6</f>
        <v>64.8</v>
      </c>
      <c r="N347" s="180">
        <f t="shared" ref="N347:S349" si="376">N364+N379+N394</f>
        <v>51</v>
      </c>
      <c r="O347" s="180">
        <f t="shared" si="376"/>
        <v>90</v>
      </c>
      <c r="P347" s="180">
        <f t="shared" si="376"/>
        <v>65.2</v>
      </c>
      <c r="Q347" s="180">
        <f t="shared" si="376"/>
        <v>83</v>
      </c>
      <c r="R347" s="180">
        <f t="shared" si="376"/>
        <v>93</v>
      </c>
      <c r="S347" s="180">
        <f t="shared" si="376"/>
        <v>110</v>
      </c>
      <c r="T347" s="215">
        <f>SUM(N347:S347)</f>
        <v>492.2</v>
      </c>
      <c r="U347" s="215">
        <f>T347+L347</f>
        <v>881.2</v>
      </c>
      <c r="V347" s="233">
        <f>V364+V394</f>
        <v>881.2</v>
      </c>
      <c r="W347" s="184"/>
      <c r="X347" s="185"/>
      <c r="Z347" s="297"/>
    </row>
    <row r="348" spans="1:26" s="186" customFormat="1" ht="18" customHeight="1">
      <c r="A348" s="595"/>
      <c r="B348" s="665"/>
      <c r="C348" s="665"/>
      <c r="D348" s="178" t="str">
        <f>серпень!D271</f>
        <v>факт. нат.п-ки 2024</v>
      </c>
      <c r="E348" s="179"/>
      <c r="F348" s="180">
        <f t="shared" si="375"/>
        <v>22</v>
      </c>
      <c r="G348" s="180">
        <f t="shared" si="375"/>
        <v>39.1</v>
      </c>
      <c r="H348" s="180">
        <f t="shared" si="375"/>
        <v>84</v>
      </c>
      <c r="I348" s="180">
        <f t="shared" si="375"/>
        <v>94.7</v>
      </c>
      <c r="J348" s="180">
        <f t="shared" si="375"/>
        <v>106.4</v>
      </c>
      <c r="K348" s="180">
        <f t="shared" si="375"/>
        <v>122.4</v>
      </c>
      <c r="L348" s="215">
        <f>SUM(F348:K348)</f>
        <v>468.6</v>
      </c>
      <c r="M348" s="215">
        <f>L348/6</f>
        <v>78.099999999999994</v>
      </c>
      <c r="N348" s="180">
        <f t="shared" si="376"/>
        <v>115.3</v>
      </c>
      <c r="O348" s="180">
        <f t="shared" si="376"/>
        <v>147.30000000000001</v>
      </c>
      <c r="P348" s="180">
        <f t="shared" si="376"/>
        <v>92.3</v>
      </c>
      <c r="Q348" s="180">
        <f t="shared" si="376"/>
        <v>87.3</v>
      </c>
      <c r="R348" s="180">
        <f t="shared" si="376"/>
        <v>93</v>
      </c>
      <c r="S348" s="180">
        <f t="shared" si="376"/>
        <v>197.2</v>
      </c>
      <c r="T348" s="215">
        <f>SUM(N348:S348)</f>
        <v>732.4</v>
      </c>
      <c r="U348" s="215">
        <f>T348+L348</f>
        <v>1201</v>
      </c>
      <c r="V348" s="233">
        <f>V365+V395</f>
        <v>1201</v>
      </c>
      <c r="W348" s="184"/>
      <c r="X348" s="185"/>
      <c r="Z348" s="297"/>
    </row>
    <row r="349" spans="1:26" s="186" customFormat="1" ht="18" customHeight="1">
      <c r="A349" s="595"/>
      <c r="B349" s="665"/>
      <c r="C349" s="665"/>
      <c r="D349" s="178" t="str">
        <f>серпень!D272</f>
        <v>факт. нат.п-ки 2025</v>
      </c>
      <c r="E349" s="179"/>
      <c r="F349" s="180">
        <f>F366+F381+F396</f>
        <v>80.5</v>
      </c>
      <c r="G349" s="180">
        <f t="shared" si="375"/>
        <v>65.400000000000006</v>
      </c>
      <c r="H349" s="180">
        <f t="shared" si="375"/>
        <v>110.7</v>
      </c>
      <c r="I349" s="180">
        <f t="shared" si="375"/>
        <v>105</v>
      </c>
      <c r="J349" s="180">
        <f t="shared" si="375"/>
        <v>122.2</v>
      </c>
      <c r="K349" s="180">
        <f t="shared" si="375"/>
        <v>49.2</v>
      </c>
      <c r="L349" s="234">
        <f>SUM(F349:K349)</f>
        <v>533</v>
      </c>
      <c r="M349" s="215">
        <f>L349/6</f>
        <v>88.8</v>
      </c>
      <c r="N349" s="180">
        <f t="shared" si="376"/>
        <v>45.6</v>
      </c>
      <c r="O349" s="180">
        <f t="shared" si="376"/>
        <v>147.30000000000001</v>
      </c>
      <c r="P349" s="180">
        <f t="shared" si="376"/>
        <v>92.3</v>
      </c>
      <c r="Q349" s="180">
        <f t="shared" si="376"/>
        <v>87.3</v>
      </c>
      <c r="R349" s="180">
        <f t="shared" si="376"/>
        <v>93</v>
      </c>
      <c r="S349" s="180">
        <f t="shared" si="376"/>
        <v>39.5</v>
      </c>
      <c r="T349" s="215">
        <f>SUM(N349:S349)</f>
        <v>505</v>
      </c>
      <c r="U349" s="215">
        <f>T349+L349</f>
        <v>1038</v>
      </c>
      <c r="V349" s="233">
        <f>V366+V381+V396</f>
        <v>1043.3</v>
      </c>
      <c r="W349" s="184">
        <f>V349-U349</f>
        <v>5.3</v>
      </c>
      <c r="X349" s="185"/>
      <c r="Z349" s="297"/>
    </row>
    <row r="350" spans="1:26" s="190" customFormat="1" ht="18" customHeight="1">
      <c r="A350" s="595"/>
      <c r="B350" s="665"/>
      <c r="C350" s="665"/>
      <c r="D350" s="187" t="str">
        <f>серпень!D273</f>
        <v>тариф, грн.</v>
      </c>
      <c r="E350" s="188"/>
      <c r="F350" s="188">
        <f t="shared" ref="F350:S350" si="377">F351/F349*1000</f>
        <v>26.149000000000001</v>
      </c>
      <c r="G350" s="188">
        <f t="shared" si="377"/>
        <v>26.161999999999999</v>
      </c>
      <c r="H350" s="188">
        <f t="shared" si="377"/>
        <v>26.161000000000001</v>
      </c>
      <c r="I350" s="188">
        <f t="shared" si="377"/>
        <v>26.152000000000001</v>
      </c>
      <c r="J350" s="188">
        <f t="shared" si="377"/>
        <v>26.161999999999999</v>
      </c>
      <c r="K350" s="188">
        <f t="shared" si="377"/>
        <v>26.178999999999998</v>
      </c>
      <c r="L350" s="188">
        <f t="shared" si="377"/>
        <v>26.158999999999999</v>
      </c>
      <c r="M350" s="188">
        <f t="shared" si="377"/>
        <v>26.170999999999999</v>
      </c>
      <c r="N350" s="188">
        <f t="shared" si="377"/>
        <v>26.184000000000001</v>
      </c>
      <c r="O350" s="188">
        <f t="shared" si="377"/>
        <v>26.158000000000001</v>
      </c>
      <c r="P350" s="188">
        <f t="shared" si="377"/>
        <v>26.164999999999999</v>
      </c>
      <c r="Q350" s="188">
        <f t="shared" si="377"/>
        <v>26.163</v>
      </c>
      <c r="R350" s="188">
        <f t="shared" si="377"/>
        <v>26.161000000000001</v>
      </c>
      <c r="S350" s="188">
        <f t="shared" si="377"/>
        <v>26.177</v>
      </c>
      <c r="T350" s="188">
        <f>T351/T349*1000</f>
        <v>26.164000000000001</v>
      </c>
      <c r="U350" s="188">
        <f>U351/U349*1000</f>
        <v>26.161999999999999</v>
      </c>
      <c r="V350" s="188">
        <f>V351/V349*1000</f>
        <v>23.658000000000001</v>
      </c>
      <c r="W350" s="189">
        <f>W351/W349*1000</f>
        <v>-466.79199999999997</v>
      </c>
      <c r="X350" s="225"/>
      <c r="Z350" s="298"/>
    </row>
    <row r="351" spans="1:26" s="172" customFormat="1" ht="18" customHeight="1">
      <c r="A351" s="671"/>
      <c r="B351" s="665"/>
      <c r="C351" s="665"/>
      <c r="D351" s="191" t="str">
        <f>серпень!D274</f>
        <v>сума, тис.грн.</v>
      </c>
      <c r="E351" s="192"/>
      <c r="F351" s="192">
        <f t="shared" ref="F351:K351" si="378">F368+F383+F398</f>
        <v>2.105</v>
      </c>
      <c r="G351" s="192">
        <f t="shared" si="378"/>
        <v>1.7110000000000001</v>
      </c>
      <c r="H351" s="192">
        <f t="shared" si="378"/>
        <v>2.8959999999999999</v>
      </c>
      <c r="I351" s="192">
        <f t="shared" si="378"/>
        <v>2.746</v>
      </c>
      <c r="J351" s="192">
        <f t="shared" si="378"/>
        <v>3.1970000000000001</v>
      </c>
      <c r="K351" s="192">
        <f t="shared" si="378"/>
        <v>1.288</v>
      </c>
      <c r="L351" s="194">
        <f t="shared" ref="L351:L356" si="379">SUM(F351:K351)</f>
        <v>13.943</v>
      </c>
      <c r="M351" s="194">
        <f t="shared" ref="M351:M356" si="380">L351/6</f>
        <v>2.3239999999999998</v>
      </c>
      <c r="N351" s="192">
        <f t="shared" ref="N351:S351" si="381">N368+N383+N398</f>
        <v>1.194</v>
      </c>
      <c r="O351" s="192">
        <f t="shared" si="381"/>
        <v>3.8530000000000002</v>
      </c>
      <c r="P351" s="192">
        <f t="shared" si="381"/>
        <v>2.415</v>
      </c>
      <c r="Q351" s="192">
        <f t="shared" si="381"/>
        <v>2.2839999999999998</v>
      </c>
      <c r="R351" s="192">
        <f t="shared" si="381"/>
        <v>2.4329999999999998</v>
      </c>
      <c r="S351" s="192">
        <f t="shared" si="381"/>
        <v>1.034</v>
      </c>
      <c r="T351" s="194">
        <f t="shared" ref="T351:T356" si="382">SUM(N351:S351)</f>
        <v>13.212999999999999</v>
      </c>
      <c r="U351" s="194">
        <f t="shared" ref="U351:U356" si="383">T351+L351</f>
        <v>27.155999999999999</v>
      </c>
      <c r="V351" s="192">
        <f t="shared" ref="V351" si="384">V368+V383+V398</f>
        <v>24.681999999999999</v>
      </c>
      <c r="W351" s="192">
        <f>V351-U351</f>
        <v>-2.4740000000000002</v>
      </c>
      <c r="Z351" s="295"/>
    </row>
    <row r="352" spans="1:26" s="172" customFormat="1" ht="18" customHeight="1">
      <c r="A352" s="671"/>
      <c r="B352" s="665"/>
      <c r="C352" s="665"/>
      <c r="D352" s="174" t="str">
        <f>серпень!D275</f>
        <v>абоненська плата, тис.грн.</v>
      </c>
      <c r="E352" s="192"/>
      <c r="F352" s="192">
        <f>F383</f>
        <v>0</v>
      </c>
      <c r="G352" s="192">
        <f t="shared" ref="G352:K352" si="385">G383</f>
        <v>0</v>
      </c>
      <c r="H352" s="192">
        <f t="shared" si="385"/>
        <v>0</v>
      </c>
      <c r="I352" s="192">
        <f t="shared" si="385"/>
        <v>0</v>
      </c>
      <c r="J352" s="192">
        <f t="shared" si="385"/>
        <v>0</v>
      </c>
      <c r="K352" s="192">
        <f t="shared" si="385"/>
        <v>0</v>
      </c>
      <c r="L352" s="194">
        <f t="shared" si="379"/>
        <v>0</v>
      </c>
      <c r="M352" s="194">
        <f t="shared" si="380"/>
        <v>0</v>
      </c>
      <c r="N352" s="192">
        <f>N383</f>
        <v>0</v>
      </c>
      <c r="O352" s="192">
        <f t="shared" ref="O352:S352" si="386">O383</f>
        <v>0</v>
      </c>
      <c r="P352" s="192">
        <f t="shared" si="386"/>
        <v>0</v>
      </c>
      <c r="Q352" s="192">
        <f t="shared" si="386"/>
        <v>0</v>
      </c>
      <c r="R352" s="192">
        <f t="shared" si="386"/>
        <v>0</v>
      </c>
      <c r="S352" s="192">
        <f t="shared" si="386"/>
        <v>0</v>
      </c>
      <c r="T352" s="194">
        <f t="shared" si="382"/>
        <v>0</v>
      </c>
      <c r="U352" s="194">
        <f t="shared" si="383"/>
        <v>0</v>
      </c>
      <c r="V352" s="192">
        <f t="shared" ref="V352" si="387">V383</f>
        <v>0</v>
      </c>
      <c r="W352" s="192">
        <f t="shared" ref="W352:W353" si="388">V352-U352</f>
        <v>0</v>
      </c>
      <c r="Z352" s="295"/>
    </row>
    <row r="353" spans="1:28" s="172" customFormat="1" ht="18" customHeight="1">
      <c r="A353" s="671"/>
      <c r="B353" s="665"/>
      <c r="C353" s="665"/>
      <c r="D353" s="174" t="str">
        <f>серпень!D276</f>
        <v>разом сума тис. грн+абонплата</v>
      </c>
      <c r="E353" s="192"/>
      <c r="F353" s="192">
        <f>F351+F352</f>
        <v>2.105</v>
      </c>
      <c r="G353" s="192">
        <f t="shared" ref="G353:K353" si="389">G351+G352</f>
        <v>1.7110000000000001</v>
      </c>
      <c r="H353" s="192">
        <f t="shared" si="389"/>
        <v>2.8959999999999999</v>
      </c>
      <c r="I353" s="192">
        <f t="shared" si="389"/>
        <v>2.746</v>
      </c>
      <c r="J353" s="192">
        <f t="shared" si="389"/>
        <v>3.1970000000000001</v>
      </c>
      <c r="K353" s="192">
        <f t="shared" si="389"/>
        <v>1.288</v>
      </c>
      <c r="L353" s="194">
        <f t="shared" si="379"/>
        <v>13.943</v>
      </c>
      <c r="M353" s="194">
        <f t="shared" si="380"/>
        <v>2.3239999999999998</v>
      </c>
      <c r="N353" s="192">
        <f>N351+N352</f>
        <v>1.194</v>
      </c>
      <c r="O353" s="192">
        <f t="shared" ref="O353" si="390">O351+O352</f>
        <v>3.8530000000000002</v>
      </c>
      <c r="P353" s="192">
        <f t="shared" ref="P353" si="391">P351+P352</f>
        <v>2.415</v>
      </c>
      <c r="Q353" s="192">
        <f t="shared" ref="Q353" si="392">Q351+Q352</f>
        <v>2.2839999999999998</v>
      </c>
      <c r="R353" s="192">
        <f t="shared" ref="R353" si="393">R351+R352</f>
        <v>2.4329999999999998</v>
      </c>
      <c r="S353" s="192">
        <f t="shared" ref="S353" si="394">S351+S352</f>
        <v>1.034</v>
      </c>
      <c r="T353" s="194">
        <f t="shared" si="382"/>
        <v>13.212999999999999</v>
      </c>
      <c r="U353" s="194">
        <f t="shared" si="383"/>
        <v>27.155999999999999</v>
      </c>
      <c r="V353" s="192">
        <f t="shared" ref="V353" si="395">V351+V352</f>
        <v>24.681999999999999</v>
      </c>
      <c r="W353" s="192">
        <f t="shared" si="388"/>
        <v>-2.4740000000000002</v>
      </c>
      <c r="Z353" s="295"/>
    </row>
    <row r="354" spans="1:28" s="172" customFormat="1" ht="18" customHeight="1">
      <c r="A354" s="671"/>
      <c r="B354" s="665"/>
      <c r="C354" s="665"/>
      <c r="D354" s="174" t="str">
        <f>серпень!D277</f>
        <v>дотація</v>
      </c>
      <c r="E354" s="192"/>
      <c r="F354" s="192">
        <f t="shared" ref="F354:K356" si="396">F369+F384+F399</f>
        <v>0</v>
      </c>
      <c r="G354" s="192">
        <f t="shared" si="396"/>
        <v>0</v>
      </c>
      <c r="H354" s="192">
        <f t="shared" si="396"/>
        <v>0</v>
      </c>
      <c r="I354" s="192">
        <f t="shared" si="396"/>
        <v>0</v>
      </c>
      <c r="J354" s="192">
        <f t="shared" si="396"/>
        <v>0</v>
      </c>
      <c r="K354" s="192">
        <f t="shared" si="396"/>
        <v>0</v>
      </c>
      <c r="L354" s="194">
        <f t="shared" si="379"/>
        <v>0</v>
      </c>
      <c r="M354" s="194">
        <f t="shared" si="380"/>
        <v>0</v>
      </c>
      <c r="N354" s="192">
        <f t="shared" ref="N354:S356" si="397">N369+N384+N399</f>
        <v>0</v>
      </c>
      <c r="O354" s="192">
        <f t="shared" si="397"/>
        <v>0</v>
      </c>
      <c r="P354" s="192">
        <f t="shared" si="397"/>
        <v>0</v>
      </c>
      <c r="Q354" s="192">
        <f t="shared" si="397"/>
        <v>0</v>
      </c>
      <c r="R354" s="192">
        <f t="shared" si="397"/>
        <v>0</v>
      </c>
      <c r="S354" s="192">
        <f t="shared" si="397"/>
        <v>0</v>
      </c>
      <c r="T354" s="194">
        <f t="shared" si="382"/>
        <v>0</v>
      </c>
      <c r="U354" s="194">
        <f t="shared" si="383"/>
        <v>0</v>
      </c>
      <c r="V354" s="192">
        <f t="shared" ref="V354" si="398">V369+V384+V399</f>
        <v>0</v>
      </c>
      <c r="W354" s="192">
        <f>V354-U354</f>
        <v>0</v>
      </c>
      <c r="Z354" s="295"/>
    </row>
    <row r="355" spans="1:28" s="172" customFormat="1" ht="18" customHeight="1">
      <c r="A355" s="671"/>
      <c r="B355" s="665"/>
      <c r="C355" s="665"/>
      <c r="D355" s="174" t="str">
        <f>серпень!D278</f>
        <v>місцевий (план), тис.грн</v>
      </c>
      <c r="E355" s="192"/>
      <c r="F355" s="192">
        <f t="shared" si="396"/>
        <v>0.52</v>
      </c>
      <c r="G355" s="192">
        <f t="shared" si="396"/>
        <v>0.92500000000000004</v>
      </c>
      <c r="H355" s="192">
        <f t="shared" si="396"/>
        <v>5.4690000000000003</v>
      </c>
      <c r="I355" s="192">
        <f t="shared" si="396"/>
        <v>2.2400000000000002</v>
      </c>
      <c r="J355" s="192">
        <f t="shared" si="396"/>
        <v>2.5169999999999999</v>
      </c>
      <c r="K355" s="192">
        <f t="shared" si="396"/>
        <v>3.56</v>
      </c>
      <c r="L355" s="194">
        <f t="shared" si="379"/>
        <v>15.231</v>
      </c>
      <c r="M355" s="194">
        <f t="shared" si="380"/>
        <v>2.5390000000000001</v>
      </c>
      <c r="N355" s="192">
        <f t="shared" si="397"/>
        <v>2.444</v>
      </c>
      <c r="O355" s="192">
        <f t="shared" si="397"/>
        <v>0.69499999999999995</v>
      </c>
      <c r="P355" s="192">
        <f t="shared" si="397"/>
        <v>1.1120000000000001</v>
      </c>
      <c r="Q355" s="192">
        <f t="shared" si="397"/>
        <v>2.0649999999999999</v>
      </c>
      <c r="R355" s="192">
        <f t="shared" si="397"/>
        <v>2.2000000000000002</v>
      </c>
      <c r="S355" s="192">
        <f t="shared" si="397"/>
        <v>0.93500000000000005</v>
      </c>
      <c r="T355" s="194">
        <f t="shared" si="382"/>
        <v>9.4510000000000005</v>
      </c>
      <c r="U355" s="194">
        <f t="shared" si="383"/>
        <v>24.681999999999999</v>
      </c>
      <c r="V355" s="192">
        <f t="shared" ref="V355" si="399">V370+V385+V400</f>
        <v>24.681999999999999</v>
      </c>
      <c r="W355" s="192">
        <f>V355-U355</f>
        <v>0</v>
      </c>
      <c r="Z355" s="295"/>
    </row>
    <row r="356" spans="1:28" s="186" customFormat="1" ht="18" customHeight="1">
      <c r="A356" s="595"/>
      <c r="B356" s="665"/>
      <c r="C356" s="665"/>
      <c r="D356" s="178" t="str">
        <f>серпень!D279</f>
        <v>касові нат.п-ки 2025</v>
      </c>
      <c r="E356" s="179">
        <f>E371</f>
        <v>0</v>
      </c>
      <c r="F356" s="179">
        <f t="shared" si="396"/>
        <v>0</v>
      </c>
      <c r="G356" s="179">
        <f t="shared" si="396"/>
        <v>0</v>
      </c>
      <c r="H356" s="179">
        <f t="shared" si="396"/>
        <v>256.60000000000002</v>
      </c>
      <c r="I356" s="179">
        <f t="shared" si="396"/>
        <v>105</v>
      </c>
      <c r="J356" s="179">
        <f t="shared" si="396"/>
        <v>122.2</v>
      </c>
      <c r="K356" s="179">
        <f t="shared" si="396"/>
        <v>49.2</v>
      </c>
      <c r="L356" s="215">
        <f t="shared" si="379"/>
        <v>533</v>
      </c>
      <c r="M356" s="215">
        <f t="shared" si="380"/>
        <v>88.8</v>
      </c>
      <c r="N356" s="179">
        <f t="shared" si="397"/>
        <v>45.6</v>
      </c>
      <c r="O356" s="179">
        <f t="shared" si="397"/>
        <v>0</v>
      </c>
      <c r="P356" s="179">
        <f t="shared" si="397"/>
        <v>239.6</v>
      </c>
      <c r="Q356" s="179">
        <f t="shared" si="397"/>
        <v>87.3</v>
      </c>
      <c r="R356" s="179">
        <f t="shared" si="397"/>
        <v>93</v>
      </c>
      <c r="S356" s="179">
        <f t="shared" si="397"/>
        <v>39.5</v>
      </c>
      <c r="T356" s="215">
        <f t="shared" si="382"/>
        <v>505</v>
      </c>
      <c r="U356" s="215">
        <f t="shared" si="383"/>
        <v>1038</v>
      </c>
      <c r="V356" s="179">
        <f>V371+V401</f>
        <v>1043.3</v>
      </c>
      <c r="W356" s="184">
        <f>V356-U356</f>
        <v>5.3</v>
      </c>
      <c r="X356" s="185">
        <f>U349-U356</f>
        <v>0</v>
      </c>
      <c r="Z356" s="297"/>
    </row>
    <row r="357" spans="1:28" s="190" customFormat="1" ht="18" customHeight="1">
      <c r="A357" s="595"/>
      <c r="B357" s="665"/>
      <c r="C357" s="665"/>
      <c r="D357" s="187" t="str">
        <f>серпень!D280</f>
        <v>тариф, грн.</v>
      </c>
      <c r="E357" s="188" t="e">
        <f t="shared" ref="E357:S357" si="400">E358/E356*1000</f>
        <v>#DIV/0!</v>
      </c>
      <c r="F357" s="188" t="e">
        <f t="shared" si="400"/>
        <v>#DIV/0!</v>
      </c>
      <c r="G357" s="188" t="e">
        <f t="shared" si="400"/>
        <v>#DIV/0!</v>
      </c>
      <c r="H357" s="188">
        <f t="shared" si="400"/>
        <v>26.157</v>
      </c>
      <c r="I357" s="188">
        <f t="shared" si="400"/>
        <v>26.161999999999999</v>
      </c>
      <c r="J357" s="188">
        <f t="shared" si="400"/>
        <v>26.154</v>
      </c>
      <c r="K357" s="188">
        <f t="shared" si="400"/>
        <v>26.138000000000002</v>
      </c>
      <c r="L357" s="188">
        <f t="shared" si="400"/>
        <v>26.155999999999999</v>
      </c>
      <c r="M357" s="188">
        <f t="shared" si="400"/>
        <v>26.170999999999999</v>
      </c>
      <c r="N357" s="188">
        <f t="shared" si="400"/>
        <v>26.184000000000001</v>
      </c>
      <c r="O357" s="188" t="e">
        <f t="shared" si="400"/>
        <v>#DIV/0!</v>
      </c>
      <c r="P357" s="188">
        <f t="shared" si="400"/>
        <v>26.169</v>
      </c>
      <c r="Q357" s="188">
        <f t="shared" si="400"/>
        <v>26.163</v>
      </c>
      <c r="R357" s="188">
        <f t="shared" si="400"/>
        <v>26.161000000000001</v>
      </c>
      <c r="S357" s="188">
        <f t="shared" si="400"/>
        <v>26.177</v>
      </c>
      <c r="T357" s="188">
        <f>T358/T356*1000</f>
        <v>26.167999999999999</v>
      </c>
      <c r="U357" s="188">
        <f>U358/U356*1000</f>
        <v>26.161999999999999</v>
      </c>
      <c r="V357" s="188">
        <f>V358/V356*1000</f>
        <v>23.658000000000001</v>
      </c>
      <c r="W357" s="189">
        <f>W358/W356*1000</f>
        <v>-466.79199999999997</v>
      </c>
      <c r="X357" s="225"/>
      <c r="Z357" s="298"/>
    </row>
    <row r="358" spans="1:28" s="213" customFormat="1" ht="18" customHeight="1">
      <c r="A358" s="595"/>
      <c r="B358" s="665"/>
      <c r="C358" s="665"/>
      <c r="D358" s="198" t="str">
        <f>серпень!D281</f>
        <v>касові видатки, тис.грн.</v>
      </c>
      <c r="E358" s="220">
        <f>E373+E403</f>
        <v>0</v>
      </c>
      <c r="F358" s="199">
        <f t="shared" ref="F358:K360" si="401">F373+F388+F403</f>
        <v>0</v>
      </c>
      <c r="G358" s="199">
        <f t="shared" si="401"/>
        <v>0</v>
      </c>
      <c r="H358" s="199">
        <f t="shared" si="401"/>
        <v>6.7119999999999997</v>
      </c>
      <c r="I358" s="199">
        <f t="shared" si="401"/>
        <v>2.7469999999999999</v>
      </c>
      <c r="J358" s="199">
        <f t="shared" si="401"/>
        <v>3.1960000000000002</v>
      </c>
      <c r="K358" s="199">
        <f t="shared" si="401"/>
        <v>1.286</v>
      </c>
      <c r="L358" s="199">
        <f>SUM(F358:K358)</f>
        <v>13.941000000000001</v>
      </c>
      <c r="M358" s="199">
        <f>L358/6</f>
        <v>2.3239999999999998</v>
      </c>
      <c r="N358" s="199">
        <f t="shared" ref="N358:S360" si="402">N373+N388+N403</f>
        <v>1.194</v>
      </c>
      <c r="O358" s="199">
        <f t="shared" si="402"/>
        <v>0</v>
      </c>
      <c r="P358" s="199">
        <f t="shared" si="402"/>
        <v>6.27</v>
      </c>
      <c r="Q358" s="199">
        <f t="shared" si="402"/>
        <v>2.2839999999999998</v>
      </c>
      <c r="R358" s="199">
        <f t="shared" si="402"/>
        <v>2.4329999999999998</v>
      </c>
      <c r="S358" s="199">
        <f t="shared" si="402"/>
        <v>1.034</v>
      </c>
      <c r="T358" s="199">
        <f>SUM(N358:S358)</f>
        <v>13.215</v>
      </c>
      <c r="U358" s="199">
        <f>T358+L358</f>
        <v>27.155999999999999</v>
      </c>
      <c r="V358" s="199">
        <f>V373+V403</f>
        <v>24.681999999999999</v>
      </c>
      <c r="W358" s="221">
        <f>V358-U358</f>
        <v>-2.4740000000000002</v>
      </c>
      <c r="X358" s="176">
        <f>U351-U358</f>
        <v>0</v>
      </c>
      <c r="Z358" s="296"/>
    </row>
    <row r="359" spans="1:28" s="213" customFormat="1" ht="18" customHeight="1">
      <c r="A359" s="595"/>
      <c r="B359" s="665"/>
      <c r="C359" s="665"/>
      <c r="D359" s="201" t="str">
        <f>серпень!D282</f>
        <v>дотація</v>
      </c>
      <c r="E359" s="220"/>
      <c r="F359" s="199">
        <f t="shared" si="401"/>
        <v>0</v>
      </c>
      <c r="G359" s="199">
        <f t="shared" si="401"/>
        <v>0</v>
      </c>
      <c r="H359" s="199">
        <f t="shared" si="401"/>
        <v>0</v>
      </c>
      <c r="I359" s="199">
        <f t="shared" si="401"/>
        <v>0</v>
      </c>
      <c r="J359" s="199">
        <f t="shared" si="401"/>
        <v>0</v>
      </c>
      <c r="K359" s="199">
        <f t="shared" si="401"/>
        <v>0</v>
      </c>
      <c r="L359" s="199">
        <f>SUM(F359:K359)</f>
        <v>0</v>
      </c>
      <c r="M359" s="199">
        <f>L359/6</f>
        <v>0</v>
      </c>
      <c r="N359" s="199">
        <f t="shared" si="402"/>
        <v>0</v>
      </c>
      <c r="O359" s="199">
        <f t="shared" si="402"/>
        <v>0</v>
      </c>
      <c r="P359" s="199">
        <f t="shared" si="402"/>
        <v>0</v>
      </c>
      <c r="Q359" s="199">
        <f t="shared" si="402"/>
        <v>0</v>
      </c>
      <c r="R359" s="199">
        <f t="shared" si="402"/>
        <v>0</v>
      </c>
      <c r="S359" s="199">
        <f t="shared" si="402"/>
        <v>0</v>
      </c>
      <c r="T359" s="199">
        <f>SUM(N359:S359)</f>
        <v>0</v>
      </c>
      <c r="U359" s="199">
        <f>T359+L359</f>
        <v>0</v>
      </c>
      <c r="V359" s="199">
        <f>V374+V404</f>
        <v>0</v>
      </c>
      <c r="W359" s="221">
        <f>V359-U359</f>
        <v>0</v>
      </c>
      <c r="X359" s="176">
        <f>U354-U359</f>
        <v>0</v>
      </c>
      <c r="Z359" s="296"/>
    </row>
    <row r="360" spans="1:28" s="213" customFormat="1" ht="18" customHeight="1">
      <c r="A360" s="595"/>
      <c r="B360" s="665"/>
      <c r="C360" s="665"/>
      <c r="D360" s="201" t="str">
        <f>серпень!D283</f>
        <v xml:space="preserve">місцевий </v>
      </c>
      <c r="E360" s="220"/>
      <c r="F360" s="199">
        <f t="shared" si="401"/>
        <v>0</v>
      </c>
      <c r="G360" s="199">
        <f t="shared" si="401"/>
        <v>0</v>
      </c>
      <c r="H360" s="199">
        <f t="shared" si="401"/>
        <v>6.7119999999999997</v>
      </c>
      <c r="I360" s="199">
        <f t="shared" si="401"/>
        <v>2.7469999999999999</v>
      </c>
      <c r="J360" s="199">
        <f t="shared" si="401"/>
        <v>3.1960000000000002</v>
      </c>
      <c r="K360" s="199">
        <f t="shared" si="401"/>
        <v>1.286</v>
      </c>
      <c r="L360" s="199">
        <f>SUM(F360:K360)</f>
        <v>13.941000000000001</v>
      </c>
      <c r="M360" s="199">
        <f>L360/6</f>
        <v>2.3239999999999998</v>
      </c>
      <c r="N360" s="199">
        <f t="shared" si="402"/>
        <v>1.194</v>
      </c>
      <c r="O360" s="199">
        <f t="shared" si="402"/>
        <v>0</v>
      </c>
      <c r="P360" s="199">
        <f t="shared" si="402"/>
        <v>6.27</v>
      </c>
      <c r="Q360" s="199">
        <f t="shared" si="402"/>
        <v>2.2839999999999998</v>
      </c>
      <c r="R360" s="199">
        <f t="shared" si="402"/>
        <v>2.4329999999999998</v>
      </c>
      <c r="S360" s="199">
        <f t="shared" si="402"/>
        <v>1.034</v>
      </c>
      <c r="T360" s="199">
        <f>SUM(N360:S360)</f>
        <v>13.215</v>
      </c>
      <c r="U360" s="199">
        <f>T360+L360</f>
        <v>27.155999999999999</v>
      </c>
      <c r="V360" s="199">
        <f>V375+V405</f>
        <v>24.681999999999999</v>
      </c>
      <c r="W360" s="221">
        <f>V360-U360</f>
        <v>-2.4740000000000002</v>
      </c>
      <c r="X360" s="176">
        <f>U355-U360</f>
        <v>-2.4740000000000002</v>
      </c>
      <c r="Z360" s="296"/>
    </row>
    <row r="361" spans="1:28" s="205" customFormat="1" ht="18" customHeight="1">
      <c r="A361" s="595"/>
      <c r="B361" s="665"/>
      <c r="C361" s="665"/>
      <c r="D361" s="202" t="str">
        <f>серпень!D284</f>
        <v>план</v>
      </c>
      <c r="E361" s="203"/>
      <c r="F361" s="203">
        <f t="shared" ref="F361:K361" si="403">F355</f>
        <v>0.52</v>
      </c>
      <c r="G361" s="203">
        <f t="shared" si="403"/>
        <v>0.92500000000000004</v>
      </c>
      <c r="H361" s="203">
        <f t="shared" si="403"/>
        <v>5.4690000000000003</v>
      </c>
      <c r="I361" s="203">
        <f t="shared" si="403"/>
        <v>2.2400000000000002</v>
      </c>
      <c r="J361" s="203">
        <f t="shared" si="403"/>
        <v>2.5169999999999999</v>
      </c>
      <c r="K361" s="203">
        <f t="shared" si="403"/>
        <v>3.56</v>
      </c>
      <c r="L361" s="203">
        <f>SUM(F361:K361)</f>
        <v>15.231</v>
      </c>
      <c r="M361" s="203">
        <f>L361/6</f>
        <v>2.5390000000000001</v>
      </c>
      <c r="N361" s="203">
        <f t="shared" ref="N361:S361" si="404">N376+N406</f>
        <v>2.444</v>
      </c>
      <c r="O361" s="203">
        <f t="shared" si="404"/>
        <v>0.69499999999999995</v>
      </c>
      <c r="P361" s="203">
        <f t="shared" si="404"/>
        <v>1.1120000000000001</v>
      </c>
      <c r="Q361" s="203">
        <f t="shared" si="404"/>
        <v>2.0649999999999999</v>
      </c>
      <c r="R361" s="203">
        <f t="shared" si="404"/>
        <v>2.2000000000000002</v>
      </c>
      <c r="S361" s="203">
        <f t="shared" si="404"/>
        <v>0.93500000000000005</v>
      </c>
      <c r="T361" s="203">
        <f>SUM(N361:S361)</f>
        <v>9.4510000000000005</v>
      </c>
      <c r="U361" s="203">
        <f>T361+L361</f>
        <v>24.681999999999999</v>
      </c>
      <c r="V361" s="203">
        <f>V355+V354</f>
        <v>24.681999999999999</v>
      </c>
      <c r="W361" s="203">
        <f>V361-U361</f>
        <v>0</v>
      </c>
      <c r="Z361" s="301"/>
    </row>
    <row r="362" spans="1:28" s="205" customFormat="1" ht="18" customHeight="1">
      <c r="A362" s="595"/>
      <c r="B362" s="665"/>
      <c r="C362" s="665"/>
      <c r="D362" s="202" t="str">
        <f>серпень!D285</f>
        <v xml:space="preserve">відхилення </v>
      </c>
      <c r="E362" s="203"/>
      <c r="F362" s="203">
        <f t="shared" ref="F362:K362" si="405">F358-F361</f>
        <v>-0.52</v>
      </c>
      <c r="G362" s="203">
        <f t="shared" si="405"/>
        <v>-0.92500000000000004</v>
      </c>
      <c r="H362" s="203">
        <f t="shared" si="405"/>
        <v>1.2430000000000001</v>
      </c>
      <c r="I362" s="203">
        <f t="shared" si="405"/>
        <v>0.50700000000000001</v>
      </c>
      <c r="J362" s="203">
        <f t="shared" si="405"/>
        <v>0.67900000000000005</v>
      </c>
      <c r="K362" s="203">
        <f t="shared" si="405"/>
        <v>-2.274</v>
      </c>
      <c r="L362" s="203"/>
      <c r="M362" s="203"/>
      <c r="N362" s="203">
        <f t="shared" ref="N362:S362" si="406">N358-N361</f>
        <v>-1.25</v>
      </c>
      <c r="O362" s="203">
        <f t="shared" si="406"/>
        <v>-0.69499999999999995</v>
      </c>
      <c r="P362" s="203">
        <f t="shared" si="406"/>
        <v>5.1580000000000004</v>
      </c>
      <c r="Q362" s="203">
        <f t="shared" si="406"/>
        <v>0.219</v>
      </c>
      <c r="R362" s="203">
        <f t="shared" si="406"/>
        <v>0.23300000000000001</v>
      </c>
      <c r="S362" s="203">
        <f t="shared" si="406"/>
        <v>9.9000000000000005E-2</v>
      </c>
      <c r="T362" s="203"/>
      <c r="U362" s="203"/>
      <c r="V362" s="203"/>
      <c r="W362" s="203"/>
      <c r="Z362" s="301"/>
    </row>
    <row r="363" spans="1:28" s="205" customFormat="1" ht="23.5" customHeight="1">
      <c r="A363" s="595"/>
      <c r="B363" s="665"/>
      <c r="C363" s="665"/>
      <c r="D363" s="202" t="str">
        <f>серпень!D286</f>
        <v>відхилення з наростаючим</v>
      </c>
      <c r="E363" s="203"/>
      <c r="F363" s="203">
        <f>F362</f>
        <v>-0.52</v>
      </c>
      <c r="G363" s="203">
        <f>G362+F363</f>
        <v>-1.4450000000000001</v>
      </c>
      <c r="H363" s="203">
        <f>H362+G363</f>
        <v>-0.20200000000000001</v>
      </c>
      <c r="I363" s="203">
        <f>I362+H363</f>
        <v>0.30499999999999999</v>
      </c>
      <c r="J363" s="203">
        <f>J362+I363</f>
        <v>0.98399999999999999</v>
      </c>
      <c r="K363" s="203">
        <f>K362+J363</f>
        <v>-1.29</v>
      </c>
      <c r="L363" s="203"/>
      <c r="M363" s="203"/>
      <c r="N363" s="203">
        <f>N362+K363</f>
        <v>-2.54</v>
      </c>
      <c r="O363" s="203">
        <f>O362+N363</f>
        <v>-3.2349999999999999</v>
      </c>
      <c r="P363" s="203">
        <f>P362+O363</f>
        <v>1.923</v>
      </c>
      <c r="Q363" s="203">
        <f>Q362+P363</f>
        <v>2.1419999999999999</v>
      </c>
      <c r="R363" s="203">
        <f>R362+Q363</f>
        <v>2.375</v>
      </c>
      <c r="S363" s="203">
        <f>S362+R363</f>
        <v>2.4740000000000002</v>
      </c>
      <c r="T363" s="203"/>
      <c r="U363" s="203"/>
      <c r="V363" s="203"/>
      <c r="W363" s="203"/>
      <c r="Z363" s="301"/>
    </row>
    <row r="364" spans="1:28" s="237" customFormat="1" ht="18" customHeight="1">
      <c r="A364" s="595"/>
      <c r="B364" s="580" t="s">
        <v>37</v>
      </c>
      <c r="C364" s="575"/>
      <c r="D364" s="178" t="str">
        <f>серпень!D287</f>
        <v>факт. нат.п-ки 2023</v>
      </c>
      <c r="E364" s="179"/>
      <c r="F364" s="235">
        <v>0</v>
      </c>
      <c r="G364" s="235">
        <v>68</v>
      </c>
      <c r="H364" s="179">
        <v>68</v>
      </c>
      <c r="I364" s="179">
        <v>96</v>
      </c>
      <c r="J364" s="179">
        <v>48</v>
      </c>
      <c r="K364" s="179">
        <v>109</v>
      </c>
      <c r="L364" s="215">
        <f>SUM(F364:K364)</f>
        <v>389</v>
      </c>
      <c r="M364" s="215">
        <f>L364/6</f>
        <v>64.8</v>
      </c>
      <c r="N364" s="236">
        <v>51</v>
      </c>
      <c r="O364" s="236">
        <v>90</v>
      </c>
      <c r="P364" s="236">
        <v>65.2</v>
      </c>
      <c r="Q364" s="236">
        <v>83</v>
      </c>
      <c r="R364" s="236">
        <v>93</v>
      </c>
      <c r="S364" s="236">
        <v>110</v>
      </c>
      <c r="T364" s="215">
        <f>SUM(N364:S364)</f>
        <v>492.2</v>
      </c>
      <c r="U364" s="215">
        <f>T364+L364</f>
        <v>881.2</v>
      </c>
      <c r="V364" s="179">
        <v>881.2</v>
      </c>
      <c r="W364" s="184"/>
      <c r="X364" s="209"/>
      <c r="Z364" s="306"/>
    </row>
    <row r="365" spans="1:28" s="186" customFormat="1" ht="18" customHeight="1">
      <c r="A365" s="595"/>
      <c r="B365" s="576"/>
      <c r="C365" s="577"/>
      <c r="D365" s="178" t="str">
        <f>серпень!D288</f>
        <v>факт. нат.п-ки 2024</v>
      </c>
      <c r="E365" s="179"/>
      <c r="F365" s="238">
        <v>22</v>
      </c>
      <c r="G365" s="238">
        <v>39.1</v>
      </c>
      <c r="H365" s="238">
        <v>84</v>
      </c>
      <c r="I365" s="179">
        <v>94.7</v>
      </c>
      <c r="J365" s="179">
        <v>106.4</v>
      </c>
      <c r="K365" s="179">
        <v>122.4</v>
      </c>
      <c r="L365" s="215">
        <f>SUM(F365:K365)</f>
        <v>468.6</v>
      </c>
      <c r="M365" s="215">
        <f>L365/6</f>
        <v>78.099999999999994</v>
      </c>
      <c r="N365" s="236">
        <v>115.3</v>
      </c>
      <c r="O365" s="236">
        <v>147.30000000000001</v>
      </c>
      <c r="P365" s="236">
        <v>92.3</v>
      </c>
      <c r="Q365" s="236">
        <v>87.3</v>
      </c>
      <c r="R365" s="236">
        <v>93</v>
      </c>
      <c r="S365" s="236">
        <v>197.2</v>
      </c>
      <c r="T365" s="215">
        <f>SUM(N365:S365)</f>
        <v>732.4</v>
      </c>
      <c r="U365" s="215">
        <f>T365+L365</f>
        <v>1201</v>
      </c>
      <c r="V365" s="179">
        <v>1201</v>
      </c>
      <c r="W365" s="184"/>
      <c r="X365" s="185"/>
      <c r="Z365" s="297"/>
    </row>
    <row r="366" spans="1:28" s="237" customFormat="1" ht="18" customHeight="1">
      <c r="A366" s="595"/>
      <c r="B366" s="576"/>
      <c r="C366" s="577"/>
      <c r="D366" s="178" t="str">
        <f>серпень!D289</f>
        <v>факт. нат.п-ки 2025</v>
      </c>
      <c r="E366" s="179"/>
      <c r="F366" s="238">
        <v>80.5</v>
      </c>
      <c r="G366" s="238">
        <v>65.400000000000006</v>
      </c>
      <c r="H366" s="238">
        <v>110.7</v>
      </c>
      <c r="I366" s="179">
        <v>105</v>
      </c>
      <c r="J366" s="179">
        <v>122.2</v>
      </c>
      <c r="K366" s="256">
        <v>49.24</v>
      </c>
      <c r="L366" s="262">
        <f>SUM(F366:K366)</f>
        <v>533.04</v>
      </c>
      <c r="M366" s="262">
        <f>L366/6</f>
        <v>88.84</v>
      </c>
      <c r="N366" s="573">
        <v>45.64</v>
      </c>
      <c r="O366" s="236">
        <v>147.30000000000001</v>
      </c>
      <c r="P366" s="236">
        <v>92.3</v>
      </c>
      <c r="Q366" s="236">
        <v>87.3</v>
      </c>
      <c r="R366" s="236">
        <v>93</v>
      </c>
      <c r="S366" s="236">
        <v>39.5</v>
      </c>
      <c r="T366" s="215">
        <f>SUM(N366:S366)</f>
        <v>505</v>
      </c>
      <c r="U366" s="215">
        <f>T366+L366</f>
        <v>1038</v>
      </c>
      <c r="V366" s="179">
        <v>1043.3</v>
      </c>
      <c r="W366" s="184">
        <f>V366-U366</f>
        <v>5.3</v>
      </c>
      <c r="X366" s="209"/>
      <c r="Y366" s="157"/>
      <c r="Z366" s="293"/>
      <c r="AA366" s="157"/>
      <c r="AB366" s="157"/>
    </row>
    <row r="367" spans="1:28" s="173" customFormat="1" ht="18" customHeight="1">
      <c r="A367" s="595"/>
      <c r="B367" s="576"/>
      <c r="C367" s="577"/>
      <c r="D367" s="187" t="str">
        <f>серпень!D290</f>
        <v>тариф, грн.</v>
      </c>
      <c r="E367" s="188" t="e">
        <f>E368/E366*1000</f>
        <v>#DIV/0!</v>
      </c>
      <c r="F367" s="188">
        <f t="shared" ref="F367:J367" si="407">F368/F366*1000</f>
        <v>26.149000000000001</v>
      </c>
      <c r="G367" s="188">
        <f t="shared" si="407"/>
        <v>26.161999999999999</v>
      </c>
      <c r="H367" s="188">
        <f t="shared" si="407"/>
        <v>26.161000000000001</v>
      </c>
      <c r="I367" s="188">
        <f t="shared" si="407"/>
        <v>26.152000000000001</v>
      </c>
      <c r="J367" s="188">
        <f t="shared" si="407"/>
        <v>26.161999999999999</v>
      </c>
      <c r="K367" s="188">
        <v>26.16</v>
      </c>
      <c r="L367" s="218">
        <f>L368/L366*1000</f>
        <v>26.158000000000001</v>
      </c>
      <c r="M367" s="218">
        <f>M368/M366*1000</f>
        <v>26.158999999999999</v>
      </c>
      <c r="N367" s="218">
        <v>26.16</v>
      </c>
      <c r="O367" s="188">
        <v>26.16</v>
      </c>
      <c r="P367" s="188">
        <v>26.16</v>
      </c>
      <c r="Q367" s="188">
        <v>26.16</v>
      </c>
      <c r="R367" s="188">
        <v>26.16</v>
      </c>
      <c r="S367" s="188">
        <v>26.16</v>
      </c>
      <c r="T367" s="218">
        <f>T368/T366*1000</f>
        <v>26.164000000000001</v>
      </c>
      <c r="U367" s="218">
        <f>U368/U366*1000</f>
        <v>26.161999999999999</v>
      </c>
      <c r="V367" s="218">
        <f>V368/V366*1000</f>
        <v>23.658000000000001</v>
      </c>
      <c r="W367" s="218">
        <f>W368/W366*1000</f>
        <v>-466.79199999999997</v>
      </c>
      <c r="X367" s="209"/>
      <c r="Y367" s="157"/>
      <c r="Z367" s="293"/>
      <c r="AA367" s="157"/>
      <c r="AB367" s="157"/>
    </row>
    <row r="368" spans="1:28" s="173" customFormat="1" ht="18" customHeight="1">
      <c r="A368" s="595"/>
      <c r="B368" s="576"/>
      <c r="C368" s="577"/>
      <c r="D368" s="191" t="str">
        <f>серпень!D291</f>
        <v>сума, тис.грн.</v>
      </c>
      <c r="E368" s="192"/>
      <c r="F368" s="192">
        <v>2.105</v>
      </c>
      <c r="G368" s="192">
        <v>1.7110000000000001</v>
      </c>
      <c r="H368" s="192">
        <v>2.8959999999999999</v>
      </c>
      <c r="I368" s="192">
        <f>2.747-0.001</f>
        <v>2.746</v>
      </c>
      <c r="J368" s="192">
        <v>3.1970000000000001</v>
      </c>
      <c r="K368" s="192">
        <v>1.288</v>
      </c>
      <c r="L368" s="194">
        <f>SUM(F368:K368)</f>
        <v>13.943</v>
      </c>
      <c r="M368" s="194">
        <f>L368/6</f>
        <v>2.3239999999999998</v>
      </c>
      <c r="N368" s="192">
        <v>1.194</v>
      </c>
      <c r="O368" s="192">
        <f t="shared" ref="O368:R368" si="408">O366*O367/1000</f>
        <v>3.8530000000000002</v>
      </c>
      <c r="P368" s="192">
        <f t="shared" si="408"/>
        <v>2.415</v>
      </c>
      <c r="Q368" s="192">
        <f t="shared" si="408"/>
        <v>2.2839999999999998</v>
      </c>
      <c r="R368" s="192">
        <f t="shared" si="408"/>
        <v>2.4329999999999998</v>
      </c>
      <c r="S368" s="192">
        <f>S366*S367/1000+0.001</f>
        <v>1.034</v>
      </c>
      <c r="T368" s="194">
        <f>SUM(N368:S368)</f>
        <v>13.212999999999999</v>
      </c>
      <c r="U368" s="194">
        <f>T368+L368</f>
        <v>27.155999999999999</v>
      </c>
      <c r="V368" s="171">
        <f>V370+V369</f>
        <v>24.681999999999999</v>
      </c>
      <c r="W368" s="192">
        <f>V368-U368</f>
        <v>-2.4740000000000002</v>
      </c>
      <c r="X368" s="172"/>
      <c r="Z368" s="295"/>
    </row>
    <row r="369" spans="1:28" s="173" customFormat="1" ht="18" customHeight="1">
      <c r="A369" s="595"/>
      <c r="B369" s="576"/>
      <c r="C369" s="577"/>
      <c r="D369" s="174" t="str">
        <f>серпень!D292</f>
        <v>дотація</v>
      </c>
      <c r="E369" s="210"/>
      <c r="F369" s="192"/>
      <c r="G369" s="192"/>
      <c r="H369" s="192"/>
      <c r="I369" s="192"/>
      <c r="J369" s="192"/>
      <c r="K369" s="192"/>
      <c r="L369" s="194">
        <f>SUM(F369:K369)</f>
        <v>0</v>
      </c>
      <c r="M369" s="194">
        <f>L369/6</f>
        <v>0</v>
      </c>
      <c r="N369" s="192"/>
      <c r="O369" s="192"/>
      <c r="P369" s="192"/>
      <c r="Q369" s="192"/>
      <c r="R369" s="192"/>
      <c r="S369" s="192"/>
      <c r="T369" s="194">
        <f>SUM(N369:S369)</f>
        <v>0</v>
      </c>
      <c r="U369" s="194">
        <f>T369+L369</f>
        <v>0</v>
      </c>
      <c r="V369" s="171">
        <v>0</v>
      </c>
      <c r="W369" s="192">
        <f>V369-U369</f>
        <v>0</v>
      </c>
      <c r="X369" s="172"/>
      <c r="Z369" s="295"/>
    </row>
    <row r="370" spans="1:28" s="173" customFormat="1" ht="18" customHeight="1">
      <c r="A370" s="595"/>
      <c r="B370" s="576"/>
      <c r="C370" s="577"/>
      <c r="D370" s="174" t="str">
        <f>серпень!D293</f>
        <v>місцевий (план), тис.грн</v>
      </c>
      <c r="E370" s="210"/>
      <c r="F370" s="192">
        <v>0.52</v>
      </c>
      <c r="G370" s="192">
        <v>0.92500000000000004</v>
      </c>
      <c r="H370" s="192">
        <f>1.987+3.482</f>
        <v>5.4690000000000003</v>
      </c>
      <c r="I370" s="192">
        <v>2.2400000000000002</v>
      </c>
      <c r="J370" s="192">
        <v>2.5169999999999999</v>
      </c>
      <c r="K370" s="192">
        <f>2.896-0.692+1.356</f>
        <v>3.56</v>
      </c>
      <c r="L370" s="194">
        <f>SUM(F370:K370)</f>
        <v>15.231</v>
      </c>
      <c r="M370" s="194">
        <f>L370/6</f>
        <v>2.5390000000000001</v>
      </c>
      <c r="N370" s="192">
        <f>2.728-0.284</f>
        <v>2.444</v>
      </c>
      <c r="O370" s="192">
        <f>3.485-2.79</f>
        <v>0.69499999999999995</v>
      </c>
      <c r="P370" s="192">
        <f>2.184-1.356+0.284</f>
        <v>1.1120000000000001</v>
      </c>
      <c r="Q370" s="192">
        <v>2.0649999999999999</v>
      </c>
      <c r="R370" s="192">
        <v>2.2000000000000002</v>
      </c>
      <c r="S370" s="192">
        <v>0.93500000000000005</v>
      </c>
      <c r="T370" s="194">
        <f>SUM(N370:S370)</f>
        <v>9.4510000000000005</v>
      </c>
      <c r="U370" s="194">
        <f>T370+L370</f>
        <v>24.681999999999999</v>
      </c>
      <c r="V370" s="171">
        <v>24.681999999999999</v>
      </c>
      <c r="W370" s="192">
        <f>V370-U370</f>
        <v>0</v>
      </c>
      <c r="X370" s="172"/>
      <c r="Z370" s="295"/>
    </row>
    <row r="371" spans="1:28" s="157" customFormat="1" ht="18" customHeight="1">
      <c r="A371" s="595"/>
      <c r="B371" s="576"/>
      <c r="C371" s="577"/>
      <c r="D371" s="178" t="str">
        <f>серпень!D294</f>
        <v>касові нат.п-ки 2025</v>
      </c>
      <c r="E371" s="179"/>
      <c r="F371" s="184">
        <v>0</v>
      </c>
      <c r="G371" s="184">
        <v>0</v>
      </c>
      <c r="H371" s="179">
        <v>256.60000000000002</v>
      </c>
      <c r="I371" s="179">
        <v>105</v>
      </c>
      <c r="J371" s="179">
        <v>122.2</v>
      </c>
      <c r="K371" s="179">
        <v>49.24</v>
      </c>
      <c r="L371" s="215">
        <f>SUM(F371:K371)</f>
        <v>533</v>
      </c>
      <c r="M371" s="215">
        <f>L371/6</f>
        <v>88.8</v>
      </c>
      <c r="N371" s="260">
        <v>45.64</v>
      </c>
      <c r="O371" s="260">
        <v>0</v>
      </c>
      <c r="P371" s="179">
        <f>92.3+147.3</f>
        <v>239.6</v>
      </c>
      <c r="Q371" s="179">
        <v>87.3</v>
      </c>
      <c r="R371" s="179">
        <v>93</v>
      </c>
      <c r="S371" s="179">
        <v>39.5</v>
      </c>
      <c r="T371" s="215">
        <f>SUM(N371:S371)</f>
        <v>505</v>
      </c>
      <c r="U371" s="215">
        <f>T371+L371</f>
        <v>1038</v>
      </c>
      <c r="V371" s="179">
        <f>V366</f>
        <v>1043.3</v>
      </c>
      <c r="W371" s="184">
        <f>V371-U371</f>
        <v>5.3</v>
      </c>
      <c r="X371" s="185">
        <f>U366-U371</f>
        <v>0</v>
      </c>
      <c r="Z371" s="293"/>
    </row>
    <row r="372" spans="1:28" s="228" customFormat="1" ht="18" customHeight="1">
      <c r="A372" s="595"/>
      <c r="B372" s="576"/>
      <c r="C372" s="577"/>
      <c r="D372" s="187" t="str">
        <f>серпень!D295</f>
        <v>тариф, грн.</v>
      </c>
      <c r="E372" s="188" t="e">
        <f>E373/E371*1000</f>
        <v>#DIV/0!</v>
      </c>
      <c r="F372" s="188" t="e">
        <f t="shared" ref="F372:K372" si="409">F373/F371*1000</f>
        <v>#DIV/0!</v>
      </c>
      <c r="G372" s="188" t="e">
        <f t="shared" si="409"/>
        <v>#DIV/0!</v>
      </c>
      <c r="H372" s="188">
        <f t="shared" si="409"/>
        <v>26.157</v>
      </c>
      <c r="I372" s="188">
        <f t="shared" si="409"/>
        <v>26.161999999999999</v>
      </c>
      <c r="J372" s="188">
        <f t="shared" si="409"/>
        <v>26.154</v>
      </c>
      <c r="K372" s="188">
        <f t="shared" si="409"/>
        <v>26.117000000000001</v>
      </c>
      <c r="L372" s="218">
        <f>L373/L371*1000</f>
        <v>26.155999999999999</v>
      </c>
      <c r="M372" s="218">
        <f>M373/M371*1000</f>
        <v>26.170999999999999</v>
      </c>
      <c r="N372" s="218">
        <v>26.16</v>
      </c>
      <c r="O372" s="218">
        <v>26.16</v>
      </c>
      <c r="P372" s="218">
        <v>26.16</v>
      </c>
      <c r="Q372" s="218">
        <v>26.16</v>
      </c>
      <c r="R372" s="218">
        <v>26.16</v>
      </c>
      <c r="S372" s="218">
        <v>26.16</v>
      </c>
      <c r="T372" s="218">
        <f>T373/T371*1000</f>
        <v>26.167999999999999</v>
      </c>
      <c r="U372" s="218">
        <f>U373/U371*1000</f>
        <v>26.161999999999999</v>
      </c>
      <c r="V372" s="218">
        <f>V373/V371*1000</f>
        <v>23.658000000000001</v>
      </c>
      <c r="W372" s="218">
        <f>W373/W371*1000</f>
        <v>-466.79199999999997</v>
      </c>
      <c r="X372" s="185"/>
      <c r="Y372" s="209"/>
      <c r="Z372" s="293"/>
      <c r="AA372" s="209"/>
      <c r="AB372" s="209"/>
    </row>
    <row r="373" spans="1:28" s="239" customFormat="1" ht="18" customHeight="1">
      <c r="A373" s="595"/>
      <c r="B373" s="576"/>
      <c r="C373" s="577"/>
      <c r="D373" s="198" t="str">
        <f>серпень!D296</f>
        <v>касові видатки, тис.грн.</v>
      </c>
      <c r="E373" s="220"/>
      <c r="F373" s="199">
        <v>0</v>
      </c>
      <c r="G373" s="199">
        <v>0</v>
      </c>
      <c r="H373" s="199">
        <v>6.7119999999999997</v>
      </c>
      <c r="I373" s="199">
        <v>2.7469999999999999</v>
      </c>
      <c r="J373" s="199">
        <f>3.197-0.001</f>
        <v>3.1960000000000002</v>
      </c>
      <c r="K373" s="199">
        <f>1.287-0.001</f>
        <v>1.286</v>
      </c>
      <c r="L373" s="199">
        <f>SUM(F373:K373)</f>
        <v>13.941000000000001</v>
      </c>
      <c r="M373" s="199">
        <f>L373/6</f>
        <v>2.3239999999999998</v>
      </c>
      <c r="N373" s="199">
        <v>1.194</v>
      </c>
      <c r="O373" s="199">
        <v>0</v>
      </c>
      <c r="P373" s="199">
        <f>P371*P372/1000+0.002</f>
        <v>6.27</v>
      </c>
      <c r="Q373" s="199">
        <f t="shared" ref="Q373" si="410">Q371*Q372/1000</f>
        <v>2.2839999999999998</v>
      </c>
      <c r="R373" s="199">
        <f t="shared" ref="R373" si="411">R371*R372/1000</f>
        <v>2.4329999999999998</v>
      </c>
      <c r="S373" s="199">
        <f>S371*S372/1000+0.001</f>
        <v>1.034</v>
      </c>
      <c r="T373" s="199">
        <f>SUM(N373:S373)</f>
        <v>13.215</v>
      </c>
      <c r="U373" s="199">
        <f>T373+L373</f>
        <v>27.155999999999999</v>
      </c>
      <c r="V373" s="199">
        <f>V368</f>
        <v>24.681999999999999</v>
      </c>
      <c r="W373" s="221">
        <f>V373-U373</f>
        <v>-2.4740000000000002</v>
      </c>
      <c r="X373" s="176">
        <f>U368-U373</f>
        <v>0</v>
      </c>
      <c r="Z373" s="300"/>
    </row>
    <row r="374" spans="1:28" s="239" customFormat="1" ht="18" customHeight="1">
      <c r="A374" s="595"/>
      <c r="B374" s="576"/>
      <c r="C374" s="577"/>
      <c r="D374" s="201" t="str">
        <f>серпень!D297</f>
        <v>дотація</v>
      </c>
      <c r="E374" s="220"/>
      <c r="F374" s="199">
        <v>0</v>
      </c>
      <c r="G374" s="199">
        <v>0</v>
      </c>
      <c r="H374" s="199">
        <v>0</v>
      </c>
      <c r="I374" s="199">
        <v>0</v>
      </c>
      <c r="J374" s="199">
        <v>0</v>
      </c>
      <c r="K374" s="199">
        <v>0</v>
      </c>
      <c r="L374" s="199">
        <f>SUM(F374:K374)</f>
        <v>0</v>
      </c>
      <c r="M374" s="199">
        <f>L374/6</f>
        <v>0</v>
      </c>
      <c r="N374" s="199">
        <v>0</v>
      </c>
      <c r="O374" s="199">
        <v>0</v>
      </c>
      <c r="P374" s="199">
        <v>0</v>
      </c>
      <c r="Q374" s="199">
        <v>0</v>
      </c>
      <c r="R374" s="199">
        <v>0</v>
      </c>
      <c r="S374" s="199">
        <v>0</v>
      </c>
      <c r="T374" s="199">
        <f>SUM(N374:S374)</f>
        <v>0</v>
      </c>
      <c r="U374" s="199">
        <f>T374+L374</f>
        <v>0</v>
      </c>
      <c r="V374" s="199">
        <f>V369</f>
        <v>0</v>
      </c>
      <c r="W374" s="221">
        <f>V374-U374</f>
        <v>0</v>
      </c>
      <c r="X374" s="176">
        <f>U369-U374</f>
        <v>0</v>
      </c>
      <c r="Z374" s="300"/>
    </row>
    <row r="375" spans="1:28" s="239" customFormat="1" ht="18" customHeight="1">
      <c r="A375" s="595"/>
      <c r="B375" s="576"/>
      <c r="C375" s="577"/>
      <c r="D375" s="201" t="str">
        <f>серпень!D298</f>
        <v xml:space="preserve">місцевий </v>
      </c>
      <c r="E375" s="220"/>
      <c r="F375" s="199">
        <f t="shared" ref="F375:K375" si="412">F373-F374</f>
        <v>0</v>
      </c>
      <c r="G375" s="199">
        <f t="shared" si="412"/>
        <v>0</v>
      </c>
      <c r="H375" s="199">
        <f t="shared" si="412"/>
        <v>6.7119999999999997</v>
      </c>
      <c r="I375" s="199">
        <f t="shared" si="412"/>
        <v>2.7469999999999999</v>
      </c>
      <c r="J375" s="199">
        <f t="shared" si="412"/>
        <v>3.1960000000000002</v>
      </c>
      <c r="K375" s="199">
        <f t="shared" si="412"/>
        <v>1.286</v>
      </c>
      <c r="L375" s="199">
        <f>SUM(F375:K375)</f>
        <v>13.941000000000001</v>
      </c>
      <c r="M375" s="199">
        <f>L375/6</f>
        <v>2.3239999999999998</v>
      </c>
      <c r="N375" s="199">
        <f t="shared" ref="N375:S375" si="413">N373-N374</f>
        <v>1.194</v>
      </c>
      <c r="O375" s="199">
        <f t="shared" si="413"/>
        <v>0</v>
      </c>
      <c r="P375" s="199">
        <f t="shared" si="413"/>
        <v>6.27</v>
      </c>
      <c r="Q375" s="199">
        <f t="shared" si="413"/>
        <v>2.2839999999999998</v>
      </c>
      <c r="R375" s="199">
        <f t="shared" si="413"/>
        <v>2.4329999999999998</v>
      </c>
      <c r="S375" s="199">
        <f t="shared" si="413"/>
        <v>1.034</v>
      </c>
      <c r="T375" s="199">
        <f>SUM(N375:S375)</f>
        <v>13.215</v>
      </c>
      <c r="U375" s="199">
        <f>T375+L375</f>
        <v>27.155999999999999</v>
      </c>
      <c r="V375" s="199">
        <f>V370</f>
        <v>24.681999999999999</v>
      </c>
      <c r="W375" s="221">
        <f>V375-U375</f>
        <v>-2.4740000000000002</v>
      </c>
      <c r="X375" s="176">
        <f>U370-U375</f>
        <v>-2.4740000000000002</v>
      </c>
      <c r="Z375" s="300"/>
    </row>
    <row r="376" spans="1:28" s="205" customFormat="1" ht="18" customHeight="1">
      <c r="A376" s="595"/>
      <c r="B376" s="576"/>
      <c r="C376" s="577"/>
      <c r="D376" s="202" t="str">
        <f>серпень!D299</f>
        <v>план</v>
      </c>
      <c r="E376" s="203"/>
      <c r="F376" s="203">
        <f t="shared" ref="F376:K376" si="414">F369+F370</f>
        <v>0.52</v>
      </c>
      <c r="G376" s="203">
        <f t="shared" si="414"/>
        <v>0.92500000000000004</v>
      </c>
      <c r="H376" s="203">
        <f t="shared" si="414"/>
        <v>5.4690000000000003</v>
      </c>
      <c r="I376" s="203">
        <f t="shared" si="414"/>
        <v>2.2400000000000002</v>
      </c>
      <c r="J376" s="203">
        <f t="shared" si="414"/>
        <v>2.5169999999999999</v>
      </c>
      <c r="K376" s="203">
        <f t="shared" si="414"/>
        <v>3.56</v>
      </c>
      <c r="L376" s="203">
        <f>SUM(F376:K376)</f>
        <v>15.231</v>
      </c>
      <c r="M376" s="203">
        <f>L376/6</f>
        <v>2.5390000000000001</v>
      </c>
      <c r="N376" s="203">
        <f t="shared" ref="N376:S376" si="415">N370+N369</f>
        <v>2.444</v>
      </c>
      <c r="O376" s="203">
        <f t="shared" si="415"/>
        <v>0.69499999999999995</v>
      </c>
      <c r="P376" s="203">
        <f t="shared" si="415"/>
        <v>1.1120000000000001</v>
      </c>
      <c r="Q376" s="203">
        <f t="shared" si="415"/>
        <v>2.0649999999999999</v>
      </c>
      <c r="R376" s="203">
        <f t="shared" si="415"/>
        <v>2.2000000000000002</v>
      </c>
      <c r="S376" s="203">
        <f t="shared" si="415"/>
        <v>0.93500000000000005</v>
      </c>
      <c r="T376" s="203">
        <f>SUM(N376:S376)</f>
        <v>9.4510000000000005</v>
      </c>
      <c r="U376" s="203">
        <f>T376+L376</f>
        <v>24.681999999999999</v>
      </c>
      <c r="V376" s="203">
        <f>V373</f>
        <v>24.681999999999999</v>
      </c>
      <c r="W376" s="203">
        <f>V376-U376</f>
        <v>0</v>
      </c>
      <c r="Z376" s="301"/>
    </row>
    <row r="377" spans="1:28" s="205" customFormat="1" ht="18" customHeight="1">
      <c r="A377" s="595"/>
      <c r="B377" s="576"/>
      <c r="C377" s="577"/>
      <c r="D377" s="202" t="str">
        <f>серпень!D300</f>
        <v xml:space="preserve">відхилення </v>
      </c>
      <c r="E377" s="203"/>
      <c r="F377" s="203">
        <f t="shared" ref="F377:K377" si="416">F373-F376</f>
        <v>-0.52</v>
      </c>
      <c r="G377" s="203">
        <f t="shared" si="416"/>
        <v>-0.92500000000000004</v>
      </c>
      <c r="H377" s="203">
        <f t="shared" si="416"/>
        <v>1.2430000000000001</v>
      </c>
      <c r="I377" s="203">
        <f t="shared" si="416"/>
        <v>0.50700000000000001</v>
      </c>
      <c r="J377" s="203">
        <f t="shared" si="416"/>
        <v>0.67900000000000005</v>
      </c>
      <c r="K377" s="203">
        <f t="shared" si="416"/>
        <v>-2.274</v>
      </c>
      <c r="L377" s="203"/>
      <c r="M377" s="203"/>
      <c r="N377" s="203">
        <f t="shared" ref="N377:S377" si="417">N373-N376</f>
        <v>-1.25</v>
      </c>
      <c r="O377" s="203">
        <f t="shared" si="417"/>
        <v>-0.69499999999999995</v>
      </c>
      <c r="P377" s="203">
        <f t="shared" si="417"/>
        <v>5.1580000000000004</v>
      </c>
      <c r="Q377" s="203">
        <f t="shared" si="417"/>
        <v>0.219</v>
      </c>
      <c r="R377" s="203">
        <f t="shared" si="417"/>
        <v>0.23300000000000001</v>
      </c>
      <c r="S377" s="203">
        <f t="shared" si="417"/>
        <v>9.9000000000000005E-2</v>
      </c>
      <c r="T377" s="203"/>
      <c r="U377" s="203"/>
      <c r="V377" s="203"/>
      <c r="W377" s="203"/>
      <c r="Z377" s="301"/>
    </row>
    <row r="378" spans="1:28" s="205" customFormat="1" ht="18" customHeight="1">
      <c r="A378" s="595"/>
      <c r="B378" s="576"/>
      <c r="C378" s="577"/>
      <c r="D378" s="202" t="str">
        <f>серпень!D301</f>
        <v>відхилення з наростаючим</v>
      </c>
      <c r="E378" s="203"/>
      <c r="F378" s="203">
        <f>F377</f>
        <v>-0.52</v>
      </c>
      <c r="G378" s="203">
        <f>G377+F378</f>
        <v>-1.4450000000000001</v>
      </c>
      <c r="H378" s="203">
        <f>H377+G378</f>
        <v>-0.20200000000000001</v>
      </c>
      <c r="I378" s="203">
        <f>I377+H378</f>
        <v>0.30499999999999999</v>
      </c>
      <c r="J378" s="203">
        <f>J377+I378</f>
        <v>0.98399999999999999</v>
      </c>
      <c r="K378" s="203">
        <f>K377+J378</f>
        <v>-1.29</v>
      </c>
      <c r="L378" s="203"/>
      <c r="M378" s="203"/>
      <c r="N378" s="203">
        <f>N377+K378</f>
        <v>-2.54</v>
      </c>
      <c r="O378" s="203">
        <f>O377+N378</f>
        <v>-3.2349999999999999</v>
      </c>
      <c r="P378" s="203">
        <f>P377+O378</f>
        <v>1.923</v>
      </c>
      <c r="Q378" s="203">
        <f>Q377+P378</f>
        <v>2.1419999999999999</v>
      </c>
      <c r="R378" s="203">
        <f>R377+Q378</f>
        <v>2.375</v>
      </c>
      <c r="S378" s="203">
        <f>S377+R378</f>
        <v>2.4740000000000002</v>
      </c>
      <c r="T378" s="203"/>
      <c r="U378" s="203"/>
      <c r="V378" s="203"/>
      <c r="W378" s="203"/>
      <c r="Z378" s="301"/>
    </row>
    <row r="379" spans="1:28" s="205" customFormat="1" ht="18" hidden="1" customHeight="1">
      <c r="A379" s="595"/>
      <c r="B379" s="580" t="s">
        <v>96</v>
      </c>
      <c r="C379" s="575"/>
      <c r="D379" s="178" t="str">
        <f>серпень!D302</f>
        <v>факт. нат.п-ки 2023</v>
      </c>
      <c r="E379" s="179"/>
      <c r="F379" s="180"/>
      <c r="G379" s="180"/>
      <c r="H379" s="180"/>
      <c r="I379" s="180"/>
      <c r="J379" s="180"/>
      <c r="K379" s="180"/>
      <c r="L379" s="215">
        <f>SUM(F379:K379)</f>
        <v>0</v>
      </c>
      <c r="M379" s="215">
        <f>L379/6</f>
        <v>0</v>
      </c>
      <c r="N379" s="180"/>
      <c r="O379" s="180"/>
      <c r="P379" s="180"/>
      <c r="Q379" s="180"/>
      <c r="R379" s="180"/>
      <c r="S379" s="180"/>
      <c r="T379" s="215">
        <f>SUM(N379:S379)</f>
        <v>0</v>
      </c>
      <c r="U379" s="226">
        <f>T379+L379</f>
        <v>0</v>
      </c>
      <c r="V379" s="227"/>
      <c r="W379" s="184">
        <f>V379-U379</f>
        <v>0</v>
      </c>
      <c r="Z379" s="301"/>
    </row>
    <row r="380" spans="1:28" s="205" customFormat="1" ht="18" hidden="1" customHeight="1">
      <c r="A380" s="595"/>
      <c r="B380" s="576"/>
      <c r="C380" s="577"/>
      <c r="D380" s="178" t="str">
        <f>серпень!D303</f>
        <v>факт. нат.п-ки 2024</v>
      </c>
      <c r="E380" s="179"/>
      <c r="F380" s="180"/>
      <c r="G380" s="180"/>
      <c r="H380" s="180"/>
      <c r="I380" s="180"/>
      <c r="J380" s="180"/>
      <c r="K380" s="180"/>
      <c r="L380" s="215">
        <f>SUM(F380:K380)</f>
        <v>0</v>
      </c>
      <c r="M380" s="215">
        <f>L380/6</f>
        <v>0</v>
      </c>
      <c r="N380" s="179"/>
      <c r="O380" s="179"/>
      <c r="P380" s="179"/>
      <c r="Q380" s="179"/>
      <c r="R380" s="179"/>
      <c r="S380" s="179"/>
      <c r="T380" s="215">
        <f>SUM(N380:S380)</f>
        <v>0</v>
      </c>
      <c r="U380" s="226">
        <f>T380+L380</f>
        <v>0</v>
      </c>
      <c r="V380" s="227"/>
      <c r="W380" s="184">
        <f>V380-U380</f>
        <v>0</v>
      </c>
      <c r="Z380" s="301"/>
    </row>
    <row r="381" spans="1:28" s="205" customFormat="1" ht="18" hidden="1" customHeight="1">
      <c r="A381" s="595"/>
      <c r="B381" s="576"/>
      <c r="C381" s="577"/>
      <c r="D381" s="178" t="str">
        <f>серпень!D304</f>
        <v>факт. нат.п-ки 2025</v>
      </c>
      <c r="E381" s="179"/>
      <c r="F381" s="180"/>
      <c r="G381" s="180"/>
      <c r="H381" s="180"/>
      <c r="I381" s="180"/>
      <c r="J381" s="180"/>
      <c r="K381" s="180"/>
      <c r="L381" s="215">
        <f>SUM(F381:K381)</f>
        <v>0</v>
      </c>
      <c r="M381" s="215">
        <f>L381/6</f>
        <v>0</v>
      </c>
      <c r="N381" s="180"/>
      <c r="O381" s="180"/>
      <c r="P381" s="180"/>
      <c r="Q381" s="180"/>
      <c r="R381" s="180"/>
      <c r="S381" s="179"/>
      <c r="T381" s="215">
        <f>SUM(N381:S381)</f>
        <v>0</v>
      </c>
      <c r="U381" s="226">
        <f>T381+L381</f>
        <v>0</v>
      </c>
      <c r="V381" s="179"/>
      <c r="W381" s="184">
        <f>V381-U381</f>
        <v>0</v>
      </c>
      <c r="Z381" s="301"/>
    </row>
    <row r="382" spans="1:28" s="205" customFormat="1" ht="18" hidden="1" customHeight="1">
      <c r="A382" s="595"/>
      <c r="B382" s="576"/>
      <c r="C382" s="577"/>
      <c r="D382" s="187" t="str">
        <f>серпень!D305</f>
        <v>тариф, грн.</v>
      </c>
      <c r="E382" s="188"/>
      <c r="F382" s="188"/>
      <c r="G382" s="188"/>
      <c r="H382" s="188"/>
      <c r="I382" s="188"/>
      <c r="J382" s="188"/>
      <c r="K382" s="188"/>
      <c r="L382" s="188" t="e">
        <f>L383/L381*1000</f>
        <v>#DIV/0!</v>
      </c>
      <c r="M382" s="188" t="e">
        <f>M383/M381*1000</f>
        <v>#DIV/0!</v>
      </c>
      <c r="N382" s="188"/>
      <c r="O382" s="188"/>
      <c r="P382" s="188"/>
      <c r="Q382" s="188"/>
      <c r="R382" s="188"/>
      <c r="S382" s="188"/>
      <c r="T382" s="188" t="e">
        <f>T383/T381*1000</f>
        <v>#DIV/0!</v>
      </c>
      <c r="U382" s="188" t="e">
        <f>U383/U381*1000</f>
        <v>#DIV/0!</v>
      </c>
      <c r="V382" s="218" t="e">
        <f>V383/V381*1000</f>
        <v>#DIV/0!</v>
      </c>
      <c r="W382" s="189" t="e">
        <f>W383/W381*1000</f>
        <v>#DIV/0!</v>
      </c>
      <c r="Z382" s="301"/>
    </row>
    <row r="383" spans="1:28" s="205" customFormat="1" ht="18" hidden="1" customHeight="1">
      <c r="A383" s="595"/>
      <c r="B383" s="576"/>
      <c r="C383" s="577"/>
      <c r="D383" s="191" t="str">
        <f>серпень!D306</f>
        <v>сума, тис.грн.</v>
      </c>
      <c r="E383" s="192"/>
      <c r="F383" s="192">
        <f t="shared" ref="F383:K383" si="418">F381*F382/1000</f>
        <v>0</v>
      </c>
      <c r="G383" s="192">
        <f t="shared" si="418"/>
        <v>0</v>
      </c>
      <c r="H383" s="192">
        <f t="shared" si="418"/>
        <v>0</v>
      </c>
      <c r="I383" s="192">
        <f t="shared" si="418"/>
        <v>0</v>
      </c>
      <c r="J383" s="192">
        <f t="shared" si="418"/>
        <v>0</v>
      </c>
      <c r="K383" s="192">
        <f t="shared" si="418"/>
        <v>0</v>
      </c>
      <c r="L383" s="194">
        <f>SUM(F383:K383)</f>
        <v>0</v>
      </c>
      <c r="M383" s="194">
        <f>L383/6</f>
        <v>0</v>
      </c>
      <c r="N383" s="192">
        <f t="shared" ref="N383:S383" si="419">N381*N382/1000</f>
        <v>0</v>
      </c>
      <c r="O383" s="192">
        <f t="shared" si="419"/>
        <v>0</v>
      </c>
      <c r="P383" s="192">
        <f t="shared" si="419"/>
        <v>0</v>
      </c>
      <c r="Q383" s="192">
        <f t="shared" si="419"/>
        <v>0</v>
      </c>
      <c r="R383" s="192">
        <f t="shared" si="419"/>
        <v>0</v>
      </c>
      <c r="S383" s="192">
        <f t="shared" si="419"/>
        <v>0</v>
      </c>
      <c r="T383" s="194">
        <f>SUM(N383:S383)</f>
        <v>0</v>
      </c>
      <c r="U383" s="194">
        <f>T383+L383</f>
        <v>0</v>
      </c>
      <c r="V383" s="171">
        <f>V384+V385</f>
        <v>0</v>
      </c>
      <c r="W383" s="193">
        <f>V383-U383</f>
        <v>0</v>
      </c>
      <c r="Z383" s="301"/>
    </row>
    <row r="384" spans="1:28" s="205" customFormat="1" ht="18" hidden="1" customHeight="1">
      <c r="A384" s="595"/>
      <c r="B384" s="576"/>
      <c r="C384" s="577"/>
      <c r="D384" s="174" t="str">
        <f>серпень!D307</f>
        <v>дотація</v>
      </c>
      <c r="E384" s="210"/>
      <c r="F384" s="192"/>
      <c r="G384" s="192"/>
      <c r="H384" s="192"/>
      <c r="I384" s="192"/>
      <c r="J384" s="192"/>
      <c r="K384" s="192"/>
      <c r="L384" s="194">
        <f>SUM(F384:K384)</f>
        <v>0</v>
      </c>
      <c r="M384" s="194">
        <f>L384/6</f>
        <v>0</v>
      </c>
      <c r="N384" s="192"/>
      <c r="O384" s="192"/>
      <c r="P384" s="192"/>
      <c r="Q384" s="192"/>
      <c r="R384" s="192"/>
      <c r="S384" s="192"/>
      <c r="T384" s="194">
        <f>SUM(N384:S384)</f>
        <v>0</v>
      </c>
      <c r="U384" s="194">
        <f>T384+L384</f>
        <v>0</v>
      </c>
      <c r="V384" s="171"/>
      <c r="W384" s="193">
        <f>V384-U384</f>
        <v>0</v>
      </c>
      <c r="Z384" s="301"/>
    </row>
    <row r="385" spans="1:28" s="205" customFormat="1" ht="18" hidden="1" customHeight="1">
      <c r="A385" s="595"/>
      <c r="B385" s="576"/>
      <c r="C385" s="577"/>
      <c r="D385" s="174" t="str">
        <f>серпень!D308</f>
        <v>місцевий (план), тис.грн</v>
      </c>
      <c r="E385" s="210"/>
      <c r="F385" s="192"/>
      <c r="G385" s="192"/>
      <c r="H385" s="192"/>
      <c r="I385" s="192"/>
      <c r="J385" s="192"/>
      <c r="K385" s="192"/>
      <c r="L385" s="194">
        <f>SUM(F385:K385)</f>
        <v>0</v>
      </c>
      <c r="M385" s="194">
        <f>L385/6</f>
        <v>0</v>
      </c>
      <c r="N385" s="192"/>
      <c r="O385" s="192"/>
      <c r="P385" s="192"/>
      <c r="Q385" s="192"/>
      <c r="R385" s="192"/>
      <c r="S385" s="192"/>
      <c r="T385" s="194">
        <f>SUM(N385:S385)</f>
        <v>0</v>
      </c>
      <c r="U385" s="194">
        <f>T385+L385</f>
        <v>0</v>
      </c>
      <c r="V385" s="171"/>
      <c r="W385" s="193">
        <f>V385-U385</f>
        <v>0</v>
      </c>
      <c r="Z385" s="301"/>
    </row>
    <row r="386" spans="1:28" s="205" customFormat="1" ht="18" hidden="1" customHeight="1">
      <c r="A386" s="595"/>
      <c r="B386" s="576"/>
      <c r="C386" s="577"/>
      <c r="D386" s="178" t="str">
        <f>серпень!D309</f>
        <v>касові нат.п-ки 2025</v>
      </c>
      <c r="E386" s="179"/>
      <c r="F386" s="179"/>
      <c r="G386" s="179"/>
      <c r="H386" s="179"/>
      <c r="I386" s="179"/>
      <c r="J386" s="179"/>
      <c r="K386" s="179"/>
      <c r="L386" s="215">
        <f>SUM(F386:K386)</f>
        <v>0</v>
      </c>
      <c r="M386" s="215">
        <f>L386/6</f>
        <v>0</v>
      </c>
      <c r="N386" s="179"/>
      <c r="O386" s="179"/>
      <c r="P386" s="179"/>
      <c r="Q386" s="179"/>
      <c r="R386" s="179"/>
      <c r="S386" s="179">
        <f>S381+R381</f>
        <v>0</v>
      </c>
      <c r="T386" s="215">
        <f>SUM(N386:S386)</f>
        <v>0</v>
      </c>
      <c r="U386" s="215">
        <f>T386+L386</f>
        <v>0</v>
      </c>
      <c r="V386" s="179">
        <f>V381</f>
        <v>0</v>
      </c>
      <c r="W386" s="184">
        <f>V386-U386</f>
        <v>0</v>
      </c>
      <c r="X386" s="185">
        <f>U381-U386</f>
        <v>0</v>
      </c>
      <c r="Z386" s="301"/>
    </row>
    <row r="387" spans="1:28" s="205" customFormat="1" ht="18" hidden="1" customHeight="1">
      <c r="A387" s="595"/>
      <c r="B387" s="576"/>
      <c r="C387" s="577"/>
      <c r="D387" s="187" t="str">
        <f>серпень!D310</f>
        <v>тариф, грн.</v>
      </c>
      <c r="E387" s="188" t="e">
        <f>E388/E386*1000</f>
        <v>#DIV/0!</v>
      </c>
      <c r="F387" s="188"/>
      <c r="G387" s="188"/>
      <c r="H387" s="188"/>
      <c r="I387" s="188"/>
      <c r="J387" s="188"/>
      <c r="K387" s="188"/>
      <c r="L387" s="188" t="e">
        <f>L388/L386*1000</f>
        <v>#DIV/0!</v>
      </c>
      <c r="M387" s="188" t="e">
        <f>M388/M386*1000</f>
        <v>#DIV/0!</v>
      </c>
      <c r="N387" s="188"/>
      <c r="O387" s="188"/>
      <c r="P387" s="188"/>
      <c r="Q387" s="188"/>
      <c r="R387" s="188"/>
      <c r="S387" s="188"/>
      <c r="T387" s="188" t="e">
        <f>T388/T386*1000</f>
        <v>#DIV/0!</v>
      </c>
      <c r="U387" s="188" t="e">
        <f>U388/U386*1000</f>
        <v>#DIV/0!</v>
      </c>
      <c r="V387" s="218" t="e">
        <f>V388/V386*1000</f>
        <v>#DIV/0!</v>
      </c>
      <c r="W387" s="189" t="e">
        <f>W388/W386*1000</f>
        <v>#DIV/0!</v>
      </c>
      <c r="X387" s="185"/>
      <c r="Z387" s="301"/>
    </row>
    <row r="388" spans="1:28" s="205" customFormat="1" ht="18" hidden="1" customHeight="1">
      <c r="A388" s="595"/>
      <c r="B388" s="576"/>
      <c r="C388" s="577"/>
      <c r="D388" s="198" t="str">
        <f>серпень!D311</f>
        <v>касові видатки, тис.грн.</v>
      </c>
      <c r="E388" s="220"/>
      <c r="F388" s="199">
        <f t="shared" ref="F388:K388" si="420">F386*F387/1000</f>
        <v>0</v>
      </c>
      <c r="G388" s="199">
        <f t="shared" si="420"/>
        <v>0</v>
      </c>
      <c r="H388" s="199">
        <f t="shared" si="420"/>
        <v>0</v>
      </c>
      <c r="I388" s="199">
        <f t="shared" si="420"/>
        <v>0</v>
      </c>
      <c r="J388" s="199">
        <f t="shared" si="420"/>
        <v>0</v>
      </c>
      <c r="K388" s="199">
        <f t="shared" si="420"/>
        <v>0</v>
      </c>
      <c r="L388" s="199">
        <f>SUM(F388:K388)</f>
        <v>0</v>
      </c>
      <c r="M388" s="199">
        <f>L388/6</f>
        <v>0</v>
      </c>
      <c r="N388" s="199">
        <f t="shared" ref="N388:S388" si="421">N386*N387/1000</f>
        <v>0</v>
      </c>
      <c r="O388" s="199">
        <f t="shared" si="421"/>
        <v>0</v>
      </c>
      <c r="P388" s="199">
        <f t="shared" si="421"/>
        <v>0</v>
      </c>
      <c r="Q388" s="199">
        <f t="shared" si="421"/>
        <v>0</v>
      </c>
      <c r="R388" s="199">
        <f t="shared" si="421"/>
        <v>0</v>
      </c>
      <c r="S388" s="199">
        <f t="shared" si="421"/>
        <v>0</v>
      </c>
      <c r="T388" s="199">
        <f>SUM(N388:S388)</f>
        <v>0</v>
      </c>
      <c r="U388" s="199">
        <f>T388+L388</f>
        <v>0</v>
      </c>
      <c r="V388" s="199">
        <f>V383</f>
        <v>0</v>
      </c>
      <c r="W388" s="221">
        <f>V388-U388</f>
        <v>0</v>
      </c>
      <c r="X388" s="176">
        <f>U383-U388</f>
        <v>0</v>
      </c>
      <c r="Z388" s="301"/>
    </row>
    <row r="389" spans="1:28" s="205" customFormat="1" ht="18" hidden="1" customHeight="1">
      <c r="A389" s="595"/>
      <c r="B389" s="576"/>
      <c r="C389" s="577"/>
      <c r="D389" s="201" t="str">
        <f>серпень!D312</f>
        <v>дотація</v>
      </c>
      <c r="E389" s="220"/>
      <c r="F389" s="199"/>
      <c r="G389" s="199"/>
      <c r="H389" s="199"/>
      <c r="I389" s="199"/>
      <c r="J389" s="199"/>
      <c r="K389" s="199"/>
      <c r="L389" s="199">
        <f>SUM(F389:K389)</f>
        <v>0</v>
      </c>
      <c r="M389" s="199">
        <f>L389/6</f>
        <v>0</v>
      </c>
      <c r="N389" s="199"/>
      <c r="O389" s="199"/>
      <c r="P389" s="199"/>
      <c r="Q389" s="199"/>
      <c r="R389" s="199"/>
      <c r="S389" s="199"/>
      <c r="T389" s="199">
        <f>SUM(N389:S389)</f>
        <v>0</v>
      </c>
      <c r="U389" s="199">
        <f>T389+L389</f>
        <v>0</v>
      </c>
      <c r="V389" s="199">
        <f>V384</f>
        <v>0</v>
      </c>
      <c r="W389" s="221">
        <f>V389-U389</f>
        <v>0</v>
      </c>
      <c r="X389" s="176">
        <f>U384-U389</f>
        <v>0</v>
      </c>
      <c r="Z389" s="301"/>
    </row>
    <row r="390" spans="1:28" s="205" customFormat="1" ht="18" hidden="1" customHeight="1">
      <c r="A390" s="595"/>
      <c r="B390" s="576"/>
      <c r="C390" s="577"/>
      <c r="D390" s="201" t="str">
        <f>серпень!D313</f>
        <v xml:space="preserve">місцевий </v>
      </c>
      <c r="E390" s="220"/>
      <c r="F390" s="199">
        <f t="shared" ref="F390:K390" si="422">F388-F389</f>
        <v>0</v>
      </c>
      <c r="G390" s="199">
        <f t="shared" si="422"/>
        <v>0</v>
      </c>
      <c r="H390" s="199">
        <f t="shared" si="422"/>
        <v>0</v>
      </c>
      <c r="I390" s="199">
        <f t="shared" si="422"/>
        <v>0</v>
      </c>
      <c r="J390" s="199">
        <f t="shared" si="422"/>
        <v>0</v>
      </c>
      <c r="K390" s="199">
        <f t="shared" si="422"/>
        <v>0</v>
      </c>
      <c r="L390" s="199">
        <f>SUM(F390:K390)</f>
        <v>0</v>
      </c>
      <c r="M390" s="199">
        <f>L390/6</f>
        <v>0</v>
      </c>
      <c r="N390" s="199">
        <f t="shared" ref="N390:S390" si="423">N388-N389</f>
        <v>0</v>
      </c>
      <c r="O390" s="199">
        <f t="shared" si="423"/>
        <v>0</v>
      </c>
      <c r="P390" s="199">
        <f t="shared" si="423"/>
        <v>0</v>
      </c>
      <c r="Q390" s="199">
        <f t="shared" si="423"/>
        <v>0</v>
      </c>
      <c r="R390" s="199">
        <f t="shared" si="423"/>
        <v>0</v>
      </c>
      <c r="S390" s="199">
        <f t="shared" si="423"/>
        <v>0</v>
      </c>
      <c r="T390" s="199">
        <f>SUM(N390:S390)</f>
        <v>0</v>
      </c>
      <c r="U390" s="199">
        <f>T390+L390</f>
        <v>0</v>
      </c>
      <c r="V390" s="199">
        <f>V385</f>
        <v>0</v>
      </c>
      <c r="W390" s="221">
        <f>V390-U390</f>
        <v>0</v>
      </c>
      <c r="X390" s="176">
        <f>U385-U390</f>
        <v>0</v>
      </c>
      <c r="Z390" s="301"/>
    </row>
    <row r="391" spans="1:28" s="205" customFormat="1" ht="17.100000000000001" hidden="1" customHeight="1">
      <c r="A391" s="595"/>
      <c r="B391" s="576"/>
      <c r="C391" s="577"/>
      <c r="D391" s="202" t="str">
        <f>серпень!D314</f>
        <v>план</v>
      </c>
      <c r="E391" s="203"/>
      <c r="F391" s="203">
        <f t="shared" ref="F391:K391" si="424">F385</f>
        <v>0</v>
      </c>
      <c r="G391" s="203">
        <f t="shared" si="424"/>
        <v>0</v>
      </c>
      <c r="H391" s="203">
        <f t="shared" si="424"/>
        <v>0</v>
      </c>
      <c r="I391" s="203">
        <f t="shared" si="424"/>
        <v>0</v>
      </c>
      <c r="J391" s="203">
        <f t="shared" si="424"/>
        <v>0</v>
      </c>
      <c r="K391" s="203">
        <f t="shared" si="424"/>
        <v>0</v>
      </c>
      <c r="L391" s="203">
        <f>SUM(F391:K391)</f>
        <v>0</v>
      </c>
      <c r="M391" s="203">
        <f>L391/6</f>
        <v>0</v>
      </c>
      <c r="N391" s="203">
        <f t="shared" ref="N391:S391" si="425">N385+N384</f>
        <v>0</v>
      </c>
      <c r="O391" s="203">
        <f t="shared" si="425"/>
        <v>0</v>
      </c>
      <c r="P391" s="203">
        <f t="shared" si="425"/>
        <v>0</v>
      </c>
      <c r="Q391" s="203">
        <f t="shared" si="425"/>
        <v>0</v>
      </c>
      <c r="R391" s="203">
        <f t="shared" si="425"/>
        <v>0</v>
      </c>
      <c r="S391" s="203">
        <f t="shared" si="425"/>
        <v>0</v>
      </c>
      <c r="T391" s="203">
        <f>SUM(N391:S391)</f>
        <v>0</v>
      </c>
      <c r="U391" s="203">
        <f>T391+L391</f>
        <v>0</v>
      </c>
      <c r="V391" s="203">
        <f>V388</f>
        <v>0</v>
      </c>
      <c r="W391" s="203">
        <f>V391-U391</f>
        <v>0</v>
      </c>
      <c r="Z391" s="301"/>
    </row>
    <row r="392" spans="1:28" s="205" customFormat="1" ht="17.100000000000001" hidden="1" customHeight="1">
      <c r="A392" s="595"/>
      <c r="B392" s="576"/>
      <c r="C392" s="577"/>
      <c r="D392" s="202" t="str">
        <f>серпень!D315</f>
        <v xml:space="preserve">відхилення </v>
      </c>
      <c r="E392" s="203"/>
      <c r="F392" s="203">
        <f t="shared" ref="F392:K392" si="426">F388-F391</f>
        <v>0</v>
      </c>
      <c r="G392" s="203">
        <f t="shared" si="426"/>
        <v>0</v>
      </c>
      <c r="H392" s="203">
        <f t="shared" si="426"/>
        <v>0</v>
      </c>
      <c r="I392" s="203">
        <f t="shared" si="426"/>
        <v>0</v>
      </c>
      <c r="J392" s="203">
        <f t="shared" si="426"/>
        <v>0</v>
      </c>
      <c r="K392" s="203">
        <f t="shared" si="426"/>
        <v>0</v>
      </c>
      <c r="L392" s="203"/>
      <c r="M392" s="203"/>
      <c r="N392" s="203">
        <f t="shared" ref="N392:S392" si="427">N388-N391</f>
        <v>0</v>
      </c>
      <c r="O392" s="203">
        <f t="shared" si="427"/>
        <v>0</v>
      </c>
      <c r="P392" s="203">
        <f t="shared" si="427"/>
        <v>0</v>
      </c>
      <c r="Q392" s="203">
        <f t="shared" si="427"/>
        <v>0</v>
      </c>
      <c r="R392" s="203">
        <f t="shared" si="427"/>
        <v>0</v>
      </c>
      <c r="S392" s="203">
        <f t="shared" si="427"/>
        <v>0</v>
      </c>
      <c r="T392" s="203"/>
      <c r="U392" s="203"/>
      <c r="V392" s="203"/>
      <c r="W392" s="203"/>
      <c r="Z392" s="301"/>
    </row>
    <row r="393" spans="1:28" s="205" customFormat="1" ht="18" hidden="1" customHeight="1">
      <c r="A393" s="595"/>
      <c r="B393" s="578"/>
      <c r="C393" s="579"/>
      <c r="D393" s="202" t="str">
        <f>серпень!D316</f>
        <v>відхилення з наростаючим</v>
      </c>
      <c r="E393" s="203"/>
      <c r="F393" s="203">
        <f>F392</f>
        <v>0</v>
      </c>
      <c r="G393" s="203">
        <f>G392+F393</f>
        <v>0</v>
      </c>
      <c r="H393" s="203">
        <f>H392+G393</f>
        <v>0</v>
      </c>
      <c r="I393" s="203">
        <f>I392+H393</f>
        <v>0</v>
      </c>
      <c r="J393" s="203">
        <f>J392+I393</f>
        <v>0</v>
      </c>
      <c r="K393" s="203">
        <f>K392+J393</f>
        <v>0</v>
      </c>
      <c r="L393" s="203"/>
      <c r="M393" s="203"/>
      <c r="N393" s="203">
        <f>N392+K393</f>
        <v>0</v>
      </c>
      <c r="O393" s="203">
        <f>O392+N393</f>
        <v>0</v>
      </c>
      <c r="P393" s="203">
        <f>P392+O393</f>
        <v>0</v>
      </c>
      <c r="Q393" s="203">
        <f>Q392+P393</f>
        <v>0</v>
      </c>
      <c r="R393" s="203">
        <f>R392+Q393</f>
        <v>0</v>
      </c>
      <c r="S393" s="203">
        <f>S392+R393</f>
        <v>0</v>
      </c>
      <c r="T393" s="203"/>
      <c r="U393" s="203"/>
      <c r="V393" s="203"/>
      <c r="W393" s="203"/>
      <c r="Z393" s="301"/>
    </row>
    <row r="394" spans="1:28" s="237" customFormat="1" ht="18" hidden="1" customHeight="1">
      <c r="A394" s="595"/>
      <c r="B394" s="580" t="s">
        <v>38</v>
      </c>
      <c r="C394" s="575"/>
      <c r="D394" s="178" t="str">
        <f>серпень!D317</f>
        <v>факт. нат.п-ки 2023</v>
      </c>
      <c r="E394" s="179"/>
      <c r="F394" s="180"/>
      <c r="G394" s="180"/>
      <c r="H394" s="180"/>
      <c r="I394" s="180"/>
      <c r="J394" s="180"/>
      <c r="K394" s="180"/>
      <c r="L394" s="215">
        <f>SUM(F394:K394)</f>
        <v>0</v>
      </c>
      <c r="M394" s="215">
        <f>L394/6</f>
        <v>0</v>
      </c>
      <c r="N394" s="180"/>
      <c r="O394" s="180"/>
      <c r="P394" s="180"/>
      <c r="Q394" s="180"/>
      <c r="R394" s="180"/>
      <c r="S394" s="180"/>
      <c r="T394" s="215">
        <f>SUM(N394:S394)</f>
        <v>0</v>
      </c>
      <c r="U394" s="182">
        <f>T394+L394</f>
        <v>0</v>
      </c>
      <c r="V394" s="227"/>
      <c r="W394" s="184">
        <f>V394-U394</f>
        <v>0</v>
      </c>
      <c r="X394" s="209"/>
      <c r="Y394" s="157"/>
      <c r="Z394" s="293"/>
      <c r="AA394" s="157"/>
      <c r="AB394" s="157"/>
    </row>
    <row r="395" spans="1:28" s="186" customFormat="1" ht="18" hidden="1" customHeight="1">
      <c r="A395" s="595"/>
      <c r="B395" s="576"/>
      <c r="C395" s="577"/>
      <c r="D395" s="178" t="str">
        <f>серпень!D318</f>
        <v>факт. нат.п-ки 2024</v>
      </c>
      <c r="E395" s="179"/>
      <c r="F395" s="180"/>
      <c r="G395" s="180"/>
      <c r="H395" s="180"/>
      <c r="I395" s="180"/>
      <c r="J395" s="180"/>
      <c r="K395" s="180"/>
      <c r="L395" s="215">
        <f>SUM(F395:K395)</f>
        <v>0</v>
      </c>
      <c r="M395" s="215">
        <f>L395/6</f>
        <v>0</v>
      </c>
      <c r="N395" s="179"/>
      <c r="O395" s="179"/>
      <c r="P395" s="179"/>
      <c r="Q395" s="179"/>
      <c r="R395" s="179"/>
      <c r="S395" s="179"/>
      <c r="T395" s="215">
        <f>SUM(N395:S395)</f>
        <v>0</v>
      </c>
      <c r="U395" s="182">
        <f>T395+L395</f>
        <v>0</v>
      </c>
      <c r="V395" s="227"/>
      <c r="W395" s="184">
        <f>V395-U395</f>
        <v>0</v>
      </c>
      <c r="X395" s="185"/>
      <c r="Z395" s="297"/>
    </row>
    <row r="396" spans="1:28" s="237" customFormat="1" ht="18" hidden="1" customHeight="1">
      <c r="A396" s="595"/>
      <c r="B396" s="576"/>
      <c r="C396" s="577"/>
      <c r="D396" s="178" t="str">
        <f>серпень!D319</f>
        <v>факт. нат.п-ки 2025</v>
      </c>
      <c r="E396" s="179"/>
      <c r="F396" s="180"/>
      <c r="G396" s="180"/>
      <c r="H396" s="180"/>
      <c r="I396" s="180"/>
      <c r="J396" s="180"/>
      <c r="K396" s="180"/>
      <c r="L396" s="215">
        <f>SUM(F396:K396)</f>
        <v>0</v>
      </c>
      <c r="M396" s="215">
        <f>L396/6</f>
        <v>0</v>
      </c>
      <c r="N396" s="180"/>
      <c r="O396" s="180"/>
      <c r="P396" s="180"/>
      <c r="Q396" s="180"/>
      <c r="R396" s="180"/>
      <c r="S396" s="179"/>
      <c r="T396" s="215">
        <f>SUM(N396:S396)</f>
        <v>0</v>
      </c>
      <c r="U396" s="182">
        <f>T396+L396</f>
        <v>0</v>
      </c>
      <c r="V396" s="179"/>
      <c r="W396" s="184">
        <f>V396-U396</f>
        <v>0</v>
      </c>
      <c r="X396" s="209"/>
      <c r="Y396" s="157"/>
      <c r="Z396" s="293"/>
      <c r="AA396" s="157"/>
      <c r="AB396" s="157"/>
    </row>
    <row r="397" spans="1:28" s="173" customFormat="1" ht="18" hidden="1" customHeight="1">
      <c r="A397" s="595"/>
      <c r="B397" s="576"/>
      <c r="C397" s="577"/>
      <c r="D397" s="187" t="str">
        <f>серпень!D320</f>
        <v>тариф, грн.</v>
      </c>
      <c r="E397" s="188"/>
      <c r="F397" s="188">
        <v>10.56</v>
      </c>
      <c r="G397" s="188">
        <v>10.56</v>
      </c>
      <c r="H397" s="188">
        <v>10.56</v>
      </c>
      <c r="I397" s="188">
        <v>10.56</v>
      </c>
      <c r="J397" s="188">
        <v>10.56</v>
      </c>
      <c r="K397" s="188">
        <v>10.56</v>
      </c>
      <c r="L397" s="188" t="e">
        <f>L398/L396*1000</f>
        <v>#DIV/0!</v>
      </c>
      <c r="M397" s="188" t="e">
        <f>M398/M396*1000</f>
        <v>#DIV/0!</v>
      </c>
      <c r="N397" s="188">
        <v>10.56</v>
      </c>
      <c r="O397" s="188">
        <v>10.56</v>
      </c>
      <c r="P397" s="188">
        <v>10.56</v>
      </c>
      <c r="Q397" s="188">
        <v>10.56</v>
      </c>
      <c r="R397" s="188">
        <v>10.56</v>
      </c>
      <c r="S397" s="188">
        <v>10.56</v>
      </c>
      <c r="T397" s="188" t="e">
        <f>T398/T396*1000</f>
        <v>#DIV/0!</v>
      </c>
      <c r="U397" s="188" t="e">
        <f>U398/U396*1000</f>
        <v>#DIV/0!</v>
      </c>
      <c r="V397" s="218" t="e">
        <f>V398/V396*1000</f>
        <v>#DIV/0!</v>
      </c>
      <c r="W397" s="189" t="e">
        <f>W398/W396*1000</f>
        <v>#DIV/0!</v>
      </c>
      <c r="X397" s="185"/>
      <c r="Y397" s="157"/>
      <c r="Z397" s="293"/>
      <c r="AA397" s="157"/>
      <c r="AB397" s="157"/>
    </row>
    <row r="398" spans="1:28" s="173" customFormat="1" ht="18" hidden="1" customHeight="1">
      <c r="A398" s="595"/>
      <c r="B398" s="576"/>
      <c r="C398" s="577"/>
      <c r="D398" s="191" t="str">
        <f>серпень!D321</f>
        <v>сума, тис.грн.</v>
      </c>
      <c r="E398" s="192"/>
      <c r="F398" s="192">
        <f t="shared" ref="F398:K398" si="428">F396*F397/1000</f>
        <v>0</v>
      </c>
      <c r="G398" s="192">
        <f t="shared" si="428"/>
        <v>0</v>
      </c>
      <c r="H398" s="192">
        <f t="shared" si="428"/>
        <v>0</v>
      </c>
      <c r="I398" s="192">
        <f t="shared" si="428"/>
        <v>0</v>
      </c>
      <c r="J398" s="192">
        <f t="shared" si="428"/>
        <v>0</v>
      </c>
      <c r="K398" s="192">
        <f t="shared" si="428"/>
        <v>0</v>
      </c>
      <c r="L398" s="194">
        <f>SUM(F398:K398)</f>
        <v>0</v>
      </c>
      <c r="M398" s="194">
        <f>L398/6</f>
        <v>0</v>
      </c>
      <c r="N398" s="192">
        <f t="shared" ref="N398:S398" si="429">N396*N397/1000</f>
        <v>0</v>
      </c>
      <c r="O398" s="192">
        <f t="shared" si="429"/>
        <v>0</v>
      </c>
      <c r="P398" s="192">
        <f t="shared" si="429"/>
        <v>0</v>
      </c>
      <c r="Q398" s="192">
        <f t="shared" si="429"/>
        <v>0</v>
      </c>
      <c r="R398" s="192">
        <f t="shared" si="429"/>
        <v>0</v>
      </c>
      <c r="S398" s="192">
        <f t="shared" si="429"/>
        <v>0</v>
      </c>
      <c r="T398" s="194">
        <f>SUM(N398:S398)</f>
        <v>0</v>
      </c>
      <c r="U398" s="194">
        <f>T398+L398</f>
        <v>0</v>
      </c>
      <c r="V398" s="171">
        <f>V399+V400</f>
        <v>0</v>
      </c>
      <c r="W398" s="193">
        <f>V398-U398</f>
        <v>0</v>
      </c>
      <c r="X398" s="172"/>
      <c r="Z398" s="295"/>
    </row>
    <row r="399" spans="1:28" s="173" customFormat="1" ht="18" hidden="1" customHeight="1">
      <c r="A399" s="595"/>
      <c r="B399" s="576"/>
      <c r="C399" s="577"/>
      <c r="D399" s="174" t="str">
        <f>серпень!D322</f>
        <v>дотація</v>
      </c>
      <c r="E399" s="210"/>
      <c r="F399" s="192"/>
      <c r="G399" s="192"/>
      <c r="H399" s="192"/>
      <c r="I399" s="192"/>
      <c r="J399" s="192"/>
      <c r="K399" s="192"/>
      <c r="L399" s="194">
        <f>SUM(F399:K399)</f>
        <v>0</v>
      </c>
      <c r="M399" s="194">
        <f>L399/6</f>
        <v>0</v>
      </c>
      <c r="N399" s="192"/>
      <c r="O399" s="192"/>
      <c r="P399" s="192"/>
      <c r="Q399" s="192"/>
      <c r="R399" s="192"/>
      <c r="S399" s="192"/>
      <c r="T399" s="194">
        <f>SUM(N399:S399)</f>
        <v>0</v>
      </c>
      <c r="U399" s="194">
        <f>T399+L399</f>
        <v>0</v>
      </c>
      <c r="V399" s="171">
        <v>0</v>
      </c>
      <c r="W399" s="193">
        <f>V399-U399</f>
        <v>0</v>
      </c>
      <c r="X399" s="172"/>
      <c r="Z399" s="295"/>
    </row>
    <row r="400" spans="1:28" s="173" customFormat="1" ht="18" hidden="1" customHeight="1">
      <c r="A400" s="595"/>
      <c r="B400" s="576"/>
      <c r="C400" s="577"/>
      <c r="D400" s="174" t="str">
        <f>серпень!D323</f>
        <v>місцевий (план), тис.грн</v>
      </c>
      <c r="E400" s="210"/>
      <c r="F400" s="192"/>
      <c r="G400" s="192"/>
      <c r="H400" s="192"/>
      <c r="I400" s="192"/>
      <c r="J400" s="192"/>
      <c r="K400" s="192"/>
      <c r="L400" s="194">
        <f>SUM(F400:K400)</f>
        <v>0</v>
      </c>
      <c r="M400" s="194">
        <f>L400/6</f>
        <v>0</v>
      </c>
      <c r="N400" s="192"/>
      <c r="O400" s="192"/>
      <c r="P400" s="192"/>
      <c r="Q400" s="192"/>
      <c r="R400" s="192"/>
      <c r="S400" s="192"/>
      <c r="T400" s="194">
        <f>SUM(N400:S400)</f>
        <v>0</v>
      </c>
      <c r="U400" s="194">
        <f>T400+L400</f>
        <v>0</v>
      </c>
      <c r="V400" s="171"/>
      <c r="W400" s="193">
        <f>V400-U400</f>
        <v>0</v>
      </c>
      <c r="X400" s="172"/>
      <c r="Z400" s="295"/>
    </row>
    <row r="401" spans="1:28" s="157" customFormat="1" ht="18" hidden="1" customHeight="1">
      <c r="A401" s="595"/>
      <c r="B401" s="576"/>
      <c r="C401" s="577"/>
      <c r="D401" s="178" t="str">
        <f>серпень!D324</f>
        <v>касові нат.п-ки 2025</v>
      </c>
      <c r="E401" s="179"/>
      <c r="F401" s="179"/>
      <c r="G401" s="179"/>
      <c r="H401" s="179"/>
      <c r="I401" s="179"/>
      <c r="J401" s="179"/>
      <c r="K401" s="179"/>
      <c r="L401" s="215">
        <f>SUM(F401:K401)</f>
        <v>0</v>
      </c>
      <c r="M401" s="215">
        <f>L401/6</f>
        <v>0</v>
      </c>
      <c r="N401" s="179"/>
      <c r="O401" s="179"/>
      <c r="P401" s="179"/>
      <c r="Q401" s="179"/>
      <c r="R401" s="179"/>
      <c r="S401" s="179"/>
      <c r="T401" s="215">
        <f>SUM(N401:S401)</f>
        <v>0</v>
      </c>
      <c r="U401" s="215">
        <f>T401+L401</f>
        <v>0</v>
      </c>
      <c r="V401" s="179">
        <f>V396</f>
        <v>0</v>
      </c>
      <c r="W401" s="184">
        <f>V401-U401</f>
        <v>0</v>
      </c>
      <c r="X401" s="185">
        <f>U396-U401</f>
        <v>0</v>
      </c>
      <c r="Z401" s="293"/>
    </row>
    <row r="402" spans="1:28" s="228" customFormat="1" ht="18" hidden="1" customHeight="1">
      <c r="A402" s="595"/>
      <c r="B402" s="576"/>
      <c r="C402" s="577"/>
      <c r="D402" s="187" t="str">
        <f>серпень!D325</f>
        <v>тариф, грн.</v>
      </c>
      <c r="E402" s="188" t="e">
        <f>E403/E401*1000</f>
        <v>#DIV/0!</v>
      </c>
      <c r="F402" s="188">
        <v>10.56</v>
      </c>
      <c r="G402" s="188">
        <v>10.56</v>
      </c>
      <c r="H402" s="188">
        <v>10.56</v>
      </c>
      <c r="I402" s="188">
        <v>10.56</v>
      </c>
      <c r="J402" s="188">
        <v>10.56</v>
      </c>
      <c r="K402" s="188">
        <v>10.56</v>
      </c>
      <c r="L402" s="188" t="e">
        <f>L403/L401*1000</f>
        <v>#DIV/0!</v>
      </c>
      <c r="M402" s="188" t="e">
        <f>M403/M401*1000</f>
        <v>#DIV/0!</v>
      </c>
      <c r="N402" s="188">
        <v>10.56</v>
      </c>
      <c r="O402" s="188">
        <v>10.56</v>
      </c>
      <c r="P402" s="188">
        <v>10.56</v>
      </c>
      <c r="Q402" s="188">
        <v>10.56</v>
      </c>
      <c r="R402" s="188">
        <v>10.56</v>
      </c>
      <c r="S402" s="188">
        <v>10.56</v>
      </c>
      <c r="T402" s="188" t="e">
        <f>T403/T401*1000</f>
        <v>#DIV/0!</v>
      </c>
      <c r="U402" s="188" t="e">
        <f>U403/U401*1000</f>
        <v>#DIV/0!</v>
      </c>
      <c r="V402" s="218" t="e">
        <f>V403/V401*1000</f>
        <v>#DIV/0!</v>
      </c>
      <c r="W402" s="189" t="e">
        <f>W403/W401*1000</f>
        <v>#DIV/0!</v>
      </c>
      <c r="X402" s="225"/>
      <c r="Y402" s="209"/>
      <c r="Z402" s="293"/>
      <c r="AA402" s="209"/>
      <c r="AB402" s="209"/>
    </row>
    <row r="403" spans="1:28" s="239" customFormat="1" ht="18" hidden="1" customHeight="1">
      <c r="A403" s="595"/>
      <c r="B403" s="576"/>
      <c r="C403" s="577"/>
      <c r="D403" s="198" t="str">
        <f>серпень!D326</f>
        <v>касові видатки, тис.грн.</v>
      </c>
      <c r="E403" s="220"/>
      <c r="F403" s="199">
        <f t="shared" ref="F403:K403" si="430">F401*F402/1000</f>
        <v>0</v>
      </c>
      <c r="G403" s="199">
        <f t="shared" si="430"/>
        <v>0</v>
      </c>
      <c r="H403" s="199">
        <f t="shared" si="430"/>
        <v>0</v>
      </c>
      <c r="I403" s="199">
        <f t="shared" si="430"/>
        <v>0</v>
      </c>
      <c r="J403" s="199">
        <f t="shared" si="430"/>
        <v>0</v>
      </c>
      <c r="K403" s="199">
        <f t="shared" si="430"/>
        <v>0</v>
      </c>
      <c r="L403" s="199">
        <f>SUM(F403:K403)</f>
        <v>0</v>
      </c>
      <c r="M403" s="199">
        <f>L403/6</f>
        <v>0</v>
      </c>
      <c r="N403" s="199">
        <f t="shared" ref="N403:S403" si="431">N401*N402/1000</f>
        <v>0</v>
      </c>
      <c r="O403" s="199">
        <f t="shared" si="431"/>
        <v>0</v>
      </c>
      <c r="P403" s="199">
        <f t="shared" si="431"/>
        <v>0</v>
      </c>
      <c r="Q403" s="199">
        <f t="shared" si="431"/>
        <v>0</v>
      </c>
      <c r="R403" s="199">
        <f t="shared" si="431"/>
        <v>0</v>
      </c>
      <c r="S403" s="199">
        <f t="shared" si="431"/>
        <v>0</v>
      </c>
      <c r="T403" s="199">
        <f>SUM(N403:S403)</f>
        <v>0</v>
      </c>
      <c r="U403" s="199">
        <f>T403+L403</f>
        <v>0</v>
      </c>
      <c r="V403" s="199">
        <f>V398</f>
        <v>0</v>
      </c>
      <c r="W403" s="221">
        <f>V403-U403</f>
        <v>0</v>
      </c>
      <c r="X403" s="176">
        <f>U398-U403</f>
        <v>0</v>
      </c>
      <c r="Z403" s="300"/>
    </row>
    <row r="404" spans="1:28" s="239" customFormat="1" ht="18" hidden="1" customHeight="1">
      <c r="A404" s="595"/>
      <c r="B404" s="576"/>
      <c r="C404" s="577"/>
      <c r="D404" s="201" t="str">
        <f>серпень!D327</f>
        <v>дотація</v>
      </c>
      <c r="E404" s="220"/>
      <c r="F404" s="199"/>
      <c r="G404" s="199"/>
      <c r="H404" s="199"/>
      <c r="I404" s="199"/>
      <c r="J404" s="199"/>
      <c r="K404" s="199"/>
      <c r="L404" s="199">
        <f>SUM(F404:K404)</f>
        <v>0</v>
      </c>
      <c r="M404" s="199">
        <f>L404/6</f>
        <v>0</v>
      </c>
      <c r="N404" s="199"/>
      <c r="O404" s="199"/>
      <c r="P404" s="199"/>
      <c r="Q404" s="199"/>
      <c r="R404" s="199"/>
      <c r="S404" s="199"/>
      <c r="T404" s="199">
        <f>SUM(N404:S404)</f>
        <v>0</v>
      </c>
      <c r="U404" s="199">
        <f>T404+L404</f>
        <v>0</v>
      </c>
      <c r="V404" s="199">
        <f>V399</f>
        <v>0</v>
      </c>
      <c r="W404" s="221">
        <f>V404-U404</f>
        <v>0</v>
      </c>
      <c r="X404" s="176">
        <f>U399-U404</f>
        <v>0</v>
      </c>
      <c r="Z404" s="300"/>
    </row>
    <row r="405" spans="1:28" s="239" customFormat="1" ht="18" hidden="1" customHeight="1">
      <c r="A405" s="595"/>
      <c r="B405" s="576"/>
      <c r="C405" s="577"/>
      <c r="D405" s="201" t="str">
        <f>серпень!D328</f>
        <v xml:space="preserve">місцевий </v>
      </c>
      <c r="E405" s="220"/>
      <c r="F405" s="199">
        <f t="shared" ref="F405:K405" si="432">F403-F404</f>
        <v>0</v>
      </c>
      <c r="G405" s="199">
        <f t="shared" si="432"/>
        <v>0</v>
      </c>
      <c r="H405" s="199">
        <f t="shared" si="432"/>
        <v>0</v>
      </c>
      <c r="I405" s="199">
        <f t="shared" si="432"/>
        <v>0</v>
      </c>
      <c r="J405" s="199">
        <f t="shared" si="432"/>
        <v>0</v>
      </c>
      <c r="K405" s="199">
        <f t="shared" si="432"/>
        <v>0</v>
      </c>
      <c r="L405" s="199">
        <f>SUM(F405:K405)</f>
        <v>0</v>
      </c>
      <c r="M405" s="199">
        <f>L405/6</f>
        <v>0</v>
      </c>
      <c r="N405" s="199">
        <f t="shared" ref="N405:S405" si="433">N403-N404</f>
        <v>0</v>
      </c>
      <c r="O405" s="199">
        <f t="shared" si="433"/>
        <v>0</v>
      </c>
      <c r="P405" s="199">
        <f t="shared" si="433"/>
        <v>0</v>
      </c>
      <c r="Q405" s="199">
        <f t="shared" si="433"/>
        <v>0</v>
      </c>
      <c r="R405" s="199">
        <f t="shared" si="433"/>
        <v>0</v>
      </c>
      <c r="S405" s="199">
        <f t="shared" si="433"/>
        <v>0</v>
      </c>
      <c r="T405" s="199">
        <f>SUM(N405:S405)</f>
        <v>0</v>
      </c>
      <c r="U405" s="199">
        <f>T405+L405</f>
        <v>0</v>
      </c>
      <c r="V405" s="199">
        <f>V400</f>
        <v>0</v>
      </c>
      <c r="W405" s="221">
        <f>V405-U405</f>
        <v>0</v>
      </c>
      <c r="X405" s="176">
        <f>U400-U405</f>
        <v>0</v>
      </c>
      <c r="Z405" s="300"/>
    </row>
    <row r="406" spans="1:28" s="205" customFormat="1" ht="18" hidden="1" customHeight="1">
      <c r="A406" s="595"/>
      <c r="B406" s="576"/>
      <c r="C406" s="577"/>
      <c r="D406" s="202" t="str">
        <f>серпень!D329</f>
        <v>план</v>
      </c>
      <c r="E406" s="203"/>
      <c r="F406" s="203">
        <f t="shared" ref="F406:K406" si="434">F400</f>
        <v>0</v>
      </c>
      <c r="G406" s="203">
        <f t="shared" si="434"/>
        <v>0</v>
      </c>
      <c r="H406" s="203">
        <f t="shared" si="434"/>
        <v>0</v>
      </c>
      <c r="I406" s="203">
        <f t="shared" si="434"/>
        <v>0</v>
      </c>
      <c r="J406" s="203">
        <f t="shared" si="434"/>
        <v>0</v>
      </c>
      <c r="K406" s="203">
        <f t="shared" si="434"/>
        <v>0</v>
      </c>
      <c r="L406" s="203">
        <f>SUM(F406:K406)</f>
        <v>0</v>
      </c>
      <c r="M406" s="203">
        <f>L406/6</f>
        <v>0</v>
      </c>
      <c r="N406" s="203">
        <f t="shared" ref="N406:S406" si="435">N400+N399</f>
        <v>0</v>
      </c>
      <c r="O406" s="203">
        <f t="shared" si="435"/>
        <v>0</v>
      </c>
      <c r="P406" s="203">
        <f t="shared" si="435"/>
        <v>0</v>
      </c>
      <c r="Q406" s="203">
        <f t="shared" si="435"/>
        <v>0</v>
      </c>
      <c r="R406" s="203">
        <f t="shared" si="435"/>
        <v>0</v>
      </c>
      <c r="S406" s="203">
        <f t="shared" si="435"/>
        <v>0</v>
      </c>
      <c r="T406" s="203">
        <f>SUM(N406:S406)</f>
        <v>0</v>
      </c>
      <c r="U406" s="203">
        <f>T406+L406</f>
        <v>0</v>
      </c>
      <c r="V406" s="203">
        <f>V403</f>
        <v>0</v>
      </c>
      <c r="W406" s="203">
        <f>V406-U406</f>
        <v>0</v>
      </c>
      <c r="Z406" s="301"/>
    </row>
    <row r="407" spans="1:28" s="205" customFormat="1" ht="18" hidden="1" customHeight="1">
      <c r="A407" s="595"/>
      <c r="B407" s="576"/>
      <c r="C407" s="577"/>
      <c r="D407" s="202" t="str">
        <f>серпень!D330</f>
        <v xml:space="preserve">відхилення </v>
      </c>
      <c r="E407" s="203"/>
      <c r="F407" s="203">
        <f t="shared" ref="F407:K407" si="436">F403-F406</f>
        <v>0</v>
      </c>
      <c r="G407" s="203">
        <f t="shared" si="436"/>
        <v>0</v>
      </c>
      <c r="H407" s="203">
        <f t="shared" si="436"/>
        <v>0</v>
      </c>
      <c r="I407" s="203">
        <f t="shared" si="436"/>
        <v>0</v>
      </c>
      <c r="J407" s="203">
        <f t="shared" si="436"/>
        <v>0</v>
      </c>
      <c r="K407" s="203">
        <f t="shared" si="436"/>
        <v>0</v>
      </c>
      <c r="L407" s="203"/>
      <c r="M407" s="203"/>
      <c r="N407" s="203">
        <f t="shared" ref="N407:S407" si="437">N403-N406</f>
        <v>0</v>
      </c>
      <c r="O407" s="203">
        <f t="shared" si="437"/>
        <v>0</v>
      </c>
      <c r="P407" s="203">
        <f t="shared" si="437"/>
        <v>0</v>
      </c>
      <c r="Q407" s="203">
        <f t="shared" si="437"/>
        <v>0</v>
      </c>
      <c r="R407" s="203">
        <f t="shared" si="437"/>
        <v>0</v>
      </c>
      <c r="S407" s="203">
        <f t="shared" si="437"/>
        <v>0</v>
      </c>
      <c r="T407" s="203"/>
      <c r="U407" s="203"/>
      <c r="V407" s="203"/>
      <c r="W407" s="203"/>
      <c r="Z407" s="301"/>
    </row>
    <row r="408" spans="1:28" s="205" customFormat="1" ht="18" hidden="1" customHeight="1">
      <c r="A408" s="596"/>
      <c r="B408" s="578"/>
      <c r="C408" s="579"/>
      <c r="D408" s="202" t="str">
        <f>серпень!D331</f>
        <v>відхилення з наростаючим</v>
      </c>
      <c r="E408" s="203"/>
      <c r="F408" s="203">
        <f>F407</f>
        <v>0</v>
      </c>
      <c r="G408" s="203">
        <f>G407+F408</f>
        <v>0</v>
      </c>
      <c r="H408" s="203">
        <f>H407+G408</f>
        <v>0</v>
      </c>
      <c r="I408" s="203">
        <f>I407+H408</f>
        <v>0</v>
      </c>
      <c r="J408" s="203">
        <f>J407+I408</f>
        <v>0</v>
      </c>
      <c r="K408" s="203">
        <f>K407+J408</f>
        <v>0</v>
      </c>
      <c r="L408" s="203"/>
      <c r="M408" s="203"/>
      <c r="N408" s="203">
        <f>N407+K408</f>
        <v>0</v>
      </c>
      <c r="O408" s="203">
        <f>O407+N408</f>
        <v>0</v>
      </c>
      <c r="P408" s="203">
        <f>P407+O408</f>
        <v>0</v>
      </c>
      <c r="Q408" s="203">
        <f>Q407+P408</f>
        <v>0</v>
      </c>
      <c r="R408" s="203">
        <f>R407+Q408</f>
        <v>0</v>
      </c>
      <c r="S408" s="203">
        <f>S407+R408</f>
        <v>0</v>
      </c>
      <c r="T408" s="203"/>
      <c r="U408" s="203"/>
      <c r="V408" s="203"/>
      <c r="W408" s="203"/>
      <c r="Z408" s="301"/>
    </row>
    <row r="409" spans="1:28" s="157" customFormat="1" ht="18" customHeight="1">
      <c r="A409" s="582" t="s">
        <v>39</v>
      </c>
      <c r="B409" s="655" t="s">
        <v>40</v>
      </c>
      <c r="C409" s="656"/>
      <c r="D409" s="178" t="str">
        <f>серпень!D332</f>
        <v>факт. нат.п-ки 2023</v>
      </c>
      <c r="E409" s="179"/>
      <c r="F409" s="180">
        <f t="shared" ref="F409:K411" si="438">F426+F441+F456</f>
        <v>0</v>
      </c>
      <c r="G409" s="180">
        <f t="shared" si="438"/>
        <v>308</v>
      </c>
      <c r="H409" s="180">
        <f t="shared" si="438"/>
        <v>190</v>
      </c>
      <c r="I409" s="180">
        <f t="shared" si="438"/>
        <v>236</v>
      </c>
      <c r="J409" s="180">
        <f t="shared" si="438"/>
        <v>214</v>
      </c>
      <c r="K409" s="180">
        <f t="shared" si="438"/>
        <v>220.8</v>
      </c>
      <c r="L409" s="215">
        <f>SUM(F409:K409)</f>
        <v>1168.8</v>
      </c>
      <c r="M409" s="215">
        <f>L409/6</f>
        <v>194.8</v>
      </c>
      <c r="N409" s="180">
        <f t="shared" ref="N409:S411" si="439">N426+N441+N456</f>
        <v>242.4</v>
      </c>
      <c r="O409" s="180">
        <f t="shared" si="439"/>
        <v>250</v>
      </c>
      <c r="P409" s="180">
        <f t="shared" si="439"/>
        <v>199.7</v>
      </c>
      <c r="Q409" s="180">
        <f t="shared" si="439"/>
        <v>207.8</v>
      </c>
      <c r="R409" s="180">
        <f t="shared" si="439"/>
        <v>314.7</v>
      </c>
      <c r="S409" s="180">
        <f t="shared" si="439"/>
        <v>227.7</v>
      </c>
      <c r="T409" s="215">
        <f>SUM(N409:S409)</f>
        <v>1442.3</v>
      </c>
      <c r="U409" s="215">
        <f>T409+L409</f>
        <v>2611.1</v>
      </c>
      <c r="V409" s="233">
        <f>V426+V456</f>
        <v>2611.1</v>
      </c>
      <c r="W409" s="184"/>
      <c r="X409" s="209"/>
      <c r="Z409" s="293"/>
    </row>
    <row r="410" spans="1:28" s="157" customFormat="1" ht="18" customHeight="1">
      <c r="A410" s="583"/>
      <c r="B410" s="657"/>
      <c r="C410" s="658"/>
      <c r="D410" s="178" t="str">
        <f>серпень!D333</f>
        <v>факт. нат.п-ки 2024</v>
      </c>
      <c r="E410" s="179"/>
      <c r="F410" s="180">
        <f t="shared" si="438"/>
        <v>44</v>
      </c>
      <c r="G410" s="180">
        <f t="shared" si="438"/>
        <v>159.19999999999999</v>
      </c>
      <c r="H410" s="180">
        <f t="shared" si="438"/>
        <v>175</v>
      </c>
      <c r="I410" s="180">
        <f t="shared" si="438"/>
        <v>234.6</v>
      </c>
      <c r="J410" s="180">
        <f t="shared" si="438"/>
        <v>254.9</v>
      </c>
      <c r="K410" s="180">
        <f t="shared" si="438"/>
        <v>292.7</v>
      </c>
      <c r="L410" s="215">
        <f>SUM(F410:K410)</f>
        <v>1160.4000000000001</v>
      </c>
      <c r="M410" s="215">
        <f>L410/6</f>
        <v>193.4</v>
      </c>
      <c r="N410" s="180">
        <f t="shared" si="439"/>
        <v>226.7</v>
      </c>
      <c r="O410" s="180">
        <f t="shared" si="439"/>
        <v>252.7</v>
      </c>
      <c r="P410" s="180">
        <f t="shared" si="439"/>
        <v>334.7</v>
      </c>
      <c r="Q410" s="180">
        <f t="shared" si="439"/>
        <v>290.7</v>
      </c>
      <c r="R410" s="180">
        <f t="shared" si="439"/>
        <v>314.7</v>
      </c>
      <c r="S410" s="180">
        <f t="shared" si="439"/>
        <v>227.7</v>
      </c>
      <c r="T410" s="215">
        <f>SUM(N410:S410)</f>
        <v>1647.2</v>
      </c>
      <c r="U410" s="215">
        <f>T410+L410</f>
        <v>2807.6</v>
      </c>
      <c r="V410" s="233">
        <f>V427+V457</f>
        <v>2807.6</v>
      </c>
      <c r="W410" s="184"/>
      <c r="X410" s="209"/>
      <c r="Z410" s="293"/>
    </row>
    <row r="411" spans="1:28" s="157" customFormat="1" ht="18" customHeight="1">
      <c r="A411" s="583"/>
      <c r="B411" s="657"/>
      <c r="C411" s="658"/>
      <c r="D411" s="178" t="str">
        <f>серпень!D334</f>
        <v>факт. нат.п-ки 2025</v>
      </c>
      <c r="E411" s="179"/>
      <c r="F411" s="180">
        <f>F428+F443+F458</f>
        <v>92</v>
      </c>
      <c r="G411" s="180">
        <f t="shared" si="438"/>
        <v>259.2</v>
      </c>
      <c r="H411" s="180">
        <f t="shared" si="438"/>
        <v>189.3</v>
      </c>
      <c r="I411" s="180">
        <f t="shared" si="438"/>
        <v>198.9</v>
      </c>
      <c r="J411" s="180">
        <f t="shared" si="438"/>
        <v>207</v>
      </c>
      <c r="K411" s="180">
        <f t="shared" si="438"/>
        <v>304.89999999999998</v>
      </c>
      <c r="L411" s="234">
        <f>SUM(F411:K411)</f>
        <v>1251.3</v>
      </c>
      <c r="M411" s="215">
        <f>L411/6</f>
        <v>208.6</v>
      </c>
      <c r="N411" s="180">
        <f>N428+N443+N458</f>
        <v>0</v>
      </c>
      <c r="O411" s="180">
        <f t="shared" si="439"/>
        <v>207.6</v>
      </c>
      <c r="P411" s="180">
        <f t="shared" si="439"/>
        <v>334.7</v>
      </c>
      <c r="Q411" s="180">
        <f t="shared" si="439"/>
        <v>290.7</v>
      </c>
      <c r="R411" s="180">
        <f t="shared" si="439"/>
        <v>314.7</v>
      </c>
      <c r="S411" s="180">
        <f t="shared" si="439"/>
        <v>276.7</v>
      </c>
      <c r="T411" s="215">
        <f>SUM(N411:S411)</f>
        <v>1424.4</v>
      </c>
      <c r="U411" s="215">
        <f>T411+L411</f>
        <v>2675.7</v>
      </c>
      <c r="V411" s="233">
        <f>V428+V443+V458</f>
        <v>2856.6</v>
      </c>
      <c r="W411" s="184">
        <f>V411-U411</f>
        <v>180.9</v>
      </c>
      <c r="X411" s="209"/>
      <c r="Z411" s="293"/>
    </row>
    <row r="412" spans="1:28" s="241" customFormat="1" ht="18" customHeight="1">
      <c r="A412" s="583"/>
      <c r="B412" s="657"/>
      <c r="C412" s="658"/>
      <c r="D412" s="187" t="str">
        <f>серпень!D335</f>
        <v>тариф, грн.</v>
      </c>
      <c r="E412" s="188"/>
      <c r="F412" s="188">
        <f t="shared" ref="F412:S412" si="440">F413/F411*1000</f>
        <v>14.185</v>
      </c>
      <c r="G412" s="188">
        <f t="shared" si="440"/>
        <v>14.182</v>
      </c>
      <c r="H412" s="188">
        <f t="shared" si="440"/>
        <v>14.183999999999999</v>
      </c>
      <c r="I412" s="188">
        <f t="shared" si="440"/>
        <v>14.183</v>
      </c>
      <c r="J412" s="188">
        <f t="shared" si="440"/>
        <v>14.183999999999999</v>
      </c>
      <c r="K412" s="188">
        <f t="shared" si="440"/>
        <v>14.185</v>
      </c>
      <c r="L412" s="188">
        <f t="shared" si="440"/>
        <v>14.183999999999999</v>
      </c>
      <c r="M412" s="188">
        <f t="shared" si="440"/>
        <v>14.18</v>
      </c>
      <c r="N412" s="188" t="e">
        <f t="shared" si="440"/>
        <v>#DIV/0!</v>
      </c>
      <c r="O412" s="188">
        <f t="shared" si="440"/>
        <v>14.186</v>
      </c>
      <c r="P412" s="188">
        <f t="shared" si="440"/>
        <v>14.183</v>
      </c>
      <c r="Q412" s="188">
        <f t="shared" si="440"/>
        <v>14.183</v>
      </c>
      <c r="R412" s="188">
        <f t="shared" si="440"/>
        <v>14.185</v>
      </c>
      <c r="S412" s="188">
        <f t="shared" si="440"/>
        <v>14.178000000000001</v>
      </c>
      <c r="T412" s="188">
        <f>T413/T411*1000</f>
        <v>14.183</v>
      </c>
      <c r="U412" s="188">
        <f>U413/U411*1000</f>
        <v>14.183</v>
      </c>
      <c r="V412" s="188">
        <f>V413/V411*1000</f>
        <v>14.183999999999999</v>
      </c>
      <c r="W412" s="189">
        <f>W413/W411*1000</f>
        <v>14.196</v>
      </c>
      <c r="X412" s="240"/>
      <c r="Z412" s="307"/>
    </row>
    <row r="413" spans="1:28" s="172" customFormat="1" ht="18" customHeight="1">
      <c r="A413" s="583"/>
      <c r="B413" s="657"/>
      <c r="C413" s="658"/>
      <c r="D413" s="191" t="str">
        <f>серпень!D336</f>
        <v>сума, тис.грн.</v>
      </c>
      <c r="E413" s="192"/>
      <c r="F413" s="192">
        <f t="shared" ref="F413:K413" si="441">F430+F445+F460</f>
        <v>1.3049999999999999</v>
      </c>
      <c r="G413" s="192">
        <f t="shared" si="441"/>
        <v>3.6760000000000002</v>
      </c>
      <c r="H413" s="192">
        <f t="shared" si="441"/>
        <v>2.6850000000000001</v>
      </c>
      <c r="I413" s="192">
        <f t="shared" si="441"/>
        <v>2.8210000000000002</v>
      </c>
      <c r="J413" s="192">
        <f t="shared" si="441"/>
        <v>2.9359999999999999</v>
      </c>
      <c r="K413" s="192">
        <f t="shared" si="441"/>
        <v>4.3250000000000002</v>
      </c>
      <c r="L413" s="194">
        <f t="shared" ref="L413:L418" si="442">SUM(F413:K413)</f>
        <v>17.748000000000001</v>
      </c>
      <c r="M413" s="194">
        <f t="shared" ref="M413:M418" si="443">L413/6</f>
        <v>2.9580000000000002</v>
      </c>
      <c r="N413" s="192">
        <f t="shared" ref="N413:S413" si="444">N430+N445+N460</f>
        <v>0</v>
      </c>
      <c r="O413" s="192">
        <f t="shared" si="444"/>
        <v>2.9449999999999998</v>
      </c>
      <c r="P413" s="192">
        <f t="shared" si="444"/>
        <v>4.7469999999999999</v>
      </c>
      <c r="Q413" s="192">
        <f t="shared" si="444"/>
        <v>4.1230000000000002</v>
      </c>
      <c r="R413" s="192">
        <f t="shared" si="444"/>
        <v>4.4640000000000004</v>
      </c>
      <c r="S413" s="192">
        <f t="shared" si="444"/>
        <v>3.923</v>
      </c>
      <c r="T413" s="194">
        <f t="shared" ref="T413:T418" si="445">SUM(N413:S413)</f>
        <v>20.202000000000002</v>
      </c>
      <c r="U413" s="194">
        <f t="shared" ref="U413:U418" si="446">T413+L413</f>
        <v>37.950000000000003</v>
      </c>
      <c r="V413" s="192">
        <f t="shared" ref="V413" si="447">V430+V445+V460</f>
        <v>40.518000000000001</v>
      </c>
      <c r="W413" s="192">
        <f>V413-U413</f>
        <v>2.5680000000000001</v>
      </c>
      <c r="Z413" s="295"/>
    </row>
    <row r="414" spans="1:28" s="172" customFormat="1" ht="18" customHeight="1">
      <c r="A414" s="583"/>
      <c r="B414" s="657"/>
      <c r="C414" s="658"/>
      <c r="D414" s="174" t="str">
        <f>серпень!D337</f>
        <v>абоненська плата, тис.грн.</v>
      </c>
      <c r="E414" s="192"/>
      <c r="F414" s="192">
        <f>F445</f>
        <v>0</v>
      </c>
      <c r="G414" s="192">
        <f t="shared" ref="G414:K414" si="448">G445</f>
        <v>0</v>
      </c>
      <c r="H414" s="192">
        <f t="shared" si="448"/>
        <v>0</v>
      </c>
      <c r="I414" s="192">
        <f t="shared" si="448"/>
        <v>0</v>
      </c>
      <c r="J414" s="192">
        <f t="shared" si="448"/>
        <v>0</v>
      </c>
      <c r="K414" s="192">
        <f t="shared" si="448"/>
        <v>0</v>
      </c>
      <c r="L414" s="194">
        <f t="shared" si="442"/>
        <v>0</v>
      </c>
      <c r="M414" s="194">
        <f t="shared" si="443"/>
        <v>0</v>
      </c>
      <c r="N414" s="192">
        <f>N445</f>
        <v>0</v>
      </c>
      <c r="O414" s="192">
        <f t="shared" ref="O414:S414" si="449">O445</f>
        <v>0</v>
      </c>
      <c r="P414" s="192">
        <f t="shared" si="449"/>
        <v>0</v>
      </c>
      <c r="Q414" s="192">
        <f t="shared" si="449"/>
        <v>0</v>
      </c>
      <c r="R414" s="192">
        <f t="shared" si="449"/>
        <v>0</v>
      </c>
      <c r="S414" s="192">
        <f t="shared" si="449"/>
        <v>0</v>
      </c>
      <c r="T414" s="194">
        <f t="shared" si="445"/>
        <v>0</v>
      </c>
      <c r="U414" s="194">
        <f t="shared" si="446"/>
        <v>0</v>
      </c>
      <c r="V414" s="192">
        <f t="shared" ref="V414" si="450">V445</f>
        <v>0</v>
      </c>
      <c r="W414" s="192">
        <f t="shared" ref="W414:W415" si="451">V414-U414</f>
        <v>0</v>
      </c>
      <c r="Z414" s="295"/>
    </row>
    <row r="415" spans="1:28" s="172" customFormat="1" ht="18" customHeight="1">
      <c r="A415" s="583"/>
      <c r="B415" s="657"/>
      <c r="C415" s="658"/>
      <c r="D415" s="174" t="str">
        <f>серпень!D338</f>
        <v>разом сума тис. грн+абонплата</v>
      </c>
      <c r="E415" s="192"/>
      <c r="F415" s="192">
        <f>F413+F414</f>
        <v>1.3049999999999999</v>
      </c>
      <c r="G415" s="192">
        <f t="shared" ref="G415" si="452">G413+G414</f>
        <v>3.6760000000000002</v>
      </c>
      <c r="H415" s="192">
        <f t="shared" ref="H415" si="453">H413+H414</f>
        <v>2.6850000000000001</v>
      </c>
      <c r="I415" s="192">
        <f t="shared" ref="I415" si="454">I413+I414</f>
        <v>2.8210000000000002</v>
      </c>
      <c r="J415" s="192">
        <f t="shared" ref="J415" si="455">J413+J414</f>
        <v>2.9359999999999999</v>
      </c>
      <c r="K415" s="192">
        <f t="shared" ref="K415" si="456">K413+K414</f>
        <v>4.3250000000000002</v>
      </c>
      <c r="L415" s="194">
        <f t="shared" si="442"/>
        <v>17.748000000000001</v>
      </c>
      <c r="M415" s="194">
        <f t="shared" si="443"/>
        <v>2.9580000000000002</v>
      </c>
      <c r="N415" s="192">
        <f>N413+N414</f>
        <v>0</v>
      </c>
      <c r="O415" s="192">
        <f t="shared" ref="O415" si="457">O413+O414</f>
        <v>2.9449999999999998</v>
      </c>
      <c r="P415" s="192">
        <f t="shared" ref="P415" si="458">P413+P414</f>
        <v>4.7469999999999999</v>
      </c>
      <c r="Q415" s="192">
        <f t="shared" ref="Q415" si="459">Q413+Q414</f>
        <v>4.1230000000000002</v>
      </c>
      <c r="R415" s="192">
        <f t="shared" ref="R415" si="460">R413+R414</f>
        <v>4.4640000000000004</v>
      </c>
      <c r="S415" s="192">
        <f t="shared" ref="S415" si="461">S413+S414</f>
        <v>3.923</v>
      </c>
      <c r="T415" s="194">
        <f t="shared" si="445"/>
        <v>20.202000000000002</v>
      </c>
      <c r="U415" s="194">
        <f t="shared" si="446"/>
        <v>37.950000000000003</v>
      </c>
      <c r="V415" s="192">
        <f t="shared" ref="V415" si="462">V413+V414</f>
        <v>40.518000000000001</v>
      </c>
      <c r="W415" s="192">
        <f t="shared" si="451"/>
        <v>2.5680000000000001</v>
      </c>
      <c r="Z415" s="295"/>
    </row>
    <row r="416" spans="1:28" s="172" customFormat="1" ht="18" customHeight="1">
      <c r="A416" s="583"/>
      <c r="B416" s="657"/>
      <c r="C416" s="658"/>
      <c r="D416" s="174" t="str">
        <f>серпень!D339</f>
        <v>дотація</v>
      </c>
      <c r="E416" s="192"/>
      <c r="F416" s="192">
        <f t="shared" ref="F416:K416" si="463">F431+F446+F461</f>
        <v>0</v>
      </c>
      <c r="G416" s="192">
        <f t="shared" si="463"/>
        <v>0</v>
      </c>
      <c r="H416" s="192">
        <f t="shared" si="463"/>
        <v>0</v>
      </c>
      <c r="I416" s="192">
        <f t="shared" si="463"/>
        <v>0</v>
      </c>
      <c r="J416" s="192">
        <f t="shared" si="463"/>
        <v>0</v>
      </c>
      <c r="K416" s="192">
        <f t="shared" si="463"/>
        <v>0</v>
      </c>
      <c r="L416" s="194">
        <f t="shared" si="442"/>
        <v>0</v>
      </c>
      <c r="M416" s="194">
        <f t="shared" si="443"/>
        <v>0</v>
      </c>
      <c r="N416" s="192">
        <f t="shared" ref="N416:S416" si="464">N431+N446+N461</f>
        <v>0</v>
      </c>
      <c r="O416" s="192">
        <f t="shared" si="464"/>
        <v>0</v>
      </c>
      <c r="P416" s="192">
        <f t="shared" si="464"/>
        <v>0</v>
      </c>
      <c r="Q416" s="192">
        <f t="shared" si="464"/>
        <v>0</v>
      </c>
      <c r="R416" s="192">
        <f t="shared" si="464"/>
        <v>0</v>
      </c>
      <c r="S416" s="192">
        <f t="shared" si="464"/>
        <v>0</v>
      </c>
      <c r="T416" s="194">
        <f t="shared" si="445"/>
        <v>0</v>
      </c>
      <c r="U416" s="194">
        <f t="shared" si="446"/>
        <v>0</v>
      </c>
      <c r="V416" s="192">
        <f t="shared" ref="V416" si="465">V431+V446+V461</f>
        <v>0</v>
      </c>
      <c r="W416" s="192">
        <f>V416-U416</f>
        <v>0</v>
      </c>
      <c r="Z416" s="295"/>
    </row>
    <row r="417" spans="1:28" s="172" customFormat="1" ht="18" customHeight="1">
      <c r="A417" s="583"/>
      <c r="B417" s="657"/>
      <c r="C417" s="658"/>
      <c r="D417" s="174" t="str">
        <f>серпень!D340</f>
        <v>місцевий (план), тис.грн</v>
      </c>
      <c r="E417" s="192"/>
      <c r="F417" s="192">
        <f t="shared" ref="F417:K417" si="466">F432+F447+F462</f>
        <v>0.624</v>
      </c>
      <c r="G417" s="192">
        <f t="shared" si="466"/>
        <v>2.258</v>
      </c>
      <c r="H417" s="192">
        <f t="shared" si="466"/>
        <v>4.5819999999999999</v>
      </c>
      <c r="I417" s="192">
        <f t="shared" si="466"/>
        <v>3.3279999999999998</v>
      </c>
      <c r="J417" s="192">
        <f t="shared" si="466"/>
        <v>3.6160000000000001</v>
      </c>
      <c r="K417" s="192">
        <f t="shared" si="466"/>
        <v>2.0529999999999999</v>
      </c>
      <c r="L417" s="194">
        <f t="shared" si="442"/>
        <v>16.460999999999999</v>
      </c>
      <c r="M417" s="194">
        <f t="shared" si="443"/>
        <v>2.7440000000000002</v>
      </c>
      <c r="N417" s="192">
        <f t="shared" ref="N417:S417" si="467">N432+N447+N462</f>
        <v>0</v>
      </c>
      <c r="O417" s="192">
        <f t="shared" si="467"/>
        <v>3.5840000000000001</v>
      </c>
      <c r="P417" s="192">
        <f t="shared" si="467"/>
        <v>7.9630000000000001</v>
      </c>
      <c r="Q417" s="192">
        <f t="shared" si="467"/>
        <v>4.1230000000000002</v>
      </c>
      <c r="R417" s="192">
        <f t="shared" si="467"/>
        <v>4.4640000000000004</v>
      </c>
      <c r="S417" s="192">
        <f t="shared" si="467"/>
        <v>3.923</v>
      </c>
      <c r="T417" s="194">
        <f t="shared" si="445"/>
        <v>24.056999999999999</v>
      </c>
      <c r="U417" s="194">
        <f t="shared" si="446"/>
        <v>40.518000000000001</v>
      </c>
      <c r="V417" s="192">
        <f t="shared" ref="V417" si="468">V432+V447+V462</f>
        <v>40.518000000000001</v>
      </c>
      <c r="W417" s="192">
        <f>V417-U417</f>
        <v>0</v>
      </c>
      <c r="Z417" s="295"/>
    </row>
    <row r="418" spans="1:28" s="157" customFormat="1" ht="18" customHeight="1">
      <c r="A418" s="583"/>
      <c r="B418" s="657"/>
      <c r="C418" s="658"/>
      <c r="D418" s="178" t="str">
        <f>серпень!D341</f>
        <v>касові нат.п-ки 2025</v>
      </c>
      <c r="E418" s="179">
        <f>E433</f>
        <v>0</v>
      </c>
      <c r="F418" s="179">
        <f t="shared" ref="F418:K418" si="469">F433+F448+F463</f>
        <v>0</v>
      </c>
      <c r="G418" s="179">
        <f t="shared" si="469"/>
        <v>0</v>
      </c>
      <c r="H418" s="179">
        <f t="shared" si="469"/>
        <v>540.5</v>
      </c>
      <c r="I418" s="179">
        <f t="shared" si="469"/>
        <v>198.9</v>
      </c>
      <c r="J418" s="179">
        <f t="shared" si="469"/>
        <v>207</v>
      </c>
      <c r="K418" s="179">
        <f t="shared" si="469"/>
        <v>304.89999999999998</v>
      </c>
      <c r="L418" s="215">
        <f t="shared" si="442"/>
        <v>1251.3</v>
      </c>
      <c r="M418" s="215">
        <f t="shared" si="443"/>
        <v>208.6</v>
      </c>
      <c r="N418" s="179">
        <f t="shared" ref="N418:S418" si="470">N433+N448+N463</f>
        <v>0</v>
      </c>
      <c r="O418" s="179">
        <f t="shared" si="470"/>
        <v>207.6</v>
      </c>
      <c r="P418" s="179">
        <f t="shared" si="470"/>
        <v>334.7</v>
      </c>
      <c r="Q418" s="179">
        <f t="shared" si="470"/>
        <v>290.7</v>
      </c>
      <c r="R418" s="179">
        <f t="shared" si="470"/>
        <v>314.7</v>
      </c>
      <c r="S418" s="179">
        <f t="shared" si="470"/>
        <v>276.7</v>
      </c>
      <c r="T418" s="215">
        <f t="shared" si="445"/>
        <v>1424.4</v>
      </c>
      <c r="U418" s="215">
        <f t="shared" si="446"/>
        <v>2675.7</v>
      </c>
      <c r="V418" s="179">
        <f>V433+V463</f>
        <v>2856.6</v>
      </c>
      <c r="W418" s="184">
        <f>V418-U418</f>
        <v>180.9</v>
      </c>
      <c r="X418" s="185">
        <f>U411-U418</f>
        <v>0</v>
      </c>
      <c r="Z418" s="293"/>
    </row>
    <row r="419" spans="1:28" s="241" customFormat="1" ht="18" customHeight="1">
      <c r="A419" s="583"/>
      <c r="B419" s="657"/>
      <c r="C419" s="658"/>
      <c r="D419" s="187" t="str">
        <f>серпень!D342</f>
        <v>тариф, грн.</v>
      </c>
      <c r="E419" s="188" t="e">
        <f t="shared" ref="E419:S419" si="471">E420/E418*1000</f>
        <v>#DIV/0!</v>
      </c>
      <c r="F419" s="188" t="e">
        <f t="shared" si="471"/>
        <v>#DIV/0!</v>
      </c>
      <c r="G419" s="188" t="e">
        <f t="shared" si="471"/>
        <v>#DIV/0!</v>
      </c>
      <c r="H419" s="188">
        <f t="shared" si="471"/>
        <v>14.183</v>
      </c>
      <c r="I419" s="188">
        <f t="shared" si="471"/>
        <v>14.183</v>
      </c>
      <c r="J419" s="188">
        <f t="shared" si="471"/>
        <v>14.183999999999999</v>
      </c>
      <c r="K419" s="188">
        <f t="shared" si="471"/>
        <v>14.185</v>
      </c>
      <c r="L419" s="188">
        <f t="shared" si="471"/>
        <v>14.185</v>
      </c>
      <c r="M419" s="188">
        <f t="shared" si="471"/>
        <v>14.18</v>
      </c>
      <c r="N419" s="188" t="e">
        <f t="shared" si="471"/>
        <v>#DIV/0!</v>
      </c>
      <c r="O419" s="188">
        <f t="shared" si="471"/>
        <v>14.186</v>
      </c>
      <c r="P419" s="188">
        <f t="shared" si="471"/>
        <v>14.183</v>
      </c>
      <c r="Q419" s="188">
        <f t="shared" si="471"/>
        <v>14.183</v>
      </c>
      <c r="R419" s="188">
        <f t="shared" si="471"/>
        <v>14.185</v>
      </c>
      <c r="S419" s="188">
        <f t="shared" si="471"/>
        <v>14.170999999999999</v>
      </c>
      <c r="T419" s="188">
        <f>T420/T418*1000</f>
        <v>14.180999999999999</v>
      </c>
      <c r="U419" s="188">
        <f>U420/U418*1000</f>
        <v>14.183</v>
      </c>
      <c r="V419" s="188">
        <f>V420/V418*1000</f>
        <v>14.183999999999999</v>
      </c>
      <c r="W419" s="189">
        <f>W420/W418*1000</f>
        <v>14.196</v>
      </c>
      <c r="X419" s="185"/>
      <c r="Z419" s="307"/>
    </row>
    <row r="420" spans="1:28" s="213" customFormat="1" ht="18" customHeight="1">
      <c r="A420" s="583"/>
      <c r="B420" s="657"/>
      <c r="C420" s="658"/>
      <c r="D420" s="198" t="str">
        <f>серпень!D343</f>
        <v>касові видатки, тис.грн.</v>
      </c>
      <c r="E420" s="220">
        <f>E435+E465</f>
        <v>0</v>
      </c>
      <c r="F420" s="199">
        <f t="shared" ref="F420:K422" si="472">F435+F450+F465</f>
        <v>0</v>
      </c>
      <c r="G420" s="199">
        <f t="shared" si="472"/>
        <v>2E-3</v>
      </c>
      <c r="H420" s="199">
        <f t="shared" si="472"/>
        <v>7.6660000000000004</v>
      </c>
      <c r="I420" s="199">
        <f t="shared" si="472"/>
        <v>2.8210000000000002</v>
      </c>
      <c r="J420" s="199">
        <f t="shared" si="472"/>
        <v>2.9359999999999999</v>
      </c>
      <c r="K420" s="199">
        <f t="shared" si="472"/>
        <v>4.3250000000000002</v>
      </c>
      <c r="L420" s="199">
        <f>SUM(F420:K420)</f>
        <v>17.75</v>
      </c>
      <c r="M420" s="199">
        <f>L420/6</f>
        <v>2.9580000000000002</v>
      </c>
      <c r="N420" s="199">
        <f t="shared" ref="N420:S422" si="473">N435+N450+N465</f>
        <v>0</v>
      </c>
      <c r="O420" s="199">
        <f t="shared" si="473"/>
        <v>2.9449999999999998</v>
      </c>
      <c r="P420" s="199">
        <f t="shared" si="473"/>
        <v>4.7469999999999999</v>
      </c>
      <c r="Q420" s="199">
        <f t="shared" si="473"/>
        <v>4.1230000000000002</v>
      </c>
      <c r="R420" s="199">
        <f t="shared" si="473"/>
        <v>4.4640000000000004</v>
      </c>
      <c r="S420" s="199">
        <f t="shared" si="473"/>
        <v>3.9209999999999998</v>
      </c>
      <c r="T420" s="199">
        <f>SUM(N420:S420)</f>
        <v>20.2</v>
      </c>
      <c r="U420" s="199">
        <f>T420+L420</f>
        <v>37.950000000000003</v>
      </c>
      <c r="V420" s="199">
        <f>V435+V465</f>
        <v>40.518000000000001</v>
      </c>
      <c r="W420" s="221">
        <f>V420-U420</f>
        <v>2.5680000000000001</v>
      </c>
      <c r="X420" s="176">
        <f>U415-U420</f>
        <v>0</v>
      </c>
      <c r="Z420" s="296"/>
    </row>
    <row r="421" spans="1:28" s="213" customFormat="1" ht="18" customHeight="1">
      <c r="A421" s="583"/>
      <c r="B421" s="657"/>
      <c r="C421" s="658"/>
      <c r="D421" s="201" t="str">
        <f>серпень!D344</f>
        <v>дотація</v>
      </c>
      <c r="E421" s="220"/>
      <c r="F421" s="199">
        <f t="shared" si="472"/>
        <v>0</v>
      </c>
      <c r="G421" s="199">
        <f t="shared" si="472"/>
        <v>0</v>
      </c>
      <c r="H421" s="199">
        <f t="shared" si="472"/>
        <v>0</v>
      </c>
      <c r="I421" s="199">
        <f t="shared" si="472"/>
        <v>0</v>
      </c>
      <c r="J421" s="199">
        <f t="shared" si="472"/>
        <v>0</v>
      </c>
      <c r="K421" s="199">
        <f t="shared" si="472"/>
        <v>0</v>
      </c>
      <c r="L421" s="199">
        <f>SUM(F421:K421)</f>
        <v>0</v>
      </c>
      <c r="M421" s="199">
        <f>L421/6</f>
        <v>0</v>
      </c>
      <c r="N421" s="199">
        <f t="shared" si="473"/>
        <v>0</v>
      </c>
      <c r="O421" s="199">
        <f t="shared" si="473"/>
        <v>0</v>
      </c>
      <c r="P421" s="199">
        <f t="shared" si="473"/>
        <v>0</v>
      </c>
      <c r="Q421" s="199">
        <f t="shared" si="473"/>
        <v>0</v>
      </c>
      <c r="R421" s="199">
        <f t="shared" si="473"/>
        <v>0</v>
      </c>
      <c r="S421" s="199">
        <f t="shared" si="473"/>
        <v>0</v>
      </c>
      <c r="T421" s="199">
        <f>SUM(N421:S421)</f>
        <v>0</v>
      </c>
      <c r="U421" s="199">
        <f>T421+L421</f>
        <v>0</v>
      </c>
      <c r="V421" s="199">
        <f>V436+V466</f>
        <v>0</v>
      </c>
      <c r="W421" s="221">
        <f>V421-U421</f>
        <v>0</v>
      </c>
      <c r="X421" s="176">
        <f>U416-U421</f>
        <v>0</v>
      </c>
      <c r="Z421" s="296"/>
    </row>
    <row r="422" spans="1:28" s="213" customFormat="1" ht="18" customHeight="1">
      <c r="A422" s="583"/>
      <c r="B422" s="657"/>
      <c r="C422" s="658"/>
      <c r="D422" s="201" t="str">
        <f>серпень!D345</f>
        <v xml:space="preserve">місцевий </v>
      </c>
      <c r="E422" s="220"/>
      <c r="F422" s="199">
        <f t="shared" si="472"/>
        <v>0</v>
      </c>
      <c r="G422" s="199">
        <f t="shared" si="472"/>
        <v>2E-3</v>
      </c>
      <c r="H422" s="199">
        <f t="shared" si="472"/>
        <v>7.6660000000000004</v>
      </c>
      <c r="I422" s="199">
        <f t="shared" si="472"/>
        <v>2.8210000000000002</v>
      </c>
      <c r="J422" s="199">
        <f t="shared" si="472"/>
        <v>2.9359999999999999</v>
      </c>
      <c r="K422" s="199">
        <f t="shared" si="472"/>
        <v>4.3250000000000002</v>
      </c>
      <c r="L422" s="199">
        <f>SUM(F422:K422)</f>
        <v>17.75</v>
      </c>
      <c r="M422" s="199">
        <f>L422/6</f>
        <v>2.9580000000000002</v>
      </c>
      <c r="N422" s="199">
        <f t="shared" si="473"/>
        <v>0</v>
      </c>
      <c r="O422" s="199">
        <f t="shared" si="473"/>
        <v>2.9449999999999998</v>
      </c>
      <c r="P422" s="199">
        <f t="shared" si="473"/>
        <v>4.7469999999999999</v>
      </c>
      <c r="Q422" s="199">
        <f t="shared" si="473"/>
        <v>4.1230000000000002</v>
      </c>
      <c r="R422" s="199">
        <f t="shared" si="473"/>
        <v>4.4640000000000004</v>
      </c>
      <c r="S422" s="199">
        <f t="shared" si="473"/>
        <v>3.9209999999999998</v>
      </c>
      <c r="T422" s="199">
        <f>SUM(N422:S422)</f>
        <v>20.2</v>
      </c>
      <c r="U422" s="199">
        <f>T422+L422</f>
        <v>37.950000000000003</v>
      </c>
      <c r="V422" s="199">
        <f>V437+V467</f>
        <v>40.518000000000001</v>
      </c>
      <c r="W422" s="221">
        <f>V422-U422</f>
        <v>2.5680000000000001</v>
      </c>
      <c r="X422" s="176">
        <f>U417-U422</f>
        <v>2.5680000000000001</v>
      </c>
      <c r="Z422" s="296"/>
    </row>
    <row r="423" spans="1:28" s="214" customFormat="1" ht="18" customHeight="1">
      <c r="A423" s="583"/>
      <c r="B423" s="657"/>
      <c r="C423" s="658"/>
      <c r="D423" s="202" t="str">
        <f>серпень!D346</f>
        <v>план</v>
      </c>
      <c r="E423" s="203"/>
      <c r="F423" s="203">
        <f t="shared" ref="F423:K423" si="474">F417</f>
        <v>0.624</v>
      </c>
      <c r="G423" s="203">
        <f t="shared" si="474"/>
        <v>2.258</v>
      </c>
      <c r="H423" s="203">
        <f t="shared" si="474"/>
        <v>4.5819999999999999</v>
      </c>
      <c r="I423" s="203">
        <f t="shared" si="474"/>
        <v>3.3279999999999998</v>
      </c>
      <c r="J423" s="203">
        <f t="shared" si="474"/>
        <v>3.6160000000000001</v>
      </c>
      <c r="K423" s="203">
        <f t="shared" si="474"/>
        <v>2.0529999999999999</v>
      </c>
      <c r="L423" s="203">
        <f>SUM(F423:K423)</f>
        <v>16.460999999999999</v>
      </c>
      <c r="M423" s="203">
        <f>L423/6</f>
        <v>2.7440000000000002</v>
      </c>
      <c r="N423" s="203">
        <f t="shared" ref="N423:S423" si="475">N438+N468</f>
        <v>0</v>
      </c>
      <c r="O423" s="203">
        <f t="shared" si="475"/>
        <v>3.5840000000000001</v>
      </c>
      <c r="P423" s="203">
        <f t="shared" si="475"/>
        <v>7.9630000000000001</v>
      </c>
      <c r="Q423" s="203">
        <f t="shared" si="475"/>
        <v>4.1230000000000002</v>
      </c>
      <c r="R423" s="203">
        <f t="shared" si="475"/>
        <v>4.4640000000000004</v>
      </c>
      <c r="S423" s="203">
        <f t="shared" si="475"/>
        <v>3.923</v>
      </c>
      <c r="T423" s="203">
        <f>SUM(N423:S423)</f>
        <v>24.056999999999999</v>
      </c>
      <c r="U423" s="203">
        <f>T423+L423</f>
        <v>40.518000000000001</v>
      </c>
      <c r="V423" s="203">
        <f>V417+V416</f>
        <v>40.518000000000001</v>
      </c>
      <c r="W423" s="203">
        <f>V423-U423</f>
        <v>0</v>
      </c>
      <c r="Z423" s="303"/>
    </row>
    <row r="424" spans="1:28" s="214" customFormat="1" ht="18" customHeight="1">
      <c r="A424" s="583"/>
      <c r="B424" s="657"/>
      <c r="C424" s="658"/>
      <c r="D424" s="202" t="str">
        <f>серпень!D347</f>
        <v xml:space="preserve">відхилення </v>
      </c>
      <c r="E424" s="203"/>
      <c r="F424" s="203">
        <f t="shared" ref="F424:K424" si="476">F420-F423</f>
        <v>-0.624</v>
      </c>
      <c r="G424" s="203">
        <f t="shared" si="476"/>
        <v>-2.2559999999999998</v>
      </c>
      <c r="H424" s="203">
        <f t="shared" si="476"/>
        <v>3.0840000000000001</v>
      </c>
      <c r="I424" s="203">
        <f t="shared" si="476"/>
        <v>-0.50700000000000001</v>
      </c>
      <c r="J424" s="203">
        <f t="shared" si="476"/>
        <v>-0.68</v>
      </c>
      <c r="K424" s="203">
        <f t="shared" si="476"/>
        <v>2.2719999999999998</v>
      </c>
      <c r="L424" s="203"/>
      <c r="M424" s="203"/>
      <c r="N424" s="203">
        <f t="shared" ref="N424:S424" si="477">N420-N423</f>
        <v>0</v>
      </c>
      <c r="O424" s="203">
        <f t="shared" si="477"/>
        <v>-0.63900000000000001</v>
      </c>
      <c r="P424" s="203">
        <f t="shared" si="477"/>
        <v>-3.2160000000000002</v>
      </c>
      <c r="Q424" s="203">
        <f t="shared" si="477"/>
        <v>0</v>
      </c>
      <c r="R424" s="203">
        <f t="shared" si="477"/>
        <v>0</v>
      </c>
      <c r="S424" s="203">
        <f t="shared" si="477"/>
        <v>-2E-3</v>
      </c>
      <c r="T424" s="203"/>
      <c r="U424" s="203"/>
      <c r="V424" s="203"/>
      <c r="W424" s="203"/>
      <c r="Z424" s="303"/>
    </row>
    <row r="425" spans="1:28" s="214" customFormat="1" ht="18" customHeight="1">
      <c r="A425" s="583"/>
      <c r="B425" s="657"/>
      <c r="C425" s="658"/>
      <c r="D425" s="202" t="str">
        <f>серпень!D348</f>
        <v>відхилення з наростаючим</v>
      </c>
      <c r="E425" s="203"/>
      <c r="F425" s="203">
        <f>F424</f>
        <v>-0.624</v>
      </c>
      <c r="G425" s="203">
        <f>G424+F425</f>
        <v>-2.88</v>
      </c>
      <c r="H425" s="203">
        <f>H424+G425</f>
        <v>0.20399999999999999</v>
      </c>
      <c r="I425" s="203">
        <f>I424+H425</f>
        <v>-0.30299999999999999</v>
      </c>
      <c r="J425" s="203">
        <f>J424+I425</f>
        <v>-0.98299999999999998</v>
      </c>
      <c r="K425" s="203">
        <f>K424+J425</f>
        <v>1.2889999999999999</v>
      </c>
      <c r="L425" s="203"/>
      <c r="M425" s="203"/>
      <c r="N425" s="203">
        <f>N424+K425</f>
        <v>1.2889999999999999</v>
      </c>
      <c r="O425" s="203">
        <f>O424+N425</f>
        <v>0.65</v>
      </c>
      <c r="P425" s="203">
        <f>P424+O425</f>
        <v>-2.5659999999999998</v>
      </c>
      <c r="Q425" s="203">
        <f>Q424+P425</f>
        <v>-2.5659999999999998</v>
      </c>
      <c r="R425" s="203">
        <f>R424+Q425</f>
        <v>-2.5659999999999998</v>
      </c>
      <c r="S425" s="203">
        <f>S424+R425</f>
        <v>-2.5680000000000001</v>
      </c>
      <c r="T425" s="203"/>
      <c r="U425" s="203"/>
      <c r="V425" s="203"/>
      <c r="W425" s="203"/>
      <c r="Z425" s="303"/>
    </row>
    <row r="426" spans="1:28" s="237" customFormat="1" ht="18" customHeight="1">
      <c r="A426" s="583"/>
      <c r="B426" s="581" t="s">
        <v>37</v>
      </c>
      <c r="C426" s="581"/>
      <c r="D426" s="178" t="str">
        <f>серпень!D349</f>
        <v>факт. нат.п-ки 2023</v>
      </c>
      <c r="E426" s="179"/>
      <c r="F426" s="184">
        <v>0</v>
      </c>
      <c r="G426" s="184">
        <v>308</v>
      </c>
      <c r="H426" s="179">
        <v>190</v>
      </c>
      <c r="I426" s="179">
        <v>236</v>
      </c>
      <c r="J426" s="179">
        <v>214</v>
      </c>
      <c r="K426" s="179">
        <v>220.8</v>
      </c>
      <c r="L426" s="215">
        <f>SUM(F426:K426)</f>
        <v>1168.8</v>
      </c>
      <c r="M426" s="215">
        <f>L426/6</f>
        <v>194.8</v>
      </c>
      <c r="N426" s="179">
        <v>242.4</v>
      </c>
      <c r="O426" s="179">
        <v>250</v>
      </c>
      <c r="P426" s="179">
        <v>199.7</v>
      </c>
      <c r="Q426" s="179">
        <v>207.81</v>
      </c>
      <c r="R426" s="179">
        <v>314.7</v>
      </c>
      <c r="S426" s="179">
        <v>227.7</v>
      </c>
      <c r="T426" s="215">
        <f>SUM(N426:S426)</f>
        <v>1442.3</v>
      </c>
      <c r="U426" s="215">
        <f>T426+L426</f>
        <v>2611.1</v>
      </c>
      <c r="V426" s="179">
        <v>2611.1</v>
      </c>
      <c r="W426" s="184"/>
      <c r="X426" s="209"/>
      <c r="Z426" s="306"/>
    </row>
    <row r="427" spans="1:28" s="186" customFormat="1" ht="18" customHeight="1">
      <c r="A427" s="583"/>
      <c r="B427" s="581"/>
      <c r="C427" s="581"/>
      <c r="D427" s="178" t="str">
        <f>серпень!D350</f>
        <v>факт. нат.п-ки 2024</v>
      </c>
      <c r="E427" s="179"/>
      <c r="F427" s="184">
        <v>44</v>
      </c>
      <c r="G427" s="184">
        <v>159.19999999999999</v>
      </c>
      <c r="H427" s="179">
        <v>175.04</v>
      </c>
      <c r="I427" s="179">
        <v>234.6</v>
      </c>
      <c r="J427" s="179">
        <v>254.9</v>
      </c>
      <c r="K427" s="179">
        <v>292.7</v>
      </c>
      <c r="L427" s="215">
        <f>SUM(F427:K427)</f>
        <v>1160.4000000000001</v>
      </c>
      <c r="M427" s="215">
        <f>L427/6</f>
        <v>193.4</v>
      </c>
      <c r="N427" s="179">
        <v>226.7</v>
      </c>
      <c r="O427" s="179">
        <v>252.7</v>
      </c>
      <c r="P427" s="179">
        <v>334.7</v>
      </c>
      <c r="Q427" s="179">
        <v>290.7</v>
      </c>
      <c r="R427" s="179">
        <v>314.7</v>
      </c>
      <c r="S427" s="179">
        <v>227.7</v>
      </c>
      <c r="T427" s="215">
        <f>SUM(N427:S427)</f>
        <v>1647.2</v>
      </c>
      <c r="U427" s="215">
        <f>T427+L427</f>
        <v>2807.6</v>
      </c>
      <c r="V427" s="179">
        <v>2807.6</v>
      </c>
      <c r="W427" s="184"/>
      <c r="X427" s="185"/>
      <c r="Z427" s="297"/>
    </row>
    <row r="428" spans="1:28" s="237" customFormat="1" ht="18" customHeight="1">
      <c r="A428" s="583"/>
      <c r="B428" s="581"/>
      <c r="C428" s="581"/>
      <c r="D428" s="178" t="str">
        <f>серпень!D351</f>
        <v>факт. нат.п-ки 2025</v>
      </c>
      <c r="E428" s="179"/>
      <c r="F428" s="184">
        <v>92</v>
      </c>
      <c r="G428" s="184">
        <v>259.2</v>
      </c>
      <c r="H428" s="179">
        <v>189.3</v>
      </c>
      <c r="I428" s="179">
        <v>198.9</v>
      </c>
      <c r="J428" s="179">
        <v>207</v>
      </c>
      <c r="K428" s="260">
        <v>304.89999999999998</v>
      </c>
      <c r="L428" s="215">
        <f>SUM(F428:K428)</f>
        <v>1251.3</v>
      </c>
      <c r="M428" s="215">
        <f>L428/6</f>
        <v>208.6</v>
      </c>
      <c r="N428" s="179">
        <v>0</v>
      </c>
      <c r="O428" s="179">
        <v>207.6</v>
      </c>
      <c r="P428" s="179">
        <v>334.7</v>
      </c>
      <c r="Q428" s="179">
        <v>290.7</v>
      </c>
      <c r="R428" s="179">
        <v>314.7</v>
      </c>
      <c r="S428" s="179">
        <v>276.7</v>
      </c>
      <c r="T428" s="215">
        <f>SUM(N428:S428)</f>
        <v>1424.4</v>
      </c>
      <c r="U428" s="215">
        <f>T428+L428</f>
        <v>2675.7</v>
      </c>
      <c r="V428" s="179">
        <v>2856.6</v>
      </c>
      <c r="W428" s="184">
        <f>V428-U428</f>
        <v>180.9</v>
      </c>
      <c r="X428" s="209"/>
      <c r="Y428" s="157"/>
      <c r="Z428" s="293"/>
      <c r="AA428" s="157"/>
      <c r="AB428" s="157"/>
    </row>
    <row r="429" spans="1:28" s="173" customFormat="1" ht="18" customHeight="1">
      <c r="A429" s="583"/>
      <c r="B429" s="581"/>
      <c r="C429" s="581"/>
      <c r="D429" s="187" t="str">
        <f>серпень!D352</f>
        <v>тариф, грн.</v>
      </c>
      <c r="E429" s="188" t="e">
        <f>E430/E428*1000</f>
        <v>#DIV/0!</v>
      </c>
      <c r="F429" s="188">
        <f t="shared" ref="F429:J429" si="478">F430/F428*1000</f>
        <v>14.185</v>
      </c>
      <c r="G429" s="188">
        <f t="shared" si="478"/>
        <v>14.182</v>
      </c>
      <c r="H429" s="188">
        <f t="shared" si="478"/>
        <v>14.183999999999999</v>
      </c>
      <c r="I429" s="188">
        <f t="shared" si="478"/>
        <v>14.183</v>
      </c>
      <c r="J429" s="188">
        <f t="shared" si="478"/>
        <v>14.183999999999999</v>
      </c>
      <c r="K429" s="188">
        <v>14.183999999999999</v>
      </c>
      <c r="L429" s="218">
        <f>L430/L428*1000</f>
        <v>14.183999999999999</v>
      </c>
      <c r="M429" s="218">
        <f>M430/M428*1000</f>
        <v>14.18</v>
      </c>
      <c r="N429" s="218" t="e">
        <f>N430/N428*1000</f>
        <v>#DIV/0!</v>
      </c>
      <c r="O429" s="218">
        <v>14.183999999999999</v>
      </c>
      <c r="P429" s="218">
        <v>14.183999999999999</v>
      </c>
      <c r="Q429" s="218">
        <v>14.183999999999999</v>
      </c>
      <c r="R429" s="218">
        <v>14.183999999999999</v>
      </c>
      <c r="S429" s="188">
        <v>14.183999999999999</v>
      </c>
      <c r="T429" s="218">
        <f>T430/T428*1000</f>
        <v>14.183</v>
      </c>
      <c r="U429" s="218">
        <f>U430/U428*1000</f>
        <v>14.183</v>
      </c>
      <c r="V429" s="218">
        <f>V430/V428*1000</f>
        <v>14.183999999999999</v>
      </c>
      <c r="W429" s="218">
        <f>W430/W428*1000</f>
        <v>14.196</v>
      </c>
      <c r="X429" s="209"/>
      <c r="Y429" s="157"/>
      <c r="Z429" s="293"/>
      <c r="AA429" s="157"/>
      <c r="AB429" s="157"/>
    </row>
    <row r="430" spans="1:28" s="173" customFormat="1" ht="18" customHeight="1">
      <c r="A430" s="583"/>
      <c r="B430" s="581"/>
      <c r="C430" s="581"/>
      <c r="D430" s="191" t="str">
        <f>серпень!D353</f>
        <v>сума, тис.грн.</v>
      </c>
      <c r="E430" s="192"/>
      <c r="F430" s="192">
        <v>1.3049999999999999</v>
      </c>
      <c r="G430" s="192">
        <v>3.6760000000000002</v>
      </c>
      <c r="H430" s="192">
        <v>2.6850000000000001</v>
      </c>
      <c r="I430" s="192">
        <v>2.8210000000000002</v>
      </c>
      <c r="J430" s="192">
        <v>2.9359999999999999</v>
      </c>
      <c r="K430" s="192">
        <v>4.3250000000000002</v>
      </c>
      <c r="L430" s="194">
        <f>SUM(F430:K430)</f>
        <v>17.748000000000001</v>
      </c>
      <c r="M430" s="194">
        <f>L430/6</f>
        <v>2.9580000000000002</v>
      </c>
      <c r="N430" s="192">
        <v>0</v>
      </c>
      <c r="O430" s="192">
        <v>2.9449999999999998</v>
      </c>
      <c r="P430" s="192">
        <f t="shared" ref="P430" si="479">P428*P429/1000</f>
        <v>4.7469999999999999</v>
      </c>
      <c r="Q430" s="192">
        <f t="shared" ref="Q430" si="480">Q428*Q429/1000</f>
        <v>4.1230000000000002</v>
      </c>
      <c r="R430" s="192">
        <f t="shared" ref="R430" si="481">R428*R429/1000</f>
        <v>4.4640000000000004</v>
      </c>
      <c r="S430" s="192">
        <f>S428*S429/1000-0.002</f>
        <v>3.923</v>
      </c>
      <c r="T430" s="194">
        <f>SUM(N430:S430)</f>
        <v>20.202000000000002</v>
      </c>
      <c r="U430" s="194">
        <f>T430+L430</f>
        <v>37.950000000000003</v>
      </c>
      <c r="V430" s="171">
        <f>V432+V431</f>
        <v>40.518000000000001</v>
      </c>
      <c r="W430" s="192">
        <f>V430-U430</f>
        <v>2.5680000000000001</v>
      </c>
      <c r="X430" s="172"/>
      <c r="Z430" s="295"/>
    </row>
    <row r="431" spans="1:28" s="173" customFormat="1" ht="18" customHeight="1">
      <c r="A431" s="583"/>
      <c r="B431" s="581"/>
      <c r="C431" s="581"/>
      <c r="D431" s="174" t="str">
        <f>серпень!D354</f>
        <v>дотація</v>
      </c>
      <c r="E431" s="210"/>
      <c r="F431" s="192"/>
      <c r="G431" s="192"/>
      <c r="H431" s="192"/>
      <c r="I431" s="192"/>
      <c r="J431" s="192"/>
      <c r="K431" s="192"/>
      <c r="L431" s="194">
        <f>SUM(F431:K431)</f>
        <v>0</v>
      </c>
      <c r="M431" s="194">
        <f>L431/6</f>
        <v>0</v>
      </c>
      <c r="N431" s="192"/>
      <c r="O431" s="192"/>
      <c r="P431" s="192"/>
      <c r="Q431" s="192"/>
      <c r="R431" s="192"/>
      <c r="S431" s="192"/>
      <c r="T431" s="194">
        <f>SUM(N431:S431)</f>
        <v>0</v>
      </c>
      <c r="U431" s="194">
        <f>T431+L431</f>
        <v>0</v>
      </c>
      <c r="V431" s="171">
        <v>0</v>
      </c>
      <c r="W431" s="192">
        <f>V431-U431</f>
        <v>0</v>
      </c>
      <c r="X431" s="172"/>
      <c r="Z431" s="295"/>
    </row>
    <row r="432" spans="1:28" s="173" customFormat="1" ht="18" customHeight="1">
      <c r="A432" s="583"/>
      <c r="B432" s="581"/>
      <c r="C432" s="581"/>
      <c r="D432" s="174" t="str">
        <f>серпень!D355</f>
        <v>місцевий (план), тис.грн</v>
      </c>
      <c r="E432" s="210"/>
      <c r="F432" s="192">
        <v>0.624</v>
      </c>
      <c r="G432" s="192">
        <v>2.258</v>
      </c>
      <c r="H432" s="192">
        <f>2.483+2.099</f>
        <v>4.5819999999999999</v>
      </c>
      <c r="I432" s="192">
        <v>3.3279999999999998</v>
      </c>
      <c r="J432" s="192">
        <v>3.6160000000000001</v>
      </c>
      <c r="K432" s="192">
        <f>4.152-2.099</f>
        <v>2.0529999999999999</v>
      </c>
      <c r="L432" s="194">
        <f>SUM(F432:K432)</f>
        <v>16.460999999999999</v>
      </c>
      <c r="M432" s="194">
        <f>L432/6</f>
        <v>2.7440000000000002</v>
      </c>
      <c r="N432" s="192">
        <f>3.216-3.216</f>
        <v>0</v>
      </c>
      <c r="O432" s="192">
        <v>3.5840000000000001</v>
      </c>
      <c r="P432" s="192">
        <f>4.747+3.216</f>
        <v>7.9630000000000001</v>
      </c>
      <c r="Q432" s="192">
        <v>4.1230000000000002</v>
      </c>
      <c r="R432" s="192">
        <v>4.4640000000000004</v>
      </c>
      <c r="S432" s="192">
        <v>3.923</v>
      </c>
      <c r="T432" s="194">
        <f>SUM(N432:S432)</f>
        <v>24.056999999999999</v>
      </c>
      <c r="U432" s="194">
        <f>T432+L432</f>
        <v>40.518000000000001</v>
      </c>
      <c r="V432" s="171">
        <v>40.518000000000001</v>
      </c>
      <c r="W432" s="192">
        <f>V432-U432</f>
        <v>0</v>
      </c>
      <c r="X432" s="172"/>
      <c r="Z432" s="295"/>
    </row>
    <row r="433" spans="1:28" s="157" customFormat="1" ht="18" customHeight="1">
      <c r="A433" s="583"/>
      <c r="B433" s="581"/>
      <c r="C433" s="581"/>
      <c r="D433" s="178" t="str">
        <f>серпень!D356</f>
        <v>касові нат.п-ки 2025</v>
      </c>
      <c r="E433" s="179"/>
      <c r="F433" s="184">
        <v>0</v>
      </c>
      <c r="G433" s="184">
        <v>0</v>
      </c>
      <c r="H433" s="179">
        <v>540.5</v>
      </c>
      <c r="I433" s="179">
        <v>198.9</v>
      </c>
      <c r="J433" s="179">
        <v>207</v>
      </c>
      <c r="K433" s="179">
        <v>304.89999999999998</v>
      </c>
      <c r="L433" s="215">
        <f>SUM(F433:K433)</f>
        <v>1251.3</v>
      </c>
      <c r="M433" s="215">
        <f>L433/6</f>
        <v>208.6</v>
      </c>
      <c r="N433" s="179">
        <v>0</v>
      </c>
      <c r="O433" s="179">
        <v>207.6</v>
      </c>
      <c r="P433" s="179">
        <v>334.7</v>
      </c>
      <c r="Q433" s="179">
        <v>290.7</v>
      </c>
      <c r="R433" s="179">
        <v>314.7</v>
      </c>
      <c r="S433" s="179">
        <v>276.7</v>
      </c>
      <c r="T433" s="215">
        <f>SUM(N433:S433)</f>
        <v>1424.4</v>
      </c>
      <c r="U433" s="215">
        <f>T433+L433</f>
        <v>2675.7</v>
      </c>
      <c r="V433" s="179">
        <f>V428</f>
        <v>2856.6</v>
      </c>
      <c r="W433" s="184">
        <f>V433-U433</f>
        <v>180.9</v>
      </c>
      <c r="X433" s="185">
        <f>U428-U433</f>
        <v>0</v>
      </c>
      <c r="Z433" s="293"/>
    </row>
    <row r="434" spans="1:28" s="228" customFormat="1" ht="18" customHeight="1">
      <c r="A434" s="583"/>
      <c r="B434" s="581"/>
      <c r="C434" s="581"/>
      <c r="D434" s="187" t="str">
        <f>серпень!D357</f>
        <v>тариф, грн.</v>
      </c>
      <c r="E434" s="188" t="e">
        <f t="shared" ref="E434:K434" si="482">E435/E433*1000</f>
        <v>#DIV/0!</v>
      </c>
      <c r="F434" s="188" t="e">
        <f t="shared" si="482"/>
        <v>#DIV/0!</v>
      </c>
      <c r="G434" s="188" t="e">
        <f t="shared" si="482"/>
        <v>#DIV/0!</v>
      </c>
      <c r="H434" s="188">
        <f t="shared" si="482"/>
        <v>14.183</v>
      </c>
      <c r="I434" s="188">
        <f t="shared" si="482"/>
        <v>14.183</v>
      </c>
      <c r="J434" s="188">
        <f t="shared" si="482"/>
        <v>14.183999999999999</v>
      </c>
      <c r="K434" s="188">
        <f t="shared" si="482"/>
        <v>14.185</v>
      </c>
      <c r="L434" s="218">
        <f>L435/L433*1000</f>
        <v>14.185</v>
      </c>
      <c r="M434" s="218">
        <f>M435/M433*1000</f>
        <v>14.18</v>
      </c>
      <c r="N434" s="218" t="e">
        <f t="shared" ref="N434:P434" si="483">N435/N433*1000</f>
        <v>#DIV/0!</v>
      </c>
      <c r="O434" s="218">
        <f t="shared" si="483"/>
        <v>14.186</v>
      </c>
      <c r="P434" s="218">
        <f t="shared" si="483"/>
        <v>14.183</v>
      </c>
      <c r="Q434" s="218">
        <v>14.183999999999999</v>
      </c>
      <c r="R434" s="188">
        <v>14.183999999999999</v>
      </c>
      <c r="S434" s="188">
        <v>14.183999999999999</v>
      </c>
      <c r="T434" s="218">
        <f>T435/T433*1000</f>
        <v>14.180999999999999</v>
      </c>
      <c r="U434" s="218">
        <f>U435/U433*1000</f>
        <v>14.183</v>
      </c>
      <c r="V434" s="218">
        <f>V435/V433*1000</f>
        <v>14.183999999999999</v>
      </c>
      <c r="W434" s="218">
        <f>W435/W433*1000</f>
        <v>14.196</v>
      </c>
      <c r="X434" s="225"/>
      <c r="Y434" s="209"/>
      <c r="Z434" s="293"/>
      <c r="AA434" s="209"/>
      <c r="AB434" s="209"/>
    </row>
    <row r="435" spans="1:28" s="239" customFormat="1" ht="18" customHeight="1">
      <c r="A435" s="583"/>
      <c r="B435" s="581"/>
      <c r="C435" s="581"/>
      <c r="D435" s="198" t="str">
        <f>серпень!D358</f>
        <v>касові видатки, тис.грн.</v>
      </c>
      <c r="E435" s="220"/>
      <c r="F435" s="199">
        <v>0</v>
      </c>
      <c r="G435" s="199">
        <v>2E-3</v>
      </c>
      <c r="H435" s="199">
        <v>7.6660000000000004</v>
      </c>
      <c r="I435" s="199">
        <v>2.8210000000000002</v>
      </c>
      <c r="J435" s="199">
        <v>2.9359999999999999</v>
      </c>
      <c r="K435" s="199">
        <v>4.3250000000000002</v>
      </c>
      <c r="L435" s="199">
        <f>SUM(F435:K435)</f>
        <v>17.75</v>
      </c>
      <c r="M435" s="199">
        <f>L435/6</f>
        <v>2.9580000000000002</v>
      </c>
      <c r="N435" s="199">
        <v>0</v>
      </c>
      <c r="O435" s="199">
        <v>2.9449999999999998</v>
      </c>
      <c r="P435" s="199">
        <v>4.7469999999999999</v>
      </c>
      <c r="Q435" s="199">
        <f t="shared" ref="Q435" si="484">Q433*Q434/1000</f>
        <v>4.1230000000000002</v>
      </c>
      <c r="R435" s="199">
        <f t="shared" ref="R435" si="485">R433*R434/1000</f>
        <v>4.4640000000000004</v>
      </c>
      <c r="S435" s="199">
        <f>S433*S434/1000-0.004</f>
        <v>3.9209999999999998</v>
      </c>
      <c r="T435" s="199">
        <f>SUM(N435:S435)</f>
        <v>20.2</v>
      </c>
      <c r="U435" s="199">
        <f>T435+L435</f>
        <v>37.950000000000003</v>
      </c>
      <c r="V435" s="199">
        <f>V430</f>
        <v>40.518000000000001</v>
      </c>
      <c r="W435" s="221">
        <f>V435-U435</f>
        <v>2.5680000000000001</v>
      </c>
      <c r="X435" s="176">
        <f>U430-U435</f>
        <v>0</v>
      </c>
      <c r="Z435" s="300"/>
    </row>
    <row r="436" spans="1:28" s="239" customFormat="1" ht="18" customHeight="1">
      <c r="A436" s="583"/>
      <c r="B436" s="581"/>
      <c r="C436" s="581"/>
      <c r="D436" s="201" t="str">
        <f>серпень!D359</f>
        <v>дотація</v>
      </c>
      <c r="E436" s="220"/>
      <c r="F436" s="199">
        <v>0</v>
      </c>
      <c r="G436" s="199">
        <v>0</v>
      </c>
      <c r="H436" s="199">
        <v>0</v>
      </c>
      <c r="I436" s="199">
        <v>0</v>
      </c>
      <c r="J436" s="199">
        <v>0</v>
      </c>
      <c r="K436" s="199">
        <v>0</v>
      </c>
      <c r="L436" s="199">
        <f>SUM(F436:K436)</f>
        <v>0</v>
      </c>
      <c r="M436" s="199">
        <f>L436/6</f>
        <v>0</v>
      </c>
      <c r="N436" s="199">
        <v>0</v>
      </c>
      <c r="O436" s="199">
        <v>0</v>
      </c>
      <c r="P436" s="199">
        <v>0</v>
      </c>
      <c r="Q436" s="199">
        <v>0</v>
      </c>
      <c r="R436" s="199">
        <v>0</v>
      </c>
      <c r="S436" s="199">
        <v>0</v>
      </c>
      <c r="T436" s="199">
        <f>SUM(N436:S436)</f>
        <v>0</v>
      </c>
      <c r="U436" s="199">
        <f>T436+L436</f>
        <v>0</v>
      </c>
      <c r="V436" s="199">
        <f>V431</f>
        <v>0</v>
      </c>
      <c r="W436" s="221">
        <f>V436-U436</f>
        <v>0</v>
      </c>
      <c r="X436" s="176">
        <f>U431-U436</f>
        <v>0</v>
      </c>
      <c r="Z436" s="300"/>
    </row>
    <row r="437" spans="1:28" s="239" customFormat="1" ht="18" customHeight="1">
      <c r="A437" s="583"/>
      <c r="B437" s="581"/>
      <c r="C437" s="581"/>
      <c r="D437" s="201" t="str">
        <f>серпень!D360</f>
        <v xml:space="preserve">місцевий </v>
      </c>
      <c r="E437" s="220"/>
      <c r="F437" s="199">
        <f t="shared" ref="F437:K437" si="486">F435-F436</f>
        <v>0</v>
      </c>
      <c r="G437" s="199">
        <f t="shared" si="486"/>
        <v>2E-3</v>
      </c>
      <c r="H437" s="199">
        <f t="shared" si="486"/>
        <v>7.6660000000000004</v>
      </c>
      <c r="I437" s="199">
        <f>I435-I436</f>
        <v>2.8210000000000002</v>
      </c>
      <c r="J437" s="199">
        <f t="shared" si="486"/>
        <v>2.9359999999999999</v>
      </c>
      <c r="K437" s="199">
        <f t="shared" si="486"/>
        <v>4.3250000000000002</v>
      </c>
      <c r="L437" s="199">
        <f>SUM(F437:K437)</f>
        <v>17.75</v>
      </c>
      <c r="M437" s="199">
        <f>L437/6</f>
        <v>2.9580000000000002</v>
      </c>
      <c r="N437" s="199">
        <f t="shared" ref="N437:S437" si="487">N435-N436</f>
        <v>0</v>
      </c>
      <c r="O437" s="199">
        <f t="shared" si="487"/>
        <v>2.9449999999999998</v>
      </c>
      <c r="P437" s="199">
        <f t="shared" si="487"/>
        <v>4.7469999999999999</v>
      </c>
      <c r="Q437" s="199">
        <f t="shared" si="487"/>
        <v>4.1230000000000002</v>
      </c>
      <c r="R437" s="199">
        <f t="shared" si="487"/>
        <v>4.4640000000000004</v>
      </c>
      <c r="S437" s="199">
        <f t="shared" si="487"/>
        <v>3.9209999999999998</v>
      </c>
      <c r="T437" s="199">
        <f>SUM(N437:S437)</f>
        <v>20.2</v>
      </c>
      <c r="U437" s="199">
        <f>T437+L437</f>
        <v>37.950000000000003</v>
      </c>
      <c r="V437" s="199">
        <f>V432</f>
        <v>40.518000000000001</v>
      </c>
      <c r="W437" s="221">
        <f>V437-U437</f>
        <v>2.5680000000000001</v>
      </c>
      <c r="X437" s="176">
        <f>U432-U437</f>
        <v>2.5680000000000001</v>
      </c>
      <c r="Z437" s="300"/>
    </row>
    <row r="438" spans="1:28" s="205" customFormat="1" ht="18" customHeight="1">
      <c r="A438" s="583"/>
      <c r="B438" s="581"/>
      <c r="C438" s="581"/>
      <c r="D438" s="202" t="str">
        <f>серпень!D361</f>
        <v>план</v>
      </c>
      <c r="E438" s="203"/>
      <c r="F438" s="203">
        <f t="shared" ref="F438:K438" si="488">F431+F432</f>
        <v>0.624</v>
      </c>
      <c r="G438" s="203">
        <f t="shared" si="488"/>
        <v>2.258</v>
      </c>
      <c r="H438" s="203">
        <f t="shared" si="488"/>
        <v>4.5819999999999999</v>
      </c>
      <c r="I438" s="203">
        <f t="shared" si="488"/>
        <v>3.3279999999999998</v>
      </c>
      <c r="J438" s="203">
        <f t="shared" si="488"/>
        <v>3.6160000000000001</v>
      </c>
      <c r="K438" s="203">
        <f t="shared" si="488"/>
        <v>2.0529999999999999</v>
      </c>
      <c r="L438" s="203">
        <f>SUM(F438:K438)</f>
        <v>16.460999999999999</v>
      </c>
      <c r="M438" s="203">
        <f>L438/6</f>
        <v>2.7440000000000002</v>
      </c>
      <c r="N438" s="203">
        <f t="shared" ref="N438:S438" si="489">N432+N431</f>
        <v>0</v>
      </c>
      <c r="O438" s="203">
        <f t="shared" si="489"/>
        <v>3.5840000000000001</v>
      </c>
      <c r="P438" s="203">
        <f t="shared" si="489"/>
        <v>7.9630000000000001</v>
      </c>
      <c r="Q438" s="203">
        <f t="shared" si="489"/>
        <v>4.1230000000000002</v>
      </c>
      <c r="R438" s="203">
        <f t="shared" si="489"/>
        <v>4.4640000000000004</v>
      </c>
      <c r="S438" s="203">
        <f t="shared" si="489"/>
        <v>3.923</v>
      </c>
      <c r="T438" s="203">
        <f>SUM(N438:S438)</f>
        <v>24.056999999999999</v>
      </c>
      <c r="U438" s="203">
        <f>T438+L438</f>
        <v>40.518000000000001</v>
      </c>
      <c r="V438" s="203">
        <f>V435</f>
        <v>40.518000000000001</v>
      </c>
      <c r="W438" s="203">
        <f>V438-U438</f>
        <v>0</v>
      </c>
      <c r="Z438" s="301"/>
    </row>
    <row r="439" spans="1:28" s="205" customFormat="1" ht="18" customHeight="1">
      <c r="A439" s="583"/>
      <c r="B439" s="581"/>
      <c r="C439" s="581"/>
      <c r="D439" s="202" t="str">
        <f>серпень!D362</f>
        <v xml:space="preserve">відхилення </v>
      </c>
      <c r="E439" s="203"/>
      <c r="F439" s="203">
        <f t="shared" ref="F439:K439" si="490">F435-F438</f>
        <v>-0.624</v>
      </c>
      <c r="G439" s="203">
        <f t="shared" si="490"/>
        <v>-2.2559999999999998</v>
      </c>
      <c r="H439" s="203">
        <f t="shared" si="490"/>
        <v>3.0840000000000001</v>
      </c>
      <c r="I439" s="203">
        <f t="shared" si="490"/>
        <v>-0.50700000000000001</v>
      </c>
      <c r="J439" s="203">
        <f t="shared" si="490"/>
        <v>-0.68</v>
      </c>
      <c r="K439" s="203">
        <f t="shared" si="490"/>
        <v>2.2719999999999998</v>
      </c>
      <c r="L439" s="203"/>
      <c r="M439" s="203"/>
      <c r="N439" s="203">
        <f t="shared" ref="N439:S439" si="491">N435-N438</f>
        <v>0</v>
      </c>
      <c r="O439" s="203">
        <f t="shared" si="491"/>
        <v>-0.63900000000000001</v>
      </c>
      <c r="P439" s="203">
        <f t="shared" si="491"/>
        <v>-3.2160000000000002</v>
      </c>
      <c r="Q439" s="203">
        <f t="shared" si="491"/>
        <v>0</v>
      </c>
      <c r="R439" s="203">
        <f t="shared" si="491"/>
        <v>0</v>
      </c>
      <c r="S439" s="203">
        <f t="shared" si="491"/>
        <v>-2E-3</v>
      </c>
      <c r="T439" s="203"/>
      <c r="U439" s="203"/>
      <c r="V439" s="203"/>
      <c r="W439" s="203"/>
      <c r="Z439" s="301"/>
    </row>
    <row r="440" spans="1:28" s="205" customFormat="1" ht="19.45" customHeight="1">
      <c r="A440" s="583"/>
      <c r="B440" s="581"/>
      <c r="C440" s="581"/>
      <c r="D440" s="202" t="str">
        <f>серпень!D363</f>
        <v>відхилення з наростаючим</v>
      </c>
      <c r="E440" s="203"/>
      <c r="F440" s="203">
        <f>F439</f>
        <v>-0.624</v>
      </c>
      <c r="G440" s="203">
        <f>G439+F440</f>
        <v>-2.88</v>
      </c>
      <c r="H440" s="203">
        <f>H439+G440</f>
        <v>0.20399999999999999</v>
      </c>
      <c r="I440" s="203">
        <f>I439+H440</f>
        <v>-0.30299999999999999</v>
      </c>
      <c r="J440" s="203">
        <f>J439+I440</f>
        <v>-0.98299999999999998</v>
      </c>
      <c r="K440" s="203">
        <f>K439+J440</f>
        <v>1.2889999999999999</v>
      </c>
      <c r="L440" s="203"/>
      <c r="M440" s="203"/>
      <c r="N440" s="203">
        <f>N439+K440</f>
        <v>1.2889999999999999</v>
      </c>
      <c r="O440" s="203">
        <f>O439+N440</f>
        <v>0.65</v>
      </c>
      <c r="P440" s="203">
        <f>P439+O440</f>
        <v>-2.5659999999999998</v>
      </c>
      <c r="Q440" s="203">
        <f>Q439+P440</f>
        <v>-2.5659999999999998</v>
      </c>
      <c r="R440" s="203">
        <f>R439+Q440</f>
        <v>-2.5659999999999998</v>
      </c>
      <c r="S440" s="203">
        <f>S439+R440</f>
        <v>-2.5680000000000001</v>
      </c>
      <c r="T440" s="203"/>
      <c r="U440" s="203"/>
      <c r="V440" s="203"/>
      <c r="W440" s="203"/>
      <c r="Z440" s="301"/>
    </row>
    <row r="441" spans="1:28" s="205" customFormat="1" ht="18" hidden="1" customHeight="1">
      <c r="A441" s="583"/>
      <c r="B441" s="580" t="s">
        <v>96</v>
      </c>
      <c r="C441" s="575"/>
      <c r="D441" s="178" t="str">
        <f>серпень!D364</f>
        <v>факт. нат.п-ки 2023</v>
      </c>
      <c r="E441" s="179"/>
      <c r="F441" s="180"/>
      <c r="G441" s="180"/>
      <c r="H441" s="180"/>
      <c r="I441" s="180"/>
      <c r="J441" s="180"/>
      <c r="K441" s="180"/>
      <c r="L441" s="215">
        <f>SUM(F441:K441)</f>
        <v>0</v>
      </c>
      <c r="M441" s="215">
        <f>L441/6</f>
        <v>0</v>
      </c>
      <c r="N441" s="180"/>
      <c r="O441" s="180"/>
      <c r="P441" s="180"/>
      <c r="Q441" s="180"/>
      <c r="R441" s="180"/>
      <c r="S441" s="180"/>
      <c r="T441" s="215">
        <f>SUM(N441:S441)</f>
        <v>0</v>
      </c>
      <c r="U441" s="226">
        <f>T441+L441</f>
        <v>0</v>
      </c>
      <c r="V441" s="227"/>
      <c r="W441" s="184">
        <f>V441-U441</f>
        <v>0</v>
      </c>
      <c r="Z441" s="301"/>
    </row>
    <row r="442" spans="1:28" s="205" customFormat="1" ht="18" hidden="1" customHeight="1">
      <c r="A442" s="583"/>
      <c r="B442" s="576"/>
      <c r="C442" s="577"/>
      <c r="D442" s="178" t="str">
        <f>серпень!D365</f>
        <v>факт. нат.п-ки 2024</v>
      </c>
      <c r="E442" s="179"/>
      <c r="F442" s="180"/>
      <c r="G442" s="180"/>
      <c r="H442" s="180"/>
      <c r="I442" s="180"/>
      <c r="J442" s="180"/>
      <c r="K442" s="180"/>
      <c r="L442" s="215">
        <f>SUM(F442:K442)</f>
        <v>0</v>
      </c>
      <c r="M442" s="215">
        <f>L442/6</f>
        <v>0</v>
      </c>
      <c r="N442" s="179"/>
      <c r="O442" s="179"/>
      <c r="P442" s="179"/>
      <c r="Q442" s="179"/>
      <c r="R442" s="179"/>
      <c r="S442" s="179"/>
      <c r="T442" s="215">
        <f>SUM(N442:S442)</f>
        <v>0</v>
      </c>
      <c r="U442" s="226">
        <f>T442+L442</f>
        <v>0</v>
      </c>
      <c r="V442" s="227"/>
      <c r="W442" s="184">
        <f>V442-U442</f>
        <v>0</v>
      </c>
      <c r="Z442" s="301"/>
    </row>
    <row r="443" spans="1:28" s="205" customFormat="1" ht="18" hidden="1" customHeight="1">
      <c r="A443" s="583"/>
      <c r="B443" s="576"/>
      <c r="C443" s="577"/>
      <c r="D443" s="178" t="str">
        <f>серпень!D366</f>
        <v>факт. нат.п-ки 2025</v>
      </c>
      <c r="E443" s="179"/>
      <c r="F443" s="180"/>
      <c r="G443" s="180"/>
      <c r="H443" s="180"/>
      <c r="I443" s="180"/>
      <c r="J443" s="180"/>
      <c r="K443" s="180"/>
      <c r="L443" s="215">
        <f>SUM(F443:K443)</f>
        <v>0</v>
      </c>
      <c r="M443" s="215">
        <f>L443/6</f>
        <v>0</v>
      </c>
      <c r="N443" s="180"/>
      <c r="O443" s="180"/>
      <c r="P443" s="180"/>
      <c r="Q443" s="180"/>
      <c r="R443" s="180"/>
      <c r="S443" s="179"/>
      <c r="T443" s="215">
        <f>SUM(N443:S443)</f>
        <v>0</v>
      </c>
      <c r="U443" s="226">
        <f>T443+L443</f>
        <v>0</v>
      </c>
      <c r="V443" s="179"/>
      <c r="W443" s="184">
        <f>V443-U443</f>
        <v>0</v>
      </c>
      <c r="Z443" s="301"/>
    </row>
    <row r="444" spans="1:28" s="205" customFormat="1" ht="18" hidden="1" customHeight="1">
      <c r="A444" s="583"/>
      <c r="B444" s="576"/>
      <c r="C444" s="577"/>
      <c r="D444" s="187" t="str">
        <f>серпень!D367</f>
        <v>тариф, грн.</v>
      </c>
      <c r="E444" s="188"/>
      <c r="F444" s="188"/>
      <c r="G444" s="188"/>
      <c r="H444" s="188"/>
      <c r="I444" s="188"/>
      <c r="J444" s="188"/>
      <c r="K444" s="188"/>
      <c r="L444" s="188" t="e">
        <f>L445/L443*1000</f>
        <v>#DIV/0!</v>
      </c>
      <c r="M444" s="188" t="e">
        <f>M445/M443*1000</f>
        <v>#DIV/0!</v>
      </c>
      <c r="N444" s="188"/>
      <c r="O444" s="188"/>
      <c r="P444" s="188"/>
      <c r="Q444" s="188"/>
      <c r="R444" s="188"/>
      <c r="S444" s="188"/>
      <c r="T444" s="188" t="e">
        <f>T445/T443*1000</f>
        <v>#DIV/0!</v>
      </c>
      <c r="U444" s="188" t="e">
        <f>U445/U443*1000</f>
        <v>#DIV/0!</v>
      </c>
      <c r="V444" s="218" t="e">
        <f>V445/V443*1000</f>
        <v>#DIV/0!</v>
      </c>
      <c r="W444" s="189" t="e">
        <f>W445/W443*1000</f>
        <v>#DIV/0!</v>
      </c>
      <c r="Z444" s="301"/>
    </row>
    <row r="445" spans="1:28" s="205" customFormat="1" ht="18" hidden="1" customHeight="1">
      <c r="A445" s="583"/>
      <c r="B445" s="576"/>
      <c r="C445" s="577"/>
      <c r="D445" s="191" t="str">
        <f>серпень!D368</f>
        <v>сума, тис.грн.</v>
      </c>
      <c r="E445" s="192"/>
      <c r="F445" s="192">
        <f t="shared" ref="F445:K445" si="492">F443*F444/1000</f>
        <v>0</v>
      </c>
      <c r="G445" s="192">
        <f t="shared" si="492"/>
        <v>0</v>
      </c>
      <c r="H445" s="192">
        <f t="shared" si="492"/>
        <v>0</v>
      </c>
      <c r="I445" s="192">
        <f t="shared" si="492"/>
        <v>0</v>
      </c>
      <c r="J445" s="192">
        <f t="shared" si="492"/>
        <v>0</v>
      </c>
      <c r="K445" s="192">
        <f t="shared" si="492"/>
        <v>0</v>
      </c>
      <c r="L445" s="194">
        <f>SUM(F445:K445)</f>
        <v>0</v>
      </c>
      <c r="M445" s="194">
        <f>L445/6</f>
        <v>0</v>
      </c>
      <c r="N445" s="192">
        <f t="shared" ref="N445:S445" si="493">N443*N444/1000</f>
        <v>0</v>
      </c>
      <c r="O445" s="192">
        <f t="shared" si="493"/>
        <v>0</v>
      </c>
      <c r="P445" s="192">
        <f t="shared" si="493"/>
        <v>0</v>
      </c>
      <c r="Q445" s="192">
        <f t="shared" si="493"/>
        <v>0</v>
      </c>
      <c r="R445" s="192">
        <f t="shared" si="493"/>
        <v>0</v>
      </c>
      <c r="S445" s="192">
        <f t="shared" si="493"/>
        <v>0</v>
      </c>
      <c r="T445" s="194">
        <f>SUM(N445:S445)</f>
        <v>0</v>
      </c>
      <c r="U445" s="194">
        <f>T445+L445</f>
        <v>0</v>
      </c>
      <c r="V445" s="171">
        <f>V446+V447</f>
        <v>0</v>
      </c>
      <c r="W445" s="193">
        <f>V445-U445</f>
        <v>0</v>
      </c>
      <c r="Z445" s="301"/>
    </row>
    <row r="446" spans="1:28" s="205" customFormat="1" ht="18" hidden="1" customHeight="1">
      <c r="A446" s="583"/>
      <c r="B446" s="576"/>
      <c r="C446" s="577"/>
      <c r="D446" s="174" t="str">
        <f>серпень!D369</f>
        <v>дотація</v>
      </c>
      <c r="E446" s="210"/>
      <c r="F446" s="192"/>
      <c r="G446" s="192"/>
      <c r="H446" s="192"/>
      <c r="I446" s="192"/>
      <c r="J446" s="192"/>
      <c r="K446" s="192"/>
      <c r="L446" s="194">
        <f>SUM(F446:K446)</f>
        <v>0</v>
      </c>
      <c r="M446" s="194">
        <f>L446/6</f>
        <v>0</v>
      </c>
      <c r="N446" s="192"/>
      <c r="O446" s="192"/>
      <c r="P446" s="192"/>
      <c r="Q446" s="192"/>
      <c r="R446" s="192"/>
      <c r="S446" s="192"/>
      <c r="T446" s="194">
        <f>SUM(N446:S446)</f>
        <v>0</v>
      </c>
      <c r="U446" s="194">
        <f>T446+L446</f>
        <v>0</v>
      </c>
      <c r="V446" s="171"/>
      <c r="W446" s="193">
        <f>V446-U446</f>
        <v>0</v>
      </c>
      <c r="Z446" s="301"/>
    </row>
    <row r="447" spans="1:28" s="205" customFormat="1" ht="18" hidden="1" customHeight="1">
      <c r="A447" s="583"/>
      <c r="B447" s="576"/>
      <c r="C447" s="577"/>
      <c r="D447" s="174" t="str">
        <f>серпень!D370</f>
        <v>місцевий (план), тис.грн</v>
      </c>
      <c r="E447" s="210"/>
      <c r="F447" s="192"/>
      <c r="G447" s="192"/>
      <c r="H447" s="192"/>
      <c r="I447" s="192"/>
      <c r="J447" s="192"/>
      <c r="K447" s="192"/>
      <c r="L447" s="194">
        <f>SUM(F447:K447)</f>
        <v>0</v>
      </c>
      <c r="M447" s="194">
        <f>L447/6</f>
        <v>0</v>
      </c>
      <c r="N447" s="192"/>
      <c r="O447" s="192"/>
      <c r="P447" s="192"/>
      <c r="Q447" s="192"/>
      <c r="R447" s="192"/>
      <c r="S447" s="192"/>
      <c r="T447" s="194">
        <f>SUM(N447:S447)</f>
        <v>0</v>
      </c>
      <c r="U447" s="194">
        <f>T447+L447</f>
        <v>0</v>
      </c>
      <c r="V447" s="171"/>
      <c r="W447" s="193">
        <f>V447-U447</f>
        <v>0</v>
      </c>
      <c r="Z447" s="301"/>
    </row>
    <row r="448" spans="1:28" s="205" customFormat="1" ht="18" hidden="1" customHeight="1">
      <c r="A448" s="583"/>
      <c r="B448" s="576"/>
      <c r="C448" s="577"/>
      <c r="D448" s="178" t="str">
        <f>серпень!D371</f>
        <v>касові нат.п-ки 2025</v>
      </c>
      <c r="E448" s="179"/>
      <c r="F448" s="179"/>
      <c r="G448" s="179"/>
      <c r="H448" s="179"/>
      <c r="I448" s="179"/>
      <c r="J448" s="179"/>
      <c r="K448" s="179"/>
      <c r="L448" s="215">
        <f>SUM(F448:K448)</f>
        <v>0</v>
      </c>
      <c r="M448" s="215">
        <f>L448/6</f>
        <v>0</v>
      </c>
      <c r="N448" s="179"/>
      <c r="O448" s="179"/>
      <c r="P448" s="179"/>
      <c r="Q448" s="179"/>
      <c r="R448" s="179"/>
      <c r="S448" s="179"/>
      <c r="T448" s="215">
        <f>SUM(N448:S448)</f>
        <v>0</v>
      </c>
      <c r="U448" s="215">
        <f>T448+L448</f>
        <v>0</v>
      </c>
      <c r="V448" s="179">
        <f>V443</f>
        <v>0</v>
      </c>
      <c r="W448" s="184">
        <f>V448-U448</f>
        <v>0</v>
      </c>
      <c r="X448" s="185">
        <f>U443-U448</f>
        <v>0</v>
      </c>
      <c r="Z448" s="301"/>
    </row>
    <row r="449" spans="1:28" s="205" customFormat="1" ht="18" hidden="1" customHeight="1">
      <c r="A449" s="583"/>
      <c r="B449" s="576"/>
      <c r="C449" s="577"/>
      <c r="D449" s="187" t="str">
        <f>серпень!D372</f>
        <v>тариф, грн.</v>
      </c>
      <c r="E449" s="188" t="e">
        <f>E450/E448*1000</f>
        <v>#DIV/0!</v>
      </c>
      <c r="F449" s="188"/>
      <c r="G449" s="188"/>
      <c r="H449" s="188"/>
      <c r="I449" s="188"/>
      <c r="J449" s="188"/>
      <c r="K449" s="188"/>
      <c r="L449" s="188" t="e">
        <f>L450/L448*1000</f>
        <v>#DIV/0!</v>
      </c>
      <c r="M449" s="188" t="e">
        <f>M450/M448*1000</f>
        <v>#DIV/0!</v>
      </c>
      <c r="N449" s="188"/>
      <c r="O449" s="188"/>
      <c r="P449" s="188"/>
      <c r="Q449" s="188"/>
      <c r="R449" s="188"/>
      <c r="S449" s="188"/>
      <c r="T449" s="188" t="e">
        <f>T450/T448*1000</f>
        <v>#DIV/0!</v>
      </c>
      <c r="U449" s="188" t="e">
        <f>U450/U448*1000</f>
        <v>#DIV/0!</v>
      </c>
      <c r="V449" s="218" t="e">
        <f>V450/V448*1000</f>
        <v>#DIV/0!</v>
      </c>
      <c r="W449" s="189" t="e">
        <f>W450/W448*1000</f>
        <v>#DIV/0!</v>
      </c>
      <c r="X449" s="185"/>
      <c r="Z449" s="301"/>
    </row>
    <row r="450" spans="1:28" s="205" customFormat="1" ht="18" hidden="1" customHeight="1">
      <c r="A450" s="583"/>
      <c r="B450" s="576"/>
      <c r="C450" s="577"/>
      <c r="D450" s="198" t="str">
        <f>серпень!D373</f>
        <v>касові видатки, тис.грн.</v>
      </c>
      <c r="E450" s="220"/>
      <c r="F450" s="199">
        <f t="shared" ref="F450:K450" si="494">F448*F449/1000</f>
        <v>0</v>
      </c>
      <c r="G450" s="199">
        <f t="shared" si="494"/>
        <v>0</v>
      </c>
      <c r="H450" s="199">
        <f t="shared" si="494"/>
        <v>0</v>
      </c>
      <c r="I450" s="199">
        <f t="shared" si="494"/>
        <v>0</v>
      </c>
      <c r="J450" s="199">
        <f t="shared" si="494"/>
        <v>0</v>
      </c>
      <c r="K450" s="199">
        <f t="shared" si="494"/>
        <v>0</v>
      </c>
      <c r="L450" s="199">
        <f>SUM(F450:K450)</f>
        <v>0</v>
      </c>
      <c r="M450" s="199">
        <f>L450/6</f>
        <v>0</v>
      </c>
      <c r="N450" s="199">
        <f t="shared" ref="N450:S450" si="495">N448*N449/1000</f>
        <v>0</v>
      </c>
      <c r="O450" s="199">
        <f t="shared" si="495"/>
        <v>0</v>
      </c>
      <c r="P450" s="199">
        <f t="shared" si="495"/>
        <v>0</v>
      </c>
      <c r="Q450" s="199">
        <f t="shared" si="495"/>
        <v>0</v>
      </c>
      <c r="R450" s="199">
        <f t="shared" si="495"/>
        <v>0</v>
      </c>
      <c r="S450" s="199">
        <f t="shared" si="495"/>
        <v>0</v>
      </c>
      <c r="T450" s="199">
        <f>SUM(N450:S450)</f>
        <v>0</v>
      </c>
      <c r="U450" s="199">
        <f>T450+L450</f>
        <v>0</v>
      </c>
      <c r="V450" s="199">
        <f>V445</f>
        <v>0</v>
      </c>
      <c r="W450" s="221">
        <f>V450-U450</f>
        <v>0</v>
      </c>
      <c r="X450" s="176">
        <f>U445-U450</f>
        <v>0</v>
      </c>
      <c r="Z450" s="301"/>
    </row>
    <row r="451" spans="1:28" s="205" customFormat="1" ht="18" hidden="1" customHeight="1">
      <c r="A451" s="583"/>
      <c r="B451" s="576"/>
      <c r="C451" s="577"/>
      <c r="D451" s="201" t="str">
        <f>серпень!D374</f>
        <v>дотація</v>
      </c>
      <c r="E451" s="220"/>
      <c r="F451" s="199"/>
      <c r="G451" s="199"/>
      <c r="H451" s="199"/>
      <c r="I451" s="199"/>
      <c r="J451" s="199"/>
      <c r="K451" s="199"/>
      <c r="L451" s="199">
        <f>SUM(F451:K451)</f>
        <v>0</v>
      </c>
      <c r="M451" s="199">
        <f>L451/6</f>
        <v>0</v>
      </c>
      <c r="N451" s="199"/>
      <c r="O451" s="199"/>
      <c r="P451" s="199"/>
      <c r="Q451" s="199"/>
      <c r="R451" s="199"/>
      <c r="S451" s="199"/>
      <c r="T451" s="199">
        <f>SUM(N451:S451)</f>
        <v>0</v>
      </c>
      <c r="U451" s="199">
        <f>T451+L451</f>
        <v>0</v>
      </c>
      <c r="V451" s="199">
        <f>V446</f>
        <v>0</v>
      </c>
      <c r="W451" s="221">
        <f>V451-U451</f>
        <v>0</v>
      </c>
      <c r="X451" s="176">
        <f>U446-U451</f>
        <v>0</v>
      </c>
      <c r="Z451" s="301"/>
    </row>
    <row r="452" spans="1:28" s="205" customFormat="1" ht="18" hidden="1" customHeight="1">
      <c r="A452" s="583"/>
      <c r="B452" s="576"/>
      <c r="C452" s="577"/>
      <c r="D452" s="201" t="str">
        <f>серпень!D375</f>
        <v xml:space="preserve">місцевий </v>
      </c>
      <c r="E452" s="220"/>
      <c r="F452" s="199">
        <f t="shared" ref="F452:K452" si="496">F450-F451</f>
        <v>0</v>
      </c>
      <c r="G452" s="199">
        <f t="shared" si="496"/>
        <v>0</v>
      </c>
      <c r="H452" s="199">
        <f t="shared" si="496"/>
        <v>0</v>
      </c>
      <c r="I452" s="199">
        <f t="shared" si="496"/>
        <v>0</v>
      </c>
      <c r="J452" s="199">
        <f t="shared" si="496"/>
        <v>0</v>
      </c>
      <c r="K452" s="199">
        <f t="shared" si="496"/>
        <v>0</v>
      </c>
      <c r="L452" s="199">
        <f>SUM(F452:K452)</f>
        <v>0</v>
      </c>
      <c r="M452" s="199">
        <f>L452/6</f>
        <v>0</v>
      </c>
      <c r="N452" s="199">
        <f t="shared" ref="N452:S452" si="497">N450-N451</f>
        <v>0</v>
      </c>
      <c r="O452" s="199">
        <f t="shared" si="497"/>
        <v>0</v>
      </c>
      <c r="P452" s="199">
        <f t="shared" si="497"/>
        <v>0</v>
      </c>
      <c r="Q452" s="199">
        <f t="shared" si="497"/>
        <v>0</v>
      </c>
      <c r="R452" s="199">
        <f t="shared" si="497"/>
        <v>0</v>
      </c>
      <c r="S452" s="199">
        <f t="shared" si="497"/>
        <v>0</v>
      </c>
      <c r="T452" s="199">
        <f>SUM(N452:S452)</f>
        <v>0</v>
      </c>
      <c r="U452" s="199">
        <f>T452+L452</f>
        <v>0</v>
      </c>
      <c r="V452" s="199">
        <f>V447</f>
        <v>0</v>
      </c>
      <c r="W452" s="221">
        <f>V452-U452</f>
        <v>0</v>
      </c>
      <c r="X452" s="176">
        <f>U447-U452</f>
        <v>0</v>
      </c>
      <c r="Z452" s="301"/>
    </row>
    <row r="453" spans="1:28" s="205" customFormat="1" ht="18" hidden="1" customHeight="1">
      <c r="A453" s="583"/>
      <c r="B453" s="576"/>
      <c r="C453" s="577"/>
      <c r="D453" s="202" t="str">
        <f>серпень!D376</f>
        <v>план</v>
      </c>
      <c r="E453" s="203"/>
      <c r="F453" s="203">
        <f t="shared" ref="F453:K453" si="498">F447</f>
        <v>0</v>
      </c>
      <c r="G453" s="203">
        <f t="shared" si="498"/>
        <v>0</v>
      </c>
      <c r="H453" s="203">
        <f t="shared" si="498"/>
        <v>0</v>
      </c>
      <c r="I453" s="203">
        <f t="shared" si="498"/>
        <v>0</v>
      </c>
      <c r="J453" s="203">
        <f t="shared" si="498"/>
        <v>0</v>
      </c>
      <c r="K453" s="203">
        <f t="shared" si="498"/>
        <v>0</v>
      </c>
      <c r="L453" s="203">
        <f>SUM(F453:K453)</f>
        <v>0</v>
      </c>
      <c r="M453" s="203">
        <f>L453/6</f>
        <v>0</v>
      </c>
      <c r="N453" s="203">
        <f t="shared" ref="N453:S453" si="499">N447+N446</f>
        <v>0</v>
      </c>
      <c r="O453" s="203">
        <f t="shared" si="499"/>
        <v>0</v>
      </c>
      <c r="P453" s="203">
        <f t="shared" si="499"/>
        <v>0</v>
      </c>
      <c r="Q453" s="203">
        <f t="shared" si="499"/>
        <v>0</v>
      </c>
      <c r="R453" s="203">
        <f t="shared" si="499"/>
        <v>0</v>
      </c>
      <c r="S453" s="203">
        <f t="shared" si="499"/>
        <v>0</v>
      </c>
      <c r="T453" s="203">
        <f>SUM(N453:S453)</f>
        <v>0</v>
      </c>
      <c r="U453" s="203">
        <f>T453+L453</f>
        <v>0</v>
      </c>
      <c r="V453" s="203">
        <f>V450</f>
        <v>0</v>
      </c>
      <c r="W453" s="203">
        <f>V453-U453</f>
        <v>0</v>
      </c>
      <c r="Z453" s="301"/>
    </row>
    <row r="454" spans="1:28" s="205" customFormat="1" ht="18" hidden="1" customHeight="1">
      <c r="A454" s="583"/>
      <c r="B454" s="576"/>
      <c r="C454" s="577"/>
      <c r="D454" s="202" t="str">
        <f>серпень!D377</f>
        <v xml:space="preserve">відхилення </v>
      </c>
      <c r="E454" s="203"/>
      <c r="F454" s="203">
        <f t="shared" ref="F454:K454" si="500">F450-F453</f>
        <v>0</v>
      </c>
      <c r="G454" s="203">
        <f t="shared" si="500"/>
        <v>0</v>
      </c>
      <c r="H454" s="203">
        <f t="shared" si="500"/>
        <v>0</v>
      </c>
      <c r="I454" s="203">
        <f t="shared" si="500"/>
        <v>0</v>
      </c>
      <c r="J454" s="203">
        <f t="shared" si="500"/>
        <v>0</v>
      </c>
      <c r="K454" s="203">
        <f t="shared" si="500"/>
        <v>0</v>
      </c>
      <c r="L454" s="203"/>
      <c r="M454" s="203"/>
      <c r="N454" s="203">
        <f t="shared" ref="N454:S454" si="501">N450-N453</f>
        <v>0</v>
      </c>
      <c r="O454" s="203">
        <f t="shared" si="501"/>
        <v>0</v>
      </c>
      <c r="P454" s="203">
        <f t="shared" si="501"/>
        <v>0</v>
      </c>
      <c r="Q454" s="203">
        <f t="shared" si="501"/>
        <v>0</v>
      </c>
      <c r="R454" s="203">
        <f t="shared" si="501"/>
        <v>0</v>
      </c>
      <c r="S454" s="203">
        <f t="shared" si="501"/>
        <v>0</v>
      </c>
      <c r="T454" s="203"/>
      <c r="U454" s="203"/>
      <c r="V454" s="203"/>
      <c r="W454" s="203"/>
      <c r="Z454" s="301"/>
    </row>
    <row r="455" spans="1:28" s="205" customFormat="1" ht="18" hidden="1" customHeight="1">
      <c r="A455" s="583"/>
      <c r="B455" s="578"/>
      <c r="C455" s="579"/>
      <c r="D455" s="202" t="str">
        <f>серпень!D378</f>
        <v>відхилення з наростаючим</v>
      </c>
      <c r="E455" s="203"/>
      <c r="F455" s="203">
        <f>F454</f>
        <v>0</v>
      </c>
      <c r="G455" s="203">
        <f>G454+F455</f>
        <v>0</v>
      </c>
      <c r="H455" s="203">
        <f>H454+G455</f>
        <v>0</v>
      </c>
      <c r="I455" s="203">
        <f>I454+H455</f>
        <v>0</v>
      </c>
      <c r="J455" s="203">
        <f>J454+I455</f>
        <v>0</v>
      </c>
      <c r="K455" s="203">
        <f>K454+J455</f>
        <v>0</v>
      </c>
      <c r="L455" s="203"/>
      <c r="M455" s="203"/>
      <c r="N455" s="203">
        <f>N454+K455</f>
        <v>0</v>
      </c>
      <c r="O455" s="203">
        <f>O454+N455</f>
        <v>0</v>
      </c>
      <c r="P455" s="203">
        <f>P454+O455</f>
        <v>0</v>
      </c>
      <c r="Q455" s="203">
        <f>Q454+P455</f>
        <v>0</v>
      </c>
      <c r="R455" s="203">
        <f>R454+Q455</f>
        <v>0</v>
      </c>
      <c r="S455" s="203">
        <f>S454+R455</f>
        <v>0</v>
      </c>
      <c r="T455" s="203"/>
      <c r="U455" s="203"/>
      <c r="V455" s="203"/>
      <c r="W455" s="203"/>
      <c r="Z455" s="301"/>
    </row>
    <row r="456" spans="1:28" s="237" customFormat="1" ht="18" hidden="1" customHeight="1">
      <c r="A456" s="583"/>
      <c r="B456" s="580" t="s">
        <v>38</v>
      </c>
      <c r="C456" s="575"/>
      <c r="D456" s="178" t="str">
        <f>серпень!D379</f>
        <v>факт. нат.п-ки 2023</v>
      </c>
      <c r="E456" s="179"/>
      <c r="F456" s="180"/>
      <c r="G456" s="180"/>
      <c r="H456" s="180"/>
      <c r="I456" s="180"/>
      <c r="J456" s="180"/>
      <c r="K456" s="180"/>
      <c r="L456" s="215">
        <f>SUM(F456:K456)</f>
        <v>0</v>
      </c>
      <c r="M456" s="215">
        <f>L456/6</f>
        <v>0</v>
      </c>
      <c r="N456" s="180"/>
      <c r="O456" s="180"/>
      <c r="P456" s="180"/>
      <c r="Q456" s="180"/>
      <c r="R456" s="180"/>
      <c r="S456" s="180"/>
      <c r="T456" s="215">
        <f>SUM(N456:S456)</f>
        <v>0</v>
      </c>
      <c r="U456" s="226">
        <f>T456+L456</f>
        <v>0</v>
      </c>
      <c r="V456" s="227"/>
      <c r="W456" s="184">
        <f>V456-U456</f>
        <v>0</v>
      </c>
      <c r="X456" s="209"/>
      <c r="Y456" s="157"/>
      <c r="Z456" s="293"/>
      <c r="AA456" s="157"/>
      <c r="AB456" s="157"/>
    </row>
    <row r="457" spans="1:28" s="186" customFormat="1" ht="18" hidden="1" customHeight="1">
      <c r="A457" s="583"/>
      <c r="B457" s="576"/>
      <c r="C457" s="577"/>
      <c r="D457" s="178" t="str">
        <f>серпень!D380</f>
        <v>факт. нат.п-ки 2024</v>
      </c>
      <c r="E457" s="179"/>
      <c r="F457" s="180"/>
      <c r="G457" s="180"/>
      <c r="H457" s="180"/>
      <c r="I457" s="180"/>
      <c r="J457" s="180"/>
      <c r="K457" s="180"/>
      <c r="L457" s="215">
        <f>SUM(F457:K457)</f>
        <v>0</v>
      </c>
      <c r="M457" s="215">
        <f>L457/6</f>
        <v>0</v>
      </c>
      <c r="N457" s="179"/>
      <c r="O457" s="179"/>
      <c r="P457" s="179"/>
      <c r="Q457" s="179"/>
      <c r="R457" s="179"/>
      <c r="S457" s="179"/>
      <c r="T457" s="215">
        <f>SUM(N457:S457)</f>
        <v>0</v>
      </c>
      <c r="U457" s="226">
        <f>T457+L457</f>
        <v>0</v>
      </c>
      <c r="V457" s="227"/>
      <c r="W457" s="184">
        <f>V457-U457</f>
        <v>0</v>
      </c>
      <c r="X457" s="185"/>
      <c r="Z457" s="297"/>
    </row>
    <row r="458" spans="1:28" s="237" customFormat="1" ht="18" hidden="1" customHeight="1">
      <c r="A458" s="583"/>
      <c r="B458" s="576"/>
      <c r="C458" s="577"/>
      <c r="D458" s="178" t="str">
        <f>серпень!D381</f>
        <v>факт. нат.п-ки 2025</v>
      </c>
      <c r="E458" s="179"/>
      <c r="F458" s="180"/>
      <c r="G458" s="180"/>
      <c r="H458" s="180"/>
      <c r="I458" s="180"/>
      <c r="J458" s="180"/>
      <c r="K458" s="180"/>
      <c r="L458" s="215">
        <f>SUM(F458:K458)</f>
        <v>0</v>
      </c>
      <c r="M458" s="215">
        <f>L458/6</f>
        <v>0</v>
      </c>
      <c r="N458" s="180"/>
      <c r="O458" s="180"/>
      <c r="P458" s="180"/>
      <c r="Q458" s="180"/>
      <c r="R458" s="180"/>
      <c r="S458" s="179"/>
      <c r="T458" s="215">
        <f>SUM(N458:S458)</f>
        <v>0</v>
      </c>
      <c r="U458" s="226">
        <f>T458+L458</f>
        <v>0</v>
      </c>
      <c r="V458" s="179"/>
      <c r="W458" s="184">
        <f>V458-U458</f>
        <v>0</v>
      </c>
      <c r="X458" s="209"/>
      <c r="Y458" s="157"/>
      <c r="Z458" s="293"/>
      <c r="AA458" s="157"/>
      <c r="AB458" s="157"/>
    </row>
    <row r="459" spans="1:28" s="173" customFormat="1" ht="18" hidden="1" customHeight="1">
      <c r="A459" s="583"/>
      <c r="B459" s="576"/>
      <c r="C459" s="577"/>
      <c r="D459" s="187" t="str">
        <f>серпень!D382</f>
        <v>тариф, грн.</v>
      </c>
      <c r="E459" s="188"/>
      <c r="F459" s="188">
        <v>10.56</v>
      </c>
      <c r="G459" s="188">
        <v>10.56</v>
      </c>
      <c r="H459" s="188">
        <v>10.56</v>
      </c>
      <c r="I459" s="188">
        <v>10.56</v>
      </c>
      <c r="J459" s="188">
        <v>10.56</v>
      </c>
      <c r="K459" s="188">
        <v>10.56</v>
      </c>
      <c r="L459" s="188" t="e">
        <f>L460/L458*1000</f>
        <v>#DIV/0!</v>
      </c>
      <c r="M459" s="188" t="e">
        <f>M460/M458*1000</f>
        <v>#DIV/0!</v>
      </c>
      <c r="N459" s="188">
        <v>10.56</v>
      </c>
      <c r="O459" s="188">
        <v>10.56</v>
      </c>
      <c r="P459" s="188">
        <v>10.56</v>
      </c>
      <c r="Q459" s="188">
        <v>10.56</v>
      </c>
      <c r="R459" s="188">
        <v>10.56</v>
      </c>
      <c r="S459" s="188">
        <v>10.56</v>
      </c>
      <c r="T459" s="188" t="e">
        <f>T460/T458*1000</f>
        <v>#DIV/0!</v>
      </c>
      <c r="U459" s="188" t="e">
        <f>U460/U458*1000</f>
        <v>#DIV/0!</v>
      </c>
      <c r="V459" s="218" t="e">
        <f>V460/V458*1000</f>
        <v>#DIV/0!</v>
      </c>
      <c r="W459" s="189" t="e">
        <f>W460/W458*1000</f>
        <v>#DIV/0!</v>
      </c>
      <c r="X459" s="209"/>
      <c r="Y459" s="157"/>
      <c r="Z459" s="293"/>
      <c r="AA459" s="157"/>
      <c r="AB459" s="157"/>
    </row>
    <row r="460" spans="1:28" s="173" customFormat="1" ht="18" hidden="1" customHeight="1">
      <c r="A460" s="583"/>
      <c r="B460" s="576"/>
      <c r="C460" s="577"/>
      <c r="D460" s="191" t="str">
        <f>серпень!D383</f>
        <v>сума, тис.грн.</v>
      </c>
      <c r="E460" s="192"/>
      <c r="F460" s="192">
        <f t="shared" ref="F460:K460" si="502">F458*F459/1000</f>
        <v>0</v>
      </c>
      <c r="G460" s="192">
        <f t="shared" si="502"/>
        <v>0</v>
      </c>
      <c r="H460" s="192">
        <f t="shared" si="502"/>
        <v>0</v>
      </c>
      <c r="I460" s="192">
        <f t="shared" si="502"/>
        <v>0</v>
      </c>
      <c r="J460" s="192">
        <f t="shared" si="502"/>
        <v>0</v>
      </c>
      <c r="K460" s="192">
        <f t="shared" si="502"/>
        <v>0</v>
      </c>
      <c r="L460" s="194">
        <f>SUM(F460:K460)</f>
        <v>0</v>
      </c>
      <c r="M460" s="194">
        <f>L460/6</f>
        <v>0</v>
      </c>
      <c r="N460" s="192">
        <f t="shared" ref="N460:S460" si="503">N458*N459/1000</f>
        <v>0</v>
      </c>
      <c r="O460" s="192">
        <f t="shared" si="503"/>
        <v>0</v>
      </c>
      <c r="P460" s="192">
        <f t="shared" si="503"/>
        <v>0</v>
      </c>
      <c r="Q460" s="192">
        <f t="shared" si="503"/>
        <v>0</v>
      </c>
      <c r="R460" s="192">
        <f t="shared" si="503"/>
        <v>0</v>
      </c>
      <c r="S460" s="192">
        <f t="shared" si="503"/>
        <v>0</v>
      </c>
      <c r="T460" s="194">
        <f>SUM(N460:S460)</f>
        <v>0</v>
      </c>
      <c r="U460" s="194">
        <f>T460+L460</f>
        <v>0</v>
      </c>
      <c r="V460" s="171">
        <f>V461+V462</f>
        <v>0</v>
      </c>
      <c r="W460" s="193">
        <f>V460-U460</f>
        <v>0</v>
      </c>
      <c r="X460" s="172"/>
      <c r="Z460" s="295"/>
    </row>
    <row r="461" spans="1:28" s="173" customFormat="1" ht="18" hidden="1" customHeight="1">
      <c r="A461" s="583"/>
      <c r="B461" s="576"/>
      <c r="C461" s="577"/>
      <c r="D461" s="174" t="str">
        <f>серпень!D384</f>
        <v>дотація</v>
      </c>
      <c r="E461" s="210"/>
      <c r="F461" s="192"/>
      <c r="G461" s="192"/>
      <c r="H461" s="192"/>
      <c r="I461" s="192"/>
      <c r="J461" s="192"/>
      <c r="K461" s="192"/>
      <c r="L461" s="194">
        <f>SUM(F461:K461)</f>
        <v>0</v>
      </c>
      <c r="M461" s="194">
        <f>L461/6</f>
        <v>0</v>
      </c>
      <c r="N461" s="192"/>
      <c r="O461" s="192"/>
      <c r="P461" s="192"/>
      <c r="Q461" s="192"/>
      <c r="R461" s="192"/>
      <c r="S461" s="192"/>
      <c r="T461" s="194">
        <f>SUM(N461:S461)</f>
        <v>0</v>
      </c>
      <c r="U461" s="194">
        <f>T461+L461</f>
        <v>0</v>
      </c>
      <c r="V461" s="171">
        <v>0</v>
      </c>
      <c r="W461" s="193">
        <f>V461-U461</f>
        <v>0</v>
      </c>
      <c r="X461" s="172"/>
      <c r="Z461" s="295"/>
    </row>
    <row r="462" spans="1:28" s="173" customFormat="1" ht="18" hidden="1" customHeight="1">
      <c r="A462" s="583"/>
      <c r="B462" s="576"/>
      <c r="C462" s="577"/>
      <c r="D462" s="174" t="str">
        <f>серпень!D385</f>
        <v>місцевий (план), тис.грн</v>
      </c>
      <c r="E462" s="210"/>
      <c r="F462" s="192"/>
      <c r="G462" s="192"/>
      <c r="H462" s="192"/>
      <c r="I462" s="192"/>
      <c r="J462" s="192"/>
      <c r="K462" s="192"/>
      <c r="L462" s="194">
        <f>SUM(F462:K462)</f>
        <v>0</v>
      </c>
      <c r="M462" s="194">
        <f>L462/6</f>
        <v>0</v>
      </c>
      <c r="N462" s="192"/>
      <c r="O462" s="192"/>
      <c r="P462" s="192"/>
      <c r="Q462" s="192"/>
      <c r="R462" s="192"/>
      <c r="S462" s="192"/>
      <c r="T462" s="194">
        <f>SUM(N462:S462)</f>
        <v>0</v>
      </c>
      <c r="U462" s="194">
        <f>T462+L462</f>
        <v>0</v>
      </c>
      <c r="V462" s="171">
        <v>0</v>
      </c>
      <c r="W462" s="193">
        <f>V462-U462</f>
        <v>0</v>
      </c>
      <c r="X462" s="172"/>
      <c r="Z462" s="295"/>
    </row>
    <row r="463" spans="1:28" s="157" customFormat="1" ht="18" hidden="1" customHeight="1">
      <c r="A463" s="583"/>
      <c r="B463" s="576"/>
      <c r="C463" s="577"/>
      <c r="D463" s="178" t="str">
        <f>серпень!D386</f>
        <v>касові нат.п-ки 2025</v>
      </c>
      <c r="E463" s="179"/>
      <c r="F463" s="179"/>
      <c r="G463" s="179"/>
      <c r="H463" s="179"/>
      <c r="I463" s="179"/>
      <c r="J463" s="179"/>
      <c r="K463" s="179"/>
      <c r="L463" s="215">
        <f>SUM(F463:K463)</f>
        <v>0</v>
      </c>
      <c r="M463" s="215">
        <f>L463/6</f>
        <v>0</v>
      </c>
      <c r="N463" s="179"/>
      <c r="O463" s="179"/>
      <c r="P463" s="179"/>
      <c r="Q463" s="179"/>
      <c r="R463" s="179"/>
      <c r="S463" s="179">
        <f>S458+R458</f>
        <v>0</v>
      </c>
      <c r="T463" s="215">
        <f>SUM(N463:S463)</f>
        <v>0</v>
      </c>
      <c r="U463" s="215">
        <f>T463+L463</f>
        <v>0</v>
      </c>
      <c r="V463" s="179">
        <f>V458</f>
        <v>0</v>
      </c>
      <c r="W463" s="184">
        <f>V463-U463</f>
        <v>0</v>
      </c>
      <c r="X463" s="185">
        <f>U458-U463</f>
        <v>0</v>
      </c>
      <c r="Z463" s="293"/>
    </row>
    <row r="464" spans="1:28" s="228" customFormat="1" ht="18" hidden="1" customHeight="1">
      <c r="A464" s="583"/>
      <c r="B464" s="576"/>
      <c r="C464" s="577"/>
      <c r="D464" s="187" t="str">
        <f>серпень!D387</f>
        <v>тариф, грн.</v>
      </c>
      <c r="E464" s="188" t="e">
        <f>E465/E463*1000</f>
        <v>#DIV/0!</v>
      </c>
      <c r="F464" s="188">
        <v>10.56</v>
      </c>
      <c r="G464" s="188">
        <v>10.56</v>
      </c>
      <c r="H464" s="188">
        <v>10.56</v>
      </c>
      <c r="I464" s="188">
        <v>10.56</v>
      </c>
      <c r="J464" s="188">
        <v>10.56</v>
      </c>
      <c r="K464" s="188">
        <v>10.56</v>
      </c>
      <c r="L464" s="188" t="e">
        <f>L465/L463*1000</f>
        <v>#DIV/0!</v>
      </c>
      <c r="M464" s="188" t="e">
        <f>M465/M463*1000</f>
        <v>#DIV/0!</v>
      </c>
      <c r="N464" s="188">
        <v>10.56</v>
      </c>
      <c r="O464" s="188">
        <v>10.56</v>
      </c>
      <c r="P464" s="188">
        <v>10.56</v>
      </c>
      <c r="Q464" s="188">
        <v>10.56</v>
      </c>
      <c r="R464" s="188">
        <v>10.56</v>
      </c>
      <c r="S464" s="188">
        <v>10.56</v>
      </c>
      <c r="T464" s="188" t="e">
        <f>T465/T463*1000</f>
        <v>#DIV/0!</v>
      </c>
      <c r="U464" s="188" t="e">
        <f>U465/U463*1000</f>
        <v>#DIV/0!</v>
      </c>
      <c r="V464" s="218" t="e">
        <f>V465/V463*1000</f>
        <v>#DIV/0!</v>
      </c>
      <c r="W464" s="189" t="e">
        <f>W465/W463*1000</f>
        <v>#DIV/0!</v>
      </c>
      <c r="X464" s="225"/>
      <c r="Y464" s="209"/>
      <c r="Z464" s="293"/>
      <c r="AA464" s="209"/>
      <c r="AB464" s="209"/>
    </row>
    <row r="465" spans="1:26" s="239" customFormat="1" ht="18" hidden="1" customHeight="1">
      <c r="A465" s="583"/>
      <c r="B465" s="576"/>
      <c r="C465" s="577"/>
      <c r="D465" s="198" t="str">
        <f>серпень!D388</f>
        <v>касові видатки, тис.грн.</v>
      </c>
      <c r="E465" s="220"/>
      <c r="F465" s="199">
        <f t="shared" ref="F465:K465" si="504">F463*F464/1000</f>
        <v>0</v>
      </c>
      <c r="G465" s="199">
        <f t="shared" si="504"/>
        <v>0</v>
      </c>
      <c r="H465" s="199">
        <f t="shared" si="504"/>
        <v>0</v>
      </c>
      <c r="I465" s="199">
        <f t="shared" si="504"/>
        <v>0</v>
      </c>
      <c r="J465" s="199">
        <f t="shared" si="504"/>
        <v>0</v>
      </c>
      <c r="K465" s="199">
        <f t="shared" si="504"/>
        <v>0</v>
      </c>
      <c r="L465" s="199">
        <f>SUM(F465:K465)</f>
        <v>0</v>
      </c>
      <c r="M465" s="199">
        <f>L465/6</f>
        <v>0</v>
      </c>
      <c r="N465" s="199">
        <f t="shared" ref="N465:S465" si="505">N463*N464/1000</f>
        <v>0</v>
      </c>
      <c r="O465" s="199">
        <f t="shared" si="505"/>
        <v>0</v>
      </c>
      <c r="P465" s="199">
        <f t="shared" si="505"/>
        <v>0</v>
      </c>
      <c r="Q465" s="199">
        <f t="shared" si="505"/>
        <v>0</v>
      </c>
      <c r="R465" s="199">
        <f t="shared" si="505"/>
        <v>0</v>
      </c>
      <c r="S465" s="199">
        <f t="shared" si="505"/>
        <v>0</v>
      </c>
      <c r="T465" s="199">
        <f>SUM(N465:S465)</f>
        <v>0</v>
      </c>
      <c r="U465" s="199">
        <f>T465+L465</f>
        <v>0</v>
      </c>
      <c r="V465" s="199">
        <f>V460</f>
        <v>0</v>
      </c>
      <c r="W465" s="221">
        <f>V465-U465</f>
        <v>0</v>
      </c>
      <c r="X465" s="176">
        <f>U460-U465</f>
        <v>0</v>
      </c>
      <c r="Z465" s="300"/>
    </row>
    <row r="466" spans="1:26" s="239" customFormat="1" ht="18" hidden="1" customHeight="1">
      <c r="A466" s="583"/>
      <c r="B466" s="576"/>
      <c r="C466" s="577"/>
      <c r="D466" s="201" t="str">
        <f>серпень!D389</f>
        <v>дотація</v>
      </c>
      <c r="E466" s="220"/>
      <c r="F466" s="199"/>
      <c r="G466" s="199"/>
      <c r="H466" s="199"/>
      <c r="I466" s="199"/>
      <c r="J466" s="199"/>
      <c r="K466" s="199"/>
      <c r="L466" s="199">
        <f>SUM(F466:K466)</f>
        <v>0</v>
      </c>
      <c r="M466" s="199">
        <f>L466/6</f>
        <v>0</v>
      </c>
      <c r="N466" s="199"/>
      <c r="O466" s="199"/>
      <c r="P466" s="199"/>
      <c r="Q466" s="199"/>
      <c r="R466" s="199"/>
      <c r="S466" s="199"/>
      <c r="T466" s="199">
        <f>SUM(N466:S466)</f>
        <v>0</v>
      </c>
      <c r="U466" s="199">
        <f>T466+L466</f>
        <v>0</v>
      </c>
      <c r="V466" s="199">
        <f>V461</f>
        <v>0</v>
      </c>
      <c r="W466" s="221">
        <f>V466-U466</f>
        <v>0</v>
      </c>
      <c r="X466" s="176">
        <f>U461-U466</f>
        <v>0</v>
      </c>
      <c r="Z466" s="300"/>
    </row>
    <row r="467" spans="1:26" s="239" customFormat="1" ht="18" hidden="1" customHeight="1">
      <c r="A467" s="583"/>
      <c r="B467" s="576"/>
      <c r="C467" s="577"/>
      <c r="D467" s="201" t="str">
        <f>серпень!D390</f>
        <v xml:space="preserve">місцевий </v>
      </c>
      <c r="E467" s="220"/>
      <c r="F467" s="199">
        <f t="shared" ref="F467:K467" si="506">F465-F466</f>
        <v>0</v>
      </c>
      <c r="G467" s="199">
        <f t="shared" si="506"/>
        <v>0</v>
      </c>
      <c r="H467" s="199">
        <f t="shared" si="506"/>
        <v>0</v>
      </c>
      <c r="I467" s="199">
        <f t="shared" si="506"/>
        <v>0</v>
      </c>
      <c r="J467" s="199">
        <f t="shared" si="506"/>
        <v>0</v>
      </c>
      <c r="K467" s="199">
        <f t="shared" si="506"/>
        <v>0</v>
      </c>
      <c r="L467" s="199">
        <f>SUM(F467:K467)</f>
        <v>0</v>
      </c>
      <c r="M467" s="199">
        <f>L467/6</f>
        <v>0</v>
      </c>
      <c r="N467" s="199">
        <f t="shared" ref="N467:S467" si="507">N465-N466</f>
        <v>0</v>
      </c>
      <c r="O467" s="199">
        <f t="shared" si="507"/>
        <v>0</v>
      </c>
      <c r="P467" s="199">
        <f t="shared" si="507"/>
        <v>0</v>
      </c>
      <c r="Q467" s="199">
        <f t="shared" si="507"/>
        <v>0</v>
      </c>
      <c r="R467" s="199">
        <f t="shared" si="507"/>
        <v>0</v>
      </c>
      <c r="S467" s="199">
        <f t="shared" si="507"/>
        <v>0</v>
      </c>
      <c r="T467" s="199">
        <f>SUM(N467:S467)</f>
        <v>0</v>
      </c>
      <c r="U467" s="199">
        <f>T467+L467</f>
        <v>0</v>
      </c>
      <c r="V467" s="199">
        <f>V462</f>
        <v>0</v>
      </c>
      <c r="W467" s="221">
        <f>V467-U467</f>
        <v>0</v>
      </c>
      <c r="X467" s="176">
        <f>U462-U467</f>
        <v>0</v>
      </c>
      <c r="Z467" s="300"/>
    </row>
    <row r="468" spans="1:26" s="205" customFormat="1" ht="18" hidden="1" customHeight="1">
      <c r="A468" s="583"/>
      <c r="B468" s="576"/>
      <c r="C468" s="577"/>
      <c r="D468" s="202" t="str">
        <f>серпень!D391</f>
        <v>план</v>
      </c>
      <c r="E468" s="203"/>
      <c r="F468" s="203">
        <f t="shared" ref="F468:K468" si="508">F462</f>
        <v>0</v>
      </c>
      <c r="G468" s="203">
        <f t="shared" si="508"/>
        <v>0</v>
      </c>
      <c r="H468" s="203">
        <f t="shared" si="508"/>
        <v>0</v>
      </c>
      <c r="I468" s="203">
        <f t="shared" si="508"/>
        <v>0</v>
      </c>
      <c r="J468" s="203">
        <f t="shared" si="508"/>
        <v>0</v>
      </c>
      <c r="K468" s="203">
        <f t="shared" si="508"/>
        <v>0</v>
      </c>
      <c r="L468" s="203">
        <f>SUM(F468:K468)</f>
        <v>0</v>
      </c>
      <c r="M468" s="203">
        <f>L468/6</f>
        <v>0</v>
      </c>
      <c r="N468" s="203">
        <f t="shared" ref="N468:S468" si="509">N462+N461</f>
        <v>0</v>
      </c>
      <c r="O468" s="203">
        <f t="shared" si="509"/>
        <v>0</v>
      </c>
      <c r="P468" s="203">
        <f t="shared" si="509"/>
        <v>0</v>
      </c>
      <c r="Q468" s="203">
        <f t="shared" si="509"/>
        <v>0</v>
      </c>
      <c r="R468" s="203">
        <f t="shared" si="509"/>
        <v>0</v>
      </c>
      <c r="S468" s="203">
        <f t="shared" si="509"/>
        <v>0</v>
      </c>
      <c r="T468" s="203">
        <f>SUM(N468:S468)</f>
        <v>0</v>
      </c>
      <c r="U468" s="203">
        <f>T468+L468</f>
        <v>0</v>
      </c>
      <c r="V468" s="203">
        <f>V465</f>
        <v>0</v>
      </c>
      <c r="W468" s="203">
        <f>V468-U468</f>
        <v>0</v>
      </c>
      <c r="Z468" s="301"/>
    </row>
    <row r="469" spans="1:26" s="205" customFormat="1" ht="18" hidden="1" customHeight="1">
      <c r="A469" s="583"/>
      <c r="B469" s="576"/>
      <c r="C469" s="577"/>
      <c r="D469" s="202" t="str">
        <f>серпень!D392</f>
        <v xml:space="preserve">відхилення </v>
      </c>
      <c r="E469" s="203"/>
      <c r="F469" s="203">
        <f t="shared" ref="F469:K469" si="510">F465-F468</f>
        <v>0</v>
      </c>
      <c r="G469" s="203">
        <f t="shared" si="510"/>
        <v>0</v>
      </c>
      <c r="H469" s="203">
        <f t="shared" si="510"/>
        <v>0</v>
      </c>
      <c r="I469" s="203">
        <f t="shared" si="510"/>
        <v>0</v>
      </c>
      <c r="J469" s="203">
        <f t="shared" si="510"/>
        <v>0</v>
      </c>
      <c r="K469" s="203">
        <f t="shared" si="510"/>
        <v>0</v>
      </c>
      <c r="L469" s="203"/>
      <c r="M469" s="203"/>
      <c r="N469" s="203">
        <f t="shared" ref="N469:S469" si="511">N465-N468</f>
        <v>0</v>
      </c>
      <c r="O469" s="203">
        <f t="shared" si="511"/>
        <v>0</v>
      </c>
      <c r="P469" s="203">
        <f t="shared" si="511"/>
        <v>0</v>
      </c>
      <c r="Q469" s="203">
        <f t="shared" si="511"/>
        <v>0</v>
      </c>
      <c r="R469" s="203">
        <f t="shared" si="511"/>
        <v>0</v>
      </c>
      <c r="S469" s="203">
        <f t="shared" si="511"/>
        <v>0</v>
      </c>
      <c r="T469" s="203"/>
      <c r="U469" s="203"/>
      <c r="V469" s="203"/>
      <c r="W469" s="203"/>
      <c r="Z469" s="301"/>
    </row>
    <row r="470" spans="1:26" s="205" customFormat="1" ht="18" hidden="1" customHeight="1">
      <c r="A470" s="584"/>
      <c r="B470" s="578"/>
      <c r="C470" s="579"/>
      <c r="D470" s="202" t="str">
        <f>серпень!D393</f>
        <v>відхилення з наростаючим</v>
      </c>
      <c r="E470" s="203"/>
      <c r="F470" s="203">
        <f>F469</f>
        <v>0</v>
      </c>
      <c r="G470" s="203">
        <f>G469+F470</f>
        <v>0</v>
      </c>
      <c r="H470" s="203">
        <f>H469+G470</f>
        <v>0</v>
      </c>
      <c r="I470" s="203">
        <f>I469+H470</f>
        <v>0</v>
      </c>
      <c r="J470" s="203">
        <f>J469+I470</f>
        <v>0</v>
      </c>
      <c r="K470" s="203">
        <f>K469+J470</f>
        <v>0</v>
      </c>
      <c r="L470" s="203"/>
      <c r="M470" s="203"/>
      <c r="N470" s="203">
        <f>N469+K470</f>
        <v>0</v>
      </c>
      <c r="O470" s="203">
        <f>O469+N470</f>
        <v>0</v>
      </c>
      <c r="P470" s="203">
        <f>P469+O470</f>
        <v>0</v>
      </c>
      <c r="Q470" s="203">
        <f>Q469+P470</f>
        <v>0</v>
      </c>
      <c r="R470" s="203">
        <f>R469+Q470</f>
        <v>0</v>
      </c>
      <c r="S470" s="203">
        <f>S469+R470</f>
        <v>0</v>
      </c>
      <c r="T470" s="203"/>
      <c r="U470" s="203"/>
      <c r="V470" s="203"/>
      <c r="W470" s="203"/>
      <c r="Z470" s="301"/>
    </row>
    <row r="471" spans="1:26" s="196" customFormat="1" ht="18" customHeight="1">
      <c r="A471" s="591">
        <v>2273</v>
      </c>
      <c r="B471" s="580" t="s">
        <v>26</v>
      </c>
      <c r="C471" s="575"/>
      <c r="D471" s="178" t="str">
        <f>серпень!D394</f>
        <v>факт. нат.п-ки 2023</v>
      </c>
      <c r="E471" s="179"/>
      <c r="F471" s="180">
        <f t="shared" ref="F471:K473" si="512">F486+F501</f>
        <v>7585.6</v>
      </c>
      <c r="G471" s="180">
        <f t="shared" si="512"/>
        <v>10466.6</v>
      </c>
      <c r="H471" s="180">
        <f t="shared" si="512"/>
        <v>9615</v>
      </c>
      <c r="I471" s="180">
        <f t="shared" si="512"/>
        <v>11562.8</v>
      </c>
      <c r="J471" s="180">
        <f t="shared" si="512"/>
        <v>6776</v>
      </c>
      <c r="K471" s="180">
        <f t="shared" si="512"/>
        <v>4449.7</v>
      </c>
      <c r="L471" s="215">
        <f>SUM(F471:K471)</f>
        <v>50455.7</v>
      </c>
      <c r="M471" s="215">
        <f>L471/6</f>
        <v>8409.2999999999993</v>
      </c>
      <c r="N471" s="180">
        <f t="shared" ref="N471:S473" si="513">N486+N501</f>
        <v>3054.9</v>
      </c>
      <c r="O471" s="180">
        <f t="shared" si="513"/>
        <v>2671.7</v>
      </c>
      <c r="P471" s="180">
        <f t="shared" si="513"/>
        <v>3968.6</v>
      </c>
      <c r="Q471" s="180">
        <f t="shared" si="513"/>
        <v>9013.9</v>
      </c>
      <c r="R471" s="180">
        <f t="shared" si="513"/>
        <v>10886.5</v>
      </c>
      <c r="S471" s="180">
        <f t="shared" si="513"/>
        <v>3919</v>
      </c>
      <c r="T471" s="215">
        <f>SUM(N471:S471)</f>
        <v>33514.6</v>
      </c>
      <c r="U471" s="215">
        <f>T471+L471</f>
        <v>83970.3</v>
      </c>
      <c r="V471" s="233">
        <f>V486+V501</f>
        <v>83970.3</v>
      </c>
      <c r="W471" s="184"/>
      <c r="X471" s="185"/>
      <c r="Z471" s="299"/>
    </row>
    <row r="472" spans="1:26" s="186" customFormat="1" ht="18" customHeight="1">
      <c r="A472" s="592"/>
      <c r="B472" s="576"/>
      <c r="C472" s="577"/>
      <c r="D472" s="178" t="str">
        <f>серпень!D395</f>
        <v>факт. нат.п-ки 2024</v>
      </c>
      <c r="E472" s="179"/>
      <c r="F472" s="180">
        <f t="shared" si="512"/>
        <v>12882.5</v>
      </c>
      <c r="G472" s="180">
        <f t="shared" si="512"/>
        <v>8398.1</v>
      </c>
      <c r="H472" s="180">
        <f t="shared" si="512"/>
        <v>8151.5</v>
      </c>
      <c r="I472" s="180">
        <f t="shared" si="512"/>
        <v>5085.3999999999996</v>
      </c>
      <c r="J472" s="180">
        <f>J487+J502</f>
        <v>4537.7</v>
      </c>
      <c r="K472" s="180">
        <f t="shared" si="512"/>
        <v>3746.1</v>
      </c>
      <c r="L472" s="215">
        <f>SUM(F472:K472)</f>
        <v>42801.3</v>
      </c>
      <c r="M472" s="215">
        <f>L472/6</f>
        <v>7133.6</v>
      </c>
      <c r="N472" s="180">
        <f t="shared" si="513"/>
        <v>2594.8000000000002</v>
      </c>
      <c r="O472" s="180">
        <f t="shared" si="513"/>
        <v>1838.3</v>
      </c>
      <c r="P472" s="180">
        <f t="shared" si="513"/>
        <v>5150.8</v>
      </c>
      <c r="Q472" s="180">
        <f t="shared" si="513"/>
        <v>8597.1</v>
      </c>
      <c r="R472" s="180">
        <f t="shared" si="513"/>
        <v>10886.5</v>
      </c>
      <c r="S472" s="180">
        <f t="shared" si="513"/>
        <v>6816.8</v>
      </c>
      <c r="T472" s="215">
        <f>SUM(N472:S472)</f>
        <v>35884.300000000003</v>
      </c>
      <c r="U472" s="215">
        <f>T472+L472</f>
        <v>78685.600000000006</v>
      </c>
      <c r="V472" s="489">
        <f>V487+V502</f>
        <v>78685.600000000006</v>
      </c>
      <c r="W472" s="184"/>
      <c r="X472" s="185"/>
      <c r="Z472" s="297"/>
    </row>
    <row r="473" spans="1:26" s="186" customFormat="1" ht="18" customHeight="1">
      <c r="A473" s="592"/>
      <c r="B473" s="576"/>
      <c r="C473" s="577"/>
      <c r="D473" s="178" t="str">
        <f>серпень!D396</f>
        <v>факт. нат.п-ки 2025</v>
      </c>
      <c r="E473" s="179"/>
      <c r="F473" s="180">
        <f t="shared" si="512"/>
        <v>8601.7000000000007</v>
      </c>
      <c r="G473" s="180">
        <f t="shared" si="512"/>
        <v>7455.7</v>
      </c>
      <c r="H473" s="180">
        <f t="shared" si="512"/>
        <v>7284.7</v>
      </c>
      <c r="I473" s="180">
        <f t="shared" si="512"/>
        <v>7322.7</v>
      </c>
      <c r="J473" s="180">
        <f>J488+J503</f>
        <v>6004.1</v>
      </c>
      <c r="K473" s="180">
        <f t="shared" si="512"/>
        <v>4026.3</v>
      </c>
      <c r="L473" s="234">
        <f>SUM(F473:K473)</f>
        <v>40695.199999999997</v>
      </c>
      <c r="M473" s="215">
        <f>L473/6</f>
        <v>6782.5</v>
      </c>
      <c r="N473" s="180">
        <f t="shared" si="513"/>
        <v>2750.1</v>
      </c>
      <c r="O473" s="180">
        <f t="shared" si="513"/>
        <v>2168.9</v>
      </c>
      <c r="P473" s="180">
        <f t="shared" si="513"/>
        <v>5850.8</v>
      </c>
      <c r="Q473" s="180">
        <f t="shared" si="513"/>
        <v>8597.1</v>
      </c>
      <c r="R473" s="180">
        <f t="shared" si="513"/>
        <v>10886.5</v>
      </c>
      <c r="S473" s="180">
        <f t="shared" si="513"/>
        <v>7323.3</v>
      </c>
      <c r="T473" s="215">
        <f>SUM(N473:S473)</f>
        <v>37576.699999999997</v>
      </c>
      <c r="U473" s="215">
        <f>T473+L473</f>
        <v>78271.899999999994</v>
      </c>
      <c r="V473" s="489">
        <f>V488+V503</f>
        <v>86868.1</v>
      </c>
      <c r="W473" s="184">
        <f>V473-U473</f>
        <v>8596.2000000000007</v>
      </c>
      <c r="X473" s="185"/>
      <c r="Z473" s="297"/>
    </row>
    <row r="474" spans="1:26" s="190" customFormat="1" ht="18" customHeight="1">
      <c r="A474" s="592"/>
      <c r="B474" s="576"/>
      <c r="C474" s="577"/>
      <c r="D474" s="187" t="str">
        <f>серпень!D397</f>
        <v>тариф, грн.</v>
      </c>
      <c r="E474" s="188" t="e">
        <f>E475/E473*1000</f>
        <v>#DIV/0!</v>
      </c>
      <c r="F474" s="242">
        <f t="shared" ref="F474:S474" si="514">F475/F473*1000</f>
        <v>7.5780399999999997</v>
      </c>
      <c r="G474" s="242">
        <f t="shared" si="514"/>
        <v>8.16235</v>
      </c>
      <c r="H474" s="242">
        <f t="shared" si="514"/>
        <v>6.4518800000000001</v>
      </c>
      <c r="I474" s="242">
        <f t="shared" si="514"/>
        <v>6.7522900000000003</v>
      </c>
      <c r="J474" s="242">
        <f t="shared" si="514"/>
        <v>5.8718199999999996</v>
      </c>
      <c r="K474" s="242">
        <f t="shared" si="514"/>
        <v>4.8178200000000002</v>
      </c>
      <c r="L474" s="242">
        <f t="shared" si="514"/>
        <v>6.8100899999999998</v>
      </c>
      <c r="M474" s="242">
        <f t="shared" si="514"/>
        <v>6.8101700000000003</v>
      </c>
      <c r="N474" s="242">
        <f t="shared" si="514"/>
        <v>4.8860000000000001</v>
      </c>
      <c r="O474" s="242">
        <f t="shared" si="514"/>
        <v>4.8056599999999996</v>
      </c>
      <c r="P474" s="242">
        <f t="shared" si="514"/>
        <v>6.0754099999999998</v>
      </c>
      <c r="Q474" s="242">
        <f t="shared" si="514"/>
        <v>6.79183</v>
      </c>
      <c r="R474" s="242">
        <f t="shared" si="514"/>
        <v>7.0275100000000004</v>
      </c>
      <c r="S474" s="242">
        <f t="shared" si="514"/>
        <v>6.6754100000000003</v>
      </c>
      <c r="T474" s="242">
        <f>T475/T473*1000</f>
        <v>6.4717500000000001</v>
      </c>
      <c r="U474" s="242">
        <f>U475/U473*1000</f>
        <v>6.6476600000000001</v>
      </c>
      <c r="V474" s="242">
        <f>V475/V473*1000</f>
        <v>7.1454500000000003</v>
      </c>
      <c r="W474" s="243">
        <f>W475/W473*1000</f>
        <v>11.67807</v>
      </c>
      <c r="X474" s="225"/>
      <c r="Z474" s="298"/>
    </row>
    <row r="475" spans="1:26" s="244" customFormat="1" ht="18" customHeight="1">
      <c r="A475" s="592"/>
      <c r="B475" s="576"/>
      <c r="C475" s="577"/>
      <c r="D475" s="191" t="str">
        <f>серпень!D398</f>
        <v>сума, тис.грн.</v>
      </c>
      <c r="E475" s="192"/>
      <c r="F475" s="192">
        <f t="shared" ref="F475:K478" si="515">F490+F505</f>
        <v>65.183999999999997</v>
      </c>
      <c r="G475" s="192">
        <f t="shared" si="515"/>
        <v>60.856000000000002</v>
      </c>
      <c r="H475" s="192">
        <f t="shared" si="515"/>
        <v>47</v>
      </c>
      <c r="I475" s="192">
        <f t="shared" si="515"/>
        <v>49.445</v>
      </c>
      <c r="J475" s="192">
        <f t="shared" si="515"/>
        <v>35.255000000000003</v>
      </c>
      <c r="K475" s="192">
        <f t="shared" si="515"/>
        <v>19.398</v>
      </c>
      <c r="L475" s="194">
        <f>SUM(F475:K475)</f>
        <v>277.13799999999998</v>
      </c>
      <c r="M475" s="194">
        <f>L475/6</f>
        <v>46.19</v>
      </c>
      <c r="N475" s="192">
        <f t="shared" ref="N475:S478" si="516">N490+N505</f>
        <v>13.436999999999999</v>
      </c>
      <c r="O475" s="192">
        <f t="shared" si="516"/>
        <v>10.423</v>
      </c>
      <c r="P475" s="192">
        <f t="shared" si="516"/>
        <v>35.545999999999999</v>
      </c>
      <c r="Q475" s="192">
        <f t="shared" si="516"/>
        <v>58.39</v>
      </c>
      <c r="R475" s="192">
        <f t="shared" si="516"/>
        <v>76.504999999999995</v>
      </c>
      <c r="S475" s="192">
        <f t="shared" si="516"/>
        <v>48.886000000000003</v>
      </c>
      <c r="T475" s="194">
        <f>SUM(N475:S475)</f>
        <v>243.18700000000001</v>
      </c>
      <c r="U475" s="194">
        <f>T475+L475</f>
        <v>520.32500000000005</v>
      </c>
      <c r="V475" s="192">
        <f>V490+V505</f>
        <v>620.71199999999999</v>
      </c>
      <c r="W475" s="192">
        <f>V475-U475</f>
        <v>100.387</v>
      </c>
      <c r="Z475" s="308"/>
    </row>
    <row r="476" spans="1:26" s="244" customFormat="1" ht="18" customHeight="1">
      <c r="A476" s="592"/>
      <c r="B476" s="576"/>
      <c r="C476" s="577"/>
      <c r="D476" s="174" t="str">
        <f>серпень!D399</f>
        <v>дотація</v>
      </c>
      <c r="E476" s="192"/>
      <c r="F476" s="192">
        <f t="shared" si="515"/>
        <v>0</v>
      </c>
      <c r="G476" s="192">
        <f t="shared" si="515"/>
        <v>0</v>
      </c>
      <c r="H476" s="192">
        <f t="shared" si="515"/>
        <v>0</v>
      </c>
      <c r="I476" s="192">
        <f t="shared" si="515"/>
        <v>13.728999999999999</v>
      </c>
      <c r="J476" s="192">
        <f>J491+J506</f>
        <v>16.187999999999999</v>
      </c>
      <c r="K476" s="192">
        <f t="shared" si="515"/>
        <v>0</v>
      </c>
      <c r="L476" s="194">
        <f>SUM(F476:K476)</f>
        <v>29.917000000000002</v>
      </c>
      <c r="M476" s="194">
        <f>L476/6</f>
        <v>4.9859999999999998</v>
      </c>
      <c r="N476" s="192">
        <f t="shared" si="516"/>
        <v>0</v>
      </c>
      <c r="O476" s="192">
        <f t="shared" si="516"/>
        <v>0</v>
      </c>
      <c r="P476" s="192">
        <f t="shared" si="516"/>
        <v>0</v>
      </c>
      <c r="Q476" s="192">
        <f t="shared" si="516"/>
        <v>0</v>
      </c>
      <c r="R476" s="192">
        <f t="shared" si="516"/>
        <v>0</v>
      </c>
      <c r="S476" s="192">
        <f t="shared" si="516"/>
        <v>0</v>
      </c>
      <c r="T476" s="194">
        <f>SUM(N476:S476)</f>
        <v>0</v>
      </c>
      <c r="U476" s="194">
        <f>T476+L476</f>
        <v>29.917000000000002</v>
      </c>
      <c r="V476" s="192">
        <f>V491+V506</f>
        <v>29.917000000000002</v>
      </c>
      <c r="W476" s="192">
        <f>V476-U476</f>
        <v>0</v>
      </c>
      <c r="Z476" s="308"/>
    </row>
    <row r="477" spans="1:26" s="244" customFormat="1" ht="18" customHeight="1">
      <c r="A477" s="592"/>
      <c r="B477" s="576"/>
      <c r="C477" s="577"/>
      <c r="D477" s="174" t="str">
        <f>серпень!D400</f>
        <v>місцевий (план), тис.грн</v>
      </c>
      <c r="E477" s="192"/>
      <c r="F477" s="192">
        <f t="shared" si="515"/>
        <v>0</v>
      </c>
      <c r="G477" s="192">
        <f t="shared" si="515"/>
        <v>65.192999999999998</v>
      </c>
      <c r="H477" s="192">
        <f t="shared" si="515"/>
        <v>86.480999999999995</v>
      </c>
      <c r="I477" s="192">
        <f t="shared" si="515"/>
        <v>21.911999999999999</v>
      </c>
      <c r="J477" s="192">
        <f>J492+J507</f>
        <v>35.17</v>
      </c>
      <c r="K477" s="192">
        <f t="shared" si="515"/>
        <v>19.163</v>
      </c>
      <c r="L477" s="194">
        <f>SUM(F477:K477)</f>
        <v>227.91900000000001</v>
      </c>
      <c r="M477" s="194">
        <f>L477/6</f>
        <v>37.987000000000002</v>
      </c>
      <c r="N477" s="192">
        <f t="shared" si="516"/>
        <v>19.367999999999999</v>
      </c>
      <c r="O477" s="192">
        <f t="shared" si="516"/>
        <v>13.494999999999999</v>
      </c>
      <c r="P477" s="192">
        <f t="shared" si="516"/>
        <v>28.814</v>
      </c>
      <c r="Q477" s="192">
        <f t="shared" si="516"/>
        <v>54.661000000000001</v>
      </c>
      <c r="R477" s="192">
        <f t="shared" si="516"/>
        <v>58.627000000000002</v>
      </c>
      <c r="S477" s="192">
        <f t="shared" si="516"/>
        <v>187.911</v>
      </c>
      <c r="T477" s="194">
        <f>SUM(N477:S477)</f>
        <v>362.87599999999998</v>
      </c>
      <c r="U477" s="194">
        <f>T477+L477</f>
        <v>590.79499999999996</v>
      </c>
      <c r="V477" s="192">
        <f>V492+V507</f>
        <v>590.79499999999996</v>
      </c>
      <c r="W477" s="192">
        <f>V477-U477</f>
        <v>0</v>
      </c>
      <c r="Z477" s="308"/>
    </row>
    <row r="478" spans="1:26" s="186" customFormat="1" ht="18" customHeight="1">
      <c r="A478" s="592"/>
      <c r="B478" s="576"/>
      <c r="C478" s="577"/>
      <c r="D478" s="178" t="str">
        <f>серпень!D401</f>
        <v>касові нат.п-ки 2025</v>
      </c>
      <c r="E478" s="179">
        <f>E493+E508</f>
        <v>0</v>
      </c>
      <c r="F478" s="179">
        <f t="shared" si="515"/>
        <v>0</v>
      </c>
      <c r="G478" s="179">
        <f t="shared" si="515"/>
        <v>8601.7000000000007</v>
      </c>
      <c r="H478" s="179">
        <f t="shared" si="515"/>
        <v>7455.7</v>
      </c>
      <c r="I478" s="179">
        <f t="shared" si="515"/>
        <v>7284.7</v>
      </c>
      <c r="J478" s="179">
        <f>J493+J508</f>
        <v>7322.7</v>
      </c>
      <c r="K478" s="179">
        <f t="shared" si="515"/>
        <v>6004.1</v>
      </c>
      <c r="L478" s="215">
        <f>SUM(F478:K478)</f>
        <v>36668.9</v>
      </c>
      <c r="M478" s="215">
        <f>L478/6</f>
        <v>6111.5</v>
      </c>
      <c r="N478" s="179">
        <f t="shared" si="516"/>
        <v>4026.3</v>
      </c>
      <c r="O478" s="179">
        <f t="shared" si="516"/>
        <v>2750.1</v>
      </c>
      <c r="P478" s="179">
        <f t="shared" si="516"/>
        <v>2168.9</v>
      </c>
      <c r="Q478" s="179">
        <f t="shared" si="516"/>
        <v>5850.8</v>
      </c>
      <c r="R478" s="179">
        <f t="shared" si="516"/>
        <v>8597.1</v>
      </c>
      <c r="S478" s="179">
        <f t="shared" si="516"/>
        <v>18209.8</v>
      </c>
      <c r="T478" s="215">
        <f>SUM(N478:S478)</f>
        <v>41603</v>
      </c>
      <c r="U478" s="215">
        <f>T478+L478</f>
        <v>78271.899999999994</v>
      </c>
      <c r="V478" s="179">
        <f>V493+V508</f>
        <v>86868.1</v>
      </c>
      <c r="W478" s="184">
        <f>V478-U478</f>
        <v>8596.2000000000007</v>
      </c>
      <c r="X478" s="185">
        <f>U473-U478</f>
        <v>0</v>
      </c>
      <c r="Z478" s="297"/>
    </row>
    <row r="479" spans="1:26" s="190" customFormat="1" ht="18" customHeight="1">
      <c r="A479" s="592"/>
      <c r="B479" s="576"/>
      <c r="C479" s="577"/>
      <c r="D479" s="187" t="str">
        <f>серпень!D402</f>
        <v>тариф, грн.</v>
      </c>
      <c r="E479" s="188" t="e">
        <f t="shared" ref="E479:S479" si="517">E480/E478*1000</f>
        <v>#DIV/0!</v>
      </c>
      <c r="F479" s="242" t="e">
        <f t="shared" si="517"/>
        <v>#DIV/0!</v>
      </c>
      <c r="G479" s="242">
        <f t="shared" si="517"/>
        <v>7.5779199999999998</v>
      </c>
      <c r="H479" s="242">
        <f t="shared" si="517"/>
        <v>8.16235</v>
      </c>
      <c r="I479" s="242">
        <f t="shared" si="517"/>
        <v>6.4518800000000001</v>
      </c>
      <c r="J479" s="242">
        <f t="shared" si="517"/>
        <v>6.7522900000000003</v>
      </c>
      <c r="K479" s="242">
        <f t="shared" si="517"/>
        <v>5.8718199999999996</v>
      </c>
      <c r="L479" s="242">
        <f t="shared" si="517"/>
        <v>7.0288199999999996</v>
      </c>
      <c r="M479" s="242">
        <f t="shared" si="517"/>
        <v>7.02888</v>
      </c>
      <c r="N479" s="242">
        <f t="shared" si="517"/>
        <v>4.8178200000000002</v>
      </c>
      <c r="O479" s="242">
        <f t="shared" si="517"/>
        <v>4.8860000000000001</v>
      </c>
      <c r="P479" s="242">
        <f t="shared" si="517"/>
        <v>4.8056599999999996</v>
      </c>
      <c r="Q479" s="242">
        <f t="shared" si="517"/>
        <v>6.0754099999999998</v>
      </c>
      <c r="R479" s="242">
        <f t="shared" si="517"/>
        <v>6.79183</v>
      </c>
      <c r="S479" s="242">
        <f t="shared" si="517"/>
        <v>6.8859599999999999</v>
      </c>
      <c r="T479" s="242">
        <f>T480/T478*1000</f>
        <v>6.3117099999999997</v>
      </c>
      <c r="U479" s="242">
        <f>U480/U478*1000</f>
        <v>6.6476600000000001</v>
      </c>
      <c r="V479" s="242">
        <f>V480/V478*1000</f>
        <v>7.1454500000000003</v>
      </c>
      <c r="W479" s="243">
        <f>W480/W478*1000</f>
        <v>11.67807</v>
      </c>
      <c r="X479" s="225"/>
      <c r="Z479" s="298"/>
    </row>
    <row r="480" spans="1:26" s="239" customFormat="1" ht="18" customHeight="1">
      <c r="A480" s="592"/>
      <c r="B480" s="576"/>
      <c r="C480" s="577"/>
      <c r="D480" s="198" t="str">
        <f>серпень!D403</f>
        <v>касові видатки, тис.грн.</v>
      </c>
      <c r="E480" s="220">
        <f>E495+E510</f>
        <v>0</v>
      </c>
      <c r="F480" s="199">
        <f t="shared" ref="F480:K482" si="518">F495+F510</f>
        <v>0</v>
      </c>
      <c r="G480" s="199">
        <f t="shared" si="518"/>
        <v>65.183000000000007</v>
      </c>
      <c r="H480" s="199">
        <f t="shared" si="518"/>
        <v>60.856000000000002</v>
      </c>
      <c r="I480" s="199">
        <f t="shared" si="518"/>
        <v>47</v>
      </c>
      <c r="J480" s="199">
        <f t="shared" si="518"/>
        <v>49.445</v>
      </c>
      <c r="K480" s="199">
        <f t="shared" si="518"/>
        <v>35.255000000000003</v>
      </c>
      <c r="L480" s="199">
        <f>SUM(F480:K480)</f>
        <v>257.73899999999998</v>
      </c>
      <c r="M480" s="199">
        <f>L480/6</f>
        <v>42.957000000000001</v>
      </c>
      <c r="N480" s="199">
        <f t="shared" ref="N480:S482" si="519">N495+N510</f>
        <v>19.398</v>
      </c>
      <c r="O480" s="199">
        <f t="shared" si="519"/>
        <v>13.436999999999999</v>
      </c>
      <c r="P480" s="199">
        <f t="shared" si="519"/>
        <v>10.423</v>
      </c>
      <c r="Q480" s="199">
        <f t="shared" si="519"/>
        <v>35.545999999999999</v>
      </c>
      <c r="R480" s="199">
        <f t="shared" si="519"/>
        <v>58.39</v>
      </c>
      <c r="S480" s="199">
        <f t="shared" si="519"/>
        <v>125.392</v>
      </c>
      <c r="T480" s="199">
        <f>SUM(N480:S480)</f>
        <v>262.58600000000001</v>
      </c>
      <c r="U480" s="199">
        <f>T480+L480</f>
        <v>520.32500000000005</v>
      </c>
      <c r="V480" s="199">
        <f>V495+V510</f>
        <v>620.71199999999999</v>
      </c>
      <c r="W480" s="221">
        <f>V480-U480</f>
        <v>100.387</v>
      </c>
      <c r="X480" s="176">
        <f>U475-U480</f>
        <v>0</v>
      </c>
      <c r="Z480" s="300"/>
    </row>
    <row r="481" spans="1:26" s="239" customFormat="1" ht="18" customHeight="1">
      <c r="A481" s="592"/>
      <c r="B481" s="576"/>
      <c r="C481" s="577"/>
      <c r="D481" s="201" t="str">
        <f>серпень!D404</f>
        <v>дотація</v>
      </c>
      <c r="E481" s="220"/>
      <c r="F481" s="199">
        <f t="shared" si="518"/>
        <v>0</v>
      </c>
      <c r="G481" s="199">
        <f t="shared" si="518"/>
        <v>0</v>
      </c>
      <c r="H481" s="199">
        <f t="shared" si="518"/>
        <v>0</v>
      </c>
      <c r="I481" s="199">
        <f t="shared" si="518"/>
        <v>0</v>
      </c>
      <c r="J481" s="199">
        <f>J496+J511</f>
        <v>13.728999999999999</v>
      </c>
      <c r="K481" s="199">
        <f t="shared" si="518"/>
        <v>16.187999999999999</v>
      </c>
      <c r="L481" s="199">
        <f>SUM(F481:K481)</f>
        <v>29.917000000000002</v>
      </c>
      <c r="M481" s="199">
        <f>L481/6</f>
        <v>4.9859999999999998</v>
      </c>
      <c r="N481" s="199">
        <f t="shared" si="519"/>
        <v>0</v>
      </c>
      <c r="O481" s="199">
        <f t="shared" si="519"/>
        <v>0</v>
      </c>
      <c r="P481" s="199">
        <f t="shared" si="519"/>
        <v>0</v>
      </c>
      <c r="Q481" s="199">
        <f t="shared" si="519"/>
        <v>0</v>
      </c>
      <c r="R481" s="199">
        <f t="shared" si="519"/>
        <v>0</v>
      </c>
      <c r="S481" s="199">
        <f t="shared" si="519"/>
        <v>0</v>
      </c>
      <c r="T481" s="199">
        <f>SUM(N481:S481)</f>
        <v>0</v>
      </c>
      <c r="U481" s="199">
        <f>T481+L481</f>
        <v>29.917000000000002</v>
      </c>
      <c r="V481" s="199">
        <f>V496+V511</f>
        <v>29.917000000000002</v>
      </c>
      <c r="W481" s="221">
        <f>V481-U481</f>
        <v>0</v>
      </c>
      <c r="X481" s="176">
        <f>U476-U481</f>
        <v>0</v>
      </c>
      <c r="Z481" s="300"/>
    </row>
    <row r="482" spans="1:26" s="239" customFormat="1" ht="18" customHeight="1">
      <c r="A482" s="592"/>
      <c r="B482" s="576"/>
      <c r="C482" s="577"/>
      <c r="D482" s="201" t="str">
        <f>серпень!D405</f>
        <v xml:space="preserve">місцевий </v>
      </c>
      <c r="E482" s="220"/>
      <c r="F482" s="199">
        <f t="shared" si="518"/>
        <v>0</v>
      </c>
      <c r="G482" s="199">
        <f t="shared" si="518"/>
        <v>65.183000000000007</v>
      </c>
      <c r="H482" s="199">
        <f t="shared" si="518"/>
        <v>60.856000000000002</v>
      </c>
      <c r="I482" s="199">
        <f t="shared" si="518"/>
        <v>47</v>
      </c>
      <c r="J482" s="199">
        <f>J497+J512</f>
        <v>35.716000000000001</v>
      </c>
      <c r="K482" s="199">
        <f t="shared" si="518"/>
        <v>19.067</v>
      </c>
      <c r="L482" s="199">
        <f>SUM(F482:K482)</f>
        <v>227.822</v>
      </c>
      <c r="M482" s="199">
        <f>L482/6</f>
        <v>37.97</v>
      </c>
      <c r="N482" s="199">
        <f t="shared" si="519"/>
        <v>19.398</v>
      </c>
      <c r="O482" s="199">
        <f t="shared" si="519"/>
        <v>13.436999999999999</v>
      </c>
      <c r="P482" s="199">
        <f t="shared" si="519"/>
        <v>10.423</v>
      </c>
      <c r="Q482" s="199">
        <f t="shared" si="519"/>
        <v>35.545999999999999</v>
      </c>
      <c r="R482" s="199">
        <f t="shared" si="519"/>
        <v>58.39</v>
      </c>
      <c r="S482" s="199">
        <f t="shared" si="519"/>
        <v>125.392</v>
      </c>
      <c r="T482" s="199">
        <f>SUM(N482:S482)</f>
        <v>262.58600000000001</v>
      </c>
      <c r="U482" s="199">
        <f>T482+L482</f>
        <v>490.40800000000002</v>
      </c>
      <c r="V482" s="199">
        <f>V497+V512</f>
        <v>590.79499999999996</v>
      </c>
      <c r="W482" s="221">
        <f>V482-U482</f>
        <v>100.387</v>
      </c>
      <c r="X482" s="176">
        <f>U477-U482</f>
        <v>100.387</v>
      </c>
      <c r="Z482" s="300"/>
    </row>
    <row r="483" spans="1:26" s="205" customFormat="1" ht="18" customHeight="1">
      <c r="A483" s="592"/>
      <c r="B483" s="576"/>
      <c r="C483" s="577"/>
      <c r="D483" s="202" t="str">
        <f>серпень!D406</f>
        <v>план</v>
      </c>
      <c r="E483" s="203"/>
      <c r="F483" s="203">
        <f>F477+F476</f>
        <v>0</v>
      </c>
      <c r="G483" s="203">
        <f t="shared" ref="G483:K483" si="520">G477+G476</f>
        <v>65.192999999999998</v>
      </c>
      <c r="H483" s="203">
        <f t="shared" si="520"/>
        <v>86.480999999999995</v>
      </c>
      <c r="I483" s="203">
        <f t="shared" si="520"/>
        <v>35.640999999999998</v>
      </c>
      <c r="J483" s="203">
        <f t="shared" si="520"/>
        <v>51.357999999999997</v>
      </c>
      <c r="K483" s="203">
        <f t="shared" si="520"/>
        <v>19.163</v>
      </c>
      <c r="L483" s="203">
        <f>SUM(F483:K483)</f>
        <v>257.83600000000001</v>
      </c>
      <c r="M483" s="203">
        <f>L483/6</f>
        <v>42.972999999999999</v>
      </c>
      <c r="N483" s="203">
        <f>N477+N476</f>
        <v>19.367999999999999</v>
      </c>
      <c r="O483" s="203">
        <f t="shared" ref="O483:S483" si="521">O477+O476</f>
        <v>13.494999999999999</v>
      </c>
      <c r="P483" s="203">
        <f t="shared" si="521"/>
        <v>28.814</v>
      </c>
      <c r="Q483" s="203">
        <f t="shared" si="521"/>
        <v>54.661000000000001</v>
      </c>
      <c r="R483" s="203">
        <f t="shared" si="521"/>
        <v>58.627000000000002</v>
      </c>
      <c r="S483" s="203">
        <f t="shared" si="521"/>
        <v>187.911</v>
      </c>
      <c r="T483" s="203">
        <f>SUM(N483:S483)</f>
        <v>362.87599999999998</v>
      </c>
      <c r="U483" s="203">
        <f>T483+L483</f>
        <v>620.71199999999999</v>
      </c>
      <c r="V483" s="203">
        <f>V477+V476</f>
        <v>620.71199999999999</v>
      </c>
      <c r="W483" s="203">
        <f>V483-U483</f>
        <v>0</v>
      </c>
      <c r="Z483" s="301"/>
    </row>
    <row r="484" spans="1:26" s="205" customFormat="1" ht="18" customHeight="1">
      <c r="A484" s="592"/>
      <c r="B484" s="576"/>
      <c r="C484" s="577"/>
      <c r="D484" s="202" t="str">
        <f>серпень!D407</f>
        <v xml:space="preserve">відхилення </v>
      </c>
      <c r="E484" s="203"/>
      <c r="F484" s="203">
        <f t="shared" ref="F484:K484" si="522">F480-F483</f>
        <v>0</v>
      </c>
      <c r="G484" s="203">
        <f t="shared" si="522"/>
        <v>-0.01</v>
      </c>
      <c r="H484" s="203">
        <f t="shared" si="522"/>
        <v>-25.625</v>
      </c>
      <c r="I484" s="203">
        <f t="shared" si="522"/>
        <v>11.359</v>
      </c>
      <c r="J484" s="203">
        <f t="shared" si="522"/>
        <v>-1.913</v>
      </c>
      <c r="K484" s="203">
        <f t="shared" si="522"/>
        <v>16.091999999999999</v>
      </c>
      <c r="L484" s="203"/>
      <c r="M484" s="203"/>
      <c r="N484" s="203">
        <f t="shared" ref="N484:S484" si="523">N480-N483</f>
        <v>0.03</v>
      </c>
      <c r="O484" s="203">
        <f t="shared" si="523"/>
        <v>-5.8000000000000003E-2</v>
      </c>
      <c r="P484" s="203">
        <f t="shared" si="523"/>
        <v>-18.390999999999998</v>
      </c>
      <c r="Q484" s="203">
        <f t="shared" si="523"/>
        <v>-19.114999999999998</v>
      </c>
      <c r="R484" s="203">
        <f t="shared" si="523"/>
        <v>-0.23699999999999999</v>
      </c>
      <c r="S484" s="203">
        <f t="shared" si="523"/>
        <v>-62.518999999999998</v>
      </c>
      <c r="T484" s="203"/>
      <c r="U484" s="203"/>
      <c r="V484" s="203"/>
      <c r="W484" s="203"/>
      <c r="Z484" s="301"/>
    </row>
    <row r="485" spans="1:26" s="205" customFormat="1" ht="18" customHeight="1">
      <c r="A485" s="592"/>
      <c r="B485" s="576"/>
      <c r="C485" s="577"/>
      <c r="D485" s="202" t="str">
        <f>серпень!D408</f>
        <v>відхилення з наростаючим</v>
      </c>
      <c r="E485" s="203"/>
      <c r="F485" s="203">
        <f>F484</f>
        <v>0</v>
      </c>
      <c r="G485" s="203">
        <f>G484+F485</f>
        <v>-0.01</v>
      </c>
      <c r="H485" s="203">
        <f>H484+G485</f>
        <v>-25.635000000000002</v>
      </c>
      <c r="I485" s="203">
        <f>I484+H485</f>
        <v>-14.276</v>
      </c>
      <c r="J485" s="203">
        <f>J484+I485</f>
        <v>-16.189</v>
      </c>
      <c r="K485" s="203">
        <f>K484+J485</f>
        <v>-9.7000000000000003E-2</v>
      </c>
      <c r="L485" s="203"/>
      <c r="M485" s="203"/>
      <c r="N485" s="203">
        <f>N484+K485</f>
        <v>-6.7000000000000004E-2</v>
      </c>
      <c r="O485" s="203">
        <f>O484+N485</f>
        <v>-0.125</v>
      </c>
      <c r="P485" s="203">
        <f>P484+O485</f>
        <v>-18.515999999999998</v>
      </c>
      <c r="Q485" s="203">
        <f>Q484+P485</f>
        <v>-37.631</v>
      </c>
      <c r="R485" s="203">
        <f>R484+Q485</f>
        <v>-37.868000000000002</v>
      </c>
      <c r="S485" s="203">
        <f>S484+R485</f>
        <v>-100.387</v>
      </c>
      <c r="T485" s="203"/>
      <c r="U485" s="203"/>
      <c r="V485" s="203"/>
      <c r="W485" s="203"/>
      <c r="Z485" s="301"/>
    </row>
    <row r="486" spans="1:26" s="196" customFormat="1" ht="18" customHeight="1">
      <c r="A486" s="592"/>
      <c r="B486" s="581" t="s">
        <v>32</v>
      </c>
      <c r="C486" s="581"/>
      <c r="D486" s="178" t="str">
        <f>серпень!D409</f>
        <v>факт. нат.п-ки 2023</v>
      </c>
      <c r="E486" s="179"/>
      <c r="F486" s="184">
        <v>2400.64</v>
      </c>
      <c r="G486" s="184">
        <v>4966.6000000000004</v>
      </c>
      <c r="H486" s="179">
        <v>4976</v>
      </c>
      <c r="I486" s="179">
        <v>6118.8</v>
      </c>
      <c r="J486" s="179">
        <v>3178</v>
      </c>
      <c r="K486" s="179">
        <v>1895.7</v>
      </c>
      <c r="L486" s="215">
        <f>SUM(F486:K486)</f>
        <v>23535.7</v>
      </c>
      <c r="M486" s="215">
        <f>L486/6</f>
        <v>3922.6</v>
      </c>
      <c r="N486" s="179">
        <v>1047.9000000000001</v>
      </c>
      <c r="O486" s="179">
        <v>890.7</v>
      </c>
      <c r="P486" s="179">
        <v>1810.56</v>
      </c>
      <c r="Q486" s="179">
        <v>5201.3999999999996</v>
      </c>
      <c r="R486" s="179">
        <v>5753.5</v>
      </c>
      <c r="S486" s="179">
        <v>89</v>
      </c>
      <c r="T486" s="215">
        <f>SUM(N486:S486)</f>
        <v>14793.1</v>
      </c>
      <c r="U486" s="215">
        <f>T486+L486</f>
        <v>38328.800000000003</v>
      </c>
      <c r="V486" s="179">
        <v>38328.800000000003</v>
      </c>
      <c r="W486" s="184"/>
      <c r="X486" s="185"/>
      <c r="Z486" s="299"/>
    </row>
    <row r="487" spans="1:26" s="186" customFormat="1" ht="18" customHeight="1">
      <c r="A487" s="592"/>
      <c r="B487" s="581"/>
      <c r="C487" s="581"/>
      <c r="D487" s="178" t="str">
        <f>серпень!D410</f>
        <v>факт. нат.п-ки 2024</v>
      </c>
      <c r="E487" s="179"/>
      <c r="F487" s="184">
        <v>8965.5</v>
      </c>
      <c r="G487" s="184">
        <v>4880.1000000000004</v>
      </c>
      <c r="H487" s="179">
        <v>4370.5</v>
      </c>
      <c r="I487" s="179">
        <v>1856.4</v>
      </c>
      <c r="J487" s="179">
        <v>1370.7</v>
      </c>
      <c r="K487" s="179">
        <v>1356.1</v>
      </c>
      <c r="L487" s="215">
        <f>SUM(F487:K487)</f>
        <v>22799.3</v>
      </c>
      <c r="M487" s="215">
        <f>L487/6</f>
        <v>3799.9</v>
      </c>
      <c r="N487" s="179">
        <v>1051.8</v>
      </c>
      <c r="O487" s="179">
        <v>506.3</v>
      </c>
      <c r="P487" s="179">
        <v>1804.8</v>
      </c>
      <c r="Q487" s="179">
        <v>4148.1000000000004</v>
      </c>
      <c r="R487" s="179">
        <v>5753.5</v>
      </c>
      <c r="S487" s="179">
        <v>3367.3</v>
      </c>
      <c r="T487" s="215">
        <f>SUM(N487:S487)</f>
        <v>16631.8</v>
      </c>
      <c r="U487" s="215">
        <f>T487+L487</f>
        <v>39431.1</v>
      </c>
      <c r="V487" s="179">
        <v>39431.1</v>
      </c>
      <c r="W487" s="184"/>
      <c r="X487" s="185"/>
      <c r="Z487" s="297"/>
    </row>
    <row r="488" spans="1:26" s="186" customFormat="1" ht="18" customHeight="1">
      <c r="A488" s="592"/>
      <c r="B488" s="581"/>
      <c r="C488" s="581"/>
      <c r="D488" s="178" t="str">
        <f>серпень!D411</f>
        <v>факт. нат.п-ки 2025</v>
      </c>
      <c r="E488" s="179"/>
      <c r="F488" s="184">
        <v>4403.7</v>
      </c>
      <c r="G488" s="184">
        <v>3382.7</v>
      </c>
      <c r="H488" s="179">
        <v>2609.6999999999998</v>
      </c>
      <c r="I488" s="179">
        <v>3623.3</v>
      </c>
      <c r="J488" s="179">
        <v>1883.1</v>
      </c>
      <c r="K488" s="179">
        <v>391.3</v>
      </c>
      <c r="L488" s="215">
        <f>SUM(F488:K488)</f>
        <v>16293.8</v>
      </c>
      <c r="M488" s="215">
        <f>L488/6</f>
        <v>2715.6</v>
      </c>
      <c r="N488" s="179">
        <v>274.10000000000002</v>
      </c>
      <c r="O488" s="179">
        <v>178.9</v>
      </c>
      <c r="P488" s="179">
        <f>1804.8+200</f>
        <v>2004.8</v>
      </c>
      <c r="Q488" s="179">
        <v>4148.1000000000004</v>
      </c>
      <c r="R488" s="179">
        <v>5753.5</v>
      </c>
      <c r="S488" s="179">
        <v>3367.3</v>
      </c>
      <c r="T488" s="215">
        <f>SUM(N488:S488)</f>
        <v>15726.7</v>
      </c>
      <c r="U488" s="215">
        <f>T488+L488</f>
        <v>32020.5</v>
      </c>
      <c r="V488" s="179">
        <v>41607.1</v>
      </c>
      <c r="W488" s="184">
        <f>V488-U488</f>
        <v>9586.6</v>
      </c>
      <c r="X488" s="185"/>
      <c r="Z488" s="297"/>
    </row>
    <row r="489" spans="1:26" s="190" customFormat="1" ht="18" customHeight="1">
      <c r="A489" s="592"/>
      <c r="B489" s="581"/>
      <c r="C489" s="581"/>
      <c r="D489" s="187" t="str">
        <f>серпень!D412</f>
        <v>тариф, грн.</v>
      </c>
      <c r="E489" s="242" t="e">
        <f>E490/E488*1000</f>
        <v>#DIV/0!</v>
      </c>
      <c r="F489" s="242">
        <f t="shared" ref="F489:J489" si="524">F490/F488*1000</f>
        <v>10.68397</v>
      </c>
      <c r="G489" s="242">
        <f t="shared" si="524"/>
        <v>12.7889</v>
      </c>
      <c r="H489" s="242">
        <f t="shared" si="524"/>
        <v>10.270910000000001</v>
      </c>
      <c r="I489" s="242">
        <f t="shared" si="524"/>
        <v>9.2357800000000001</v>
      </c>
      <c r="J489" s="242">
        <f t="shared" si="524"/>
        <v>9.2676999999999996</v>
      </c>
      <c r="K489" s="242">
        <v>9.4419000000000004</v>
      </c>
      <c r="L489" s="242">
        <f t="shared" ref="L489:O489" si="525">L490/L488*1000</f>
        <v>10.53928</v>
      </c>
      <c r="M489" s="242">
        <f t="shared" si="525"/>
        <v>10.539479999999999</v>
      </c>
      <c r="N489" s="242">
        <f t="shared" si="525"/>
        <v>10</v>
      </c>
      <c r="O489" s="242">
        <f t="shared" si="525"/>
        <v>10.20682</v>
      </c>
      <c r="P489" s="242">
        <v>9.4428800000000006</v>
      </c>
      <c r="Q489" s="242">
        <v>9.4428800000000006</v>
      </c>
      <c r="R489" s="242">
        <v>9.4428800000000006</v>
      </c>
      <c r="S489" s="242">
        <v>9.4428800000000006</v>
      </c>
      <c r="T489" s="246">
        <f>T490/T488*1000</f>
        <v>9.4612300000000005</v>
      </c>
      <c r="U489" s="246">
        <f>U490/U488*1000</f>
        <v>10.00981</v>
      </c>
      <c r="V489" s="246">
        <f>V490/V488*1000</f>
        <v>9.4999900000000004</v>
      </c>
      <c r="W489" s="246">
        <f>W490/W488*1000</f>
        <v>7.7971300000000001</v>
      </c>
      <c r="X489" s="225"/>
      <c r="Z489" s="298"/>
    </row>
    <row r="490" spans="1:26" s="244" customFormat="1" ht="18" customHeight="1">
      <c r="A490" s="592"/>
      <c r="B490" s="581"/>
      <c r="C490" s="581"/>
      <c r="D490" s="191" t="str">
        <f>серпень!D413</f>
        <v>сума, тис.грн.</v>
      </c>
      <c r="E490" s="192"/>
      <c r="F490" s="192">
        <v>47.048999999999999</v>
      </c>
      <c r="G490" s="192">
        <v>43.261000000000003</v>
      </c>
      <c r="H490" s="192">
        <v>26.803999999999998</v>
      </c>
      <c r="I490" s="192">
        <v>33.463999999999999</v>
      </c>
      <c r="J490" s="192">
        <v>17.452000000000002</v>
      </c>
      <c r="K490" s="192">
        <v>3.6949999999999998</v>
      </c>
      <c r="L490" s="194">
        <f>SUM(F490:K490)</f>
        <v>171.72499999999999</v>
      </c>
      <c r="M490" s="194">
        <f>L490/6</f>
        <v>28.620999999999999</v>
      </c>
      <c r="N490" s="192">
        <v>2.7410000000000001</v>
      </c>
      <c r="O490" s="192">
        <v>1.8260000000000001</v>
      </c>
      <c r="P490" s="192">
        <f t="shared" ref="P490" si="526">P488*P489/1000</f>
        <v>18.931000000000001</v>
      </c>
      <c r="Q490" s="192">
        <f t="shared" ref="Q490" si="527">Q488*Q489/1000</f>
        <v>39.17</v>
      </c>
      <c r="R490" s="192">
        <f t="shared" ref="R490" si="528">R488*R489/1000</f>
        <v>54.33</v>
      </c>
      <c r="S490" s="192">
        <f>S488*S489/1000-0.001</f>
        <v>31.795999999999999</v>
      </c>
      <c r="T490" s="194">
        <f>SUM(N490:S490)</f>
        <v>148.79400000000001</v>
      </c>
      <c r="U490" s="194">
        <f>T490+L490</f>
        <v>320.51900000000001</v>
      </c>
      <c r="V490" s="171">
        <f>V491+V492</f>
        <v>395.267</v>
      </c>
      <c r="W490" s="192">
        <f>V490-U490</f>
        <v>74.748000000000005</v>
      </c>
      <c r="X490" s="247"/>
      <c r="Z490" s="308"/>
    </row>
    <row r="491" spans="1:26" s="244" customFormat="1" ht="18" customHeight="1">
      <c r="A491" s="592"/>
      <c r="B491" s="581"/>
      <c r="C491" s="581"/>
      <c r="D491" s="174" t="str">
        <f>серпень!D414</f>
        <v>дотація</v>
      </c>
      <c r="E491" s="210"/>
      <c r="F491" s="192"/>
      <c r="G491" s="192"/>
      <c r="H491" s="192"/>
      <c r="I491" s="192"/>
      <c r="J491" s="192"/>
      <c r="K491" s="192"/>
      <c r="L491" s="194">
        <f>SUM(F491:K491)</f>
        <v>0</v>
      </c>
      <c r="M491" s="194">
        <f>L491/6</f>
        <v>0</v>
      </c>
      <c r="N491" s="192"/>
      <c r="O491" s="192"/>
      <c r="P491" s="192"/>
      <c r="Q491" s="192"/>
      <c r="R491" s="192"/>
      <c r="S491" s="192"/>
      <c r="T491" s="194">
        <f>SUM(N491:S491)</f>
        <v>0</v>
      </c>
      <c r="U491" s="194">
        <f>T491+L491</f>
        <v>0</v>
      </c>
      <c r="V491" s="171">
        <v>0</v>
      </c>
      <c r="W491" s="192">
        <f>V491-U491</f>
        <v>0</v>
      </c>
      <c r="Z491" s="308"/>
    </row>
    <row r="492" spans="1:26" s="244" customFormat="1" ht="18" customHeight="1">
      <c r="A492" s="592"/>
      <c r="B492" s="581"/>
      <c r="C492" s="581"/>
      <c r="D492" s="174" t="str">
        <f>серпень!D415</f>
        <v>місцевий (план), тис.грн</v>
      </c>
      <c r="E492" s="210"/>
      <c r="F492" s="192">
        <f>6.05-6.05</f>
        <v>0</v>
      </c>
      <c r="G492" s="192">
        <f>87.072-40.96+0.937</f>
        <v>47.048999999999999</v>
      </c>
      <c r="H492" s="192">
        <f>49.211+18.975</f>
        <v>68.186000000000007</v>
      </c>
      <c r="I492" s="192">
        <f>44.37+21.048-62</f>
        <v>3.4180000000000001</v>
      </c>
      <c r="J492" s="192">
        <v>19.061</v>
      </c>
      <c r="K492" s="192">
        <v>13.022</v>
      </c>
      <c r="L492" s="194">
        <f>SUM(F492:K492)</f>
        <v>150.73599999999999</v>
      </c>
      <c r="M492" s="194">
        <f>L492/6</f>
        <v>25.123000000000001</v>
      </c>
      <c r="N492" s="192">
        <f>12.883-6</f>
        <v>6.883</v>
      </c>
      <c r="O492" s="192">
        <v>11.808999999999999</v>
      </c>
      <c r="P492" s="192">
        <f>12.74+6</f>
        <v>18.739999999999998</v>
      </c>
      <c r="Q492" s="192">
        <v>19.045999999999999</v>
      </c>
      <c r="R492" s="192">
        <v>39.406999999999996</v>
      </c>
      <c r="S492" s="192">
        <f>86.646+62</f>
        <v>148.64599999999999</v>
      </c>
      <c r="T492" s="194">
        <f>SUM(N492:S492)</f>
        <v>244.53100000000001</v>
      </c>
      <c r="U492" s="194">
        <f>T492+L492</f>
        <v>395.267</v>
      </c>
      <c r="V492" s="171">
        <v>395.267</v>
      </c>
      <c r="W492" s="192">
        <f>V492-U492</f>
        <v>0</v>
      </c>
      <c r="Z492" s="308"/>
    </row>
    <row r="493" spans="1:26" s="186" customFormat="1" ht="18" customHeight="1">
      <c r="A493" s="592"/>
      <c r="B493" s="581"/>
      <c r="C493" s="581"/>
      <c r="D493" s="178" t="str">
        <f>серпень!D416</f>
        <v>касові нат.п-ки 2025</v>
      </c>
      <c r="E493" s="179"/>
      <c r="F493" s="184"/>
      <c r="G493" s="184">
        <v>4403.7</v>
      </c>
      <c r="H493" s="184">
        <v>3382.7</v>
      </c>
      <c r="I493" s="179">
        <v>2609.6999999999998</v>
      </c>
      <c r="J493" s="179">
        <v>3623.3</v>
      </c>
      <c r="K493" s="179">
        <v>1883.1</v>
      </c>
      <c r="L493" s="215">
        <f>SUM(F493:K493)</f>
        <v>15902.5</v>
      </c>
      <c r="M493" s="215">
        <f>L493/6</f>
        <v>2650.4</v>
      </c>
      <c r="N493" s="179">
        <v>391.3</v>
      </c>
      <c r="O493" s="179">
        <v>274.10000000000002</v>
      </c>
      <c r="P493" s="179">
        <v>178.9</v>
      </c>
      <c r="Q493" s="179">
        <v>2004.8</v>
      </c>
      <c r="R493" s="179">
        <v>4148.1000000000004</v>
      </c>
      <c r="S493" s="179">
        <f>R488+S488</f>
        <v>9120.7999999999993</v>
      </c>
      <c r="T493" s="215">
        <f>SUM(N493:S493)</f>
        <v>16118</v>
      </c>
      <c r="U493" s="215">
        <f>T493+L493</f>
        <v>32020.5</v>
      </c>
      <c r="V493" s="179">
        <f>V488</f>
        <v>41607.1</v>
      </c>
      <c r="W493" s="184">
        <f>V493-U493</f>
        <v>9586.6</v>
      </c>
      <c r="X493" s="185">
        <f>U488-U493</f>
        <v>0</v>
      </c>
      <c r="Z493" s="297"/>
    </row>
    <row r="494" spans="1:26" s="190" customFormat="1" ht="18" customHeight="1">
      <c r="A494" s="592"/>
      <c r="B494" s="581"/>
      <c r="C494" s="581"/>
      <c r="D494" s="187" t="str">
        <f>серпень!D417</f>
        <v>тариф, грн.</v>
      </c>
      <c r="E494" s="242" t="e">
        <f>E495/E493*1000</f>
        <v>#DIV/0!</v>
      </c>
      <c r="F494" s="242" t="e">
        <f t="shared" ref="F494:K494" si="529">F495/F493*1000</f>
        <v>#DIV/0!</v>
      </c>
      <c r="G494" s="242">
        <f t="shared" si="529"/>
        <v>10.68374</v>
      </c>
      <c r="H494" s="242">
        <f t="shared" si="529"/>
        <v>12.7889</v>
      </c>
      <c r="I494" s="242">
        <f t="shared" si="529"/>
        <v>10.270910000000001</v>
      </c>
      <c r="J494" s="242">
        <f t="shared" si="529"/>
        <v>9.2357800000000001</v>
      </c>
      <c r="K494" s="242">
        <f t="shared" si="529"/>
        <v>9.2676999999999996</v>
      </c>
      <c r="L494" s="246">
        <f>L495/L493*1000</f>
        <v>10.5662</v>
      </c>
      <c r="M494" s="246">
        <f>M495/M493*1000</f>
        <v>10.566330000000001</v>
      </c>
      <c r="N494" s="246">
        <f t="shared" ref="N494:P494" si="530">N495/N493*1000</f>
        <v>9.4428800000000006</v>
      </c>
      <c r="O494" s="246">
        <f t="shared" si="530"/>
        <v>10</v>
      </c>
      <c r="P494" s="246">
        <f t="shared" si="530"/>
        <v>10.20682</v>
      </c>
      <c r="Q494" s="246">
        <v>9.4428800000000006</v>
      </c>
      <c r="R494" s="246">
        <v>9.4428800000000006</v>
      </c>
      <c r="S494" s="245">
        <v>9.4428800000000006</v>
      </c>
      <c r="T494" s="246">
        <f>T495/T493*1000</f>
        <v>9.4608500000000006</v>
      </c>
      <c r="U494" s="246">
        <f>U495/U493*1000</f>
        <v>10.00981</v>
      </c>
      <c r="V494" s="246">
        <f>V495/V493*1000</f>
        <v>9.4999900000000004</v>
      </c>
      <c r="W494" s="246">
        <f>W495/W493*1000</f>
        <v>7.7971300000000001</v>
      </c>
      <c r="X494" s="225"/>
      <c r="Z494" s="298"/>
    </row>
    <row r="495" spans="1:26" s="239" customFormat="1" ht="18" customHeight="1">
      <c r="A495" s="592"/>
      <c r="B495" s="581"/>
      <c r="C495" s="581"/>
      <c r="D495" s="198" t="str">
        <f>серпень!D418</f>
        <v>касові видатки, тис.грн.</v>
      </c>
      <c r="E495" s="220"/>
      <c r="F495" s="199">
        <v>0</v>
      </c>
      <c r="G495" s="199">
        <v>47.048000000000002</v>
      </c>
      <c r="H495" s="199">
        <v>43.261000000000003</v>
      </c>
      <c r="I495" s="199">
        <v>26.803999999999998</v>
      </c>
      <c r="J495" s="199">
        <v>33.463999999999999</v>
      </c>
      <c r="K495" s="199">
        <v>17.452000000000002</v>
      </c>
      <c r="L495" s="199">
        <f>SUM(F495:K495)</f>
        <v>168.029</v>
      </c>
      <c r="M495" s="199">
        <f>L495/6</f>
        <v>28.004999999999999</v>
      </c>
      <c r="N495" s="199">
        <v>3.6949999999999998</v>
      </c>
      <c r="O495" s="199">
        <v>2.7410000000000001</v>
      </c>
      <c r="P495" s="199">
        <v>1.8260000000000001</v>
      </c>
      <c r="Q495" s="199">
        <f t="shared" ref="Q495" si="531">Q493*Q494/1000</f>
        <v>18.931000000000001</v>
      </c>
      <c r="R495" s="199">
        <f t="shared" ref="R495" si="532">R493*R494/1000</f>
        <v>39.17</v>
      </c>
      <c r="S495" s="199">
        <f>S493*S494/1000</f>
        <v>86.126999999999995</v>
      </c>
      <c r="T495" s="199">
        <f>SUM(N495:S495)</f>
        <v>152.49</v>
      </c>
      <c r="U495" s="199">
        <f>T495+L495</f>
        <v>320.51900000000001</v>
      </c>
      <c r="V495" s="199">
        <f>V490</f>
        <v>395.267</v>
      </c>
      <c r="W495" s="221">
        <f>V495-U495</f>
        <v>74.748000000000005</v>
      </c>
      <c r="X495" s="176">
        <f>U490-U495</f>
        <v>0</v>
      </c>
      <c r="Z495" s="300"/>
    </row>
    <row r="496" spans="1:26" s="239" customFormat="1" ht="18" customHeight="1">
      <c r="A496" s="592"/>
      <c r="B496" s="581"/>
      <c r="C496" s="581"/>
      <c r="D496" s="201" t="str">
        <f>серпень!D419</f>
        <v>дотація</v>
      </c>
      <c r="E496" s="220"/>
      <c r="F496" s="199">
        <v>0</v>
      </c>
      <c r="G496" s="199">
        <v>0</v>
      </c>
      <c r="H496" s="199">
        <v>0</v>
      </c>
      <c r="I496" s="199">
        <v>0</v>
      </c>
      <c r="J496" s="199">
        <v>0</v>
      </c>
      <c r="K496" s="199">
        <v>0</v>
      </c>
      <c r="L496" s="199">
        <f>SUM(F496:K496)</f>
        <v>0</v>
      </c>
      <c r="M496" s="199">
        <f>L496/6</f>
        <v>0</v>
      </c>
      <c r="N496" s="199">
        <v>0</v>
      </c>
      <c r="O496" s="199">
        <v>0</v>
      </c>
      <c r="P496" s="199">
        <v>0</v>
      </c>
      <c r="Q496" s="199">
        <v>0</v>
      </c>
      <c r="R496" s="199">
        <v>0</v>
      </c>
      <c r="S496" s="199">
        <v>0</v>
      </c>
      <c r="T496" s="199">
        <f>SUM(N496:S496)</f>
        <v>0</v>
      </c>
      <c r="U496" s="199">
        <f>T496+L496</f>
        <v>0</v>
      </c>
      <c r="V496" s="199">
        <f>V491</f>
        <v>0</v>
      </c>
      <c r="W496" s="221">
        <f>V496-U496</f>
        <v>0</v>
      </c>
      <c r="X496" s="176">
        <f>U491-U496</f>
        <v>0</v>
      </c>
      <c r="Z496" s="300"/>
    </row>
    <row r="497" spans="1:26" s="239" customFormat="1" ht="18" customHeight="1">
      <c r="A497" s="592"/>
      <c r="B497" s="581"/>
      <c r="C497" s="581"/>
      <c r="D497" s="201" t="str">
        <f>серпень!D420</f>
        <v xml:space="preserve">місцевий </v>
      </c>
      <c r="E497" s="220"/>
      <c r="F497" s="199">
        <f t="shared" ref="F497:K497" si="533">F495-F496</f>
        <v>0</v>
      </c>
      <c r="G497" s="199">
        <f t="shared" si="533"/>
        <v>47.048000000000002</v>
      </c>
      <c r="H497" s="199">
        <f t="shared" si="533"/>
        <v>43.261000000000003</v>
      </c>
      <c r="I497" s="199">
        <f t="shared" si="533"/>
        <v>26.803999999999998</v>
      </c>
      <c r="J497" s="199">
        <f t="shared" si="533"/>
        <v>33.463999999999999</v>
      </c>
      <c r="K497" s="199">
        <f t="shared" si="533"/>
        <v>17.452000000000002</v>
      </c>
      <c r="L497" s="199">
        <f>SUM(F497:K497)</f>
        <v>168.029</v>
      </c>
      <c r="M497" s="199">
        <f>L497/6</f>
        <v>28.004999999999999</v>
      </c>
      <c r="N497" s="199">
        <f t="shared" ref="N497:S497" si="534">N495-N496</f>
        <v>3.6949999999999998</v>
      </c>
      <c r="O497" s="199">
        <f t="shared" si="534"/>
        <v>2.7410000000000001</v>
      </c>
      <c r="P497" s="199">
        <f t="shared" si="534"/>
        <v>1.8260000000000001</v>
      </c>
      <c r="Q497" s="199">
        <f t="shared" si="534"/>
        <v>18.931000000000001</v>
      </c>
      <c r="R497" s="199">
        <f t="shared" si="534"/>
        <v>39.17</v>
      </c>
      <c r="S497" s="199">
        <f t="shared" si="534"/>
        <v>86.126999999999995</v>
      </c>
      <c r="T497" s="199">
        <f>SUM(N497:S497)</f>
        <v>152.49</v>
      </c>
      <c r="U497" s="199">
        <f>T497+L497</f>
        <v>320.51900000000001</v>
      </c>
      <c r="V497" s="199">
        <f>V492</f>
        <v>395.267</v>
      </c>
      <c r="W497" s="221">
        <f>V497-U497</f>
        <v>74.748000000000005</v>
      </c>
      <c r="X497" s="176">
        <f>U492-U497</f>
        <v>74.748000000000005</v>
      </c>
      <c r="Z497" s="300"/>
    </row>
    <row r="498" spans="1:26" s="205" customFormat="1" ht="18" customHeight="1">
      <c r="A498" s="592"/>
      <c r="B498" s="581"/>
      <c r="C498" s="581"/>
      <c r="D498" s="202" t="str">
        <f>серпень!D421</f>
        <v>план</v>
      </c>
      <c r="E498" s="203"/>
      <c r="F498" s="203">
        <f t="shared" ref="F498:K498" si="535">F492</f>
        <v>0</v>
      </c>
      <c r="G498" s="203">
        <f t="shared" si="535"/>
        <v>47.048999999999999</v>
      </c>
      <c r="H498" s="203">
        <f t="shared" si="535"/>
        <v>68.186000000000007</v>
      </c>
      <c r="I498" s="203">
        <f t="shared" si="535"/>
        <v>3.4180000000000001</v>
      </c>
      <c r="J498" s="203">
        <f t="shared" si="535"/>
        <v>19.061</v>
      </c>
      <c r="K498" s="203">
        <f t="shared" si="535"/>
        <v>13.022</v>
      </c>
      <c r="L498" s="203">
        <f>SUM(F498:K498)</f>
        <v>150.73599999999999</v>
      </c>
      <c r="M498" s="203">
        <f>L498/6</f>
        <v>25.123000000000001</v>
      </c>
      <c r="N498" s="203">
        <f t="shared" ref="N498:S498" si="536">N492+N491</f>
        <v>6.883</v>
      </c>
      <c r="O498" s="203">
        <f t="shared" si="536"/>
        <v>11.808999999999999</v>
      </c>
      <c r="P498" s="203">
        <f t="shared" si="536"/>
        <v>18.739999999999998</v>
      </c>
      <c r="Q498" s="203">
        <f t="shared" si="536"/>
        <v>19.045999999999999</v>
      </c>
      <c r="R498" s="203">
        <f t="shared" si="536"/>
        <v>39.406999999999996</v>
      </c>
      <c r="S498" s="203">
        <f t="shared" si="536"/>
        <v>148.64599999999999</v>
      </c>
      <c r="T498" s="203">
        <f>SUM(N498:S498)</f>
        <v>244.53100000000001</v>
      </c>
      <c r="U498" s="203">
        <f>T498+L498</f>
        <v>395.267</v>
      </c>
      <c r="V498" s="203">
        <f>V495</f>
        <v>395.267</v>
      </c>
      <c r="W498" s="203">
        <f>V498-U498</f>
        <v>0</v>
      </c>
      <c r="Z498" s="301"/>
    </row>
    <row r="499" spans="1:26" s="205" customFormat="1" ht="18" customHeight="1">
      <c r="A499" s="592"/>
      <c r="B499" s="581"/>
      <c r="C499" s="581"/>
      <c r="D499" s="202" t="str">
        <f>серпень!D422</f>
        <v xml:space="preserve">відхилення </v>
      </c>
      <c r="E499" s="203"/>
      <c r="F499" s="203">
        <f t="shared" ref="F499:K499" si="537">F495-F498</f>
        <v>0</v>
      </c>
      <c r="G499" s="203">
        <f t="shared" si="537"/>
        <v>-1E-3</v>
      </c>
      <c r="H499" s="203">
        <f t="shared" si="537"/>
        <v>-24.925000000000001</v>
      </c>
      <c r="I499" s="203">
        <f t="shared" si="537"/>
        <v>23.385999999999999</v>
      </c>
      <c r="J499" s="203">
        <f t="shared" si="537"/>
        <v>14.403</v>
      </c>
      <c r="K499" s="203">
        <f t="shared" si="537"/>
        <v>4.43</v>
      </c>
      <c r="L499" s="203"/>
      <c r="M499" s="203"/>
      <c r="N499" s="203">
        <f t="shared" ref="N499:S499" si="538">N495-N498</f>
        <v>-3.1880000000000002</v>
      </c>
      <c r="O499" s="203">
        <f t="shared" si="538"/>
        <v>-9.0679999999999996</v>
      </c>
      <c r="P499" s="203">
        <f t="shared" si="538"/>
        <v>-16.914000000000001</v>
      </c>
      <c r="Q499" s="203">
        <f t="shared" si="538"/>
        <v>-0.115</v>
      </c>
      <c r="R499" s="203">
        <f t="shared" si="538"/>
        <v>-0.23699999999999999</v>
      </c>
      <c r="S499" s="203">
        <f t="shared" si="538"/>
        <v>-62.518999999999998</v>
      </c>
      <c r="T499" s="203"/>
      <c r="U499" s="203"/>
      <c r="V499" s="203"/>
      <c r="W499" s="203"/>
      <c r="Z499" s="301"/>
    </row>
    <row r="500" spans="1:26" s="205" customFormat="1" ht="18" customHeight="1">
      <c r="A500" s="592"/>
      <c r="B500" s="581"/>
      <c r="C500" s="581"/>
      <c r="D500" s="202" t="str">
        <f>серпень!D423</f>
        <v>відхилення з наростаючим</v>
      </c>
      <c r="E500" s="203"/>
      <c r="F500" s="203">
        <f>F499</f>
        <v>0</v>
      </c>
      <c r="G500" s="203">
        <f>G499+F500</f>
        <v>-1E-3</v>
      </c>
      <c r="H500" s="203">
        <f>H499+G500</f>
        <v>-24.925999999999998</v>
      </c>
      <c r="I500" s="203">
        <f>I499+H500</f>
        <v>-1.54</v>
      </c>
      <c r="J500" s="203">
        <f>J499+I500</f>
        <v>12.863</v>
      </c>
      <c r="K500" s="203">
        <f>K499+J500</f>
        <v>17.292999999999999</v>
      </c>
      <c r="L500" s="203"/>
      <c r="M500" s="203"/>
      <c r="N500" s="203">
        <f>N499+K500</f>
        <v>14.105</v>
      </c>
      <c r="O500" s="203">
        <f>O499+N500</f>
        <v>5.0369999999999999</v>
      </c>
      <c r="P500" s="203">
        <f>P499+O500</f>
        <v>-11.877000000000001</v>
      </c>
      <c r="Q500" s="203">
        <f>Q499+P500</f>
        <v>-11.992000000000001</v>
      </c>
      <c r="R500" s="203">
        <f>R499+Q500</f>
        <v>-12.228999999999999</v>
      </c>
      <c r="S500" s="203">
        <f>S499+R500</f>
        <v>-74.748000000000005</v>
      </c>
      <c r="T500" s="203"/>
      <c r="U500" s="203"/>
      <c r="V500" s="203"/>
      <c r="W500" s="203"/>
      <c r="Z500" s="301"/>
    </row>
    <row r="501" spans="1:26" s="196" customFormat="1" ht="18" customHeight="1">
      <c r="A501" s="592"/>
      <c r="B501" s="576" t="s">
        <v>33</v>
      </c>
      <c r="C501" s="577"/>
      <c r="D501" s="178" t="str">
        <f>серпень!D424</f>
        <v>факт. нат.п-ки 2023</v>
      </c>
      <c r="E501" s="179"/>
      <c r="F501" s="184">
        <v>5185</v>
      </c>
      <c r="G501" s="184">
        <v>5500</v>
      </c>
      <c r="H501" s="179">
        <v>4639</v>
      </c>
      <c r="I501" s="179">
        <v>5444</v>
      </c>
      <c r="J501" s="179">
        <v>3598</v>
      </c>
      <c r="K501" s="179">
        <v>2554</v>
      </c>
      <c r="L501" s="215">
        <f>SUM(F501:K501)</f>
        <v>26920</v>
      </c>
      <c r="M501" s="215">
        <f>L501/6</f>
        <v>4486.7</v>
      </c>
      <c r="N501" s="179">
        <v>2007</v>
      </c>
      <c r="O501" s="179">
        <v>1781</v>
      </c>
      <c r="P501" s="179">
        <v>2158</v>
      </c>
      <c r="Q501" s="179">
        <v>3812.5</v>
      </c>
      <c r="R501" s="179">
        <v>5133</v>
      </c>
      <c r="S501" s="179">
        <v>3830</v>
      </c>
      <c r="T501" s="215">
        <f>SUM(N501:S501)</f>
        <v>18721.5</v>
      </c>
      <c r="U501" s="215">
        <f>T501+L501</f>
        <v>45641.5</v>
      </c>
      <c r="V501" s="179">
        <v>45641.5</v>
      </c>
      <c r="W501" s="184"/>
      <c r="X501" s="185"/>
      <c r="Z501" s="299"/>
    </row>
    <row r="502" spans="1:26" s="186" customFormat="1" ht="18" customHeight="1">
      <c r="A502" s="592"/>
      <c r="B502" s="576"/>
      <c r="C502" s="577"/>
      <c r="D502" s="178" t="str">
        <f>серпень!D425</f>
        <v>факт. нат.п-ки 2024</v>
      </c>
      <c r="E502" s="179"/>
      <c r="F502" s="184">
        <v>3917</v>
      </c>
      <c r="G502" s="184">
        <v>3518</v>
      </c>
      <c r="H502" s="179">
        <v>3781</v>
      </c>
      <c r="I502" s="179">
        <v>3229</v>
      </c>
      <c r="J502" s="179">
        <v>3167</v>
      </c>
      <c r="K502" s="179">
        <v>2390</v>
      </c>
      <c r="L502" s="215">
        <f>SUM(F502:K502)</f>
        <v>20002</v>
      </c>
      <c r="M502" s="215">
        <v>5959.6</v>
      </c>
      <c r="N502" s="179">
        <v>1543</v>
      </c>
      <c r="O502" s="179">
        <v>1332</v>
      </c>
      <c r="P502" s="179">
        <v>3346</v>
      </c>
      <c r="Q502" s="179">
        <v>4449</v>
      </c>
      <c r="R502" s="179">
        <v>5133</v>
      </c>
      <c r="S502" s="179">
        <v>3449.5</v>
      </c>
      <c r="T502" s="215">
        <f>SUM(N502:S502)</f>
        <v>19252.5</v>
      </c>
      <c r="U502" s="215">
        <f>T502+L502</f>
        <v>39254.5</v>
      </c>
      <c r="V502" s="179">
        <v>39254.5</v>
      </c>
      <c r="W502" s="184"/>
      <c r="X502" s="185"/>
      <c r="Z502" s="297"/>
    </row>
    <row r="503" spans="1:26" s="186" customFormat="1" ht="18" customHeight="1">
      <c r="A503" s="592"/>
      <c r="B503" s="576"/>
      <c r="C503" s="577"/>
      <c r="D503" s="178" t="str">
        <f>серпень!D426</f>
        <v>факт. нат.п-ки 2025</v>
      </c>
      <c r="E503" s="179"/>
      <c r="F503" s="184">
        <v>4198</v>
      </c>
      <c r="G503" s="184">
        <v>4073</v>
      </c>
      <c r="H503" s="179">
        <v>4675</v>
      </c>
      <c r="I503" s="179">
        <v>3699.4</v>
      </c>
      <c r="J503" s="179">
        <v>4121</v>
      </c>
      <c r="K503" s="179">
        <v>3635</v>
      </c>
      <c r="L503" s="215">
        <f>SUM(F503:K503)</f>
        <v>24401.4</v>
      </c>
      <c r="M503" s="215">
        <f>L503/6</f>
        <v>4066.9</v>
      </c>
      <c r="N503" s="179">
        <v>2476</v>
      </c>
      <c r="O503" s="179">
        <v>1990</v>
      </c>
      <c r="P503" s="179">
        <f>3346+500</f>
        <v>3846</v>
      </c>
      <c r="Q503" s="179">
        <v>4449</v>
      </c>
      <c r="R503" s="179">
        <v>5133</v>
      </c>
      <c r="S503" s="179">
        <f>3830+126</f>
        <v>3956</v>
      </c>
      <c r="T503" s="215">
        <f>SUM(N503:S503)</f>
        <v>21850</v>
      </c>
      <c r="U503" s="215">
        <f>T503+L503</f>
        <v>46251.4</v>
      </c>
      <c r="V503" s="229">
        <v>45261</v>
      </c>
      <c r="W503" s="184">
        <f>V503-U503</f>
        <v>-990.4</v>
      </c>
      <c r="X503" s="185"/>
      <c r="Z503" s="297"/>
    </row>
    <row r="504" spans="1:26" s="190" customFormat="1" ht="18" customHeight="1">
      <c r="A504" s="592"/>
      <c r="B504" s="576"/>
      <c r="C504" s="577"/>
      <c r="D504" s="187" t="str">
        <f>серпень!D427</f>
        <v>тариф, грн.</v>
      </c>
      <c r="E504" s="242" t="e">
        <f>E505/E503*1000</f>
        <v>#DIV/0!</v>
      </c>
      <c r="F504" s="242">
        <f t="shared" ref="F504:K504" si="539">F505/F503*1000</f>
        <v>4.3199100000000001</v>
      </c>
      <c r="G504" s="242">
        <f t="shared" si="539"/>
        <v>4.3199100000000001</v>
      </c>
      <c r="H504" s="242">
        <f t="shared" si="539"/>
        <v>4.32</v>
      </c>
      <c r="I504" s="242">
        <f t="shared" si="539"/>
        <v>4.31989</v>
      </c>
      <c r="J504" s="242">
        <f t="shared" si="539"/>
        <v>4.3200700000000003</v>
      </c>
      <c r="K504" s="242">
        <f t="shared" si="539"/>
        <v>4.3199399999999999</v>
      </c>
      <c r="L504" s="246">
        <f>L505/L503*1000</f>
        <v>4.31996</v>
      </c>
      <c r="M504" s="246">
        <f>M505/M503*1000</f>
        <v>4.32</v>
      </c>
      <c r="N504" s="246">
        <f>N505/N503*1000</f>
        <v>4.3198699999999999</v>
      </c>
      <c r="O504" s="246">
        <f>O505/O503*1000</f>
        <v>4.3201000000000001</v>
      </c>
      <c r="P504" s="246">
        <v>4.32</v>
      </c>
      <c r="Q504" s="246">
        <v>4.32</v>
      </c>
      <c r="R504" s="246">
        <v>4.32</v>
      </c>
      <c r="S504" s="242">
        <v>4.32</v>
      </c>
      <c r="T504" s="246">
        <f>T505/T503*1000</f>
        <v>4.3200500000000002</v>
      </c>
      <c r="U504" s="246">
        <f>U505/U503*1000</f>
        <v>4.32</v>
      </c>
      <c r="V504" s="246">
        <f>V505/V503*1000</f>
        <v>4.9809999999999999</v>
      </c>
      <c r="W504" s="246">
        <f>W505/W503*1000</f>
        <v>-25.887519999999999</v>
      </c>
      <c r="X504" s="225"/>
      <c r="Z504" s="298"/>
    </row>
    <row r="505" spans="1:26" s="244" customFormat="1" ht="18" customHeight="1">
      <c r="A505" s="592"/>
      <c r="B505" s="576"/>
      <c r="C505" s="577"/>
      <c r="D505" s="191" t="str">
        <f>серпень!D428</f>
        <v>сума, тис.грн.</v>
      </c>
      <c r="E505" s="192"/>
      <c r="F505" s="192">
        <v>18.135000000000002</v>
      </c>
      <c r="G505" s="192">
        <v>17.594999999999999</v>
      </c>
      <c r="H505" s="192">
        <v>20.196000000000002</v>
      </c>
      <c r="I505" s="192">
        <v>15.981</v>
      </c>
      <c r="J505" s="192">
        <v>17.803000000000001</v>
      </c>
      <c r="K505" s="192">
        <v>15.702999999999999</v>
      </c>
      <c r="L505" s="194">
        <f>SUM(F505:K505)</f>
        <v>105.413</v>
      </c>
      <c r="M505" s="194">
        <f>L505/6</f>
        <v>17.568999999999999</v>
      </c>
      <c r="N505" s="192">
        <v>10.696</v>
      </c>
      <c r="O505" s="192">
        <v>8.5969999999999995</v>
      </c>
      <c r="P505" s="192">
        <f t="shared" ref="P505" si="540">P503*P504/1000</f>
        <v>16.614999999999998</v>
      </c>
      <c r="Q505" s="192">
        <f t="shared" ref="Q505" si="541">Q503*Q504/1000</f>
        <v>19.22</v>
      </c>
      <c r="R505" s="192">
        <f t="shared" ref="R505" si="542">R503*R504/1000</f>
        <v>22.175000000000001</v>
      </c>
      <c r="S505" s="192">
        <f t="shared" ref="S505" si="543">S503*S504/1000</f>
        <v>17.09</v>
      </c>
      <c r="T505" s="194">
        <f>SUM(N505:S505)</f>
        <v>94.393000000000001</v>
      </c>
      <c r="U505" s="194">
        <f>T505+L505</f>
        <v>199.80600000000001</v>
      </c>
      <c r="V505" s="171">
        <f>V506+V507</f>
        <v>225.44499999999999</v>
      </c>
      <c r="W505" s="192">
        <f>V505-U505</f>
        <v>25.638999999999999</v>
      </c>
      <c r="X505" s="247"/>
      <c r="Z505" s="308"/>
    </row>
    <row r="506" spans="1:26" s="244" customFormat="1" ht="18" customHeight="1">
      <c r="A506" s="592"/>
      <c r="B506" s="576"/>
      <c r="C506" s="577"/>
      <c r="D506" s="174" t="str">
        <f>серпень!D429</f>
        <v>дотація</v>
      </c>
      <c r="E506" s="210"/>
      <c r="F506" s="192"/>
      <c r="G506" s="192"/>
      <c r="H506" s="192"/>
      <c r="I506" s="192">
        <v>13.728999999999999</v>
      </c>
      <c r="J506" s="192">
        <v>16.187999999999999</v>
      </c>
      <c r="K506" s="192"/>
      <c r="L506" s="194">
        <f>SUM(F506:K506)</f>
        <v>29.917000000000002</v>
      </c>
      <c r="M506" s="194">
        <f>L506/6</f>
        <v>4.9859999999999998</v>
      </c>
      <c r="N506" s="192"/>
      <c r="O506" s="192"/>
      <c r="P506" s="192"/>
      <c r="Q506" s="192"/>
      <c r="R506" s="192"/>
      <c r="S506" s="192"/>
      <c r="T506" s="194">
        <f>SUM(N506:S506)</f>
        <v>0</v>
      </c>
      <c r="U506" s="194">
        <f>T506+L506</f>
        <v>29.917000000000002</v>
      </c>
      <c r="V506" s="171">
        <f>13.729+16.188</f>
        <v>29.917000000000002</v>
      </c>
      <c r="W506" s="192">
        <f>V506-U506</f>
        <v>0</v>
      </c>
      <c r="Z506" s="308"/>
    </row>
    <row r="507" spans="1:26" s="244" customFormat="1" ht="18" customHeight="1">
      <c r="A507" s="592"/>
      <c r="B507" s="576"/>
      <c r="C507" s="577"/>
      <c r="D507" s="174" t="str">
        <f>серпень!D430</f>
        <v>місцевий (план), тис.грн</v>
      </c>
      <c r="E507" s="210"/>
      <c r="F507" s="192">
        <f>4.106-4.106</f>
        <v>0</v>
      </c>
      <c r="G507" s="192">
        <f>19.081-0.937</f>
        <v>18.143999999999998</v>
      </c>
      <c r="H507" s="192">
        <f>17.358+0.937</f>
        <v>18.295000000000002</v>
      </c>
      <c r="I507" s="192">
        <v>18.494</v>
      </c>
      <c r="J507" s="192">
        <v>16.109000000000002</v>
      </c>
      <c r="K507" s="192">
        <f>15.841-9.7</f>
        <v>6.141</v>
      </c>
      <c r="L507" s="194">
        <f>SUM(F507:K507)</f>
        <v>77.183000000000007</v>
      </c>
      <c r="M507" s="194">
        <f>L507/6</f>
        <v>12.864000000000001</v>
      </c>
      <c r="N507" s="192">
        <v>12.484999999999999</v>
      </c>
      <c r="O507" s="192">
        <f>10.986+9.7-19</f>
        <v>1.6859999999999999</v>
      </c>
      <c r="P507" s="192">
        <v>10.074</v>
      </c>
      <c r="Q507" s="192">
        <v>35.615000000000002</v>
      </c>
      <c r="R507" s="192">
        <v>19.22</v>
      </c>
      <c r="S507" s="192">
        <v>39.265000000000001</v>
      </c>
      <c r="T507" s="194">
        <f>SUM(N507:S507)</f>
        <v>118.345</v>
      </c>
      <c r="U507" s="194">
        <f>T507+L507</f>
        <v>195.52799999999999</v>
      </c>
      <c r="V507" s="171">
        <v>195.52799999999999</v>
      </c>
      <c r="W507" s="192">
        <f>V507-U507</f>
        <v>0</v>
      </c>
      <c r="Z507" s="308"/>
    </row>
    <row r="508" spans="1:26" s="186" customFormat="1" ht="18" customHeight="1">
      <c r="A508" s="592"/>
      <c r="B508" s="576"/>
      <c r="C508" s="577"/>
      <c r="D508" s="178" t="str">
        <f>серпень!D431</f>
        <v>касові нат.п-ки 2025</v>
      </c>
      <c r="E508" s="179"/>
      <c r="F508" s="184">
        <v>0</v>
      </c>
      <c r="G508" s="184">
        <v>4198</v>
      </c>
      <c r="H508" s="179">
        <v>4073</v>
      </c>
      <c r="I508" s="179">
        <v>4675</v>
      </c>
      <c r="J508" s="179">
        <v>3699.4</v>
      </c>
      <c r="K508" s="179">
        <v>4121</v>
      </c>
      <c r="L508" s="215">
        <f>SUM(F508:K508)</f>
        <v>20766.400000000001</v>
      </c>
      <c r="M508" s="215">
        <f>L508/6</f>
        <v>3461.1</v>
      </c>
      <c r="N508" s="179">
        <v>3635</v>
      </c>
      <c r="O508" s="179">
        <v>2476</v>
      </c>
      <c r="P508" s="179">
        <v>1990</v>
      </c>
      <c r="Q508" s="179">
        <v>3846</v>
      </c>
      <c r="R508" s="179">
        <v>4449</v>
      </c>
      <c r="S508" s="179">
        <f>R503+S503</f>
        <v>9089</v>
      </c>
      <c r="T508" s="215">
        <f>SUM(N508:S508)</f>
        <v>25485</v>
      </c>
      <c r="U508" s="215">
        <f>T508+L508</f>
        <v>46251.4</v>
      </c>
      <c r="V508" s="179">
        <f>V503</f>
        <v>45261</v>
      </c>
      <c r="W508" s="184">
        <f>V508-U508</f>
        <v>-990.4</v>
      </c>
      <c r="X508" s="185">
        <f>U503-U508</f>
        <v>0</v>
      </c>
      <c r="Z508" s="297"/>
    </row>
    <row r="509" spans="1:26" s="190" customFormat="1" ht="18" customHeight="1">
      <c r="A509" s="592"/>
      <c r="B509" s="576"/>
      <c r="C509" s="577"/>
      <c r="D509" s="187" t="str">
        <f>серпень!D432</f>
        <v>тариф, грн.</v>
      </c>
      <c r="E509" s="245" t="e">
        <f t="shared" ref="E509:K509" si="544">E510/E508*1000</f>
        <v>#DIV/0!</v>
      </c>
      <c r="F509" s="245" t="e">
        <f t="shared" si="544"/>
        <v>#DIV/0!</v>
      </c>
      <c r="G509" s="245">
        <f t="shared" si="544"/>
        <v>4.3199139999999998</v>
      </c>
      <c r="H509" s="245">
        <f t="shared" si="544"/>
        <v>4.3199120000000004</v>
      </c>
      <c r="I509" s="245">
        <f t="shared" si="544"/>
        <v>4.32</v>
      </c>
      <c r="J509" s="245">
        <f t="shared" si="544"/>
        <v>4.31989</v>
      </c>
      <c r="K509" s="245">
        <f t="shared" si="544"/>
        <v>4.320068</v>
      </c>
      <c r="L509" s="246">
        <f t="shared" ref="L509:P509" si="545">L510/L508*1000</f>
        <v>4.31996</v>
      </c>
      <c r="M509" s="246">
        <f t="shared" si="545"/>
        <v>4.3200099999999999</v>
      </c>
      <c r="N509" s="246">
        <f t="shared" si="545"/>
        <v>4.3199399999999999</v>
      </c>
      <c r="O509" s="246">
        <f t="shared" si="545"/>
        <v>4.3198699999999999</v>
      </c>
      <c r="P509" s="246">
        <f t="shared" si="545"/>
        <v>4.3201000000000001</v>
      </c>
      <c r="Q509" s="246">
        <v>4.32</v>
      </c>
      <c r="R509" s="246">
        <v>4.32</v>
      </c>
      <c r="S509" s="246">
        <v>4.32</v>
      </c>
      <c r="T509" s="246">
        <f>T510/T508*1000</f>
        <v>4.32003</v>
      </c>
      <c r="U509" s="246">
        <f>U510/U508*1000</f>
        <v>4.32</v>
      </c>
      <c r="V509" s="246">
        <f>V510/V508*1000</f>
        <v>4.9809999999999999</v>
      </c>
      <c r="W509" s="246">
        <f>W510/W508*1000</f>
        <v>-25.887519999999999</v>
      </c>
      <c r="X509" s="225"/>
      <c r="Z509" s="298"/>
    </row>
    <row r="510" spans="1:26" s="239" customFormat="1" ht="18" customHeight="1">
      <c r="A510" s="592"/>
      <c r="B510" s="576"/>
      <c r="C510" s="577"/>
      <c r="D510" s="198" t="str">
        <f>серпень!D433</f>
        <v>касові видатки, тис.грн.</v>
      </c>
      <c r="E510" s="220"/>
      <c r="F510" s="199">
        <v>0</v>
      </c>
      <c r="G510" s="199">
        <v>18.135000000000002</v>
      </c>
      <c r="H510" s="199">
        <v>17.594999999999999</v>
      </c>
      <c r="I510" s="199">
        <v>20.196000000000002</v>
      </c>
      <c r="J510" s="199">
        <v>15.981</v>
      </c>
      <c r="K510" s="199">
        <v>17.803000000000001</v>
      </c>
      <c r="L510" s="199">
        <f>SUM(F510:K510)</f>
        <v>89.71</v>
      </c>
      <c r="M510" s="199">
        <f>L510/6</f>
        <v>14.952</v>
      </c>
      <c r="N510" s="199">
        <v>15.702999999999999</v>
      </c>
      <c r="O510" s="199">
        <v>10.696</v>
      </c>
      <c r="P510" s="199">
        <v>8.5969999999999995</v>
      </c>
      <c r="Q510" s="199">
        <f t="shared" ref="Q510" si="546">Q508*Q509/1000</f>
        <v>16.614999999999998</v>
      </c>
      <c r="R510" s="199">
        <f t="shared" ref="R510" si="547">R508*R509/1000</f>
        <v>19.22</v>
      </c>
      <c r="S510" s="199">
        <f>S508*S509/1000+0.001</f>
        <v>39.265000000000001</v>
      </c>
      <c r="T510" s="199">
        <f>SUM(N510:S510)</f>
        <v>110.096</v>
      </c>
      <c r="U510" s="199">
        <f>T510+L510</f>
        <v>199.80600000000001</v>
      </c>
      <c r="V510" s="199">
        <f>V505</f>
        <v>225.44499999999999</v>
      </c>
      <c r="W510" s="221">
        <f>V510-U510</f>
        <v>25.638999999999999</v>
      </c>
      <c r="X510" s="176">
        <f>U505-U510</f>
        <v>0</v>
      </c>
      <c r="Z510" s="300"/>
    </row>
    <row r="511" spans="1:26" s="239" customFormat="1" ht="18" customHeight="1">
      <c r="A511" s="592"/>
      <c r="B511" s="576"/>
      <c r="C511" s="577"/>
      <c r="D511" s="201" t="str">
        <f>серпень!D434</f>
        <v>дотація</v>
      </c>
      <c r="E511" s="220"/>
      <c r="F511" s="199">
        <v>0</v>
      </c>
      <c r="G511" s="199">
        <v>0</v>
      </c>
      <c r="H511" s="199">
        <v>0</v>
      </c>
      <c r="I511" s="199">
        <v>0</v>
      </c>
      <c r="J511" s="199">
        <v>13.728999999999999</v>
      </c>
      <c r="K511" s="199">
        <v>16.187999999999999</v>
      </c>
      <c r="L511" s="199">
        <f>SUM(F511:K511)</f>
        <v>29.917000000000002</v>
      </c>
      <c r="M511" s="199">
        <f>L511/6</f>
        <v>4.9859999999999998</v>
      </c>
      <c r="N511" s="199">
        <v>0</v>
      </c>
      <c r="O511" s="199">
        <v>0</v>
      </c>
      <c r="P511" s="199">
        <v>0</v>
      </c>
      <c r="Q511" s="199">
        <v>0</v>
      </c>
      <c r="R511" s="199">
        <v>0</v>
      </c>
      <c r="S511" s="199">
        <v>0</v>
      </c>
      <c r="T511" s="199">
        <f>SUM(N511:S511)</f>
        <v>0</v>
      </c>
      <c r="U511" s="199">
        <f>T511+L511</f>
        <v>29.917000000000002</v>
      </c>
      <c r="V511" s="199">
        <f>V506</f>
        <v>29.917000000000002</v>
      </c>
      <c r="W511" s="221">
        <f>V511-U511</f>
        <v>0</v>
      </c>
      <c r="X511" s="176">
        <f>U506-U511</f>
        <v>0</v>
      </c>
      <c r="Z511" s="300"/>
    </row>
    <row r="512" spans="1:26" s="239" customFormat="1" ht="18" customHeight="1">
      <c r="A512" s="592"/>
      <c r="B512" s="576"/>
      <c r="C512" s="577"/>
      <c r="D512" s="201" t="str">
        <f>серпень!D435</f>
        <v xml:space="preserve">місцевий </v>
      </c>
      <c r="E512" s="220"/>
      <c r="F512" s="199">
        <f t="shared" ref="F512:K512" si="548">F510-F511</f>
        <v>0</v>
      </c>
      <c r="G512" s="199">
        <f t="shared" si="548"/>
        <v>18.135000000000002</v>
      </c>
      <c r="H512" s="199">
        <f>H510-H511</f>
        <v>17.594999999999999</v>
      </c>
      <c r="I512" s="199">
        <f t="shared" si="548"/>
        <v>20.196000000000002</v>
      </c>
      <c r="J512" s="199">
        <f t="shared" si="548"/>
        <v>2.2519999999999998</v>
      </c>
      <c r="K512" s="199">
        <f t="shared" si="548"/>
        <v>1.615</v>
      </c>
      <c r="L512" s="199">
        <f>SUM(F512:K512)</f>
        <v>59.792999999999999</v>
      </c>
      <c r="M512" s="199">
        <f>L512/6</f>
        <v>9.9659999999999993</v>
      </c>
      <c r="N512" s="199">
        <f t="shared" ref="N512:S512" si="549">N510-N511</f>
        <v>15.702999999999999</v>
      </c>
      <c r="O512" s="199">
        <f t="shared" si="549"/>
        <v>10.696</v>
      </c>
      <c r="P512" s="199">
        <f t="shared" si="549"/>
        <v>8.5969999999999995</v>
      </c>
      <c r="Q512" s="199">
        <f t="shared" si="549"/>
        <v>16.614999999999998</v>
      </c>
      <c r="R512" s="199">
        <f t="shared" si="549"/>
        <v>19.22</v>
      </c>
      <c r="S512" s="199">
        <f t="shared" si="549"/>
        <v>39.265000000000001</v>
      </c>
      <c r="T512" s="199">
        <f>SUM(N512:S512)</f>
        <v>110.096</v>
      </c>
      <c r="U512" s="199">
        <f>T512+L512</f>
        <v>169.88900000000001</v>
      </c>
      <c r="V512" s="199">
        <f>V507</f>
        <v>195.52799999999999</v>
      </c>
      <c r="W512" s="221">
        <f>V512-U512</f>
        <v>25.638999999999999</v>
      </c>
      <c r="X512" s="176">
        <f>U507-U512</f>
        <v>25.638999999999999</v>
      </c>
      <c r="Z512" s="300"/>
    </row>
    <row r="513" spans="1:28" s="205" customFormat="1" ht="18" customHeight="1">
      <c r="A513" s="592"/>
      <c r="B513" s="576"/>
      <c r="C513" s="577"/>
      <c r="D513" s="202" t="str">
        <f>серпень!D436</f>
        <v>план</v>
      </c>
      <c r="E513" s="203"/>
      <c r="F513" s="203">
        <f>F507+F506</f>
        <v>0</v>
      </c>
      <c r="G513" s="203">
        <f t="shared" ref="G513:K513" si="550">G507+G506</f>
        <v>18.143999999999998</v>
      </c>
      <c r="H513" s="203">
        <f t="shared" si="550"/>
        <v>18.295000000000002</v>
      </c>
      <c r="I513" s="203">
        <f>I507+I506</f>
        <v>32.222999999999999</v>
      </c>
      <c r="J513" s="203">
        <f t="shared" si="550"/>
        <v>32.296999999999997</v>
      </c>
      <c r="K513" s="203">
        <f t="shared" si="550"/>
        <v>6.141</v>
      </c>
      <c r="L513" s="203">
        <f>SUM(F513:K513)</f>
        <v>107.1</v>
      </c>
      <c r="M513" s="203">
        <f>L513/6</f>
        <v>17.850000000000001</v>
      </c>
      <c r="N513" s="203">
        <f>N507+N506</f>
        <v>12.484999999999999</v>
      </c>
      <c r="O513" s="203">
        <f t="shared" ref="O513:S513" si="551">O507+O506</f>
        <v>1.6859999999999999</v>
      </c>
      <c r="P513" s="203">
        <f t="shared" si="551"/>
        <v>10.074</v>
      </c>
      <c r="Q513" s="203">
        <f t="shared" si="551"/>
        <v>35.615000000000002</v>
      </c>
      <c r="R513" s="203">
        <f t="shared" si="551"/>
        <v>19.22</v>
      </c>
      <c r="S513" s="203">
        <f t="shared" si="551"/>
        <v>39.265000000000001</v>
      </c>
      <c r="T513" s="203">
        <f>SUM(N513:S513)</f>
        <v>118.345</v>
      </c>
      <c r="U513" s="203">
        <f>T513+L513</f>
        <v>225.44499999999999</v>
      </c>
      <c r="V513" s="203">
        <f>V510</f>
        <v>225.44499999999999</v>
      </c>
      <c r="W513" s="203">
        <f>V513-U513</f>
        <v>0</v>
      </c>
      <c r="Z513" s="301"/>
    </row>
    <row r="514" spans="1:28" s="205" customFormat="1" ht="18" customHeight="1">
      <c r="A514" s="592"/>
      <c r="B514" s="576"/>
      <c r="C514" s="577"/>
      <c r="D514" s="202" t="str">
        <f>серпень!D437</f>
        <v xml:space="preserve">відхилення </v>
      </c>
      <c r="E514" s="203"/>
      <c r="F514" s="203">
        <f t="shared" ref="F514:K514" si="552">F510-F513</f>
        <v>0</v>
      </c>
      <c r="G514" s="203">
        <f t="shared" si="552"/>
        <v>-8.9999999999999993E-3</v>
      </c>
      <c r="H514" s="203">
        <f t="shared" si="552"/>
        <v>-0.7</v>
      </c>
      <c r="I514" s="203">
        <f t="shared" si="552"/>
        <v>-12.026999999999999</v>
      </c>
      <c r="J514" s="203">
        <f t="shared" si="552"/>
        <v>-16.315999999999999</v>
      </c>
      <c r="K514" s="203">
        <f t="shared" si="552"/>
        <v>11.662000000000001</v>
      </c>
      <c r="L514" s="203"/>
      <c r="M514" s="203"/>
      <c r="N514" s="203">
        <f t="shared" ref="N514:S514" si="553">N510-N513</f>
        <v>3.218</v>
      </c>
      <c r="O514" s="203">
        <f t="shared" si="553"/>
        <v>9.01</v>
      </c>
      <c r="P514" s="203">
        <f t="shared" si="553"/>
        <v>-1.4770000000000001</v>
      </c>
      <c r="Q514" s="203">
        <f t="shared" si="553"/>
        <v>-19</v>
      </c>
      <c r="R514" s="203">
        <f t="shared" si="553"/>
        <v>0</v>
      </c>
      <c r="S514" s="203">
        <f t="shared" si="553"/>
        <v>0</v>
      </c>
      <c r="T514" s="203"/>
      <c r="U514" s="203"/>
      <c r="V514" s="203"/>
      <c r="W514" s="203"/>
      <c r="Z514" s="301"/>
    </row>
    <row r="515" spans="1:28" s="205" customFormat="1" ht="18" customHeight="1">
      <c r="A515" s="593"/>
      <c r="B515" s="578"/>
      <c r="C515" s="579"/>
      <c r="D515" s="202" t="str">
        <f>серпень!D438</f>
        <v>відхилення з наростаючим</v>
      </c>
      <c r="E515" s="203"/>
      <c r="F515" s="203">
        <f>F514</f>
        <v>0</v>
      </c>
      <c r="G515" s="203">
        <f>G514+F515</f>
        <v>-8.9999999999999993E-3</v>
      </c>
      <c r="H515" s="203">
        <f>H514+G515</f>
        <v>-0.70899999999999996</v>
      </c>
      <c r="I515" s="203">
        <f>I514+H515</f>
        <v>-12.736000000000001</v>
      </c>
      <c r="J515" s="203">
        <f>J514+I515</f>
        <v>-29.052</v>
      </c>
      <c r="K515" s="203">
        <f>K514+J515</f>
        <v>-17.39</v>
      </c>
      <c r="L515" s="203"/>
      <c r="M515" s="203"/>
      <c r="N515" s="203">
        <f>N514+K515</f>
        <v>-14.172000000000001</v>
      </c>
      <c r="O515" s="203">
        <f>O514+N515</f>
        <v>-5.1619999999999999</v>
      </c>
      <c r="P515" s="203">
        <f>P514+O515</f>
        <v>-6.6390000000000002</v>
      </c>
      <c r="Q515" s="203">
        <f>Q514+P515</f>
        <v>-25.638999999999999</v>
      </c>
      <c r="R515" s="203">
        <f>R514+Q515</f>
        <v>-25.638999999999999</v>
      </c>
      <c r="S515" s="203">
        <f>S514+R515</f>
        <v>-25.638999999999999</v>
      </c>
      <c r="T515" s="203"/>
      <c r="U515" s="203"/>
      <c r="V515" s="203"/>
      <c r="W515" s="203"/>
      <c r="Z515" s="301"/>
      <c r="AB515" s="195"/>
    </row>
    <row r="516" spans="1:28" s="185" customFormat="1" ht="18" customHeight="1">
      <c r="A516" s="650">
        <v>2275</v>
      </c>
      <c r="B516" s="581" t="s">
        <v>70</v>
      </c>
      <c r="C516" s="581"/>
      <c r="D516" s="178" t="str">
        <f>серпень!D439</f>
        <v>факт. нат.п-ки 2023</v>
      </c>
      <c r="E516" s="179"/>
      <c r="F516" s="264">
        <f>F533+F704</f>
        <v>7.9</v>
      </c>
      <c r="G516" s="264">
        <f t="shared" ref="G516:K516" si="554">G533+G704</f>
        <v>7.8</v>
      </c>
      <c r="H516" s="264">
        <f t="shared" si="554"/>
        <v>7.4</v>
      </c>
      <c r="I516" s="264">
        <f t="shared" si="554"/>
        <v>8.5</v>
      </c>
      <c r="J516" s="264">
        <f t="shared" si="554"/>
        <v>11</v>
      </c>
      <c r="K516" s="264">
        <f t="shared" si="554"/>
        <v>7.7</v>
      </c>
      <c r="L516" s="491">
        <f>SUM(F516:K516)</f>
        <v>50.3</v>
      </c>
      <c r="M516" s="491">
        <f>L516/6</f>
        <v>8.3829999999999991</v>
      </c>
      <c r="N516" s="264">
        <f>N533+N704</f>
        <v>5.2</v>
      </c>
      <c r="O516" s="264">
        <f t="shared" ref="O516:S516" si="555">O533+O704</f>
        <v>7</v>
      </c>
      <c r="P516" s="264">
        <f t="shared" si="555"/>
        <v>8.6999999999999993</v>
      </c>
      <c r="Q516" s="264">
        <f t="shared" si="555"/>
        <v>7.7</v>
      </c>
      <c r="R516" s="264">
        <f t="shared" si="555"/>
        <v>8.1</v>
      </c>
      <c r="S516" s="264">
        <f t="shared" si="555"/>
        <v>7.8</v>
      </c>
      <c r="T516" s="491">
        <f>SUM(N516:S516)</f>
        <v>44.5</v>
      </c>
      <c r="U516" s="491">
        <f>T516+L516</f>
        <v>94.8</v>
      </c>
      <c r="V516" s="463">
        <f>V533+V704</f>
        <v>94.7</v>
      </c>
      <c r="W516" s="184"/>
      <c r="Z516" s="297"/>
    </row>
    <row r="517" spans="1:28" s="185" customFormat="1" ht="18" customHeight="1">
      <c r="A517" s="614"/>
      <c r="B517" s="581"/>
      <c r="C517" s="581"/>
      <c r="D517" s="178" t="str">
        <f>серпень!D440</f>
        <v>факт. нат.п-ки 2024</v>
      </c>
      <c r="E517" s="179"/>
      <c r="F517" s="264">
        <f t="shared" ref="F517:K518" si="556">F534+F705</f>
        <v>9</v>
      </c>
      <c r="G517" s="264">
        <f t="shared" si="556"/>
        <v>8.6999999999999993</v>
      </c>
      <c r="H517" s="264">
        <f t="shared" si="556"/>
        <v>8</v>
      </c>
      <c r="I517" s="264">
        <f t="shared" si="556"/>
        <v>8.8000000000000007</v>
      </c>
      <c r="J517" s="264">
        <f t="shared" si="556"/>
        <v>11</v>
      </c>
      <c r="K517" s="264">
        <f t="shared" si="556"/>
        <v>8.8000000000000007</v>
      </c>
      <c r="L517" s="491">
        <f>SUM(F517:K517)</f>
        <v>54.3</v>
      </c>
      <c r="M517" s="491">
        <f>L517/6</f>
        <v>9.0500000000000007</v>
      </c>
      <c r="N517" s="264">
        <f t="shared" ref="N517:S517" si="557">N534+N705</f>
        <v>5.7</v>
      </c>
      <c r="O517" s="264">
        <f t="shared" si="557"/>
        <v>7.7</v>
      </c>
      <c r="P517" s="264">
        <f t="shared" si="557"/>
        <v>8.8000000000000007</v>
      </c>
      <c r="Q517" s="264">
        <f t="shared" si="557"/>
        <v>6.1</v>
      </c>
      <c r="R517" s="264">
        <f t="shared" si="557"/>
        <v>4.0999999999999996</v>
      </c>
      <c r="S517" s="264">
        <f t="shared" si="557"/>
        <v>5</v>
      </c>
      <c r="T517" s="491">
        <f>SUM(N517:S517)</f>
        <v>37.4</v>
      </c>
      <c r="U517" s="491">
        <f>T517+L517</f>
        <v>91.7</v>
      </c>
      <c r="V517" s="463">
        <f>V534+V705</f>
        <v>91.6</v>
      </c>
      <c r="W517" s="184"/>
      <c r="Z517" s="297"/>
    </row>
    <row r="518" spans="1:28" s="185" customFormat="1" ht="18" customHeight="1">
      <c r="A518" s="614"/>
      <c r="B518" s="581"/>
      <c r="C518" s="581"/>
      <c r="D518" s="178" t="str">
        <f>серпень!D441</f>
        <v>факт. нат.п-ки 2025</v>
      </c>
      <c r="E518" s="179"/>
      <c r="F518" s="264">
        <f>F535+F706</f>
        <v>11</v>
      </c>
      <c r="G518" s="264">
        <f t="shared" si="556"/>
        <v>7.7</v>
      </c>
      <c r="H518" s="264">
        <f t="shared" si="556"/>
        <v>8.8000000000000007</v>
      </c>
      <c r="I518" s="264">
        <f t="shared" si="556"/>
        <v>9.3149999999999995</v>
      </c>
      <c r="J518" s="264">
        <f t="shared" si="556"/>
        <v>6.6</v>
      </c>
      <c r="K518" s="264">
        <f t="shared" si="556"/>
        <v>1.6120000000000001</v>
      </c>
      <c r="L518" s="491">
        <f>SUM(F518:K518)</f>
        <v>45.027000000000001</v>
      </c>
      <c r="M518" s="491">
        <f>L518/6</f>
        <v>7.5049999999999999</v>
      </c>
      <c r="N518" s="264">
        <f t="shared" ref="N518:S518" si="558">N535+N706</f>
        <v>10.141999999999999</v>
      </c>
      <c r="O518" s="264">
        <f t="shared" si="558"/>
        <v>7.7</v>
      </c>
      <c r="P518" s="264">
        <f t="shared" si="558"/>
        <v>8.8000000000000007</v>
      </c>
      <c r="Q518" s="264">
        <f t="shared" si="558"/>
        <v>7.7</v>
      </c>
      <c r="R518" s="264">
        <f t="shared" si="558"/>
        <v>5.0999999999999996</v>
      </c>
      <c r="S518" s="264">
        <f t="shared" si="558"/>
        <v>5.04</v>
      </c>
      <c r="T518" s="491">
        <f>SUM(N518:S518)</f>
        <v>44.481999999999999</v>
      </c>
      <c r="U518" s="491">
        <f>T518+L518</f>
        <v>89.509</v>
      </c>
      <c r="V518" s="463">
        <f t="shared" ref="V518" si="559">V535+V706</f>
        <v>92.5</v>
      </c>
      <c r="W518" s="184">
        <f>V518-U518</f>
        <v>3</v>
      </c>
      <c r="Z518" s="297"/>
    </row>
    <row r="519" spans="1:28" s="185" customFormat="1" ht="18" customHeight="1">
      <c r="A519" s="614"/>
      <c r="B519" s="581"/>
      <c r="C519" s="581"/>
      <c r="D519" s="187" t="str">
        <f>серпень!D442</f>
        <v>тариф, грн.</v>
      </c>
      <c r="E519" s="188"/>
      <c r="F519" s="188">
        <f t="shared" ref="F519:S519" si="560">F520/F518*1000</f>
        <v>185.18199999999999</v>
      </c>
      <c r="G519" s="188">
        <f t="shared" si="560"/>
        <v>187.40299999999999</v>
      </c>
      <c r="H519" s="188">
        <f t="shared" si="560"/>
        <v>185</v>
      </c>
      <c r="I519" s="188">
        <f t="shared" si="560"/>
        <v>188.191</v>
      </c>
      <c r="J519" s="188">
        <f t="shared" si="560"/>
        <v>185.303</v>
      </c>
      <c r="K519" s="188">
        <f t="shared" si="560"/>
        <v>168.114</v>
      </c>
      <c r="L519" s="188">
        <f t="shared" si="560"/>
        <v>185.55500000000001</v>
      </c>
      <c r="M519" s="188">
        <f t="shared" si="560"/>
        <v>185.61</v>
      </c>
      <c r="N519" s="188">
        <f t="shared" si="560"/>
        <v>183.494</v>
      </c>
      <c r="O519" s="188">
        <f t="shared" si="560"/>
        <v>187.40299999999999</v>
      </c>
      <c r="P519" s="188">
        <f t="shared" si="560"/>
        <v>198.523</v>
      </c>
      <c r="Q519" s="188">
        <f t="shared" si="560"/>
        <v>202.727</v>
      </c>
      <c r="R519" s="188">
        <f t="shared" si="560"/>
        <v>198.03899999999999</v>
      </c>
      <c r="S519" s="188">
        <f t="shared" si="560"/>
        <v>196.23</v>
      </c>
      <c r="T519" s="188">
        <f>T520/T518*1000</f>
        <v>193.584</v>
      </c>
      <c r="U519" s="188">
        <f>U520/U518*1000</f>
        <v>189.54499999999999</v>
      </c>
      <c r="V519" s="188">
        <f t="shared" ref="V519" si="561">V520/V518*1000</f>
        <v>196.67</v>
      </c>
      <c r="W519" s="188">
        <f>W520/W518*1000</f>
        <v>408.66699999999997</v>
      </c>
      <c r="Z519" s="297"/>
    </row>
    <row r="520" spans="1:28" s="244" customFormat="1" ht="18" customHeight="1">
      <c r="A520" s="614"/>
      <c r="B520" s="581"/>
      <c r="C520" s="581"/>
      <c r="D520" s="191" t="str">
        <f>серпень!D443</f>
        <v>сума, тис.грн.</v>
      </c>
      <c r="E520" s="192"/>
      <c r="F520" s="192">
        <f>F537+F708</f>
        <v>2.0369999999999999</v>
      </c>
      <c r="G520" s="192">
        <f t="shared" ref="G520:K520" si="562">G537+G708</f>
        <v>1.4430000000000001</v>
      </c>
      <c r="H520" s="192">
        <f t="shared" si="562"/>
        <v>1.6279999999999999</v>
      </c>
      <c r="I520" s="192">
        <f t="shared" si="562"/>
        <v>1.7529999999999999</v>
      </c>
      <c r="J520" s="192">
        <f t="shared" si="562"/>
        <v>1.2230000000000001</v>
      </c>
      <c r="K520" s="192">
        <f t="shared" si="562"/>
        <v>0.27100000000000002</v>
      </c>
      <c r="L520" s="194">
        <f>SUM(F520:K520)</f>
        <v>8.3550000000000004</v>
      </c>
      <c r="M520" s="194">
        <f>L520/6</f>
        <v>1.393</v>
      </c>
      <c r="N520" s="192">
        <f>N537+N708</f>
        <v>1.861</v>
      </c>
      <c r="O520" s="192">
        <f t="shared" ref="O520:S520" si="563">O537+O708</f>
        <v>1.4430000000000001</v>
      </c>
      <c r="P520" s="192">
        <f t="shared" si="563"/>
        <v>1.7470000000000001</v>
      </c>
      <c r="Q520" s="192">
        <f t="shared" si="563"/>
        <v>1.5609999999999999</v>
      </c>
      <c r="R520" s="192">
        <f t="shared" si="563"/>
        <v>1.01</v>
      </c>
      <c r="S520" s="192">
        <f t="shared" si="563"/>
        <v>0.98899999999999999</v>
      </c>
      <c r="T520" s="194">
        <f>SUM(N520:S520)</f>
        <v>8.6110000000000007</v>
      </c>
      <c r="U520" s="194">
        <f>T520+L520</f>
        <v>16.966000000000001</v>
      </c>
      <c r="V520" s="194">
        <f t="shared" ref="V520" si="564">V537+V708</f>
        <v>18.192</v>
      </c>
      <c r="W520" s="192">
        <f>V520-U520</f>
        <v>1.226</v>
      </c>
      <c r="Z520" s="308"/>
    </row>
    <row r="521" spans="1:28" s="244" customFormat="1" ht="18" customHeight="1">
      <c r="A521" s="614"/>
      <c r="B521" s="581"/>
      <c r="C521" s="581"/>
      <c r="D521" s="174" t="str">
        <f>серпень!D444</f>
        <v>абоненська плата, тис.грн.</v>
      </c>
      <c r="E521" s="192"/>
      <c r="F521" s="192">
        <f>F538</f>
        <v>4.0000000000000001E-3</v>
      </c>
      <c r="G521" s="192">
        <f t="shared" ref="G521:K521" si="565">G538</f>
        <v>4.0000000000000001E-3</v>
      </c>
      <c r="H521" s="192">
        <f t="shared" si="565"/>
        <v>4.0000000000000001E-3</v>
      </c>
      <c r="I521" s="192">
        <f t="shared" si="565"/>
        <v>4.0000000000000001E-3</v>
      </c>
      <c r="J521" s="192">
        <f t="shared" si="565"/>
        <v>4.0000000000000001E-3</v>
      </c>
      <c r="K521" s="192">
        <f t="shared" si="565"/>
        <v>4.0000000000000001E-3</v>
      </c>
      <c r="L521" s="194">
        <f t="shared" ref="L521:L524" si="566">SUM(F521:K521)</f>
        <v>2.4E-2</v>
      </c>
      <c r="M521" s="194">
        <f t="shared" ref="M521:M524" si="567">L521/6</f>
        <v>4.0000000000000001E-3</v>
      </c>
      <c r="N521" s="192">
        <f>N538</f>
        <v>4.0000000000000001E-3</v>
      </c>
      <c r="O521" s="192">
        <f t="shared" ref="O521:S521" si="568">O538</f>
        <v>4.0000000000000001E-3</v>
      </c>
      <c r="P521" s="192">
        <f t="shared" si="568"/>
        <v>4.0000000000000001E-3</v>
      </c>
      <c r="Q521" s="192">
        <f t="shared" si="568"/>
        <v>4.0000000000000001E-3</v>
      </c>
      <c r="R521" s="192">
        <f t="shared" si="568"/>
        <v>4.0000000000000001E-3</v>
      </c>
      <c r="S521" s="192">
        <f t="shared" si="568"/>
        <v>6.0000000000000001E-3</v>
      </c>
      <c r="T521" s="194">
        <f t="shared" ref="T521:T524" si="569">SUM(N521:S521)</f>
        <v>2.5999999999999999E-2</v>
      </c>
      <c r="U521" s="194">
        <f t="shared" ref="U521:U524" si="570">T521+L521</f>
        <v>0.05</v>
      </c>
      <c r="V521" s="194">
        <f t="shared" ref="V521" si="571">V538</f>
        <v>5.0999999999999997E-2</v>
      </c>
      <c r="W521" s="192">
        <f t="shared" ref="W521:W524" si="572">V521-U521</f>
        <v>1E-3</v>
      </c>
      <c r="Z521" s="308"/>
    </row>
    <row r="522" spans="1:28" s="244" customFormat="1" ht="18" customHeight="1">
      <c r="A522" s="614"/>
      <c r="B522" s="581"/>
      <c r="C522" s="581"/>
      <c r="D522" s="174" t="str">
        <f>серпень!D445</f>
        <v>разом сума тис. грн+абонплата</v>
      </c>
      <c r="E522" s="192"/>
      <c r="F522" s="192">
        <f>F520+F521</f>
        <v>2.0409999999999999</v>
      </c>
      <c r="G522" s="192">
        <f t="shared" ref="G522:K522" si="573">G520+G521</f>
        <v>1.4470000000000001</v>
      </c>
      <c r="H522" s="192">
        <f t="shared" si="573"/>
        <v>1.6319999999999999</v>
      </c>
      <c r="I522" s="192">
        <f t="shared" si="573"/>
        <v>1.7569999999999999</v>
      </c>
      <c r="J522" s="192">
        <f t="shared" si="573"/>
        <v>1.2270000000000001</v>
      </c>
      <c r="K522" s="192">
        <f t="shared" si="573"/>
        <v>0.27500000000000002</v>
      </c>
      <c r="L522" s="194">
        <f t="shared" si="566"/>
        <v>8.3789999999999996</v>
      </c>
      <c r="M522" s="194">
        <f t="shared" si="567"/>
        <v>1.397</v>
      </c>
      <c r="N522" s="192">
        <f>N520+N521</f>
        <v>1.865</v>
      </c>
      <c r="O522" s="192">
        <f t="shared" ref="O522" si="574">O520+O521</f>
        <v>1.4470000000000001</v>
      </c>
      <c r="P522" s="192">
        <f t="shared" ref="P522" si="575">P520+P521</f>
        <v>1.7509999999999999</v>
      </c>
      <c r="Q522" s="192">
        <f t="shared" ref="Q522" si="576">Q520+Q521</f>
        <v>1.5649999999999999</v>
      </c>
      <c r="R522" s="192">
        <f t="shared" ref="R522" si="577">R520+R521</f>
        <v>1.014</v>
      </c>
      <c r="S522" s="192">
        <f t="shared" ref="S522" si="578">S520+S521</f>
        <v>0.995</v>
      </c>
      <c r="T522" s="194">
        <f t="shared" si="569"/>
        <v>8.6370000000000005</v>
      </c>
      <c r="U522" s="194">
        <f t="shared" si="570"/>
        <v>17.015999999999998</v>
      </c>
      <c r="V522" s="194">
        <f t="shared" ref="V522" si="579">V520+V521</f>
        <v>18.242999999999999</v>
      </c>
      <c r="W522" s="192">
        <f t="shared" si="572"/>
        <v>1.2270000000000001</v>
      </c>
      <c r="Z522" s="308"/>
    </row>
    <row r="523" spans="1:28" s="244" customFormat="1" ht="18" customHeight="1">
      <c r="A523" s="614"/>
      <c r="B523" s="581"/>
      <c r="C523" s="581"/>
      <c r="D523" s="174" t="str">
        <f>серпень!D446</f>
        <v>дотація</v>
      </c>
      <c r="E523" s="210"/>
      <c r="F523" s="192">
        <f>F540+F709</f>
        <v>0</v>
      </c>
      <c r="G523" s="192">
        <f t="shared" ref="G523:K523" si="580">G540+G709</f>
        <v>0</v>
      </c>
      <c r="H523" s="192">
        <f t="shared" si="580"/>
        <v>0</v>
      </c>
      <c r="I523" s="192">
        <f t="shared" si="580"/>
        <v>0</v>
      </c>
      <c r="J523" s="192">
        <f t="shared" si="580"/>
        <v>0</v>
      </c>
      <c r="K523" s="192">
        <f t="shared" si="580"/>
        <v>0</v>
      </c>
      <c r="L523" s="194">
        <f t="shared" si="566"/>
        <v>0</v>
      </c>
      <c r="M523" s="194">
        <f t="shared" si="567"/>
        <v>0</v>
      </c>
      <c r="N523" s="192">
        <f>N540+N709</f>
        <v>0</v>
      </c>
      <c r="O523" s="192">
        <f t="shared" ref="O523:S523" si="581">O540+O709</f>
        <v>0</v>
      </c>
      <c r="P523" s="192">
        <f t="shared" si="581"/>
        <v>0</v>
      </c>
      <c r="Q523" s="192">
        <f t="shared" si="581"/>
        <v>0</v>
      </c>
      <c r="R523" s="192">
        <f t="shared" si="581"/>
        <v>0</v>
      </c>
      <c r="S523" s="192">
        <f t="shared" si="581"/>
        <v>0</v>
      </c>
      <c r="T523" s="194">
        <f t="shared" si="569"/>
        <v>0</v>
      </c>
      <c r="U523" s="194">
        <f t="shared" si="570"/>
        <v>0</v>
      </c>
      <c r="V523" s="194">
        <f t="shared" ref="V523" si="582">V540+V709</f>
        <v>0</v>
      </c>
      <c r="W523" s="192">
        <f t="shared" si="572"/>
        <v>0</v>
      </c>
      <c r="X523" s="248"/>
      <c r="Z523" s="308"/>
    </row>
    <row r="524" spans="1:28" s="244" customFormat="1" ht="18" customHeight="1">
      <c r="A524" s="614"/>
      <c r="B524" s="581"/>
      <c r="C524" s="581"/>
      <c r="D524" s="174" t="str">
        <f>серпень!D447</f>
        <v>місцевий (план), тис.грн</v>
      </c>
      <c r="E524" s="210"/>
      <c r="F524" s="192">
        <f>F541+F710</f>
        <v>1.726</v>
      </c>
      <c r="G524" s="192">
        <f t="shared" ref="G524:K524" si="583">G541+G710</f>
        <v>0.32100000000000001</v>
      </c>
      <c r="H524" s="192">
        <f t="shared" si="583"/>
        <v>1.57</v>
      </c>
      <c r="I524" s="192">
        <f t="shared" si="583"/>
        <v>1.524</v>
      </c>
      <c r="J524" s="192">
        <f t="shared" si="583"/>
        <v>1.734</v>
      </c>
      <c r="K524" s="192">
        <f t="shared" si="583"/>
        <v>1.7509999999999999</v>
      </c>
      <c r="L524" s="194">
        <f t="shared" si="566"/>
        <v>8.6259999999999994</v>
      </c>
      <c r="M524" s="194">
        <f t="shared" si="567"/>
        <v>1.4379999999999999</v>
      </c>
      <c r="N524" s="192">
        <f>N541+N710</f>
        <v>4.7E-2</v>
      </c>
      <c r="O524" s="192">
        <f t="shared" ref="O524:S524" si="584">O541+O710</f>
        <v>1.5649999999999999</v>
      </c>
      <c r="P524" s="192">
        <f t="shared" si="584"/>
        <v>3.2509999999999999</v>
      </c>
      <c r="Q524" s="192">
        <f t="shared" si="584"/>
        <v>1.5649999999999999</v>
      </c>
      <c r="R524" s="192">
        <f t="shared" si="584"/>
        <v>1.014</v>
      </c>
      <c r="S524" s="192">
        <f t="shared" si="584"/>
        <v>2.1749999999999998</v>
      </c>
      <c r="T524" s="194">
        <f t="shared" si="569"/>
        <v>9.6170000000000009</v>
      </c>
      <c r="U524" s="194">
        <f t="shared" si="570"/>
        <v>18.242999999999999</v>
      </c>
      <c r="V524" s="194">
        <f t="shared" ref="V524" si="585">V541+V710</f>
        <v>18.242999999999999</v>
      </c>
      <c r="W524" s="192">
        <f t="shared" si="572"/>
        <v>0</v>
      </c>
      <c r="Z524" s="308"/>
    </row>
    <row r="525" spans="1:28" s="185" customFormat="1" ht="18" customHeight="1">
      <c r="A525" s="614"/>
      <c r="B525" s="581"/>
      <c r="C525" s="581"/>
      <c r="D525" s="178" t="str">
        <f>серпень!D448</f>
        <v>касові нат.п-ки 2025</v>
      </c>
      <c r="E525" s="180">
        <f>E542+E711</f>
        <v>0</v>
      </c>
      <c r="F525" s="264">
        <f>F542+F711</f>
        <v>0</v>
      </c>
      <c r="G525" s="264">
        <f>G542+G711</f>
        <v>11</v>
      </c>
      <c r="H525" s="264">
        <f>H542+H711</f>
        <v>7.7</v>
      </c>
      <c r="I525" s="264">
        <f>I542+I711</f>
        <v>8.8000000000000007</v>
      </c>
      <c r="J525" s="264">
        <f>J542+J711</f>
        <v>9.3149999999999995</v>
      </c>
      <c r="K525" s="264">
        <f>K542+K711</f>
        <v>6.6</v>
      </c>
      <c r="L525" s="491">
        <f>SUM(F525:K525)</f>
        <v>43.414999999999999</v>
      </c>
      <c r="M525" s="491">
        <f>L525/6</f>
        <v>7.2359999999999998</v>
      </c>
      <c r="N525" s="264">
        <f>N542+N711</f>
        <v>1.6</v>
      </c>
      <c r="O525" s="264">
        <f>O542+O711</f>
        <v>10.14</v>
      </c>
      <c r="P525" s="264">
        <f>P542+P711</f>
        <v>16.501999999999999</v>
      </c>
      <c r="Q525" s="264">
        <f>Q542+Q711</f>
        <v>7.7</v>
      </c>
      <c r="R525" s="264">
        <f>R542+R711</f>
        <v>5.0999999999999996</v>
      </c>
      <c r="S525" s="264">
        <f>S542+S711</f>
        <v>5.04</v>
      </c>
      <c r="T525" s="491">
        <f>SUM(N525:S525)</f>
        <v>46.082000000000001</v>
      </c>
      <c r="U525" s="491">
        <f>T525+L525</f>
        <v>89.497</v>
      </c>
      <c r="V525" s="463">
        <f>V542+V711</f>
        <v>92.5</v>
      </c>
      <c r="W525" s="412">
        <f>V525-U525</f>
        <v>3.0030000000000001</v>
      </c>
      <c r="X525" s="279">
        <f>U518-U525</f>
        <v>0</v>
      </c>
      <c r="Z525" s="297"/>
    </row>
    <row r="526" spans="1:28" s="185" customFormat="1" ht="18" customHeight="1">
      <c r="A526" s="614"/>
      <c r="B526" s="581"/>
      <c r="C526" s="581"/>
      <c r="D526" s="187" t="str">
        <f>серпень!D449</f>
        <v>тариф, грн.</v>
      </c>
      <c r="E526" s="188" t="e">
        <f>E527/E525*1000</f>
        <v>#DIV/0!</v>
      </c>
      <c r="F526" s="188" t="e">
        <f t="shared" ref="F526:S526" si="586">F527/F525*1000</f>
        <v>#DIV/0!</v>
      </c>
      <c r="G526" s="188">
        <f t="shared" si="586"/>
        <v>185.09100000000001</v>
      </c>
      <c r="H526" s="188">
        <f t="shared" si="586"/>
        <v>188.05199999999999</v>
      </c>
      <c r="I526" s="188">
        <f t="shared" si="586"/>
        <v>185.45500000000001</v>
      </c>
      <c r="J526" s="188">
        <f t="shared" si="586"/>
        <v>188.62100000000001</v>
      </c>
      <c r="K526" s="188">
        <f t="shared" si="586"/>
        <v>185.90899999999999</v>
      </c>
      <c r="L526" s="188">
        <f t="shared" si="586"/>
        <v>186.571</v>
      </c>
      <c r="M526" s="188">
        <f t="shared" si="586"/>
        <v>186.56700000000001</v>
      </c>
      <c r="N526" s="188">
        <f t="shared" si="586"/>
        <v>170.625</v>
      </c>
      <c r="O526" s="188">
        <f t="shared" si="586"/>
        <v>183.92500000000001</v>
      </c>
      <c r="P526" s="188">
        <f t="shared" si="586"/>
        <v>193.79499999999999</v>
      </c>
      <c r="Q526" s="188">
        <f t="shared" si="586"/>
        <v>203.24700000000001</v>
      </c>
      <c r="R526" s="188">
        <f t="shared" si="586"/>
        <v>198.82400000000001</v>
      </c>
      <c r="S526" s="188">
        <f t="shared" si="586"/>
        <v>198.61099999999999</v>
      </c>
      <c r="T526" s="188">
        <f>T527/T525*1000</f>
        <v>193.48099999999999</v>
      </c>
      <c r="U526" s="188">
        <f>U527/U525*1000</f>
        <v>190.12899999999999</v>
      </c>
      <c r="V526" s="188">
        <f>V527/V525*1000</f>
        <v>197.22200000000001</v>
      </c>
      <c r="W526" s="188">
        <f>W527/W525*1000</f>
        <v>408.59100000000001</v>
      </c>
      <c r="X526" s="225"/>
      <c r="Z526" s="297"/>
    </row>
    <row r="527" spans="1:28" s="176" customFormat="1" ht="18" customHeight="1">
      <c r="A527" s="614"/>
      <c r="B527" s="581"/>
      <c r="C527" s="581"/>
      <c r="D527" s="198" t="str">
        <f>серпень!D450</f>
        <v>касові видатки, тис.грн.</v>
      </c>
      <c r="E527" s="221">
        <f t="shared" ref="E527:K527" si="587">E544+E713</f>
        <v>0</v>
      </c>
      <c r="F527" s="199">
        <f t="shared" si="587"/>
        <v>0</v>
      </c>
      <c r="G527" s="199">
        <f t="shared" si="587"/>
        <v>2.036</v>
      </c>
      <c r="H527" s="199">
        <f t="shared" si="587"/>
        <v>1.448</v>
      </c>
      <c r="I527" s="199">
        <f t="shared" si="587"/>
        <v>1.6319999999999999</v>
      </c>
      <c r="J527" s="199">
        <f t="shared" si="587"/>
        <v>1.7569999999999999</v>
      </c>
      <c r="K527" s="199">
        <f t="shared" si="587"/>
        <v>1.2270000000000001</v>
      </c>
      <c r="L527" s="199">
        <f>SUM(F527:K527)</f>
        <v>8.1</v>
      </c>
      <c r="M527" s="199">
        <f>L527/6</f>
        <v>1.35</v>
      </c>
      <c r="N527" s="199">
        <f t="shared" ref="N527:S529" si="588">N544+N713</f>
        <v>0.27300000000000002</v>
      </c>
      <c r="O527" s="199">
        <f t="shared" si="588"/>
        <v>1.865</v>
      </c>
      <c r="P527" s="199">
        <f t="shared" si="588"/>
        <v>3.198</v>
      </c>
      <c r="Q527" s="199">
        <f t="shared" si="588"/>
        <v>1.5649999999999999</v>
      </c>
      <c r="R527" s="199">
        <f t="shared" si="588"/>
        <v>1.014</v>
      </c>
      <c r="S527" s="199">
        <f t="shared" si="588"/>
        <v>1.0009999999999999</v>
      </c>
      <c r="T527" s="199">
        <f>SUM(N527:S527)</f>
        <v>8.9160000000000004</v>
      </c>
      <c r="U527" s="199">
        <f>T527+L527</f>
        <v>17.015999999999998</v>
      </c>
      <c r="V527" s="199">
        <f>V544+V713</f>
        <v>18.242999999999999</v>
      </c>
      <c r="W527" s="221">
        <f>V527-U527</f>
        <v>1.2270000000000001</v>
      </c>
      <c r="X527" s="176">
        <f>U522-U527</f>
        <v>0</v>
      </c>
      <c r="Z527" s="300"/>
    </row>
    <row r="528" spans="1:28" s="176" customFormat="1" ht="18" customHeight="1">
      <c r="A528" s="614"/>
      <c r="B528" s="581"/>
      <c r="C528" s="581"/>
      <c r="D528" s="201" t="str">
        <f>серпень!D451</f>
        <v>дотація</v>
      </c>
      <c r="E528" s="220"/>
      <c r="F528" s="199">
        <f t="shared" ref="F528:K529" si="589">F545+F714</f>
        <v>0</v>
      </c>
      <c r="G528" s="199">
        <f t="shared" si="589"/>
        <v>0</v>
      </c>
      <c r="H528" s="199">
        <f t="shared" si="589"/>
        <v>0</v>
      </c>
      <c r="I528" s="199">
        <f t="shared" si="589"/>
        <v>0</v>
      </c>
      <c r="J528" s="199">
        <f t="shared" si="589"/>
        <v>0</v>
      </c>
      <c r="K528" s="199">
        <f t="shared" si="589"/>
        <v>0</v>
      </c>
      <c r="L528" s="199">
        <f>SUM(F528:K528)</f>
        <v>0</v>
      </c>
      <c r="M528" s="199">
        <f>L528/6</f>
        <v>0</v>
      </c>
      <c r="N528" s="199">
        <f t="shared" si="588"/>
        <v>0</v>
      </c>
      <c r="O528" s="199">
        <f t="shared" si="588"/>
        <v>0</v>
      </c>
      <c r="P528" s="199">
        <f t="shared" si="588"/>
        <v>0</v>
      </c>
      <c r="Q528" s="199">
        <f t="shared" si="588"/>
        <v>0</v>
      </c>
      <c r="R528" s="199">
        <f t="shared" si="588"/>
        <v>0</v>
      </c>
      <c r="S528" s="199">
        <f t="shared" si="588"/>
        <v>0</v>
      </c>
      <c r="T528" s="199">
        <f>SUM(N528:S528)</f>
        <v>0</v>
      </c>
      <c r="U528" s="199">
        <f>T528+L528</f>
        <v>0</v>
      </c>
      <c r="V528" s="199">
        <f>V545+V714</f>
        <v>0</v>
      </c>
      <c r="W528" s="221">
        <f>V528-U528</f>
        <v>0</v>
      </c>
      <c r="X528" s="176">
        <f>U523-U528</f>
        <v>0</v>
      </c>
      <c r="Z528" s="300"/>
    </row>
    <row r="529" spans="1:26" s="176" customFormat="1" ht="18" customHeight="1">
      <c r="A529" s="614"/>
      <c r="B529" s="581"/>
      <c r="C529" s="581"/>
      <c r="D529" s="201" t="str">
        <f>серпень!D452</f>
        <v xml:space="preserve">місцевий </v>
      </c>
      <c r="E529" s="220"/>
      <c r="F529" s="199">
        <f t="shared" si="589"/>
        <v>0</v>
      </c>
      <c r="G529" s="199">
        <f t="shared" si="589"/>
        <v>2.036</v>
      </c>
      <c r="H529" s="199">
        <f t="shared" si="589"/>
        <v>1.448</v>
      </c>
      <c r="I529" s="199">
        <f t="shared" si="589"/>
        <v>1.6319999999999999</v>
      </c>
      <c r="J529" s="199">
        <f t="shared" si="589"/>
        <v>1.7569999999999999</v>
      </c>
      <c r="K529" s="199">
        <f t="shared" si="589"/>
        <v>1.2270000000000001</v>
      </c>
      <c r="L529" s="199">
        <f>SUM(F529:K529)</f>
        <v>8.1</v>
      </c>
      <c r="M529" s="199">
        <f>L529/6</f>
        <v>1.35</v>
      </c>
      <c r="N529" s="199">
        <f t="shared" si="588"/>
        <v>0.27300000000000002</v>
      </c>
      <c r="O529" s="199">
        <f t="shared" si="588"/>
        <v>1.865</v>
      </c>
      <c r="P529" s="199">
        <f t="shared" si="588"/>
        <v>3.198</v>
      </c>
      <c r="Q529" s="199">
        <f t="shared" si="588"/>
        <v>1.5649999999999999</v>
      </c>
      <c r="R529" s="199">
        <f t="shared" si="588"/>
        <v>1.014</v>
      </c>
      <c r="S529" s="199">
        <f t="shared" si="588"/>
        <v>1.0009999999999999</v>
      </c>
      <c r="T529" s="199">
        <f>SUM(N529:S529)</f>
        <v>8.9160000000000004</v>
      </c>
      <c r="U529" s="199">
        <f>T529+L529</f>
        <v>17.015999999999998</v>
      </c>
      <c r="V529" s="199">
        <f>V546+V715</f>
        <v>18.242999999999999</v>
      </c>
      <c r="W529" s="221">
        <f>V529-U529</f>
        <v>1.2270000000000001</v>
      </c>
      <c r="X529" s="176">
        <f>U524-U529</f>
        <v>1.2270000000000001</v>
      </c>
      <c r="Z529" s="300"/>
    </row>
    <row r="530" spans="1:26" s="205" customFormat="1" ht="18" customHeight="1">
      <c r="A530" s="614"/>
      <c r="B530" s="581"/>
      <c r="C530" s="581"/>
      <c r="D530" s="202" t="str">
        <f>серпень!D453</f>
        <v>план</v>
      </c>
      <c r="E530" s="203"/>
      <c r="F530" s="203">
        <f t="shared" ref="F530:K530" si="590">F524</f>
        <v>1.726</v>
      </c>
      <c r="G530" s="203">
        <f t="shared" si="590"/>
        <v>0.32100000000000001</v>
      </c>
      <c r="H530" s="203">
        <f t="shared" si="590"/>
        <v>1.57</v>
      </c>
      <c r="I530" s="203">
        <f t="shared" si="590"/>
        <v>1.524</v>
      </c>
      <c r="J530" s="203">
        <f t="shared" si="590"/>
        <v>1.734</v>
      </c>
      <c r="K530" s="203">
        <f t="shared" si="590"/>
        <v>1.7509999999999999</v>
      </c>
      <c r="L530" s="203">
        <f>SUM(F530:K530)</f>
        <v>8.6259999999999994</v>
      </c>
      <c r="M530" s="203">
        <f>L530/6</f>
        <v>1.4379999999999999</v>
      </c>
      <c r="N530" s="203">
        <f t="shared" ref="N530:S530" si="591">N524</f>
        <v>4.7E-2</v>
      </c>
      <c r="O530" s="203">
        <f t="shared" si="591"/>
        <v>1.5649999999999999</v>
      </c>
      <c r="P530" s="203">
        <f t="shared" si="591"/>
        <v>3.2509999999999999</v>
      </c>
      <c r="Q530" s="203">
        <f t="shared" si="591"/>
        <v>1.5649999999999999</v>
      </c>
      <c r="R530" s="203">
        <f t="shared" si="591"/>
        <v>1.014</v>
      </c>
      <c r="S530" s="203">
        <f t="shared" si="591"/>
        <v>2.1749999999999998</v>
      </c>
      <c r="T530" s="203">
        <f>SUM(N530:S530)</f>
        <v>9.6170000000000009</v>
      </c>
      <c r="U530" s="203">
        <f>T530+L530</f>
        <v>18.242999999999999</v>
      </c>
      <c r="V530" s="203">
        <f>V524</f>
        <v>18.242999999999999</v>
      </c>
      <c r="W530" s="203">
        <f>V530-U530</f>
        <v>0</v>
      </c>
      <c r="Z530" s="301"/>
    </row>
    <row r="531" spans="1:26" s="205" customFormat="1" ht="18" customHeight="1">
      <c r="A531" s="614"/>
      <c r="B531" s="581"/>
      <c r="C531" s="581"/>
      <c r="D531" s="202" t="str">
        <f>серпень!D454</f>
        <v xml:space="preserve">відхилення </v>
      </c>
      <c r="E531" s="203"/>
      <c r="F531" s="203">
        <f t="shared" ref="F531:K531" si="592">F527-F530</f>
        <v>-1.726</v>
      </c>
      <c r="G531" s="203">
        <f t="shared" si="592"/>
        <v>1.7150000000000001</v>
      </c>
      <c r="H531" s="203">
        <f t="shared" si="592"/>
        <v>-0.122</v>
      </c>
      <c r="I531" s="203">
        <f t="shared" si="592"/>
        <v>0.108</v>
      </c>
      <c r="J531" s="203">
        <f t="shared" si="592"/>
        <v>2.3E-2</v>
      </c>
      <c r="K531" s="203">
        <f t="shared" si="592"/>
        <v>-0.52400000000000002</v>
      </c>
      <c r="L531" s="203"/>
      <c r="M531" s="203"/>
      <c r="N531" s="203">
        <f t="shared" ref="N531:S531" si="593">N527-N530</f>
        <v>0.22600000000000001</v>
      </c>
      <c r="O531" s="203">
        <f t="shared" si="593"/>
        <v>0.3</v>
      </c>
      <c r="P531" s="203">
        <f t="shared" si="593"/>
        <v>-5.2999999999999999E-2</v>
      </c>
      <c r="Q531" s="203">
        <f t="shared" si="593"/>
        <v>0</v>
      </c>
      <c r="R531" s="203">
        <f t="shared" si="593"/>
        <v>0</v>
      </c>
      <c r="S531" s="203">
        <f t="shared" si="593"/>
        <v>-1.1739999999999999</v>
      </c>
      <c r="T531" s="203"/>
      <c r="U531" s="203"/>
      <c r="V531" s="203"/>
      <c r="W531" s="203"/>
      <c r="Z531" s="301"/>
    </row>
    <row r="532" spans="1:26" s="205" customFormat="1" ht="18" customHeight="1">
      <c r="A532" s="614"/>
      <c r="B532" s="581"/>
      <c r="C532" s="581"/>
      <c r="D532" s="202" t="str">
        <f>серпень!D455</f>
        <v>відхилення з наростаючим</v>
      </c>
      <c r="E532" s="203"/>
      <c r="F532" s="203">
        <f>F531</f>
        <v>-1.726</v>
      </c>
      <c r="G532" s="203">
        <f>G531+F532</f>
        <v>-1.0999999999999999E-2</v>
      </c>
      <c r="H532" s="203">
        <f>H531+G532</f>
        <v>-0.13300000000000001</v>
      </c>
      <c r="I532" s="203">
        <f>I531+H532</f>
        <v>-2.5000000000000001E-2</v>
      </c>
      <c r="J532" s="203">
        <f>J531+I532</f>
        <v>-2E-3</v>
      </c>
      <c r="K532" s="203">
        <f>K531+J532</f>
        <v>-0.52600000000000002</v>
      </c>
      <c r="L532" s="203"/>
      <c r="M532" s="203"/>
      <c r="N532" s="203">
        <f>N531+K532</f>
        <v>-0.3</v>
      </c>
      <c r="O532" s="203">
        <f>O531+N532</f>
        <v>0</v>
      </c>
      <c r="P532" s="203">
        <f>P531+O532</f>
        <v>-5.2999999999999999E-2</v>
      </c>
      <c r="Q532" s="203">
        <f>Q531+P532</f>
        <v>-5.2999999999999999E-2</v>
      </c>
      <c r="R532" s="203">
        <f>R531+Q532</f>
        <v>-5.2999999999999999E-2</v>
      </c>
      <c r="S532" s="203">
        <f>S531+R532</f>
        <v>-1.2270000000000001</v>
      </c>
      <c r="T532" s="203"/>
      <c r="U532" s="203"/>
      <c r="V532" s="203"/>
      <c r="W532" s="203"/>
      <c r="Z532" s="301"/>
    </row>
    <row r="533" spans="1:26" s="185" customFormat="1" ht="18" customHeight="1">
      <c r="A533" s="614"/>
      <c r="B533" s="576" t="s">
        <v>90</v>
      </c>
      <c r="C533" s="577"/>
      <c r="D533" s="178" t="str">
        <f>серпень!D456</f>
        <v>факт. нат.п-ки 2023</v>
      </c>
      <c r="E533" s="179"/>
      <c r="F533" s="180">
        <f t="shared" ref="F533:K535" si="594">F550+F627</f>
        <v>7.9</v>
      </c>
      <c r="G533" s="180">
        <f t="shared" si="594"/>
        <v>7.8</v>
      </c>
      <c r="H533" s="180">
        <f t="shared" si="594"/>
        <v>7.4</v>
      </c>
      <c r="I533" s="180">
        <f t="shared" si="594"/>
        <v>8.5</v>
      </c>
      <c r="J533" s="180">
        <f t="shared" si="594"/>
        <v>11</v>
      </c>
      <c r="K533" s="180">
        <f t="shared" si="594"/>
        <v>7.7</v>
      </c>
      <c r="L533" s="181">
        <f>SUM(F533:K533)</f>
        <v>50.3</v>
      </c>
      <c r="M533" s="181">
        <f>L533/6</f>
        <v>8.4</v>
      </c>
      <c r="N533" s="180">
        <f t="shared" ref="N533:S535" si="595">N550+N627</f>
        <v>5.2</v>
      </c>
      <c r="O533" s="180">
        <f t="shared" si="595"/>
        <v>7</v>
      </c>
      <c r="P533" s="180">
        <f t="shared" si="595"/>
        <v>8.6999999999999993</v>
      </c>
      <c r="Q533" s="180">
        <f t="shared" si="595"/>
        <v>7.7</v>
      </c>
      <c r="R533" s="180">
        <f t="shared" si="595"/>
        <v>8.1</v>
      </c>
      <c r="S533" s="180">
        <f t="shared" si="595"/>
        <v>7.8</v>
      </c>
      <c r="T533" s="181">
        <f>SUM(N533:S533)</f>
        <v>44.5</v>
      </c>
      <c r="U533" s="181">
        <f>T533+L533</f>
        <v>94.8</v>
      </c>
      <c r="V533" s="233">
        <f>V550+V627</f>
        <v>94.7</v>
      </c>
      <c r="W533" s="184"/>
      <c r="Z533" s="297"/>
    </row>
    <row r="534" spans="1:26" s="185" customFormat="1" ht="18" customHeight="1">
      <c r="A534" s="614"/>
      <c r="B534" s="576"/>
      <c r="C534" s="577"/>
      <c r="D534" s="178" t="str">
        <f>серпень!D457</f>
        <v>факт. нат.п-ки 2024</v>
      </c>
      <c r="E534" s="179"/>
      <c r="F534" s="180">
        <f t="shared" si="594"/>
        <v>9</v>
      </c>
      <c r="G534" s="180">
        <f t="shared" si="594"/>
        <v>8.6999999999999993</v>
      </c>
      <c r="H534" s="180">
        <f t="shared" si="594"/>
        <v>8</v>
      </c>
      <c r="I534" s="180">
        <f t="shared" si="594"/>
        <v>8.8000000000000007</v>
      </c>
      <c r="J534" s="180">
        <f t="shared" si="594"/>
        <v>11</v>
      </c>
      <c r="K534" s="180">
        <f t="shared" si="594"/>
        <v>8.8000000000000007</v>
      </c>
      <c r="L534" s="181">
        <f>SUM(F534:K534)</f>
        <v>54.3</v>
      </c>
      <c r="M534" s="181">
        <f>L534/6</f>
        <v>9.1</v>
      </c>
      <c r="N534" s="180">
        <f t="shared" si="595"/>
        <v>5.7</v>
      </c>
      <c r="O534" s="180">
        <f t="shared" si="595"/>
        <v>7.7</v>
      </c>
      <c r="P534" s="180">
        <f t="shared" si="595"/>
        <v>8.8000000000000007</v>
      </c>
      <c r="Q534" s="180">
        <f t="shared" si="595"/>
        <v>6.1</v>
      </c>
      <c r="R534" s="180">
        <f t="shared" si="595"/>
        <v>4.0999999999999996</v>
      </c>
      <c r="S534" s="180">
        <f t="shared" si="595"/>
        <v>5</v>
      </c>
      <c r="T534" s="181">
        <f>SUM(N534:S534)</f>
        <v>37.4</v>
      </c>
      <c r="U534" s="181">
        <f>T534+L534</f>
        <v>91.7</v>
      </c>
      <c r="V534" s="233">
        <f>V551+V628</f>
        <v>91.6</v>
      </c>
      <c r="W534" s="184"/>
      <c r="Z534" s="297"/>
    </row>
    <row r="535" spans="1:26" s="185" customFormat="1" ht="18" customHeight="1">
      <c r="A535" s="614"/>
      <c r="B535" s="576"/>
      <c r="C535" s="577"/>
      <c r="D535" s="178" t="str">
        <f>серпень!D458</f>
        <v>факт. нат.п-ки 2025</v>
      </c>
      <c r="E535" s="179"/>
      <c r="F535" s="264">
        <f t="shared" si="594"/>
        <v>11</v>
      </c>
      <c r="G535" s="264">
        <f t="shared" si="594"/>
        <v>7.7</v>
      </c>
      <c r="H535" s="264">
        <f t="shared" si="594"/>
        <v>8.8000000000000007</v>
      </c>
      <c r="I535" s="264">
        <f t="shared" si="594"/>
        <v>9.3149999999999995</v>
      </c>
      <c r="J535" s="264">
        <f t="shared" si="594"/>
        <v>6.6</v>
      </c>
      <c r="K535" s="264">
        <f t="shared" si="594"/>
        <v>1.6120000000000001</v>
      </c>
      <c r="L535" s="181">
        <f>SUM(F535:K535)</f>
        <v>45</v>
      </c>
      <c r="M535" s="181">
        <f>L535/6</f>
        <v>7.5</v>
      </c>
      <c r="N535" s="264">
        <f t="shared" si="595"/>
        <v>10.141999999999999</v>
      </c>
      <c r="O535" s="264">
        <f t="shared" si="595"/>
        <v>7.7</v>
      </c>
      <c r="P535" s="264">
        <f t="shared" si="595"/>
        <v>8.8000000000000007</v>
      </c>
      <c r="Q535" s="264">
        <f t="shared" si="595"/>
        <v>7.7</v>
      </c>
      <c r="R535" s="264">
        <f t="shared" si="595"/>
        <v>5.0999999999999996</v>
      </c>
      <c r="S535" s="264">
        <f t="shared" si="595"/>
        <v>5.04</v>
      </c>
      <c r="T535" s="181">
        <f>SUM(N535:S535)</f>
        <v>44.5</v>
      </c>
      <c r="U535" s="181">
        <f>T535+L535</f>
        <v>89.5</v>
      </c>
      <c r="V535" s="233">
        <f>V552+V629</f>
        <v>92.5</v>
      </c>
      <c r="W535" s="184">
        <f>V535-U535</f>
        <v>3</v>
      </c>
      <c r="Z535" s="297"/>
    </row>
    <row r="536" spans="1:26" s="185" customFormat="1" ht="18" customHeight="1">
      <c r="A536" s="614"/>
      <c r="B536" s="576"/>
      <c r="C536" s="577"/>
      <c r="D536" s="187" t="str">
        <f>серпень!D459</f>
        <v>тариф, грн.</v>
      </c>
      <c r="E536" s="188"/>
      <c r="F536" s="188">
        <f t="shared" ref="F536:S536" si="596">F537/F535*1000</f>
        <v>185.18199999999999</v>
      </c>
      <c r="G536" s="188">
        <f t="shared" si="596"/>
        <v>187.40299999999999</v>
      </c>
      <c r="H536" s="188">
        <f t="shared" si="596"/>
        <v>185</v>
      </c>
      <c r="I536" s="188">
        <f t="shared" si="596"/>
        <v>188.191</v>
      </c>
      <c r="J536" s="188">
        <f t="shared" si="596"/>
        <v>185.303</v>
      </c>
      <c r="K536" s="188">
        <f t="shared" si="596"/>
        <v>168.114</v>
      </c>
      <c r="L536" s="188">
        <f t="shared" si="596"/>
        <v>185.667</v>
      </c>
      <c r="M536" s="188">
        <f t="shared" si="596"/>
        <v>185.733</v>
      </c>
      <c r="N536" s="188">
        <f t="shared" si="596"/>
        <v>183.494</v>
      </c>
      <c r="O536" s="188">
        <f t="shared" si="596"/>
        <v>187.40299999999999</v>
      </c>
      <c r="P536" s="188">
        <f t="shared" si="596"/>
        <v>198.523</v>
      </c>
      <c r="Q536" s="188">
        <f t="shared" si="596"/>
        <v>202.727</v>
      </c>
      <c r="R536" s="188">
        <f t="shared" si="596"/>
        <v>198.03899999999999</v>
      </c>
      <c r="S536" s="188">
        <f t="shared" si="596"/>
        <v>196.23</v>
      </c>
      <c r="T536" s="188">
        <f>T537/T535*1000</f>
        <v>193.506</v>
      </c>
      <c r="U536" s="188">
        <f>U537/U535*1000</f>
        <v>189.56399999999999</v>
      </c>
      <c r="V536" s="188">
        <f>V537/V535*1000</f>
        <v>196.67</v>
      </c>
      <c r="W536" s="188">
        <f>W537/W535*1000</f>
        <v>408.66699999999997</v>
      </c>
      <c r="Z536" s="297"/>
    </row>
    <row r="537" spans="1:26" s="244" customFormat="1" ht="18" customHeight="1">
      <c r="A537" s="614"/>
      <c r="B537" s="576"/>
      <c r="C537" s="577"/>
      <c r="D537" s="191" t="str">
        <f>серпень!D460</f>
        <v>сума, тис.грн.</v>
      </c>
      <c r="E537" s="192"/>
      <c r="F537" s="192">
        <f>F554+F631</f>
        <v>2.0369999999999999</v>
      </c>
      <c r="G537" s="192">
        <f t="shared" ref="G537:K537" si="597">G554+G631</f>
        <v>1.4430000000000001</v>
      </c>
      <c r="H537" s="192">
        <f t="shared" si="597"/>
        <v>1.6279999999999999</v>
      </c>
      <c r="I537" s="192">
        <f t="shared" si="597"/>
        <v>1.7529999999999999</v>
      </c>
      <c r="J537" s="192">
        <f t="shared" si="597"/>
        <v>1.2230000000000001</v>
      </c>
      <c r="K537" s="192">
        <f t="shared" si="597"/>
        <v>0.27100000000000002</v>
      </c>
      <c r="L537" s="194">
        <f>SUM(F537:K537)</f>
        <v>8.3550000000000004</v>
      </c>
      <c r="M537" s="194">
        <f>L537/6</f>
        <v>1.393</v>
      </c>
      <c r="N537" s="192">
        <f>N554+N631</f>
        <v>1.861</v>
      </c>
      <c r="O537" s="192">
        <f t="shared" ref="O537:S537" si="598">O554+O631</f>
        <v>1.4430000000000001</v>
      </c>
      <c r="P537" s="192">
        <f t="shared" si="598"/>
        <v>1.7470000000000001</v>
      </c>
      <c r="Q537" s="192">
        <f t="shared" si="598"/>
        <v>1.5609999999999999</v>
      </c>
      <c r="R537" s="192">
        <f t="shared" si="598"/>
        <v>1.01</v>
      </c>
      <c r="S537" s="192">
        <f t="shared" si="598"/>
        <v>0.98899999999999999</v>
      </c>
      <c r="T537" s="194">
        <f>SUM(N537:S537)</f>
        <v>8.6110000000000007</v>
      </c>
      <c r="U537" s="194">
        <f>T537+L537</f>
        <v>16.966000000000001</v>
      </c>
      <c r="V537" s="192">
        <f t="shared" ref="V537" si="599">V554+V631</f>
        <v>18.192</v>
      </c>
      <c r="W537" s="192">
        <f>V537-U537</f>
        <v>1.226</v>
      </c>
      <c r="Z537" s="308"/>
    </row>
    <row r="538" spans="1:26" s="244" customFormat="1" ht="18" customHeight="1">
      <c r="A538" s="614"/>
      <c r="B538" s="576"/>
      <c r="C538" s="577"/>
      <c r="D538" s="174" t="str">
        <f>серпень!D461</f>
        <v>абоненська плата, тис.грн.</v>
      </c>
      <c r="E538" s="192"/>
      <c r="F538" s="192">
        <f>F555+F632</f>
        <v>4.0000000000000001E-3</v>
      </c>
      <c r="G538" s="192">
        <f t="shared" ref="G538:K538" si="600">G555+G632</f>
        <v>4.0000000000000001E-3</v>
      </c>
      <c r="H538" s="192">
        <f t="shared" si="600"/>
        <v>4.0000000000000001E-3</v>
      </c>
      <c r="I538" s="192">
        <f t="shared" si="600"/>
        <v>4.0000000000000001E-3</v>
      </c>
      <c r="J538" s="192">
        <f t="shared" si="600"/>
        <v>4.0000000000000001E-3</v>
      </c>
      <c r="K538" s="192">
        <f t="shared" si="600"/>
        <v>4.0000000000000001E-3</v>
      </c>
      <c r="L538" s="194">
        <f t="shared" ref="L538:L541" si="601">SUM(F538:K538)</f>
        <v>2.4E-2</v>
      </c>
      <c r="M538" s="194">
        <f t="shared" ref="M538:M541" si="602">L538/6</f>
        <v>4.0000000000000001E-3</v>
      </c>
      <c r="N538" s="192">
        <f>N555+N632</f>
        <v>4.0000000000000001E-3</v>
      </c>
      <c r="O538" s="192">
        <f t="shared" ref="O538:S538" si="603">O555+O632</f>
        <v>4.0000000000000001E-3</v>
      </c>
      <c r="P538" s="192">
        <f t="shared" si="603"/>
        <v>4.0000000000000001E-3</v>
      </c>
      <c r="Q538" s="192">
        <f t="shared" si="603"/>
        <v>4.0000000000000001E-3</v>
      </c>
      <c r="R538" s="192">
        <f t="shared" si="603"/>
        <v>4.0000000000000001E-3</v>
      </c>
      <c r="S538" s="192">
        <f t="shared" si="603"/>
        <v>6.0000000000000001E-3</v>
      </c>
      <c r="T538" s="194">
        <f t="shared" ref="T538:T541" si="604">SUM(N538:S538)</f>
        <v>2.5999999999999999E-2</v>
      </c>
      <c r="U538" s="194">
        <f t="shared" ref="U538:U541" si="605">T538+L538</f>
        <v>0.05</v>
      </c>
      <c r="V538" s="192">
        <f t="shared" ref="V538" si="606">V555+V632</f>
        <v>5.0999999999999997E-2</v>
      </c>
      <c r="W538" s="192">
        <f t="shared" ref="W538:W539" si="607">V538-U538</f>
        <v>1E-3</v>
      </c>
      <c r="Z538" s="308"/>
    </row>
    <row r="539" spans="1:26" s="244" customFormat="1" ht="18" customHeight="1">
      <c r="A539" s="614"/>
      <c r="B539" s="576"/>
      <c r="C539" s="577"/>
      <c r="D539" s="174" t="str">
        <f>серпень!D462</f>
        <v>разом сума тис. грн+абонплата</v>
      </c>
      <c r="E539" s="192"/>
      <c r="F539" s="192">
        <f t="shared" ref="F539:K541" si="608">F556+F633</f>
        <v>2.0409999999999999</v>
      </c>
      <c r="G539" s="192">
        <f t="shared" si="608"/>
        <v>1.4470000000000001</v>
      </c>
      <c r="H539" s="192">
        <f t="shared" si="608"/>
        <v>1.6319999999999999</v>
      </c>
      <c r="I539" s="192">
        <f t="shared" si="608"/>
        <v>1.7569999999999999</v>
      </c>
      <c r="J539" s="192">
        <f t="shared" si="608"/>
        <v>1.2270000000000001</v>
      </c>
      <c r="K539" s="192">
        <f t="shared" si="608"/>
        <v>0.27500000000000002</v>
      </c>
      <c r="L539" s="194">
        <f t="shared" si="601"/>
        <v>8.3789999999999996</v>
      </c>
      <c r="M539" s="194">
        <f t="shared" si="602"/>
        <v>1.397</v>
      </c>
      <c r="N539" s="192">
        <f t="shared" ref="N539:S539" si="609">N556+N633</f>
        <v>1.865</v>
      </c>
      <c r="O539" s="192">
        <f t="shared" si="609"/>
        <v>1.4470000000000001</v>
      </c>
      <c r="P539" s="192">
        <f t="shared" si="609"/>
        <v>1.7509999999999999</v>
      </c>
      <c r="Q539" s="192">
        <f t="shared" si="609"/>
        <v>1.5649999999999999</v>
      </c>
      <c r="R539" s="192">
        <f t="shared" si="609"/>
        <v>1.014</v>
      </c>
      <c r="S539" s="192">
        <f t="shared" si="609"/>
        <v>0.995</v>
      </c>
      <c r="T539" s="194">
        <f t="shared" si="604"/>
        <v>8.6370000000000005</v>
      </c>
      <c r="U539" s="194">
        <f t="shared" si="605"/>
        <v>17.015999999999998</v>
      </c>
      <c r="V539" s="69">
        <f t="shared" ref="V539" si="610">V556+V633</f>
        <v>18.242999999999999</v>
      </c>
      <c r="W539" s="192">
        <f t="shared" si="607"/>
        <v>1.2270000000000001</v>
      </c>
      <c r="Z539" s="308"/>
    </row>
    <row r="540" spans="1:26" s="244" customFormat="1" ht="18" customHeight="1">
      <c r="A540" s="614"/>
      <c r="B540" s="576"/>
      <c r="C540" s="577"/>
      <c r="D540" s="174" t="str">
        <f>серпень!D463</f>
        <v>дотація</v>
      </c>
      <c r="E540" s="210"/>
      <c r="F540" s="192">
        <f t="shared" si="608"/>
        <v>0</v>
      </c>
      <c r="G540" s="192">
        <f t="shared" si="608"/>
        <v>0</v>
      </c>
      <c r="H540" s="192">
        <f t="shared" si="608"/>
        <v>0</v>
      </c>
      <c r="I540" s="192">
        <f t="shared" si="608"/>
        <v>0</v>
      </c>
      <c r="J540" s="192">
        <f t="shared" si="608"/>
        <v>0</v>
      </c>
      <c r="K540" s="192">
        <f t="shared" si="608"/>
        <v>0</v>
      </c>
      <c r="L540" s="194">
        <f t="shared" si="601"/>
        <v>0</v>
      </c>
      <c r="M540" s="194">
        <f t="shared" si="602"/>
        <v>0</v>
      </c>
      <c r="N540" s="192">
        <f t="shared" ref="N540:S540" si="611">N557+N634</f>
        <v>0</v>
      </c>
      <c r="O540" s="192">
        <f t="shared" si="611"/>
        <v>0</v>
      </c>
      <c r="P540" s="192">
        <f t="shared" si="611"/>
        <v>0</v>
      </c>
      <c r="Q540" s="192">
        <f t="shared" si="611"/>
        <v>0</v>
      </c>
      <c r="R540" s="192">
        <f t="shared" si="611"/>
        <v>0</v>
      </c>
      <c r="S540" s="192">
        <f t="shared" si="611"/>
        <v>0</v>
      </c>
      <c r="T540" s="194">
        <f t="shared" si="604"/>
        <v>0</v>
      </c>
      <c r="U540" s="194">
        <f t="shared" si="605"/>
        <v>0</v>
      </c>
      <c r="V540" s="192">
        <f t="shared" ref="V540" si="612">V557+V634</f>
        <v>0</v>
      </c>
      <c r="W540" s="192">
        <f>V540-U540</f>
        <v>0</v>
      </c>
      <c r="X540" s="248"/>
      <c r="Z540" s="308"/>
    </row>
    <row r="541" spans="1:26" s="244" customFormat="1" ht="18" customHeight="1">
      <c r="A541" s="614"/>
      <c r="B541" s="576"/>
      <c r="C541" s="577"/>
      <c r="D541" s="174" t="str">
        <f>серпень!D464</f>
        <v>місцевий (план), тис.грн</v>
      </c>
      <c r="E541" s="210"/>
      <c r="F541" s="192">
        <f t="shared" si="608"/>
        <v>1.726</v>
      </c>
      <c r="G541" s="192">
        <f t="shared" si="608"/>
        <v>0.32100000000000001</v>
      </c>
      <c r="H541" s="192">
        <f t="shared" si="608"/>
        <v>1.57</v>
      </c>
      <c r="I541" s="192">
        <f t="shared" si="608"/>
        <v>1.524</v>
      </c>
      <c r="J541" s="192">
        <f t="shared" si="608"/>
        <v>1.734</v>
      </c>
      <c r="K541" s="192">
        <f t="shared" si="608"/>
        <v>1.7509999999999999</v>
      </c>
      <c r="L541" s="194">
        <f t="shared" si="601"/>
        <v>8.6259999999999994</v>
      </c>
      <c r="M541" s="194">
        <f t="shared" si="602"/>
        <v>1.4379999999999999</v>
      </c>
      <c r="N541" s="192">
        <f t="shared" ref="N541:S541" si="613">N558+N635</f>
        <v>4.7E-2</v>
      </c>
      <c r="O541" s="192">
        <f t="shared" si="613"/>
        <v>1.5649999999999999</v>
      </c>
      <c r="P541" s="192">
        <f t="shared" si="613"/>
        <v>3.2509999999999999</v>
      </c>
      <c r="Q541" s="192">
        <f t="shared" si="613"/>
        <v>1.5649999999999999</v>
      </c>
      <c r="R541" s="192">
        <f t="shared" si="613"/>
        <v>1.014</v>
      </c>
      <c r="S541" s="192">
        <f t="shared" si="613"/>
        <v>2.1749999999999998</v>
      </c>
      <c r="T541" s="194">
        <f t="shared" si="604"/>
        <v>9.6170000000000009</v>
      </c>
      <c r="U541" s="194">
        <f t="shared" si="605"/>
        <v>18.242999999999999</v>
      </c>
      <c r="V541" s="69">
        <f t="shared" ref="V541" si="614">V558+V635</f>
        <v>18.242999999999999</v>
      </c>
      <c r="W541" s="192">
        <f>V541-U541</f>
        <v>0</v>
      </c>
      <c r="Z541" s="308"/>
    </row>
    <row r="542" spans="1:26" s="185" customFormat="1" ht="18" customHeight="1">
      <c r="A542" s="614"/>
      <c r="B542" s="576"/>
      <c r="C542" s="577"/>
      <c r="D542" s="178" t="str">
        <f>серпень!D465</f>
        <v>касові нат.п-ки 2025</v>
      </c>
      <c r="E542" s="180">
        <f>E559+E636</f>
        <v>0</v>
      </c>
      <c r="F542" s="264">
        <f>F559+F636</f>
        <v>0</v>
      </c>
      <c r="G542" s="264">
        <f t="shared" ref="G542:K542" si="615">G559+G636</f>
        <v>11</v>
      </c>
      <c r="H542" s="264">
        <f t="shared" si="615"/>
        <v>7.7</v>
      </c>
      <c r="I542" s="264">
        <f t="shared" si="615"/>
        <v>8.8000000000000007</v>
      </c>
      <c r="J542" s="264">
        <f t="shared" si="615"/>
        <v>9.3149999999999995</v>
      </c>
      <c r="K542" s="264">
        <f t="shared" si="615"/>
        <v>6.6</v>
      </c>
      <c r="L542" s="181">
        <f>SUM(F542:K542)</f>
        <v>43.4</v>
      </c>
      <c r="M542" s="181">
        <f>L542/6</f>
        <v>7.2</v>
      </c>
      <c r="N542" s="264">
        <f>N559+N636</f>
        <v>1.6</v>
      </c>
      <c r="O542" s="264">
        <f t="shared" ref="O542:S542" si="616">O559+O636</f>
        <v>10.14</v>
      </c>
      <c r="P542" s="264">
        <f t="shared" si="616"/>
        <v>16.501999999999999</v>
      </c>
      <c r="Q542" s="264">
        <f t="shared" si="616"/>
        <v>7.7</v>
      </c>
      <c r="R542" s="264">
        <f t="shared" si="616"/>
        <v>5.0999999999999996</v>
      </c>
      <c r="S542" s="264">
        <f t="shared" si="616"/>
        <v>5.04</v>
      </c>
      <c r="T542" s="181">
        <f>SUM(N542:S542)</f>
        <v>46.1</v>
      </c>
      <c r="U542" s="181">
        <f>T542+L542</f>
        <v>89.5</v>
      </c>
      <c r="V542" s="233">
        <f>V559+V636</f>
        <v>92.5</v>
      </c>
      <c r="W542" s="184">
        <f>V542-U542</f>
        <v>3</v>
      </c>
      <c r="X542" s="185">
        <f>U535-U542</f>
        <v>0</v>
      </c>
      <c r="Z542" s="297"/>
    </row>
    <row r="543" spans="1:26" s="185" customFormat="1" ht="18" customHeight="1">
      <c r="A543" s="614"/>
      <c r="B543" s="576"/>
      <c r="C543" s="577"/>
      <c r="D543" s="187" t="str">
        <f>серпень!D466</f>
        <v>тариф, грн.</v>
      </c>
      <c r="E543" s="188" t="e">
        <f>E544/E542*1000</f>
        <v>#DIV/0!</v>
      </c>
      <c r="F543" s="188" t="e">
        <f t="shared" ref="F543:S543" si="617">F544/F542*1000</f>
        <v>#DIV/0!</v>
      </c>
      <c r="G543" s="188">
        <f t="shared" si="617"/>
        <v>185.09100000000001</v>
      </c>
      <c r="H543" s="188">
        <f t="shared" si="617"/>
        <v>188.05199999999999</v>
      </c>
      <c r="I543" s="188">
        <f t="shared" si="617"/>
        <v>185.45500000000001</v>
      </c>
      <c r="J543" s="188">
        <f t="shared" si="617"/>
        <v>188.62100000000001</v>
      </c>
      <c r="K543" s="188">
        <f t="shared" si="617"/>
        <v>185.90899999999999</v>
      </c>
      <c r="L543" s="188">
        <f t="shared" si="617"/>
        <v>186.636</v>
      </c>
      <c r="M543" s="188">
        <f t="shared" si="617"/>
        <v>187.5</v>
      </c>
      <c r="N543" s="188">
        <f t="shared" si="617"/>
        <v>170.625</v>
      </c>
      <c r="O543" s="188">
        <f t="shared" si="617"/>
        <v>183.92500000000001</v>
      </c>
      <c r="P543" s="188">
        <f t="shared" si="617"/>
        <v>193.79499999999999</v>
      </c>
      <c r="Q543" s="188">
        <f t="shared" si="617"/>
        <v>203.24700000000001</v>
      </c>
      <c r="R543" s="188">
        <f t="shared" si="617"/>
        <v>198.82400000000001</v>
      </c>
      <c r="S543" s="188">
        <f t="shared" si="617"/>
        <v>198.61099999999999</v>
      </c>
      <c r="T543" s="188">
        <f>T544/T542*1000</f>
        <v>193.40600000000001</v>
      </c>
      <c r="U543" s="188">
        <f>U544/U542*1000</f>
        <v>190.12299999999999</v>
      </c>
      <c r="V543" s="188">
        <f>V544/V542*1000</f>
        <v>197.22200000000001</v>
      </c>
      <c r="W543" s="188">
        <f>W544/W542*1000</f>
        <v>409</v>
      </c>
      <c r="X543" s="225"/>
      <c r="Z543" s="297"/>
    </row>
    <row r="544" spans="1:26" s="176" customFormat="1" ht="18" customHeight="1">
      <c r="A544" s="614"/>
      <c r="B544" s="576"/>
      <c r="C544" s="577"/>
      <c r="D544" s="198" t="str">
        <f>серпень!D467</f>
        <v>касові видатки, тис.грн.</v>
      </c>
      <c r="E544" s="221">
        <f t="shared" ref="E544:K544" si="618">E561+E638</f>
        <v>0</v>
      </c>
      <c r="F544" s="199">
        <f t="shared" si="618"/>
        <v>0</v>
      </c>
      <c r="G544" s="199">
        <f t="shared" si="618"/>
        <v>2.036</v>
      </c>
      <c r="H544" s="199">
        <f t="shared" si="618"/>
        <v>1.448</v>
      </c>
      <c r="I544" s="199">
        <f t="shared" si="618"/>
        <v>1.6319999999999999</v>
      </c>
      <c r="J544" s="199">
        <f t="shared" si="618"/>
        <v>1.7569999999999999</v>
      </c>
      <c r="K544" s="199">
        <f t="shared" si="618"/>
        <v>1.2270000000000001</v>
      </c>
      <c r="L544" s="199">
        <f>SUM(F544:K544)</f>
        <v>8.1</v>
      </c>
      <c r="M544" s="199">
        <f>L544/6</f>
        <v>1.35</v>
      </c>
      <c r="N544" s="199">
        <f t="shared" ref="N544:S546" si="619">N561+N638</f>
        <v>0.27300000000000002</v>
      </c>
      <c r="O544" s="199">
        <f t="shared" si="619"/>
        <v>1.865</v>
      </c>
      <c r="P544" s="199">
        <f t="shared" si="619"/>
        <v>3.198</v>
      </c>
      <c r="Q544" s="199">
        <f t="shared" si="619"/>
        <v>1.5649999999999999</v>
      </c>
      <c r="R544" s="199">
        <f t="shared" si="619"/>
        <v>1.014</v>
      </c>
      <c r="S544" s="199">
        <f t="shared" si="619"/>
        <v>1.0009999999999999</v>
      </c>
      <c r="T544" s="199">
        <f>SUM(N544:S544)</f>
        <v>8.9160000000000004</v>
      </c>
      <c r="U544" s="199">
        <f>T544+L544</f>
        <v>17.015999999999998</v>
      </c>
      <c r="V544" s="199">
        <f>V561+V638</f>
        <v>18.242999999999999</v>
      </c>
      <c r="W544" s="221">
        <f>V544-U544</f>
        <v>1.2270000000000001</v>
      </c>
      <c r="X544" s="176">
        <f>U539-U544</f>
        <v>0</v>
      </c>
      <c r="Z544" s="300"/>
    </row>
    <row r="545" spans="1:28" s="176" customFormat="1" ht="18" customHeight="1">
      <c r="A545" s="614"/>
      <c r="B545" s="576"/>
      <c r="C545" s="577"/>
      <c r="D545" s="201" t="str">
        <f>серпень!D468</f>
        <v>дотація</v>
      </c>
      <c r="E545" s="220"/>
      <c r="F545" s="199">
        <f t="shared" ref="F545:K546" si="620">F562+F639</f>
        <v>0</v>
      </c>
      <c r="G545" s="199">
        <f t="shared" si="620"/>
        <v>0</v>
      </c>
      <c r="H545" s="199">
        <f t="shared" si="620"/>
        <v>0</v>
      </c>
      <c r="I545" s="199">
        <f t="shared" si="620"/>
        <v>0</v>
      </c>
      <c r="J545" s="199">
        <f t="shared" si="620"/>
        <v>0</v>
      </c>
      <c r="K545" s="199">
        <f t="shared" si="620"/>
        <v>0</v>
      </c>
      <c r="L545" s="199">
        <f>SUM(F545:K545)</f>
        <v>0</v>
      </c>
      <c r="M545" s="199">
        <f>L545/6</f>
        <v>0</v>
      </c>
      <c r="N545" s="199">
        <f t="shared" si="619"/>
        <v>0</v>
      </c>
      <c r="O545" s="199">
        <f t="shared" si="619"/>
        <v>0</v>
      </c>
      <c r="P545" s="199">
        <f t="shared" si="619"/>
        <v>0</v>
      </c>
      <c r="Q545" s="199">
        <f t="shared" si="619"/>
        <v>0</v>
      </c>
      <c r="R545" s="199">
        <f t="shared" si="619"/>
        <v>0</v>
      </c>
      <c r="S545" s="199">
        <f t="shared" si="619"/>
        <v>0</v>
      </c>
      <c r="T545" s="199">
        <f>SUM(N545:S545)</f>
        <v>0</v>
      </c>
      <c r="U545" s="199">
        <f>T545+L545</f>
        <v>0</v>
      </c>
      <c r="V545" s="199">
        <f t="shared" ref="V545" si="621">V562+V639</f>
        <v>0</v>
      </c>
      <c r="W545" s="221">
        <f>V545-U545</f>
        <v>0</v>
      </c>
      <c r="X545" s="176">
        <f>U540-U545</f>
        <v>0</v>
      </c>
      <c r="Z545" s="300"/>
    </row>
    <row r="546" spans="1:28" s="176" customFormat="1" ht="18" customHeight="1">
      <c r="A546" s="614"/>
      <c r="B546" s="576"/>
      <c r="C546" s="577"/>
      <c r="D546" s="201" t="str">
        <f>серпень!D469</f>
        <v xml:space="preserve">місцевий </v>
      </c>
      <c r="E546" s="220"/>
      <c r="F546" s="199">
        <f t="shared" si="620"/>
        <v>0</v>
      </c>
      <c r="G546" s="199">
        <f t="shared" si="620"/>
        <v>2.036</v>
      </c>
      <c r="H546" s="199">
        <f t="shared" si="620"/>
        <v>1.448</v>
      </c>
      <c r="I546" s="199">
        <f t="shared" si="620"/>
        <v>1.6319999999999999</v>
      </c>
      <c r="J546" s="199">
        <f t="shared" si="620"/>
        <v>1.7569999999999999</v>
      </c>
      <c r="K546" s="199">
        <f t="shared" si="620"/>
        <v>1.2270000000000001</v>
      </c>
      <c r="L546" s="199">
        <f>SUM(F546:K546)</f>
        <v>8.1</v>
      </c>
      <c r="M546" s="199">
        <f>L546/6</f>
        <v>1.35</v>
      </c>
      <c r="N546" s="199">
        <f t="shared" si="619"/>
        <v>0.27300000000000002</v>
      </c>
      <c r="O546" s="199">
        <f t="shared" si="619"/>
        <v>1.865</v>
      </c>
      <c r="P546" s="199">
        <f t="shared" si="619"/>
        <v>3.198</v>
      </c>
      <c r="Q546" s="199">
        <f t="shared" si="619"/>
        <v>1.5649999999999999</v>
      </c>
      <c r="R546" s="199">
        <f t="shared" si="619"/>
        <v>1.014</v>
      </c>
      <c r="S546" s="199">
        <f t="shared" si="619"/>
        <v>1.0009999999999999</v>
      </c>
      <c r="T546" s="199">
        <f>SUM(N546:S546)</f>
        <v>8.9160000000000004</v>
      </c>
      <c r="U546" s="199">
        <f>T546+L546</f>
        <v>17.015999999999998</v>
      </c>
      <c r="V546" s="199">
        <f>V563+V640</f>
        <v>18.242999999999999</v>
      </c>
      <c r="W546" s="221">
        <f>V546-U546</f>
        <v>1.2270000000000001</v>
      </c>
      <c r="X546" s="176">
        <f>U541-U546</f>
        <v>1.2270000000000001</v>
      </c>
      <c r="Z546" s="300"/>
    </row>
    <row r="547" spans="1:28" s="205" customFormat="1" ht="18" customHeight="1">
      <c r="A547" s="614"/>
      <c r="B547" s="576"/>
      <c r="C547" s="577"/>
      <c r="D547" s="202" t="str">
        <f>серпень!D470</f>
        <v>план</v>
      </c>
      <c r="E547" s="203"/>
      <c r="F547" s="203">
        <f t="shared" ref="F547:K547" si="622">F541</f>
        <v>1.726</v>
      </c>
      <c r="G547" s="203">
        <f t="shared" si="622"/>
        <v>0.32100000000000001</v>
      </c>
      <c r="H547" s="203">
        <f t="shared" si="622"/>
        <v>1.57</v>
      </c>
      <c r="I547" s="203">
        <f t="shared" si="622"/>
        <v>1.524</v>
      </c>
      <c r="J547" s="203">
        <f t="shared" si="622"/>
        <v>1.734</v>
      </c>
      <c r="K547" s="203">
        <f t="shared" si="622"/>
        <v>1.7509999999999999</v>
      </c>
      <c r="L547" s="203">
        <f>SUM(F547:K547)</f>
        <v>8.6259999999999994</v>
      </c>
      <c r="M547" s="203">
        <f>L547/6</f>
        <v>1.4379999999999999</v>
      </c>
      <c r="N547" s="203">
        <f t="shared" ref="N547:S547" si="623">N541</f>
        <v>4.7E-2</v>
      </c>
      <c r="O547" s="203">
        <f t="shared" si="623"/>
        <v>1.5649999999999999</v>
      </c>
      <c r="P547" s="203">
        <f t="shared" si="623"/>
        <v>3.2509999999999999</v>
      </c>
      <c r="Q547" s="203">
        <f t="shared" si="623"/>
        <v>1.5649999999999999</v>
      </c>
      <c r="R547" s="203">
        <f t="shared" si="623"/>
        <v>1.014</v>
      </c>
      <c r="S547" s="203">
        <f t="shared" si="623"/>
        <v>2.1749999999999998</v>
      </c>
      <c r="T547" s="203">
        <f>SUM(N547:S547)</f>
        <v>9.6170000000000009</v>
      </c>
      <c r="U547" s="203">
        <f>T547+L547</f>
        <v>18.242999999999999</v>
      </c>
      <c r="V547" s="203">
        <f>V541</f>
        <v>18.242999999999999</v>
      </c>
      <c r="W547" s="203">
        <f>V547-U547</f>
        <v>0</v>
      </c>
      <c r="Z547" s="301"/>
    </row>
    <row r="548" spans="1:28" s="205" customFormat="1" ht="18" customHeight="1">
      <c r="A548" s="614"/>
      <c r="B548" s="576"/>
      <c r="C548" s="577"/>
      <c r="D548" s="202" t="str">
        <f>серпень!D471</f>
        <v xml:space="preserve">відхилення </v>
      </c>
      <c r="E548" s="203"/>
      <c r="F548" s="203">
        <f t="shared" ref="F548:K548" si="624">F544-F547</f>
        <v>-1.726</v>
      </c>
      <c r="G548" s="203">
        <f t="shared" si="624"/>
        <v>1.7150000000000001</v>
      </c>
      <c r="H548" s="203">
        <f t="shared" si="624"/>
        <v>-0.122</v>
      </c>
      <c r="I548" s="203">
        <f t="shared" si="624"/>
        <v>0.108</v>
      </c>
      <c r="J548" s="203">
        <f t="shared" si="624"/>
        <v>2.3E-2</v>
      </c>
      <c r="K548" s="203">
        <f t="shared" si="624"/>
        <v>-0.52400000000000002</v>
      </c>
      <c r="L548" s="203"/>
      <c r="M548" s="203"/>
      <c r="N548" s="203">
        <f t="shared" ref="N548:S548" si="625">N544-N547</f>
        <v>0.22600000000000001</v>
      </c>
      <c r="O548" s="203">
        <f t="shared" si="625"/>
        <v>0.3</v>
      </c>
      <c r="P548" s="203">
        <f t="shared" si="625"/>
        <v>-5.2999999999999999E-2</v>
      </c>
      <c r="Q548" s="203">
        <f t="shared" si="625"/>
        <v>0</v>
      </c>
      <c r="R548" s="203">
        <f t="shared" si="625"/>
        <v>0</v>
      </c>
      <c r="S548" s="203">
        <f t="shared" si="625"/>
        <v>-1.1739999999999999</v>
      </c>
      <c r="T548" s="203"/>
      <c r="U548" s="203"/>
      <c r="V548" s="203"/>
      <c r="W548" s="203"/>
      <c r="Z548" s="301"/>
    </row>
    <row r="549" spans="1:28" s="205" customFormat="1" ht="18" customHeight="1">
      <c r="A549" s="614"/>
      <c r="B549" s="576"/>
      <c r="C549" s="577"/>
      <c r="D549" s="202" t="str">
        <f>серпень!D472</f>
        <v>відхилення з наростаючим</v>
      </c>
      <c r="E549" s="203"/>
      <c r="F549" s="203">
        <f>F548</f>
        <v>-1.726</v>
      </c>
      <c r="G549" s="203">
        <f>G548+F549</f>
        <v>-1.0999999999999999E-2</v>
      </c>
      <c r="H549" s="203">
        <f>H548+G549</f>
        <v>-0.13300000000000001</v>
      </c>
      <c r="I549" s="203">
        <f>I548+H549</f>
        <v>-2.5000000000000001E-2</v>
      </c>
      <c r="J549" s="203">
        <f>J548+I549</f>
        <v>-2E-3</v>
      </c>
      <c r="K549" s="203">
        <f>K548+J549</f>
        <v>-0.52600000000000002</v>
      </c>
      <c r="L549" s="203"/>
      <c r="M549" s="203"/>
      <c r="N549" s="203">
        <f>N548+K549</f>
        <v>-0.3</v>
      </c>
      <c r="O549" s="203">
        <f>O548+N549</f>
        <v>0</v>
      </c>
      <c r="P549" s="203">
        <f>P548+O549</f>
        <v>-5.2999999999999999E-2</v>
      </c>
      <c r="Q549" s="203">
        <f>Q548+P549</f>
        <v>-5.2999999999999999E-2</v>
      </c>
      <c r="R549" s="203">
        <f>R548+Q549</f>
        <v>-5.2999999999999999E-2</v>
      </c>
      <c r="S549" s="203">
        <f>S548+R549</f>
        <v>-1.2270000000000001</v>
      </c>
      <c r="T549" s="203"/>
      <c r="U549" s="203"/>
      <c r="V549" s="203"/>
      <c r="W549" s="203"/>
      <c r="Z549" s="301"/>
    </row>
    <row r="550" spans="1:28" s="196" customFormat="1" ht="18" customHeight="1">
      <c r="A550" s="614"/>
      <c r="B550" s="581" t="s">
        <v>65</v>
      </c>
      <c r="C550" s="581"/>
      <c r="D550" s="178" t="str">
        <f>серпень!D473</f>
        <v>факт. нат.п-ки 2023</v>
      </c>
      <c r="E550" s="179"/>
      <c r="F550" s="264">
        <f t="shared" ref="F550:K551" si="626">F567+F597</f>
        <v>7.86</v>
      </c>
      <c r="G550" s="264">
        <f t="shared" si="626"/>
        <v>7.83</v>
      </c>
      <c r="H550" s="264">
        <f t="shared" si="626"/>
        <v>7.36</v>
      </c>
      <c r="I550" s="264">
        <f t="shared" si="626"/>
        <v>8.5299999999999994</v>
      </c>
      <c r="J550" s="264">
        <f t="shared" si="626"/>
        <v>11</v>
      </c>
      <c r="K550" s="264">
        <f t="shared" si="626"/>
        <v>7.7</v>
      </c>
      <c r="L550" s="262">
        <f>SUM(F550:K550)</f>
        <v>50.28</v>
      </c>
      <c r="M550" s="262">
        <f>L550/6</f>
        <v>8.3800000000000008</v>
      </c>
      <c r="N550" s="264">
        <f t="shared" ref="N550:S551" si="627">N567+N597</f>
        <v>5.2</v>
      </c>
      <c r="O550" s="264">
        <f t="shared" si="627"/>
        <v>6.95</v>
      </c>
      <c r="P550" s="264">
        <f t="shared" si="627"/>
        <v>8.65</v>
      </c>
      <c r="Q550" s="264">
        <f t="shared" si="627"/>
        <v>7.7</v>
      </c>
      <c r="R550" s="264">
        <f t="shared" si="627"/>
        <v>8.1300000000000008</v>
      </c>
      <c r="S550" s="264">
        <f t="shared" si="627"/>
        <v>7.8</v>
      </c>
      <c r="T550" s="234">
        <f>SUM(N550:S550)</f>
        <v>44.43</v>
      </c>
      <c r="U550" s="234">
        <f>T550+L550</f>
        <v>94.71</v>
      </c>
      <c r="V550" s="260">
        <f>V567+V597</f>
        <v>94.7</v>
      </c>
      <c r="W550" s="184"/>
      <c r="X550" s="185"/>
      <c r="Y550" s="186"/>
      <c r="Z550" s="297"/>
      <c r="AA550" s="186"/>
      <c r="AB550" s="186"/>
    </row>
    <row r="551" spans="1:28" s="186" customFormat="1" ht="18" customHeight="1">
      <c r="A551" s="614"/>
      <c r="B551" s="581"/>
      <c r="C551" s="581"/>
      <c r="D551" s="178" t="str">
        <f>серпень!D474</f>
        <v>факт. нат.п-ки 2024</v>
      </c>
      <c r="E551" s="179"/>
      <c r="F551" s="264">
        <f t="shared" si="626"/>
        <v>8.9600000000000009</v>
      </c>
      <c r="G551" s="264">
        <f t="shared" si="626"/>
        <v>8.66</v>
      </c>
      <c r="H551" s="264">
        <f t="shared" si="626"/>
        <v>8</v>
      </c>
      <c r="I551" s="264">
        <f t="shared" si="626"/>
        <v>8.8000000000000007</v>
      </c>
      <c r="J551" s="264">
        <f t="shared" si="626"/>
        <v>11</v>
      </c>
      <c r="K551" s="264">
        <f t="shared" si="626"/>
        <v>8.8000000000000007</v>
      </c>
      <c r="L551" s="262">
        <f>SUM(F551:K551)</f>
        <v>54.22</v>
      </c>
      <c r="M551" s="262">
        <f>L551/6</f>
        <v>9.0370000000000008</v>
      </c>
      <c r="N551" s="264">
        <f t="shared" si="627"/>
        <v>5.7430000000000003</v>
      </c>
      <c r="O551" s="264">
        <f t="shared" si="627"/>
        <v>7.7</v>
      </c>
      <c r="P551" s="264">
        <f t="shared" si="627"/>
        <v>8.8000000000000007</v>
      </c>
      <c r="Q551" s="264">
        <f t="shared" si="627"/>
        <v>6.1</v>
      </c>
      <c r="R551" s="264">
        <f t="shared" si="627"/>
        <v>4.0999999999999996</v>
      </c>
      <c r="S551" s="264">
        <f t="shared" si="627"/>
        <v>5</v>
      </c>
      <c r="T551" s="234">
        <f>SUM(N551:S551)</f>
        <v>37.442999999999998</v>
      </c>
      <c r="U551" s="234">
        <f>T551+L551</f>
        <v>91.662999999999997</v>
      </c>
      <c r="V551" s="260">
        <f>V568+V598</f>
        <v>91.62</v>
      </c>
      <c r="W551" s="184"/>
      <c r="X551" s="185"/>
      <c r="Z551" s="297"/>
    </row>
    <row r="552" spans="1:28" s="186" customFormat="1" ht="18" customHeight="1">
      <c r="A552" s="614"/>
      <c r="B552" s="581"/>
      <c r="C552" s="581"/>
      <c r="D552" s="178" t="str">
        <f>серпень!D475</f>
        <v>факт. нат.п-ки 2025</v>
      </c>
      <c r="E552" s="179"/>
      <c r="F552" s="264">
        <f>F569+F599</f>
        <v>11</v>
      </c>
      <c r="G552" s="264">
        <f t="shared" ref="G552:K552" si="628">G569+G599</f>
        <v>7.7</v>
      </c>
      <c r="H552" s="264">
        <f t="shared" si="628"/>
        <v>8.8000000000000007</v>
      </c>
      <c r="I552" s="264">
        <f t="shared" si="628"/>
        <v>9.3149999999999995</v>
      </c>
      <c r="J552" s="264">
        <f t="shared" si="628"/>
        <v>6.6</v>
      </c>
      <c r="K552" s="264">
        <f t="shared" si="628"/>
        <v>1.6120000000000001</v>
      </c>
      <c r="L552" s="262">
        <f>SUM(F552:K552)</f>
        <v>45.027000000000001</v>
      </c>
      <c r="M552" s="262">
        <f>L552/6</f>
        <v>7.5049999999999999</v>
      </c>
      <c r="N552" s="264">
        <f>N569+N599</f>
        <v>10.141999999999999</v>
      </c>
      <c r="O552" s="264">
        <f t="shared" ref="O552:S552" si="629">O569+O599</f>
        <v>7.7</v>
      </c>
      <c r="P552" s="264">
        <f t="shared" si="629"/>
        <v>8.8000000000000007</v>
      </c>
      <c r="Q552" s="264">
        <f t="shared" si="629"/>
        <v>7.7</v>
      </c>
      <c r="R552" s="264">
        <f t="shared" si="629"/>
        <v>5.0999999999999996</v>
      </c>
      <c r="S552" s="264">
        <f t="shared" si="629"/>
        <v>5.04</v>
      </c>
      <c r="T552" s="262">
        <f>SUM(N552:S552)</f>
        <v>44.481999999999999</v>
      </c>
      <c r="U552" s="262">
        <f>T552+L552</f>
        <v>89.509</v>
      </c>
      <c r="V552" s="490">
        <f>V569+V599</f>
        <v>92.5</v>
      </c>
      <c r="W552" s="523">
        <f>V552-U552</f>
        <v>2.9910000000000001</v>
      </c>
      <c r="X552" s="185"/>
      <c r="Z552" s="297"/>
    </row>
    <row r="553" spans="1:28" s="190" customFormat="1" ht="18" customHeight="1">
      <c r="A553" s="614"/>
      <c r="B553" s="581"/>
      <c r="C553" s="581"/>
      <c r="D553" s="187" t="str">
        <f>серпень!D476</f>
        <v>тариф, грн.</v>
      </c>
      <c r="E553" s="188"/>
      <c r="F553" s="188">
        <f t="shared" ref="F553:W553" si="630">F554/F552*1000</f>
        <v>185.18199999999999</v>
      </c>
      <c r="G553" s="188">
        <f t="shared" si="630"/>
        <v>187.40299999999999</v>
      </c>
      <c r="H553" s="188">
        <f t="shared" si="630"/>
        <v>185</v>
      </c>
      <c r="I553" s="188">
        <f t="shared" si="630"/>
        <v>188.191</v>
      </c>
      <c r="J553" s="188">
        <f t="shared" si="630"/>
        <v>185.303</v>
      </c>
      <c r="K553" s="188">
        <f t="shared" si="630"/>
        <v>168.114</v>
      </c>
      <c r="L553" s="188">
        <f t="shared" si="630"/>
        <v>185.55500000000001</v>
      </c>
      <c r="M553" s="188">
        <f t="shared" si="630"/>
        <v>185.61</v>
      </c>
      <c r="N553" s="188">
        <f t="shared" si="630"/>
        <v>183.494</v>
      </c>
      <c r="O553" s="188">
        <f t="shared" si="630"/>
        <v>187.40299999999999</v>
      </c>
      <c r="P553" s="188">
        <f t="shared" si="630"/>
        <v>198.523</v>
      </c>
      <c r="Q553" s="188">
        <f t="shared" si="630"/>
        <v>202.727</v>
      </c>
      <c r="R553" s="188">
        <f t="shared" si="630"/>
        <v>198.03899999999999</v>
      </c>
      <c r="S553" s="188">
        <f t="shared" si="630"/>
        <v>196.23</v>
      </c>
      <c r="T553" s="188">
        <f t="shared" si="630"/>
        <v>193.584</v>
      </c>
      <c r="U553" s="188">
        <f t="shared" si="630"/>
        <v>189.54499999999999</v>
      </c>
      <c r="V553" s="188">
        <f t="shared" si="630"/>
        <v>196.67</v>
      </c>
      <c r="W553" s="188">
        <f t="shared" si="630"/>
        <v>409.89600000000002</v>
      </c>
      <c r="X553" s="225"/>
      <c r="Z553" s="298"/>
    </row>
    <row r="554" spans="1:28" s="244" customFormat="1" ht="18" customHeight="1">
      <c r="A554" s="614"/>
      <c r="B554" s="581"/>
      <c r="C554" s="581"/>
      <c r="D554" s="191" t="str">
        <f>серпень!D477</f>
        <v>сума, тис.грн.</v>
      </c>
      <c r="E554" s="192"/>
      <c r="F554" s="192">
        <f t="shared" ref="F554:K554" si="631">F571+F601</f>
        <v>2.0369999999999999</v>
      </c>
      <c r="G554" s="192">
        <f t="shared" si="631"/>
        <v>1.4430000000000001</v>
      </c>
      <c r="H554" s="192">
        <f t="shared" si="631"/>
        <v>1.6279999999999999</v>
      </c>
      <c r="I554" s="192">
        <f t="shared" si="631"/>
        <v>1.7529999999999999</v>
      </c>
      <c r="J554" s="192">
        <f t="shared" si="631"/>
        <v>1.2230000000000001</v>
      </c>
      <c r="K554" s="192">
        <f t="shared" si="631"/>
        <v>0.27100000000000002</v>
      </c>
      <c r="L554" s="194">
        <f>SUM(F554:K554)</f>
        <v>8.3550000000000004</v>
      </c>
      <c r="M554" s="194">
        <f>L554/6</f>
        <v>1.393</v>
      </c>
      <c r="N554" s="192">
        <f t="shared" ref="N554:S554" si="632">N571+N601</f>
        <v>1.861</v>
      </c>
      <c r="O554" s="192">
        <f t="shared" si="632"/>
        <v>1.4430000000000001</v>
      </c>
      <c r="P554" s="192">
        <f t="shared" si="632"/>
        <v>1.7470000000000001</v>
      </c>
      <c r="Q554" s="192">
        <f t="shared" si="632"/>
        <v>1.5609999999999999</v>
      </c>
      <c r="R554" s="192">
        <f t="shared" si="632"/>
        <v>1.01</v>
      </c>
      <c r="S554" s="192">
        <f t="shared" si="632"/>
        <v>0.98899999999999999</v>
      </c>
      <c r="T554" s="194">
        <f>SUM(N554:S554)</f>
        <v>8.6110000000000007</v>
      </c>
      <c r="U554" s="194">
        <f>T554+L554</f>
        <v>16.966000000000001</v>
      </c>
      <c r="V554" s="194">
        <f>V571+V601</f>
        <v>18.192</v>
      </c>
      <c r="W554" s="192">
        <f>V554-U554</f>
        <v>1.226</v>
      </c>
      <c r="Z554" s="308"/>
    </row>
    <row r="555" spans="1:28" s="244" customFormat="1" ht="18" customHeight="1">
      <c r="A555" s="614"/>
      <c r="B555" s="581"/>
      <c r="C555" s="581"/>
      <c r="D555" s="174" t="str">
        <f>серпень!D478</f>
        <v>абоненська плата, тис.грн.</v>
      </c>
      <c r="E555" s="192"/>
      <c r="F555" s="192">
        <f>F586+F616</f>
        <v>4.0000000000000001E-3</v>
      </c>
      <c r="G555" s="192">
        <f t="shared" ref="G555:K555" si="633">G586+G616</f>
        <v>4.0000000000000001E-3</v>
      </c>
      <c r="H555" s="192">
        <f t="shared" si="633"/>
        <v>4.0000000000000001E-3</v>
      </c>
      <c r="I555" s="192">
        <f t="shared" si="633"/>
        <v>4.0000000000000001E-3</v>
      </c>
      <c r="J555" s="192">
        <f t="shared" si="633"/>
        <v>4.0000000000000001E-3</v>
      </c>
      <c r="K555" s="192">
        <f t="shared" si="633"/>
        <v>4.0000000000000001E-3</v>
      </c>
      <c r="L555" s="194">
        <f t="shared" ref="L555:L556" si="634">SUM(F555:K555)</f>
        <v>2.4E-2</v>
      </c>
      <c r="M555" s="194">
        <f t="shared" ref="M555:M556" si="635">L555/6</f>
        <v>4.0000000000000001E-3</v>
      </c>
      <c r="N555" s="192">
        <f>N586+N616</f>
        <v>4.0000000000000001E-3</v>
      </c>
      <c r="O555" s="192">
        <f t="shared" ref="O555:S555" si="636">O586+O616</f>
        <v>4.0000000000000001E-3</v>
      </c>
      <c r="P555" s="192">
        <f t="shared" si="636"/>
        <v>4.0000000000000001E-3</v>
      </c>
      <c r="Q555" s="192">
        <f t="shared" si="636"/>
        <v>4.0000000000000001E-3</v>
      </c>
      <c r="R555" s="192">
        <f t="shared" si="636"/>
        <v>4.0000000000000001E-3</v>
      </c>
      <c r="S555" s="192">
        <f t="shared" si="636"/>
        <v>6.0000000000000001E-3</v>
      </c>
      <c r="T555" s="194">
        <f t="shared" ref="T555:T556" si="637">SUM(N555:S555)</f>
        <v>2.5999999999999999E-2</v>
      </c>
      <c r="U555" s="194">
        <f t="shared" ref="U555:U556" si="638">T555+L555</f>
        <v>0.05</v>
      </c>
      <c r="V555" s="192">
        <f t="shared" ref="V555" si="639">V586+V616</f>
        <v>5.0999999999999997E-2</v>
      </c>
      <c r="W555" s="192">
        <f t="shared" ref="W555:W556" si="640">V555-U555</f>
        <v>1E-3</v>
      </c>
      <c r="Z555" s="308"/>
    </row>
    <row r="556" spans="1:28" s="244" customFormat="1" ht="18" customHeight="1">
      <c r="A556" s="614"/>
      <c r="B556" s="581"/>
      <c r="C556" s="581"/>
      <c r="D556" s="174" t="str">
        <f>серпень!D479</f>
        <v>разом сума тис. грн+абонплата</v>
      </c>
      <c r="E556" s="192"/>
      <c r="F556" s="192">
        <f>F554+F555</f>
        <v>2.0409999999999999</v>
      </c>
      <c r="G556" s="192">
        <f t="shared" ref="G556:K556" si="641">G554+G555</f>
        <v>1.4470000000000001</v>
      </c>
      <c r="H556" s="192">
        <f t="shared" si="641"/>
        <v>1.6319999999999999</v>
      </c>
      <c r="I556" s="192">
        <f t="shared" si="641"/>
        <v>1.7569999999999999</v>
      </c>
      <c r="J556" s="192">
        <f t="shared" si="641"/>
        <v>1.2270000000000001</v>
      </c>
      <c r="K556" s="192">
        <f t="shared" si="641"/>
        <v>0.27500000000000002</v>
      </c>
      <c r="L556" s="194">
        <f t="shared" si="634"/>
        <v>8.3789999999999996</v>
      </c>
      <c r="M556" s="194">
        <f t="shared" si="635"/>
        <v>1.397</v>
      </c>
      <c r="N556" s="192">
        <f>N554+N555</f>
        <v>1.865</v>
      </c>
      <c r="O556" s="192">
        <f t="shared" ref="O556" si="642">O554+O555</f>
        <v>1.4470000000000001</v>
      </c>
      <c r="P556" s="192">
        <f t="shared" ref="P556" si="643">P554+P555</f>
        <v>1.7509999999999999</v>
      </c>
      <c r="Q556" s="192">
        <f t="shared" ref="Q556" si="644">Q554+Q555</f>
        <v>1.5649999999999999</v>
      </c>
      <c r="R556" s="192">
        <f t="shared" ref="R556" si="645">R554+R555</f>
        <v>1.014</v>
      </c>
      <c r="S556" s="192">
        <f t="shared" ref="S556" si="646">S554+S555</f>
        <v>0.995</v>
      </c>
      <c r="T556" s="194">
        <f t="shared" si="637"/>
        <v>8.6370000000000005</v>
      </c>
      <c r="U556" s="194">
        <f t="shared" si="638"/>
        <v>17.015999999999998</v>
      </c>
      <c r="V556" s="69">
        <f>V554+V555</f>
        <v>18.242999999999999</v>
      </c>
      <c r="W556" s="192">
        <f t="shared" si="640"/>
        <v>1.2270000000000001</v>
      </c>
      <c r="Z556" s="308"/>
    </row>
    <row r="557" spans="1:28" s="244" customFormat="1" ht="18" customHeight="1">
      <c r="A557" s="614"/>
      <c r="B557" s="581"/>
      <c r="C557" s="581"/>
      <c r="D557" s="174" t="str">
        <f>серпень!D480</f>
        <v>дотація</v>
      </c>
      <c r="E557" s="210"/>
      <c r="F557" s="192">
        <f t="shared" ref="F557:K557" si="647">F572+F602</f>
        <v>0</v>
      </c>
      <c r="G557" s="192">
        <f t="shared" si="647"/>
        <v>0</v>
      </c>
      <c r="H557" s="192">
        <f t="shared" si="647"/>
        <v>0</v>
      </c>
      <c r="I557" s="192">
        <f t="shared" si="647"/>
        <v>0</v>
      </c>
      <c r="J557" s="192">
        <f t="shared" si="647"/>
        <v>0</v>
      </c>
      <c r="K557" s="192">
        <f t="shared" si="647"/>
        <v>0</v>
      </c>
      <c r="L557" s="194">
        <f>SUM(F557:K557)</f>
        <v>0</v>
      </c>
      <c r="M557" s="194">
        <f>L557/6</f>
        <v>0</v>
      </c>
      <c r="N557" s="192">
        <f t="shared" ref="N557:S557" si="648">N572+N602</f>
        <v>0</v>
      </c>
      <c r="O557" s="192">
        <f t="shared" si="648"/>
        <v>0</v>
      </c>
      <c r="P557" s="192">
        <f t="shared" si="648"/>
        <v>0</v>
      </c>
      <c r="Q557" s="192">
        <f t="shared" si="648"/>
        <v>0</v>
      </c>
      <c r="R557" s="192">
        <f t="shared" si="648"/>
        <v>0</v>
      </c>
      <c r="S557" s="192">
        <f t="shared" si="648"/>
        <v>0</v>
      </c>
      <c r="T557" s="194">
        <f>SUM(N557:S557)</f>
        <v>0</v>
      </c>
      <c r="U557" s="194">
        <f>T557+L557</f>
        <v>0</v>
      </c>
      <c r="V557" s="194">
        <f>V572+V602</f>
        <v>0</v>
      </c>
      <c r="W557" s="192">
        <f>V557-U557</f>
        <v>0</v>
      </c>
      <c r="Z557" s="308"/>
    </row>
    <row r="558" spans="1:28" s="244" customFormat="1" ht="18" customHeight="1">
      <c r="A558" s="614"/>
      <c r="B558" s="581"/>
      <c r="C558" s="581"/>
      <c r="D558" s="174" t="str">
        <f>серпень!D481</f>
        <v>місцевий (план), тис.грн</v>
      </c>
      <c r="E558" s="210"/>
      <c r="F558" s="192">
        <f>F573+F588+F603+F618</f>
        <v>1.726</v>
      </c>
      <c r="G558" s="192">
        <f t="shared" ref="G558:K558" si="649">G573+G588+G603+G618</f>
        <v>0.32100000000000001</v>
      </c>
      <c r="H558" s="192">
        <f t="shared" si="649"/>
        <v>1.57</v>
      </c>
      <c r="I558" s="192">
        <f t="shared" si="649"/>
        <v>1.524</v>
      </c>
      <c r="J558" s="192">
        <f t="shared" si="649"/>
        <v>1.734</v>
      </c>
      <c r="K558" s="192">
        <f t="shared" si="649"/>
        <v>1.7509999999999999</v>
      </c>
      <c r="L558" s="194">
        <f>SUM(F558:K558)</f>
        <v>8.6259999999999994</v>
      </c>
      <c r="M558" s="194">
        <f>L558/6</f>
        <v>1.4379999999999999</v>
      </c>
      <c r="N558" s="192">
        <f>N573+N588+N603+N618</f>
        <v>4.7E-2</v>
      </c>
      <c r="O558" s="192">
        <f t="shared" ref="O558:S558" si="650">O573+O588+O603+O618</f>
        <v>1.5649999999999999</v>
      </c>
      <c r="P558" s="192">
        <f t="shared" si="650"/>
        <v>3.2509999999999999</v>
      </c>
      <c r="Q558" s="192">
        <f t="shared" si="650"/>
        <v>1.5649999999999999</v>
      </c>
      <c r="R558" s="192">
        <f t="shared" si="650"/>
        <v>1.014</v>
      </c>
      <c r="S558" s="192">
        <f t="shared" si="650"/>
        <v>2.1749999999999998</v>
      </c>
      <c r="T558" s="194">
        <f>SUM(N558:S558)</f>
        <v>9.6170000000000009</v>
      </c>
      <c r="U558" s="194">
        <f>T558+L558</f>
        <v>18.242999999999999</v>
      </c>
      <c r="V558" s="69">
        <f>V573+V588+V603+V618</f>
        <v>18.242999999999999</v>
      </c>
      <c r="W558" s="192">
        <f>V558-U558</f>
        <v>0</v>
      </c>
      <c r="Z558" s="308"/>
    </row>
    <row r="559" spans="1:28" s="186" customFormat="1" ht="18" customHeight="1">
      <c r="A559" s="614"/>
      <c r="B559" s="581"/>
      <c r="C559" s="581"/>
      <c r="D559" s="178" t="str">
        <f>серпень!D482</f>
        <v>касові нат.п-ки 2025</v>
      </c>
      <c r="E559" s="179"/>
      <c r="F559" s="420">
        <f t="shared" ref="F559:K559" si="651">F574+F604</f>
        <v>0</v>
      </c>
      <c r="G559" s="420">
        <f t="shared" si="651"/>
        <v>11</v>
      </c>
      <c r="H559" s="420">
        <f t="shared" si="651"/>
        <v>7.7</v>
      </c>
      <c r="I559" s="420">
        <f t="shared" si="651"/>
        <v>8.8000000000000007</v>
      </c>
      <c r="J559" s="420">
        <f t="shared" si="651"/>
        <v>9.3149999999999995</v>
      </c>
      <c r="K559" s="420">
        <f t="shared" si="651"/>
        <v>6.6</v>
      </c>
      <c r="L559" s="262">
        <f>SUM(F559:K559)</f>
        <v>43.414999999999999</v>
      </c>
      <c r="M559" s="262">
        <f>L559/6</f>
        <v>7.2359999999999998</v>
      </c>
      <c r="N559" s="420">
        <f t="shared" ref="N559:S559" si="652">N574+N604</f>
        <v>1.6</v>
      </c>
      <c r="O559" s="420">
        <f t="shared" si="652"/>
        <v>10.14</v>
      </c>
      <c r="P559" s="420">
        <f t="shared" si="652"/>
        <v>16.501999999999999</v>
      </c>
      <c r="Q559" s="420">
        <f t="shared" si="652"/>
        <v>7.7</v>
      </c>
      <c r="R559" s="420">
        <f t="shared" si="652"/>
        <v>5.0999999999999996</v>
      </c>
      <c r="S559" s="420">
        <f t="shared" si="652"/>
        <v>5.04</v>
      </c>
      <c r="T559" s="262">
        <f>SUM(N559:S559)</f>
        <v>46.082000000000001</v>
      </c>
      <c r="U559" s="262">
        <f>T559+L559</f>
        <v>89.497</v>
      </c>
      <c r="V559" s="410">
        <f>V574+V604</f>
        <v>92.5</v>
      </c>
      <c r="W559" s="410">
        <f>V559-U559</f>
        <v>3.0030000000000001</v>
      </c>
      <c r="X559" s="279">
        <f>U552-U559</f>
        <v>0</v>
      </c>
      <c r="Z559" s="297"/>
    </row>
    <row r="560" spans="1:28" s="190" customFormat="1" ht="18" customHeight="1">
      <c r="A560" s="614"/>
      <c r="B560" s="581"/>
      <c r="C560" s="581"/>
      <c r="D560" s="187" t="str">
        <f>серпень!D483</f>
        <v>тариф, грн.</v>
      </c>
      <c r="E560" s="188" t="e">
        <f t="shared" ref="E560:W560" si="653">E561/E559*1000</f>
        <v>#DIV/0!</v>
      </c>
      <c r="F560" s="188" t="e">
        <f t="shared" si="653"/>
        <v>#DIV/0!</v>
      </c>
      <c r="G560" s="188">
        <f t="shared" si="653"/>
        <v>185.09100000000001</v>
      </c>
      <c r="H560" s="188">
        <f t="shared" si="653"/>
        <v>188.05199999999999</v>
      </c>
      <c r="I560" s="188">
        <f t="shared" si="653"/>
        <v>185.45500000000001</v>
      </c>
      <c r="J560" s="188">
        <f t="shared" si="653"/>
        <v>188.62100000000001</v>
      </c>
      <c r="K560" s="188">
        <f t="shared" si="653"/>
        <v>185.90899999999999</v>
      </c>
      <c r="L560" s="188">
        <f t="shared" si="653"/>
        <v>186.571</v>
      </c>
      <c r="M560" s="188">
        <f t="shared" si="653"/>
        <v>186.56700000000001</v>
      </c>
      <c r="N560" s="188">
        <f t="shared" si="653"/>
        <v>170.625</v>
      </c>
      <c r="O560" s="188">
        <f t="shared" si="653"/>
        <v>183.92500000000001</v>
      </c>
      <c r="P560" s="188">
        <f t="shared" si="653"/>
        <v>193.79499999999999</v>
      </c>
      <c r="Q560" s="188">
        <f t="shared" si="653"/>
        <v>203.24700000000001</v>
      </c>
      <c r="R560" s="188">
        <f t="shared" si="653"/>
        <v>198.82400000000001</v>
      </c>
      <c r="S560" s="188">
        <f t="shared" si="653"/>
        <v>198.61099999999999</v>
      </c>
      <c r="T560" s="188">
        <f t="shared" si="653"/>
        <v>193.48099999999999</v>
      </c>
      <c r="U560" s="188">
        <f t="shared" si="653"/>
        <v>190.12899999999999</v>
      </c>
      <c r="V560" s="188">
        <f t="shared" si="653"/>
        <v>197.22200000000001</v>
      </c>
      <c r="W560" s="188">
        <f t="shared" si="653"/>
        <v>408.59100000000001</v>
      </c>
      <c r="X560" s="225"/>
      <c r="Z560" s="298"/>
    </row>
    <row r="561" spans="1:28" s="239" customFormat="1" ht="18" customHeight="1">
      <c r="A561" s="614"/>
      <c r="B561" s="581"/>
      <c r="C561" s="581"/>
      <c r="D561" s="198" t="str">
        <f>серпень!D484</f>
        <v>касові видатки, тис.грн.</v>
      </c>
      <c r="E561" s="220"/>
      <c r="F561" s="199">
        <f>F576+F606+F591+F621</f>
        <v>0</v>
      </c>
      <c r="G561" s="199">
        <f t="shared" ref="G561:K561" si="654">G576+G606+G591+G621</f>
        <v>2.036</v>
      </c>
      <c r="H561" s="199">
        <f t="shared" si="654"/>
        <v>1.448</v>
      </c>
      <c r="I561" s="199">
        <f t="shared" si="654"/>
        <v>1.6319999999999999</v>
      </c>
      <c r="J561" s="199">
        <f t="shared" si="654"/>
        <v>1.7569999999999999</v>
      </c>
      <c r="K561" s="199">
        <f t="shared" si="654"/>
        <v>1.2270000000000001</v>
      </c>
      <c r="L561" s="199">
        <f>SUM(F561:K561)</f>
        <v>8.1</v>
      </c>
      <c r="M561" s="199">
        <f>L561/6</f>
        <v>1.35</v>
      </c>
      <c r="N561" s="199">
        <f>N576+N606+N591+N621</f>
        <v>0.27300000000000002</v>
      </c>
      <c r="O561" s="199">
        <f t="shared" ref="O561:S561" si="655">O576+O606+O591+O621</f>
        <v>1.865</v>
      </c>
      <c r="P561" s="199">
        <f t="shared" si="655"/>
        <v>3.198</v>
      </c>
      <c r="Q561" s="199">
        <f t="shared" si="655"/>
        <v>1.5649999999999999</v>
      </c>
      <c r="R561" s="199">
        <f t="shared" si="655"/>
        <v>1.014</v>
      </c>
      <c r="S561" s="199">
        <f t="shared" si="655"/>
        <v>1.0009999999999999</v>
      </c>
      <c r="T561" s="199">
        <f>SUM(N561:S561)</f>
        <v>8.9160000000000004</v>
      </c>
      <c r="U561" s="199">
        <f>T561+L561</f>
        <v>17.015999999999998</v>
      </c>
      <c r="V561" s="199">
        <f>V576+V606+V588+V621</f>
        <v>18.242999999999999</v>
      </c>
      <c r="W561" s="221">
        <f>V561-U561</f>
        <v>1.2270000000000001</v>
      </c>
      <c r="X561" s="176">
        <f>U556-U561</f>
        <v>0</v>
      </c>
      <c r="Z561" s="300"/>
    </row>
    <row r="562" spans="1:28" s="239" customFormat="1" ht="18" customHeight="1">
      <c r="A562" s="614"/>
      <c r="B562" s="581"/>
      <c r="C562" s="581"/>
      <c r="D562" s="201" t="str">
        <f>серпень!D485</f>
        <v>дотація</v>
      </c>
      <c r="E562" s="220"/>
      <c r="F562" s="199">
        <f t="shared" ref="F562:K563" si="656">F577+F607+F592+F622</f>
        <v>0</v>
      </c>
      <c r="G562" s="199">
        <f t="shared" si="656"/>
        <v>0</v>
      </c>
      <c r="H562" s="199">
        <f t="shared" si="656"/>
        <v>0</v>
      </c>
      <c r="I562" s="199">
        <f t="shared" si="656"/>
        <v>0</v>
      </c>
      <c r="J562" s="199">
        <f t="shared" si="656"/>
        <v>0</v>
      </c>
      <c r="K562" s="199">
        <f t="shared" si="656"/>
        <v>0</v>
      </c>
      <c r="L562" s="199">
        <f>SUM(F562:K562)</f>
        <v>0</v>
      </c>
      <c r="M562" s="199">
        <f>L562/6</f>
        <v>0</v>
      </c>
      <c r="N562" s="199">
        <f t="shared" ref="N562:S562" si="657">N577+N607+N592+N622</f>
        <v>0</v>
      </c>
      <c r="O562" s="199">
        <f t="shared" si="657"/>
        <v>0</v>
      </c>
      <c r="P562" s="199">
        <f t="shared" si="657"/>
        <v>0</v>
      </c>
      <c r="Q562" s="199">
        <f t="shared" si="657"/>
        <v>0</v>
      </c>
      <c r="R562" s="199">
        <f t="shared" si="657"/>
        <v>0</v>
      </c>
      <c r="S562" s="199">
        <f t="shared" si="657"/>
        <v>0</v>
      </c>
      <c r="T562" s="199">
        <f>SUM(N562:S562)</f>
        <v>0</v>
      </c>
      <c r="U562" s="199">
        <f>T562+L562</f>
        <v>0</v>
      </c>
      <c r="V562" s="199">
        <f>V557</f>
        <v>0</v>
      </c>
      <c r="W562" s="221">
        <f>V562-U562</f>
        <v>0</v>
      </c>
      <c r="X562" s="176">
        <f>U557-U562</f>
        <v>0</v>
      </c>
      <c r="Z562" s="300"/>
    </row>
    <row r="563" spans="1:28" s="239" customFormat="1" ht="18" customHeight="1">
      <c r="A563" s="614"/>
      <c r="B563" s="581"/>
      <c r="C563" s="581"/>
      <c r="D563" s="201" t="str">
        <f>серпень!D486</f>
        <v xml:space="preserve">місцевий </v>
      </c>
      <c r="E563" s="220"/>
      <c r="F563" s="199">
        <f t="shared" si="656"/>
        <v>0</v>
      </c>
      <c r="G563" s="199">
        <f t="shared" si="656"/>
        <v>2.036</v>
      </c>
      <c r="H563" s="199">
        <f t="shared" si="656"/>
        <v>1.448</v>
      </c>
      <c r="I563" s="199">
        <f t="shared" si="656"/>
        <v>1.6319999999999999</v>
      </c>
      <c r="J563" s="199">
        <f t="shared" si="656"/>
        <v>1.7569999999999999</v>
      </c>
      <c r="K563" s="199">
        <f t="shared" si="656"/>
        <v>1.2270000000000001</v>
      </c>
      <c r="L563" s="199">
        <f>SUM(F563:K563)</f>
        <v>8.1</v>
      </c>
      <c r="M563" s="199">
        <f>L563/6</f>
        <v>1.35</v>
      </c>
      <c r="N563" s="199">
        <f t="shared" ref="N563:S564" si="658">N578+N608+N593+N623</f>
        <v>0.27300000000000002</v>
      </c>
      <c r="O563" s="199">
        <f t="shared" si="658"/>
        <v>1.865</v>
      </c>
      <c r="P563" s="199">
        <f t="shared" si="658"/>
        <v>3.198</v>
      </c>
      <c r="Q563" s="199">
        <f t="shared" si="658"/>
        <v>1.5649999999999999</v>
      </c>
      <c r="R563" s="199">
        <f t="shared" si="658"/>
        <v>1.014</v>
      </c>
      <c r="S563" s="199">
        <f t="shared" si="658"/>
        <v>1.0009999999999999</v>
      </c>
      <c r="T563" s="199">
        <f>SUM(N563:S563)</f>
        <v>8.9160000000000004</v>
      </c>
      <c r="U563" s="199">
        <f>T563+L563</f>
        <v>17.015999999999998</v>
      </c>
      <c r="V563" s="199">
        <f>V561</f>
        <v>18.242999999999999</v>
      </c>
      <c r="W563" s="221">
        <f>V563-U563</f>
        <v>1.2270000000000001</v>
      </c>
      <c r="X563" s="176">
        <f>U558-U563</f>
        <v>1.2270000000000001</v>
      </c>
      <c r="Z563" s="300"/>
    </row>
    <row r="564" spans="1:28" s="205" customFormat="1" ht="18" customHeight="1">
      <c r="A564" s="614"/>
      <c r="B564" s="581"/>
      <c r="C564" s="581"/>
      <c r="D564" s="202" t="str">
        <f>серпень!D487</f>
        <v>план</v>
      </c>
      <c r="E564" s="203"/>
      <c r="F564" s="203">
        <f>F579+F609+F594+F624</f>
        <v>1.726</v>
      </c>
      <c r="G564" s="203">
        <f t="shared" ref="G564:K564" si="659">G579+G609+G594+G624</f>
        <v>0.32100000000000001</v>
      </c>
      <c r="H564" s="203">
        <f t="shared" si="659"/>
        <v>1.57</v>
      </c>
      <c r="I564" s="203">
        <f t="shared" si="659"/>
        <v>1.524</v>
      </c>
      <c r="J564" s="203">
        <f t="shared" si="659"/>
        <v>1.734</v>
      </c>
      <c r="K564" s="203">
        <f t="shared" si="659"/>
        <v>1.7509999999999999</v>
      </c>
      <c r="L564" s="203">
        <f>SUM(F564:K564)</f>
        <v>8.6259999999999994</v>
      </c>
      <c r="M564" s="203">
        <f>L564/6</f>
        <v>1.4379999999999999</v>
      </c>
      <c r="N564" s="203">
        <f>N579+N609+N594+N624</f>
        <v>4.7E-2</v>
      </c>
      <c r="O564" s="203">
        <f t="shared" si="658"/>
        <v>1.5649999999999999</v>
      </c>
      <c r="P564" s="203">
        <f t="shared" si="658"/>
        <v>3.2509999999999999</v>
      </c>
      <c r="Q564" s="203">
        <f t="shared" si="658"/>
        <v>1.5649999999999999</v>
      </c>
      <c r="R564" s="203">
        <f t="shared" si="658"/>
        <v>1.014</v>
      </c>
      <c r="S564" s="203">
        <f t="shared" si="658"/>
        <v>2.1749999999999998</v>
      </c>
      <c r="T564" s="203">
        <f>SUM(N564:S564)</f>
        <v>9.6170000000000009</v>
      </c>
      <c r="U564" s="203">
        <f>T564+L564</f>
        <v>18.242999999999999</v>
      </c>
      <c r="V564" s="203">
        <f>V558</f>
        <v>18.242999999999999</v>
      </c>
      <c r="W564" s="203">
        <f>V564-U564</f>
        <v>0</v>
      </c>
      <c r="Z564" s="301"/>
    </row>
    <row r="565" spans="1:28" s="205" customFormat="1" ht="18" customHeight="1">
      <c r="A565" s="614"/>
      <c r="B565" s="581"/>
      <c r="C565" s="581"/>
      <c r="D565" s="202" t="str">
        <f>серпень!D488</f>
        <v xml:space="preserve">відхилення </v>
      </c>
      <c r="E565" s="203"/>
      <c r="F565" s="203">
        <f t="shared" ref="F565:K566" si="660">F580+F610</f>
        <v>-1.7210000000000001</v>
      </c>
      <c r="G565" s="203">
        <f t="shared" si="660"/>
        <v>1.7150000000000001</v>
      </c>
      <c r="H565" s="203">
        <f t="shared" si="660"/>
        <v>-0.122</v>
      </c>
      <c r="I565" s="203">
        <f t="shared" si="660"/>
        <v>0.108</v>
      </c>
      <c r="J565" s="203">
        <f t="shared" si="660"/>
        <v>2.3E-2</v>
      </c>
      <c r="K565" s="203">
        <f t="shared" si="660"/>
        <v>-0.52400000000000002</v>
      </c>
      <c r="L565" s="203"/>
      <c r="M565" s="203"/>
      <c r="N565" s="203">
        <f t="shared" ref="N565:S566" si="661">N580+N610</f>
        <v>0.22800000000000001</v>
      </c>
      <c r="O565" s="203">
        <f t="shared" si="661"/>
        <v>0.3</v>
      </c>
      <c r="P565" s="203">
        <f t="shared" si="661"/>
        <v>-5.2999999999999999E-2</v>
      </c>
      <c r="Q565" s="203">
        <f t="shared" si="661"/>
        <v>0</v>
      </c>
      <c r="R565" s="203">
        <f t="shared" si="661"/>
        <v>0</v>
      </c>
      <c r="S565" s="203">
        <f t="shared" si="661"/>
        <v>-1.18</v>
      </c>
      <c r="T565" s="203"/>
      <c r="U565" s="203"/>
      <c r="V565" s="203"/>
      <c r="W565" s="203"/>
      <c r="Z565" s="301"/>
    </row>
    <row r="566" spans="1:28" s="205" customFormat="1" ht="18" customHeight="1">
      <c r="A566" s="614"/>
      <c r="B566" s="581"/>
      <c r="C566" s="581"/>
      <c r="D566" s="202" t="str">
        <f>серпень!D489</f>
        <v>відхилення з наростаючим</v>
      </c>
      <c r="E566" s="203"/>
      <c r="F566" s="203">
        <f t="shared" si="660"/>
        <v>-1.7210000000000001</v>
      </c>
      <c r="G566" s="203">
        <f t="shared" si="660"/>
        <v>-6.0000000000000001E-3</v>
      </c>
      <c r="H566" s="203">
        <f t="shared" si="660"/>
        <v>-0.128</v>
      </c>
      <c r="I566" s="203">
        <f t="shared" si="660"/>
        <v>-0.02</v>
      </c>
      <c r="J566" s="203">
        <f t="shared" si="660"/>
        <v>3.0000000000000001E-3</v>
      </c>
      <c r="K566" s="203">
        <f t="shared" si="660"/>
        <v>-0.52100000000000002</v>
      </c>
      <c r="L566" s="203"/>
      <c r="M566" s="203"/>
      <c r="N566" s="203">
        <f t="shared" si="661"/>
        <v>-0.29299999999999998</v>
      </c>
      <c r="O566" s="203">
        <f t="shared" si="661"/>
        <v>7.0000000000000001E-3</v>
      </c>
      <c r="P566" s="203">
        <f t="shared" si="661"/>
        <v>-4.5999999999999999E-2</v>
      </c>
      <c r="Q566" s="203">
        <f t="shared" si="661"/>
        <v>-4.5999999999999999E-2</v>
      </c>
      <c r="R566" s="203">
        <f t="shared" si="661"/>
        <v>-4.5999999999999999E-2</v>
      </c>
      <c r="S566" s="203">
        <f t="shared" si="661"/>
        <v>-1.226</v>
      </c>
      <c r="T566" s="203"/>
      <c r="U566" s="203"/>
      <c r="V566" s="203"/>
      <c r="W566" s="203"/>
      <c r="Z566" s="301"/>
    </row>
    <row r="567" spans="1:28" s="196" customFormat="1" ht="18" customHeight="1">
      <c r="A567" s="614"/>
      <c r="B567" s="576" t="s">
        <v>63</v>
      </c>
      <c r="C567" s="577"/>
      <c r="D567" s="178" t="str">
        <f>серпень!D490</f>
        <v>факт. нат.п-ки 2023</v>
      </c>
      <c r="E567" s="179"/>
      <c r="F567" s="410">
        <v>4.4000000000000004</v>
      </c>
      <c r="G567" s="410">
        <v>4.4000000000000004</v>
      </c>
      <c r="H567" s="420">
        <v>5.5</v>
      </c>
      <c r="I567" s="420">
        <v>4.4000000000000004</v>
      </c>
      <c r="J567" s="420">
        <v>5.5</v>
      </c>
      <c r="K567" s="420">
        <v>4.4000000000000004</v>
      </c>
      <c r="L567" s="262">
        <f>SUM(F567:K567)</f>
        <v>28.6</v>
      </c>
      <c r="M567" s="262">
        <f>L567/6</f>
        <v>4.7670000000000003</v>
      </c>
      <c r="N567" s="260">
        <v>4.4000000000000004</v>
      </c>
      <c r="O567" s="260">
        <v>3.65</v>
      </c>
      <c r="P567" s="260">
        <v>4.25</v>
      </c>
      <c r="Q567" s="260">
        <v>3.3</v>
      </c>
      <c r="R567" s="260">
        <v>2.63</v>
      </c>
      <c r="S567" s="260">
        <v>4.4000000000000004</v>
      </c>
      <c r="T567" s="215">
        <f>SUM(N567:S567)</f>
        <v>22.6</v>
      </c>
      <c r="U567" s="215">
        <f>T567+L567</f>
        <v>51.2</v>
      </c>
      <c r="V567" s="179">
        <v>51.2</v>
      </c>
      <c r="W567" s="184"/>
      <c r="X567" s="185"/>
      <c r="Y567" s="186"/>
      <c r="Z567" s="297"/>
      <c r="AA567" s="186"/>
      <c r="AB567" s="186"/>
    </row>
    <row r="568" spans="1:28" s="186" customFormat="1" ht="18" customHeight="1">
      <c r="A568" s="614"/>
      <c r="B568" s="576"/>
      <c r="C568" s="577"/>
      <c r="D568" s="178" t="str">
        <f>серпень!D491</f>
        <v>факт. нат.п-ки 2024</v>
      </c>
      <c r="E568" s="179"/>
      <c r="F568" s="410">
        <v>5.5</v>
      </c>
      <c r="G568" s="410">
        <v>4.4000000000000004</v>
      </c>
      <c r="H568" s="420">
        <v>4.4000000000000004</v>
      </c>
      <c r="I568" s="420">
        <v>4.4000000000000004</v>
      </c>
      <c r="J568" s="420">
        <v>5.5</v>
      </c>
      <c r="K568" s="420">
        <v>4.4000000000000004</v>
      </c>
      <c r="L568" s="262">
        <f>SUM(F568:K568)</f>
        <v>28.6</v>
      </c>
      <c r="M568" s="262">
        <f>L568/6</f>
        <v>4.7670000000000003</v>
      </c>
      <c r="N568" s="260">
        <v>0.24299999999999999</v>
      </c>
      <c r="O568" s="260">
        <v>3.3</v>
      </c>
      <c r="P568" s="260">
        <v>4.4000000000000004</v>
      </c>
      <c r="Q568" s="260">
        <v>1.7</v>
      </c>
      <c r="R568" s="260">
        <v>1.6</v>
      </c>
      <c r="S568" s="260">
        <v>1.6</v>
      </c>
      <c r="T568" s="215">
        <f>SUM(N568:S568)</f>
        <v>12.8</v>
      </c>
      <c r="U568" s="215">
        <f>T568+L568</f>
        <v>41.4</v>
      </c>
      <c r="V568" s="179">
        <v>41.4</v>
      </c>
      <c r="W568" s="184"/>
      <c r="X568" s="185"/>
      <c r="Z568" s="297"/>
    </row>
    <row r="569" spans="1:28" s="186" customFormat="1" ht="18" customHeight="1">
      <c r="A569" s="614"/>
      <c r="B569" s="576"/>
      <c r="C569" s="577"/>
      <c r="D569" s="178" t="str">
        <f>серпень!D492</f>
        <v>факт. нат.п-ки 2025</v>
      </c>
      <c r="E569" s="179"/>
      <c r="F569" s="410">
        <v>5.5</v>
      </c>
      <c r="G569" s="410">
        <v>3.3</v>
      </c>
      <c r="H569" s="420">
        <v>4.4000000000000004</v>
      </c>
      <c r="I569" s="420">
        <v>3.8149999999999999</v>
      </c>
      <c r="J569" s="420">
        <v>3.3</v>
      </c>
      <c r="K569" s="420">
        <v>1.6120000000000001</v>
      </c>
      <c r="L569" s="262">
        <f>SUM(F569:K569)</f>
        <v>21.927</v>
      </c>
      <c r="M569" s="262">
        <f>L569/6</f>
        <v>3.6549999999999998</v>
      </c>
      <c r="N569" s="260">
        <v>5.5</v>
      </c>
      <c r="O569" s="260">
        <v>3.3</v>
      </c>
      <c r="P569" s="260">
        <v>4.4000000000000004</v>
      </c>
      <c r="Q569" s="260">
        <f>3.3</f>
        <v>3.3</v>
      </c>
      <c r="R569" s="260">
        <v>2.6</v>
      </c>
      <c r="S569" s="260">
        <v>1.9</v>
      </c>
      <c r="T569" s="215">
        <f>SUM(N569:S569)</f>
        <v>21</v>
      </c>
      <c r="U569" s="215">
        <f>T569+L569</f>
        <v>42.9</v>
      </c>
      <c r="V569" s="179">
        <v>48.5</v>
      </c>
      <c r="W569" s="184">
        <f>V569-U569</f>
        <v>5.6</v>
      </c>
      <c r="X569" s="185"/>
      <c r="Z569" s="297"/>
    </row>
    <row r="570" spans="1:28" s="190" customFormat="1" ht="18" customHeight="1">
      <c r="A570" s="614"/>
      <c r="B570" s="576"/>
      <c r="C570" s="577"/>
      <c r="D570" s="187" t="str">
        <f>серпень!D493</f>
        <v>тариф, грн.</v>
      </c>
      <c r="E570" s="188" t="e">
        <f>E571/E569*1000</f>
        <v>#DIV/0!</v>
      </c>
      <c r="F570" s="188">
        <f t="shared" ref="F570:K570" si="662">F571/F569*1000</f>
        <v>168.18199999999999</v>
      </c>
      <c r="G570" s="188">
        <f t="shared" si="662"/>
        <v>167.87899999999999</v>
      </c>
      <c r="H570" s="188">
        <f t="shared" si="662"/>
        <v>167.95500000000001</v>
      </c>
      <c r="I570" s="188">
        <f t="shared" si="662"/>
        <v>168.02099999999999</v>
      </c>
      <c r="J570" s="188">
        <f t="shared" si="662"/>
        <v>168.48500000000001</v>
      </c>
      <c r="K570" s="188">
        <f t="shared" si="662"/>
        <v>168.114</v>
      </c>
      <c r="L570" s="218">
        <f>L571/L569*1000</f>
        <v>168.10300000000001</v>
      </c>
      <c r="M570" s="218">
        <f>M571/M569*1000</f>
        <v>167.989</v>
      </c>
      <c r="N570" s="218">
        <f t="shared" ref="N570:O570" si="663">N571/N569*1000</f>
        <v>167.81800000000001</v>
      </c>
      <c r="O570" s="218">
        <f t="shared" si="663"/>
        <v>167.87899999999999</v>
      </c>
      <c r="P570" s="218">
        <v>169.88</v>
      </c>
      <c r="Q570" s="218">
        <v>169.88</v>
      </c>
      <c r="R570" s="218">
        <v>169.88</v>
      </c>
      <c r="S570" s="188">
        <v>169.88</v>
      </c>
      <c r="T570" s="218">
        <f>T571/T569*1000</f>
        <v>167.952</v>
      </c>
      <c r="U570" s="218">
        <f>U571/U569*1000</f>
        <v>168.13499999999999</v>
      </c>
      <c r="V570" s="218">
        <f>V571/V569*1000</f>
        <v>169.36099999999999</v>
      </c>
      <c r="W570" s="218">
        <f>W571/W569*1000</f>
        <v>178.75</v>
      </c>
      <c r="X570" s="225"/>
      <c r="Z570" s="298"/>
    </row>
    <row r="571" spans="1:28" s="244" customFormat="1" ht="18" customHeight="1">
      <c r="A571" s="614"/>
      <c r="B571" s="576"/>
      <c r="C571" s="577"/>
      <c r="D571" s="191" t="str">
        <f>серпень!D494</f>
        <v>сума, тис.грн.</v>
      </c>
      <c r="E571" s="192"/>
      <c r="F571" s="192">
        <f>0.923+0.002</f>
        <v>0.92500000000000004</v>
      </c>
      <c r="G571" s="192">
        <v>0.55400000000000005</v>
      </c>
      <c r="H571" s="192">
        <v>0.73899999999999999</v>
      </c>
      <c r="I571" s="192">
        <f>0.64+0.001</f>
        <v>0.64100000000000001</v>
      </c>
      <c r="J571" s="192">
        <v>0.55600000000000005</v>
      </c>
      <c r="K571" s="192">
        <v>0.27100000000000002</v>
      </c>
      <c r="L571" s="194">
        <f>SUM(F571:K571)</f>
        <v>3.6859999999999999</v>
      </c>
      <c r="M571" s="194">
        <f>L571/6</f>
        <v>0.61399999999999999</v>
      </c>
      <c r="N571" s="192">
        <v>0.92300000000000004</v>
      </c>
      <c r="O571" s="192">
        <v>0.55400000000000005</v>
      </c>
      <c r="P571" s="192">
        <f t="shared" ref="P571" si="664">P569*P570/1000</f>
        <v>0.747</v>
      </c>
      <c r="Q571" s="192">
        <f t="shared" ref="Q571" si="665">Q569*Q570/1000</f>
        <v>0.56100000000000005</v>
      </c>
      <c r="R571" s="192">
        <f t="shared" ref="R571" si="666">R569*R570/1000</f>
        <v>0.442</v>
      </c>
      <c r="S571" s="192">
        <f>S569*S570/1000-0.023</f>
        <v>0.3</v>
      </c>
      <c r="T571" s="194">
        <f>SUM(N571:S571)</f>
        <v>3.5270000000000001</v>
      </c>
      <c r="U571" s="194">
        <f>T571+L571</f>
        <v>7.2130000000000001</v>
      </c>
      <c r="V571" s="171">
        <f>V572+V573</f>
        <v>8.2140000000000004</v>
      </c>
      <c r="W571" s="192">
        <f>V571-U571</f>
        <v>1.0009999999999999</v>
      </c>
      <c r="Z571" s="308"/>
    </row>
    <row r="572" spans="1:28" s="244" customFormat="1" ht="18" customHeight="1">
      <c r="A572" s="614"/>
      <c r="B572" s="576"/>
      <c r="C572" s="577"/>
      <c r="D572" s="174" t="str">
        <f>серпень!D495</f>
        <v>дотація</v>
      </c>
      <c r="E572" s="210"/>
      <c r="F572" s="192"/>
      <c r="G572" s="192"/>
      <c r="H572" s="192"/>
      <c r="I572" s="192"/>
      <c r="J572" s="192"/>
      <c r="K572" s="192"/>
      <c r="L572" s="194">
        <f>SUM(F572:K572)</f>
        <v>0</v>
      </c>
      <c r="M572" s="194">
        <f>L572/6</f>
        <v>0</v>
      </c>
      <c r="N572" s="192"/>
      <c r="O572" s="192"/>
      <c r="P572" s="192"/>
      <c r="Q572" s="192"/>
      <c r="R572" s="192"/>
      <c r="S572" s="192"/>
      <c r="T572" s="194">
        <f>SUM(N572:S572)</f>
        <v>0</v>
      </c>
      <c r="U572" s="194">
        <f>T572+L572</f>
        <v>0</v>
      </c>
      <c r="V572" s="171">
        <v>0</v>
      </c>
      <c r="W572" s="192">
        <f>V572-U572</f>
        <v>0</v>
      </c>
      <c r="Z572" s="308"/>
    </row>
    <row r="573" spans="1:28" s="244" customFormat="1" ht="18" customHeight="1">
      <c r="A573" s="614"/>
      <c r="B573" s="576"/>
      <c r="C573" s="577"/>
      <c r="D573" s="174" t="str">
        <f>серпень!D496</f>
        <v>місцевий (план), тис.грн</v>
      </c>
      <c r="E573" s="210"/>
      <c r="F573" s="192">
        <v>0.93400000000000005</v>
      </c>
      <c r="G573" s="192">
        <f>0.747-0.747</f>
        <v>0</v>
      </c>
      <c r="H573" s="192">
        <v>0.747</v>
      </c>
      <c r="I573" s="192">
        <v>0.747</v>
      </c>
      <c r="J573" s="192">
        <v>0.93400000000000005</v>
      </c>
      <c r="K573" s="192">
        <v>0.747</v>
      </c>
      <c r="L573" s="194">
        <f>SUM(F573:K573)</f>
        <v>4.109</v>
      </c>
      <c r="M573" s="194">
        <f>L573/6</f>
        <v>0.68500000000000005</v>
      </c>
      <c r="N573" s="192">
        <f>0.747-0.704</f>
        <v>4.2999999999999997E-2</v>
      </c>
      <c r="O573" s="192">
        <v>0.56100000000000005</v>
      </c>
      <c r="P573" s="192">
        <f>0.747+0.704</f>
        <v>1.4510000000000001</v>
      </c>
      <c r="Q573" s="192">
        <v>0.56100000000000005</v>
      </c>
      <c r="R573" s="192">
        <v>0.442</v>
      </c>
      <c r="S573" s="192">
        <f>0.301-0.001+0.747</f>
        <v>1.0469999999999999</v>
      </c>
      <c r="T573" s="194">
        <f>SUM(N573:S573)</f>
        <v>4.1050000000000004</v>
      </c>
      <c r="U573" s="194">
        <f>T573+L573</f>
        <v>8.2140000000000004</v>
      </c>
      <c r="V573" s="171">
        <f>8.239-0.025</f>
        <v>8.2140000000000004</v>
      </c>
      <c r="W573" s="192">
        <f>V573-U573</f>
        <v>0</v>
      </c>
      <c r="Z573" s="308"/>
    </row>
    <row r="574" spans="1:28" s="186" customFormat="1" ht="18" customHeight="1">
      <c r="A574" s="614"/>
      <c r="B574" s="576"/>
      <c r="C574" s="577"/>
      <c r="D574" s="178" t="str">
        <f>серпень!D497</f>
        <v>касові нат.п-ки 2025</v>
      </c>
      <c r="E574" s="179"/>
      <c r="F574" s="412">
        <v>0</v>
      </c>
      <c r="G574" s="412">
        <v>5.5</v>
      </c>
      <c r="H574" s="260">
        <v>3.3</v>
      </c>
      <c r="I574" s="260">
        <v>4.4000000000000004</v>
      </c>
      <c r="J574" s="260">
        <v>3.8149999999999999</v>
      </c>
      <c r="K574" s="260">
        <v>3.3</v>
      </c>
      <c r="L574" s="215">
        <f>SUM(F574:K574)</f>
        <v>20.3</v>
      </c>
      <c r="M574" s="215">
        <f>L574/6</f>
        <v>3.4</v>
      </c>
      <c r="N574" s="179">
        <v>1.6</v>
      </c>
      <c r="O574" s="260">
        <v>5.5</v>
      </c>
      <c r="P574" s="179">
        <f>3.3+4.4</f>
        <v>7.7</v>
      </c>
      <c r="Q574" s="179">
        <v>3.3</v>
      </c>
      <c r="R574" s="179">
        <v>2.6</v>
      </c>
      <c r="S574" s="179">
        <v>1.9</v>
      </c>
      <c r="T574" s="215">
        <f>SUM(N574:S574)</f>
        <v>22.6</v>
      </c>
      <c r="U574" s="215">
        <f>T574+L574</f>
        <v>42.9</v>
      </c>
      <c r="V574" s="179">
        <f>V569</f>
        <v>48.5</v>
      </c>
      <c r="W574" s="184">
        <f>V574-U574</f>
        <v>5.6</v>
      </c>
      <c r="X574" s="209">
        <f>U569-U574</f>
        <v>0</v>
      </c>
      <c r="Z574" s="297"/>
    </row>
    <row r="575" spans="1:28" s="190" customFormat="1" ht="18" customHeight="1">
      <c r="A575" s="614"/>
      <c r="B575" s="576"/>
      <c r="C575" s="577"/>
      <c r="D575" s="187" t="str">
        <f>серпень!D498</f>
        <v>тариф, грн.</v>
      </c>
      <c r="E575" s="188" t="e">
        <f>E576/E574*1000</f>
        <v>#DIV/0!</v>
      </c>
      <c r="F575" s="188" t="e">
        <f t="shared" ref="F575:K575" si="667">F576/F574*1000</f>
        <v>#DIV/0!</v>
      </c>
      <c r="G575" s="188">
        <f t="shared" si="667"/>
        <v>167.273</v>
      </c>
      <c r="H575" s="188">
        <f t="shared" si="667"/>
        <v>168.18199999999999</v>
      </c>
      <c r="I575" s="188">
        <f t="shared" si="667"/>
        <v>167.95500000000001</v>
      </c>
      <c r="J575" s="188">
        <f t="shared" si="667"/>
        <v>168.02099999999999</v>
      </c>
      <c r="K575" s="188">
        <f t="shared" si="667"/>
        <v>168.48500000000001</v>
      </c>
      <c r="L575" s="218">
        <f t="shared" ref="L575:P575" si="668">L576/L574*1000</f>
        <v>168.03</v>
      </c>
      <c r="M575" s="218">
        <f t="shared" si="668"/>
        <v>167.35300000000001</v>
      </c>
      <c r="N575" s="218">
        <f t="shared" si="668"/>
        <v>169.375</v>
      </c>
      <c r="O575" s="218">
        <f t="shared" si="668"/>
        <v>167.81800000000001</v>
      </c>
      <c r="P575" s="218">
        <f t="shared" si="668"/>
        <v>169.48099999999999</v>
      </c>
      <c r="Q575" s="218">
        <v>169.88</v>
      </c>
      <c r="R575" s="218">
        <v>169.88</v>
      </c>
      <c r="S575" s="188">
        <v>169.88</v>
      </c>
      <c r="T575" s="218">
        <v>169.98</v>
      </c>
      <c r="U575" s="218">
        <f>U576/U574*1000</f>
        <v>168.13499999999999</v>
      </c>
      <c r="V575" s="218">
        <f>V576/V574*1000</f>
        <v>169.36099999999999</v>
      </c>
      <c r="W575" s="218">
        <f>W576/W574*1000</f>
        <v>178.75</v>
      </c>
      <c r="X575" s="240"/>
      <c r="Z575" s="298"/>
    </row>
    <row r="576" spans="1:28" s="239" customFormat="1" ht="18" customHeight="1">
      <c r="A576" s="614"/>
      <c r="B576" s="576"/>
      <c r="C576" s="577"/>
      <c r="D576" s="198" t="str">
        <f>серпень!D499</f>
        <v>касові видатки, тис.грн.</v>
      </c>
      <c r="E576" s="220"/>
      <c r="F576" s="199">
        <v>0</v>
      </c>
      <c r="G576" s="199">
        <f>0.923-0.005+0.002</f>
        <v>0.92</v>
      </c>
      <c r="H576" s="199">
        <v>0.55500000000000005</v>
      </c>
      <c r="I576" s="199">
        <v>0.73899999999999999</v>
      </c>
      <c r="J576" s="199">
        <f>0.64+0.001</f>
        <v>0.64100000000000001</v>
      </c>
      <c r="K576" s="199">
        <v>0.55600000000000005</v>
      </c>
      <c r="L576" s="199">
        <f>SUM(F576:K576)</f>
        <v>3.411</v>
      </c>
      <c r="M576" s="199">
        <f>L576/6</f>
        <v>0.56899999999999995</v>
      </c>
      <c r="N576" s="199">
        <v>0.27100000000000002</v>
      </c>
      <c r="O576" s="199">
        <v>0.92300000000000004</v>
      </c>
      <c r="P576" s="199">
        <v>1.3049999999999999</v>
      </c>
      <c r="Q576" s="199">
        <f t="shared" ref="Q576" si="669">Q574*Q575/1000</f>
        <v>0.56100000000000005</v>
      </c>
      <c r="R576" s="199">
        <f t="shared" ref="R576" si="670">R574*R575/1000</f>
        <v>0.442</v>
      </c>
      <c r="S576" s="199">
        <f>S574*S575/1000-0.023</f>
        <v>0.3</v>
      </c>
      <c r="T576" s="199">
        <f>SUM(N576:S576)</f>
        <v>3.802</v>
      </c>
      <c r="U576" s="199">
        <f>T576+L576</f>
        <v>7.2130000000000001</v>
      </c>
      <c r="V576" s="199">
        <f>V571</f>
        <v>8.2140000000000004</v>
      </c>
      <c r="W576" s="221">
        <f>V576-U576</f>
        <v>1.0009999999999999</v>
      </c>
      <c r="X576" s="213">
        <f>U571-U576</f>
        <v>0</v>
      </c>
      <c r="Z576" s="300"/>
    </row>
    <row r="577" spans="1:28" s="239" customFormat="1" ht="18" customHeight="1">
      <c r="A577" s="614"/>
      <c r="B577" s="576"/>
      <c r="C577" s="577"/>
      <c r="D577" s="201" t="str">
        <f>серпень!D500</f>
        <v>дотація</v>
      </c>
      <c r="E577" s="220"/>
      <c r="F577" s="199">
        <v>0</v>
      </c>
      <c r="G577" s="199">
        <v>0</v>
      </c>
      <c r="H577" s="199">
        <v>0</v>
      </c>
      <c r="I577" s="199">
        <v>0</v>
      </c>
      <c r="J577" s="199">
        <v>0</v>
      </c>
      <c r="K577" s="199">
        <v>0</v>
      </c>
      <c r="L577" s="199">
        <f>SUM(F577:K577)</f>
        <v>0</v>
      </c>
      <c r="M577" s="199">
        <f>L577/6</f>
        <v>0</v>
      </c>
      <c r="N577" s="199">
        <v>0</v>
      </c>
      <c r="O577" s="199">
        <v>0</v>
      </c>
      <c r="P577" s="199">
        <v>0</v>
      </c>
      <c r="Q577" s="199">
        <v>0</v>
      </c>
      <c r="R577" s="199">
        <v>0</v>
      </c>
      <c r="S577" s="199">
        <v>0</v>
      </c>
      <c r="T577" s="199">
        <f>SUM(N577:S577)</f>
        <v>0</v>
      </c>
      <c r="U577" s="199">
        <f>T577+L577</f>
        <v>0</v>
      </c>
      <c r="V577" s="199">
        <f>V572</f>
        <v>0</v>
      </c>
      <c r="W577" s="221">
        <f>V577-U577</f>
        <v>0</v>
      </c>
      <c r="X577" s="213">
        <f>U572-U577</f>
        <v>0</v>
      </c>
      <c r="Z577" s="300"/>
    </row>
    <row r="578" spans="1:28" s="239" customFormat="1" ht="18" customHeight="1">
      <c r="A578" s="614"/>
      <c r="B578" s="576"/>
      <c r="C578" s="577"/>
      <c r="D578" s="201" t="str">
        <f>серпень!D501</f>
        <v xml:space="preserve">місцевий </v>
      </c>
      <c r="E578" s="220"/>
      <c r="F578" s="199">
        <f t="shared" ref="F578:K578" si="671">F576-F577</f>
        <v>0</v>
      </c>
      <c r="G578" s="199">
        <f t="shared" si="671"/>
        <v>0.92</v>
      </c>
      <c r="H578" s="199">
        <f t="shared" si="671"/>
        <v>0.55500000000000005</v>
      </c>
      <c r="I578" s="199">
        <f t="shared" si="671"/>
        <v>0.73899999999999999</v>
      </c>
      <c r="J578" s="199">
        <f t="shared" si="671"/>
        <v>0.64100000000000001</v>
      </c>
      <c r="K578" s="199">
        <f t="shared" si="671"/>
        <v>0.55600000000000005</v>
      </c>
      <c r="L578" s="199">
        <f>SUM(F578:K578)</f>
        <v>3.411</v>
      </c>
      <c r="M578" s="199">
        <f>L578/6</f>
        <v>0.56899999999999995</v>
      </c>
      <c r="N578" s="199">
        <f t="shared" ref="N578:S578" si="672">N576-N577</f>
        <v>0.27100000000000002</v>
      </c>
      <c r="O578" s="199">
        <f t="shared" si="672"/>
        <v>0.92300000000000004</v>
      </c>
      <c r="P578" s="199">
        <f t="shared" si="672"/>
        <v>1.3049999999999999</v>
      </c>
      <c r="Q578" s="199">
        <f t="shared" si="672"/>
        <v>0.56100000000000005</v>
      </c>
      <c r="R578" s="199">
        <f t="shared" si="672"/>
        <v>0.442</v>
      </c>
      <c r="S578" s="199">
        <f t="shared" si="672"/>
        <v>0.3</v>
      </c>
      <c r="T578" s="199">
        <f>SUM(N578:S578)</f>
        <v>3.802</v>
      </c>
      <c r="U578" s="199">
        <f>T578+L578</f>
        <v>7.2130000000000001</v>
      </c>
      <c r="V578" s="199">
        <f>V573</f>
        <v>8.2140000000000004</v>
      </c>
      <c r="W578" s="221">
        <f>V578-U578</f>
        <v>1.0009999999999999</v>
      </c>
      <c r="X578" s="213">
        <f>U573-U578</f>
        <v>1.0009999999999999</v>
      </c>
      <c r="Z578" s="300"/>
    </row>
    <row r="579" spans="1:28" s="205" customFormat="1" ht="18" customHeight="1">
      <c r="A579" s="614"/>
      <c r="B579" s="576"/>
      <c r="C579" s="577"/>
      <c r="D579" s="202" t="str">
        <f>серпень!D502</f>
        <v>план</v>
      </c>
      <c r="E579" s="203"/>
      <c r="F579" s="203">
        <f t="shared" ref="F579:K579" si="673">F573</f>
        <v>0.93400000000000005</v>
      </c>
      <c r="G579" s="203">
        <f t="shared" si="673"/>
        <v>0</v>
      </c>
      <c r="H579" s="203">
        <f t="shared" si="673"/>
        <v>0.747</v>
      </c>
      <c r="I579" s="203">
        <f t="shared" si="673"/>
        <v>0.747</v>
      </c>
      <c r="J579" s="203">
        <f t="shared" si="673"/>
        <v>0.93400000000000005</v>
      </c>
      <c r="K579" s="203">
        <f t="shared" si="673"/>
        <v>0.747</v>
      </c>
      <c r="L579" s="203">
        <f>SUM(F579:K579)</f>
        <v>4.109</v>
      </c>
      <c r="M579" s="203">
        <f>L579/6</f>
        <v>0.68500000000000005</v>
      </c>
      <c r="N579" s="203">
        <f t="shared" ref="N579:S579" si="674">N573+N572</f>
        <v>4.2999999999999997E-2</v>
      </c>
      <c r="O579" s="203">
        <f t="shared" si="674"/>
        <v>0.56100000000000005</v>
      </c>
      <c r="P579" s="203">
        <f t="shared" si="674"/>
        <v>1.4510000000000001</v>
      </c>
      <c r="Q579" s="203">
        <f t="shared" si="674"/>
        <v>0.56100000000000005</v>
      </c>
      <c r="R579" s="203">
        <f t="shared" si="674"/>
        <v>0.442</v>
      </c>
      <c r="S579" s="203">
        <f t="shared" si="674"/>
        <v>1.0469999999999999</v>
      </c>
      <c r="T579" s="203">
        <f>SUM(N579:S579)</f>
        <v>4.1050000000000004</v>
      </c>
      <c r="U579" s="203">
        <f>T579+L579</f>
        <v>8.2140000000000004</v>
      </c>
      <c r="V579" s="203">
        <f>V576</f>
        <v>8.2140000000000004</v>
      </c>
      <c r="W579" s="203">
        <f>V579-U579</f>
        <v>0</v>
      </c>
      <c r="Z579" s="301"/>
    </row>
    <row r="580" spans="1:28" s="205" customFormat="1" ht="18" customHeight="1">
      <c r="A580" s="614"/>
      <c r="B580" s="576"/>
      <c r="C580" s="577"/>
      <c r="D580" s="202" t="str">
        <f>серпень!D503</f>
        <v xml:space="preserve">відхилення </v>
      </c>
      <c r="E580" s="203"/>
      <c r="F580" s="203">
        <f t="shared" ref="F580:K580" si="675">F576-F579</f>
        <v>-0.93400000000000005</v>
      </c>
      <c r="G580" s="203">
        <f t="shared" si="675"/>
        <v>0.92</v>
      </c>
      <c r="H580" s="203">
        <f t="shared" si="675"/>
        <v>-0.192</v>
      </c>
      <c r="I580" s="203">
        <f t="shared" si="675"/>
        <v>-8.0000000000000002E-3</v>
      </c>
      <c r="J580" s="203">
        <f t="shared" si="675"/>
        <v>-0.29299999999999998</v>
      </c>
      <c r="K580" s="203">
        <f t="shared" si="675"/>
        <v>-0.191</v>
      </c>
      <c r="L580" s="203"/>
      <c r="M580" s="203"/>
      <c r="N580" s="203">
        <f t="shared" ref="N580:S580" si="676">N576-N579</f>
        <v>0.22800000000000001</v>
      </c>
      <c r="O580" s="203">
        <f t="shared" si="676"/>
        <v>0.36199999999999999</v>
      </c>
      <c r="P580" s="203">
        <f t="shared" si="676"/>
        <v>-0.14599999999999999</v>
      </c>
      <c r="Q580" s="203">
        <f t="shared" si="676"/>
        <v>0</v>
      </c>
      <c r="R580" s="203">
        <f t="shared" si="676"/>
        <v>0</v>
      </c>
      <c r="S580" s="203">
        <f t="shared" si="676"/>
        <v>-0.747</v>
      </c>
      <c r="T580" s="203"/>
      <c r="U580" s="203"/>
      <c r="V580" s="203"/>
      <c r="W580" s="203"/>
      <c r="Z580" s="301"/>
    </row>
    <row r="581" spans="1:28" s="205" customFormat="1" ht="18" customHeight="1">
      <c r="A581" s="614"/>
      <c r="B581" s="576"/>
      <c r="C581" s="577"/>
      <c r="D581" s="202" t="str">
        <f>серпень!D504</f>
        <v>відхилення з наростаючим</v>
      </c>
      <c r="E581" s="203"/>
      <c r="F581" s="203">
        <f>F580</f>
        <v>-0.93400000000000005</v>
      </c>
      <c r="G581" s="203">
        <f>G580+F581</f>
        <v>-1.4E-2</v>
      </c>
      <c r="H581" s="203">
        <f>H580+G581</f>
        <v>-0.20599999999999999</v>
      </c>
      <c r="I581" s="203">
        <f>I580+H581</f>
        <v>-0.214</v>
      </c>
      <c r="J581" s="203">
        <f>J580+I581</f>
        <v>-0.50700000000000001</v>
      </c>
      <c r="K581" s="203">
        <f>K580+J581</f>
        <v>-0.69799999999999995</v>
      </c>
      <c r="L581" s="203"/>
      <c r="M581" s="203"/>
      <c r="N581" s="203">
        <f>N580+K581</f>
        <v>-0.47</v>
      </c>
      <c r="O581" s="203">
        <f>O580+N581</f>
        <v>-0.108</v>
      </c>
      <c r="P581" s="203">
        <f>P580+O581</f>
        <v>-0.254</v>
      </c>
      <c r="Q581" s="203">
        <f>Q580+P581</f>
        <v>-0.254</v>
      </c>
      <c r="R581" s="203">
        <f>R580+Q581</f>
        <v>-0.254</v>
      </c>
      <c r="S581" s="203">
        <f>S580+R581</f>
        <v>-1.0009999999999999</v>
      </c>
      <c r="T581" s="203"/>
      <c r="U581" s="203"/>
      <c r="V581" s="203"/>
      <c r="W581" s="203"/>
      <c r="Z581" s="301"/>
    </row>
    <row r="582" spans="1:28" s="196" customFormat="1" ht="18" customHeight="1">
      <c r="A582" s="614"/>
      <c r="B582" s="654" t="s">
        <v>127</v>
      </c>
      <c r="C582" s="581"/>
      <c r="D582" s="178" t="str">
        <f>серпень!D505</f>
        <v>факт. нат.п-ки 2023</v>
      </c>
      <c r="E582" s="179"/>
      <c r="F582" s="184"/>
      <c r="G582" s="184"/>
      <c r="H582" s="179"/>
      <c r="I582" s="179"/>
      <c r="J582" s="179"/>
      <c r="K582" s="179"/>
      <c r="L582" s="215">
        <f>SUM(F582:K582)</f>
        <v>0</v>
      </c>
      <c r="M582" s="215">
        <f>L582/6</f>
        <v>0</v>
      </c>
      <c r="N582" s="179"/>
      <c r="O582" s="179"/>
      <c r="P582" s="179"/>
      <c r="Q582" s="179"/>
      <c r="R582" s="179"/>
      <c r="S582" s="179"/>
      <c r="T582" s="215">
        <f>SUM(N582:S582)</f>
        <v>0</v>
      </c>
      <c r="U582" s="215">
        <f>T582+L582</f>
        <v>0</v>
      </c>
      <c r="V582" s="179"/>
      <c r="W582" s="184"/>
      <c r="X582" s="185"/>
      <c r="Y582" s="186"/>
      <c r="Z582" s="297"/>
      <c r="AA582" s="186"/>
      <c r="AB582" s="186"/>
    </row>
    <row r="583" spans="1:28" s="186" customFormat="1" ht="18" customHeight="1">
      <c r="A583" s="614"/>
      <c r="B583" s="581"/>
      <c r="C583" s="581"/>
      <c r="D583" s="178" t="str">
        <f>серпень!D506</f>
        <v>факт. нат.п-ки 2024</v>
      </c>
      <c r="E583" s="179"/>
      <c r="F583" s="184"/>
      <c r="G583" s="184"/>
      <c r="H583" s="179"/>
      <c r="I583" s="179"/>
      <c r="J583" s="179"/>
      <c r="K583" s="179"/>
      <c r="L583" s="215">
        <f>SUM(F583:K583)</f>
        <v>0</v>
      </c>
      <c r="M583" s="215">
        <f>L583/6</f>
        <v>0</v>
      </c>
      <c r="N583" s="179"/>
      <c r="O583" s="179"/>
      <c r="P583" s="179"/>
      <c r="Q583" s="179"/>
      <c r="R583" s="179"/>
      <c r="S583" s="179"/>
      <c r="T583" s="215">
        <f>SUM(N583:S583)</f>
        <v>0</v>
      </c>
      <c r="U583" s="215">
        <f>T583+L583</f>
        <v>0</v>
      </c>
      <c r="V583" s="179"/>
      <c r="W583" s="184"/>
      <c r="X583" s="185"/>
      <c r="Z583" s="297"/>
    </row>
    <row r="584" spans="1:28" s="186" customFormat="1" ht="18" customHeight="1">
      <c r="A584" s="614"/>
      <c r="B584" s="581"/>
      <c r="C584" s="581"/>
      <c r="D584" s="178" t="str">
        <f>серпень!D507</f>
        <v>факт. нат.п-ки 2025</v>
      </c>
      <c r="E584" s="179"/>
      <c r="F584" s="184">
        <v>1</v>
      </c>
      <c r="G584" s="184">
        <v>1</v>
      </c>
      <c r="H584" s="184">
        <v>1</v>
      </c>
      <c r="I584" s="184">
        <v>1</v>
      </c>
      <c r="J584" s="184">
        <v>1</v>
      </c>
      <c r="K584" s="184">
        <v>1</v>
      </c>
      <c r="L584" s="215">
        <f>SUM(F584:K584)</f>
        <v>6</v>
      </c>
      <c r="M584" s="215">
        <f>L584/6</f>
        <v>1</v>
      </c>
      <c r="N584" s="184">
        <v>1</v>
      </c>
      <c r="O584" s="184">
        <v>1</v>
      </c>
      <c r="P584" s="184">
        <v>1</v>
      </c>
      <c r="Q584" s="184">
        <v>1</v>
      </c>
      <c r="R584" s="184">
        <v>1</v>
      </c>
      <c r="S584" s="184">
        <v>1</v>
      </c>
      <c r="T584" s="215">
        <f>SUM(N584:S584)</f>
        <v>6</v>
      </c>
      <c r="U584" s="215">
        <f>T584+L584</f>
        <v>12</v>
      </c>
      <c r="V584" s="179">
        <v>12</v>
      </c>
      <c r="W584" s="184">
        <f>V584-U584</f>
        <v>0</v>
      </c>
      <c r="X584" s="185"/>
      <c r="Z584" s="297"/>
    </row>
    <row r="585" spans="1:28" s="190" customFormat="1" ht="18" customHeight="1">
      <c r="A585" s="614"/>
      <c r="B585" s="581"/>
      <c r="C585" s="581"/>
      <c r="D585" s="187" t="str">
        <f>серпень!D508</f>
        <v>тариф, грн.</v>
      </c>
      <c r="E585" s="188" t="e">
        <f>E586/E584*1000</f>
        <v>#DIV/0!</v>
      </c>
      <c r="F585" s="188">
        <v>2.1</v>
      </c>
      <c r="G585" s="188">
        <v>2.1</v>
      </c>
      <c r="H585" s="188">
        <v>2.1</v>
      </c>
      <c r="I585" s="188">
        <v>2.1</v>
      </c>
      <c r="J585" s="188">
        <v>2.1</v>
      </c>
      <c r="K585" s="188">
        <v>2.1</v>
      </c>
      <c r="L585" s="218">
        <f>L586/L584*1000</f>
        <v>2</v>
      </c>
      <c r="M585" s="218">
        <f>M586/M584*1000</f>
        <v>2</v>
      </c>
      <c r="N585" s="218">
        <v>2.1</v>
      </c>
      <c r="O585" s="218">
        <v>2.1</v>
      </c>
      <c r="P585" s="218">
        <v>2.1</v>
      </c>
      <c r="Q585" s="218">
        <v>2.1</v>
      </c>
      <c r="R585" s="218">
        <v>2.1</v>
      </c>
      <c r="S585" s="218">
        <v>2.1</v>
      </c>
      <c r="T585" s="218">
        <f>T586/T584*1000</f>
        <v>2</v>
      </c>
      <c r="U585" s="218">
        <f>U586/U584*1000</f>
        <v>2</v>
      </c>
      <c r="V585" s="218">
        <f>V586/V584*1000</f>
        <v>2.0830000000000002</v>
      </c>
      <c r="W585" s="218" t="e">
        <f>W586/W584*1000</f>
        <v>#DIV/0!</v>
      </c>
      <c r="X585" s="225"/>
      <c r="Z585" s="298"/>
    </row>
    <row r="586" spans="1:28" s="244" customFormat="1" ht="18" customHeight="1">
      <c r="A586" s="614"/>
      <c r="B586" s="581"/>
      <c r="C586" s="581"/>
      <c r="D586" s="191" t="str">
        <f>серпень!D509</f>
        <v>сума, тис.грн.</v>
      </c>
      <c r="E586" s="192"/>
      <c r="F586" s="192">
        <v>2E-3</v>
      </c>
      <c r="G586" s="192">
        <v>2E-3</v>
      </c>
      <c r="H586" s="192">
        <v>2E-3</v>
      </c>
      <c r="I586" s="192">
        <v>2E-3</v>
      </c>
      <c r="J586" s="192">
        <f t="shared" ref="J586:K586" si="677">J584*J585/1000</f>
        <v>2E-3</v>
      </c>
      <c r="K586" s="192">
        <f t="shared" si="677"/>
        <v>2E-3</v>
      </c>
      <c r="L586" s="194">
        <f>SUM(F586:K586)</f>
        <v>1.2E-2</v>
      </c>
      <c r="M586" s="194">
        <f>L586/6</f>
        <v>2E-3</v>
      </c>
      <c r="N586" s="192">
        <f>N584*N585/1000</f>
        <v>2E-3</v>
      </c>
      <c r="O586" s="192">
        <f t="shared" ref="O586" si="678">O584*O585/1000</f>
        <v>2E-3</v>
      </c>
      <c r="P586" s="192">
        <f t="shared" ref="P586" si="679">P584*P585/1000</f>
        <v>2E-3</v>
      </c>
      <c r="Q586" s="192">
        <f t="shared" ref="Q586" si="680">Q584*Q585/1000</f>
        <v>2E-3</v>
      </c>
      <c r="R586" s="192">
        <f t="shared" ref="R586" si="681">R584*R585/1000</f>
        <v>2E-3</v>
      </c>
      <c r="S586" s="192">
        <f>S584*S585/1000</f>
        <v>2E-3</v>
      </c>
      <c r="T586" s="194">
        <f>SUM(N586:S586)</f>
        <v>1.2E-2</v>
      </c>
      <c r="U586" s="194">
        <f>T586+L586</f>
        <v>2.4E-2</v>
      </c>
      <c r="V586" s="171">
        <f>V587+V588</f>
        <v>2.5000000000000001E-2</v>
      </c>
      <c r="W586" s="192">
        <f>V586-U586</f>
        <v>1E-3</v>
      </c>
      <c r="Z586" s="308"/>
    </row>
    <row r="587" spans="1:28" s="244" customFormat="1" ht="18" customHeight="1">
      <c r="A587" s="614"/>
      <c r="B587" s="581"/>
      <c r="C587" s="581"/>
      <c r="D587" s="174" t="str">
        <f>серпень!D510</f>
        <v>дотація</v>
      </c>
      <c r="E587" s="210"/>
      <c r="F587" s="192"/>
      <c r="G587" s="192"/>
      <c r="H587" s="192"/>
      <c r="I587" s="192"/>
      <c r="J587" s="192"/>
      <c r="K587" s="192"/>
      <c r="L587" s="194">
        <f>SUM(F587:K587)</f>
        <v>0</v>
      </c>
      <c r="M587" s="194">
        <f>L587/6</f>
        <v>0</v>
      </c>
      <c r="N587" s="192"/>
      <c r="O587" s="192"/>
      <c r="P587" s="192"/>
      <c r="Q587" s="192"/>
      <c r="R587" s="192"/>
      <c r="S587" s="192"/>
      <c r="T587" s="194">
        <f>SUM(N587:S587)</f>
        <v>0</v>
      </c>
      <c r="U587" s="194">
        <f>T587+L587</f>
        <v>0</v>
      </c>
      <c r="V587" s="171">
        <v>0</v>
      </c>
      <c r="W587" s="192">
        <f>V587-U587</f>
        <v>0</v>
      </c>
      <c r="Z587" s="308"/>
    </row>
    <row r="588" spans="1:28" s="244" customFormat="1" ht="18" customHeight="1">
      <c r="A588" s="614"/>
      <c r="B588" s="581"/>
      <c r="C588" s="581"/>
      <c r="D588" s="174" t="str">
        <f>серпень!D511</f>
        <v>місцевий (план), тис.грн</v>
      </c>
      <c r="E588" s="210"/>
      <c r="F588" s="192">
        <v>3.0000000000000001E-3</v>
      </c>
      <c r="G588" s="192">
        <v>2E-3</v>
      </c>
      <c r="H588" s="192">
        <v>2E-3</v>
      </c>
      <c r="I588" s="192">
        <v>2E-3</v>
      </c>
      <c r="J588" s="192">
        <v>2E-3</v>
      </c>
      <c r="K588" s="192">
        <v>2E-3</v>
      </c>
      <c r="L588" s="194">
        <f>SUM(F588:K588)</f>
        <v>1.2999999999999999E-2</v>
      </c>
      <c r="M588" s="194">
        <f>L588/6</f>
        <v>2E-3</v>
      </c>
      <c r="N588" s="192">
        <v>2E-3</v>
      </c>
      <c r="O588" s="192">
        <v>2E-3</v>
      </c>
      <c r="P588" s="192">
        <v>2E-3</v>
      </c>
      <c r="Q588" s="192">
        <v>2E-3</v>
      </c>
      <c r="R588" s="192">
        <v>2E-3</v>
      </c>
      <c r="S588" s="192">
        <v>2E-3</v>
      </c>
      <c r="T588" s="194">
        <f>SUM(N588:S588)</f>
        <v>1.2E-2</v>
      </c>
      <c r="U588" s="194">
        <f>T588+L588</f>
        <v>2.5000000000000001E-2</v>
      </c>
      <c r="V588" s="171">
        <v>2.5000000000000001E-2</v>
      </c>
      <c r="W588" s="192">
        <f>V588-U588</f>
        <v>0</v>
      </c>
      <c r="Z588" s="308"/>
    </row>
    <row r="589" spans="1:28" s="186" customFormat="1" ht="18" customHeight="1">
      <c r="A589" s="614"/>
      <c r="B589" s="581"/>
      <c r="C589" s="581"/>
      <c r="D589" s="178" t="str">
        <f>серпень!D512</f>
        <v>касові нат.п-ки 2025</v>
      </c>
      <c r="E589" s="179"/>
      <c r="F589" s="184">
        <v>0</v>
      </c>
      <c r="G589" s="184">
        <v>1</v>
      </c>
      <c r="H589" s="184">
        <v>1</v>
      </c>
      <c r="I589" s="184">
        <v>1</v>
      </c>
      <c r="J589" s="184">
        <v>1</v>
      </c>
      <c r="K589" s="184">
        <v>1</v>
      </c>
      <c r="L589" s="215">
        <f>SUM(F589:K589)</f>
        <v>5</v>
      </c>
      <c r="M589" s="215">
        <f>L589/6</f>
        <v>0.8</v>
      </c>
      <c r="N589" s="184">
        <v>1</v>
      </c>
      <c r="O589" s="184">
        <v>1</v>
      </c>
      <c r="P589" s="184">
        <v>1</v>
      </c>
      <c r="Q589" s="184">
        <v>1</v>
      </c>
      <c r="R589" s="184">
        <v>1</v>
      </c>
      <c r="S589" s="184">
        <f>1+1</f>
        <v>2</v>
      </c>
      <c r="T589" s="215">
        <f>SUM(N589:S589)</f>
        <v>7</v>
      </c>
      <c r="U589" s="215">
        <f>T589+L589</f>
        <v>12</v>
      </c>
      <c r="V589" s="179">
        <f>V584</f>
        <v>12</v>
      </c>
      <c r="W589" s="184">
        <f>V589-U589</f>
        <v>0</v>
      </c>
      <c r="X589" s="209">
        <f>U584-U589</f>
        <v>0</v>
      </c>
      <c r="Z589" s="297"/>
    </row>
    <row r="590" spans="1:28" s="190" customFormat="1" ht="18" customHeight="1">
      <c r="A590" s="614"/>
      <c r="B590" s="581"/>
      <c r="C590" s="581"/>
      <c r="D590" s="187" t="str">
        <f>серпень!D513</f>
        <v>тариф, грн.</v>
      </c>
      <c r="E590" s="188" t="e">
        <f>E591/E589*1000</f>
        <v>#DIV/0!</v>
      </c>
      <c r="F590" s="188" t="e">
        <f t="shared" ref="F590:I590" si="682">F591/F589*1000</f>
        <v>#DIV/0!</v>
      </c>
      <c r="G590" s="188">
        <f t="shared" si="682"/>
        <v>2</v>
      </c>
      <c r="H590" s="188">
        <f t="shared" si="682"/>
        <v>2</v>
      </c>
      <c r="I590" s="188">
        <f t="shared" si="682"/>
        <v>2</v>
      </c>
      <c r="J590" s="188">
        <v>2.1</v>
      </c>
      <c r="K590" s="188">
        <v>2.1</v>
      </c>
      <c r="L590" s="218">
        <f t="shared" ref="L590:M590" si="683">L591/L589*1000</f>
        <v>2</v>
      </c>
      <c r="M590" s="218">
        <f t="shared" si="683"/>
        <v>2.5</v>
      </c>
      <c r="N590" s="218">
        <v>2.1</v>
      </c>
      <c r="O590" s="218">
        <v>2.1</v>
      </c>
      <c r="P590" s="218">
        <v>2.1</v>
      </c>
      <c r="Q590" s="218">
        <v>2.1</v>
      </c>
      <c r="R590" s="218">
        <v>2.1</v>
      </c>
      <c r="S590" s="218">
        <v>2.1</v>
      </c>
      <c r="T590" s="218">
        <v>169.98</v>
      </c>
      <c r="U590" s="218">
        <f>U591/U589*1000</f>
        <v>2</v>
      </c>
      <c r="V590" s="218">
        <f>V591/V589*1000</f>
        <v>2.0830000000000002</v>
      </c>
      <c r="W590" s="218" t="e">
        <f>W591/W589*1000</f>
        <v>#DIV/0!</v>
      </c>
      <c r="X590" s="240"/>
      <c r="Z590" s="298"/>
    </row>
    <row r="591" spans="1:28" s="239" customFormat="1" ht="18" customHeight="1">
      <c r="A591" s="614"/>
      <c r="B591" s="581"/>
      <c r="C591" s="581"/>
      <c r="D591" s="198" t="str">
        <f>серпень!D514</f>
        <v>касові видатки, тис.грн.</v>
      </c>
      <c r="E591" s="220"/>
      <c r="F591" s="199">
        <v>0</v>
      </c>
      <c r="G591" s="199">
        <v>2E-3</v>
      </c>
      <c r="H591" s="199">
        <v>2E-3</v>
      </c>
      <c r="I591" s="199">
        <v>2E-3</v>
      </c>
      <c r="J591" s="199">
        <f t="shared" ref="J591" si="684">J589*J590/1000</f>
        <v>2E-3</v>
      </c>
      <c r="K591" s="199">
        <f t="shared" ref="K591" si="685">K589*K590/1000</f>
        <v>2E-3</v>
      </c>
      <c r="L591" s="199">
        <f>SUM(F591:K591)</f>
        <v>0.01</v>
      </c>
      <c r="M591" s="199">
        <f>L591/6</f>
        <v>2E-3</v>
      </c>
      <c r="N591" s="199">
        <f>N589*N590/1000</f>
        <v>2E-3</v>
      </c>
      <c r="O591" s="199">
        <f t="shared" ref="O591" si="686">O589*O590/1000</f>
        <v>2E-3</v>
      </c>
      <c r="P591" s="199">
        <f t="shared" ref="P591" si="687">P589*P590/1000</f>
        <v>2E-3</v>
      </c>
      <c r="Q591" s="199">
        <f t="shared" ref="Q591" si="688">Q589*Q590/1000</f>
        <v>2E-3</v>
      </c>
      <c r="R591" s="199">
        <f t="shared" ref="R591" si="689">R589*R590/1000</f>
        <v>2E-3</v>
      </c>
      <c r="S591" s="199">
        <f>S589*S590/1000</f>
        <v>4.0000000000000001E-3</v>
      </c>
      <c r="T591" s="199">
        <f>SUM(N591:S591)</f>
        <v>1.4E-2</v>
      </c>
      <c r="U591" s="199">
        <f>T591+L591</f>
        <v>2.4E-2</v>
      </c>
      <c r="V591" s="199">
        <f>V586</f>
        <v>2.5000000000000001E-2</v>
      </c>
      <c r="W591" s="221">
        <f>V591-U591</f>
        <v>1E-3</v>
      </c>
      <c r="X591" s="213">
        <f>U586-U591</f>
        <v>0</v>
      </c>
      <c r="Z591" s="300"/>
    </row>
    <row r="592" spans="1:28" s="239" customFormat="1" ht="18" customHeight="1">
      <c r="A592" s="614"/>
      <c r="B592" s="581"/>
      <c r="C592" s="581"/>
      <c r="D592" s="201" t="str">
        <f>серпень!D515</f>
        <v>дотація</v>
      </c>
      <c r="E592" s="220"/>
      <c r="F592" s="199">
        <v>0</v>
      </c>
      <c r="G592" s="199">
        <v>0</v>
      </c>
      <c r="H592" s="199">
        <v>0</v>
      </c>
      <c r="I592" s="199">
        <v>0</v>
      </c>
      <c r="J592" s="199">
        <v>0</v>
      </c>
      <c r="K592" s="199">
        <v>0</v>
      </c>
      <c r="L592" s="199">
        <f>SUM(F592:K592)</f>
        <v>0</v>
      </c>
      <c r="M592" s="199">
        <f>L592/6</f>
        <v>0</v>
      </c>
      <c r="N592" s="199">
        <v>0</v>
      </c>
      <c r="O592" s="199">
        <v>0</v>
      </c>
      <c r="P592" s="199">
        <v>0</v>
      </c>
      <c r="Q592" s="199">
        <v>0</v>
      </c>
      <c r="R592" s="199">
        <v>0</v>
      </c>
      <c r="S592" s="199">
        <v>0</v>
      </c>
      <c r="T592" s="199">
        <f>SUM(N592:S592)</f>
        <v>0</v>
      </c>
      <c r="U592" s="199">
        <f>T592+L592</f>
        <v>0</v>
      </c>
      <c r="V592" s="199">
        <f>V587</f>
        <v>0</v>
      </c>
      <c r="W592" s="221">
        <f>V592-U592</f>
        <v>0</v>
      </c>
      <c r="X592" s="213">
        <f>U587-U592</f>
        <v>0</v>
      </c>
      <c r="Z592" s="300"/>
    </row>
    <row r="593" spans="1:28" s="239" customFormat="1" ht="18" customHeight="1">
      <c r="A593" s="614"/>
      <c r="B593" s="581"/>
      <c r="C593" s="581"/>
      <c r="D593" s="201" t="str">
        <f>серпень!D516</f>
        <v xml:space="preserve">місцевий </v>
      </c>
      <c r="E593" s="220"/>
      <c r="F593" s="199">
        <f t="shared" ref="F593:K593" si="690">F591-F592</f>
        <v>0</v>
      </c>
      <c r="G593" s="199">
        <f t="shared" si="690"/>
        <v>2E-3</v>
      </c>
      <c r="H593" s="199">
        <f t="shared" si="690"/>
        <v>2E-3</v>
      </c>
      <c r="I593" s="199">
        <f t="shared" si="690"/>
        <v>2E-3</v>
      </c>
      <c r="J593" s="199">
        <f t="shared" si="690"/>
        <v>2E-3</v>
      </c>
      <c r="K593" s="199">
        <f t="shared" si="690"/>
        <v>2E-3</v>
      </c>
      <c r="L593" s="199">
        <f>SUM(F593:K593)</f>
        <v>0.01</v>
      </c>
      <c r="M593" s="199">
        <f>L593/6</f>
        <v>2E-3</v>
      </c>
      <c r="N593" s="199">
        <f t="shared" ref="N593:S593" si="691">N591-N592</f>
        <v>2E-3</v>
      </c>
      <c r="O593" s="199">
        <f t="shared" si="691"/>
        <v>2E-3</v>
      </c>
      <c r="P593" s="199">
        <f t="shared" si="691"/>
        <v>2E-3</v>
      </c>
      <c r="Q593" s="199">
        <f t="shared" si="691"/>
        <v>2E-3</v>
      </c>
      <c r="R593" s="199">
        <f t="shared" si="691"/>
        <v>2E-3</v>
      </c>
      <c r="S593" s="199">
        <f t="shared" si="691"/>
        <v>4.0000000000000001E-3</v>
      </c>
      <c r="T593" s="199">
        <f>SUM(N593:S593)</f>
        <v>1.4E-2</v>
      </c>
      <c r="U593" s="199">
        <f>T593+L593</f>
        <v>2.4E-2</v>
      </c>
      <c r="V593" s="199">
        <f>V588</f>
        <v>2.5000000000000001E-2</v>
      </c>
      <c r="W593" s="221">
        <f>V593-U593</f>
        <v>1E-3</v>
      </c>
      <c r="X593" s="213">
        <f>U588-U593</f>
        <v>1E-3</v>
      </c>
      <c r="Z593" s="300"/>
    </row>
    <row r="594" spans="1:28" s="205" customFormat="1" ht="18" customHeight="1">
      <c r="A594" s="614"/>
      <c r="B594" s="581"/>
      <c r="C594" s="581"/>
      <c r="D594" s="202" t="str">
        <f>серпень!D517</f>
        <v>план</v>
      </c>
      <c r="E594" s="203"/>
      <c r="F594" s="203">
        <f t="shared" ref="F594:K594" si="692">F588</f>
        <v>3.0000000000000001E-3</v>
      </c>
      <c r="G594" s="203">
        <f t="shared" si="692"/>
        <v>2E-3</v>
      </c>
      <c r="H594" s="203">
        <f t="shared" si="692"/>
        <v>2E-3</v>
      </c>
      <c r="I594" s="203">
        <f t="shared" si="692"/>
        <v>2E-3</v>
      </c>
      <c r="J594" s="203">
        <f t="shared" si="692"/>
        <v>2E-3</v>
      </c>
      <c r="K594" s="203">
        <f t="shared" si="692"/>
        <v>2E-3</v>
      </c>
      <c r="L594" s="203">
        <f>SUM(F594:K594)</f>
        <v>1.2999999999999999E-2</v>
      </c>
      <c r="M594" s="203">
        <f>L594/6</f>
        <v>2E-3</v>
      </c>
      <c r="N594" s="203">
        <f t="shared" ref="N594:S594" si="693">N588+N587</f>
        <v>2E-3</v>
      </c>
      <c r="O594" s="203">
        <f t="shared" si="693"/>
        <v>2E-3</v>
      </c>
      <c r="P594" s="203">
        <f t="shared" si="693"/>
        <v>2E-3</v>
      </c>
      <c r="Q594" s="203">
        <f t="shared" si="693"/>
        <v>2E-3</v>
      </c>
      <c r="R594" s="203">
        <f t="shared" si="693"/>
        <v>2E-3</v>
      </c>
      <c r="S594" s="203">
        <f t="shared" si="693"/>
        <v>2E-3</v>
      </c>
      <c r="T594" s="203">
        <f>SUM(N594:S594)</f>
        <v>1.2E-2</v>
      </c>
      <c r="U594" s="203">
        <f>T594+L594</f>
        <v>2.5000000000000001E-2</v>
      </c>
      <c r="V594" s="203">
        <f>V591</f>
        <v>2.5000000000000001E-2</v>
      </c>
      <c r="W594" s="203">
        <f>V594-U594</f>
        <v>0</v>
      </c>
      <c r="Z594" s="301"/>
    </row>
    <row r="595" spans="1:28" s="205" customFormat="1" ht="18" customHeight="1">
      <c r="A595" s="614"/>
      <c r="B595" s="581"/>
      <c r="C595" s="581"/>
      <c r="D595" s="202" t="str">
        <f>серпень!D518</f>
        <v xml:space="preserve">відхилення </v>
      </c>
      <c r="E595" s="203"/>
      <c r="F595" s="203">
        <f t="shared" ref="F595:K595" si="694">F591-F594</f>
        <v>-3.0000000000000001E-3</v>
      </c>
      <c r="G595" s="203">
        <f t="shared" si="694"/>
        <v>0</v>
      </c>
      <c r="H595" s="203">
        <f t="shared" si="694"/>
        <v>0</v>
      </c>
      <c r="I595" s="203">
        <f t="shared" si="694"/>
        <v>0</v>
      </c>
      <c r="J595" s="203">
        <f t="shared" si="694"/>
        <v>0</v>
      </c>
      <c r="K595" s="203">
        <f t="shared" si="694"/>
        <v>0</v>
      </c>
      <c r="L595" s="203"/>
      <c r="M595" s="203"/>
      <c r="N595" s="203">
        <f t="shared" ref="N595:S595" si="695">N591-N594</f>
        <v>0</v>
      </c>
      <c r="O595" s="203">
        <f t="shared" si="695"/>
        <v>0</v>
      </c>
      <c r="P595" s="203">
        <f t="shared" si="695"/>
        <v>0</v>
      </c>
      <c r="Q595" s="203">
        <f t="shared" si="695"/>
        <v>0</v>
      </c>
      <c r="R595" s="203">
        <f t="shared" si="695"/>
        <v>0</v>
      </c>
      <c r="S595" s="203">
        <f t="shared" si="695"/>
        <v>2E-3</v>
      </c>
      <c r="T595" s="203"/>
      <c r="U595" s="203"/>
      <c r="V595" s="203"/>
      <c r="W595" s="203"/>
      <c r="Z595" s="301"/>
    </row>
    <row r="596" spans="1:28" s="205" customFormat="1" ht="18" customHeight="1">
      <c r="A596" s="614"/>
      <c r="B596" s="581"/>
      <c r="C596" s="581"/>
      <c r="D596" s="202" t="str">
        <f>серпень!D519</f>
        <v>відхилення з наростаючим</v>
      </c>
      <c r="E596" s="203"/>
      <c r="F596" s="203">
        <f>F595</f>
        <v>-3.0000000000000001E-3</v>
      </c>
      <c r="G596" s="203">
        <f>G595+F596</f>
        <v>-3.0000000000000001E-3</v>
      </c>
      <c r="H596" s="203">
        <f>H595+G596</f>
        <v>-3.0000000000000001E-3</v>
      </c>
      <c r="I596" s="203">
        <f>I595+H596</f>
        <v>-3.0000000000000001E-3</v>
      </c>
      <c r="J596" s="203">
        <f>J595+I596</f>
        <v>-3.0000000000000001E-3</v>
      </c>
      <c r="K596" s="203">
        <f>K595+J596</f>
        <v>-3.0000000000000001E-3</v>
      </c>
      <c r="L596" s="203"/>
      <c r="M596" s="203"/>
      <c r="N596" s="203">
        <f>N595+K596</f>
        <v>-3.0000000000000001E-3</v>
      </c>
      <c r="O596" s="203">
        <f>O595+N596</f>
        <v>-3.0000000000000001E-3</v>
      </c>
      <c r="P596" s="203">
        <f>P595+O596</f>
        <v>-3.0000000000000001E-3</v>
      </c>
      <c r="Q596" s="203">
        <f>Q595+P596</f>
        <v>-3.0000000000000001E-3</v>
      </c>
      <c r="R596" s="203">
        <f>R595+Q596</f>
        <v>-3.0000000000000001E-3</v>
      </c>
      <c r="S596" s="203">
        <f>S595+R596</f>
        <v>-1E-3</v>
      </c>
      <c r="T596" s="203"/>
      <c r="U596" s="203"/>
      <c r="V596" s="203"/>
      <c r="W596" s="203"/>
      <c r="Z596" s="301"/>
    </row>
    <row r="597" spans="1:28" s="196" customFormat="1" ht="18" customHeight="1">
      <c r="A597" s="614"/>
      <c r="B597" s="581" t="s">
        <v>64</v>
      </c>
      <c r="C597" s="581"/>
      <c r="D597" s="178" t="str">
        <f>серпень!D520</f>
        <v>факт. нат.п-ки 2023</v>
      </c>
      <c r="E597" s="179"/>
      <c r="F597" s="410">
        <v>3.46</v>
      </c>
      <c r="G597" s="410">
        <v>3.43</v>
      </c>
      <c r="H597" s="420">
        <v>1.86</v>
      </c>
      <c r="I597" s="420">
        <v>4.13</v>
      </c>
      <c r="J597" s="420">
        <v>5.5</v>
      </c>
      <c r="K597" s="420">
        <v>3.3</v>
      </c>
      <c r="L597" s="262">
        <f>SUM(F597:K597)</f>
        <v>21.68</v>
      </c>
      <c r="M597" s="262">
        <f>L597/6</f>
        <v>3.613</v>
      </c>
      <c r="N597" s="420">
        <v>0.8</v>
      </c>
      <c r="O597" s="420">
        <v>3.3</v>
      </c>
      <c r="P597" s="420">
        <v>4.4000000000000004</v>
      </c>
      <c r="Q597" s="420">
        <v>4.4000000000000004</v>
      </c>
      <c r="R597" s="420">
        <v>5.5</v>
      </c>
      <c r="S597" s="420">
        <v>3.4</v>
      </c>
      <c r="T597" s="262">
        <f>SUM(N597:S597)</f>
        <v>21.8</v>
      </c>
      <c r="U597" s="262">
        <f>T597+L597</f>
        <v>43.48</v>
      </c>
      <c r="V597" s="179">
        <v>43.5</v>
      </c>
      <c r="W597" s="184"/>
      <c r="X597" s="185"/>
      <c r="Y597" s="186"/>
      <c r="Z597" s="297"/>
      <c r="AA597" s="186"/>
      <c r="AB597" s="186"/>
    </row>
    <row r="598" spans="1:28" s="186" customFormat="1" ht="18" customHeight="1">
      <c r="A598" s="614"/>
      <c r="B598" s="581"/>
      <c r="C598" s="581"/>
      <c r="D598" s="178" t="str">
        <f>серпень!D521</f>
        <v>факт. нат.п-ки 2024</v>
      </c>
      <c r="E598" s="179"/>
      <c r="F598" s="410">
        <v>3.46</v>
      </c>
      <c r="G598" s="410">
        <v>4.26</v>
      </c>
      <c r="H598" s="420">
        <v>3.6</v>
      </c>
      <c r="I598" s="420">
        <v>4.4000000000000004</v>
      </c>
      <c r="J598" s="420">
        <v>5.5</v>
      </c>
      <c r="K598" s="420">
        <v>4.4000000000000004</v>
      </c>
      <c r="L598" s="262">
        <f>SUM(F598:K598)</f>
        <v>25.62</v>
      </c>
      <c r="M598" s="262">
        <f>L598/6</f>
        <v>4.2699999999999996</v>
      </c>
      <c r="N598" s="420">
        <v>5.5</v>
      </c>
      <c r="O598" s="420">
        <v>4.4000000000000004</v>
      </c>
      <c r="P598" s="420">
        <v>4.4000000000000004</v>
      </c>
      <c r="Q598" s="420">
        <v>4.4000000000000004</v>
      </c>
      <c r="R598" s="420">
        <v>2.5</v>
      </c>
      <c r="S598" s="420">
        <v>3.4</v>
      </c>
      <c r="T598" s="262">
        <f>SUM(N598:S598)</f>
        <v>24.6</v>
      </c>
      <c r="U598" s="262">
        <f>T598+L598</f>
        <v>50.22</v>
      </c>
      <c r="V598" s="260">
        <v>50.22</v>
      </c>
      <c r="W598" s="412"/>
      <c r="X598" s="185"/>
      <c r="Z598" s="297"/>
    </row>
    <row r="599" spans="1:28" s="186" customFormat="1" ht="18" customHeight="1">
      <c r="A599" s="614"/>
      <c r="B599" s="581"/>
      <c r="C599" s="581"/>
      <c r="D599" s="178" t="str">
        <f>серпень!D522</f>
        <v>факт. нат.п-ки 2025</v>
      </c>
      <c r="E599" s="179"/>
      <c r="F599" s="410">
        <v>5.5</v>
      </c>
      <c r="G599" s="410">
        <v>4.4000000000000004</v>
      </c>
      <c r="H599" s="420">
        <v>4.4000000000000004</v>
      </c>
      <c r="I599" s="420">
        <v>5.5</v>
      </c>
      <c r="J599" s="420">
        <v>3.3</v>
      </c>
      <c r="K599" s="420">
        <v>0</v>
      </c>
      <c r="L599" s="262">
        <f>SUM(F599:K599)</f>
        <v>23.1</v>
      </c>
      <c r="M599" s="262">
        <f>L599/6</f>
        <v>3.85</v>
      </c>
      <c r="N599" s="420">
        <v>4.6420000000000003</v>
      </c>
      <c r="O599" s="420">
        <v>4.4000000000000004</v>
      </c>
      <c r="P599" s="420">
        <v>4.4000000000000004</v>
      </c>
      <c r="Q599" s="420">
        <v>4.4000000000000004</v>
      </c>
      <c r="R599" s="420">
        <v>2.5</v>
      </c>
      <c r="S599" s="420">
        <f>3.1+0.04</f>
        <v>3.14</v>
      </c>
      <c r="T599" s="262">
        <f>SUM(N599:S599)</f>
        <v>23.481999999999999</v>
      </c>
      <c r="U599" s="262">
        <f>T599+L599</f>
        <v>46.582000000000001</v>
      </c>
      <c r="V599" s="260">
        <v>44</v>
      </c>
      <c r="W599" s="412">
        <f>V599-U599</f>
        <v>-2.5819999999999999</v>
      </c>
      <c r="X599" s="185"/>
      <c r="Z599" s="297"/>
    </row>
    <row r="600" spans="1:28" s="190" customFormat="1" ht="18" customHeight="1">
      <c r="A600" s="614"/>
      <c r="B600" s="581"/>
      <c r="C600" s="581"/>
      <c r="D600" s="187" t="str">
        <f>серпень!D523</f>
        <v>тариф, грн.</v>
      </c>
      <c r="E600" s="188" t="e">
        <f>E601/E599*1000</f>
        <v>#DIV/0!</v>
      </c>
      <c r="F600" s="188">
        <v>202.11</v>
      </c>
      <c r="G600" s="188">
        <v>202.11</v>
      </c>
      <c r="H600" s="188">
        <v>202.11</v>
      </c>
      <c r="I600" s="188">
        <v>202.11</v>
      </c>
      <c r="J600" s="188">
        <v>202.11</v>
      </c>
      <c r="K600" s="188">
        <v>227.36699999999999</v>
      </c>
      <c r="L600" s="218">
        <f>L601/L599*1000</f>
        <v>202.12100000000001</v>
      </c>
      <c r="M600" s="218">
        <f>M601/M599*1000</f>
        <v>202.078</v>
      </c>
      <c r="N600" s="218">
        <f t="shared" ref="N600:O600" si="696">N601/N599*1000</f>
        <v>202.06800000000001</v>
      </c>
      <c r="O600" s="218">
        <f t="shared" si="696"/>
        <v>202.04499999999999</v>
      </c>
      <c r="P600" s="218">
        <v>227.36699999999999</v>
      </c>
      <c r="Q600" s="218">
        <v>227.36699999999999</v>
      </c>
      <c r="R600" s="218">
        <v>227.36699999999999</v>
      </c>
      <c r="S600" s="188">
        <v>227.36699999999999</v>
      </c>
      <c r="T600" s="218">
        <f>T601/T599*1000</f>
        <v>216.506</v>
      </c>
      <c r="U600" s="218">
        <f>U601/U599*1000</f>
        <v>209.37299999999999</v>
      </c>
      <c r="V600" s="218">
        <f>V601/V599*1000</f>
        <v>226.773</v>
      </c>
      <c r="W600" s="218">
        <f>W601/W599*1000</f>
        <v>-87.141999999999996</v>
      </c>
      <c r="X600" s="225"/>
      <c r="Z600" s="298"/>
    </row>
    <row r="601" spans="1:28" s="244" customFormat="1" ht="18" customHeight="1">
      <c r="A601" s="614"/>
      <c r="B601" s="581"/>
      <c r="C601" s="581"/>
      <c r="D601" s="191" t="str">
        <f>серпень!D524</f>
        <v>сума, тис.грн.</v>
      </c>
      <c r="E601" s="192"/>
      <c r="F601" s="192">
        <v>1.1120000000000001</v>
      </c>
      <c r="G601" s="192">
        <v>0.88900000000000001</v>
      </c>
      <c r="H601" s="192">
        <v>0.88900000000000001</v>
      </c>
      <c r="I601" s="192">
        <v>1.1120000000000001</v>
      </c>
      <c r="J601" s="192">
        <v>0.66700000000000004</v>
      </c>
      <c r="K601" s="192">
        <v>0</v>
      </c>
      <c r="L601" s="194">
        <f>SUM(F601:K601)</f>
        <v>4.6689999999999996</v>
      </c>
      <c r="M601" s="194">
        <f>L601/6</f>
        <v>0.77800000000000002</v>
      </c>
      <c r="N601" s="192">
        <v>0.93799999999999994</v>
      </c>
      <c r="O601" s="192">
        <v>0.88900000000000001</v>
      </c>
      <c r="P601" s="192">
        <f t="shared" ref="P601" si="697">P599*P600/1000</f>
        <v>1</v>
      </c>
      <c r="Q601" s="192">
        <f t="shared" ref="Q601" si="698">Q599*Q600/1000</f>
        <v>1</v>
      </c>
      <c r="R601" s="192">
        <f t="shared" ref="R601" si="699">R599*R600/1000</f>
        <v>0.56799999999999995</v>
      </c>
      <c r="S601" s="192">
        <f>S599*S600/1000-0.014-0.009-0.002</f>
        <v>0.68899999999999995</v>
      </c>
      <c r="T601" s="194">
        <f>SUM(N601:S601)</f>
        <v>5.0839999999999996</v>
      </c>
      <c r="U601" s="194">
        <f>T601+L601</f>
        <v>9.7530000000000001</v>
      </c>
      <c r="V601" s="171">
        <f>V602+V603</f>
        <v>9.9779999999999998</v>
      </c>
      <c r="W601" s="192">
        <f>V601-U601</f>
        <v>0.22500000000000001</v>
      </c>
      <c r="Z601" s="308"/>
    </row>
    <row r="602" spans="1:28" s="244" customFormat="1" ht="18" customHeight="1">
      <c r="A602" s="614"/>
      <c r="B602" s="581"/>
      <c r="C602" s="581"/>
      <c r="D602" s="174" t="str">
        <f>серпень!D525</f>
        <v>дотація</v>
      </c>
      <c r="E602" s="210"/>
      <c r="F602" s="192"/>
      <c r="G602" s="192"/>
      <c r="H602" s="192"/>
      <c r="I602" s="192"/>
      <c r="J602" s="192"/>
      <c r="K602" s="192"/>
      <c r="L602" s="194">
        <f>SUM(F602:K602)</f>
        <v>0</v>
      </c>
      <c r="M602" s="194">
        <f>L602/6</f>
        <v>0</v>
      </c>
      <c r="N602" s="192"/>
      <c r="O602" s="192"/>
      <c r="P602" s="192"/>
      <c r="Q602" s="192"/>
      <c r="R602" s="192"/>
      <c r="S602" s="192"/>
      <c r="T602" s="194">
        <f>SUM(N602:S602)</f>
        <v>0</v>
      </c>
      <c r="U602" s="194">
        <f>T602+L602</f>
        <v>0</v>
      </c>
      <c r="V602" s="171">
        <v>0</v>
      </c>
      <c r="W602" s="192">
        <f>V602-U602</f>
        <v>0</v>
      </c>
      <c r="Z602" s="308"/>
    </row>
    <row r="603" spans="1:28" s="244" customFormat="1" ht="18" customHeight="1">
      <c r="A603" s="614"/>
      <c r="B603" s="581"/>
      <c r="C603" s="581"/>
      <c r="D603" s="174" t="str">
        <f>серпень!D526</f>
        <v>місцевий (план), тис.грн</v>
      </c>
      <c r="E603" s="210"/>
      <c r="F603" s="192">
        <v>0.78700000000000003</v>
      </c>
      <c r="G603" s="192">
        <f>0.75-0.433</f>
        <v>0.317</v>
      </c>
      <c r="H603" s="192">
        <v>0.81899999999999995</v>
      </c>
      <c r="I603" s="192">
        <v>0.77300000000000002</v>
      </c>
      <c r="J603" s="192">
        <v>0.79600000000000004</v>
      </c>
      <c r="K603" s="192">
        <v>1</v>
      </c>
      <c r="L603" s="194">
        <f>SUM(F603:K603)</f>
        <v>4.492</v>
      </c>
      <c r="M603" s="194">
        <f>L603/6</f>
        <v>0.749</v>
      </c>
      <c r="N603" s="192">
        <f>0.796-0.796</f>
        <v>0</v>
      </c>
      <c r="O603" s="192">
        <v>1</v>
      </c>
      <c r="P603" s="192">
        <f>1+0.796</f>
        <v>1.796</v>
      </c>
      <c r="Q603" s="192">
        <v>1</v>
      </c>
      <c r="R603" s="192">
        <v>0.56799999999999995</v>
      </c>
      <c r="S603" s="192">
        <f>0.691-0.002+0.433</f>
        <v>1.1220000000000001</v>
      </c>
      <c r="T603" s="194">
        <f>SUM(N603:S603)</f>
        <v>5.4859999999999998</v>
      </c>
      <c r="U603" s="194">
        <f>T603+L603</f>
        <v>9.9779999999999998</v>
      </c>
      <c r="V603" s="171">
        <f>10.004-0.026</f>
        <v>9.9779999999999998</v>
      </c>
      <c r="W603" s="192">
        <f>V603-U603</f>
        <v>0</v>
      </c>
      <c r="Z603" s="308"/>
    </row>
    <row r="604" spans="1:28" s="186" customFormat="1" ht="18" customHeight="1">
      <c r="A604" s="614"/>
      <c r="B604" s="581"/>
      <c r="C604" s="581"/>
      <c r="D604" s="178" t="str">
        <f>серпень!D527</f>
        <v>касові нат.п-ки 2025</v>
      </c>
      <c r="E604" s="179"/>
      <c r="F604" s="410">
        <v>0</v>
      </c>
      <c r="G604" s="410">
        <v>5.5</v>
      </c>
      <c r="H604" s="420">
        <v>4.4000000000000004</v>
      </c>
      <c r="I604" s="420">
        <v>4.4000000000000004</v>
      </c>
      <c r="J604" s="420">
        <v>5.5</v>
      </c>
      <c r="K604" s="420">
        <v>3.3</v>
      </c>
      <c r="L604" s="262">
        <f>SUM(F604:K604)</f>
        <v>23.1</v>
      </c>
      <c r="M604" s="262">
        <f>L604/6</f>
        <v>3.85</v>
      </c>
      <c r="N604" s="490">
        <v>0</v>
      </c>
      <c r="O604" s="490">
        <v>4.6399999999999997</v>
      </c>
      <c r="P604" s="490">
        <f>4.4+4.402</f>
        <v>8.8019999999999996</v>
      </c>
      <c r="Q604" s="490">
        <v>4.4000000000000004</v>
      </c>
      <c r="R604" s="490">
        <v>2.5</v>
      </c>
      <c r="S604" s="490">
        <v>3.14</v>
      </c>
      <c r="T604" s="262">
        <f>SUM(N604:S604)</f>
        <v>23.481999999999999</v>
      </c>
      <c r="U604" s="262">
        <f>T604+L604</f>
        <v>46.582000000000001</v>
      </c>
      <c r="V604" s="260">
        <f>V599</f>
        <v>44</v>
      </c>
      <c r="W604" s="412">
        <f>V604-U604</f>
        <v>-2.5819999999999999</v>
      </c>
      <c r="X604" s="185">
        <f>U599-U604</f>
        <v>0</v>
      </c>
      <c r="Z604" s="297"/>
    </row>
    <row r="605" spans="1:28" s="190" customFormat="1" ht="18" customHeight="1">
      <c r="A605" s="614"/>
      <c r="B605" s="581"/>
      <c r="C605" s="581"/>
      <c r="D605" s="187" t="str">
        <f>серпень!D528</f>
        <v>тариф, грн.</v>
      </c>
      <c r="E605" s="188" t="e">
        <f t="shared" ref="E605:P605" si="700">E606/E604*1000</f>
        <v>#DIV/0!</v>
      </c>
      <c r="F605" s="188" t="e">
        <f t="shared" si="700"/>
        <v>#DIV/0!</v>
      </c>
      <c r="G605" s="188">
        <f t="shared" si="700"/>
        <v>202.18199999999999</v>
      </c>
      <c r="H605" s="188">
        <f t="shared" si="700"/>
        <v>202.04499999999999</v>
      </c>
      <c r="I605" s="188">
        <f t="shared" si="700"/>
        <v>202.04499999999999</v>
      </c>
      <c r="J605" s="188">
        <f t="shared" si="700"/>
        <v>202.18199999999999</v>
      </c>
      <c r="K605" s="188">
        <f t="shared" si="700"/>
        <v>202.12100000000001</v>
      </c>
      <c r="L605" s="218">
        <f t="shared" si="700"/>
        <v>202.12100000000001</v>
      </c>
      <c r="M605" s="218">
        <f t="shared" si="700"/>
        <v>202.078</v>
      </c>
      <c r="N605" s="218" t="e">
        <f t="shared" si="700"/>
        <v>#DIV/0!</v>
      </c>
      <c r="O605" s="218">
        <f t="shared" si="700"/>
        <v>202.155</v>
      </c>
      <c r="P605" s="218">
        <f t="shared" si="700"/>
        <v>214.61</v>
      </c>
      <c r="Q605" s="218">
        <v>227.36699999999999</v>
      </c>
      <c r="R605" s="218">
        <v>227.36699999999999</v>
      </c>
      <c r="S605" s="188">
        <v>227.36699999999999</v>
      </c>
      <c r="T605" s="218">
        <f>T606/T604*1000</f>
        <v>216.506</v>
      </c>
      <c r="U605" s="218">
        <f>U606/U604*1000</f>
        <v>209.37299999999999</v>
      </c>
      <c r="V605" s="218">
        <f>V606/V604*1000</f>
        <v>226.773</v>
      </c>
      <c r="W605" s="218">
        <f>W606/W604*1000</f>
        <v>-87.141999999999996</v>
      </c>
      <c r="X605" s="225"/>
      <c r="Z605" s="298"/>
    </row>
    <row r="606" spans="1:28" s="239" customFormat="1" ht="18" customHeight="1">
      <c r="A606" s="614"/>
      <c r="B606" s="581"/>
      <c r="C606" s="581"/>
      <c r="D606" s="198" t="str">
        <f>серпень!D529</f>
        <v>касові видатки, тис.грн.</v>
      </c>
      <c r="E606" s="220"/>
      <c r="F606" s="199">
        <v>0</v>
      </c>
      <c r="G606" s="199">
        <v>1.1120000000000001</v>
      </c>
      <c r="H606" s="199">
        <v>0.88900000000000001</v>
      </c>
      <c r="I606" s="199">
        <v>0.88900000000000001</v>
      </c>
      <c r="J606" s="199">
        <v>1.1120000000000001</v>
      </c>
      <c r="K606" s="199">
        <v>0.66700000000000004</v>
      </c>
      <c r="L606" s="199">
        <f>SUM(F606:K606)</f>
        <v>4.6689999999999996</v>
      </c>
      <c r="M606" s="199">
        <f>L606/6</f>
        <v>0.77800000000000002</v>
      </c>
      <c r="N606" s="199">
        <v>0</v>
      </c>
      <c r="O606" s="199">
        <v>0.93799999999999994</v>
      </c>
      <c r="P606" s="199">
        <v>1.889</v>
      </c>
      <c r="Q606" s="199">
        <f t="shared" ref="Q606" si="701">Q604*Q605/1000</f>
        <v>1</v>
      </c>
      <c r="R606" s="199">
        <f t="shared" ref="R606" si="702">R604*R605/1000</f>
        <v>0.56799999999999995</v>
      </c>
      <c r="S606" s="199">
        <f>S604*S605/1000-0.014-0.009-0.002</f>
        <v>0.68899999999999995</v>
      </c>
      <c r="T606" s="199">
        <f>SUM(N606:S606)</f>
        <v>5.0839999999999996</v>
      </c>
      <c r="U606" s="199">
        <f>T606+L606</f>
        <v>9.7530000000000001</v>
      </c>
      <c r="V606" s="199">
        <f>V601</f>
        <v>9.9779999999999998</v>
      </c>
      <c r="W606" s="221">
        <f>V606-U606</f>
        <v>0.22500000000000001</v>
      </c>
      <c r="X606" s="176">
        <f>U601-U606</f>
        <v>0</v>
      </c>
      <c r="Z606" s="300"/>
    </row>
    <row r="607" spans="1:28" s="239" customFormat="1" ht="18" customHeight="1">
      <c r="A607" s="614"/>
      <c r="B607" s="581"/>
      <c r="C607" s="581"/>
      <c r="D607" s="201" t="str">
        <f>серпень!D530</f>
        <v>дотація</v>
      </c>
      <c r="E607" s="220"/>
      <c r="F607" s="199">
        <v>0</v>
      </c>
      <c r="G607" s="199">
        <v>0</v>
      </c>
      <c r="H607" s="199">
        <v>0</v>
      </c>
      <c r="I607" s="199">
        <v>0</v>
      </c>
      <c r="J607" s="199">
        <v>0</v>
      </c>
      <c r="K607" s="199">
        <v>0</v>
      </c>
      <c r="L607" s="199">
        <f>SUM(F607:K607)</f>
        <v>0</v>
      </c>
      <c r="M607" s="199">
        <f>L607/6</f>
        <v>0</v>
      </c>
      <c r="N607" s="199">
        <v>0</v>
      </c>
      <c r="O607" s="199">
        <v>0</v>
      </c>
      <c r="P607" s="199">
        <v>0</v>
      </c>
      <c r="Q607" s="199">
        <v>0</v>
      </c>
      <c r="R607" s="199">
        <v>0</v>
      </c>
      <c r="S607" s="199">
        <v>0</v>
      </c>
      <c r="T607" s="199">
        <f>SUM(N607:S607)</f>
        <v>0</v>
      </c>
      <c r="U607" s="199">
        <f>T607+L607</f>
        <v>0</v>
      </c>
      <c r="V607" s="199">
        <f>V602</f>
        <v>0</v>
      </c>
      <c r="W607" s="221">
        <f>V607-U607</f>
        <v>0</v>
      </c>
      <c r="X607" s="176">
        <f>U602-U607</f>
        <v>0</v>
      </c>
      <c r="Z607" s="300"/>
    </row>
    <row r="608" spans="1:28" s="239" customFormat="1" ht="18" customHeight="1">
      <c r="A608" s="614"/>
      <c r="B608" s="581"/>
      <c r="C608" s="581"/>
      <c r="D608" s="201" t="str">
        <f>серпень!D531</f>
        <v xml:space="preserve">місцевий </v>
      </c>
      <c r="E608" s="220"/>
      <c r="F608" s="199">
        <f t="shared" ref="F608:K608" si="703">F606-F607</f>
        <v>0</v>
      </c>
      <c r="G608" s="199">
        <f t="shared" si="703"/>
        <v>1.1120000000000001</v>
      </c>
      <c r="H608" s="199">
        <f t="shared" si="703"/>
        <v>0.88900000000000001</v>
      </c>
      <c r="I608" s="199">
        <f t="shared" si="703"/>
        <v>0.88900000000000001</v>
      </c>
      <c r="J608" s="199">
        <f t="shared" si="703"/>
        <v>1.1120000000000001</v>
      </c>
      <c r="K608" s="199">
        <f t="shared" si="703"/>
        <v>0.66700000000000004</v>
      </c>
      <c r="L608" s="199">
        <f>SUM(F608:K608)</f>
        <v>4.6689999999999996</v>
      </c>
      <c r="M608" s="199">
        <f>L608/6</f>
        <v>0.77800000000000002</v>
      </c>
      <c r="N608" s="199">
        <f t="shared" ref="N608:S608" si="704">N606-N607</f>
        <v>0</v>
      </c>
      <c r="O608" s="199">
        <f t="shared" si="704"/>
        <v>0.93799999999999994</v>
      </c>
      <c r="P608" s="199">
        <f t="shared" si="704"/>
        <v>1.889</v>
      </c>
      <c r="Q608" s="199">
        <f t="shared" si="704"/>
        <v>1</v>
      </c>
      <c r="R608" s="199">
        <f t="shared" si="704"/>
        <v>0.56799999999999995</v>
      </c>
      <c r="S608" s="199">
        <f t="shared" si="704"/>
        <v>0.68899999999999995</v>
      </c>
      <c r="T608" s="199">
        <f>SUM(N608:S608)</f>
        <v>5.0839999999999996</v>
      </c>
      <c r="U608" s="199">
        <f>T608+L608</f>
        <v>9.7530000000000001</v>
      </c>
      <c r="V608" s="199">
        <f>V603</f>
        <v>9.9779999999999998</v>
      </c>
      <c r="W608" s="221">
        <f>V608-U608</f>
        <v>0.22500000000000001</v>
      </c>
      <c r="X608" s="176">
        <f>U603-U608</f>
        <v>0.22500000000000001</v>
      </c>
      <c r="Z608" s="300"/>
    </row>
    <row r="609" spans="1:28" s="205" customFormat="1" ht="18" customHeight="1">
      <c r="A609" s="614"/>
      <c r="B609" s="581"/>
      <c r="C609" s="581"/>
      <c r="D609" s="202" t="str">
        <f>серпень!D532</f>
        <v>план</v>
      </c>
      <c r="E609" s="203"/>
      <c r="F609" s="203">
        <f t="shared" ref="F609:K609" si="705">F603</f>
        <v>0.78700000000000003</v>
      </c>
      <c r="G609" s="203">
        <f t="shared" si="705"/>
        <v>0.317</v>
      </c>
      <c r="H609" s="203">
        <f t="shared" si="705"/>
        <v>0.81899999999999995</v>
      </c>
      <c r="I609" s="203">
        <f t="shared" si="705"/>
        <v>0.77300000000000002</v>
      </c>
      <c r="J609" s="203">
        <f t="shared" si="705"/>
        <v>0.79600000000000004</v>
      </c>
      <c r="K609" s="203">
        <f t="shared" si="705"/>
        <v>1</v>
      </c>
      <c r="L609" s="203">
        <f>SUM(F609:K609)</f>
        <v>4.492</v>
      </c>
      <c r="M609" s="203">
        <f>L609/6</f>
        <v>0.749</v>
      </c>
      <c r="N609" s="203">
        <f t="shared" ref="N609:S609" si="706">N603+N602</f>
        <v>0</v>
      </c>
      <c r="O609" s="203">
        <f t="shared" si="706"/>
        <v>1</v>
      </c>
      <c r="P609" s="203">
        <f t="shared" si="706"/>
        <v>1.796</v>
      </c>
      <c r="Q609" s="203">
        <f t="shared" si="706"/>
        <v>1</v>
      </c>
      <c r="R609" s="203">
        <f t="shared" si="706"/>
        <v>0.56799999999999995</v>
      </c>
      <c r="S609" s="203">
        <f t="shared" si="706"/>
        <v>1.1220000000000001</v>
      </c>
      <c r="T609" s="203">
        <f>SUM(N609:S609)</f>
        <v>5.4859999999999998</v>
      </c>
      <c r="U609" s="203">
        <f>T609+L609</f>
        <v>9.9779999999999998</v>
      </c>
      <c r="V609" s="203">
        <f>V606</f>
        <v>9.9779999999999998</v>
      </c>
      <c r="W609" s="203">
        <f>V609-U609</f>
        <v>0</v>
      </c>
      <c r="Z609" s="301"/>
    </row>
    <row r="610" spans="1:28" s="205" customFormat="1" ht="18" customHeight="1">
      <c r="A610" s="614"/>
      <c r="B610" s="581"/>
      <c r="C610" s="581"/>
      <c r="D610" s="202" t="str">
        <f>серпень!D533</f>
        <v xml:space="preserve">відхилення </v>
      </c>
      <c r="E610" s="203"/>
      <c r="F610" s="203">
        <f t="shared" ref="F610:K610" si="707">F606-F609</f>
        <v>-0.78700000000000003</v>
      </c>
      <c r="G610" s="203">
        <f t="shared" si="707"/>
        <v>0.79500000000000004</v>
      </c>
      <c r="H610" s="203">
        <f t="shared" si="707"/>
        <v>7.0000000000000007E-2</v>
      </c>
      <c r="I610" s="203">
        <f t="shared" si="707"/>
        <v>0.11600000000000001</v>
      </c>
      <c r="J610" s="203">
        <f t="shared" si="707"/>
        <v>0.316</v>
      </c>
      <c r="K610" s="203">
        <f t="shared" si="707"/>
        <v>-0.33300000000000002</v>
      </c>
      <c r="L610" s="203"/>
      <c r="M610" s="203"/>
      <c r="N610" s="203">
        <f t="shared" ref="N610:S610" si="708">N606-N609</f>
        <v>0</v>
      </c>
      <c r="O610" s="203">
        <f t="shared" si="708"/>
        <v>-6.2E-2</v>
      </c>
      <c r="P610" s="203">
        <f t="shared" si="708"/>
        <v>9.2999999999999999E-2</v>
      </c>
      <c r="Q610" s="203">
        <f t="shared" si="708"/>
        <v>0</v>
      </c>
      <c r="R610" s="203">
        <f t="shared" si="708"/>
        <v>0</v>
      </c>
      <c r="S610" s="203">
        <f t="shared" si="708"/>
        <v>-0.433</v>
      </c>
      <c r="T610" s="203"/>
      <c r="U610" s="203"/>
      <c r="V610" s="203"/>
      <c r="W610" s="203"/>
      <c r="Z610" s="301"/>
    </row>
    <row r="611" spans="1:28" s="205" customFormat="1" ht="18" customHeight="1">
      <c r="A611" s="614"/>
      <c r="B611" s="581"/>
      <c r="C611" s="581"/>
      <c r="D611" s="202" t="str">
        <f>серпень!D534</f>
        <v>відхилення з наростаючим</v>
      </c>
      <c r="E611" s="203"/>
      <c r="F611" s="203">
        <f>F610</f>
        <v>-0.78700000000000003</v>
      </c>
      <c r="G611" s="203">
        <f>G610+F611</f>
        <v>8.0000000000000002E-3</v>
      </c>
      <c r="H611" s="203">
        <f>H610+G611</f>
        <v>7.8E-2</v>
      </c>
      <c r="I611" s="203">
        <f>I610+H611</f>
        <v>0.19400000000000001</v>
      </c>
      <c r="J611" s="203">
        <f>J610+I611</f>
        <v>0.51</v>
      </c>
      <c r="K611" s="203">
        <f>K610+J611</f>
        <v>0.17699999999999999</v>
      </c>
      <c r="L611" s="203"/>
      <c r="M611" s="203"/>
      <c r="N611" s="203">
        <f>N610+K611</f>
        <v>0.17699999999999999</v>
      </c>
      <c r="O611" s="203">
        <f>O610+N611</f>
        <v>0.115</v>
      </c>
      <c r="P611" s="203">
        <f>P610+O611</f>
        <v>0.20799999999999999</v>
      </c>
      <c r="Q611" s="203">
        <f>Q610+P611</f>
        <v>0.20799999999999999</v>
      </c>
      <c r="R611" s="203">
        <f>R610+Q611</f>
        <v>0.20799999999999999</v>
      </c>
      <c r="S611" s="203">
        <f>S610+R611</f>
        <v>-0.22500000000000001</v>
      </c>
      <c r="T611" s="203"/>
      <c r="U611" s="203"/>
      <c r="V611" s="203"/>
      <c r="W611" s="203"/>
      <c r="Z611" s="301"/>
    </row>
    <row r="612" spans="1:28" s="196" customFormat="1" ht="18" customHeight="1">
      <c r="A612" s="614"/>
      <c r="B612" s="654" t="s">
        <v>128</v>
      </c>
      <c r="C612" s="581"/>
      <c r="D612" s="178" t="str">
        <f>серпень!D535</f>
        <v>факт. нат.п-ки 2023</v>
      </c>
      <c r="E612" s="179"/>
      <c r="F612" s="184"/>
      <c r="G612" s="184"/>
      <c r="H612" s="179"/>
      <c r="I612" s="179"/>
      <c r="J612" s="179"/>
      <c r="K612" s="179"/>
      <c r="L612" s="215">
        <f>SUM(F612:K612)</f>
        <v>0</v>
      </c>
      <c r="M612" s="215">
        <f>L612/6</f>
        <v>0</v>
      </c>
      <c r="N612" s="179"/>
      <c r="O612" s="179"/>
      <c r="P612" s="179"/>
      <c r="Q612" s="179"/>
      <c r="R612" s="179"/>
      <c r="S612" s="179"/>
      <c r="T612" s="215">
        <f>SUM(N612:S612)</f>
        <v>0</v>
      </c>
      <c r="U612" s="215">
        <f>T612+L612</f>
        <v>0</v>
      </c>
      <c r="V612" s="179"/>
      <c r="W612" s="184"/>
      <c r="X612" s="185"/>
      <c r="Y612" s="186"/>
      <c r="Z612" s="297"/>
      <c r="AA612" s="186"/>
      <c r="AB612" s="186"/>
    </row>
    <row r="613" spans="1:28" s="186" customFormat="1" ht="18" customHeight="1">
      <c r="A613" s="614"/>
      <c r="B613" s="581"/>
      <c r="C613" s="581"/>
      <c r="D613" s="178" t="str">
        <f>серпень!D536</f>
        <v>факт. нат.п-ки 2024</v>
      </c>
      <c r="E613" s="179"/>
      <c r="F613" s="184"/>
      <c r="G613" s="184"/>
      <c r="H613" s="179"/>
      <c r="I613" s="179"/>
      <c r="J613" s="179"/>
      <c r="K613" s="179"/>
      <c r="L613" s="215">
        <f>SUM(F613:K613)</f>
        <v>0</v>
      </c>
      <c r="M613" s="215">
        <f>L613/6</f>
        <v>0</v>
      </c>
      <c r="N613" s="179"/>
      <c r="O613" s="179"/>
      <c r="P613" s="179"/>
      <c r="Q613" s="179"/>
      <c r="R613" s="179"/>
      <c r="S613" s="179"/>
      <c r="T613" s="215">
        <f>SUM(N613:S613)</f>
        <v>0</v>
      </c>
      <c r="U613" s="215">
        <f>T613+L613</f>
        <v>0</v>
      </c>
      <c r="V613" s="179"/>
      <c r="W613" s="184"/>
      <c r="X613" s="185"/>
      <c r="Z613" s="297"/>
    </row>
    <row r="614" spans="1:28" s="186" customFormat="1" ht="18" customHeight="1">
      <c r="A614" s="614"/>
      <c r="B614" s="581"/>
      <c r="C614" s="581"/>
      <c r="D614" s="178" t="str">
        <f>серпень!D537</f>
        <v>факт. нат.п-ки 2025</v>
      </c>
      <c r="E614" s="179"/>
      <c r="F614" s="184">
        <v>1</v>
      </c>
      <c r="G614" s="184">
        <v>1</v>
      </c>
      <c r="H614" s="184">
        <v>1</v>
      </c>
      <c r="I614" s="184">
        <v>1</v>
      </c>
      <c r="J614" s="184">
        <v>1</v>
      </c>
      <c r="K614" s="184">
        <v>1</v>
      </c>
      <c r="L614" s="215">
        <f>SUM(F614:K614)</f>
        <v>6</v>
      </c>
      <c r="M614" s="215">
        <f>L614/6</f>
        <v>1</v>
      </c>
      <c r="N614" s="184">
        <v>1</v>
      </c>
      <c r="O614" s="184">
        <v>1</v>
      </c>
      <c r="P614" s="184">
        <v>1</v>
      </c>
      <c r="Q614" s="184">
        <v>1</v>
      </c>
      <c r="R614" s="184">
        <v>1</v>
      </c>
      <c r="S614" s="184">
        <v>1</v>
      </c>
      <c r="T614" s="215">
        <f>SUM(N614:S614)</f>
        <v>6</v>
      </c>
      <c r="U614" s="215">
        <f>T614+L614</f>
        <v>12</v>
      </c>
      <c r="V614" s="179">
        <v>12</v>
      </c>
      <c r="W614" s="184">
        <f>V614-U614</f>
        <v>0</v>
      </c>
      <c r="X614" s="185"/>
      <c r="Z614" s="297"/>
    </row>
    <row r="615" spans="1:28" s="190" customFormat="1" ht="18" customHeight="1">
      <c r="A615" s="614"/>
      <c r="B615" s="581"/>
      <c r="C615" s="581"/>
      <c r="D615" s="187" t="str">
        <f>серпень!D538</f>
        <v>тариф, грн.</v>
      </c>
      <c r="E615" s="188" t="e">
        <f>E616/E614*1000</f>
        <v>#DIV/0!</v>
      </c>
      <c r="F615" s="188">
        <f t="shared" ref="F615:H615" si="709">F616/F614*1000</f>
        <v>2</v>
      </c>
      <c r="G615" s="188">
        <f t="shared" si="709"/>
        <v>2</v>
      </c>
      <c r="H615" s="188">
        <f t="shared" si="709"/>
        <v>2</v>
      </c>
      <c r="I615" s="188">
        <v>2.1</v>
      </c>
      <c r="J615" s="188">
        <v>2.1</v>
      </c>
      <c r="K615" s="188">
        <v>2.1</v>
      </c>
      <c r="L615" s="218">
        <f>L616/L614*1000</f>
        <v>2</v>
      </c>
      <c r="M615" s="218">
        <f>M616/M614*1000</f>
        <v>2</v>
      </c>
      <c r="N615" s="188">
        <v>2.1</v>
      </c>
      <c r="O615" s="188">
        <v>2.1</v>
      </c>
      <c r="P615" s="188">
        <v>2.1</v>
      </c>
      <c r="Q615" s="188">
        <v>2.1</v>
      </c>
      <c r="R615" s="188">
        <v>2.1</v>
      </c>
      <c r="S615" s="188">
        <v>2.1</v>
      </c>
      <c r="T615" s="218">
        <f>T616/T614*1000</f>
        <v>2.3330000000000002</v>
      </c>
      <c r="U615" s="218">
        <f>U616/U614*1000</f>
        <v>2.1669999999999998</v>
      </c>
      <c r="V615" s="218">
        <f>V616/V614*1000</f>
        <v>2.1669999999999998</v>
      </c>
      <c r="W615" s="218" t="e">
        <f>W616/W614*1000</f>
        <v>#DIV/0!</v>
      </c>
      <c r="X615" s="225"/>
      <c r="Z615" s="298"/>
    </row>
    <row r="616" spans="1:28" s="244" customFormat="1" ht="18" customHeight="1">
      <c r="A616" s="614"/>
      <c r="B616" s="581"/>
      <c r="C616" s="581"/>
      <c r="D616" s="191" t="str">
        <f>серпень!D539</f>
        <v>сума, тис.грн.</v>
      </c>
      <c r="E616" s="192"/>
      <c r="F616" s="192">
        <v>2E-3</v>
      </c>
      <c r="G616" s="192">
        <v>2E-3</v>
      </c>
      <c r="H616" s="192">
        <v>2E-3</v>
      </c>
      <c r="I616" s="192">
        <f t="shared" ref="I616:K616" si="710">I614*I615/1000</f>
        <v>2E-3</v>
      </c>
      <c r="J616" s="192">
        <f t="shared" si="710"/>
        <v>2E-3</v>
      </c>
      <c r="K616" s="192">
        <f t="shared" si="710"/>
        <v>2E-3</v>
      </c>
      <c r="L616" s="194">
        <f>SUM(F616:K616)</f>
        <v>1.2E-2</v>
      </c>
      <c r="M616" s="194">
        <f>L616/6</f>
        <v>2E-3</v>
      </c>
      <c r="N616" s="192">
        <f>N614*N615/1000</f>
        <v>2E-3</v>
      </c>
      <c r="O616" s="192">
        <f t="shared" ref="O616" si="711">O614*O615/1000</f>
        <v>2E-3</v>
      </c>
      <c r="P616" s="192">
        <f t="shared" ref="P616" si="712">P614*P615/1000</f>
        <v>2E-3</v>
      </c>
      <c r="Q616" s="192">
        <f t="shared" ref="Q616" si="713">Q614*Q615/1000</f>
        <v>2E-3</v>
      </c>
      <c r="R616" s="192">
        <f t="shared" ref="R616" si="714">R614*R615/1000</f>
        <v>2E-3</v>
      </c>
      <c r="S616" s="192">
        <f>S614*S615/1000+0.002</f>
        <v>4.0000000000000001E-3</v>
      </c>
      <c r="T616" s="194">
        <f>SUM(N616:S616)</f>
        <v>1.4E-2</v>
      </c>
      <c r="U616" s="194">
        <f>T616+L616</f>
        <v>2.5999999999999999E-2</v>
      </c>
      <c r="V616" s="171">
        <f>V617+V618</f>
        <v>2.5999999999999999E-2</v>
      </c>
      <c r="W616" s="192">
        <f>V616-U616</f>
        <v>0</v>
      </c>
      <c r="Z616" s="308"/>
    </row>
    <row r="617" spans="1:28" s="244" customFormat="1" ht="18" customHeight="1">
      <c r="A617" s="614"/>
      <c r="B617" s="581"/>
      <c r="C617" s="581"/>
      <c r="D617" s="174" t="str">
        <f>серпень!D540</f>
        <v>дотація</v>
      </c>
      <c r="E617" s="210"/>
      <c r="F617" s="192"/>
      <c r="G617" s="192"/>
      <c r="H617" s="192"/>
      <c r="I617" s="192"/>
      <c r="J617" s="192"/>
      <c r="K617" s="192"/>
      <c r="L617" s="194">
        <f>SUM(F617:K617)</f>
        <v>0</v>
      </c>
      <c r="M617" s="194">
        <f>L617/6</f>
        <v>0</v>
      </c>
      <c r="N617" s="192"/>
      <c r="O617" s="192"/>
      <c r="P617" s="192"/>
      <c r="Q617" s="192"/>
      <c r="R617" s="192"/>
      <c r="S617" s="192"/>
      <c r="T617" s="194">
        <f>SUM(N617:S617)</f>
        <v>0</v>
      </c>
      <c r="U617" s="194">
        <f>T617+L617</f>
        <v>0</v>
      </c>
      <c r="V617" s="171">
        <v>0</v>
      </c>
      <c r="W617" s="192">
        <f>V617-U617</f>
        <v>0</v>
      </c>
      <c r="Z617" s="308"/>
    </row>
    <row r="618" spans="1:28" s="244" customFormat="1" ht="18" customHeight="1">
      <c r="A618" s="614"/>
      <c r="B618" s="581"/>
      <c r="C618" s="581"/>
      <c r="D618" s="174" t="str">
        <f>серпень!D541</f>
        <v>місцевий (план), тис.грн</v>
      </c>
      <c r="E618" s="210"/>
      <c r="F618" s="192">
        <v>2E-3</v>
      </c>
      <c r="G618" s="192">
        <v>2E-3</v>
      </c>
      <c r="H618" s="192">
        <v>2E-3</v>
      </c>
      <c r="I618" s="192">
        <v>2E-3</v>
      </c>
      <c r="J618" s="192">
        <v>2E-3</v>
      </c>
      <c r="K618" s="192">
        <v>2E-3</v>
      </c>
      <c r="L618" s="194">
        <f>SUM(F618:K618)</f>
        <v>1.2E-2</v>
      </c>
      <c r="M618" s="194">
        <f>L618/6</f>
        <v>2E-3</v>
      </c>
      <c r="N618" s="192">
        <v>2E-3</v>
      </c>
      <c r="O618" s="192">
        <v>2E-3</v>
      </c>
      <c r="P618" s="192">
        <v>2E-3</v>
      </c>
      <c r="Q618" s="192">
        <v>2E-3</v>
      </c>
      <c r="R618" s="192">
        <v>2E-3</v>
      </c>
      <c r="S618" s="192">
        <v>4.0000000000000001E-3</v>
      </c>
      <c r="T618" s="194">
        <f>SUM(N618:S618)</f>
        <v>1.4E-2</v>
      </c>
      <c r="U618" s="194">
        <f>T618+L618</f>
        <v>2.5999999999999999E-2</v>
      </c>
      <c r="V618" s="171">
        <v>2.5999999999999999E-2</v>
      </c>
      <c r="W618" s="192">
        <f>V618-U618</f>
        <v>0</v>
      </c>
      <c r="Z618" s="308"/>
    </row>
    <row r="619" spans="1:28" s="186" customFormat="1" ht="18" customHeight="1">
      <c r="A619" s="614"/>
      <c r="B619" s="581"/>
      <c r="C619" s="581"/>
      <c r="D619" s="178" t="str">
        <f>серпень!D542</f>
        <v>касові нат.п-ки 2025</v>
      </c>
      <c r="E619" s="179"/>
      <c r="F619" s="184">
        <v>0</v>
      </c>
      <c r="G619" s="184">
        <v>1</v>
      </c>
      <c r="H619" s="184">
        <v>1</v>
      </c>
      <c r="I619" s="179">
        <v>1</v>
      </c>
      <c r="J619" s="179">
        <v>1</v>
      </c>
      <c r="K619" s="179">
        <v>1</v>
      </c>
      <c r="L619" s="215">
        <f>SUM(F619:K619)</f>
        <v>5</v>
      </c>
      <c r="M619" s="215">
        <f>L619/6</f>
        <v>0.8</v>
      </c>
      <c r="N619" s="179">
        <v>0</v>
      </c>
      <c r="O619" s="179">
        <v>2</v>
      </c>
      <c r="P619" s="179">
        <v>1</v>
      </c>
      <c r="Q619" s="179">
        <v>1</v>
      </c>
      <c r="R619" s="179">
        <v>1</v>
      </c>
      <c r="S619" s="179">
        <v>2</v>
      </c>
      <c r="T619" s="215">
        <f>SUM(N619:S619)</f>
        <v>7</v>
      </c>
      <c r="U619" s="215">
        <f>T619+L619</f>
        <v>12</v>
      </c>
      <c r="V619" s="179">
        <v>12</v>
      </c>
      <c r="W619" s="184">
        <f>V619-U619</f>
        <v>0</v>
      </c>
      <c r="X619" s="185">
        <f>U614-U619</f>
        <v>0</v>
      </c>
      <c r="Z619" s="297"/>
    </row>
    <row r="620" spans="1:28" s="190" customFormat="1" ht="18" customHeight="1">
      <c r="A620" s="614"/>
      <c r="B620" s="581"/>
      <c r="C620" s="581"/>
      <c r="D620" s="187" t="str">
        <f>серпень!D543</f>
        <v>тариф, грн.</v>
      </c>
      <c r="E620" s="188" t="e">
        <f t="shared" ref="E620:M620" si="715">E621/E619*1000</f>
        <v>#DIV/0!</v>
      </c>
      <c r="F620" s="188" t="e">
        <f t="shared" si="715"/>
        <v>#DIV/0!</v>
      </c>
      <c r="G620" s="188">
        <f t="shared" si="715"/>
        <v>2</v>
      </c>
      <c r="H620" s="188">
        <f t="shared" si="715"/>
        <v>2</v>
      </c>
      <c r="I620" s="188">
        <f t="shared" si="715"/>
        <v>2</v>
      </c>
      <c r="J620" s="188">
        <v>2.1</v>
      </c>
      <c r="K620" s="188">
        <v>2.1</v>
      </c>
      <c r="L620" s="218">
        <f t="shared" si="715"/>
        <v>2</v>
      </c>
      <c r="M620" s="218">
        <f t="shared" si="715"/>
        <v>2.5</v>
      </c>
      <c r="N620" s="218">
        <v>2.1</v>
      </c>
      <c r="O620" s="218">
        <v>2.1</v>
      </c>
      <c r="P620" s="218">
        <v>2.1</v>
      </c>
      <c r="Q620" s="218">
        <v>2.1</v>
      </c>
      <c r="R620" s="218">
        <v>2.1</v>
      </c>
      <c r="S620" s="188">
        <v>2.1</v>
      </c>
      <c r="T620" s="218">
        <f>T621/T619*1000</f>
        <v>2.286</v>
      </c>
      <c r="U620" s="218">
        <f>U621/U619*1000</f>
        <v>2.1669999999999998</v>
      </c>
      <c r="V620" s="218">
        <f>V621/V619*1000</f>
        <v>2.1669999999999998</v>
      </c>
      <c r="W620" s="218" t="e">
        <f>W621/W619*1000</f>
        <v>#DIV/0!</v>
      </c>
      <c r="X620" s="225"/>
      <c r="Z620" s="298"/>
    </row>
    <row r="621" spans="1:28" s="239" customFormat="1" ht="18" customHeight="1">
      <c r="A621" s="614"/>
      <c r="B621" s="581"/>
      <c r="C621" s="581"/>
      <c r="D621" s="198" t="str">
        <f>серпень!D544</f>
        <v>касові видатки, тис.грн.</v>
      </c>
      <c r="E621" s="220"/>
      <c r="F621" s="199">
        <v>0</v>
      </c>
      <c r="G621" s="199">
        <v>2E-3</v>
      </c>
      <c r="H621" s="199">
        <v>2E-3</v>
      </c>
      <c r="I621" s="199">
        <v>2E-3</v>
      </c>
      <c r="J621" s="199">
        <f t="shared" ref="J621" si="716">J619*J620/1000</f>
        <v>2E-3</v>
      </c>
      <c r="K621" s="199">
        <f t="shared" ref="K621" si="717">K619*K620/1000</f>
        <v>2E-3</v>
      </c>
      <c r="L621" s="199">
        <f>SUM(F621:K621)</f>
        <v>0.01</v>
      </c>
      <c r="M621" s="199">
        <f>L621/6</f>
        <v>2E-3</v>
      </c>
      <c r="N621" s="199">
        <v>0</v>
      </c>
      <c r="O621" s="199">
        <v>2E-3</v>
      </c>
      <c r="P621" s="199">
        <f t="shared" ref="P621" si="718">P619*P620/1000</f>
        <v>2E-3</v>
      </c>
      <c r="Q621" s="199">
        <f t="shared" ref="Q621" si="719">Q619*Q620/1000</f>
        <v>2E-3</v>
      </c>
      <c r="R621" s="199">
        <f t="shared" ref="R621" si="720">R619*R620/1000</f>
        <v>2E-3</v>
      </c>
      <c r="S621" s="199">
        <f>S619*S620/1000+0.004</f>
        <v>8.0000000000000002E-3</v>
      </c>
      <c r="T621" s="199">
        <f>SUM(N621:S621)</f>
        <v>1.6E-2</v>
      </c>
      <c r="U621" s="199">
        <f>T621+L621</f>
        <v>2.5999999999999999E-2</v>
      </c>
      <c r="V621" s="199">
        <f>V616</f>
        <v>2.5999999999999999E-2</v>
      </c>
      <c r="W621" s="221">
        <f>V621-U621</f>
        <v>0</v>
      </c>
      <c r="X621" s="176">
        <f>U616-U621</f>
        <v>0</v>
      </c>
      <c r="Z621" s="300"/>
    </row>
    <row r="622" spans="1:28" s="239" customFormat="1" ht="18" customHeight="1">
      <c r="A622" s="614"/>
      <c r="B622" s="581"/>
      <c r="C622" s="581"/>
      <c r="D622" s="201" t="str">
        <f>серпень!D545</f>
        <v>дотація</v>
      </c>
      <c r="E622" s="220"/>
      <c r="F622" s="199">
        <v>0</v>
      </c>
      <c r="G622" s="199">
        <v>0</v>
      </c>
      <c r="H622" s="199">
        <v>0</v>
      </c>
      <c r="I622" s="199">
        <v>0</v>
      </c>
      <c r="J622" s="199">
        <v>0</v>
      </c>
      <c r="K622" s="199">
        <v>0</v>
      </c>
      <c r="L622" s="199">
        <f>SUM(F622:K622)</f>
        <v>0</v>
      </c>
      <c r="M622" s="199">
        <f>L622/6</f>
        <v>0</v>
      </c>
      <c r="N622" s="199">
        <v>0</v>
      </c>
      <c r="O622" s="199">
        <v>0</v>
      </c>
      <c r="P622" s="199">
        <v>0</v>
      </c>
      <c r="Q622" s="199">
        <v>0</v>
      </c>
      <c r="R622" s="199">
        <v>0</v>
      </c>
      <c r="S622" s="199">
        <v>0</v>
      </c>
      <c r="T622" s="199">
        <f>SUM(N622:S622)</f>
        <v>0</v>
      </c>
      <c r="U622" s="199">
        <f>T622+L622</f>
        <v>0</v>
      </c>
      <c r="V622" s="199">
        <f>V617</f>
        <v>0</v>
      </c>
      <c r="W622" s="221">
        <f>V622-U622</f>
        <v>0</v>
      </c>
      <c r="X622" s="176">
        <f>U617-U622</f>
        <v>0</v>
      </c>
      <c r="Z622" s="300"/>
    </row>
    <row r="623" spans="1:28" s="239" customFormat="1" ht="18" customHeight="1">
      <c r="A623" s="614"/>
      <c r="B623" s="581"/>
      <c r="C623" s="581"/>
      <c r="D623" s="201" t="str">
        <f>серпень!D546</f>
        <v xml:space="preserve">місцевий </v>
      </c>
      <c r="E623" s="220"/>
      <c r="F623" s="199">
        <f t="shared" ref="F623:K623" si="721">F621-F622</f>
        <v>0</v>
      </c>
      <c r="G623" s="199">
        <f t="shared" si="721"/>
        <v>2E-3</v>
      </c>
      <c r="H623" s="199">
        <f t="shared" si="721"/>
        <v>2E-3</v>
      </c>
      <c r="I623" s="199">
        <f t="shared" si="721"/>
        <v>2E-3</v>
      </c>
      <c r="J623" s="199">
        <f t="shared" si="721"/>
        <v>2E-3</v>
      </c>
      <c r="K623" s="199">
        <f t="shared" si="721"/>
        <v>2E-3</v>
      </c>
      <c r="L623" s="199">
        <f>SUM(F623:K623)</f>
        <v>0.01</v>
      </c>
      <c r="M623" s="199">
        <f>L623/6</f>
        <v>2E-3</v>
      </c>
      <c r="N623" s="199">
        <f t="shared" ref="N623:S623" si="722">N621-N622</f>
        <v>0</v>
      </c>
      <c r="O623" s="199">
        <f t="shared" si="722"/>
        <v>2E-3</v>
      </c>
      <c r="P623" s="199">
        <f t="shared" si="722"/>
        <v>2E-3</v>
      </c>
      <c r="Q623" s="199">
        <f t="shared" si="722"/>
        <v>2E-3</v>
      </c>
      <c r="R623" s="199">
        <f t="shared" si="722"/>
        <v>2E-3</v>
      </c>
      <c r="S623" s="199">
        <f t="shared" si="722"/>
        <v>8.0000000000000002E-3</v>
      </c>
      <c r="T623" s="199">
        <f>SUM(N623:S623)</f>
        <v>1.6E-2</v>
      </c>
      <c r="U623" s="199">
        <f>T623+L623</f>
        <v>2.5999999999999999E-2</v>
      </c>
      <c r="V623" s="199">
        <f>V618</f>
        <v>2.5999999999999999E-2</v>
      </c>
      <c r="W623" s="221">
        <f>V623-U623</f>
        <v>0</v>
      </c>
      <c r="X623" s="176">
        <f>U618-U623</f>
        <v>0</v>
      </c>
      <c r="Z623" s="300"/>
    </row>
    <row r="624" spans="1:28" s="205" customFormat="1" ht="18" customHeight="1">
      <c r="A624" s="614"/>
      <c r="B624" s="581"/>
      <c r="C624" s="581"/>
      <c r="D624" s="202" t="str">
        <f>серпень!D547</f>
        <v>план</v>
      </c>
      <c r="E624" s="203"/>
      <c r="F624" s="203">
        <f t="shared" ref="F624:K624" si="723">F618</f>
        <v>2E-3</v>
      </c>
      <c r="G624" s="203">
        <f t="shared" si="723"/>
        <v>2E-3</v>
      </c>
      <c r="H624" s="203">
        <f t="shared" si="723"/>
        <v>2E-3</v>
      </c>
      <c r="I624" s="203">
        <f t="shared" si="723"/>
        <v>2E-3</v>
      </c>
      <c r="J624" s="203">
        <f t="shared" si="723"/>
        <v>2E-3</v>
      </c>
      <c r="K624" s="203">
        <f t="shared" si="723"/>
        <v>2E-3</v>
      </c>
      <c r="L624" s="203">
        <f>SUM(F624:K624)</f>
        <v>1.2E-2</v>
      </c>
      <c r="M624" s="203">
        <f>L624/6</f>
        <v>2E-3</v>
      </c>
      <c r="N624" s="203">
        <f t="shared" ref="N624:S624" si="724">N618+N617</f>
        <v>2E-3</v>
      </c>
      <c r="O624" s="203">
        <f t="shared" si="724"/>
        <v>2E-3</v>
      </c>
      <c r="P624" s="203">
        <f t="shared" si="724"/>
        <v>2E-3</v>
      </c>
      <c r="Q624" s="203">
        <f t="shared" si="724"/>
        <v>2E-3</v>
      </c>
      <c r="R624" s="203">
        <f t="shared" si="724"/>
        <v>2E-3</v>
      </c>
      <c r="S624" s="203">
        <f t="shared" si="724"/>
        <v>4.0000000000000001E-3</v>
      </c>
      <c r="T624" s="203">
        <f>SUM(N624:S624)</f>
        <v>1.4E-2</v>
      </c>
      <c r="U624" s="203">
        <f>T624+L624</f>
        <v>2.5999999999999999E-2</v>
      </c>
      <c r="V624" s="203">
        <f>V621</f>
        <v>2.5999999999999999E-2</v>
      </c>
      <c r="W624" s="203">
        <f>V624-U624</f>
        <v>0</v>
      </c>
      <c r="Z624" s="301"/>
    </row>
    <row r="625" spans="1:28" s="205" customFormat="1" ht="18" customHeight="1">
      <c r="A625" s="614"/>
      <c r="B625" s="581"/>
      <c r="C625" s="581"/>
      <c r="D625" s="202" t="str">
        <f>серпень!D548</f>
        <v xml:space="preserve">відхилення </v>
      </c>
      <c r="E625" s="203"/>
      <c r="F625" s="203">
        <f t="shared" ref="F625:K625" si="725">F621-F624</f>
        <v>-2E-3</v>
      </c>
      <c r="G625" s="203">
        <f t="shared" si="725"/>
        <v>0</v>
      </c>
      <c r="H625" s="203">
        <f t="shared" si="725"/>
        <v>0</v>
      </c>
      <c r="I625" s="203">
        <f t="shared" si="725"/>
        <v>0</v>
      </c>
      <c r="J625" s="203">
        <f t="shared" si="725"/>
        <v>0</v>
      </c>
      <c r="K625" s="203">
        <f t="shared" si="725"/>
        <v>0</v>
      </c>
      <c r="L625" s="203"/>
      <c r="M625" s="203"/>
      <c r="N625" s="203">
        <f t="shared" ref="N625:S625" si="726">N621-N624</f>
        <v>-2E-3</v>
      </c>
      <c r="O625" s="203">
        <f t="shared" si="726"/>
        <v>0</v>
      </c>
      <c r="P625" s="203">
        <f t="shared" si="726"/>
        <v>0</v>
      </c>
      <c r="Q625" s="203">
        <f t="shared" si="726"/>
        <v>0</v>
      </c>
      <c r="R625" s="203">
        <f t="shared" si="726"/>
        <v>0</v>
      </c>
      <c r="S625" s="203">
        <f t="shared" si="726"/>
        <v>4.0000000000000001E-3</v>
      </c>
      <c r="T625" s="203"/>
      <c r="U625" s="203"/>
      <c r="V625" s="203"/>
      <c r="W625" s="203"/>
      <c r="Z625" s="301"/>
    </row>
    <row r="626" spans="1:28" s="205" customFormat="1" ht="18" customHeight="1">
      <c r="A626" s="614"/>
      <c r="B626" s="581"/>
      <c r="C626" s="581"/>
      <c r="D626" s="202" t="str">
        <f>серпень!D549</f>
        <v>відхилення з наростаючим</v>
      </c>
      <c r="E626" s="203"/>
      <c r="F626" s="203">
        <f>F625</f>
        <v>-2E-3</v>
      </c>
      <c r="G626" s="203">
        <f>G625+F626</f>
        <v>-2E-3</v>
      </c>
      <c r="H626" s="203">
        <f>H625+G626</f>
        <v>-2E-3</v>
      </c>
      <c r="I626" s="203">
        <f>I625+H626</f>
        <v>-2E-3</v>
      </c>
      <c r="J626" s="203">
        <f>J625+I626</f>
        <v>-2E-3</v>
      </c>
      <c r="K626" s="203">
        <f>K625+J626</f>
        <v>-2E-3</v>
      </c>
      <c r="L626" s="203"/>
      <c r="M626" s="203"/>
      <c r="N626" s="203">
        <f>N625+K626</f>
        <v>-4.0000000000000001E-3</v>
      </c>
      <c r="O626" s="203">
        <f>O625+N626</f>
        <v>-4.0000000000000001E-3</v>
      </c>
      <c r="P626" s="203">
        <f>P625+O626</f>
        <v>-4.0000000000000001E-3</v>
      </c>
      <c r="Q626" s="203">
        <f>Q625+P626</f>
        <v>-4.0000000000000001E-3</v>
      </c>
      <c r="R626" s="203">
        <f>R625+Q626</f>
        <v>-4.0000000000000001E-3</v>
      </c>
      <c r="S626" s="203">
        <f>S625+R626</f>
        <v>0</v>
      </c>
      <c r="T626" s="203"/>
      <c r="U626" s="203"/>
      <c r="V626" s="203"/>
      <c r="W626" s="203"/>
      <c r="Z626" s="301"/>
    </row>
    <row r="627" spans="1:28" s="196" customFormat="1" ht="18" hidden="1" customHeight="1">
      <c r="A627" s="614"/>
      <c r="B627" s="581" t="s">
        <v>66</v>
      </c>
      <c r="C627" s="581"/>
      <c r="D627" s="178" t="str">
        <f>серпень!D550</f>
        <v>факт. нат.п-ки 2023</v>
      </c>
      <c r="E627" s="179"/>
      <c r="F627" s="180">
        <f t="shared" ref="F627:K629" si="727">F644+F674</f>
        <v>0</v>
      </c>
      <c r="G627" s="180">
        <f t="shared" si="727"/>
        <v>0</v>
      </c>
      <c r="H627" s="180">
        <f t="shared" si="727"/>
        <v>0</v>
      </c>
      <c r="I627" s="180">
        <f t="shared" si="727"/>
        <v>0</v>
      </c>
      <c r="J627" s="180">
        <f t="shared" si="727"/>
        <v>0</v>
      </c>
      <c r="K627" s="180">
        <f t="shared" si="727"/>
        <v>0</v>
      </c>
      <c r="L627" s="215">
        <f>SUM(F627:K627)</f>
        <v>0</v>
      </c>
      <c r="M627" s="215">
        <f>L627/6</f>
        <v>0</v>
      </c>
      <c r="N627" s="180">
        <f t="shared" ref="N627:S629" si="728">N644+N674</f>
        <v>0</v>
      </c>
      <c r="O627" s="180">
        <f t="shared" si="728"/>
        <v>0</v>
      </c>
      <c r="P627" s="180">
        <f t="shared" si="728"/>
        <v>0</v>
      </c>
      <c r="Q627" s="180">
        <f t="shared" si="728"/>
        <v>0</v>
      </c>
      <c r="R627" s="180">
        <f t="shared" si="728"/>
        <v>0</v>
      </c>
      <c r="S627" s="180">
        <f t="shared" si="728"/>
        <v>0</v>
      </c>
      <c r="T627" s="215">
        <f>SUM(N627:S627)</f>
        <v>0</v>
      </c>
      <c r="U627" s="215">
        <f>T627+L627</f>
        <v>0</v>
      </c>
      <c r="V627" s="229">
        <f>V644+V674</f>
        <v>0</v>
      </c>
      <c r="W627" s="184">
        <f>V627-U627</f>
        <v>0</v>
      </c>
      <c r="X627" s="185"/>
      <c r="Y627" s="186"/>
      <c r="Z627" s="297"/>
      <c r="AA627" s="186"/>
      <c r="AB627" s="186"/>
    </row>
    <row r="628" spans="1:28" s="186" customFormat="1" ht="18" hidden="1" customHeight="1">
      <c r="A628" s="614"/>
      <c r="B628" s="581"/>
      <c r="C628" s="581"/>
      <c r="D628" s="178" t="str">
        <f>серпень!D551</f>
        <v>факт. нат.п-ки 2024</v>
      </c>
      <c r="E628" s="179"/>
      <c r="F628" s="180">
        <f t="shared" si="727"/>
        <v>0</v>
      </c>
      <c r="G628" s="180">
        <f t="shared" si="727"/>
        <v>0</v>
      </c>
      <c r="H628" s="180">
        <f t="shared" si="727"/>
        <v>0</v>
      </c>
      <c r="I628" s="180">
        <f t="shared" si="727"/>
        <v>0</v>
      </c>
      <c r="J628" s="180">
        <f t="shared" si="727"/>
        <v>0</v>
      </c>
      <c r="K628" s="180">
        <f t="shared" si="727"/>
        <v>0</v>
      </c>
      <c r="L628" s="215">
        <f>SUM(F628:K628)</f>
        <v>0</v>
      </c>
      <c r="M628" s="215">
        <f>L628/6</f>
        <v>0</v>
      </c>
      <c r="N628" s="180">
        <f t="shared" si="728"/>
        <v>0</v>
      </c>
      <c r="O628" s="180">
        <f t="shared" si="728"/>
        <v>0</v>
      </c>
      <c r="P628" s="180">
        <f t="shared" si="728"/>
        <v>0</v>
      </c>
      <c r="Q628" s="180">
        <f t="shared" si="728"/>
        <v>0</v>
      </c>
      <c r="R628" s="180">
        <f t="shared" si="728"/>
        <v>0</v>
      </c>
      <c r="S628" s="180">
        <f t="shared" si="728"/>
        <v>0</v>
      </c>
      <c r="T628" s="215">
        <f>SUM(N628:S628)</f>
        <v>0</v>
      </c>
      <c r="U628" s="215">
        <f>T628+L628</f>
        <v>0</v>
      </c>
      <c r="V628" s="229">
        <f>V645+V675</f>
        <v>0</v>
      </c>
      <c r="W628" s="184">
        <f>V628-U628</f>
        <v>0</v>
      </c>
      <c r="X628" s="185"/>
      <c r="Z628" s="297"/>
    </row>
    <row r="629" spans="1:28" s="186" customFormat="1" ht="18" hidden="1" customHeight="1">
      <c r="A629" s="614"/>
      <c r="B629" s="581"/>
      <c r="C629" s="581"/>
      <c r="D629" s="178" t="str">
        <f>серпень!D552</f>
        <v>факт. нат.п-ки 2025</v>
      </c>
      <c r="E629" s="179"/>
      <c r="F629" s="180">
        <f t="shared" si="727"/>
        <v>0</v>
      </c>
      <c r="G629" s="180">
        <f t="shared" si="727"/>
        <v>0</v>
      </c>
      <c r="H629" s="180">
        <f t="shared" si="727"/>
        <v>0</v>
      </c>
      <c r="I629" s="180">
        <f t="shared" si="727"/>
        <v>0</v>
      </c>
      <c r="J629" s="180">
        <f t="shared" si="727"/>
        <v>0</v>
      </c>
      <c r="K629" s="180">
        <f t="shared" si="727"/>
        <v>0</v>
      </c>
      <c r="L629" s="215">
        <f>SUM(F629:K629)</f>
        <v>0</v>
      </c>
      <c r="M629" s="215">
        <f>L629/6</f>
        <v>0</v>
      </c>
      <c r="N629" s="180">
        <f t="shared" si="728"/>
        <v>0</v>
      </c>
      <c r="O629" s="180">
        <f t="shared" si="728"/>
        <v>0</v>
      </c>
      <c r="P629" s="180">
        <f t="shared" si="728"/>
        <v>0</v>
      </c>
      <c r="Q629" s="180">
        <f t="shared" si="728"/>
        <v>0</v>
      </c>
      <c r="R629" s="180">
        <f t="shared" si="728"/>
        <v>0</v>
      </c>
      <c r="S629" s="180">
        <f t="shared" si="728"/>
        <v>0</v>
      </c>
      <c r="T629" s="215">
        <f>SUM(N629:S629)</f>
        <v>0</v>
      </c>
      <c r="U629" s="215">
        <f>T629+L629</f>
        <v>0</v>
      </c>
      <c r="V629" s="229">
        <f>V646+V676</f>
        <v>0</v>
      </c>
      <c r="W629" s="184">
        <f>V629-U629</f>
        <v>0</v>
      </c>
      <c r="X629" s="185"/>
      <c r="Z629" s="297"/>
    </row>
    <row r="630" spans="1:28" s="190" customFormat="1" ht="18" hidden="1" customHeight="1">
      <c r="A630" s="614"/>
      <c r="B630" s="581"/>
      <c r="C630" s="581"/>
      <c r="D630" s="187" t="str">
        <f>серпень!D553</f>
        <v>тариф, грн.</v>
      </c>
      <c r="E630" s="188"/>
      <c r="F630" s="188" t="e">
        <f t="shared" ref="F630:W630" si="729">F631/F629*1000</f>
        <v>#DIV/0!</v>
      </c>
      <c r="G630" s="188" t="e">
        <f t="shared" si="729"/>
        <v>#DIV/0!</v>
      </c>
      <c r="H630" s="188" t="e">
        <f t="shared" si="729"/>
        <v>#DIV/0!</v>
      </c>
      <c r="I630" s="188" t="e">
        <f t="shared" si="729"/>
        <v>#DIV/0!</v>
      </c>
      <c r="J630" s="188" t="e">
        <f t="shared" si="729"/>
        <v>#DIV/0!</v>
      </c>
      <c r="K630" s="188" t="e">
        <f t="shared" si="729"/>
        <v>#DIV/0!</v>
      </c>
      <c r="L630" s="188" t="e">
        <f t="shared" si="729"/>
        <v>#DIV/0!</v>
      </c>
      <c r="M630" s="188" t="e">
        <f t="shared" si="729"/>
        <v>#DIV/0!</v>
      </c>
      <c r="N630" s="188" t="e">
        <f t="shared" si="729"/>
        <v>#DIV/0!</v>
      </c>
      <c r="O630" s="188" t="e">
        <f t="shared" si="729"/>
        <v>#DIV/0!</v>
      </c>
      <c r="P630" s="188" t="e">
        <f t="shared" si="729"/>
        <v>#DIV/0!</v>
      </c>
      <c r="Q630" s="188" t="e">
        <f t="shared" si="729"/>
        <v>#DIV/0!</v>
      </c>
      <c r="R630" s="188" t="e">
        <f t="shared" si="729"/>
        <v>#DIV/0!</v>
      </c>
      <c r="S630" s="188" t="e">
        <f t="shared" si="729"/>
        <v>#DIV/0!</v>
      </c>
      <c r="T630" s="188" t="e">
        <f t="shared" si="729"/>
        <v>#DIV/0!</v>
      </c>
      <c r="U630" s="188" t="e">
        <f t="shared" si="729"/>
        <v>#DIV/0!</v>
      </c>
      <c r="V630" s="188" t="e">
        <f t="shared" si="729"/>
        <v>#DIV/0!</v>
      </c>
      <c r="W630" s="188" t="e">
        <f t="shared" si="729"/>
        <v>#DIV/0!</v>
      </c>
      <c r="X630" s="225"/>
      <c r="Z630" s="298"/>
    </row>
    <row r="631" spans="1:28" s="244" customFormat="1" ht="18" hidden="1" customHeight="1">
      <c r="A631" s="614"/>
      <c r="B631" s="581"/>
      <c r="C631" s="581"/>
      <c r="D631" s="191" t="str">
        <f>серпень!D554</f>
        <v>сума, тис.грн.</v>
      </c>
      <c r="E631" s="192"/>
      <c r="F631" s="192">
        <f t="shared" ref="F631:K631" si="730">F648+F678</f>
        <v>0</v>
      </c>
      <c r="G631" s="192">
        <f t="shared" si="730"/>
        <v>0</v>
      </c>
      <c r="H631" s="192">
        <f t="shared" si="730"/>
        <v>0</v>
      </c>
      <c r="I631" s="192">
        <f t="shared" si="730"/>
        <v>0</v>
      </c>
      <c r="J631" s="192">
        <f t="shared" si="730"/>
        <v>0</v>
      </c>
      <c r="K631" s="192">
        <f t="shared" si="730"/>
        <v>0</v>
      </c>
      <c r="L631" s="194">
        <f>SUM(F631:K631)</f>
        <v>0</v>
      </c>
      <c r="M631" s="194">
        <f>L631/6</f>
        <v>0</v>
      </c>
      <c r="N631" s="192">
        <f t="shared" ref="N631:S631" si="731">N648+N678</f>
        <v>0</v>
      </c>
      <c r="O631" s="192">
        <f t="shared" si="731"/>
        <v>0</v>
      </c>
      <c r="P631" s="192">
        <f t="shared" si="731"/>
        <v>0</v>
      </c>
      <c r="Q631" s="192">
        <f t="shared" si="731"/>
        <v>0</v>
      </c>
      <c r="R631" s="192">
        <f t="shared" si="731"/>
        <v>0</v>
      </c>
      <c r="S631" s="192">
        <f t="shared" si="731"/>
        <v>0</v>
      </c>
      <c r="T631" s="194">
        <f>SUM(N631:S631)</f>
        <v>0</v>
      </c>
      <c r="U631" s="194">
        <f>T631+L631</f>
        <v>0</v>
      </c>
      <c r="V631" s="194">
        <f>V648+V678</f>
        <v>0</v>
      </c>
      <c r="W631" s="192">
        <f>V631-U631</f>
        <v>0</v>
      </c>
      <c r="Z631" s="308"/>
    </row>
    <row r="632" spans="1:28" s="244" customFormat="1" ht="18" hidden="1" customHeight="1">
      <c r="A632" s="614"/>
      <c r="B632" s="581"/>
      <c r="C632" s="581"/>
      <c r="D632" s="174" t="str">
        <f>серпень!D555</f>
        <v>абоненська плата, тис.грн.</v>
      </c>
      <c r="E632" s="192"/>
      <c r="F632" s="192">
        <f>F663+F693</f>
        <v>0</v>
      </c>
      <c r="G632" s="192">
        <f t="shared" ref="G632:K632" si="732">G663+G693</f>
        <v>0</v>
      </c>
      <c r="H632" s="192">
        <f t="shared" si="732"/>
        <v>0</v>
      </c>
      <c r="I632" s="192">
        <f t="shared" si="732"/>
        <v>0</v>
      </c>
      <c r="J632" s="192">
        <f t="shared" si="732"/>
        <v>0</v>
      </c>
      <c r="K632" s="192">
        <f t="shared" si="732"/>
        <v>0</v>
      </c>
      <c r="L632" s="194">
        <f t="shared" ref="L632:L633" si="733">SUM(F632:K632)</f>
        <v>0</v>
      </c>
      <c r="M632" s="194">
        <f t="shared" ref="M632:M633" si="734">L632/6</f>
        <v>0</v>
      </c>
      <c r="N632" s="192">
        <f>N663+N693</f>
        <v>0</v>
      </c>
      <c r="O632" s="192">
        <f t="shared" ref="O632:S632" si="735">O663+O693</f>
        <v>0</v>
      </c>
      <c r="P632" s="192">
        <f t="shared" si="735"/>
        <v>0</v>
      </c>
      <c r="Q632" s="192">
        <f t="shared" si="735"/>
        <v>0</v>
      </c>
      <c r="R632" s="192">
        <f t="shared" si="735"/>
        <v>0</v>
      </c>
      <c r="S632" s="192">
        <f t="shared" si="735"/>
        <v>0</v>
      </c>
      <c r="T632" s="194">
        <f t="shared" ref="T632:T633" si="736">SUM(N632:S632)</f>
        <v>0</v>
      </c>
      <c r="U632" s="194">
        <f t="shared" ref="U632:U633" si="737">T632+L632</f>
        <v>0</v>
      </c>
      <c r="V632" s="194">
        <f t="shared" ref="V632:V633" si="738">V649+V679</f>
        <v>0</v>
      </c>
      <c r="W632" s="192">
        <f t="shared" ref="W632:W633" si="739">V632-U632</f>
        <v>0</v>
      </c>
      <c r="Z632" s="308"/>
    </row>
    <row r="633" spans="1:28" s="244" customFormat="1" ht="18" hidden="1" customHeight="1">
      <c r="A633" s="614"/>
      <c r="B633" s="581"/>
      <c r="C633" s="581"/>
      <c r="D633" s="174" t="str">
        <f>серпень!D556</f>
        <v>разом сума тис. грн+абонплата</v>
      </c>
      <c r="E633" s="192"/>
      <c r="F633" s="192">
        <f>F631+F632</f>
        <v>0</v>
      </c>
      <c r="G633" s="192">
        <f t="shared" ref="G633:K633" si="740">G631+G632</f>
        <v>0</v>
      </c>
      <c r="H633" s="192">
        <f t="shared" si="740"/>
        <v>0</v>
      </c>
      <c r="I633" s="192">
        <f t="shared" si="740"/>
        <v>0</v>
      </c>
      <c r="J633" s="192">
        <f t="shared" si="740"/>
        <v>0</v>
      </c>
      <c r="K633" s="192">
        <f t="shared" si="740"/>
        <v>0</v>
      </c>
      <c r="L633" s="194">
        <f t="shared" si="733"/>
        <v>0</v>
      </c>
      <c r="M633" s="194">
        <f t="shared" si="734"/>
        <v>0</v>
      </c>
      <c r="N633" s="192">
        <f>N631+N632</f>
        <v>0</v>
      </c>
      <c r="O633" s="192">
        <f t="shared" ref="O633" si="741">O631+O632</f>
        <v>0</v>
      </c>
      <c r="P633" s="192">
        <f t="shared" ref="P633" si="742">P631+P632</f>
        <v>0</v>
      </c>
      <c r="Q633" s="192">
        <f t="shared" ref="Q633" si="743">Q631+Q632</f>
        <v>0</v>
      </c>
      <c r="R633" s="192">
        <f t="shared" ref="R633" si="744">R631+R632</f>
        <v>0</v>
      </c>
      <c r="S633" s="192">
        <f t="shared" ref="S633" si="745">S631+S632</f>
        <v>0</v>
      </c>
      <c r="T633" s="194">
        <f t="shared" si="736"/>
        <v>0</v>
      </c>
      <c r="U633" s="194">
        <f t="shared" si="737"/>
        <v>0</v>
      </c>
      <c r="V633" s="194">
        <f t="shared" si="738"/>
        <v>0</v>
      </c>
      <c r="W633" s="192">
        <f t="shared" si="739"/>
        <v>0</v>
      </c>
      <c r="Z633" s="308"/>
    </row>
    <row r="634" spans="1:28" s="244" customFormat="1" ht="17.55" hidden="1" customHeight="1">
      <c r="A634" s="614"/>
      <c r="B634" s="581"/>
      <c r="C634" s="581"/>
      <c r="D634" s="174" t="str">
        <f>серпень!D557</f>
        <v>дотація</v>
      </c>
      <c r="E634" s="210"/>
      <c r="F634" s="192">
        <f t="shared" ref="F634:K636" si="746">F649+F679</f>
        <v>0</v>
      </c>
      <c r="G634" s="192">
        <f t="shared" si="746"/>
        <v>0</v>
      </c>
      <c r="H634" s="192">
        <f t="shared" si="746"/>
        <v>0</v>
      </c>
      <c r="I634" s="192">
        <f t="shared" si="746"/>
        <v>0</v>
      </c>
      <c r="J634" s="192">
        <f t="shared" si="746"/>
        <v>0</v>
      </c>
      <c r="K634" s="192">
        <f t="shared" si="746"/>
        <v>0</v>
      </c>
      <c r="L634" s="194">
        <f>SUM(F634:K634)</f>
        <v>0</v>
      </c>
      <c r="M634" s="194">
        <f>L634/6</f>
        <v>0</v>
      </c>
      <c r="N634" s="192">
        <f t="shared" ref="N634:S636" si="747">N649+N679</f>
        <v>0</v>
      </c>
      <c r="O634" s="192">
        <f t="shared" si="747"/>
        <v>0</v>
      </c>
      <c r="P634" s="192">
        <f t="shared" si="747"/>
        <v>0</v>
      </c>
      <c r="Q634" s="192">
        <f t="shared" si="747"/>
        <v>0</v>
      </c>
      <c r="R634" s="192">
        <f t="shared" si="747"/>
        <v>0</v>
      </c>
      <c r="S634" s="192">
        <f t="shared" si="747"/>
        <v>0</v>
      </c>
      <c r="T634" s="194">
        <f>SUM(N634:S634)</f>
        <v>0</v>
      </c>
      <c r="U634" s="194">
        <f>T634+L634</f>
        <v>0</v>
      </c>
      <c r="V634" s="194">
        <f>V649+V679</f>
        <v>0</v>
      </c>
      <c r="W634" s="192">
        <f>V634-U634</f>
        <v>0</v>
      </c>
      <c r="Z634" s="308"/>
    </row>
    <row r="635" spans="1:28" s="244" customFormat="1" ht="18" hidden="1" customHeight="1">
      <c r="A635" s="614"/>
      <c r="B635" s="581"/>
      <c r="C635" s="581"/>
      <c r="D635" s="174" t="str">
        <f>серпень!D558</f>
        <v>місцевий (план), тис.грн</v>
      </c>
      <c r="E635" s="210"/>
      <c r="F635" s="192">
        <f t="shared" si="746"/>
        <v>0</v>
      </c>
      <c r="G635" s="192">
        <f t="shared" si="746"/>
        <v>0</v>
      </c>
      <c r="H635" s="192">
        <f t="shared" si="746"/>
        <v>0</v>
      </c>
      <c r="I635" s="192">
        <f t="shared" si="746"/>
        <v>0</v>
      </c>
      <c r="J635" s="192">
        <f t="shared" si="746"/>
        <v>0</v>
      </c>
      <c r="K635" s="192">
        <f t="shared" si="746"/>
        <v>0</v>
      </c>
      <c r="L635" s="194">
        <f>SUM(F635:K635)</f>
        <v>0</v>
      </c>
      <c r="M635" s="194">
        <f>L635/6</f>
        <v>0</v>
      </c>
      <c r="N635" s="192">
        <f t="shared" si="747"/>
        <v>0</v>
      </c>
      <c r="O635" s="192">
        <f t="shared" si="747"/>
        <v>0</v>
      </c>
      <c r="P635" s="192">
        <f t="shared" si="747"/>
        <v>0</v>
      </c>
      <c r="Q635" s="192">
        <f t="shared" si="747"/>
        <v>0</v>
      </c>
      <c r="R635" s="192">
        <f t="shared" si="747"/>
        <v>0</v>
      </c>
      <c r="S635" s="192">
        <f t="shared" si="747"/>
        <v>0</v>
      </c>
      <c r="T635" s="194">
        <f>SUM(N635:S635)</f>
        <v>0</v>
      </c>
      <c r="U635" s="194">
        <f>T635+L635</f>
        <v>0</v>
      </c>
      <c r="V635" s="194">
        <f>V650+V680</f>
        <v>0</v>
      </c>
      <c r="W635" s="192">
        <f>V635-U635</f>
        <v>0</v>
      </c>
      <c r="Z635" s="308"/>
    </row>
    <row r="636" spans="1:28" s="186" customFormat="1" ht="18" hidden="1" customHeight="1">
      <c r="A636" s="614"/>
      <c r="B636" s="581"/>
      <c r="C636" s="581"/>
      <c r="D636" s="178" t="str">
        <f>серпень!D559</f>
        <v>касові нат.п-ки 2025</v>
      </c>
      <c r="E636" s="179"/>
      <c r="F636" s="179">
        <f t="shared" si="746"/>
        <v>0</v>
      </c>
      <c r="G636" s="179">
        <f t="shared" si="746"/>
        <v>0</v>
      </c>
      <c r="H636" s="179">
        <f t="shared" si="746"/>
        <v>0</v>
      </c>
      <c r="I636" s="179">
        <f t="shared" si="746"/>
        <v>0</v>
      </c>
      <c r="J636" s="179">
        <f t="shared" si="746"/>
        <v>0</v>
      </c>
      <c r="K636" s="179">
        <f t="shared" si="746"/>
        <v>0</v>
      </c>
      <c r="L636" s="215">
        <f>SUM(F636:K636)</f>
        <v>0</v>
      </c>
      <c r="M636" s="215">
        <f>L636/6</f>
        <v>0</v>
      </c>
      <c r="N636" s="179">
        <f t="shared" si="747"/>
        <v>0</v>
      </c>
      <c r="O636" s="179">
        <f t="shared" si="747"/>
        <v>0</v>
      </c>
      <c r="P636" s="179">
        <f t="shared" si="747"/>
        <v>0</v>
      </c>
      <c r="Q636" s="179">
        <f t="shared" si="747"/>
        <v>0</v>
      </c>
      <c r="R636" s="179">
        <f t="shared" si="747"/>
        <v>0</v>
      </c>
      <c r="S636" s="179">
        <f t="shared" si="747"/>
        <v>0</v>
      </c>
      <c r="T636" s="215">
        <f>SUM(N636:S636)</f>
        <v>0</v>
      </c>
      <c r="U636" s="215">
        <f>T636+L636</f>
        <v>0</v>
      </c>
      <c r="V636" s="184">
        <f>V651+V681</f>
        <v>0</v>
      </c>
      <c r="W636" s="184">
        <f>V636-U636</f>
        <v>0</v>
      </c>
      <c r="X636" s="185">
        <f>U629-U636</f>
        <v>0</v>
      </c>
      <c r="Z636" s="297"/>
    </row>
    <row r="637" spans="1:28" s="190" customFormat="1" ht="18" hidden="1" customHeight="1">
      <c r="A637" s="614"/>
      <c r="B637" s="581"/>
      <c r="C637" s="581"/>
      <c r="D637" s="187" t="str">
        <f>серпень!D560</f>
        <v>тариф, грн.</v>
      </c>
      <c r="E637" s="188" t="e">
        <f>E638/E636*1000</f>
        <v>#DIV/0!</v>
      </c>
      <c r="F637" s="188" t="e">
        <f t="shared" ref="F637:W637" si="748">F638/F636*1000</f>
        <v>#DIV/0!</v>
      </c>
      <c r="G637" s="188" t="e">
        <f t="shared" si="748"/>
        <v>#DIV/0!</v>
      </c>
      <c r="H637" s="188" t="e">
        <f t="shared" si="748"/>
        <v>#DIV/0!</v>
      </c>
      <c r="I637" s="188" t="e">
        <f t="shared" si="748"/>
        <v>#DIV/0!</v>
      </c>
      <c r="J637" s="188" t="e">
        <f t="shared" si="748"/>
        <v>#DIV/0!</v>
      </c>
      <c r="K637" s="188" t="e">
        <f t="shared" si="748"/>
        <v>#DIV/0!</v>
      </c>
      <c r="L637" s="188" t="e">
        <f t="shared" si="748"/>
        <v>#DIV/0!</v>
      </c>
      <c r="M637" s="188" t="e">
        <f t="shared" si="748"/>
        <v>#DIV/0!</v>
      </c>
      <c r="N637" s="188" t="e">
        <f t="shared" si="748"/>
        <v>#DIV/0!</v>
      </c>
      <c r="O637" s="188" t="e">
        <f t="shared" si="748"/>
        <v>#DIV/0!</v>
      </c>
      <c r="P637" s="188" t="e">
        <f t="shared" si="748"/>
        <v>#DIV/0!</v>
      </c>
      <c r="Q637" s="188" t="e">
        <f t="shared" si="748"/>
        <v>#DIV/0!</v>
      </c>
      <c r="R637" s="188" t="e">
        <f t="shared" si="748"/>
        <v>#DIV/0!</v>
      </c>
      <c r="S637" s="188" t="e">
        <f t="shared" si="748"/>
        <v>#DIV/0!</v>
      </c>
      <c r="T637" s="188" t="e">
        <f t="shared" si="748"/>
        <v>#DIV/0!</v>
      </c>
      <c r="U637" s="188" t="e">
        <f t="shared" si="748"/>
        <v>#DIV/0!</v>
      </c>
      <c r="V637" s="188" t="e">
        <f t="shared" si="748"/>
        <v>#DIV/0!</v>
      </c>
      <c r="W637" s="188" t="e">
        <f t="shared" si="748"/>
        <v>#DIV/0!</v>
      </c>
      <c r="X637" s="225"/>
      <c r="Z637" s="298"/>
    </row>
    <row r="638" spans="1:28" s="239" customFormat="1" ht="18" hidden="1" customHeight="1">
      <c r="A638" s="614"/>
      <c r="B638" s="581"/>
      <c r="C638" s="581"/>
      <c r="D638" s="198" t="str">
        <f>серпень!D561</f>
        <v>касові видатки, тис.грн.</v>
      </c>
      <c r="E638" s="220"/>
      <c r="F638" s="199">
        <f t="shared" ref="F638:K643" si="749">F653+F683</f>
        <v>0</v>
      </c>
      <c r="G638" s="199">
        <f t="shared" si="749"/>
        <v>0</v>
      </c>
      <c r="H638" s="199">
        <f t="shared" si="749"/>
        <v>0</v>
      </c>
      <c r="I638" s="199">
        <f t="shared" si="749"/>
        <v>0</v>
      </c>
      <c r="J638" s="199">
        <f t="shared" si="749"/>
        <v>0</v>
      </c>
      <c r="K638" s="199">
        <f t="shared" si="749"/>
        <v>0</v>
      </c>
      <c r="L638" s="199">
        <f>SUM(F638:K638)</f>
        <v>0</v>
      </c>
      <c r="M638" s="199">
        <f>L638/6</f>
        <v>0</v>
      </c>
      <c r="N638" s="199">
        <f t="shared" ref="N638:S643" si="750">N653+N683</f>
        <v>0</v>
      </c>
      <c r="O638" s="199">
        <f t="shared" si="750"/>
        <v>0</v>
      </c>
      <c r="P638" s="199">
        <f t="shared" si="750"/>
        <v>0</v>
      </c>
      <c r="Q638" s="199">
        <f t="shared" si="750"/>
        <v>0</v>
      </c>
      <c r="R638" s="199">
        <f t="shared" si="750"/>
        <v>0</v>
      </c>
      <c r="S638" s="199">
        <f t="shared" si="750"/>
        <v>0</v>
      </c>
      <c r="T638" s="199">
        <f>SUM(N638:S638)</f>
        <v>0</v>
      </c>
      <c r="U638" s="199">
        <f>T638+L638</f>
        <v>0</v>
      </c>
      <c r="V638" s="199">
        <f>V653+V683</f>
        <v>0</v>
      </c>
      <c r="W638" s="221">
        <f>V638-U638</f>
        <v>0</v>
      </c>
      <c r="X638" s="176">
        <f>U633-U638</f>
        <v>0</v>
      </c>
      <c r="Z638" s="300"/>
    </row>
    <row r="639" spans="1:28" s="239" customFormat="1" ht="18" hidden="1" customHeight="1">
      <c r="A639" s="614"/>
      <c r="B639" s="581"/>
      <c r="C639" s="581"/>
      <c r="D639" s="201" t="str">
        <f>серпень!D562</f>
        <v>дотація</v>
      </c>
      <c r="E639" s="220"/>
      <c r="F639" s="199">
        <f t="shared" si="749"/>
        <v>0</v>
      </c>
      <c r="G639" s="199">
        <f t="shared" si="749"/>
        <v>0</v>
      </c>
      <c r="H639" s="199">
        <f t="shared" si="749"/>
        <v>0</v>
      </c>
      <c r="I639" s="199">
        <f t="shared" si="749"/>
        <v>0</v>
      </c>
      <c r="J639" s="199">
        <f t="shared" si="749"/>
        <v>0</v>
      </c>
      <c r="K639" s="199">
        <f t="shared" si="749"/>
        <v>0</v>
      </c>
      <c r="L639" s="199">
        <f>SUM(F639:K639)</f>
        <v>0</v>
      </c>
      <c r="M639" s="199">
        <f>L639/6</f>
        <v>0</v>
      </c>
      <c r="N639" s="199">
        <f t="shared" si="750"/>
        <v>0</v>
      </c>
      <c r="O639" s="199">
        <f t="shared" si="750"/>
        <v>0</v>
      </c>
      <c r="P639" s="199">
        <f t="shared" si="750"/>
        <v>0</v>
      </c>
      <c r="Q639" s="199">
        <f t="shared" si="750"/>
        <v>0</v>
      </c>
      <c r="R639" s="199">
        <f t="shared" si="750"/>
        <v>0</v>
      </c>
      <c r="S639" s="199">
        <f t="shared" si="750"/>
        <v>0</v>
      </c>
      <c r="T639" s="199">
        <f>SUM(N639:S639)</f>
        <v>0</v>
      </c>
      <c r="U639" s="199">
        <f>T639+L639</f>
        <v>0</v>
      </c>
      <c r="V639" s="199">
        <f>V654+V684</f>
        <v>0</v>
      </c>
      <c r="W639" s="221">
        <f>V639-U639</f>
        <v>0</v>
      </c>
      <c r="X639" s="176">
        <f>U634-U639</f>
        <v>0</v>
      </c>
      <c r="Z639" s="300"/>
    </row>
    <row r="640" spans="1:28" s="239" customFormat="1" ht="18" hidden="1" customHeight="1">
      <c r="A640" s="614"/>
      <c r="B640" s="581"/>
      <c r="C640" s="581"/>
      <c r="D640" s="201" t="str">
        <f>серпень!D563</f>
        <v xml:space="preserve">місцевий </v>
      </c>
      <c r="E640" s="220"/>
      <c r="F640" s="199">
        <f t="shared" si="749"/>
        <v>0</v>
      </c>
      <c r="G640" s="199">
        <f t="shared" si="749"/>
        <v>0</v>
      </c>
      <c r="H640" s="199">
        <f t="shared" si="749"/>
        <v>0</v>
      </c>
      <c r="I640" s="199">
        <f t="shared" si="749"/>
        <v>0</v>
      </c>
      <c r="J640" s="199">
        <f t="shared" si="749"/>
        <v>0</v>
      </c>
      <c r="K640" s="199">
        <f t="shared" si="749"/>
        <v>0</v>
      </c>
      <c r="L640" s="199">
        <f>SUM(F640:K640)</f>
        <v>0</v>
      </c>
      <c r="M640" s="199">
        <f>L640/6</f>
        <v>0</v>
      </c>
      <c r="N640" s="199">
        <f t="shared" si="750"/>
        <v>0</v>
      </c>
      <c r="O640" s="199">
        <f t="shared" si="750"/>
        <v>0</v>
      </c>
      <c r="P640" s="199">
        <f t="shared" si="750"/>
        <v>0</v>
      </c>
      <c r="Q640" s="199">
        <f t="shared" si="750"/>
        <v>0</v>
      </c>
      <c r="R640" s="199">
        <f t="shared" si="750"/>
        <v>0</v>
      </c>
      <c r="S640" s="199">
        <f t="shared" si="750"/>
        <v>0</v>
      </c>
      <c r="T640" s="199">
        <f>SUM(N640:S640)</f>
        <v>0</v>
      </c>
      <c r="U640" s="199">
        <f>T640+L640</f>
        <v>0</v>
      </c>
      <c r="V640" s="199">
        <f>V655+V685</f>
        <v>0</v>
      </c>
      <c r="W640" s="221">
        <f>V640-U640</f>
        <v>0</v>
      </c>
      <c r="X640" s="176">
        <f>U635-U640</f>
        <v>0</v>
      </c>
      <c r="Z640" s="300"/>
    </row>
    <row r="641" spans="1:28" s="205" customFormat="1" ht="18" hidden="1" customHeight="1">
      <c r="A641" s="614"/>
      <c r="B641" s="581"/>
      <c r="C641" s="581"/>
      <c r="D641" s="202" t="str">
        <f>серпень!D564</f>
        <v>план</v>
      </c>
      <c r="E641" s="203"/>
      <c r="F641" s="203">
        <f t="shared" si="749"/>
        <v>0</v>
      </c>
      <c r="G641" s="203">
        <f t="shared" si="749"/>
        <v>0</v>
      </c>
      <c r="H641" s="203">
        <f t="shared" si="749"/>
        <v>0</v>
      </c>
      <c r="I641" s="203">
        <f t="shared" si="749"/>
        <v>0</v>
      </c>
      <c r="J641" s="203">
        <f t="shared" si="749"/>
        <v>0</v>
      </c>
      <c r="K641" s="203">
        <f t="shared" si="749"/>
        <v>0</v>
      </c>
      <c r="L641" s="203">
        <f>SUM(F641:K641)</f>
        <v>0</v>
      </c>
      <c r="M641" s="203">
        <f>L641/6</f>
        <v>0</v>
      </c>
      <c r="N641" s="203">
        <f t="shared" si="750"/>
        <v>0</v>
      </c>
      <c r="O641" s="203">
        <f t="shared" si="750"/>
        <v>0</v>
      </c>
      <c r="P641" s="203">
        <f t="shared" si="750"/>
        <v>0</v>
      </c>
      <c r="Q641" s="203">
        <f t="shared" si="750"/>
        <v>0</v>
      </c>
      <c r="R641" s="203">
        <f t="shared" si="750"/>
        <v>0</v>
      </c>
      <c r="S641" s="203">
        <f t="shared" si="750"/>
        <v>0</v>
      </c>
      <c r="T641" s="203">
        <f>SUM(N641:S641)</f>
        <v>0</v>
      </c>
      <c r="U641" s="203">
        <f>T641+L641</f>
        <v>0</v>
      </c>
      <c r="V641" s="203">
        <f>V656+V686</f>
        <v>0</v>
      </c>
      <c r="W641" s="203">
        <f>V641-U641</f>
        <v>0</v>
      </c>
      <c r="Z641" s="301"/>
    </row>
    <row r="642" spans="1:28" s="205" customFormat="1" ht="18" hidden="1" customHeight="1">
      <c r="A642" s="614"/>
      <c r="B642" s="581"/>
      <c r="C642" s="581"/>
      <c r="D642" s="202" t="str">
        <f>серпень!D565</f>
        <v xml:space="preserve">відхилення </v>
      </c>
      <c r="E642" s="203"/>
      <c r="F642" s="203">
        <f t="shared" si="749"/>
        <v>0</v>
      </c>
      <c r="G642" s="203">
        <f t="shared" si="749"/>
        <v>0</v>
      </c>
      <c r="H642" s="203">
        <f t="shared" si="749"/>
        <v>0</v>
      </c>
      <c r="I642" s="203">
        <f t="shared" si="749"/>
        <v>0</v>
      </c>
      <c r="J642" s="203">
        <f t="shared" si="749"/>
        <v>0</v>
      </c>
      <c r="K642" s="203">
        <f t="shared" si="749"/>
        <v>0</v>
      </c>
      <c r="L642" s="203"/>
      <c r="M642" s="203"/>
      <c r="N642" s="203">
        <f t="shared" si="750"/>
        <v>0</v>
      </c>
      <c r="O642" s="203">
        <f t="shared" si="750"/>
        <v>0</v>
      </c>
      <c r="P642" s="203">
        <f t="shared" si="750"/>
        <v>0</v>
      </c>
      <c r="Q642" s="203">
        <f t="shared" si="750"/>
        <v>0</v>
      </c>
      <c r="R642" s="203">
        <f t="shared" si="750"/>
        <v>0</v>
      </c>
      <c r="S642" s="203">
        <f t="shared" si="750"/>
        <v>0</v>
      </c>
      <c r="T642" s="203"/>
      <c r="U642" s="203"/>
      <c r="V642" s="203"/>
      <c r="W642" s="203"/>
      <c r="Z642" s="301"/>
    </row>
    <row r="643" spans="1:28" s="205" customFormat="1" ht="18" hidden="1" customHeight="1">
      <c r="A643" s="614"/>
      <c r="B643" s="581"/>
      <c r="C643" s="581"/>
      <c r="D643" s="202" t="str">
        <f>серпень!D566</f>
        <v>відхилення з наростаючим</v>
      </c>
      <c r="E643" s="203"/>
      <c r="F643" s="203">
        <f t="shared" si="749"/>
        <v>0</v>
      </c>
      <c r="G643" s="203">
        <f t="shared" si="749"/>
        <v>0</v>
      </c>
      <c r="H643" s="203">
        <f t="shared" si="749"/>
        <v>0</v>
      </c>
      <c r="I643" s="203">
        <f t="shared" si="749"/>
        <v>0</v>
      </c>
      <c r="J643" s="203">
        <f t="shared" si="749"/>
        <v>0</v>
      </c>
      <c r="K643" s="203">
        <f t="shared" si="749"/>
        <v>0</v>
      </c>
      <c r="L643" s="203"/>
      <c r="M643" s="203"/>
      <c r="N643" s="203">
        <f t="shared" si="750"/>
        <v>0</v>
      </c>
      <c r="O643" s="203">
        <f t="shared" si="750"/>
        <v>0</v>
      </c>
      <c r="P643" s="203">
        <f t="shared" si="750"/>
        <v>0</v>
      </c>
      <c r="Q643" s="203">
        <f t="shared" si="750"/>
        <v>0</v>
      </c>
      <c r="R643" s="203">
        <f t="shared" si="750"/>
        <v>0</v>
      </c>
      <c r="S643" s="203">
        <f t="shared" si="750"/>
        <v>0</v>
      </c>
      <c r="T643" s="203"/>
      <c r="U643" s="203"/>
      <c r="V643" s="203"/>
      <c r="W643" s="203"/>
      <c r="Z643" s="301"/>
    </row>
    <row r="644" spans="1:28" s="196" customFormat="1" ht="18" hidden="1" customHeight="1">
      <c r="A644" s="614"/>
      <c r="B644" s="581" t="s">
        <v>67</v>
      </c>
      <c r="C644" s="581"/>
      <c r="D644" s="178" t="str">
        <f>серпень!D567</f>
        <v>факт. нат.п-ки 2023</v>
      </c>
      <c r="E644" s="179"/>
      <c r="F644" s="180"/>
      <c r="G644" s="180"/>
      <c r="H644" s="180"/>
      <c r="I644" s="180"/>
      <c r="J644" s="180"/>
      <c r="K644" s="180"/>
      <c r="L644" s="215">
        <f>SUM(F644:K644)</f>
        <v>0</v>
      </c>
      <c r="M644" s="215">
        <f>L644/6</f>
        <v>0</v>
      </c>
      <c r="N644" s="180"/>
      <c r="O644" s="180"/>
      <c r="P644" s="180"/>
      <c r="Q644" s="180"/>
      <c r="R644" s="180"/>
      <c r="S644" s="180"/>
      <c r="T644" s="215">
        <f>SUM(N644:S644)</f>
        <v>0</v>
      </c>
      <c r="U644" s="226">
        <f>T644+L644</f>
        <v>0</v>
      </c>
      <c r="V644" s="227"/>
      <c r="W644" s="184">
        <f>V644-U644</f>
        <v>0</v>
      </c>
      <c r="X644" s="185"/>
      <c r="Y644" s="186"/>
      <c r="Z644" s="297"/>
      <c r="AA644" s="186"/>
      <c r="AB644" s="186"/>
    </row>
    <row r="645" spans="1:28" s="186" customFormat="1" ht="18" hidden="1" customHeight="1">
      <c r="A645" s="614"/>
      <c r="B645" s="581"/>
      <c r="C645" s="581"/>
      <c r="D645" s="178" t="str">
        <f>серпень!D568</f>
        <v>факт. нат.п-ки 2024</v>
      </c>
      <c r="E645" s="179"/>
      <c r="F645" s="180"/>
      <c r="G645" s="180"/>
      <c r="H645" s="180"/>
      <c r="I645" s="180"/>
      <c r="J645" s="180"/>
      <c r="K645" s="180"/>
      <c r="L645" s="215">
        <f>SUM(F645:K645)</f>
        <v>0</v>
      </c>
      <c r="M645" s="215">
        <f>L645/6</f>
        <v>0</v>
      </c>
      <c r="N645" s="179"/>
      <c r="O645" s="179"/>
      <c r="P645" s="179"/>
      <c r="Q645" s="179"/>
      <c r="R645" s="179"/>
      <c r="S645" s="179"/>
      <c r="T645" s="215">
        <f>SUM(N645:S645)</f>
        <v>0</v>
      </c>
      <c r="U645" s="226">
        <f>T645+L645</f>
        <v>0</v>
      </c>
      <c r="V645" s="227"/>
      <c r="W645" s="184">
        <f>V645-U645</f>
        <v>0</v>
      </c>
      <c r="X645" s="185"/>
      <c r="Z645" s="297"/>
    </row>
    <row r="646" spans="1:28" s="186" customFormat="1" ht="18" hidden="1" customHeight="1">
      <c r="A646" s="614"/>
      <c r="B646" s="581"/>
      <c r="C646" s="581"/>
      <c r="D646" s="178" t="str">
        <f>серпень!D569</f>
        <v>факт. нат.п-ки 2025</v>
      </c>
      <c r="E646" s="179"/>
      <c r="F646" s="180"/>
      <c r="G646" s="180"/>
      <c r="H646" s="180"/>
      <c r="I646" s="180"/>
      <c r="J646" s="180"/>
      <c r="K646" s="180"/>
      <c r="L646" s="215">
        <f>SUM(F646:K646)</f>
        <v>0</v>
      </c>
      <c r="M646" s="215">
        <f>L646/6</f>
        <v>0</v>
      </c>
      <c r="N646" s="180"/>
      <c r="O646" s="180"/>
      <c r="P646" s="180"/>
      <c r="Q646" s="180"/>
      <c r="R646" s="180"/>
      <c r="S646" s="179"/>
      <c r="T646" s="215">
        <f>SUM(N646:S646)</f>
        <v>0</v>
      </c>
      <c r="U646" s="226">
        <f>T646+L646</f>
        <v>0</v>
      </c>
      <c r="V646" s="179"/>
      <c r="W646" s="184">
        <f>V646-U646</f>
        <v>0</v>
      </c>
      <c r="X646" s="185"/>
      <c r="Z646" s="297"/>
    </row>
    <row r="647" spans="1:28" s="190" customFormat="1" ht="18" hidden="1" customHeight="1">
      <c r="A647" s="614"/>
      <c r="B647" s="581"/>
      <c r="C647" s="581"/>
      <c r="D647" s="187" t="str">
        <f>серпень!D570</f>
        <v>тариф, грн.</v>
      </c>
      <c r="E647" s="188"/>
      <c r="F647" s="188">
        <v>127.2</v>
      </c>
      <c r="G647" s="188">
        <v>127.2</v>
      </c>
      <c r="H647" s="188">
        <v>127.2</v>
      </c>
      <c r="I647" s="188">
        <v>127.2</v>
      </c>
      <c r="J647" s="188">
        <v>127.2</v>
      </c>
      <c r="K647" s="188">
        <v>127.2</v>
      </c>
      <c r="L647" s="188" t="e">
        <f>L648/L646*1000</f>
        <v>#DIV/0!</v>
      </c>
      <c r="M647" s="188" t="e">
        <f>M648/M646*1000</f>
        <v>#DIV/0!</v>
      </c>
      <c r="N647" s="188">
        <v>127.2</v>
      </c>
      <c r="O647" s="188">
        <v>127.2</v>
      </c>
      <c r="P647" s="188">
        <v>127.2</v>
      </c>
      <c r="Q647" s="188">
        <v>127.2</v>
      </c>
      <c r="R647" s="188">
        <v>127.2</v>
      </c>
      <c r="S647" s="188">
        <v>127.2</v>
      </c>
      <c r="T647" s="188" t="e">
        <f>T648/T646*1000</f>
        <v>#DIV/0!</v>
      </c>
      <c r="U647" s="188" t="e">
        <f>U648/U646*1000</f>
        <v>#DIV/0!</v>
      </c>
      <c r="V647" s="218" t="e">
        <f>V648/V646*1000</f>
        <v>#DIV/0!</v>
      </c>
      <c r="W647" s="189" t="e">
        <f>W648/W646*1000</f>
        <v>#DIV/0!</v>
      </c>
      <c r="X647" s="225"/>
      <c r="Z647" s="298"/>
    </row>
    <row r="648" spans="1:28" s="244" customFormat="1" ht="18" hidden="1" customHeight="1">
      <c r="A648" s="614"/>
      <c r="B648" s="581"/>
      <c r="C648" s="581"/>
      <c r="D648" s="191" t="str">
        <f>серпень!D571</f>
        <v>сума, тис.грн.</v>
      </c>
      <c r="E648" s="192"/>
      <c r="F648" s="192">
        <f t="shared" ref="F648:K648" si="751">F646*F647/1000</f>
        <v>0</v>
      </c>
      <c r="G648" s="192">
        <f t="shared" si="751"/>
        <v>0</v>
      </c>
      <c r="H648" s="192">
        <f t="shared" si="751"/>
        <v>0</v>
      </c>
      <c r="I648" s="192">
        <f t="shared" si="751"/>
        <v>0</v>
      </c>
      <c r="J648" s="192">
        <f t="shared" si="751"/>
        <v>0</v>
      </c>
      <c r="K648" s="192">
        <f t="shared" si="751"/>
        <v>0</v>
      </c>
      <c r="L648" s="194">
        <f>SUM(F648:K648)</f>
        <v>0</v>
      </c>
      <c r="M648" s="194">
        <f>L648/6</f>
        <v>0</v>
      </c>
      <c r="N648" s="192">
        <f t="shared" ref="N648:S648" si="752">N646*N647/1000</f>
        <v>0</v>
      </c>
      <c r="O648" s="192">
        <f t="shared" si="752"/>
        <v>0</v>
      </c>
      <c r="P648" s="192">
        <f t="shared" si="752"/>
        <v>0</v>
      </c>
      <c r="Q648" s="192">
        <f t="shared" si="752"/>
        <v>0</v>
      </c>
      <c r="R648" s="192">
        <f t="shared" si="752"/>
        <v>0</v>
      </c>
      <c r="S648" s="192">
        <f t="shared" si="752"/>
        <v>0</v>
      </c>
      <c r="T648" s="194">
        <f>SUM(N648:S648)</f>
        <v>0</v>
      </c>
      <c r="U648" s="194">
        <f>T648+L648</f>
        <v>0</v>
      </c>
      <c r="V648" s="171">
        <f>V649+V650</f>
        <v>0</v>
      </c>
      <c r="W648" s="193">
        <f>V648-U648</f>
        <v>0</v>
      </c>
      <c r="Z648" s="308"/>
    </row>
    <row r="649" spans="1:28" s="244" customFormat="1" ht="18" hidden="1" customHeight="1">
      <c r="A649" s="614"/>
      <c r="B649" s="581"/>
      <c r="C649" s="581"/>
      <c r="D649" s="174" t="str">
        <f>серпень!D572</f>
        <v>дотація</v>
      </c>
      <c r="E649" s="210"/>
      <c r="F649" s="192"/>
      <c r="G649" s="192"/>
      <c r="H649" s="192"/>
      <c r="I649" s="192"/>
      <c r="J649" s="192"/>
      <c r="K649" s="192"/>
      <c r="L649" s="194">
        <f>SUM(F649:K649)</f>
        <v>0</v>
      </c>
      <c r="M649" s="194">
        <f>L649/6</f>
        <v>0</v>
      </c>
      <c r="N649" s="192"/>
      <c r="O649" s="192"/>
      <c r="P649" s="192"/>
      <c r="Q649" s="192"/>
      <c r="R649" s="192"/>
      <c r="S649" s="192"/>
      <c r="T649" s="194">
        <f>SUM(N649:S649)</f>
        <v>0</v>
      </c>
      <c r="U649" s="194">
        <f>T649+L649</f>
        <v>0</v>
      </c>
      <c r="V649" s="171">
        <v>0</v>
      </c>
      <c r="W649" s="193">
        <f>V649-U649</f>
        <v>0</v>
      </c>
      <c r="Z649" s="308"/>
    </row>
    <row r="650" spans="1:28" s="244" customFormat="1" ht="18" hidden="1" customHeight="1">
      <c r="A650" s="614"/>
      <c r="B650" s="581"/>
      <c r="C650" s="581"/>
      <c r="D650" s="174" t="str">
        <f>серпень!D573</f>
        <v>місцевий (план), тис.грн</v>
      </c>
      <c r="E650" s="210"/>
      <c r="F650" s="192"/>
      <c r="G650" s="192"/>
      <c r="H650" s="192"/>
      <c r="I650" s="192"/>
      <c r="J650" s="192"/>
      <c r="K650" s="192"/>
      <c r="L650" s="194">
        <f>SUM(F650:K650)</f>
        <v>0</v>
      </c>
      <c r="M650" s="194">
        <f>L650/6</f>
        <v>0</v>
      </c>
      <c r="N650" s="192"/>
      <c r="O650" s="192"/>
      <c r="P650" s="192"/>
      <c r="Q650" s="192"/>
      <c r="R650" s="192"/>
      <c r="S650" s="192"/>
      <c r="T650" s="194">
        <f>SUM(N650:S650)</f>
        <v>0</v>
      </c>
      <c r="U650" s="194">
        <f>T650+L650</f>
        <v>0</v>
      </c>
      <c r="V650" s="171"/>
      <c r="W650" s="193">
        <f>V650-U650</f>
        <v>0</v>
      </c>
      <c r="Z650" s="308"/>
    </row>
    <row r="651" spans="1:28" s="186" customFormat="1" ht="18" hidden="1" customHeight="1">
      <c r="A651" s="614"/>
      <c r="B651" s="581"/>
      <c r="C651" s="581"/>
      <c r="D651" s="178" t="str">
        <f>серпень!D574</f>
        <v>касові нат.п-ки 2025</v>
      </c>
      <c r="E651" s="179"/>
      <c r="F651" s="179"/>
      <c r="G651" s="179"/>
      <c r="H651" s="179"/>
      <c r="I651" s="179"/>
      <c r="J651" s="179"/>
      <c r="K651" s="179"/>
      <c r="L651" s="215">
        <f>SUM(F651:K651)</f>
        <v>0</v>
      </c>
      <c r="M651" s="215">
        <f>L651/6</f>
        <v>0</v>
      </c>
      <c r="N651" s="179"/>
      <c r="O651" s="179"/>
      <c r="P651" s="179"/>
      <c r="Q651" s="179"/>
      <c r="R651" s="179"/>
      <c r="S651" s="179"/>
      <c r="T651" s="215">
        <f>SUM(N651:S651)</f>
        <v>0</v>
      </c>
      <c r="U651" s="215">
        <f>T651+L651</f>
        <v>0</v>
      </c>
      <c r="V651" s="179">
        <f>V646</f>
        <v>0</v>
      </c>
      <c r="W651" s="184">
        <f>V651-U651</f>
        <v>0</v>
      </c>
      <c r="X651" s="185">
        <f>U646-U651</f>
        <v>0</v>
      </c>
      <c r="Z651" s="297"/>
    </row>
    <row r="652" spans="1:28" s="190" customFormat="1" ht="18" hidden="1" customHeight="1">
      <c r="A652" s="614"/>
      <c r="B652" s="581"/>
      <c r="C652" s="581"/>
      <c r="D652" s="187" t="str">
        <f>серпень!D575</f>
        <v>тариф, грн.</v>
      </c>
      <c r="E652" s="188" t="e">
        <f>E653/E651*1000</f>
        <v>#DIV/0!</v>
      </c>
      <c r="F652" s="188">
        <v>127.2</v>
      </c>
      <c r="G652" s="188">
        <v>127.2</v>
      </c>
      <c r="H652" s="188">
        <v>127.2</v>
      </c>
      <c r="I652" s="188">
        <v>127.2</v>
      </c>
      <c r="J652" s="188">
        <v>127.2</v>
      </c>
      <c r="K652" s="188">
        <v>127.2</v>
      </c>
      <c r="L652" s="188" t="e">
        <f>L653/L651*1000</f>
        <v>#DIV/0!</v>
      </c>
      <c r="M652" s="188" t="e">
        <f>M653/M651*1000</f>
        <v>#DIV/0!</v>
      </c>
      <c r="N652" s="188">
        <v>127.2</v>
      </c>
      <c r="O652" s="188">
        <v>127.2</v>
      </c>
      <c r="P652" s="188">
        <v>127.2</v>
      </c>
      <c r="Q652" s="188">
        <v>127.2</v>
      </c>
      <c r="R652" s="188">
        <v>127.2</v>
      </c>
      <c r="S652" s="188">
        <v>127.2</v>
      </c>
      <c r="T652" s="188" t="e">
        <f>T653/T651*1000</f>
        <v>#DIV/0!</v>
      </c>
      <c r="U652" s="188" t="e">
        <f>U653/U651*1000</f>
        <v>#DIV/0!</v>
      </c>
      <c r="V652" s="218" t="e">
        <f>V653/V651*1000</f>
        <v>#DIV/0!</v>
      </c>
      <c r="W652" s="189" t="e">
        <f>W653/W651*1000</f>
        <v>#DIV/0!</v>
      </c>
      <c r="X652" s="225"/>
      <c r="Z652" s="298"/>
    </row>
    <row r="653" spans="1:28" s="239" customFormat="1" ht="18" hidden="1" customHeight="1">
      <c r="A653" s="614"/>
      <c r="B653" s="581"/>
      <c r="C653" s="581"/>
      <c r="D653" s="198" t="str">
        <f>серпень!D576</f>
        <v>касові видатки, тис.грн.</v>
      </c>
      <c r="E653" s="220"/>
      <c r="F653" s="199">
        <f t="shared" ref="F653:K653" si="753">F651*F652/1000</f>
        <v>0</v>
      </c>
      <c r="G653" s="199">
        <f t="shared" si="753"/>
        <v>0</v>
      </c>
      <c r="H653" s="199">
        <f t="shared" si="753"/>
        <v>0</v>
      </c>
      <c r="I653" s="199">
        <f t="shared" si="753"/>
        <v>0</v>
      </c>
      <c r="J653" s="199">
        <f t="shared" si="753"/>
        <v>0</v>
      </c>
      <c r="K653" s="199">
        <f t="shared" si="753"/>
        <v>0</v>
      </c>
      <c r="L653" s="199">
        <f>SUM(F653:K653)</f>
        <v>0</v>
      </c>
      <c r="M653" s="199">
        <f>L653/6</f>
        <v>0</v>
      </c>
      <c r="N653" s="199">
        <f t="shared" ref="N653:S653" si="754">N651*N652/1000</f>
        <v>0</v>
      </c>
      <c r="O653" s="199">
        <f t="shared" si="754"/>
        <v>0</v>
      </c>
      <c r="P653" s="199">
        <f t="shared" si="754"/>
        <v>0</v>
      </c>
      <c r="Q653" s="199">
        <f t="shared" si="754"/>
        <v>0</v>
      </c>
      <c r="R653" s="199">
        <f t="shared" si="754"/>
        <v>0</v>
      </c>
      <c r="S653" s="199">
        <f t="shared" si="754"/>
        <v>0</v>
      </c>
      <c r="T653" s="199">
        <f>SUM(N653:S653)</f>
        <v>0</v>
      </c>
      <c r="U653" s="199">
        <f>T653+L653</f>
        <v>0</v>
      </c>
      <c r="V653" s="199">
        <f>V648</f>
        <v>0</v>
      </c>
      <c r="W653" s="221">
        <f>V653-U653</f>
        <v>0</v>
      </c>
      <c r="X653" s="176">
        <f>U648-U653</f>
        <v>0</v>
      </c>
      <c r="Z653" s="300"/>
    </row>
    <row r="654" spans="1:28" s="239" customFormat="1" ht="18" hidden="1" customHeight="1">
      <c r="A654" s="614"/>
      <c r="B654" s="581"/>
      <c r="C654" s="581"/>
      <c r="D654" s="201" t="str">
        <f>серпень!D577</f>
        <v>дотація</v>
      </c>
      <c r="E654" s="220"/>
      <c r="F654" s="199"/>
      <c r="G654" s="199"/>
      <c r="H654" s="199"/>
      <c r="I654" s="199"/>
      <c r="J654" s="199"/>
      <c r="K654" s="199"/>
      <c r="L654" s="199">
        <f>SUM(F654:K654)</f>
        <v>0</v>
      </c>
      <c r="M654" s="199">
        <f>L654/6</f>
        <v>0</v>
      </c>
      <c r="N654" s="199"/>
      <c r="O654" s="199"/>
      <c r="P654" s="199"/>
      <c r="Q654" s="199"/>
      <c r="R654" s="199"/>
      <c r="S654" s="199"/>
      <c r="T654" s="199">
        <f>SUM(N654:S654)</f>
        <v>0</v>
      </c>
      <c r="U654" s="199">
        <f>T654+L654</f>
        <v>0</v>
      </c>
      <c r="V654" s="199">
        <f>V649</f>
        <v>0</v>
      </c>
      <c r="W654" s="221">
        <f>V654-U654</f>
        <v>0</v>
      </c>
      <c r="X654" s="176"/>
      <c r="Z654" s="300"/>
    </row>
    <row r="655" spans="1:28" s="239" customFormat="1" ht="18" hidden="1" customHeight="1">
      <c r="A655" s="614"/>
      <c r="B655" s="581"/>
      <c r="C655" s="581"/>
      <c r="D655" s="201" t="str">
        <f>серпень!D578</f>
        <v xml:space="preserve">місцевий </v>
      </c>
      <c r="E655" s="220"/>
      <c r="F655" s="199">
        <f t="shared" ref="F655:K655" si="755">F653-F654</f>
        <v>0</v>
      </c>
      <c r="G655" s="199">
        <f t="shared" si="755"/>
        <v>0</v>
      </c>
      <c r="H655" s="199">
        <f t="shared" si="755"/>
        <v>0</v>
      </c>
      <c r="I655" s="199">
        <f t="shared" si="755"/>
        <v>0</v>
      </c>
      <c r="J655" s="199">
        <f t="shared" si="755"/>
        <v>0</v>
      </c>
      <c r="K655" s="199">
        <f t="shared" si="755"/>
        <v>0</v>
      </c>
      <c r="L655" s="199">
        <f>SUM(F655:K655)</f>
        <v>0</v>
      </c>
      <c r="M655" s="199">
        <f>L655/6</f>
        <v>0</v>
      </c>
      <c r="N655" s="199">
        <f t="shared" ref="N655:S655" si="756">N653-N654</f>
        <v>0</v>
      </c>
      <c r="O655" s="199">
        <f t="shared" si="756"/>
        <v>0</v>
      </c>
      <c r="P655" s="199">
        <f t="shared" si="756"/>
        <v>0</v>
      </c>
      <c r="Q655" s="199">
        <f t="shared" si="756"/>
        <v>0</v>
      </c>
      <c r="R655" s="199">
        <f t="shared" si="756"/>
        <v>0</v>
      </c>
      <c r="S655" s="199">
        <f t="shared" si="756"/>
        <v>0</v>
      </c>
      <c r="T655" s="199">
        <f>SUM(N655:S655)</f>
        <v>0</v>
      </c>
      <c r="U655" s="199">
        <f>T655+L655</f>
        <v>0</v>
      </c>
      <c r="V655" s="199">
        <f>V650</f>
        <v>0</v>
      </c>
      <c r="W655" s="221">
        <f>V655-U655</f>
        <v>0</v>
      </c>
      <c r="X655" s="176">
        <f>U650-U655</f>
        <v>0</v>
      </c>
      <c r="Z655" s="300"/>
    </row>
    <row r="656" spans="1:28" s="205" customFormat="1" ht="18" hidden="1" customHeight="1">
      <c r="A656" s="614"/>
      <c r="B656" s="581"/>
      <c r="C656" s="581"/>
      <c r="D656" s="202" t="str">
        <f>серпень!D579</f>
        <v>план</v>
      </c>
      <c r="E656" s="203"/>
      <c r="F656" s="203">
        <f t="shared" ref="F656:K656" si="757">F650</f>
        <v>0</v>
      </c>
      <c r="G656" s="203">
        <f t="shared" si="757"/>
        <v>0</v>
      </c>
      <c r="H656" s="203">
        <f t="shared" si="757"/>
        <v>0</v>
      </c>
      <c r="I656" s="203">
        <f t="shared" si="757"/>
        <v>0</v>
      </c>
      <c r="J656" s="203">
        <f t="shared" si="757"/>
        <v>0</v>
      </c>
      <c r="K656" s="203">
        <f t="shared" si="757"/>
        <v>0</v>
      </c>
      <c r="L656" s="203">
        <f>SUM(F656:K656)</f>
        <v>0</v>
      </c>
      <c r="M656" s="203">
        <f>L656/6</f>
        <v>0</v>
      </c>
      <c r="N656" s="203">
        <f t="shared" ref="N656:S656" si="758">N650+N649</f>
        <v>0</v>
      </c>
      <c r="O656" s="203">
        <f t="shared" si="758"/>
        <v>0</v>
      </c>
      <c r="P656" s="203">
        <f t="shared" si="758"/>
        <v>0</v>
      </c>
      <c r="Q656" s="203">
        <f t="shared" si="758"/>
        <v>0</v>
      </c>
      <c r="R656" s="203">
        <f t="shared" si="758"/>
        <v>0</v>
      </c>
      <c r="S656" s="203">
        <f t="shared" si="758"/>
        <v>0</v>
      </c>
      <c r="T656" s="203">
        <f>SUM(N656:S656)</f>
        <v>0</v>
      </c>
      <c r="U656" s="203">
        <f>T656+L656</f>
        <v>0</v>
      </c>
      <c r="V656" s="203">
        <f>V653</f>
        <v>0</v>
      </c>
      <c r="W656" s="203">
        <f>V656-U656</f>
        <v>0</v>
      </c>
      <c r="Z656" s="301"/>
    </row>
    <row r="657" spans="1:28" s="205" customFormat="1" ht="18" hidden="1" customHeight="1">
      <c r="A657" s="614"/>
      <c r="B657" s="581"/>
      <c r="C657" s="581"/>
      <c r="D657" s="202" t="str">
        <f>серпень!D580</f>
        <v xml:space="preserve">відхилення </v>
      </c>
      <c r="E657" s="203"/>
      <c r="F657" s="203">
        <f t="shared" ref="F657:K657" si="759">F653-F656</f>
        <v>0</v>
      </c>
      <c r="G657" s="203">
        <f t="shared" si="759"/>
        <v>0</v>
      </c>
      <c r="H657" s="203">
        <f t="shared" si="759"/>
        <v>0</v>
      </c>
      <c r="I657" s="203">
        <f t="shared" si="759"/>
        <v>0</v>
      </c>
      <c r="J657" s="203">
        <f t="shared" si="759"/>
        <v>0</v>
      </c>
      <c r="K657" s="203">
        <f t="shared" si="759"/>
        <v>0</v>
      </c>
      <c r="L657" s="203"/>
      <c r="M657" s="203"/>
      <c r="N657" s="203">
        <f t="shared" ref="N657:S657" si="760">N653-N656</f>
        <v>0</v>
      </c>
      <c r="O657" s="203">
        <f t="shared" si="760"/>
        <v>0</v>
      </c>
      <c r="P657" s="203">
        <f t="shared" si="760"/>
        <v>0</v>
      </c>
      <c r="Q657" s="203">
        <f t="shared" si="760"/>
        <v>0</v>
      </c>
      <c r="R657" s="203">
        <f t="shared" si="760"/>
        <v>0</v>
      </c>
      <c r="S657" s="203">
        <f t="shared" si="760"/>
        <v>0</v>
      </c>
      <c r="T657" s="203"/>
      <c r="U657" s="203"/>
      <c r="V657" s="203"/>
      <c r="W657" s="203"/>
      <c r="Z657" s="301"/>
    </row>
    <row r="658" spans="1:28" s="205" customFormat="1" ht="18" hidden="1" customHeight="1">
      <c r="A658" s="614"/>
      <c r="B658" s="581"/>
      <c r="C658" s="581"/>
      <c r="D658" s="202" t="str">
        <f>серпень!D581</f>
        <v>відхилення з наростаючим</v>
      </c>
      <c r="E658" s="203"/>
      <c r="F658" s="203">
        <f>F657</f>
        <v>0</v>
      </c>
      <c r="G658" s="203">
        <f>G657+F658</f>
        <v>0</v>
      </c>
      <c r="H658" s="203">
        <f>H657+G658</f>
        <v>0</v>
      </c>
      <c r="I658" s="203">
        <f>I657+H658</f>
        <v>0</v>
      </c>
      <c r="J658" s="203">
        <f>J657+I658</f>
        <v>0</v>
      </c>
      <c r="K658" s="203">
        <f>K657+J658</f>
        <v>0</v>
      </c>
      <c r="L658" s="203"/>
      <c r="M658" s="203"/>
      <c r="N658" s="203">
        <f>N657+K658</f>
        <v>0</v>
      </c>
      <c r="O658" s="203">
        <f>O657+N658</f>
        <v>0</v>
      </c>
      <c r="P658" s="203">
        <f>P657+O658</f>
        <v>0</v>
      </c>
      <c r="Q658" s="203">
        <f>Q657+P658</f>
        <v>0</v>
      </c>
      <c r="R658" s="203">
        <f>R657+Q658</f>
        <v>0</v>
      </c>
      <c r="S658" s="203">
        <f>S657+R658</f>
        <v>0</v>
      </c>
      <c r="T658" s="203"/>
      <c r="U658" s="203"/>
      <c r="V658" s="203"/>
      <c r="W658" s="203"/>
      <c r="Z658" s="301"/>
    </row>
    <row r="659" spans="1:28" s="196" customFormat="1" ht="18" hidden="1" customHeight="1">
      <c r="A659" s="614"/>
      <c r="B659" s="654" t="s">
        <v>129</v>
      </c>
      <c r="C659" s="581"/>
      <c r="D659" s="178" t="str">
        <f>серпень!D582</f>
        <v>факт. нат.п-ки 2023</v>
      </c>
      <c r="E659" s="179"/>
      <c r="F659" s="180"/>
      <c r="G659" s="180"/>
      <c r="H659" s="180"/>
      <c r="I659" s="180"/>
      <c r="J659" s="180"/>
      <c r="K659" s="180"/>
      <c r="L659" s="215">
        <f>SUM(F659:K659)</f>
        <v>0</v>
      </c>
      <c r="M659" s="215">
        <f>L659/6</f>
        <v>0</v>
      </c>
      <c r="N659" s="180"/>
      <c r="O659" s="180"/>
      <c r="P659" s="180"/>
      <c r="Q659" s="180"/>
      <c r="R659" s="180"/>
      <c r="S659" s="180"/>
      <c r="T659" s="215">
        <f>SUM(N659:S659)</f>
        <v>0</v>
      </c>
      <c r="U659" s="226">
        <f>T659+L659</f>
        <v>0</v>
      </c>
      <c r="V659" s="227"/>
      <c r="W659" s="184">
        <f>V659-U659</f>
        <v>0</v>
      </c>
      <c r="X659" s="185"/>
      <c r="Y659" s="186"/>
      <c r="Z659" s="297"/>
      <c r="AA659" s="186"/>
      <c r="AB659" s="186"/>
    </row>
    <row r="660" spans="1:28" s="186" customFormat="1" ht="18" hidden="1" customHeight="1">
      <c r="A660" s="614"/>
      <c r="B660" s="581"/>
      <c r="C660" s="581"/>
      <c r="D660" s="178" t="str">
        <f>серпень!D583</f>
        <v>факт. нат.п-ки 2024</v>
      </c>
      <c r="E660" s="179"/>
      <c r="F660" s="180"/>
      <c r="G660" s="180"/>
      <c r="H660" s="180"/>
      <c r="I660" s="180"/>
      <c r="J660" s="180"/>
      <c r="K660" s="180"/>
      <c r="L660" s="215">
        <f>SUM(F660:K660)</f>
        <v>0</v>
      </c>
      <c r="M660" s="215">
        <f>L660/6</f>
        <v>0</v>
      </c>
      <c r="N660" s="179"/>
      <c r="O660" s="179"/>
      <c r="P660" s="179"/>
      <c r="Q660" s="179"/>
      <c r="R660" s="179"/>
      <c r="S660" s="179"/>
      <c r="T660" s="215">
        <f>SUM(N660:S660)</f>
        <v>0</v>
      </c>
      <c r="U660" s="226">
        <f>T660+L660</f>
        <v>0</v>
      </c>
      <c r="V660" s="227"/>
      <c r="W660" s="184">
        <f>V660-U660</f>
        <v>0</v>
      </c>
      <c r="X660" s="185"/>
      <c r="Z660" s="297"/>
    </row>
    <row r="661" spans="1:28" s="186" customFormat="1" ht="18" hidden="1" customHeight="1">
      <c r="A661" s="614"/>
      <c r="B661" s="581"/>
      <c r="C661" s="581"/>
      <c r="D661" s="178" t="str">
        <f>серпень!D584</f>
        <v>факт. нат.п-ки 2025</v>
      </c>
      <c r="E661" s="179"/>
      <c r="F661" s="180"/>
      <c r="G661" s="180"/>
      <c r="H661" s="180"/>
      <c r="I661" s="180"/>
      <c r="J661" s="180"/>
      <c r="K661" s="180"/>
      <c r="L661" s="215">
        <f>SUM(F661:K661)</f>
        <v>0</v>
      </c>
      <c r="M661" s="215">
        <f>L661/6</f>
        <v>0</v>
      </c>
      <c r="N661" s="180"/>
      <c r="O661" s="180"/>
      <c r="P661" s="180"/>
      <c r="Q661" s="180"/>
      <c r="R661" s="180"/>
      <c r="S661" s="179"/>
      <c r="T661" s="215">
        <f>SUM(N661:S661)</f>
        <v>0</v>
      </c>
      <c r="U661" s="226">
        <f>T661+L661</f>
        <v>0</v>
      </c>
      <c r="V661" s="179"/>
      <c r="W661" s="184">
        <f>V661-U661</f>
        <v>0</v>
      </c>
      <c r="X661" s="185"/>
      <c r="Z661" s="297"/>
    </row>
    <row r="662" spans="1:28" s="190" customFormat="1" ht="18" hidden="1" customHeight="1">
      <c r="A662" s="614"/>
      <c r="B662" s="581"/>
      <c r="C662" s="581"/>
      <c r="D662" s="187" t="str">
        <f>серпень!D585</f>
        <v>тариф, грн.</v>
      </c>
      <c r="E662" s="188"/>
      <c r="F662" s="188">
        <v>0</v>
      </c>
      <c r="G662" s="188">
        <v>0</v>
      </c>
      <c r="H662" s="188">
        <v>0</v>
      </c>
      <c r="I662" s="188">
        <v>0</v>
      </c>
      <c r="J662" s="188">
        <v>0</v>
      </c>
      <c r="K662" s="188">
        <v>0</v>
      </c>
      <c r="L662" s="188" t="e">
        <f>L663/L661*1000</f>
        <v>#DIV/0!</v>
      </c>
      <c r="M662" s="188" t="e">
        <f>M663/M661*1000</f>
        <v>#DIV/0!</v>
      </c>
      <c r="N662" s="188">
        <v>0</v>
      </c>
      <c r="O662" s="188">
        <v>0</v>
      </c>
      <c r="P662" s="188">
        <v>0</v>
      </c>
      <c r="Q662" s="188">
        <v>0</v>
      </c>
      <c r="R662" s="188">
        <v>0</v>
      </c>
      <c r="S662" s="188">
        <v>0</v>
      </c>
      <c r="T662" s="188" t="e">
        <f>T663/T661*1000</f>
        <v>#DIV/0!</v>
      </c>
      <c r="U662" s="188" t="e">
        <f>U663/U661*1000</f>
        <v>#DIV/0!</v>
      </c>
      <c r="V662" s="218" t="e">
        <f>V663/V661*1000</f>
        <v>#DIV/0!</v>
      </c>
      <c r="W662" s="189" t="e">
        <f>W663/W661*1000</f>
        <v>#DIV/0!</v>
      </c>
      <c r="X662" s="225"/>
      <c r="Z662" s="298"/>
    </row>
    <row r="663" spans="1:28" s="244" customFormat="1" ht="18" hidden="1" customHeight="1">
      <c r="A663" s="614"/>
      <c r="B663" s="581"/>
      <c r="C663" s="581"/>
      <c r="D663" s="191" t="str">
        <f>серпень!D586</f>
        <v>сума, тис.грн.</v>
      </c>
      <c r="E663" s="192"/>
      <c r="F663" s="192">
        <f>F661*F662/1000</f>
        <v>0</v>
      </c>
      <c r="G663" s="192">
        <f t="shared" ref="G663:K663" si="761">G661*G662/1000</f>
        <v>0</v>
      </c>
      <c r="H663" s="192">
        <f t="shared" si="761"/>
        <v>0</v>
      </c>
      <c r="I663" s="192">
        <f t="shared" si="761"/>
        <v>0</v>
      </c>
      <c r="J663" s="192">
        <f t="shared" si="761"/>
        <v>0</v>
      </c>
      <c r="K663" s="192">
        <f t="shared" si="761"/>
        <v>0</v>
      </c>
      <c r="L663" s="194">
        <f>SUM(F663:K663)</f>
        <v>0</v>
      </c>
      <c r="M663" s="194">
        <f>L663/6</f>
        <v>0</v>
      </c>
      <c r="N663" s="192">
        <f>N661*N662/1000</f>
        <v>0</v>
      </c>
      <c r="O663" s="192">
        <f t="shared" ref="O663" si="762">O661*O662/1000</f>
        <v>0</v>
      </c>
      <c r="P663" s="192">
        <f t="shared" ref="P663" si="763">P661*P662/1000</f>
        <v>0</v>
      </c>
      <c r="Q663" s="192">
        <f t="shared" ref="Q663" si="764">Q661*Q662/1000</f>
        <v>0</v>
      </c>
      <c r="R663" s="192">
        <f t="shared" ref="R663" si="765">R661*R662/1000</f>
        <v>0</v>
      </c>
      <c r="S663" s="192">
        <f t="shared" ref="S663" si="766">S661*S662/1000</f>
        <v>0</v>
      </c>
      <c r="T663" s="194">
        <f>SUM(N663:S663)</f>
        <v>0</v>
      </c>
      <c r="U663" s="194">
        <f>T663+L663</f>
        <v>0</v>
      </c>
      <c r="V663" s="171">
        <f>V664+V665</f>
        <v>0</v>
      </c>
      <c r="W663" s="193">
        <f>V663-U663</f>
        <v>0</v>
      </c>
      <c r="Z663" s="308"/>
    </row>
    <row r="664" spans="1:28" s="244" customFormat="1" ht="18" hidden="1" customHeight="1">
      <c r="A664" s="614"/>
      <c r="B664" s="581"/>
      <c r="C664" s="581"/>
      <c r="D664" s="174" t="str">
        <f>серпень!D587</f>
        <v>дотація</v>
      </c>
      <c r="E664" s="210"/>
      <c r="F664" s="192"/>
      <c r="G664" s="192"/>
      <c r="H664" s="192"/>
      <c r="I664" s="192"/>
      <c r="J664" s="192"/>
      <c r="K664" s="192"/>
      <c r="L664" s="194">
        <f>SUM(F664:K664)</f>
        <v>0</v>
      </c>
      <c r="M664" s="194">
        <f>L664/6</f>
        <v>0</v>
      </c>
      <c r="N664" s="192"/>
      <c r="O664" s="192"/>
      <c r="P664" s="192"/>
      <c r="Q664" s="192"/>
      <c r="R664" s="192"/>
      <c r="S664" s="192"/>
      <c r="T664" s="194">
        <f>SUM(N664:S664)</f>
        <v>0</v>
      </c>
      <c r="U664" s="194">
        <f>T664+L664</f>
        <v>0</v>
      </c>
      <c r="V664" s="171">
        <v>0</v>
      </c>
      <c r="W664" s="193">
        <f>V664-U664</f>
        <v>0</v>
      </c>
      <c r="Z664" s="308"/>
    </row>
    <row r="665" spans="1:28" s="244" customFormat="1" ht="18" hidden="1" customHeight="1">
      <c r="A665" s="614"/>
      <c r="B665" s="581"/>
      <c r="C665" s="581"/>
      <c r="D665" s="174" t="str">
        <f>серпень!D588</f>
        <v>місцевий (план), тис.грн</v>
      </c>
      <c r="E665" s="210"/>
      <c r="F665" s="192"/>
      <c r="G665" s="192"/>
      <c r="H665" s="192"/>
      <c r="I665" s="192"/>
      <c r="J665" s="192"/>
      <c r="K665" s="192"/>
      <c r="L665" s="194">
        <f>SUM(F665:K665)</f>
        <v>0</v>
      </c>
      <c r="M665" s="194">
        <f>L665/6</f>
        <v>0</v>
      </c>
      <c r="N665" s="192"/>
      <c r="O665" s="192"/>
      <c r="P665" s="192"/>
      <c r="Q665" s="192"/>
      <c r="R665" s="192"/>
      <c r="S665" s="192"/>
      <c r="T665" s="194">
        <f>SUM(N665:S665)</f>
        <v>0</v>
      </c>
      <c r="U665" s="194">
        <f>T665+L665</f>
        <v>0</v>
      </c>
      <c r="V665" s="171"/>
      <c r="W665" s="193">
        <f>V665-U665</f>
        <v>0</v>
      </c>
      <c r="Z665" s="308"/>
    </row>
    <row r="666" spans="1:28" s="186" customFormat="1" ht="18" hidden="1" customHeight="1">
      <c r="A666" s="614"/>
      <c r="B666" s="581"/>
      <c r="C666" s="581"/>
      <c r="D666" s="178" t="str">
        <f>серпень!D589</f>
        <v>касові нат.п-ки 2025</v>
      </c>
      <c r="E666" s="179"/>
      <c r="F666" s="179"/>
      <c r="G666" s="179"/>
      <c r="H666" s="179"/>
      <c r="I666" s="179"/>
      <c r="J666" s="179"/>
      <c r="K666" s="179"/>
      <c r="L666" s="215">
        <f>SUM(F666:K666)</f>
        <v>0</v>
      </c>
      <c r="M666" s="215">
        <f>L666/6</f>
        <v>0</v>
      </c>
      <c r="N666" s="179"/>
      <c r="O666" s="179"/>
      <c r="P666" s="179"/>
      <c r="Q666" s="179"/>
      <c r="R666" s="179"/>
      <c r="S666" s="179"/>
      <c r="T666" s="215">
        <f>SUM(N666:S666)</f>
        <v>0</v>
      </c>
      <c r="U666" s="215">
        <f>T666+L666</f>
        <v>0</v>
      </c>
      <c r="V666" s="179">
        <f>V661</f>
        <v>0</v>
      </c>
      <c r="W666" s="184">
        <f>V666-U666</f>
        <v>0</v>
      </c>
      <c r="X666" s="185">
        <f>U661-U666</f>
        <v>0</v>
      </c>
      <c r="Z666" s="297"/>
    </row>
    <row r="667" spans="1:28" s="190" customFormat="1" ht="18" hidden="1" customHeight="1">
      <c r="A667" s="614"/>
      <c r="B667" s="581"/>
      <c r="C667" s="581"/>
      <c r="D667" s="187" t="str">
        <f>серпень!D590</f>
        <v>тариф, грн.</v>
      </c>
      <c r="E667" s="188" t="e">
        <f>E668/E666*1000</f>
        <v>#DIV/0!</v>
      </c>
      <c r="F667" s="188">
        <v>0</v>
      </c>
      <c r="G667" s="188">
        <v>0</v>
      </c>
      <c r="H667" s="188">
        <v>0</v>
      </c>
      <c r="I667" s="188">
        <v>0</v>
      </c>
      <c r="J667" s="188">
        <v>0</v>
      </c>
      <c r="K667" s="188">
        <v>0</v>
      </c>
      <c r="L667" s="188" t="e">
        <f>L668/L666*1000</f>
        <v>#DIV/0!</v>
      </c>
      <c r="M667" s="188" t="e">
        <f>M668/M666*1000</f>
        <v>#DIV/0!</v>
      </c>
      <c r="N667" s="188">
        <v>0</v>
      </c>
      <c r="O667" s="188">
        <v>0</v>
      </c>
      <c r="P667" s="188">
        <v>0</v>
      </c>
      <c r="Q667" s="188">
        <v>0</v>
      </c>
      <c r="R667" s="188">
        <v>0</v>
      </c>
      <c r="S667" s="188">
        <v>0</v>
      </c>
      <c r="T667" s="188" t="e">
        <f>T668/T666*1000</f>
        <v>#DIV/0!</v>
      </c>
      <c r="U667" s="188" t="e">
        <f>U668/U666*1000</f>
        <v>#DIV/0!</v>
      </c>
      <c r="V667" s="218" t="e">
        <f>V668/V666*1000</f>
        <v>#DIV/0!</v>
      </c>
      <c r="W667" s="189" t="e">
        <f>W668/W666*1000</f>
        <v>#DIV/0!</v>
      </c>
      <c r="X667" s="225"/>
      <c r="Z667" s="298"/>
    </row>
    <row r="668" spans="1:28" s="239" customFormat="1" ht="18" hidden="1" customHeight="1">
      <c r="A668" s="614"/>
      <c r="B668" s="581"/>
      <c r="C668" s="581"/>
      <c r="D668" s="198" t="str">
        <f>серпень!D591</f>
        <v>касові видатки, тис.грн.</v>
      </c>
      <c r="E668" s="220"/>
      <c r="F668" s="199">
        <f>F666*F667/1000</f>
        <v>0</v>
      </c>
      <c r="G668" s="199">
        <f t="shared" ref="G668" si="767">G666*G667/1000</f>
        <v>0</v>
      </c>
      <c r="H668" s="199">
        <f t="shared" ref="H668" si="768">H666*H667/1000</f>
        <v>0</v>
      </c>
      <c r="I668" s="199">
        <f t="shared" ref="I668" si="769">I666*I667/1000</f>
        <v>0</v>
      </c>
      <c r="J668" s="199">
        <f t="shared" ref="J668" si="770">J666*J667/1000</f>
        <v>0</v>
      </c>
      <c r="K668" s="199">
        <f t="shared" ref="K668" si="771">K666*K667/1000</f>
        <v>0</v>
      </c>
      <c r="L668" s="199">
        <f>SUM(F668:K668)</f>
        <v>0</v>
      </c>
      <c r="M668" s="199">
        <f>L668/6</f>
        <v>0</v>
      </c>
      <c r="N668" s="199">
        <f>N666*N667/1000</f>
        <v>0</v>
      </c>
      <c r="O668" s="199">
        <f t="shared" ref="O668" si="772">O666*O667/1000</f>
        <v>0</v>
      </c>
      <c r="P668" s="199">
        <f t="shared" ref="P668" si="773">P666*P667/1000</f>
        <v>0</v>
      </c>
      <c r="Q668" s="199">
        <f t="shared" ref="Q668" si="774">Q666*Q667/1000</f>
        <v>0</v>
      </c>
      <c r="R668" s="199">
        <f t="shared" ref="R668" si="775">R666*R667/1000</f>
        <v>0</v>
      </c>
      <c r="S668" s="199">
        <f t="shared" ref="S668" si="776">S666*S667/1000</f>
        <v>0</v>
      </c>
      <c r="T668" s="199">
        <f>SUM(N668:S668)</f>
        <v>0</v>
      </c>
      <c r="U668" s="199">
        <f>T668+L668</f>
        <v>0</v>
      </c>
      <c r="V668" s="199">
        <f>V663</f>
        <v>0</v>
      </c>
      <c r="W668" s="221">
        <f>V668-U668</f>
        <v>0</v>
      </c>
      <c r="X668" s="176">
        <f>U663-U668</f>
        <v>0</v>
      </c>
      <c r="Z668" s="300"/>
    </row>
    <row r="669" spans="1:28" s="239" customFormat="1" ht="18" hidden="1" customHeight="1">
      <c r="A669" s="614"/>
      <c r="B669" s="581"/>
      <c r="C669" s="581"/>
      <c r="D669" s="201" t="str">
        <f>серпень!D592</f>
        <v>дотація</v>
      </c>
      <c r="E669" s="220"/>
      <c r="F669" s="199"/>
      <c r="G669" s="199"/>
      <c r="H669" s="199"/>
      <c r="I669" s="199"/>
      <c r="J669" s="199"/>
      <c r="K669" s="199"/>
      <c r="L669" s="199">
        <f>SUM(F669:K669)</f>
        <v>0</v>
      </c>
      <c r="M669" s="199">
        <f>L669/6</f>
        <v>0</v>
      </c>
      <c r="N669" s="199"/>
      <c r="O669" s="199"/>
      <c r="P669" s="199"/>
      <c r="Q669" s="199"/>
      <c r="R669" s="199"/>
      <c r="S669" s="199"/>
      <c r="T669" s="199">
        <f>SUM(N669:S669)</f>
        <v>0</v>
      </c>
      <c r="U669" s="199">
        <f>T669+L669</f>
        <v>0</v>
      </c>
      <c r="V669" s="199">
        <f>V664</f>
        <v>0</v>
      </c>
      <c r="W669" s="221">
        <f>V669-U669</f>
        <v>0</v>
      </c>
      <c r="X669" s="176"/>
      <c r="Z669" s="300"/>
    </row>
    <row r="670" spans="1:28" s="239" customFormat="1" ht="18" hidden="1" customHeight="1">
      <c r="A670" s="614"/>
      <c r="B670" s="581"/>
      <c r="C670" s="581"/>
      <c r="D670" s="201" t="str">
        <f>серпень!D593</f>
        <v xml:space="preserve">місцевий </v>
      </c>
      <c r="E670" s="220"/>
      <c r="F670" s="199">
        <f t="shared" ref="F670:K670" si="777">F668-F669</f>
        <v>0</v>
      </c>
      <c r="G670" s="199">
        <f t="shared" si="777"/>
        <v>0</v>
      </c>
      <c r="H670" s="199">
        <f t="shared" si="777"/>
        <v>0</v>
      </c>
      <c r="I670" s="199">
        <f t="shared" si="777"/>
        <v>0</v>
      </c>
      <c r="J670" s="199">
        <f t="shared" si="777"/>
        <v>0</v>
      </c>
      <c r="K670" s="199">
        <f t="shared" si="777"/>
        <v>0</v>
      </c>
      <c r="L670" s="199">
        <f>SUM(F670:K670)</f>
        <v>0</v>
      </c>
      <c r="M670" s="199">
        <f>L670/6</f>
        <v>0</v>
      </c>
      <c r="N670" s="199">
        <f t="shared" ref="N670:S670" si="778">N668-N669</f>
        <v>0</v>
      </c>
      <c r="O670" s="199">
        <f t="shared" si="778"/>
        <v>0</v>
      </c>
      <c r="P670" s="199">
        <f t="shared" si="778"/>
        <v>0</v>
      </c>
      <c r="Q670" s="199">
        <f t="shared" si="778"/>
        <v>0</v>
      </c>
      <c r="R670" s="199">
        <f t="shared" si="778"/>
        <v>0</v>
      </c>
      <c r="S670" s="199">
        <f t="shared" si="778"/>
        <v>0</v>
      </c>
      <c r="T670" s="199">
        <f>SUM(N670:S670)</f>
        <v>0</v>
      </c>
      <c r="U670" s="199">
        <f>T670+L670</f>
        <v>0</v>
      </c>
      <c r="V670" s="199">
        <f>V665</f>
        <v>0</v>
      </c>
      <c r="W670" s="221">
        <f>V670-U670</f>
        <v>0</v>
      </c>
      <c r="X670" s="176">
        <f>U665-U670</f>
        <v>0</v>
      </c>
      <c r="Z670" s="300"/>
    </row>
    <row r="671" spans="1:28" s="205" customFormat="1" ht="18" hidden="1" customHeight="1">
      <c r="A671" s="614"/>
      <c r="B671" s="581"/>
      <c r="C671" s="581"/>
      <c r="D671" s="202" t="str">
        <f>серпень!D594</f>
        <v>план</v>
      </c>
      <c r="E671" s="203"/>
      <c r="F671" s="203">
        <f t="shared" ref="F671:K671" si="779">F665</f>
        <v>0</v>
      </c>
      <c r="G671" s="203">
        <f t="shared" si="779"/>
        <v>0</v>
      </c>
      <c r="H671" s="203">
        <f t="shared" si="779"/>
        <v>0</v>
      </c>
      <c r="I671" s="203">
        <f t="shared" si="779"/>
        <v>0</v>
      </c>
      <c r="J671" s="203">
        <f t="shared" si="779"/>
        <v>0</v>
      </c>
      <c r="K671" s="203">
        <f t="shared" si="779"/>
        <v>0</v>
      </c>
      <c r="L671" s="203">
        <f>SUM(F671:K671)</f>
        <v>0</v>
      </c>
      <c r="M671" s="203">
        <f>L671/6</f>
        <v>0</v>
      </c>
      <c r="N671" s="203">
        <f t="shared" ref="N671:S671" si="780">N665+N664</f>
        <v>0</v>
      </c>
      <c r="O671" s="203">
        <f t="shared" si="780"/>
        <v>0</v>
      </c>
      <c r="P671" s="203">
        <f t="shared" si="780"/>
        <v>0</v>
      </c>
      <c r="Q671" s="203">
        <f t="shared" si="780"/>
        <v>0</v>
      </c>
      <c r="R671" s="203">
        <f t="shared" si="780"/>
        <v>0</v>
      </c>
      <c r="S671" s="203">
        <f t="shared" si="780"/>
        <v>0</v>
      </c>
      <c r="T671" s="203">
        <f>SUM(N671:S671)</f>
        <v>0</v>
      </c>
      <c r="U671" s="203">
        <f>T671+L671</f>
        <v>0</v>
      </c>
      <c r="V671" s="203">
        <f>V668</f>
        <v>0</v>
      </c>
      <c r="W671" s="203">
        <f>V671-U671</f>
        <v>0</v>
      </c>
      <c r="Z671" s="301"/>
    </row>
    <row r="672" spans="1:28" s="205" customFormat="1" ht="18" hidden="1" customHeight="1">
      <c r="A672" s="614"/>
      <c r="B672" s="581"/>
      <c r="C672" s="581"/>
      <c r="D672" s="202" t="str">
        <f>серпень!D595</f>
        <v xml:space="preserve">відхилення </v>
      </c>
      <c r="E672" s="203"/>
      <c r="F672" s="203">
        <f t="shared" ref="F672:K672" si="781">F668-F671</f>
        <v>0</v>
      </c>
      <c r="G672" s="203">
        <f t="shared" si="781"/>
        <v>0</v>
      </c>
      <c r="H672" s="203">
        <f t="shared" si="781"/>
        <v>0</v>
      </c>
      <c r="I672" s="203">
        <f t="shared" si="781"/>
        <v>0</v>
      </c>
      <c r="J672" s="203">
        <f t="shared" si="781"/>
        <v>0</v>
      </c>
      <c r="K672" s="203">
        <f t="shared" si="781"/>
        <v>0</v>
      </c>
      <c r="L672" s="203"/>
      <c r="M672" s="203"/>
      <c r="N672" s="203">
        <f t="shared" ref="N672:S672" si="782">N668-N671</f>
        <v>0</v>
      </c>
      <c r="O672" s="203">
        <f t="shared" si="782"/>
        <v>0</v>
      </c>
      <c r="P672" s="203">
        <f t="shared" si="782"/>
        <v>0</v>
      </c>
      <c r="Q672" s="203">
        <f t="shared" si="782"/>
        <v>0</v>
      </c>
      <c r="R672" s="203">
        <f t="shared" si="782"/>
        <v>0</v>
      </c>
      <c r="S672" s="203">
        <f t="shared" si="782"/>
        <v>0</v>
      </c>
      <c r="T672" s="203"/>
      <c r="U672" s="203"/>
      <c r="V672" s="203"/>
      <c r="W672" s="203"/>
      <c r="Z672" s="301"/>
    </row>
    <row r="673" spans="1:28" s="205" customFormat="1" ht="18" hidden="1" customHeight="1">
      <c r="A673" s="614"/>
      <c r="B673" s="581"/>
      <c r="C673" s="581"/>
      <c r="D673" s="202" t="str">
        <f>серпень!D596</f>
        <v>відхилення з наростаючим</v>
      </c>
      <c r="E673" s="203"/>
      <c r="F673" s="203">
        <f>F672</f>
        <v>0</v>
      </c>
      <c r="G673" s="203">
        <f>G672+F673</f>
        <v>0</v>
      </c>
      <c r="H673" s="203">
        <f>H672+G673</f>
        <v>0</v>
      </c>
      <c r="I673" s="203">
        <f>I672+H673</f>
        <v>0</v>
      </c>
      <c r="J673" s="203">
        <f>J672+I673</f>
        <v>0</v>
      </c>
      <c r="K673" s="203">
        <f>K672+J673</f>
        <v>0</v>
      </c>
      <c r="L673" s="203"/>
      <c r="M673" s="203"/>
      <c r="N673" s="203">
        <f>N672+K673</f>
        <v>0</v>
      </c>
      <c r="O673" s="203">
        <f>O672+N673</f>
        <v>0</v>
      </c>
      <c r="P673" s="203">
        <f>P672+O673</f>
        <v>0</v>
      </c>
      <c r="Q673" s="203">
        <f>Q672+P673</f>
        <v>0</v>
      </c>
      <c r="R673" s="203">
        <f>R672+Q673</f>
        <v>0</v>
      </c>
      <c r="S673" s="203">
        <f>S672+R673</f>
        <v>0</v>
      </c>
      <c r="T673" s="203"/>
      <c r="U673" s="203"/>
      <c r="V673" s="203"/>
      <c r="W673" s="203"/>
      <c r="Z673" s="301"/>
    </row>
    <row r="674" spans="1:28" s="196" customFormat="1" ht="17.55" hidden="1" customHeight="1">
      <c r="A674" s="614"/>
      <c r="B674" s="581" t="s">
        <v>68</v>
      </c>
      <c r="C674" s="581"/>
      <c r="D674" s="178" t="str">
        <f>серпень!D597</f>
        <v>факт. нат.п-ки 2023</v>
      </c>
      <c r="E674" s="179"/>
      <c r="F674" s="180"/>
      <c r="G674" s="180"/>
      <c r="H674" s="180"/>
      <c r="I674" s="180"/>
      <c r="J674" s="180"/>
      <c r="K674" s="180"/>
      <c r="L674" s="215">
        <f>SUM(F674:K674)</f>
        <v>0</v>
      </c>
      <c r="M674" s="215">
        <f>L674/6</f>
        <v>0</v>
      </c>
      <c r="N674" s="180"/>
      <c r="O674" s="180"/>
      <c r="P674" s="180"/>
      <c r="Q674" s="180"/>
      <c r="R674" s="180"/>
      <c r="S674" s="180"/>
      <c r="T674" s="215">
        <f>SUM(N674:S674)</f>
        <v>0</v>
      </c>
      <c r="U674" s="226">
        <f>T674+L674</f>
        <v>0</v>
      </c>
      <c r="V674" s="227"/>
      <c r="W674" s="184">
        <f>V674-U674</f>
        <v>0</v>
      </c>
      <c r="X674" s="185"/>
      <c r="Y674" s="186"/>
      <c r="Z674" s="297"/>
      <c r="AA674" s="186"/>
      <c r="AB674" s="186"/>
    </row>
    <row r="675" spans="1:28" s="186" customFormat="1" ht="18" hidden="1" customHeight="1">
      <c r="A675" s="614"/>
      <c r="B675" s="581"/>
      <c r="C675" s="581"/>
      <c r="D675" s="178" t="str">
        <f>серпень!D598</f>
        <v>факт. нат.п-ки 2024</v>
      </c>
      <c r="E675" s="179"/>
      <c r="F675" s="180"/>
      <c r="G675" s="180"/>
      <c r="H675" s="180"/>
      <c r="I675" s="180"/>
      <c r="J675" s="180"/>
      <c r="K675" s="180"/>
      <c r="L675" s="215">
        <f>SUM(F675:K675)</f>
        <v>0</v>
      </c>
      <c r="M675" s="215">
        <f>L675/6</f>
        <v>0</v>
      </c>
      <c r="N675" s="179"/>
      <c r="O675" s="179"/>
      <c r="P675" s="179"/>
      <c r="Q675" s="179"/>
      <c r="R675" s="179"/>
      <c r="S675" s="179"/>
      <c r="T675" s="215">
        <f>SUM(N675:S675)</f>
        <v>0</v>
      </c>
      <c r="U675" s="226">
        <f>T675+L675</f>
        <v>0</v>
      </c>
      <c r="V675" s="227"/>
      <c r="W675" s="184">
        <f>V675-U675</f>
        <v>0</v>
      </c>
      <c r="X675" s="185"/>
      <c r="Z675" s="297"/>
    </row>
    <row r="676" spans="1:28" s="186" customFormat="1" ht="18" hidden="1" customHeight="1">
      <c r="A676" s="614"/>
      <c r="B676" s="581"/>
      <c r="C676" s="581"/>
      <c r="D676" s="178" t="str">
        <f>серпень!D599</f>
        <v>факт. нат.п-ки 2025</v>
      </c>
      <c r="E676" s="179"/>
      <c r="F676" s="180"/>
      <c r="G676" s="180"/>
      <c r="H676" s="180"/>
      <c r="I676" s="180"/>
      <c r="J676" s="180"/>
      <c r="K676" s="180"/>
      <c r="L676" s="215">
        <f>SUM(F676:K676)</f>
        <v>0</v>
      </c>
      <c r="M676" s="215">
        <f>L676/6</f>
        <v>0</v>
      </c>
      <c r="N676" s="180"/>
      <c r="O676" s="180"/>
      <c r="P676" s="180"/>
      <c r="Q676" s="180"/>
      <c r="R676" s="180"/>
      <c r="S676" s="179"/>
      <c r="T676" s="215">
        <f>SUM(N676:S676)</f>
        <v>0</v>
      </c>
      <c r="U676" s="226">
        <f>T676+L676</f>
        <v>0</v>
      </c>
      <c r="V676" s="179"/>
      <c r="W676" s="184">
        <f>V676-U676</f>
        <v>0</v>
      </c>
      <c r="X676" s="185"/>
      <c r="Z676" s="297"/>
    </row>
    <row r="677" spans="1:28" s="190" customFormat="1" ht="18" hidden="1" customHeight="1">
      <c r="A677" s="614"/>
      <c r="B677" s="581"/>
      <c r="C677" s="581"/>
      <c r="D677" s="187" t="str">
        <f>серпень!D600</f>
        <v>тариф, грн.</v>
      </c>
      <c r="E677" s="188"/>
      <c r="F677" s="188"/>
      <c r="G677" s="188"/>
      <c r="H677" s="188"/>
      <c r="I677" s="188"/>
      <c r="J677" s="188"/>
      <c r="K677" s="188"/>
      <c r="L677" s="188" t="e">
        <f>L678/L676*1000</f>
        <v>#DIV/0!</v>
      </c>
      <c r="M677" s="188" t="e">
        <f>M678/M676*1000</f>
        <v>#DIV/0!</v>
      </c>
      <c r="N677" s="188"/>
      <c r="O677" s="188"/>
      <c r="P677" s="188"/>
      <c r="Q677" s="188"/>
      <c r="R677" s="188"/>
      <c r="S677" s="188"/>
      <c r="T677" s="188" t="e">
        <f>T678/T676*1000</f>
        <v>#DIV/0!</v>
      </c>
      <c r="U677" s="188" t="e">
        <f>U678/U676*1000</f>
        <v>#DIV/0!</v>
      </c>
      <c r="V677" s="218" t="e">
        <f>V678/V676*1000</f>
        <v>#DIV/0!</v>
      </c>
      <c r="W677" s="189" t="e">
        <f>W678/W676*1000</f>
        <v>#DIV/0!</v>
      </c>
      <c r="X677" s="225"/>
      <c r="Z677" s="298"/>
    </row>
    <row r="678" spans="1:28" s="244" customFormat="1" ht="18" hidden="1" customHeight="1">
      <c r="A678" s="614"/>
      <c r="B678" s="581"/>
      <c r="C678" s="581"/>
      <c r="D678" s="191" t="str">
        <f>серпень!D601</f>
        <v>сума, тис.грн.</v>
      </c>
      <c r="E678" s="192"/>
      <c r="F678" s="192">
        <f t="shared" ref="F678:K678" si="783">F676*F677/1000</f>
        <v>0</v>
      </c>
      <c r="G678" s="192">
        <f t="shared" si="783"/>
        <v>0</v>
      </c>
      <c r="H678" s="192">
        <f t="shared" si="783"/>
        <v>0</v>
      </c>
      <c r="I678" s="192">
        <f t="shared" si="783"/>
        <v>0</v>
      </c>
      <c r="J678" s="192">
        <f t="shared" si="783"/>
        <v>0</v>
      </c>
      <c r="K678" s="192">
        <f t="shared" si="783"/>
        <v>0</v>
      </c>
      <c r="L678" s="194">
        <f>SUM(F678:K678)</f>
        <v>0</v>
      </c>
      <c r="M678" s="194">
        <f>L678/6</f>
        <v>0</v>
      </c>
      <c r="N678" s="192">
        <f t="shared" ref="N678:S678" si="784">N676*N677/1000</f>
        <v>0</v>
      </c>
      <c r="O678" s="192">
        <f t="shared" si="784"/>
        <v>0</v>
      </c>
      <c r="P678" s="192">
        <f t="shared" si="784"/>
        <v>0</v>
      </c>
      <c r="Q678" s="192">
        <f t="shared" si="784"/>
        <v>0</v>
      </c>
      <c r="R678" s="192">
        <f t="shared" si="784"/>
        <v>0</v>
      </c>
      <c r="S678" s="192">
        <f t="shared" si="784"/>
        <v>0</v>
      </c>
      <c r="T678" s="194">
        <f>SUM(N678:S678)</f>
        <v>0</v>
      </c>
      <c r="U678" s="194">
        <f>T678+L678</f>
        <v>0</v>
      </c>
      <c r="V678" s="171">
        <f>V679+V680</f>
        <v>0</v>
      </c>
      <c r="W678" s="193">
        <f>V678-U678</f>
        <v>0</v>
      </c>
      <c r="Z678" s="308"/>
    </row>
    <row r="679" spans="1:28" s="244" customFormat="1" ht="18" hidden="1" customHeight="1">
      <c r="A679" s="614"/>
      <c r="B679" s="581"/>
      <c r="C679" s="581"/>
      <c r="D679" s="174" t="str">
        <f>серпень!D602</f>
        <v>дотація</v>
      </c>
      <c r="E679" s="210"/>
      <c r="F679" s="192"/>
      <c r="G679" s="192"/>
      <c r="H679" s="192"/>
      <c r="I679" s="192"/>
      <c r="J679" s="192"/>
      <c r="K679" s="192"/>
      <c r="L679" s="194">
        <f>SUM(F679:K679)</f>
        <v>0</v>
      </c>
      <c r="M679" s="194">
        <f>L679/6</f>
        <v>0</v>
      </c>
      <c r="N679" s="192"/>
      <c r="O679" s="192"/>
      <c r="P679" s="192"/>
      <c r="Q679" s="192"/>
      <c r="R679" s="192"/>
      <c r="S679" s="192"/>
      <c r="T679" s="194">
        <f>SUM(N679:S679)</f>
        <v>0</v>
      </c>
      <c r="U679" s="194">
        <f>T679+L679</f>
        <v>0</v>
      </c>
      <c r="V679" s="171">
        <v>0</v>
      </c>
      <c r="W679" s="193">
        <f>V679-U679</f>
        <v>0</v>
      </c>
      <c r="Z679" s="308"/>
    </row>
    <row r="680" spans="1:28" s="244" customFormat="1" ht="18" hidden="1" customHeight="1">
      <c r="A680" s="614"/>
      <c r="B680" s="581"/>
      <c r="C680" s="581"/>
      <c r="D680" s="174" t="str">
        <f>серпень!D603</f>
        <v>місцевий (план), тис.грн</v>
      </c>
      <c r="E680" s="210"/>
      <c r="F680" s="192"/>
      <c r="G680" s="192"/>
      <c r="H680" s="192"/>
      <c r="I680" s="192"/>
      <c r="J680" s="192"/>
      <c r="K680" s="192"/>
      <c r="L680" s="194">
        <f>SUM(F680:K680)</f>
        <v>0</v>
      </c>
      <c r="M680" s="194">
        <f>L680/6</f>
        <v>0</v>
      </c>
      <c r="N680" s="192"/>
      <c r="O680" s="192"/>
      <c r="P680" s="192"/>
      <c r="Q680" s="192"/>
      <c r="R680" s="192"/>
      <c r="S680" s="192"/>
      <c r="T680" s="194">
        <f>SUM(N680:S680)</f>
        <v>0</v>
      </c>
      <c r="U680" s="194">
        <f>T680+L680</f>
        <v>0</v>
      </c>
      <c r="V680" s="171"/>
      <c r="W680" s="193">
        <f>V680-U680</f>
        <v>0</v>
      </c>
      <c r="Z680" s="308"/>
    </row>
    <row r="681" spans="1:28" s="186" customFormat="1" ht="18" hidden="1" customHeight="1">
      <c r="A681" s="614"/>
      <c r="B681" s="581"/>
      <c r="C681" s="581"/>
      <c r="D681" s="178" t="str">
        <f>серпень!D604</f>
        <v>касові нат.п-ки 2025</v>
      </c>
      <c r="E681" s="179"/>
      <c r="F681" s="179"/>
      <c r="G681" s="179"/>
      <c r="H681" s="179"/>
      <c r="I681" s="179"/>
      <c r="J681" s="179"/>
      <c r="K681" s="179"/>
      <c r="L681" s="215">
        <f>SUM(F681:K681)</f>
        <v>0</v>
      </c>
      <c r="M681" s="215">
        <f>L681/6</f>
        <v>0</v>
      </c>
      <c r="N681" s="179"/>
      <c r="O681" s="179"/>
      <c r="P681" s="179"/>
      <c r="Q681" s="179"/>
      <c r="R681" s="179"/>
      <c r="S681" s="179"/>
      <c r="T681" s="215">
        <f>SUM(N681:S681)</f>
        <v>0</v>
      </c>
      <c r="U681" s="215">
        <f>T681+L681</f>
        <v>0</v>
      </c>
      <c r="V681" s="179">
        <f>V676</f>
        <v>0</v>
      </c>
      <c r="W681" s="184">
        <f>V681-U681</f>
        <v>0</v>
      </c>
      <c r="X681" s="185">
        <f>U676-U681</f>
        <v>0</v>
      </c>
      <c r="Z681" s="297"/>
    </row>
    <row r="682" spans="1:28" s="190" customFormat="1" ht="18" hidden="1" customHeight="1">
      <c r="A682" s="614"/>
      <c r="B682" s="581"/>
      <c r="C682" s="581"/>
      <c r="D682" s="187" t="str">
        <f>серпень!D605</f>
        <v>тариф, грн.</v>
      </c>
      <c r="E682" s="188" t="e">
        <f>E683/E681*1000</f>
        <v>#DIV/0!</v>
      </c>
      <c r="F682" s="188"/>
      <c r="G682" s="188"/>
      <c r="H682" s="188"/>
      <c r="I682" s="188"/>
      <c r="J682" s="188"/>
      <c r="K682" s="188"/>
      <c r="L682" s="188" t="e">
        <f>L683/L681*1000</f>
        <v>#DIV/0!</v>
      </c>
      <c r="M682" s="188" t="e">
        <f>M683/M681*1000</f>
        <v>#DIV/0!</v>
      </c>
      <c r="N682" s="188"/>
      <c r="O682" s="188"/>
      <c r="P682" s="188"/>
      <c r="Q682" s="188"/>
      <c r="R682" s="188"/>
      <c r="S682" s="188"/>
      <c r="T682" s="188" t="e">
        <f>T683/T681*1000</f>
        <v>#DIV/0!</v>
      </c>
      <c r="U682" s="188" t="e">
        <f>U683/U681*1000</f>
        <v>#DIV/0!</v>
      </c>
      <c r="V682" s="218" t="e">
        <f>V683/V681*1000</f>
        <v>#DIV/0!</v>
      </c>
      <c r="W682" s="189" t="e">
        <f>W683/W681*1000</f>
        <v>#DIV/0!</v>
      </c>
      <c r="X682" s="225"/>
      <c r="Z682" s="298"/>
    </row>
    <row r="683" spans="1:28" s="239" customFormat="1" ht="18" hidden="1" customHeight="1">
      <c r="A683" s="614"/>
      <c r="B683" s="581"/>
      <c r="C683" s="581"/>
      <c r="D683" s="198" t="str">
        <f>серпень!D606</f>
        <v>касові видатки, тис.грн.</v>
      </c>
      <c r="E683" s="220"/>
      <c r="F683" s="199">
        <f t="shared" ref="F683:K683" si="785">F681*F682/1000</f>
        <v>0</v>
      </c>
      <c r="G683" s="199">
        <f t="shared" si="785"/>
        <v>0</v>
      </c>
      <c r="H683" s="199">
        <f t="shared" si="785"/>
        <v>0</v>
      </c>
      <c r="I683" s="199">
        <f t="shared" si="785"/>
        <v>0</v>
      </c>
      <c r="J683" s="199">
        <f t="shared" si="785"/>
        <v>0</v>
      </c>
      <c r="K683" s="199">
        <f t="shared" si="785"/>
        <v>0</v>
      </c>
      <c r="L683" s="199">
        <f>SUM(F683:K683)</f>
        <v>0</v>
      </c>
      <c r="M683" s="199">
        <f>L683/6</f>
        <v>0</v>
      </c>
      <c r="N683" s="199">
        <f t="shared" ref="N683:S683" si="786">N681*N682/1000</f>
        <v>0</v>
      </c>
      <c r="O683" s="199">
        <f t="shared" si="786"/>
        <v>0</v>
      </c>
      <c r="P683" s="199">
        <f t="shared" si="786"/>
        <v>0</v>
      </c>
      <c r="Q683" s="199">
        <f t="shared" si="786"/>
        <v>0</v>
      </c>
      <c r="R683" s="199">
        <f t="shared" si="786"/>
        <v>0</v>
      </c>
      <c r="S683" s="199">
        <f t="shared" si="786"/>
        <v>0</v>
      </c>
      <c r="T683" s="199">
        <f>SUM(N683:S683)</f>
        <v>0</v>
      </c>
      <c r="U683" s="199">
        <f>T683+L683</f>
        <v>0</v>
      </c>
      <c r="V683" s="199">
        <f>V678</f>
        <v>0</v>
      </c>
      <c r="W683" s="221">
        <f>V683-U683</f>
        <v>0</v>
      </c>
      <c r="X683" s="176">
        <f>U678-U683</f>
        <v>0</v>
      </c>
      <c r="Z683" s="300"/>
    </row>
    <row r="684" spans="1:28" s="239" customFormat="1" ht="18" hidden="1" customHeight="1">
      <c r="A684" s="614"/>
      <c r="B684" s="581"/>
      <c r="C684" s="581"/>
      <c r="D684" s="201" t="str">
        <f>серпень!D607</f>
        <v>дотація</v>
      </c>
      <c r="E684" s="220"/>
      <c r="F684" s="199"/>
      <c r="G684" s="199"/>
      <c r="H684" s="199"/>
      <c r="I684" s="199"/>
      <c r="J684" s="199"/>
      <c r="K684" s="199"/>
      <c r="L684" s="199">
        <f>SUM(F684:K684)</f>
        <v>0</v>
      </c>
      <c r="M684" s="199">
        <f>L684/6</f>
        <v>0</v>
      </c>
      <c r="N684" s="199"/>
      <c r="O684" s="199"/>
      <c r="P684" s="199"/>
      <c r="Q684" s="199"/>
      <c r="R684" s="199"/>
      <c r="S684" s="199"/>
      <c r="T684" s="199">
        <f>SUM(N684:S684)</f>
        <v>0</v>
      </c>
      <c r="U684" s="199">
        <f>T684+L684</f>
        <v>0</v>
      </c>
      <c r="V684" s="199">
        <f>V679</f>
        <v>0</v>
      </c>
      <c r="W684" s="221">
        <f>V684-U684</f>
        <v>0</v>
      </c>
      <c r="X684" s="176"/>
      <c r="Z684" s="300"/>
    </row>
    <row r="685" spans="1:28" s="239" customFormat="1" ht="18" hidden="1" customHeight="1">
      <c r="A685" s="614"/>
      <c r="B685" s="581"/>
      <c r="C685" s="581"/>
      <c r="D685" s="201" t="str">
        <f>серпень!D608</f>
        <v xml:space="preserve">місцевий </v>
      </c>
      <c r="E685" s="220"/>
      <c r="F685" s="199">
        <f t="shared" ref="F685:K685" si="787">F683-F684</f>
        <v>0</v>
      </c>
      <c r="G685" s="199">
        <f t="shared" si="787"/>
        <v>0</v>
      </c>
      <c r="H685" s="199">
        <f t="shared" si="787"/>
        <v>0</v>
      </c>
      <c r="I685" s="199">
        <f t="shared" si="787"/>
        <v>0</v>
      </c>
      <c r="J685" s="199">
        <f t="shared" si="787"/>
        <v>0</v>
      </c>
      <c r="K685" s="199">
        <f t="shared" si="787"/>
        <v>0</v>
      </c>
      <c r="L685" s="199">
        <f>SUM(F685:K685)</f>
        <v>0</v>
      </c>
      <c r="M685" s="199">
        <f>L685/6</f>
        <v>0</v>
      </c>
      <c r="N685" s="199">
        <f t="shared" ref="N685:S685" si="788">N683-N684</f>
        <v>0</v>
      </c>
      <c r="O685" s="199">
        <f t="shared" si="788"/>
        <v>0</v>
      </c>
      <c r="P685" s="199">
        <f t="shared" si="788"/>
        <v>0</v>
      </c>
      <c r="Q685" s="199">
        <f t="shared" si="788"/>
        <v>0</v>
      </c>
      <c r="R685" s="199">
        <f t="shared" si="788"/>
        <v>0</v>
      </c>
      <c r="S685" s="199">
        <f t="shared" si="788"/>
        <v>0</v>
      </c>
      <c r="T685" s="199">
        <f>SUM(N685:S685)</f>
        <v>0</v>
      </c>
      <c r="U685" s="199">
        <f>T685+L685</f>
        <v>0</v>
      </c>
      <c r="V685" s="199">
        <f>V680</f>
        <v>0</v>
      </c>
      <c r="W685" s="221">
        <f>V685-U685</f>
        <v>0</v>
      </c>
      <c r="X685" s="176">
        <f>U680-U685</f>
        <v>0</v>
      </c>
      <c r="Z685" s="300"/>
    </row>
    <row r="686" spans="1:28" s="205" customFormat="1" ht="18" hidden="1" customHeight="1">
      <c r="A686" s="614"/>
      <c r="B686" s="581"/>
      <c r="C686" s="581"/>
      <c r="D686" s="202" t="str">
        <f>серпень!D609</f>
        <v>план</v>
      </c>
      <c r="E686" s="203"/>
      <c r="F686" s="203">
        <f t="shared" ref="F686:K686" si="789">F680</f>
        <v>0</v>
      </c>
      <c r="G686" s="203">
        <f t="shared" si="789"/>
        <v>0</v>
      </c>
      <c r="H686" s="203">
        <f t="shared" si="789"/>
        <v>0</v>
      </c>
      <c r="I686" s="203">
        <f t="shared" si="789"/>
        <v>0</v>
      </c>
      <c r="J686" s="203">
        <f t="shared" si="789"/>
        <v>0</v>
      </c>
      <c r="K686" s="203">
        <f t="shared" si="789"/>
        <v>0</v>
      </c>
      <c r="L686" s="203">
        <f>SUM(F686:K686)</f>
        <v>0</v>
      </c>
      <c r="M686" s="203">
        <f>L686/6</f>
        <v>0</v>
      </c>
      <c r="N686" s="203">
        <f t="shared" ref="N686:S686" si="790">N680+N679</f>
        <v>0</v>
      </c>
      <c r="O686" s="203">
        <f t="shared" si="790"/>
        <v>0</v>
      </c>
      <c r="P686" s="203">
        <f t="shared" si="790"/>
        <v>0</v>
      </c>
      <c r="Q686" s="203">
        <f t="shared" si="790"/>
        <v>0</v>
      </c>
      <c r="R686" s="203">
        <f t="shared" si="790"/>
        <v>0</v>
      </c>
      <c r="S686" s="203">
        <f t="shared" si="790"/>
        <v>0</v>
      </c>
      <c r="T686" s="203">
        <f>SUM(N686:S686)</f>
        <v>0</v>
      </c>
      <c r="U686" s="203">
        <f>T686+L686</f>
        <v>0</v>
      </c>
      <c r="V686" s="203">
        <f>V683</f>
        <v>0</v>
      </c>
      <c r="W686" s="203">
        <f>V686-U686</f>
        <v>0</v>
      </c>
      <c r="Z686" s="301"/>
    </row>
    <row r="687" spans="1:28" s="205" customFormat="1" ht="18" hidden="1" customHeight="1">
      <c r="A687" s="614"/>
      <c r="B687" s="581"/>
      <c r="C687" s="581"/>
      <c r="D687" s="202" t="str">
        <f>серпень!D610</f>
        <v xml:space="preserve">відхилення </v>
      </c>
      <c r="E687" s="203"/>
      <c r="F687" s="203">
        <f t="shared" ref="F687:K687" si="791">F683-F686</f>
        <v>0</v>
      </c>
      <c r="G687" s="203">
        <f t="shared" si="791"/>
        <v>0</v>
      </c>
      <c r="H687" s="203">
        <f t="shared" si="791"/>
        <v>0</v>
      </c>
      <c r="I687" s="203">
        <f t="shared" si="791"/>
        <v>0</v>
      </c>
      <c r="J687" s="203">
        <f t="shared" si="791"/>
        <v>0</v>
      </c>
      <c r="K687" s="203">
        <f t="shared" si="791"/>
        <v>0</v>
      </c>
      <c r="L687" s="203"/>
      <c r="M687" s="203"/>
      <c r="N687" s="203">
        <f t="shared" ref="N687:S687" si="792">N683-N686</f>
        <v>0</v>
      </c>
      <c r="O687" s="203">
        <f t="shared" si="792"/>
        <v>0</v>
      </c>
      <c r="P687" s="203">
        <f t="shared" si="792"/>
        <v>0</v>
      </c>
      <c r="Q687" s="203">
        <f t="shared" si="792"/>
        <v>0</v>
      </c>
      <c r="R687" s="203">
        <f t="shared" si="792"/>
        <v>0</v>
      </c>
      <c r="S687" s="203">
        <f t="shared" si="792"/>
        <v>0</v>
      </c>
      <c r="T687" s="203"/>
      <c r="U687" s="203"/>
      <c r="V687" s="203"/>
      <c r="W687" s="203"/>
      <c r="Z687" s="301"/>
    </row>
    <row r="688" spans="1:28" s="205" customFormat="1" ht="18" hidden="1" customHeight="1">
      <c r="A688" s="614"/>
      <c r="B688" s="581"/>
      <c r="C688" s="581"/>
      <c r="D688" s="202" t="str">
        <f>серпень!D611</f>
        <v>відхилення з наростаючим</v>
      </c>
      <c r="E688" s="203"/>
      <c r="F688" s="203">
        <f>F687</f>
        <v>0</v>
      </c>
      <c r="G688" s="203">
        <f>G687+F688</f>
        <v>0</v>
      </c>
      <c r="H688" s="203">
        <f>H687+G688</f>
        <v>0</v>
      </c>
      <c r="I688" s="203">
        <f>I687+H688</f>
        <v>0</v>
      </c>
      <c r="J688" s="203">
        <f>J687+I688</f>
        <v>0</v>
      </c>
      <c r="K688" s="203">
        <f>K687+J688</f>
        <v>0</v>
      </c>
      <c r="L688" s="203"/>
      <c r="M688" s="203"/>
      <c r="N688" s="203">
        <f>N687+K688</f>
        <v>0</v>
      </c>
      <c r="O688" s="203">
        <f>O687+N688</f>
        <v>0</v>
      </c>
      <c r="P688" s="203">
        <f>P687+O688</f>
        <v>0</v>
      </c>
      <c r="Q688" s="203">
        <f>Q687+P688</f>
        <v>0</v>
      </c>
      <c r="R688" s="203">
        <f>R687+Q688</f>
        <v>0</v>
      </c>
      <c r="S688" s="203">
        <f>S687+R688</f>
        <v>0</v>
      </c>
      <c r="T688" s="203"/>
      <c r="U688" s="203"/>
      <c r="V688" s="203"/>
      <c r="W688" s="203"/>
      <c r="Z688" s="301"/>
    </row>
    <row r="689" spans="1:28" s="196" customFormat="1" ht="17.55" hidden="1" customHeight="1">
      <c r="A689" s="614"/>
      <c r="B689" s="654" t="s">
        <v>130</v>
      </c>
      <c r="C689" s="581"/>
      <c r="D689" s="178" t="str">
        <f>серпень!D612</f>
        <v>факт. нат.п-ки 2023</v>
      </c>
      <c r="E689" s="179"/>
      <c r="F689" s="180"/>
      <c r="G689" s="180"/>
      <c r="H689" s="180"/>
      <c r="I689" s="180"/>
      <c r="J689" s="180"/>
      <c r="K689" s="180"/>
      <c r="L689" s="215">
        <f>SUM(F689:K689)</f>
        <v>0</v>
      </c>
      <c r="M689" s="215">
        <f>L689/6</f>
        <v>0</v>
      </c>
      <c r="N689" s="180"/>
      <c r="O689" s="180"/>
      <c r="P689" s="180"/>
      <c r="Q689" s="180"/>
      <c r="R689" s="180"/>
      <c r="S689" s="180"/>
      <c r="T689" s="215">
        <f>SUM(N689:S689)</f>
        <v>0</v>
      </c>
      <c r="U689" s="226">
        <f>T689+L689</f>
        <v>0</v>
      </c>
      <c r="V689" s="227"/>
      <c r="W689" s="184">
        <f>V689-U689</f>
        <v>0</v>
      </c>
      <c r="X689" s="185"/>
      <c r="Y689" s="186"/>
      <c r="Z689" s="297"/>
      <c r="AA689" s="186"/>
      <c r="AB689" s="186"/>
    </row>
    <row r="690" spans="1:28" s="186" customFormat="1" ht="18" hidden="1" customHeight="1">
      <c r="A690" s="614"/>
      <c r="B690" s="581"/>
      <c r="C690" s="581"/>
      <c r="D690" s="178" t="str">
        <f>серпень!D613</f>
        <v>факт. нат.п-ки 2024</v>
      </c>
      <c r="E690" s="179"/>
      <c r="F690" s="180"/>
      <c r="G690" s="180"/>
      <c r="H690" s="180"/>
      <c r="I690" s="180"/>
      <c r="J690" s="180"/>
      <c r="K690" s="180"/>
      <c r="L690" s="215">
        <f>SUM(F690:K690)</f>
        <v>0</v>
      </c>
      <c r="M690" s="215">
        <f>L690/6</f>
        <v>0</v>
      </c>
      <c r="N690" s="179"/>
      <c r="O690" s="179"/>
      <c r="P690" s="179"/>
      <c r="Q690" s="179"/>
      <c r="R690" s="179"/>
      <c r="S690" s="179"/>
      <c r="T690" s="215">
        <f>SUM(N690:S690)</f>
        <v>0</v>
      </c>
      <c r="U690" s="226">
        <f>T690+L690</f>
        <v>0</v>
      </c>
      <c r="V690" s="227"/>
      <c r="W690" s="184">
        <f>V690-U690</f>
        <v>0</v>
      </c>
      <c r="X690" s="185"/>
      <c r="Z690" s="297"/>
    </row>
    <row r="691" spans="1:28" s="186" customFormat="1" ht="18" hidden="1" customHeight="1">
      <c r="A691" s="614"/>
      <c r="B691" s="581"/>
      <c r="C691" s="581"/>
      <c r="D691" s="178" t="str">
        <f>серпень!D614</f>
        <v>факт. нат.п-ки 2025</v>
      </c>
      <c r="E691" s="179"/>
      <c r="F691" s="180"/>
      <c r="G691" s="180"/>
      <c r="H691" s="180"/>
      <c r="I691" s="180"/>
      <c r="J691" s="180"/>
      <c r="K691" s="180"/>
      <c r="L691" s="215">
        <f>SUM(F691:K691)</f>
        <v>0</v>
      </c>
      <c r="M691" s="215">
        <f>L691/6</f>
        <v>0</v>
      </c>
      <c r="N691" s="180"/>
      <c r="O691" s="180"/>
      <c r="P691" s="180"/>
      <c r="Q691" s="180"/>
      <c r="R691" s="180"/>
      <c r="S691" s="179"/>
      <c r="T691" s="215">
        <f>SUM(N691:S691)</f>
        <v>0</v>
      </c>
      <c r="U691" s="226">
        <f>T691+L691</f>
        <v>0</v>
      </c>
      <c r="V691" s="179"/>
      <c r="W691" s="184">
        <f>V691-U691</f>
        <v>0</v>
      </c>
      <c r="X691" s="185"/>
      <c r="Z691" s="297"/>
    </row>
    <row r="692" spans="1:28" s="190" customFormat="1" ht="18" hidden="1" customHeight="1">
      <c r="A692" s="614"/>
      <c r="B692" s="581"/>
      <c r="C692" s="581"/>
      <c r="D692" s="187" t="str">
        <f>серпень!D615</f>
        <v>тариф, грн.</v>
      </c>
      <c r="E692" s="188"/>
      <c r="F692" s="188"/>
      <c r="G692" s="188"/>
      <c r="H692" s="188"/>
      <c r="I692" s="188"/>
      <c r="J692" s="188"/>
      <c r="K692" s="188"/>
      <c r="L692" s="188" t="e">
        <f>L693/L691*1000</f>
        <v>#DIV/0!</v>
      </c>
      <c r="M692" s="188" t="e">
        <f>M693/M691*1000</f>
        <v>#DIV/0!</v>
      </c>
      <c r="N692" s="188"/>
      <c r="O692" s="188"/>
      <c r="P692" s="188"/>
      <c r="Q692" s="188"/>
      <c r="R692" s="188"/>
      <c r="S692" s="188"/>
      <c r="T692" s="188" t="e">
        <f>T693/T691*1000</f>
        <v>#DIV/0!</v>
      </c>
      <c r="U692" s="188" t="e">
        <f>U693/U691*1000</f>
        <v>#DIV/0!</v>
      </c>
      <c r="V692" s="218" t="e">
        <f>V693/V691*1000</f>
        <v>#DIV/0!</v>
      </c>
      <c r="W692" s="189" t="e">
        <f>W693/W691*1000</f>
        <v>#DIV/0!</v>
      </c>
      <c r="X692" s="225"/>
      <c r="Z692" s="298"/>
    </row>
    <row r="693" spans="1:28" s="244" customFormat="1" ht="18" hidden="1" customHeight="1">
      <c r="A693" s="614"/>
      <c r="B693" s="581"/>
      <c r="C693" s="581"/>
      <c r="D693" s="191" t="str">
        <f>серпень!D616</f>
        <v>сума, тис.грн.</v>
      </c>
      <c r="E693" s="192"/>
      <c r="F693" s="192">
        <f t="shared" ref="F693:K693" si="793">F691*F692/1000</f>
        <v>0</v>
      </c>
      <c r="G693" s="192">
        <f t="shared" si="793"/>
        <v>0</v>
      </c>
      <c r="H693" s="192">
        <f t="shared" si="793"/>
        <v>0</v>
      </c>
      <c r="I693" s="192">
        <f t="shared" si="793"/>
        <v>0</v>
      </c>
      <c r="J693" s="192">
        <f t="shared" si="793"/>
        <v>0</v>
      </c>
      <c r="K693" s="192">
        <f t="shared" si="793"/>
        <v>0</v>
      </c>
      <c r="L693" s="194">
        <f>SUM(F693:K693)</f>
        <v>0</v>
      </c>
      <c r="M693" s="194">
        <f>L693/6</f>
        <v>0</v>
      </c>
      <c r="N693" s="192">
        <f t="shared" ref="N693:S693" si="794">N691*N692/1000</f>
        <v>0</v>
      </c>
      <c r="O693" s="192">
        <f t="shared" si="794"/>
        <v>0</v>
      </c>
      <c r="P693" s="192">
        <f t="shared" si="794"/>
        <v>0</v>
      </c>
      <c r="Q693" s="192">
        <f t="shared" si="794"/>
        <v>0</v>
      </c>
      <c r="R693" s="192">
        <f t="shared" si="794"/>
        <v>0</v>
      </c>
      <c r="S693" s="192">
        <f t="shared" si="794"/>
        <v>0</v>
      </c>
      <c r="T693" s="194">
        <f>SUM(N693:S693)</f>
        <v>0</v>
      </c>
      <c r="U693" s="194">
        <f>T693+L693</f>
        <v>0</v>
      </c>
      <c r="V693" s="171">
        <f>V694+V695</f>
        <v>0</v>
      </c>
      <c r="W693" s="193">
        <f>V693-U693</f>
        <v>0</v>
      </c>
      <c r="Z693" s="308"/>
    </row>
    <row r="694" spans="1:28" s="244" customFormat="1" ht="18" hidden="1" customHeight="1">
      <c r="A694" s="614"/>
      <c r="B694" s="581"/>
      <c r="C694" s="581"/>
      <c r="D694" s="174" t="str">
        <f>серпень!D617</f>
        <v>дотація</v>
      </c>
      <c r="E694" s="210"/>
      <c r="F694" s="192"/>
      <c r="G694" s="192"/>
      <c r="H694" s="192"/>
      <c r="I694" s="192"/>
      <c r="J694" s="192"/>
      <c r="K694" s="192"/>
      <c r="L694" s="194">
        <f>SUM(F694:K694)</f>
        <v>0</v>
      </c>
      <c r="M694" s="194">
        <f>L694/6</f>
        <v>0</v>
      </c>
      <c r="N694" s="192"/>
      <c r="O694" s="192"/>
      <c r="P694" s="192"/>
      <c r="Q694" s="192"/>
      <c r="R694" s="192"/>
      <c r="S694" s="192"/>
      <c r="T694" s="194">
        <f>SUM(N694:S694)</f>
        <v>0</v>
      </c>
      <c r="U694" s="194">
        <f>T694+L694</f>
        <v>0</v>
      </c>
      <c r="V694" s="171">
        <v>0</v>
      </c>
      <c r="W694" s="193">
        <f>V694-U694</f>
        <v>0</v>
      </c>
      <c r="Z694" s="308"/>
    </row>
    <row r="695" spans="1:28" s="244" customFormat="1" ht="18" hidden="1" customHeight="1">
      <c r="A695" s="614"/>
      <c r="B695" s="581"/>
      <c r="C695" s="581"/>
      <c r="D695" s="174" t="str">
        <f>серпень!D618</f>
        <v>місцевий (план), тис.грн</v>
      </c>
      <c r="E695" s="210"/>
      <c r="F695" s="192"/>
      <c r="G695" s="192"/>
      <c r="H695" s="192"/>
      <c r="I695" s="192"/>
      <c r="J695" s="192"/>
      <c r="K695" s="192"/>
      <c r="L695" s="194">
        <f>SUM(F695:K695)</f>
        <v>0</v>
      </c>
      <c r="M695" s="194">
        <f>L695/6</f>
        <v>0</v>
      </c>
      <c r="N695" s="192"/>
      <c r="O695" s="192"/>
      <c r="P695" s="192"/>
      <c r="Q695" s="192"/>
      <c r="R695" s="192"/>
      <c r="S695" s="192"/>
      <c r="T695" s="194">
        <f>SUM(N695:S695)</f>
        <v>0</v>
      </c>
      <c r="U695" s="194">
        <f>T695+L695</f>
        <v>0</v>
      </c>
      <c r="V695" s="171"/>
      <c r="W695" s="193">
        <f>V695-U695</f>
        <v>0</v>
      </c>
      <c r="Z695" s="308"/>
    </row>
    <row r="696" spans="1:28" s="186" customFormat="1" ht="18" hidden="1" customHeight="1">
      <c r="A696" s="614"/>
      <c r="B696" s="581"/>
      <c r="C696" s="581"/>
      <c r="D696" s="178" t="str">
        <f>серпень!D619</f>
        <v>касові нат.п-ки 2025</v>
      </c>
      <c r="E696" s="179"/>
      <c r="F696" s="179"/>
      <c r="G696" s="179"/>
      <c r="H696" s="179"/>
      <c r="I696" s="179"/>
      <c r="J696" s="179"/>
      <c r="K696" s="179"/>
      <c r="L696" s="215">
        <f>SUM(F696:K696)</f>
        <v>0</v>
      </c>
      <c r="M696" s="215">
        <f>L696/6</f>
        <v>0</v>
      </c>
      <c r="N696" s="179"/>
      <c r="O696" s="179"/>
      <c r="P696" s="179"/>
      <c r="Q696" s="179"/>
      <c r="R696" s="179"/>
      <c r="S696" s="179"/>
      <c r="T696" s="215">
        <f>SUM(N696:S696)</f>
        <v>0</v>
      </c>
      <c r="U696" s="215">
        <f>T696+L696</f>
        <v>0</v>
      </c>
      <c r="V696" s="179">
        <f>V691</f>
        <v>0</v>
      </c>
      <c r="W696" s="184">
        <f>V696-U696</f>
        <v>0</v>
      </c>
      <c r="X696" s="185">
        <f>U691-U696</f>
        <v>0</v>
      </c>
      <c r="Z696" s="297"/>
    </row>
    <row r="697" spans="1:28" s="190" customFormat="1" ht="18" hidden="1" customHeight="1">
      <c r="A697" s="614"/>
      <c r="B697" s="581"/>
      <c r="C697" s="581"/>
      <c r="D697" s="187" t="str">
        <f>серпень!D620</f>
        <v>тариф, грн.</v>
      </c>
      <c r="E697" s="188" t="e">
        <f>E698/E696*1000</f>
        <v>#DIV/0!</v>
      </c>
      <c r="F697" s="188"/>
      <c r="G697" s="188"/>
      <c r="H697" s="188"/>
      <c r="I697" s="188"/>
      <c r="J697" s="188"/>
      <c r="K697" s="188"/>
      <c r="L697" s="188" t="e">
        <f>L698/L696*1000</f>
        <v>#DIV/0!</v>
      </c>
      <c r="M697" s="188" t="e">
        <f>M698/M696*1000</f>
        <v>#DIV/0!</v>
      </c>
      <c r="N697" s="188"/>
      <c r="O697" s="188"/>
      <c r="P697" s="188"/>
      <c r="Q697" s="188"/>
      <c r="R697" s="188"/>
      <c r="S697" s="188"/>
      <c r="T697" s="188" t="e">
        <f>T698/T696*1000</f>
        <v>#DIV/0!</v>
      </c>
      <c r="U697" s="188" t="e">
        <f>U698/U696*1000</f>
        <v>#DIV/0!</v>
      </c>
      <c r="V697" s="218" t="e">
        <f>V698/V696*1000</f>
        <v>#DIV/0!</v>
      </c>
      <c r="W697" s="189" t="e">
        <f>W698/W696*1000</f>
        <v>#DIV/0!</v>
      </c>
      <c r="X697" s="225"/>
      <c r="Z697" s="298"/>
    </row>
    <row r="698" spans="1:28" s="239" customFormat="1" ht="18" hidden="1" customHeight="1">
      <c r="A698" s="614"/>
      <c r="B698" s="581"/>
      <c r="C698" s="581"/>
      <c r="D698" s="198" t="str">
        <f>серпень!D621</f>
        <v>касові видатки, тис.грн.</v>
      </c>
      <c r="E698" s="220"/>
      <c r="F698" s="199">
        <f t="shared" ref="F698:K698" si="795">F696*F697/1000</f>
        <v>0</v>
      </c>
      <c r="G698" s="199">
        <f t="shared" si="795"/>
        <v>0</v>
      </c>
      <c r="H698" s="199">
        <f t="shared" si="795"/>
        <v>0</v>
      </c>
      <c r="I698" s="199">
        <f t="shared" si="795"/>
        <v>0</v>
      </c>
      <c r="J698" s="199">
        <f t="shared" si="795"/>
        <v>0</v>
      </c>
      <c r="K698" s="199">
        <f t="shared" si="795"/>
        <v>0</v>
      </c>
      <c r="L698" s="199">
        <f>SUM(F698:K698)</f>
        <v>0</v>
      </c>
      <c r="M698" s="199">
        <f>L698/6</f>
        <v>0</v>
      </c>
      <c r="N698" s="199">
        <f t="shared" ref="N698:S698" si="796">N696*N697/1000</f>
        <v>0</v>
      </c>
      <c r="O698" s="199">
        <f t="shared" si="796"/>
        <v>0</v>
      </c>
      <c r="P698" s="199">
        <f t="shared" si="796"/>
        <v>0</v>
      </c>
      <c r="Q698" s="199">
        <f t="shared" si="796"/>
        <v>0</v>
      </c>
      <c r="R698" s="199">
        <f t="shared" si="796"/>
        <v>0</v>
      </c>
      <c r="S698" s="199">
        <f t="shared" si="796"/>
        <v>0</v>
      </c>
      <c r="T698" s="199">
        <f>SUM(N698:S698)</f>
        <v>0</v>
      </c>
      <c r="U698" s="199">
        <f>T698+L698</f>
        <v>0</v>
      </c>
      <c r="V698" s="199">
        <f>V693</f>
        <v>0</v>
      </c>
      <c r="W698" s="221">
        <f>V698-U698</f>
        <v>0</v>
      </c>
      <c r="X698" s="176">
        <f>U693-U698</f>
        <v>0</v>
      </c>
      <c r="Z698" s="300"/>
    </row>
    <row r="699" spans="1:28" s="239" customFormat="1" ht="18" hidden="1" customHeight="1">
      <c r="A699" s="614"/>
      <c r="B699" s="581"/>
      <c r="C699" s="581"/>
      <c r="D699" s="201" t="str">
        <f>серпень!D622</f>
        <v>дотація</v>
      </c>
      <c r="E699" s="220"/>
      <c r="F699" s="199"/>
      <c r="G699" s="199"/>
      <c r="H699" s="199"/>
      <c r="I699" s="199"/>
      <c r="J699" s="199"/>
      <c r="K699" s="199"/>
      <c r="L699" s="199">
        <f>SUM(F699:K699)</f>
        <v>0</v>
      </c>
      <c r="M699" s="199">
        <f>L699/6</f>
        <v>0</v>
      </c>
      <c r="N699" s="199"/>
      <c r="O699" s="199"/>
      <c r="P699" s="199"/>
      <c r="Q699" s="199"/>
      <c r="R699" s="199"/>
      <c r="S699" s="199"/>
      <c r="T699" s="199">
        <f>SUM(N699:S699)</f>
        <v>0</v>
      </c>
      <c r="U699" s="199">
        <f>T699+L699</f>
        <v>0</v>
      </c>
      <c r="V699" s="199">
        <f>V694</f>
        <v>0</v>
      </c>
      <c r="W699" s="221">
        <f>V699-U699</f>
        <v>0</v>
      </c>
      <c r="X699" s="176"/>
      <c r="Z699" s="300"/>
    </row>
    <row r="700" spans="1:28" s="239" customFormat="1" ht="18" hidden="1" customHeight="1">
      <c r="A700" s="614"/>
      <c r="B700" s="581"/>
      <c r="C700" s="581"/>
      <c r="D700" s="201" t="str">
        <f>серпень!D623</f>
        <v xml:space="preserve">місцевий </v>
      </c>
      <c r="E700" s="220"/>
      <c r="F700" s="199">
        <f t="shared" ref="F700:K700" si="797">F698-F699</f>
        <v>0</v>
      </c>
      <c r="G700" s="199">
        <f t="shared" si="797"/>
        <v>0</v>
      </c>
      <c r="H700" s="199">
        <f t="shared" si="797"/>
        <v>0</v>
      </c>
      <c r="I700" s="199">
        <f t="shared" si="797"/>
        <v>0</v>
      </c>
      <c r="J700" s="199">
        <f t="shared" si="797"/>
        <v>0</v>
      </c>
      <c r="K700" s="199">
        <f t="shared" si="797"/>
        <v>0</v>
      </c>
      <c r="L700" s="199">
        <f>SUM(F700:K700)</f>
        <v>0</v>
      </c>
      <c r="M700" s="199">
        <f>L700/6</f>
        <v>0</v>
      </c>
      <c r="N700" s="199">
        <f t="shared" ref="N700:S700" si="798">N698-N699</f>
        <v>0</v>
      </c>
      <c r="O700" s="199">
        <f t="shared" si="798"/>
        <v>0</v>
      </c>
      <c r="P700" s="199">
        <f t="shared" si="798"/>
        <v>0</v>
      </c>
      <c r="Q700" s="199">
        <f t="shared" si="798"/>
        <v>0</v>
      </c>
      <c r="R700" s="199">
        <f t="shared" si="798"/>
        <v>0</v>
      </c>
      <c r="S700" s="199">
        <f t="shared" si="798"/>
        <v>0</v>
      </c>
      <c r="T700" s="199">
        <f>SUM(N700:S700)</f>
        <v>0</v>
      </c>
      <c r="U700" s="199">
        <f>T700+L700</f>
        <v>0</v>
      </c>
      <c r="V700" s="199">
        <f>V695</f>
        <v>0</v>
      </c>
      <c r="W700" s="221">
        <f>V700-U700</f>
        <v>0</v>
      </c>
      <c r="X700" s="176">
        <f>U695-U700</f>
        <v>0</v>
      </c>
      <c r="Z700" s="300"/>
    </row>
    <row r="701" spans="1:28" s="205" customFormat="1" ht="18" hidden="1" customHeight="1">
      <c r="A701" s="614"/>
      <c r="B701" s="581"/>
      <c r="C701" s="581"/>
      <c r="D701" s="202" t="str">
        <f>серпень!D624</f>
        <v>план</v>
      </c>
      <c r="E701" s="203"/>
      <c r="F701" s="203">
        <f t="shared" ref="F701:K701" si="799">F695</f>
        <v>0</v>
      </c>
      <c r="G701" s="203">
        <f t="shared" si="799"/>
        <v>0</v>
      </c>
      <c r="H701" s="203">
        <f t="shared" si="799"/>
        <v>0</v>
      </c>
      <c r="I701" s="203">
        <f t="shared" si="799"/>
        <v>0</v>
      </c>
      <c r="J701" s="203">
        <f t="shared" si="799"/>
        <v>0</v>
      </c>
      <c r="K701" s="203">
        <f t="shared" si="799"/>
        <v>0</v>
      </c>
      <c r="L701" s="203">
        <f>SUM(F701:K701)</f>
        <v>0</v>
      </c>
      <c r="M701" s="203">
        <f>L701/6</f>
        <v>0</v>
      </c>
      <c r="N701" s="203">
        <f t="shared" ref="N701:S701" si="800">N695+N694</f>
        <v>0</v>
      </c>
      <c r="O701" s="203">
        <f t="shared" si="800"/>
        <v>0</v>
      </c>
      <c r="P701" s="203">
        <f t="shared" si="800"/>
        <v>0</v>
      </c>
      <c r="Q701" s="203">
        <f t="shared" si="800"/>
        <v>0</v>
      </c>
      <c r="R701" s="203">
        <f t="shared" si="800"/>
        <v>0</v>
      </c>
      <c r="S701" s="203">
        <f t="shared" si="800"/>
        <v>0</v>
      </c>
      <c r="T701" s="203">
        <f>SUM(N701:S701)</f>
        <v>0</v>
      </c>
      <c r="U701" s="203">
        <f>T701+L701</f>
        <v>0</v>
      </c>
      <c r="V701" s="203">
        <f>V698</f>
        <v>0</v>
      </c>
      <c r="W701" s="203">
        <f>V701-U701</f>
        <v>0</v>
      </c>
      <c r="Z701" s="301"/>
    </row>
    <row r="702" spans="1:28" s="205" customFormat="1" ht="18" hidden="1" customHeight="1">
      <c r="A702" s="614"/>
      <c r="B702" s="581"/>
      <c r="C702" s="581"/>
      <c r="D702" s="202" t="str">
        <f>серпень!D625</f>
        <v xml:space="preserve">відхилення </v>
      </c>
      <c r="E702" s="203"/>
      <c r="F702" s="203">
        <f t="shared" ref="F702:K702" si="801">F698-F701</f>
        <v>0</v>
      </c>
      <c r="G702" s="203">
        <f t="shared" si="801"/>
        <v>0</v>
      </c>
      <c r="H702" s="203">
        <f t="shared" si="801"/>
        <v>0</v>
      </c>
      <c r="I702" s="203">
        <f t="shared" si="801"/>
        <v>0</v>
      </c>
      <c r="J702" s="203">
        <f t="shared" si="801"/>
        <v>0</v>
      </c>
      <c r="K702" s="203">
        <f t="shared" si="801"/>
        <v>0</v>
      </c>
      <c r="L702" s="203"/>
      <c r="M702" s="203"/>
      <c r="N702" s="203">
        <f t="shared" ref="N702:S702" si="802">N698-N701</f>
        <v>0</v>
      </c>
      <c r="O702" s="203">
        <f t="shared" si="802"/>
        <v>0</v>
      </c>
      <c r="P702" s="203">
        <f t="shared" si="802"/>
        <v>0</v>
      </c>
      <c r="Q702" s="203">
        <f t="shared" si="802"/>
        <v>0</v>
      </c>
      <c r="R702" s="203">
        <f t="shared" si="802"/>
        <v>0</v>
      </c>
      <c r="S702" s="203">
        <f t="shared" si="802"/>
        <v>0</v>
      </c>
      <c r="T702" s="203"/>
      <c r="U702" s="203"/>
      <c r="V702" s="203"/>
      <c r="W702" s="203"/>
      <c r="Z702" s="301"/>
    </row>
    <row r="703" spans="1:28" s="205" customFormat="1" ht="18" hidden="1" customHeight="1">
      <c r="A703" s="614"/>
      <c r="B703" s="581"/>
      <c r="C703" s="581"/>
      <c r="D703" s="202" t="str">
        <f>серпень!D626</f>
        <v>відхилення з наростаючим</v>
      </c>
      <c r="E703" s="203"/>
      <c r="F703" s="203">
        <f>F702</f>
        <v>0</v>
      </c>
      <c r="G703" s="203">
        <f>G702+F703</f>
        <v>0</v>
      </c>
      <c r="H703" s="203">
        <f>H702+G703</f>
        <v>0</v>
      </c>
      <c r="I703" s="203">
        <f>I702+H703</f>
        <v>0</v>
      </c>
      <c r="J703" s="203">
        <f>J702+I703</f>
        <v>0</v>
      </c>
      <c r="K703" s="203">
        <f>K702+J703</f>
        <v>0</v>
      </c>
      <c r="L703" s="203"/>
      <c r="M703" s="203"/>
      <c r="N703" s="203">
        <f>N702+K703</f>
        <v>0</v>
      </c>
      <c r="O703" s="203">
        <f>O702+N703</f>
        <v>0</v>
      </c>
      <c r="P703" s="203">
        <f>P702+O703</f>
        <v>0</v>
      </c>
      <c r="Q703" s="203">
        <f>Q702+P703</f>
        <v>0</v>
      </c>
      <c r="R703" s="203">
        <f>R702+Q703</f>
        <v>0</v>
      </c>
      <c r="S703" s="203">
        <f>S702+R703</f>
        <v>0</v>
      </c>
      <c r="T703" s="203"/>
      <c r="U703" s="203"/>
      <c r="V703" s="203"/>
      <c r="W703" s="203"/>
      <c r="Z703" s="301"/>
    </row>
    <row r="704" spans="1:28" s="185" customFormat="1" ht="18" hidden="1" customHeight="1">
      <c r="A704" s="614"/>
      <c r="B704" s="585" t="s">
        <v>122</v>
      </c>
      <c r="C704" s="586"/>
      <c r="D704" s="178" t="str">
        <f>серпень!D627</f>
        <v>факт. нат.п-ки 2023</v>
      </c>
      <c r="E704" s="179"/>
      <c r="F704" s="264">
        <f>F719+F734</f>
        <v>0</v>
      </c>
      <c r="G704" s="264">
        <f t="shared" ref="G704:K704" si="803">G719+G734</f>
        <v>0</v>
      </c>
      <c r="H704" s="264">
        <f t="shared" si="803"/>
        <v>0</v>
      </c>
      <c r="I704" s="264">
        <f t="shared" si="803"/>
        <v>0</v>
      </c>
      <c r="J704" s="264">
        <f t="shared" si="803"/>
        <v>0</v>
      </c>
      <c r="K704" s="264">
        <f t="shared" si="803"/>
        <v>0</v>
      </c>
      <c r="L704" s="234">
        <f>SUM(F704:K704)</f>
        <v>0</v>
      </c>
      <c r="M704" s="234">
        <f>L704/6</f>
        <v>0</v>
      </c>
      <c r="N704" s="264">
        <f>N719+N734</f>
        <v>0</v>
      </c>
      <c r="O704" s="264">
        <f t="shared" ref="O704:S704" si="804">O719+O734</f>
        <v>0</v>
      </c>
      <c r="P704" s="264">
        <f t="shared" si="804"/>
        <v>0</v>
      </c>
      <c r="Q704" s="264">
        <f t="shared" si="804"/>
        <v>0</v>
      </c>
      <c r="R704" s="264">
        <f t="shared" si="804"/>
        <v>0</v>
      </c>
      <c r="S704" s="264">
        <f t="shared" si="804"/>
        <v>0</v>
      </c>
      <c r="T704" s="234">
        <f>SUM(N704:S704)</f>
        <v>0</v>
      </c>
      <c r="U704" s="491">
        <f>T704+L704</f>
        <v>0</v>
      </c>
      <c r="V704" s="492">
        <f t="shared" ref="V704" si="805">V719+V734</f>
        <v>0</v>
      </c>
      <c r="W704" s="184">
        <f>V704-U704</f>
        <v>0</v>
      </c>
      <c r="Z704" s="297"/>
    </row>
    <row r="705" spans="1:26" s="185" customFormat="1" ht="18" hidden="1" customHeight="1">
      <c r="A705" s="614"/>
      <c r="B705" s="587"/>
      <c r="C705" s="588"/>
      <c r="D705" s="178" t="str">
        <f>серпень!D628</f>
        <v>факт. нат.п-ки 2024</v>
      </c>
      <c r="E705" s="179"/>
      <c r="F705" s="264">
        <f t="shared" ref="F705:K706" si="806">F720+F735</f>
        <v>0</v>
      </c>
      <c r="G705" s="264">
        <f t="shared" si="806"/>
        <v>0</v>
      </c>
      <c r="H705" s="264">
        <f t="shared" si="806"/>
        <v>0</v>
      </c>
      <c r="I705" s="264">
        <f t="shared" si="806"/>
        <v>0</v>
      </c>
      <c r="J705" s="264">
        <f t="shared" si="806"/>
        <v>0</v>
      </c>
      <c r="K705" s="264">
        <f t="shared" si="806"/>
        <v>0</v>
      </c>
      <c r="L705" s="234">
        <f>SUM(F705:K705)</f>
        <v>0</v>
      </c>
      <c r="M705" s="234">
        <f>L705/6</f>
        <v>0</v>
      </c>
      <c r="N705" s="260">
        <f t="shared" ref="N705:S705" si="807">N720+N735</f>
        <v>0</v>
      </c>
      <c r="O705" s="260">
        <f t="shared" si="807"/>
        <v>0</v>
      </c>
      <c r="P705" s="260">
        <f t="shared" si="807"/>
        <v>0</v>
      </c>
      <c r="Q705" s="260">
        <f t="shared" si="807"/>
        <v>0</v>
      </c>
      <c r="R705" s="260">
        <f t="shared" si="807"/>
        <v>0</v>
      </c>
      <c r="S705" s="260">
        <f t="shared" si="807"/>
        <v>0</v>
      </c>
      <c r="T705" s="234">
        <f>SUM(N705:S705)</f>
        <v>0</v>
      </c>
      <c r="U705" s="491">
        <f>T705+L705</f>
        <v>0</v>
      </c>
      <c r="V705" s="492">
        <f t="shared" ref="V705" si="808">V720+V735</f>
        <v>0</v>
      </c>
      <c r="W705" s="184">
        <f>V705-U705</f>
        <v>0</v>
      </c>
      <c r="Z705" s="297"/>
    </row>
    <row r="706" spans="1:26" s="185" customFormat="1" ht="18" hidden="1" customHeight="1">
      <c r="A706" s="614"/>
      <c r="B706" s="587"/>
      <c r="C706" s="588"/>
      <c r="D706" s="178" t="str">
        <f>серпень!D629</f>
        <v>факт. нат.п-ки 2025</v>
      </c>
      <c r="E706" s="179"/>
      <c r="F706" s="264">
        <f t="shared" si="806"/>
        <v>0</v>
      </c>
      <c r="G706" s="264">
        <f t="shared" si="806"/>
        <v>0</v>
      </c>
      <c r="H706" s="264">
        <f t="shared" si="806"/>
        <v>0</v>
      </c>
      <c r="I706" s="264">
        <f t="shared" si="806"/>
        <v>0</v>
      </c>
      <c r="J706" s="264">
        <f t="shared" si="806"/>
        <v>0</v>
      </c>
      <c r="K706" s="264">
        <f t="shared" si="806"/>
        <v>0</v>
      </c>
      <c r="L706" s="234">
        <f>SUM(F706:K706)</f>
        <v>0</v>
      </c>
      <c r="M706" s="234">
        <f>L706/6</f>
        <v>0</v>
      </c>
      <c r="N706" s="264">
        <f t="shared" ref="N706:S706" si="809">N721+N736</f>
        <v>0</v>
      </c>
      <c r="O706" s="264">
        <f t="shared" si="809"/>
        <v>0</v>
      </c>
      <c r="P706" s="264">
        <f t="shared" si="809"/>
        <v>0</v>
      </c>
      <c r="Q706" s="264">
        <f t="shared" si="809"/>
        <v>0</v>
      </c>
      <c r="R706" s="264">
        <f t="shared" si="809"/>
        <v>0</v>
      </c>
      <c r="S706" s="260">
        <f t="shared" si="809"/>
        <v>0</v>
      </c>
      <c r="T706" s="234">
        <f>SUM(N706:S706)</f>
        <v>0</v>
      </c>
      <c r="U706" s="491">
        <f>T706+L706</f>
        <v>0</v>
      </c>
      <c r="V706" s="260">
        <f t="shared" ref="V706" si="810">V721+V736</f>
        <v>0</v>
      </c>
      <c r="W706" s="184">
        <f>V706-U706</f>
        <v>0</v>
      </c>
      <c r="Z706" s="297"/>
    </row>
    <row r="707" spans="1:26" s="185" customFormat="1" ht="18" hidden="1" customHeight="1">
      <c r="A707" s="614"/>
      <c r="B707" s="587"/>
      <c r="C707" s="588"/>
      <c r="D707" s="187" t="str">
        <f>серпень!D630</f>
        <v>тариф, грн.</v>
      </c>
      <c r="E707" s="188"/>
      <c r="F707" s="188" t="e">
        <f>F708/F706*1000</f>
        <v>#DIV/0!</v>
      </c>
      <c r="G707" s="188" t="e">
        <f t="shared" ref="G707:K707" si="811">G708/G706*1000</f>
        <v>#DIV/0!</v>
      </c>
      <c r="H707" s="188" t="e">
        <f t="shared" si="811"/>
        <v>#DIV/0!</v>
      </c>
      <c r="I707" s="188" t="e">
        <f t="shared" si="811"/>
        <v>#DIV/0!</v>
      </c>
      <c r="J707" s="188" t="e">
        <f t="shared" si="811"/>
        <v>#DIV/0!</v>
      </c>
      <c r="K707" s="188" t="e">
        <f t="shared" si="811"/>
        <v>#DIV/0!</v>
      </c>
      <c r="L707" s="188" t="e">
        <f>L708/L706*1000</f>
        <v>#DIV/0!</v>
      </c>
      <c r="M707" s="188" t="e">
        <f>M708/M706*1000</f>
        <v>#DIV/0!</v>
      </c>
      <c r="N707" s="192">
        <f>N722+N737</f>
        <v>13800</v>
      </c>
      <c r="O707" s="192">
        <f t="shared" ref="O707:S707" si="812">O722+O737</f>
        <v>13800</v>
      </c>
      <c r="P707" s="192">
        <f t="shared" si="812"/>
        <v>13800</v>
      </c>
      <c r="Q707" s="192">
        <f t="shared" si="812"/>
        <v>13800</v>
      </c>
      <c r="R707" s="192">
        <f t="shared" si="812"/>
        <v>13800</v>
      </c>
      <c r="S707" s="192">
        <f t="shared" si="812"/>
        <v>13800</v>
      </c>
      <c r="T707" s="188" t="e">
        <f>T708/T706*1000</f>
        <v>#DIV/0!</v>
      </c>
      <c r="U707" s="188" t="e">
        <f>U708/U706*1000</f>
        <v>#DIV/0!</v>
      </c>
      <c r="V707" s="218" t="e">
        <f>V708/V706*1000</f>
        <v>#DIV/0!</v>
      </c>
      <c r="W707" s="189" t="e">
        <f>W708/W706*1000</f>
        <v>#DIV/0!</v>
      </c>
      <c r="Z707" s="297"/>
    </row>
    <row r="708" spans="1:26" s="185" customFormat="1" ht="18" hidden="1" customHeight="1">
      <c r="A708" s="614"/>
      <c r="B708" s="587"/>
      <c r="C708" s="588"/>
      <c r="D708" s="191" t="str">
        <f>серпень!D631</f>
        <v>сума, тис.грн.</v>
      </c>
      <c r="E708" s="192"/>
      <c r="F708" s="192">
        <f>F723+F738</f>
        <v>0</v>
      </c>
      <c r="G708" s="192">
        <f t="shared" ref="G708:K708" si="813">G723+G738</f>
        <v>0</v>
      </c>
      <c r="H708" s="192">
        <f t="shared" si="813"/>
        <v>0</v>
      </c>
      <c r="I708" s="192">
        <f t="shared" si="813"/>
        <v>0</v>
      </c>
      <c r="J708" s="192">
        <f t="shared" si="813"/>
        <v>0</v>
      </c>
      <c r="K708" s="192">
        <f t="shared" si="813"/>
        <v>0</v>
      </c>
      <c r="L708" s="194">
        <f>SUM(F708:K708)</f>
        <v>0</v>
      </c>
      <c r="M708" s="194">
        <f>L708/6</f>
        <v>0</v>
      </c>
      <c r="N708" s="192">
        <f>N723+N738</f>
        <v>0</v>
      </c>
      <c r="O708" s="192">
        <f t="shared" ref="O708:S708" si="814">O723+O738</f>
        <v>0</v>
      </c>
      <c r="P708" s="192">
        <f t="shared" si="814"/>
        <v>0</v>
      </c>
      <c r="Q708" s="192">
        <f t="shared" si="814"/>
        <v>0</v>
      </c>
      <c r="R708" s="192">
        <f t="shared" si="814"/>
        <v>0</v>
      </c>
      <c r="S708" s="192">
        <f t="shared" si="814"/>
        <v>0</v>
      </c>
      <c r="T708" s="194">
        <f>SUM(N708:S708)</f>
        <v>0</v>
      </c>
      <c r="U708" s="194">
        <f>T708+L708</f>
        <v>0</v>
      </c>
      <c r="V708" s="171">
        <f t="shared" ref="V708" si="815">V723+V738</f>
        <v>0</v>
      </c>
      <c r="W708" s="193">
        <f>V708-U708</f>
        <v>0</v>
      </c>
      <c r="Z708" s="297"/>
    </row>
    <row r="709" spans="1:26" s="185" customFormat="1" ht="18" hidden="1" customHeight="1">
      <c r="A709" s="614"/>
      <c r="B709" s="587"/>
      <c r="C709" s="588"/>
      <c r="D709" s="174" t="str">
        <f>серпень!D632</f>
        <v>дотація</v>
      </c>
      <c r="E709" s="210"/>
      <c r="F709" s="192">
        <f t="shared" ref="F709:K710" si="816">F724+F739</f>
        <v>0</v>
      </c>
      <c r="G709" s="192">
        <f t="shared" si="816"/>
        <v>0</v>
      </c>
      <c r="H709" s="192">
        <f t="shared" si="816"/>
        <v>0</v>
      </c>
      <c r="I709" s="192">
        <f t="shared" si="816"/>
        <v>0</v>
      </c>
      <c r="J709" s="192">
        <f t="shared" si="816"/>
        <v>0</v>
      </c>
      <c r="K709" s="192">
        <f t="shared" si="816"/>
        <v>0</v>
      </c>
      <c r="L709" s="194">
        <f>SUM(F709:K709)</f>
        <v>0</v>
      </c>
      <c r="M709" s="194">
        <f>L709/6</f>
        <v>0</v>
      </c>
      <c r="N709" s="192">
        <f t="shared" ref="N709:S709" si="817">N724+N739</f>
        <v>0</v>
      </c>
      <c r="O709" s="192">
        <f t="shared" si="817"/>
        <v>0</v>
      </c>
      <c r="P709" s="192">
        <f t="shared" si="817"/>
        <v>0</v>
      </c>
      <c r="Q709" s="192">
        <f t="shared" si="817"/>
        <v>0</v>
      </c>
      <c r="R709" s="192">
        <f t="shared" si="817"/>
        <v>0</v>
      </c>
      <c r="S709" s="192">
        <f t="shared" si="817"/>
        <v>0</v>
      </c>
      <c r="T709" s="194">
        <f>SUM(N709:S709)</f>
        <v>0</v>
      </c>
      <c r="U709" s="194">
        <f>T709+L709</f>
        <v>0</v>
      </c>
      <c r="V709" s="171">
        <f t="shared" ref="V709" si="818">V724+V739</f>
        <v>0</v>
      </c>
      <c r="W709" s="193">
        <f>V709-U709</f>
        <v>0</v>
      </c>
      <c r="Z709" s="297"/>
    </row>
    <row r="710" spans="1:26" s="185" customFormat="1" ht="18" hidden="1" customHeight="1">
      <c r="A710" s="614"/>
      <c r="B710" s="587"/>
      <c r="C710" s="588"/>
      <c r="D710" s="174" t="str">
        <f>серпень!D633</f>
        <v>місцевий (план), тис.грн</v>
      </c>
      <c r="E710" s="210"/>
      <c r="F710" s="192">
        <f t="shared" si="816"/>
        <v>0</v>
      </c>
      <c r="G710" s="192">
        <f t="shared" si="816"/>
        <v>0</v>
      </c>
      <c r="H710" s="192">
        <f t="shared" si="816"/>
        <v>0</v>
      </c>
      <c r="I710" s="192">
        <f t="shared" si="816"/>
        <v>0</v>
      </c>
      <c r="J710" s="192">
        <f t="shared" si="816"/>
        <v>0</v>
      </c>
      <c r="K710" s="192">
        <f t="shared" si="816"/>
        <v>0</v>
      </c>
      <c r="L710" s="194">
        <f>SUM(F710:K710)</f>
        <v>0</v>
      </c>
      <c r="M710" s="194">
        <f>L710/6</f>
        <v>0</v>
      </c>
      <c r="N710" s="192">
        <f t="shared" ref="N710:S711" si="819">N725+N740</f>
        <v>0</v>
      </c>
      <c r="O710" s="192">
        <f t="shared" si="819"/>
        <v>0</v>
      </c>
      <c r="P710" s="192">
        <f t="shared" si="819"/>
        <v>0</v>
      </c>
      <c r="Q710" s="192">
        <f t="shared" si="819"/>
        <v>0</v>
      </c>
      <c r="R710" s="192">
        <f t="shared" si="819"/>
        <v>0</v>
      </c>
      <c r="S710" s="192">
        <f t="shared" si="819"/>
        <v>0</v>
      </c>
      <c r="T710" s="194">
        <f>SUM(N710:S710)</f>
        <v>0</v>
      </c>
      <c r="U710" s="194">
        <f>T710+L710</f>
        <v>0</v>
      </c>
      <c r="V710" s="171">
        <f t="shared" ref="V710:V711" si="820">V725+V740</f>
        <v>0</v>
      </c>
      <c r="W710" s="193">
        <f>V710-U710</f>
        <v>0</v>
      </c>
      <c r="Z710" s="297"/>
    </row>
    <row r="711" spans="1:26" s="185" customFormat="1" ht="18" hidden="1" customHeight="1">
      <c r="A711" s="614"/>
      <c r="B711" s="587"/>
      <c r="C711" s="588"/>
      <c r="D711" s="178" t="str">
        <f>серпень!D634</f>
        <v>касові нат.п-ки 2025</v>
      </c>
      <c r="E711" s="179"/>
      <c r="F711" s="260">
        <f>F726+F741</f>
        <v>0</v>
      </c>
      <c r="G711" s="260">
        <f t="shared" ref="G711:K711" si="821">G726+G741</f>
        <v>0</v>
      </c>
      <c r="H711" s="260">
        <f t="shared" si="821"/>
        <v>0</v>
      </c>
      <c r="I711" s="260">
        <f t="shared" si="821"/>
        <v>0</v>
      </c>
      <c r="J711" s="260">
        <f t="shared" si="821"/>
        <v>0</v>
      </c>
      <c r="K711" s="260">
        <f t="shared" si="821"/>
        <v>0</v>
      </c>
      <c r="L711" s="234">
        <f>SUM(F711:K711)</f>
        <v>0</v>
      </c>
      <c r="M711" s="234">
        <f>L711/6</f>
        <v>0</v>
      </c>
      <c r="N711" s="260">
        <f>N726+N741</f>
        <v>0</v>
      </c>
      <c r="O711" s="260">
        <f t="shared" si="819"/>
        <v>0</v>
      </c>
      <c r="P711" s="260">
        <f t="shared" si="819"/>
        <v>0</v>
      </c>
      <c r="Q711" s="260">
        <f t="shared" si="819"/>
        <v>0</v>
      </c>
      <c r="R711" s="260">
        <f t="shared" si="819"/>
        <v>0</v>
      </c>
      <c r="S711" s="260">
        <f t="shared" si="819"/>
        <v>0</v>
      </c>
      <c r="T711" s="234">
        <f>SUM(N711:S711)</f>
        <v>0</v>
      </c>
      <c r="U711" s="234">
        <f>T711+L711</f>
        <v>0</v>
      </c>
      <c r="V711" s="260">
        <f t="shared" si="820"/>
        <v>0</v>
      </c>
      <c r="W711" s="184">
        <f>V711-U711</f>
        <v>0</v>
      </c>
      <c r="Z711" s="297"/>
    </row>
    <row r="712" spans="1:26" s="185" customFormat="1" ht="18" hidden="1" customHeight="1">
      <c r="A712" s="614"/>
      <c r="B712" s="587"/>
      <c r="C712" s="588"/>
      <c r="D712" s="187" t="str">
        <f>серпень!D635</f>
        <v>тариф, грн.</v>
      </c>
      <c r="E712" s="188" t="e">
        <f>E713/E711*1000</f>
        <v>#DIV/0!</v>
      </c>
      <c r="F712" s="188" t="e">
        <f>F713/F711*1000</f>
        <v>#DIV/0!</v>
      </c>
      <c r="G712" s="188">
        <v>6900</v>
      </c>
      <c r="H712" s="188">
        <v>6900</v>
      </c>
      <c r="I712" s="188">
        <v>6900</v>
      </c>
      <c r="J712" s="188">
        <v>6900</v>
      </c>
      <c r="K712" s="188">
        <v>6900</v>
      </c>
      <c r="L712" s="188" t="e">
        <f>L713/L711*1000</f>
        <v>#DIV/0!</v>
      </c>
      <c r="M712" s="188" t="e">
        <f>M713/M711*1000</f>
        <v>#DIV/0!</v>
      </c>
      <c r="N712" s="188">
        <v>6900</v>
      </c>
      <c r="O712" s="188">
        <v>6900</v>
      </c>
      <c r="P712" s="188">
        <v>6900</v>
      </c>
      <c r="Q712" s="188">
        <v>6900</v>
      </c>
      <c r="R712" s="188">
        <v>6900</v>
      </c>
      <c r="S712" s="188">
        <v>6900</v>
      </c>
      <c r="T712" s="188" t="e">
        <f>T713/T711*1000</f>
        <v>#DIV/0!</v>
      </c>
      <c r="U712" s="188" t="e">
        <f>U713/U711*1000</f>
        <v>#DIV/0!</v>
      </c>
      <c r="V712" s="218" t="e">
        <f>V713/V711*1000</f>
        <v>#DIV/0!</v>
      </c>
      <c r="W712" s="189" t="e">
        <f>W713/W711*1000</f>
        <v>#DIV/0!</v>
      </c>
      <c r="Z712" s="297"/>
    </row>
    <row r="713" spans="1:26" s="185" customFormat="1" ht="18" hidden="1" customHeight="1">
      <c r="A713" s="614"/>
      <c r="B713" s="587"/>
      <c r="C713" s="588"/>
      <c r="D713" s="198" t="str">
        <f>серпень!D636</f>
        <v>касові видатки, тис.грн.</v>
      </c>
      <c r="E713" s="220"/>
      <c r="F713" s="199">
        <f>F728+F743</f>
        <v>0</v>
      </c>
      <c r="G713" s="199">
        <f t="shared" ref="G713:K713" si="822">G728+G743</f>
        <v>0</v>
      </c>
      <c r="H713" s="199">
        <f t="shared" si="822"/>
        <v>0</v>
      </c>
      <c r="I713" s="199">
        <f t="shared" si="822"/>
        <v>0</v>
      </c>
      <c r="J713" s="199">
        <f t="shared" si="822"/>
        <v>0</v>
      </c>
      <c r="K713" s="199">
        <f t="shared" si="822"/>
        <v>0</v>
      </c>
      <c r="L713" s="199">
        <f>SUM(F713:K713)</f>
        <v>0</v>
      </c>
      <c r="M713" s="199">
        <f>L713/6</f>
        <v>0</v>
      </c>
      <c r="N713" s="199">
        <f>N728+N743</f>
        <v>0</v>
      </c>
      <c r="O713" s="199">
        <f t="shared" ref="O713:S713" si="823">O728+O743</f>
        <v>0</v>
      </c>
      <c r="P713" s="199">
        <f t="shared" si="823"/>
        <v>0</v>
      </c>
      <c r="Q713" s="199">
        <f t="shared" si="823"/>
        <v>0</v>
      </c>
      <c r="R713" s="199">
        <f t="shared" si="823"/>
        <v>0</v>
      </c>
      <c r="S713" s="199">
        <f t="shared" si="823"/>
        <v>0</v>
      </c>
      <c r="T713" s="199">
        <f>SUM(N713:S713)</f>
        <v>0</v>
      </c>
      <c r="U713" s="199">
        <f>T713+L713</f>
        <v>0</v>
      </c>
      <c r="V713" s="199">
        <f t="shared" ref="V713" si="824">V728+V743</f>
        <v>0</v>
      </c>
      <c r="W713" s="221">
        <f>V713-U713</f>
        <v>0</v>
      </c>
      <c r="Z713" s="297"/>
    </row>
    <row r="714" spans="1:26" s="185" customFormat="1" ht="18" hidden="1" customHeight="1">
      <c r="A714" s="614"/>
      <c r="B714" s="587"/>
      <c r="C714" s="588"/>
      <c r="D714" s="201" t="str">
        <f>серпень!D637</f>
        <v>дотація</v>
      </c>
      <c r="E714" s="220"/>
      <c r="F714" s="199">
        <f t="shared" ref="F714:K715" si="825">F729+F744</f>
        <v>0</v>
      </c>
      <c r="G714" s="199">
        <f t="shared" si="825"/>
        <v>0</v>
      </c>
      <c r="H714" s="199">
        <f t="shared" si="825"/>
        <v>0</v>
      </c>
      <c r="I714" s="199">
        <f t="shared" si="825"/>
        <v>0</v>
      </c>
      <c r="J714" s="199">
        <f t="shared" si="825"/>
        <v>0</v>
      </c>
      <c r="K714" s="199">
        <f t="shared" si="825"/>
        <v>0</v>
      </c>
      <c r="L714" s="199">
        <f>SUM(F714:K714)</f>
        <v>0</v>
      </c>
      <c r="M714" s="199">
        <f>L714/6</f>
        <v>0</v>
      </c>
      <c r="N714" s="199">
        <f t="shared" ref="N714:S714" si="826">N729+N744</f>
        <v>0</v>
      </c>
      <c r="O714" s="199">
        <f t="shared" si="826"/>
        <v>0</v>
      </c>
      <c r="P714" s="199">
        <f t="shared" si="826"/>
        <v>0</v>
      </c>
      <c r="Q714" s="199">
        <f t="shared" si="826"/>
        <v>0</v>
      </c>
      <c r="R714" s="199">
        <f t="shared" si="826"/>
        <v>0</v>
      </c>
      <c r="S714" s="199">
        <f t="shared" si="826"/>
        <v>0</v>
      </c>
      <c r="T714" s="199">
        <f>SUM(N714:S714)</f>
        <v>0</v>
      </c>
      <c r="U714" s="199">
        <f>T714+L714</f>
        <v>0</v>
      </c>
      <c r="V714" s="199">
        <f t="shared" ref="V714" si="827">V729+V744</f>
        <v>0</v>
      </c>
      <c r="W714" s="221">
        <f>V714-U714</f>
        <v>0</v>
      </c>
      <c r="Z714" s="297"/>
    </row>
    <row r="715" spans="1:26" s="185" customFormat="1" ht="18" hidden="1" customHeight="1">
      <c r="A715" s="614"/>
      <c r="B715" s="587"/>
      <c r="C715" s="588"/>
      <c r="D715" s="201" t="str">
        <f>серпень!D638</f>
        <v xml:space="preserve">місцевий </v>
      </c>
      <c r="E715" s="220"/>
      <c r="F715" s="199">
        <f t="shared" si="825"/>
        <v>0</v>
      </c>
      <c r="G715" s="199">
        <f t="shared" si="825"/>
        <v>0</v>
      </c>
      <c r="H715" s="199">
        <f t="shared" si="825"/>
        <v>0</v>
      </c>
      <c r="I715" s="199">
        <f t="shared" si="825"/>
        <v>0</v>
      </c>
      <c r="J715" s="199">
        <f t="shared" si="825"/>
        <v>0</v>
      </c>
      <c r="K715" s="199">
        <f t="shared" si="825"/>
        <v>0</v>
      </c>
      <c r="L715" s="199">
        <f>SUM(F715:K715)</f>
        <v>0</v>
      </c>
      <c r="M715" s="199">
        <f>L715/6</f>
        <v>0</v>
      </c>
      <c r="N715" s="199">
        <f t="shared" ref="N715:S715" si="828">N730+N745</f>
        <v>0</v>
      </c>
      <c r="O715" s="199">
        <f t="shared" si="828"/>
        <v>0</v>
      </c>
      <c r="P715" s="199">
        <f t="shared" si="828"/>
        <v>0</v>
      </c>
      <c r="Q715" s="199">
        <f t="shared" si="828"/>
        <v>0</v>
      </c>
      <c r="R715" s="199">
        <f t="shared" si="828"/>
        <v>0</v>
      </c>
      <c r="S715" s="199">
        <f t="shared" si="828"/>
        <v>0</v>
      </c>
      <c r="T715" s="199">
        <f>SUM(N715:S715)</f>
        <v>0</v>
      </c>
      <c r="U715" s="199">
        <f>T715+L715</f>
        <v>0</v>
      </c>
      <c r="V715" s="199">
        <f t="shared" ref="V715" si="829">V730+V745</f>
        <v>0</v>
      </c>
      <c r="W715" s="221">
        <f>V715-U715</f>
        <v>0</v>
      </c>
      <c r="Z715" s="297"/>
    </row>
    <row r="716" spans="1:26" s="185" customFormat="1" ht="18" hidden="1" customHeight="1">
      <c r="A716" s="614"/>
      <c r="B716" s="587"/>
      <c r="C716" s="588"/>
      <c r="D716" s="202" t="str">
        <f>серпень!D639</f>
        <v>план</v>
      </c>
      <c r="E716" s="203"/>
      <c r="F716" s="203">
        <f t="shared" ref="F716:K716" si="830">F710</f>
        <v>0</v>
      </c>
      <c r="G716" s="203">
        <f t="shared" si="830"/>
        <v>0</v>
      </c>
      <c r="H716" s="203">
        <f t="shared" si="830"/>
        <v>0</v>
      </c>
      <c r="I716" s="203">
        <f t="shared" si="830"/>
        <v>0</v>
      </c>
      <c r="J716" s="203">
        <f t="shared" si="830"/>
        <v>0</v>
      </c>
      <c r="K716" s="203">
        <f t="shared" si="830"/>
        <v>0</v>
      </c>
      <c r="L716" s="203">
        <f>SUM(F716:K716)</f>
        <v>0</v>
      </c>
      <c r="M716" s="203">
        <f>L716/6</f>
        <v>0</v>
      </c>
      <c r="N716" s="203">
        <f t="shared" ref="N716:S716" si="831">N710+N709</f>
        <v>0</v>
      </c>
      <c r="O716" s="203">
        <f t="shared" si="831"/>
        <v>0</v>
      </c>
      <c r="P716" s="203">
        <f t="shared" si="831"/>
        <v>0</v>
      </c>
      <c r="Q716" s="203">
        <f t="shared" si="831"/>
        <v>0</v>
      </c>
      <c r="R716" s="203">
        <f t="shared" si="831"/>
        <v>0</v>
      </c>
      <c r="S716" s="203">
        <f t="shared" si="831"/>
        <v>0</v>
      </c>
      <c r="T716" s="203">
        <f>SUM(N716:S716)</f>
        <v>0</v>
      </c>
      <c r="U716" s="203">
        <f>T716+L716</f>
        <v>0</v>
      </c>
      <c r="V716" s="203">
        <f>V713</f>
        <v>0</v>
      </c>
      <c r="W716" s="203">
        <f>V716-U716</f>
        <v>0</v>
      </c>
      <c r="Z716" s="297"/>
    </row>
    <row r="717" spans="1:26" s="185" customFormat="1" ht="18" hidden="1" customHeight="1">
      <c r="A717" s="614"/>
      <c r="B717" s="587"/>
      <c r="C717" s="588"/>
      <c r="D717" s="202" t="str">
        <f>серпень!D640</f>
        <v xml:space="preserve">відхилення </v>
      </c>
      <c r="E717" s="203"/>
      <c r="F717" s="203">
        <f t="shared" ref="F717:K717" si="832">F713-F716</f>
        <v>0</v>
      </c>
      <c r="G717" s="203">
        <f t="shared" si="832"/>
        <v>0</v>
      </c>
      <c r="H717" s="203">
        <f t="shared" si="832"/>
        <v>0</v>
      </c>
      <c r="I717" s="203">
        <f t="shared" si="832"/>
        <v>0</v>
      </c>
      <c r="J717" s="203">
        <f t="shared" si="832"/>
        <v>0</v>
      </c>
      <c r="K717" s="203">
        <f t="shared" si="832"/>
        <v>0</v>
      </c>
      <c r="L717" s="203"/>
      <c r="M717" s="203"/>
      <c r="N717" s="203">
        <f t="shared" ref="N717:S717" si="833">N713-N716</f>
        <v>0</v>
      </c>
      <c r="O717" s="203">
        <f t="shared" si="833"/>
        <v>0</v>
      </c>
      <c r="P717" s="203">
        <f t="shared" si="833"/>
        <v>0</v>
      </c>
      <c r="Q717" s="203">
        <f t="shared" si="833"/>
        <v>0</v>
      </c>
      <c r="R717" s="203">
        <f t="shared" si="833"/>
        <v>0</v>
      </c>
      <c r="S717" s="203">
        <f t="shared" si="833"/>
        <v>0</v>
      </c>
      <c r="T717" s="203"/>
      <c r="U717" s="203"/>
      <c r="V717" s="203"/>
      <c r="W717" s="203"/>
      <c r="Z717" s="297"/>
    </row>
    <row r="718" spans="1:26" s="185" customFormat="1" ht="17.55" hidden="1" customHeight="1">
      <c r="A718" s="615"/>
      <c r="B718" s="589"/>
      <c r="C718" s="590"/>
      <c r="D718" s="202" t="str">
        <f>серпень!D641</f>
        <v>відхилення з наростаючим</v>
      </c>
      <c r="E718" s="203"/>
      <c r="F718" s="203">
        <f>F717</f>
        <v>0</v>
      </c>
      <c r="G718" s="203">
        <f>G717+F718</f>
        <v>0</v>
      </c>
      <c r="H718" s="203">
        <f>H717+G718</f>
        <v>0</v>
      </c>
      <c r="I718" s="203">
        <f>I717+H718</f>
        <v>0</v>
      </c>
      <c r="J718" s="203">
        <f>J717+I718</f>
        <v>0</v>
      </c>
      <c r="K718" s="203">
        <f>K717+J718</f>
        <v>0</v>
      </c>
      <c r="L718" s="203"/>
      <c r="M718" s="203"/>
      <c r="N718" s="203">
        <f>N717+K718</f>
        <v>0</v>
      </c>
      <c r="O718" s="203">
        <f>O717+N718</f>
        <v>0</v>
      </c>
      <c r="P718" s="203">
        <f>P717+O718</f>
        <v>0</v>
      </c>
      <c r="Q718" s="203">
        <f>Q717+P718</f>
        <v>0</v>
      </c>
      <c r="R718" s="203">
        <f>R717+Q718</f>
        <v>0</v>
      </c>
      <c r="S718" s="203">
        <f>S717+R718</f>
        <v>0</v>
      </c>
      <c r="T718" s="203"/>
      <c r="U718" s="203"/>
      <c r="V718" s="203"/>
      <c r="W718" s="203"/>
      <c r="Z718" s="297"/>
    </row>
    <row r="719" spans="1:26" s="185" customFormat="1" ht="18" hidden="1" customHeight="1">
      <c r="A719" s="650"/>
      <c r="B719" s="580" t="s">
        <v>125</v>
      </c>
      <c r="C719" s="575"/>
      <c r="D719" s="178" t="str">
        <f>серпень!D642</f>
        <v>факт. нат.п-ки 2023</v>
      </c>
      <c r="E719" s="179"/>
      <c r="F719" s="180"/>
      <c r="G719" s="180"/>
      <c r="H719" s="180"/>
      <c r="I719" s="180"/>
      <c r="J719" s="180"/>
      <c r="K719" s="180"/>
      <c r="L719" s="215">
        <f>SUM(F719:K719)</f>
        <v>0</v>
      </c>
      <c r="M719" s="215">
        <f>L719/6</f>
        <v>0</v>
      </c>
      <c r="N719" s="180"/>
      <c r="O719" s="180"/>
      <c r="P719" s="180"/>
      <c r="Q719" s="180"/>
      <c r="R719" s="180"/>
      <c r="S719" s="180"/>
      <c r="T719" s="215">
        <f>SUM(N719:S719)</f>
        <v>0</v>
      </c>
      <c r="U719" s="226">
        <f>T719+L719</f>
        <v>0</v>
      </c>
      <c r="V719" s="227"/>
      <c r="W719" s="184">
        <f>V719-U719</f>
        <v>0</v>
      </c>
      <c r="Z719" s="297"/>
    </row>
    <row r="720" spans="1:26" s="185" customFormat="1" ht="18" hidden="1" customHeight="1">
      <c r="A720" s="614"/>
      <c r="B720" s="576"/>
      <c r="C720" s="577"/>
      <c r="D720" s="178" t="str">
        <f>серпень!D643</f>
        <v>факт. нат.п-ки 2024</v>
      </c>
      <c r="E720" s="179"/>
      <c r="F720" s="180"/>
      <c r="G720" s="180"/>
      <c r="H720" s="180"/>
      <c r="I720" s="180"/>
      <c r="J720" s="180"/>
      <c r="K720" s="180"/>
      <c r="L720" s="215">
        <f>SUM(F720:K720)</f>
        <v>0</v>
      </c>
      <c r="M720" s="215">
        <f>L720/6</f>
        <v>0</v>
      </c>
      <c r="N720" s="179"/>
      <c r="O720" s="179"/>
      <c r="P720" s="179"/>
      <c r="Q720" s="179"/>
      <c r="R720" s="179"/>
      <c r="S720" s="179"/>
      <c r="T720" s="215">
        <f>SUM(N720:S720)</f>
        <v>0</v>
      </c>
      <c r="U720" s="226">
        <f>T720+L720</f>
        <v>0</v>
      </c>
      <c r="V720" s="227"/>
      <c r="W720" s="184">
        <f>V720-U720</f>
        <v>0</v>
      </c>
      <c r="Z720" s="297"/>
    </row>
    <row r="721" spans="1:26" s="185" customFormat="1" ht="18" hidden="1" customHeight="1">
      <c r="A721" s="614"/>
      <c r="B721" s="576"/>
      <c r="C721" s="577"/>
      <c r="D721" s="178" t="str">
        <f>серпень!D644</f>
        <v>факт. нат.п-ки 2025</v>
      </c>
      <c r="E721" s="179"/>
      <c r="F721" s="180"/>
      <c r="G721" s="180"/>
      <c r="H721" s="180"/>
      <c r="I721" s="180"/>
      <c r="J721" s="180"/>
      <c r="K721" s="180"/>
      <c r="L721" s="215">
        <f>SUM(F721:K721)</f>
        <v>0</v>
      </c>
      <c r="M721" s="215">
        <f>L721/6</f>
        <v>0</v>
      </c>
      <c r="N721" s="180"/>
      <c r="O721" s="180"/>
      <c r="P721" s="180"/>
      <c r="Q721" s="180"/>
      <c r="R721" s="180"/>
      <c r="S721" s="179"/>
      <c r="T721" s="215">
        <f>SUM(N721:S721)</f>
        <v>0</v>
      </c>
      <c r="U721" s="226">
        <f>T721+L721</f>
        <v>0</v>
      </c>
      <c r="V721" s="179"/>
      <c r="W721" s="184">
        <f>V721-U721</f>
        <v>0</v>
      </c>
      <c r="Z721" s="297"/>
    </row>
    <row r="722" spans="1:26" s="185" customFormat="1" ht="18" hidden="1" customHeight="1">
      <c r="A722" s="614"/>
      <c r="B722" s="576"/>
      <c r="C722" s="577"/>
      <c r="D722" s="187" t="str">
        <f>серпень!D645</f>
        <v>тариф, грн.</v>
      </c>
      <c r="E722" s="188"/>
      <c r="F722" s="188">
        <v>6900</v>
      </c>
      <c r="G722" s="188">
        <v>6900</v>
      </c>
      <c r="H722" s="188">
        <v>6900</v>
      </c>
      <c r="I722" s="188">
        <v>6900</v>
      </c>
      <c r="J722" s="188">
        <v>6900</v>
      </c>
      <c r="K722" s="188">
        <v>6900</v>
      </c>
      <c r="L722" s="188" t="e">
        <f>L723/L721*1000</f>
        <v>#DIV/0!</v>
      </c>
      <c r="M722" s="188" t="e">
        <f>M723/M721*1000</f>
        <v>#DIV/0!</v>
      </c>
      <c r="N722" s="188">
        <v>6900</v>
      </c>
      <c r="O722" s="188">
        <v>6900</v>
      </c>
      <c r="P722" s="188">
        <v>6900</v>
      </c>
      <c r="Q722" s="188">
        <v>6900</v>
      </c>
      <c r="R722" s="188">
        <v>6900</v>
      </c>
      <c r="S722" s="188">
        <v>6900</v>
      </c>
      <c r="T722" s="188" t="e">
        <f>T723/T721*1000</f>
        <v>#DIV/0!</v>
      </c>
      <c r="U722" s="188" t="e">
        <f>U723/U721*1000</f>
        <v>#DIV/0!</v>
      </c>
      <c r="V722" s="218" t="e">
        <f>V723/V721*1000</f>
        <v>#DIV/0!</v>
      </c>
      <c r="W722" s="189" t="e">
        <f>W723/W721*1000</f>
        <v>#DIV/0!</v>
      </c>
      <c r="Z722" s="297"/>
    </row>
    <row r="723" spans="1:26" s="185" customFormat="1" ht="18" hidden="1" customHeight="1">
      <c r="A723" s="614"/>
      <c r="B723" s="576"/>
      <c r="C723" s="577"/>
      <c r="D723" s="191" t="str">
        <f>серпень!D646</f>
        <v>сума, тис.грн.</v>
      </c>
      <c r="E723" s="192"/>
      <c r="F723" s="192">
        <f t="shared" ref="F723:K723" si="834">F721*F722/1000</f>
        <v>0</v>
      </c>
      <c r="G723" s="192">
        <f t="shared" si="834"/>
        <v>0</v>
      </c>
      <c r="H723" s="192">
        <f t="shared" si="834"/>
        <v>0</v>
      </c>
      <c r="I723" s="192">
        <f t="shared" si="834"/>
        <v>0</v>
      </c>
      <c r="J723" s="192">
        <f t="shared" si="834"/>
        <v>0</v>
      </c>
      <c r="K723" s="192">
        <f t="shared" si="834"/>
        <v>0</v>
      </c>
      <c r="L723" s="194">
        <f>SUM(F723:K723)</f>
        <v>0</v>
      </c>
      <c r="M723" s="194">
        <f>L723/6</f>
        <v>0</v>
      </c>
      <c r="N723" s="192">
        <f t="shared" ref="N723:S723" si="835">N721*N722/1000</f>
        <v>0</v>
      </c>
      <c r="O723" s="192">
        <f t="shared" si="835"/>
        <v>0</v>
      </c>
      <c r="P723" s="192">
        <f t="shared" si="835"/>
        <v>0</v>
      </c>
      <c r="Q723" s="192">
        <f t="shared" si="835"/>
        <v>0</v>
      </c>
      <c r="R723" s="192">
        <f t="shared" si="835"/>
        <v>0</v>
      </c>
      <c r="S723" s="192">
        <f t="shared" si="835"/>
        <v>0</v>
      </c>
      <c r="T723" s="194">
        <f>SUM(N723:S723)</f>
        <v>0</v>
      </c>
      <c r="U723" s="194">
        <f>T723+L723</f>
        <v>0</v>
      </c>
      <c r="V723" s="171">
        <f>V724+V725</f>
        <v>0</v>
      </c>
      <c r="W723" s="193">
        <f>V723-U723</f>
        <v>0</v>
      </c>
      <c r="Z723" s="297"/>
    </row>
    <row r="724" spans="1:26" s="185" customFormat="1" ht="18" hidden="1" customHeight="1">
      <c r="A724" s="614"/>
      <c r="B724" s="576"/>
      <c r="C724" s="577"/>
      <c r="D724" s="174" t="str">
        <f>серпень!D647</f>
        <v>дотація</v>
      </c>
      <c r="E724" s="210"/>
      <c r="F724" s="192"/>
      <c r="G724" s="192"/>
      <c r="H724" s="192"/>
      <c r="I724" s="192"/>
      <c r="J724" s="192"/>
      <c r="K724" s="192"/>
      <c r="L724" s="194">
        <f>SUM(F724:K724)</f>
        <v>0</v>
      </c>
      <c r="M724" s="194">
        <f>L724/6</f>
        <v>0</v>
      </c>
      <c r="N724" s="192"/>
      <c r="O724" s="192"/>
      <c r="P724" s="192"/>
      <c r="Q724" s="192"/>
      <c r="R724" s="192"/>
      <c r="S724" s="192"/>
      <c r="T724" s="194">
        <f>SUM(N724:S724)</f>
        <v>0</v>
      </c>
      <c r="U724" s="194">
        <f>T724+L724</f>
        <v>0</v>
      </c>
      <c r="V724" s="171">
        <v>0</v>
      </c>
      <c r="W724" s="193">
        <f>V724-U724</f>
        <v>0</v>
      </c>
      <c r="Z724" s="297"/>
    </row>
    <row r="725" spans="1:26" s="185" customFormat="1" ht="18" hidden="1" customHeight="1">
      <c r="A725" s="614"/>
      <c r="B725" s="576"/>
      <c r="C725" s="577"/>
      <c r="D725" s="174" t="str">
        <f>серпень!D648</f>
        <v>місцевий (план), тис.грн</v>
      </c>
      <c r="E725" s="210"/>
      <c r="F725" s="192"/>
      <c r="G725" s="192"/>
      <c r="H725" s="192"/>
      <c r="I725" s="192"/>
      <c r="J725" s="192"/>
      <c r="K725" s="192"/>
      <c r="L725" s="194">
        <f>SUM(F725:K725)</f>
        <v>0</v>
      </c>
      <c r="M725" s="194">
        <f>L725/6</f>
        <v>0</v>
      </c>
      <c r="N725" s="192"/>
      <c r="O725" s="192"/>
      <c r="P725" s="192"/>
      <c r="Q725" s="192"/>
      <c r="R725" s="192"/>
      <c r="S725" s="192"/>
      <c r="T725" s="194">
        <f>SUM(N725:S725)</f>
        <v>0</v>
      </c>
      <c r="U725" s="194">
        <f>T725+L725</f>
        <v>0</v>
      </c>
      <c r="V725" s="171"/>
      <c r="W725" s="193">
        <f>V725-U725</f>
        <v>0</v>
      </c>
      <c r="Z725" s="297"/>
    </row>
    <row r="726" spans="1:26" s="185" customFormat="1" ht="18" hidden="1" customHeight="1">
      <c r="A726" s="614"/>
      <c r="B726" s="576"/>
      <c r="C726" s="577"/>
      <c r="D726" s="178" t="str">
        <f>серпень!D649</f>
        <v>касові нат.п-ки 2025</v>
      </c>
      <c r="E726" s="179"/>
      <c r="F726" s="179"/>
      <c r="G726" s="179"/>
      <c r="H726" s="179"/>
      <c r="I726" s="179"/>
      <c r="J726" s="179"/>
      <c r="K726" s="179"/>
      <c r="L726" s="215">
        <f>SUM(F726:K726)</f>
        <v>0</v>
      </c>
      <c r="M726" s="215">
        <f>L726/6</f>
        <v>0</v>
      </c>
      <c r="N726" s="179"/>
      <c r="O726" s="179"/>
      <c r="P726" s="179"/>
      <c r="Q726" s="179"/>
      <c r="R726" s="179"/>
      <c r="S726" s="179"/>
      <c r="T726" s="215">
        <f>SUM(N726:S726)</f>
        <v>0</v>
      </c>
      <c r="U726" s="215">
        <f>T726+L726</f>
        <v>0</v>
      </c>
      <c r="V726" s="179">
        <f>V721</f>
        <v>0</v>
      </c>
      <c r="W726" s="184">
        <f>V726-U726</f>
        <v>0</v>
      </c>
      <c r="Z726" s="297"/>
    </row>
    <row r="727" spans="1:26" s="185" customFormat="1" ht="18" hidden="1" customHeight="1">
      <c r="A727" s="614"/>
      <c r="B727" s="576"/>
      <c r="C727" s="577"/>
      <c r="D727" s="187" t="str">
        <f>серпень!D650</f>
        <v>тариф, грн.</v>
      </c>
      <c r="E727" s="188" t="e">
        <f>E728/E726*1000</f>
        <v>#DIV/0!</v>
      </c>
      <c r="F727" s="188">
        <v>6900</v>
      </c>
      <c r="G727" s="188">
        <v>6900</v>
      </c>
      <c r="H727" s="188">
        <v>6900</v>
      </c>
      <c r="I727" s="188">
        <v>6900</v>
      </c>
      <c r="J727" s="188">
        <v>6900</v>
      </c>
      <c r="K727" s="188">
        <v>6900</v>
      </c>
      <c r="L727" s="188" t="e">
        <f>L728/L726*1000</f>
        <v>#DIV/0!</v>
      </c>
      <c r="M727" s="188" t="e">
        <f>M728/M726*1000</f>
        <v>#DIV/0!</v>
      </c>
      <c r="N727" s="188">
        <v>6900</v>
      </c>
      <c r="O727" s="188">
        <v>6900</v>
      </c>
      <c r="P727" s="188">
        <v>6900</v>
      </c>
      <c r="Q727" s="188">
        <v>6900</v>
      </c>
      <c r="R727" s="188">
        <v>6900</v>
      </c>
      <c r="S727" s="188">
        <v>6900</v>
      </c>
      <c r="T727" s="188" t="e">
        <f>T728/T726*1000</f>
        <v>#DIV/0!</v>
      </c>
      <c r="U727" s="188" t="e">
        <f>U728/U726*1000</f>
        <v>#DIV/0!</v>
      </c>
      <c r="V727" s="218" t="e">
        <f>V728/V726*1000</f>
        <v>#DIV/0!</v>
      </c>
      <c r="W727" s="189" t="e">
        <f>W728/W726*1000</f>
        <v>#DIV/0!</v>
      </c>
      <c r="Z727" s="297"/>
    </row>
    <row r="728" spans="1:26" s="185" customFormat="1" ht="18" hidden="1" customHeight="1">
      <c r="A728" s="614"/>
      <c r="B728" s="576"/>
      <c r="C728" s="577"/>
      <c r="D728" s="198" t="str">
        <f>серпень!D651</f>
        <v>касові видатки, тис.грн.</v>
      </c>
      <c r="E728" s="220"/>
      <c r="F728" s="199">
        <f t="shared" ref="F728:K728" si="836">F726*F727/1000</f>
        <v>0</v>
      </c>
      <c r="G728" s="199">
        <f t="shared" si="836"/>
        <v>0</v>
      </c>
      <c r="H728" s="199">
        <f t="shared" si="836"/>
        <v>0</v>
      </c>
      <c r="I728" s="199">
        <f t="shared" si="836"/>
        <v>0</v>
      </c>
      <c r="J728" s="199">
        <f t="shared" si="836"/>
        <v>0</v>
      </c>
      <c r="K728" s="199">
        <f t="shared" si="836"/>
        <v>0</v>
      </c>
      <c r="L728" s="199">
        <f>SUM(F728:K728)</f>
        <v>0</v>
      </c>
      <c r="M728" s="199">
        <f>L728/6</f>
        <v>0</v>
      </c>
      <c r="N728" s="199">
        <f t="shared" ref="N728:S728" si="837">N726*N727/1000</f>
        <v>0</v>
      </c>
      <c r="O728" s="199">
        <f t="shared" si="837"/>
        <v>0</v>
      </c>
      <c r="P728" s="199">
        <f t="shared" si="837"/>
        <v>0</v>
      </c>
      <c r="Q728" s="199">
        <f t="shared" si="837"/>
        <v>0</v>
      </c>
      <c r="R728" s="199">
        <f t="shared" si="837"/>
        <v>0</v>
      </c>
      <c r="S728" s="199">
        <f t="shared" si="837"/>
        <v>0</v>
      </c>
      <c r="T728" s="199">
        <f>SUM(N728:S728)</f>
        <v>0</v>
      </c>
      <c r="U728" s="199">
        <f>T728+L728</f>
        <v>0</v>
      </c>
      <c r="V728" s="199">
        <f>V723</f>
        <v>0</v>
      </c>
      <c r="W728" s="221">
        <f>V728-U728</f>
        <v>0</v>
      </c>
      <c r="Z728" s="297"/>
    </row>
    <row r="729" spans="1:26" s="185" customFormat="1" ht="18" hidden="1" customHeight="1">
      <c r="A729" s="614"/>
      <c r="B729" s="576"/>
      <c r="C729" s="577"/>
      <c r="D729" s="201" t="str">
        <f>серпень!D652</f>
        <v>дотація</v>
      </c>
      <c r="E729" s="220"/>
      <c r="F729" s="199"/>
      <c r="G729" s="199"/>
      <c r="H729" s="199"/>
      <c r="I729" s="199"/>
      <c r="J729" s="199"/>
      <c r="K729" s="199"/>
      <c r="L729" s="199">
        <f>SUM(F729:K729)</f>
        <v>0</v>
      </c>
      <c r="M729" s="199">
        <f>L729/6</f>
        <v>0</v>
      </c>
      <c r="N729" s="199"/>
      <c r="O729" s="199"/>
      <c r="P729" s="199"/>
      <c r="Q729" s="199"/>
      <c r="R729" s="199"/>
      <c r="S729" s="199"/>
      <c r="T729" s="199">
        <f>SUM(N729:S729)</f>
        <v>0</v>
      </c>
      <c r="U729" s="199">
        <f>T729+L729</f>
        <v>0</v>
      </c>
      <c r="V729" s="199">
        <f>V724</f>
        <v>0</v>
      </c>
      <c r="W729" s="221">
        <f>V729-U729</f>
        <v>0</v>
      </c>
      <c r="Z729" s="297"/>
    </row>
    <row r="730" spans="1:26" s="185" customFormat="1" ht="18" hidden="1" customHeight="1">
      <c r="A730" s="614"/>
      <c r="B730" s="576"/>
      <c r="C730" s="577"/>
      <c r="D730" s="201" t="str">
        <f>серпень!D653</f>
        <v xml:space="preserve">місцевий </v>
      </c>
      <c r="E730" s="220"/>
      <c r="F730" s="199">
        <f t="shared" ref="F730:K730" si="838">F728-F729</f>
        <v>0</v>
      </c>
      <c r="G730" s="199">
        <f t="shared" si="838"/>
        <v>0</v>
      </c>
      <c r="H730" s="199">
        <f t="shared" si="838"/>
        <v>0</v>
      </c>
      <c r="I730" s="199">
        <f t="shared" si="838"/>
        <v>0</v>
      </c>
      <c r="J730" s="199">
        <f t="shared" si="838"/>
        <v>0</v>
      </c>
      <c r="K730" s="199">
        <f t="shared" si="838"/>
        <v>0</v>
      </c>
      <c r="L730" s="199">
        <f>SUM(F730:K730)</f>
        <v>0</v>
      </c>
      <c r="M730" s="199">
        <f>L730/6</f>
        <v>0</v>
      </c>
      <c r="N730" s="199">
        <f t="shared" ref="N730:S730" si="839">N728-N729</f>
        <v>0</v>
      </c>
      <c r="O730" s="199">
        <f t="shared" si="839"/>
        <v>0</v>
      </c>
      <c r="P730" s="199">
        <f t="shared" si="839"/>
        <v>0</v>
      </c>
      <c r="Q730" s="199">
        <f t="shared" si="839"/>
        <v>0</v>
      </c>
      <c r="R730" s="199">
        <f t="shared" si="839"/>
        <v>0</v>
      </c>
      <c r="S730" s="199">
        <f t="shared" si="839"/>
        <v>0</v>
      </c>
      <c r="T730" s="199">
        <f>SUM(N730:S730)</f>
        <v>0</v>
      </c>
      <c r="U730" s="199">
        <f>T730+L730</f>
        <v>0</v>
      </c>
      <c r="V730" s="199">
        <f>V725</f>
        <v>0</v>
      </c>
      <c r="W730" s="221">
        <f>V730-U730</f>
        <v>0</v>
      </c>
      <c r="Z730" s="297"/>
    </row>
    <row r="731" spans="1:26" s="185" customFormat="1" ht="18" hidden="1" customHeight="1">
      <c r="A731" s="614"/>
      <c r="B731" s="576"/>
      <c r="C731" s="577"/>
      <c r="D731" s="202" t="str">
        <f>серпень!D654</f>
        <v>план</v>
      </c>
      <c r="E731" s="203"/>
      <c r="F731" s="203">
        <f t="shared" ref="F731:K731" si="840">F725</f>
        <v>0</v>
      </c>
      <c r="G731" s="203">
        <f t="shared" si="840"/>
        <v>0</v>
      </c>
      <c r="H731" s="203">
        <f t="shared" si="840"/>
        <v>0</v>
      </c>
      <c r="I731" s="203">
        <f t="shared" si="840"/>
        <v>0</v>
      </c>
      <c r="J731" s="203">
        <f t="shared" si="840"/>
        <v>0</v>
      </c>
      <c r="K731" s="203">
        <f t="shared" si="840"/>
        <v>0</v>
      </c>
      <c r="L731" s="203">
        <f>SUM(F731:K731)</f>
        <v>0</v>
      </c>
      <c r="M731" s="203">
        <f>L731/6</f>
        <v>0</v>
      </c>
      <c r="N731" s="203">
        <f t="shared" ref="N731:S731" si="841">N725+N724</f>
        <v>0</v>
      </c>
      <c r="O731" s="203">
        <f t="shared" si="841"/>
        <v>0</v>
      </c>
      <c r="P731" s="203">
        <f t="shared" si="841"/>
        <v>0</v>
      </c>
      <c r="Q731" s="203">
        <f t="shared" si="841"/>
        <v>0</v>
      </c>
      <c r="R731" s="203">
        <f t="shared" si="841"/>
        <v>0</v>
      </c>
      <c r="S731" s="203">
        <f t="shared" si="841"/>
        <v>0</v>
      </c>
      <c r="T731" s="203">
        <f>SUM(N731:S731)</f>
        <v>0</v>
      </c>
      <c r="U731" s="203">
        <f>T731+L731</f>
        <v>0</v>
      </c>
      <c r="V731" s="203">
        <f>V728</f>
        <v>0</v>
      </c>
      <c r="W731" s="203">
        <f>V731-U731</f>
        <v>0</v>
      </c>
      <c r="Z731" s="297"/>
    </row>
    <row r="732" spans="1:26" s="185" customFormat="1" ht="18" hidden="1" customHeight="1">
      <c r="A732" s="614"/>
      <c r="B732" s="576"/>
      <c r="C732" s="577"/>
      <c r="D732" s="202" t="str">
        <f>серпень!D655</f>
        <v xml:space="preserve">відхилення </v>
      </c>
      <c r="E732" s="203"/>
      <c r="F732" s="203">
        <f t="shared" ref="F732:K732" si="842">F728-F731</f>
        <v>0</v>
      </c>
      <c r="G732" s="203">
        <f t="shared" si="842"/>
        <v>0</v>
      </c>
      <c r="H732" s="203">
        <f t="shared" si="842"/>
        <v>0</v>
      </c>
      <c r="I732" s="203">
        <f t="shared" si="842"/>
        <v>0</v>
      </c>
      <c r="J732" s="203">
        <f t="shared" si="842"/>
        <v>0</v>
      </c>
      <c r="K732" s="203">
        <f t="shared" si="842"/>
        <v>0</v>
      </c>
      <c r="L732" s="203"/>
      <c r="M732" s="203"/>
      <c r="N732" s="203">
        <f t="shared" ref="N732:S732" si="843">N728-N731</f>
        <v>0</v>
      </c>
      <c r="O732" s="203">
        <f t="shared" si="843"/>
        <v>0</v>
      </c>
      <c r="P732" s="203">
        <f t="shared" si="843"/>
        <v>0</v>
      </c>
      <c r="Q732" s="203">
        <f t="shared" si="843"/>
        <v>0</v>
      </c>
      <c r="R732" s="203">
        <f t="shared" si="843"/>
        <v>0</v>
      </c>
      <c r="S732" s="203">
        <f t="shared" si="843"/>
        <v>0</v>
      </c>
      <c r="T732" s="203"/>
      <c r="U732" s="203"/>
      <c r="V732" s="203"/>
      <c r="W732" s="203"/>
      <c r="Z732" s="297"/>
    </row>
    <row r="733" spans="1:26" s="185" customFormat="1" ht="17.55" hidden="1" customHeight="1">
      <c r="A733" s="615"/>
      <c r="B733" s="578"/>
      <c r="C733" s="579"/>
      <c r="D733" s="202" t="str">
        <f>серпень!D656</f>
        <v>відхилення з наростаючим</v>
      </c>
      <c r="E733" s="203"/>
      <c r="F733" s="203">
        <f>F732</f>
        <v>0</v>
      </c>
      <c r="G733" s="203">
        <f>G732+F733</f>
        <v>0</v>
      </c>
      <c r="H733" s="203">
        <f>H732+G733</f>
        <v>0</v>
      </c>
      <c r="I733" s="203">
        <f>I732+H733</f>
        <v>0</v>
      </c>
      <c r="J733" s="203">
        <f>J732+I733</f>
        <v>0</v>
      </c>
      <c r="K733" s="203">
        <f>K732+J733</f>
        <v>0</v>
      </c>
      <c r="L733" s="203"/>
      <c r="M733" s="203"/>
      <c r="N733" s="203">
        <f>N732+K733</f>
        <v>0</v>
      </c>
      <c r="O733" s="203">
        <f>O732+N733</f>
        <v>0</v>
      </c>
      <c r="P733" s="203">
        <f>P732+O733</f>
        <v>0</v>
      </c>
      <c r="Q733" s="203">
        <f>Q732+P733</f>
        <v>0</v>
      </c>
      <c r="R733" s="203">
        <f>R732+Q733</f>
        <v>0</v>
      </c>
      <c r="S733" s="203">
        <f>S732+R733</f>
        <v>0</v>
      </c>
      <c r="T733" s="203"/>
      <c r="U733" s="203"/>
      <c r="V733" s="203"/>
      <c r="W733" s="203"/>
      <c r="Z733" s="297"/>
    </row>
    <row r="734" spans="1:26" s="185" customFormat="1" ht="18" hidden="1" customHeight="1">
      <c r="A734" s="673"/>
      <c r="B734" s="580" t="s">
        <v>124</v>
      </c>
      <c r="C734" s="575"/>
      <c r="D734" s="178" t="str">
        <f>серпень!D657</f>
        <v>факт. нат.п-ки 2023</v>
      </c>
      <c r="E734" s="179"/>
      <c r="F734" s="180"/>
      <c r="G734" s="180"/>
      <c r="H734" s="180"/>
      <c r="I734" s="180"/>
      <c r="J734" s="180"/>
      <c r="K734" s="180"/>
      <c r="L734" s="215">
        <f>SUM(F734:K734)</f>
        <v>0</v>
      </c>
      <c r="M734" s="215">
        <f>L734/6</f>
        <v>0</v>
      </c>
      <c r="N734" s="180"/>
      <c r="O734" s="180"/>
      <c r="P734" s="180"/>
      <c r="Q734" s="180"/>
      <c r="R734" s="180"/>
      <c r="S734" s="180"/>
      <c r="T734" s="215">
        <f>SUM(N734:S734)</f>
        <v>0</v>
      </c>
      <c r="U734" s="226">
        <f>T734+L734</f>
        <v>0</v>
      </c>
      <c r="V734" s="227"/>
      <c r="W734" s="184">
        <f>V734-U734</f>
        <v>0</v>
      </c>
      <c r="Z734" s="297"/>
    </row>
    <row r="735" spans="1:26" s="185" customFormat="1" ht="18" hidden="1" customHeight="1">
      <c r="A735" s="673"/>
      <c r="B735" s="576"/>
      <c r="C735" s="577"/>
      <c r="D735" s="178" t="str">
        <f>серпень!D658</f>
        <v>факт. нат.п-ки 2024</v>
      </c>
      <c r="E735" s="179"/>
      <c r="F735" s="180"/>
      <c r="G735" s="180"/>
      <c r="H735" s="180"/>
      <c r="I735" s="180"/>
      <c r="J735" s="180"/>
      <c r="K735" s="180"/>
      <c r="L735" s="215">
        <f>SUM(F735:K735)</f>
        <v>0</v>
      </c>
      <c r="M735" s="215">
        <f>L735/6</f>
        <v>0</v>
      </c>
      <c r="N735" s="179"/>
      <c r="O735" s="179"/>
      <c r="P735" s="179"/>
      <c r="Q735" s="179"/>
      <c r="R735" s="179"/>
      <c r="S735" s="179"/>
      <c r="T735" s="215">
        <f>SUM(N735:S735)</f>
        <v>0</v>
      </c>
      <c r="U735" s="226">
        <f>T735+L735</f>
        <v>0</v>
      </c>
      <c r="V735" s="227"/>
      <c r="W735" s="184">
        <f>V735-U735</f>
        <v>0</v>
      </c>
      <c r="Z735" s="297"/>
    </row>
    <row r="736" spans="1:26" s="185" customFormat="1" ht="18" hidden="1" customHeight="1">
      <c r="A736" s="673"/>
      <c r="B736" s="576"/>
      <c r="C736" s="577"/>
      <c r="D736" s="178" t="str">
        <f>серпень!D659</f>
        <v>факт. нат.п-ки 2025</v>
      </c>
      <c r="E736" s="179"/>
      <c r="F736" s="180"/>
      <c r="G736" s="180"/>
      <c r="H736" s="180"/>
      <c r="I736" s="180"/>
      <c r="J736" s="180"/>
      <c r="K736" s="180"/>
      <c r="L736" s="215">
        <f>SUM(F736:K736)</f>
        <v>0</v>
      </c>
      <c r="M736" s="215">
        <f>L736/6</f>
        <v>0</v>
      </c>
      <c r="N736" s="180"/>
      <c r="O736" s="180"/>
      <c r="P736" s="180"/>
      <c r="Q736" s="180"/>
      <c r="R736" s="180"/>
      <c r="S736" s="179"/>
      <c r="T736" s="215">
        <f>SUM(N736:S736)</f>
        <v>0</v>
      </c>
      <c r="U736" s="226">
        <f>T736+L736</f>
        <v>0</v>
      </c>
      <c r="V736" s="179"/>
      <c r="W736" s="184">
        <f>V736-U736</f>
        <v>0</v>
      </c>
      <c r="Z736" s="297"/>
    </row>
    <row r="737" spans="1:26" s="185" customFormat="1" ht="18" hidden="1" customHeight="1">
      <c r="A737" s="673"/>
      <c r="B737" s="576"/>
      <c r="C737" s="577"/>
      <c r="D737" s="187" t="str">
        <f>серпень!D660</f>
        <v>тариф, грн.</v>
      </c>
      <c r="E737" s="188"/>
      <c r="F737" s="188">
        <v>6900</v>
      </c>
      <c r="G737" s="188">
        <v>6900</v>
      </c>
      <c r="H737" s="188">
        <v>6900</v>
      </c>
      <c r="I737" s="188">
        <v>6900</v>
      </c>
      <c r="J737" s="188">
        <v>6900</v>
      </c>
      <c r="K737" s="188">
        <v>6900</v>
      </c>
      <c r="L737" s="188" t="e">
        <f>L738/L736*1000</f>
        <v>#DIV/0!</v>
      </c>
      <c r="M737" s="188" t="e">
        <f>M738/M736*1000</f>
        <v>#DIV/0!</v>
      </c>
      <c r="N737" s="188">
        <v>6900</v>
      </c>
      <c r="O737" s="188">
        <v>6900</v>
      </c>
      <c r="P737" s="188">
        <v>6900</v>
      </c>
      <c r="Q737" s="188">
        <v>6900</v>
      </c>
      <c r="R737" s="188">
        <v>6900</v>
      </c>
      <c r="S737" s="188">
        <v>6900</v>
      </c>
      <c r="T737" s="188" t="e">
        <f>T738/T736*1000</f>
        <v>#DIV/0!</v>
      </c>
      <c r="U737" s="188" t="e">
        <f>U738/U736*1000</f>
        <v>#DIV/0!</v>
      </c>
      <c r="V737" s="218" t="e">
        <f>V738/V736*1000</f>
        <v>#DIV/0!</v>
      </c>
      <c r="W737" s="189" t="e">
        <f>W738/W736*1000</f>
        <v>#DIV/0!</v>
      </c>
      <c r="Z737" s="297"/>
    </row>
    <row r="738" spans="1:26" s="185" customFormat="1" ht="18" hidden="1" customHeight="1">
      <c r="A738" s="673"/>
      <c r="B738" s="576"/>
      <c r="C738" s="577"/>
      <c r="D738" s="191" t="str">
        <f>серпень!D661</f>
        <v>сума, тис.грн.</v>
      </c>
      <c r="E738" s="192"/>
      <c r="F738" s="192">
        <f t="shared" ref="F738:K738" si="844">F736*F737/1000</f>
        <v>0</v>
      </c>
      <c r="G738" s="192">
        <f t="shared" si="844"/>
        <v>0</v>
      </c>
      <c r="H738" s="192">
        <f t="shared" si="844"/>
        <v>0</v>
      </c>
      <c r="I738" s="192">
        <f t="shared" si="844"/>
        <v>0</v>
      </c>
      <c r="J738" s="192">
        <f t="shared" si="844"/>
        <v>0</v>
      </c>
      <c r="K738" s="192">
        <f t="shared" si="844"/>
        <v>0</v>
      </c>
      <c r="L738" s="194">
        <f>SUM(F738:K738)</f>
        <v>0</v>
      </c>
      <c r="M738" s="194">
        <f>L738/6</f>
        <v>0</v>
      </c>
      <c r="N738" s="192">
        <f t="shared" ref="N738:S738" si="845">N736*N737/1000</f>
        <v>0</v>
      </c>
      <c r="O738" s="192">
        <f t="shared" si="845"/>
        <v>0</v>
      </c>
      <c r="P738" s="192">
        <f t="shared" si="845"/>
        <v>0</v>
      </c>
      <c r="Q738" s="192">
        <f t="shared" si="845"/>
        <v>0</v>
      </c>
      <c r="R738" s="192">
        <f t="shared" si="845"/>
        <v>0</v>
      </c>
      <c r="S738" s="192">
        <f t="shared" si="845"/>
        <v>0</v>
      </c>
      <c r="T738" s="194">
        <f>SUM(N738:S738)</f>
        <v>0</v>
      </c>
      <c r="U738" s="194">
        <f>T738+L738</f>
        <v>0</v>
      </c>
      <c r="V738" s="171">
        <f>V739+V740</f>
        <v>0</v>
      </c>
      <c r="W738" s="193">
        <f>V738-U738</f>
        <v>0</v>
      </c>
      <c r="Z738" s="297"/>
    </row>
    <row r="739" spans="1:26" s="185" customFormat="1" ht="18" hidden="1" customHeight="1">
      <c r="A739" s="673"/>
      <c r="B739" s="576"/>
      <c r="C739" s="577"/>
      <c r="D739" s="174" t="str">
        <f>серпень!D662</f>
        <v>дотація</v>
      </c>
      <c r="E739" s="210"/>
      <c r="F739" s="192"/>
      <c r="G739" s="192"/>
      <c r="H739" s="192"/>
      <c r="I739" s="192"/>
      <c r="J739" s="192"/>
      <c r="K739" s="192"/>
      <c r="L739" s="194">
        <f>SUM(F739:K739)</f>
        <v>0</v>
      </c>
      <c r="M739" s="194">
        <f>L739/6</f>
        <v>0</v>
      </c>
      <c r="N739" s="192"/>
      <c r="O739" s="192"/>
      <c r="P739" s="192"/>
      <c r="Q739" s="192"/>
      <c r="R739" s="192"/>
      <c r="S739" s="192"/>
      <c r="T739" s="194">
        <f>SUM(N739:S739)</f>
        <v>0</v>
      </c>
      <c r="U739" s="194">
        <f>T739+L739</f>
        <v>0</v>
      </c>
      <c r="V739" s="171">
        <v>0</v>
      </c>
      <c r="W739" s="193">
        <f>V739-U739</f>
        <v>0</v>
      </c>
      <c r="Z739" s="297"/>
    </row>
    <row r="740" spans="1:26" s="185" customFormat="1" ht="18" hidden="1" customHeight="1">
      <c r="A740" s="673"/>
      <c r="B740" s="576"/>
      <c r="C740" s="577"/>
      <c r="D740" s="174" t="str">
        <f>серпень!D663</f>
        <v>місцевий (план), тис.грн</v>
      </c>
      <c r="E740" s="210"/>
      <c r="F740" s="192"/>
      <c r="G740" s="192"/>
      <c r="H740" s="192"/>
      <c r="I740" s="192"/>
      <c r="J740" s="192"/>
      <c r="K740" s="192"/>
      <c r="L740" s="194">
        <f>SUM(F740:K740)</f>
        <v>0</v>
      </c>
      <c r="M740" s="194">
        <f>L740/6</f>
        <v>0</v>
      </c>
      <c r="N740" s="192"/>
      <c r="O740" s="192"/>
      <c r="P740" s="192"/>
      <c r="Q740" s="192"/>
      <c r="R740" s="192"/>
      <c r="S740" s="192"/>
      <c r="T740" s="194">
        <f>SUM(N740:S740)</f>
        <v>0</v>
      </c>
      <c r="U740" s="194">
        <f>T740+L740</f>
        <v>0</v>
      </c>
      <c r="V740" s="171"/>
      <c r="W740" s="193">
        <f>V740-U740</f>
        <v>0</v>
      </c>
      <c r="Z740" s="297"/>
    </row>
    <row r="741" spans="1:26" s="185" customFormat="1" ht="18" hidden="1" customHeight="1">
      <c r="A741" s="673"/>
      <c r="B741" s="576"/>
      <c r="C741" s="577"/>
      <c r="D741" s="178" t="str">
        <f>серпень!D664</f>
        <v>касові нат.п-ки 2025</v>
      </c>
      <c r="E741" s="179"/>
      <c r="F741" s="179"/>
      <c r="G741" s="179"/>
      <c r="H741" s="179"/>
      <c r="I741" s="179"/>
      <c r="J741" s="179"/>
      <c r="K741" s="179"/>
      <c r="L741" s="215">
        <f>SUM(F741:K741)</f>
        <v>0</v>
      </c>
      <c r="M741" s="215">
        <f>L741/6</f>
        <v>0</v>
      </c>
      <c r="N741" s="179"/>
      <c r="O741" s="179"/>
      <c r="P741" s="179"/>
      <c r="Q741" s="179"/>
      <c r="R741" s="179"/>
      <c r="S741" s="179"/>
      <c r="T741" s="215">
        <f>SUM(N741:S741)</f>
        <v>0</v>
      </c>
      <c r="U741" s="215">
        <f>T741+L741</f>
        <v>0</v>
      </c>
      <c r="V741" s="179">
        <f>V736</f>
        <v>0</v>
      </c>
      <c r="W741" s="184">
        <f>V741-U741</f>
        <v>0</v>
      </c>
      <c r="Z741" s="297"/>
    </row>
    <row r="742" spans="1:26" s="185" customFormat="1" ht="18" hidden="1" customHeight="1">
      <c r="A742" s="673"/>
      <c r="B742" s="576"/>
      <c r="C742" s="577"/>
      <c r="D742" s="187" t="str">
        <f>серпень!D665</f>
        <v>тариф, грн.</v>
      </c>
      <c r="E742" s="188" t="e">
        <f>E743/E741*1000</f>
        <v>#DIV/0!</v>
      </c>
      <c r="F742" s="188">
        <v>6900</v>
      </c>
      <c r="G742" s="188">
        <v>6900</v>
      </c>
      <c r="H742" s="188">
        <v>6900</v>
      </c>
      <c r="I742" s="188">
        <v>6900</v>
      </c>
      <c r="J742" s="188">
        <v>6900</v>
      </c>
      <c r="K742" s="188">
        <v>6900</v>
      </c>
      <c r="L742" s="188" t="e">
        <f>L743/L741*1000</f>
        <v>#DIV/0!</v>
      </c>
      <c r="M742" s="188" t="e">
        <f>M743/M741*1000</f>
        <v>#DIV/0!</v>
      </c>
      <c r="N742" s="188">
        <v>6900</v>
      </c>
      <c r="O742" s="188">
        <v>6900</v>
      </c>
      <c r="P742" s="188">
        <v>6900</v>
      </c>
      <c r="Q742" s="188">
        <v>6900</v>
      </c>
      <c r="R742" s="188">
        <v>6900</v>
      </c>
      <c r="S742" s="188">
        <v>6900</v>
      </c>
      <c r="T742" s="188" t="e">
        <f>T743/T741*1000</f>
        <v>#DIV/0!</v>
      </c>
      <c r="U742" s="188" t="e">
        <f>U743/U741*1000</f>
        <v>#DIV/0!</v>
      </c>
      <c r="V742" s="218" t="e">
        <f>V743/V741*1000</f>
        <v>#DIV/0!</v>
      </c>
      <c r="W742" s="189" t="e">
        <f>W743/W741*1000</f>
        <v>#DIV/0!</v>
      </c>
      <c r="Z742" s="297"/>
    </row>
    <row r="743" spans="1:26" s="185" customFormat="1" ht="18" hidden="1" customHeight="1">
      <c r="A743" s="673"/>
      <c r="B743" s="576"/>
      <c r="C743" s="577"/>
      <c r="D743" s="198" t="str">
        <f>серпень!D666</f>
        <v>касові видатки, тис.грн.</v>
      </c>
      <c r="E743" s="220"/>
      <c r="F743" s="199">
        <f t="shared" ref="F743:K743" si="846">F741*F742/1000</f>
        <v>0</v>
      </c>
      <c r="G743" s="199">
        <f t="shared" si="846"/>
        <v>0</v>
      </c>
      <c r="H743" s="199">
        <f t="shared" si="846"/>
        <v>0</v>
      </c>
      <c r="I743" s="199">
        <f t="shared" si="846"/>
        <v>0</v>
      </c>
      <c r="J743" s="199">
        <f t="shared" si="846"/>
        <v>0</v>
      </c>
      <c r="K743" s="199">
        <f t="shared" si="846"/>
        <v>0</v>
      </c>
      <c r="L743" s="199">
        <f>SUM(F743:K743)</f>
        <v>0</v>
      </c>
      <c r="M743" s="199">
        <f>L743/6</f>
        <v>0</v>
      </c>
      <c r="N743" s="199">
        <f t="shared" ref="N743:S743" si="847">N741*N742/1000</f>
        <v>0</v>
      </c>
      <c r="O743" s="199">
        <f t="shared" si="847"/>
        <v>0</v>
      </c>
      <c r="P743" s="199">
        <f t="shared" si="847"/>
        <v>0</v>
      </c>
      <c r="Q743" s="199">
        <f t="shared" si="847"/>
        <v>0</v>
      </c>
      <c r="R743" s="199">
        <f t="shared" si="847"/>
        <v>0</v>
      </c>
      <c r="S743" s="199">
        <f t="shared" si="847"/>
        <v>0</v>
      </c>
      <c r="T743" s="199">
        <f>SUM(N743:S743)</f>
        <v>0</v>
      </c>
      <c r="U743" s="199">
        <f>T743+L743</f>
        <v>0</v>
      </c>
      <c r="V743" s="199">
        <f>V738</f>
        <v>0</v>
      </c>
      <c r="W743" s="221">
        <f>V743-U743</f>
        <v>0</v>
      </c>
      <c r="Z743" s="297"/>
    </row>
    <row r="744" spans="1:26" s="185" customFormat="1" ht="18" hidden="1" customHeight="1">
      <c r="A744" s="673"/>
      <c r="B744" s="576"/>
      <c r="C744" s="577"/>
      <c r="D744" s="201" t="str">
        <f>серпень!D667</f>
        <v>дотація</v>
      </c>
      <c r="E744" s="220"/>
      <c r="F744" s="199"/>
      <c r="G744" s="199"/>
      <c r="H744" s="199"/>
      <c r="I744" s="199"/>
      <c r="J744" s="199"/>
      <c r="K744" s="199"/>
      <c r="L744" s="199">
        <f>SUM(F744:K744)</f>
        <v>0</v>
      </c>
      <c r="M744" s="199">
        <f>L744/6</f>
        <v>0</v>
      </c>
      <c r="N744" s="199"/>
      <c r="O744" s="199"/>
      <c r="P744" s="199"/>
      <c r="Q744" s="199"/>
      <c r="R744" s="199"/>
      <c r="S744" s="199"/>
      <c r="T744" s="199">
        <f>SUM(N744:S744)</f>
        <v>0</v>
      </c>
      <c r="U744" s="199">
        <f>T744+L744</f>
        <v>0</v>
      </c>
      <c r="V744" s="199">
        <f>V739</f>
        <v>0</v>
      </c>
      <c r="W744" s="221">
        <f>V744-U744</f>
        <v>0</v>
      </c>
      <c r="Z744" s="297"/>
    </row>
    <row r="745" spans="1:26" s="185" customFormat="1" ht="18" hidden="1" customHeight="1">
      <c r="A745" s="673"/>
      <c r="B745" s="576"/>
      <c r="C745" s="577"/>
      <c r="D745" s="201" t="str">
        <f>серпень!D668</f>
        <v xml:space="preserve">місцевий </v>
      </c>
      <c r="E745" s="220"/>
      <c r="F745" s="199">
        <f t="shared" ref="F745:K745" si="848">F743-F744</f>
        <v>0</v>
      </c>
      <c r="G745" s="199">
        <f t="shared" si="848"/>
        <v>0</v>
      </c>
      <c r="H745" s="199">
        <f t="shared" si="848"/>
        <v>0</v>
      </c>
      <c r="I745" s="199">
        <f t="shared" si="848"/>
        <v>0</v>
      </c>
      <c r="J745" s="199">
        <f t="shared" si="848"/>
        <v>0</v>
      </c>
      <c r="K745" s="199">
        <f t="shared" si="848"/>
        <v>0</v>
      </c>
      <c r="L745" s="199">
        <f>SUM(F745:K745)</f>
        <v>0</v>
      </c>
      <c r="M745" s="199">
        <f>L745/6</f>
        <v>0</v>
      </c>
      <c r="N745" s="199">
        <f t="shared" ref="N745:S745" si="849">N743-N744</f>
        <v>0</v>
      </c>
      <c r="O745" s="199">
        <f t="shared" si="849"/>
        <v>0</v>
      </c>
      <c r="P745" s="199">
        <f t="shared" si="849"/>
        <v>0</v>
      </c>
      <c r="Q745" s="199">
        <f t="shared" si="849"/>
        <v>0</v>
      </c>
      <c r="R745" s="199">
        <f t="shared" si="849"/>
        <v>0</v>
      </c>
      <c r="S745" s="199">
        <f t="shared" si="849"/>
        <v>0</v>
      </c>
      <c r="T745" s="199">
        <f>SUM(N745:S745)</f>
        <v>0</v>
      </c>
      <c r="U745" s="199">
        <f>T745+L745</f>
        <v>0</v>
      </c>
      <c r="V745" s="199">
        <f>V740</f>
        <v>0</v>
      </c>
      <c r="W745" s="221">
        <f>V745-U745</f>
        <v>0</v>
      </c>
      <c r="Z745" s="297"/>
    </row>
    <row r="746" spans="1:26" s="185" customFormat="1" ht="18" hidden="1" customHeight="1">
      <c r="A746" s="673"/>
      <c r="B746" s="576"/>
      <c r="C746" s="577"/>
      <c r="D746" s="202" t="str">
        <f>серпень!D669</f>
        <v>план</v>
      </c>
      <c r="E746" s="203"/>
      <c r="F746" s="203">
        <f t="shared" ref="F746:K746" si="850">F740</f>
        <v>0</v>
      </c>
      <c r="G746" s="203">
        <f t="shared" si="850"/>
        <v>0</v>
      </c>
      <c r="H746" s="203">
        <f t="shared" si="850"/>
        <v>0</v>
      </c>
      <c r="I746" s="203">
        <f t="shared" si="850"/>
        <v>0</v>
      </c>
      <c r="J746" s="203">
        <f t="shared" si="850"/>
        <v>0</v>
      </c>
      <c r="K746" s="203">
        <f t="shared" si="850"/>
        <v>0</v>
      </c>
      <c r="L746" s="203">
        <f>SUM(F746:K746)</f>
        <v>0</v>
      </c>
      <c r="M746" s="203">
        <f>L746/6</f>
        <v>0</v>
      </c>
      <c r="N746" s="203">
        <f t="shared" ref="N746:S746" si="851">N740+N739</f>
        <v>0</v>
      </c>
      <c r="O746" s="203">
        <f t="shared" si="851"/>
        <v>0</v>
      </c>
      <c r="P746" s="203">
        <f t="shared" si="851"/>
        <v>0</v>
      </c>
      <c r="Q746" s="203">
        <f t="shared" si="851"/>
        <v>0</v>
      </c>
      <c r="R746" s="203">
        <f t="shared" si="851"/>
        <v>0</v>
      </c>
      <c r="S746" s="203">
        <f t="shared" si="851"/>
        <v>0</v>
      </c>
      <c r="T746" s="203">
        <f>SUM(N746:S746)</f>
        <v>0</v>
      </c>
      <c r="U746" s="203">
        <f>T746+L746</f>
        <v>0</v>
      </c>
      <c r="V746" s="203">
        <f>V743</f>
        <v>0</v>
      </c>
      <c r="W746" s="203">
        <f>V746-U746</f>
        <v>0</v>
      </c>
      <c r="Z746" s="297"/>
    </row>
    <row r="747" spans="1:26" s="185" customFormat="1" ht="18" hidden="1" customHeight="1">
      <c r="A747" s="673"/>
      <c r="B747" s="576"/>
      <c r="C747" s="577"/>
      <c r="D747" s="202" t="str">
        <f>серпень!D670</f>
        <v xml:space="preserve">відхилення </v>
      </c>
      <c r="E747" s="203"/>
      <c r="F747" s="203">
        <f t="shared" ref="F747:K747" si="852">F743-F746</f>
        <v>0</v>
      </c>
      <c r="G747" s="203">
        <f t="shared" si="852"/>
        <v>0</v>
      </c>
      <c r="H747" s="203">
        <f t="shared" si="852"/>
        <v>0</v>
      </c>
      <c r="I747" s="203">
        <f t="shared" si="852"/>
        <v>0</v>
      </c>
      <c r="J747" s="203">
        <f t="shared" si="852"/>
        <v>0</v>
      </c>
      <c r="K747" s="203">
        <f t="shared" si="852"/>
        <v>0</v>
      </c>
      <c r="L747" s="203"/>
      <c r="M747" s="203"/>
      <c r="N747" s="203">
        <f t="shared" ref="N747:S747" si="853">N743-N746</f>
        <v>0</v>
      </c>
      <c r="O747" s="203">
        <f t="shared" si="853"/>
        <v>0</v>
      </c>
      <c r="P747" s="203">
        <f t="shared" si="853"/>
        <v>0</v>
      </c>
      <c r="Q747" s="203">
        <f t="shared" si="853"/>
        <v>0</v>
      </c>
      <c r="R747" s="203">
        <f t="shared" si="853"/>
        <v>0</v>
      </c>
      <c r="S747" s="203">
        <f t="shared" si="853"/>
        <v>0</v>
      </c>
      <c r="T747" s="203"/>
      <c r="U747" s="203"/>
      <c r="V747" s="203"/>
      <c r="W747" s="203"/>
      <c r="Z747" s="297"/>
    </row>
    <row r="748" spans="1:26" s="185" customFormat="1" ht="17.55" hidden="1" customHeight="1">
      <c r="A748" s="673"/>
      <c r="B748" s="578"/>
      <c r="C748" s="579"/>
      <c r="D748" s="202" t="str">
        <f>серпень!D671</f>
        <v>відхилення з наростаючим</v>
      </c>
      <c r="E748" s="203"/>
      <c r="F748" s="203">
        <f>F747</f>
        <v>0</v>
      </c>
      <c r="G748" s="203">
        <f>G747+F748</f>
        <v>0</v>
      </c>
      <c r="H748" s="203">
        <f>H747+G748</f>
        <v>0</v>
      </c>
      <c r="I748" s="203">
        <f>I747+H748</f>
        <v>0</v>
      </c>
      <c r="J748" s="203">
        <f>J747+I748</f>
        <v>0</v>
      </c>
      <c r="K748" s="203">
        <f>K747+J748</f>
        <v>0</v>
      </c>
      <c r="L748" s="203"/>
      <c r="M748" s="203"/>
      <c r="N748" s="203">
        <f>N747+K748</f>
        <v>0</v>
      </c>
      <c r="O748" s="203">
        <f>O747+N748</f>
        <v>0</v>
      </c>
      <c r="P748" s="203">
        <f>P747+O748</f>
        <v>0</v>
      </c>
      <c r="Q748" s="203">
        <f>Q747+P748</f>
        <v>0</v>
      </c>
      <c r="R748" s="203">
        <f>R747+Q748</f>
        <v>0</v>
      </c>
      <c r="S748" s="203">
        <f>S747+R748</f>
        <v>0</v>
      </c>
      <c r="T748" s="203"/>
      <c r="U748" s="203"/>
      <c r="V748" s="203"/>
      <c r="W748" s="203"/>
      <c r="Z748" s="297"/>
    </row>
    <row r="749" spans="1:26">
      <c r="D749" s="282"/>
      <c r="L749" s="249"/>
      <c r="M749" s="249"/>
      <c r="N749" s="249"/>
      <c r="T749" s="249"/>
      <c r="U749" s="249"/>
    </row>
    <row r="750" spans="1:26">
      <c r="L750" s="249"/>
      <c r="M750" s="249"/>
      <c r="N750" s="249"/>
      <c r="T750" s="249"/>
      <c r="U750" s="249"/>
    </row>
    <row r="751" spans="1:26">
      <c r="L751" s="249"/>
      <c r="M751" s="249"/>
      <c r="N751" s="249"/>
      <c r="T751" s="249"/>
      <c r="U751" s="249"/>
    </row>
    <row r="752" spans="1:26">
      <c r="L752" s="249"/>
      <c r="M752" s="249"/>
      <c r="N752" s="249"/>
      <c r="T752" s="249"/>
      <c r="U752" s="249"/>
    </row>
    <row r="753" spans="4:21">
      <c r="L753" s="249"/>
      <c r="M753" s="249"/>
      <c r="N753" s="249"/>
      <c r="T753" s="249"/>
      <c r="U753" s="249"/>
    </row>
    <row r="754" spans="4:21">
      <c r="L754" s="249"/>
      <c r="M754" s="249"/>
      <c r="N754" s="249"/>
      <c r="T754" s="249"/>
      <c r="U754" s="249"/>
    </row>
    <row r="755" spans="4:21">
      <c r="L755" s="249"/>
      <c r="M755" s="249"/>
      <c r="N755" s="249"/>
      <c r="T755" s="249"/>
      <c r="U755" s="249"/>
    </row>
    <row r="756" spans="4:21">
      <c r="L756" s="249"/>
      <c r="M756" s="249"/>
      <c r="N756" s="249"/>
      <c r="T756" s="249"/>
      <c r="U756" s="249"/>
    </row>
    <row r="757" spans="4:21">
      <c r="L757" s="249"/>
      <c r="M757" s="249"/>
      <c r="N757" s="249"/>
      <c r="T757" s="249"/>
      <c r="U757" s="249"/>
    </row>
    <row r="758" spans="4:21" ht="15.65">
      <c r="D758" s="284"/>
      <c r="L758" s="249"/>
      <c r="M758" s="249"/>
      <c r="N758" s="249"/>
      <c r="T758" s="249"/>
      <c r="U758" s="249"/>
    </row>
    <row r="759" spans="4:21">
      <c r="D759" s="283"/>
      <c r="L759" s="249"/>
      <c r="M759" s="249"/>
      <c r="N759" s="249"/>
      <c r="T759" s="249"/>
      <c r="U759" s="249"/>
    </row>
    <row r="760" spans="4:21">
      <c r="L760" s="249"/>
      <c r="M760" s="249"/>
      <c r="N760" s="249"/>
      <c r="T760" s="249"/>
      <c r="U760" s="249"/>
    </row>
    <row r="761" spans="4:21">
      <c r="L761" s="249"/>
      <c r="M761" s="249"/>
      <c r="N761" s="249"/>
      <c r="T761" s="249"/>
      <c r="U761" s="249"/>
    </row>
    <row r="762" spans="4:21">
      <c r="L762" s="249"/>
      <c r="M762" s="249"/>
      <c r="N762" s="249"/>
      <c r="T762" s="249"/>
      <c r="U762" s="249"/>
    </row>
    <row r="763" spans="4:21">
      <c r="L763" s="249"/>
      <c r="M763" s="249"/>
      <c r="N763" s="249"/>
      <c r="T763" s="249"/>
      <c r="U763" s="249"/>
    </row>
    <row r="764" spans="4:21">
      <c r="L764" s="249"/>
      <c r="M764" s="249"/>
      <c r="N764" s="249"/>
      <c r="T764" s="249"/>
      <c r="U764" s="249"/>
    </row>
    <row r="765" spans="4:21">
      <c r="L765" s="249"/>
      <c r="M765" s="249"/>
      <c r="N765" s="249"/>
      <c r="T765" s="249"/>
      <c r="U765" s="249"/>
    </row>
    <row r="766" spans="4:21">
      <c r="L766" s="249"/>
      <c r="M766" s="249"/>
      <c r="N766" s="249"/>
      <c r="T766" s="249"/>
      <c r="U766" s="249"/>
    </row>
    <row r="767" spans="4:21">
      <c r="L767" s="249"/>
      <c r="M767" s="249"/>
      <c r="N767" s="249"/>
      <c r="T767" s="249"/>
      <c r="U767" s="249"/>
    </row>
    <row r="768" spans="4:21">
      <c r="L768" s="249"/>
      <c r="M768" s="249"/>
      <c r="N768" s="249"/>
      <c r="T768" s="249"/>
      <c r="U768" s="249"/>
    </row>
    <row r="769" spans="12:21">
      <c r="L769" s="249"/>
      <c r="M769" s="249"/>
      <c r="N769" s="249"/>
      <c r="T769" s="249"/>
      <c r="U769" s="249"/>
    </row>
    <row r="770" spans="12:21">
      <c r="L770" s="249"/>
      <c r="M770" s="249"/>
      <c r="N770" s="249"/>
      <c r="T770" s="249"/>
      <c r="U770" s="249"/>
    </row>
    <row r="771" spans="12:21">
      <c r="L771" s="249"/>
      <c r="M771" s="249"/>
      <c r="N771" s="249"/>
      <c r="T771" s="249"/>
      <c r="U771" s="249"/>
    </row>
    <row r="772" spans="12:21">
      <c r="L772" s="249"/>
      <c r="M772" s="249"/>
      <c r="N772" s="249"/>
      <c r="T772" s="249"/>
      <c r="U772" s="249"/>
    </row>
    <row r="773" spans="12:21">
      <c r="L773" s="249"/>
      <c r="M773" s="249"/>
      <c r="N773" s="249"/>
      <c r="T773" s="249"/>
      <c r="U773" s="249"/>
    </row>
    <row r="774" spans="12:21">
      <c r="L774" s="249"/>
      <c r="M774" s="249"/>
      <c r="N774" s="249"/>
      <c r="T774" s="249"/>
      <c r="U774" s="249"/>
    </row>
    <row r="775" spans="12:21">
      <c r="L775" s="249"/>
      <c r="M775" s="249"/>
      <c r="N775" s="249"/>
      <c r="T775" s="249"/>
      <c r="U775" s="249"/>
    </row>
    <row r="776" spans="12:21">
      <c r="L776" s="249"/>
      <c r="M776" s="249"/>
      <c r="N776" s="249"/>
      <c r="T776" s="249"/>
      <c r="U776" s="249"/>
    </row>
    <row r="777" spans="12:21">
      <c r="L777" s="249"/>
      <c r="M777" s="249"/>
      <c r="N777" s="249"/>
      <c r="T777" s="249"/>
      <c r="U777" s="249"/>
    </row>
    <row r="778" spans="12:21">
      <c r="L778" s="249"/>
      <c r="M778" s="249"/>
      <c r="N778" s="249"/>
      <c r="T778" s="249"/>
      <c r="U778" s="249"/>
    </row>
    <row r="779" spans="12:21">
      <c r="L779" s="249"/>
      <c r="M779" s="249"/>
      <c r="N779" s="249"/>
      <c r="T779" s="249"/>
      <c r="U779" s="249"/>
    </row>
    <row r="780" spans="12:21">
      <c r="L780" s="249"/>
      <c r="M780" s="249"/>
      <c r="N780" s="249"/>
      <c r="T780" s="249"/>
      <c r="U780" s="249"/>
    </row>
    <row r="781" spans="12:21">
      <c r="L781" s="249"/>
      <c r="M781" s="249"/>
      <c r="N781" s="249"/>
      <c r="T781" s="249"/>
      <c r="U781" s="249"/>
    </row>
    <row r="782" spans="12:21">
      <c r="L782" s="249"/>
      <c r="M782" s="249"/>
      <c r="N782" s="249"/>
      <c r="T782" s="249"/>
      <c r="U782" s="249"/>
    </row>
    <row r="783" spans="12:21">
      <c r="L783" s="249"/>
      <c r="M783" s="249"/>
      <c r="N783" s="249"/>
      <c r="T783" s="249"/>
      <c r="U783" s="249"/>
    </row>
    <row r="784" spans="12:21">
      <c r="L784" s="249"/>
      <c r="M784" s="249"/>
      <c r="N784" s="249"/>
      <c r="T784" s="249"/>
      <c r="U784" s="249"/>
    </row>
    <row r="785" spans="12:21">
      <c r="L785" s="249"/>
      <c r="M785" s="249"/>
      <c r="N785" s="249"/>
      <c r="T785" s="249"/>
      <c r="U785" s="249"/>
    </row>
    <row r="786" spans="12:21">
      <c r="L786" s="249"/>
      <c r="M786" s="249"/>
      <c r="N786" s="249"/>
      <c r="T786" s="249"/>
      <c r="U786" s="249"/>
    </row>
    <row r="787" spans="12:21">
      <c r="L787" s="249"/>
      <c r="M787" s="249"/>
      <c r="N787" s="249"/>
      <c r="T787" s="249"/>
      <c r="U787" s="249"/>
    </row>
    <row r="788" spans="12:21">
      <c r="L788" s="249"/>
      <c r="M788" s="249"/>
      <c r="N788" s="249"/>
      <c r="T788" s="249"/>
      <c r="U788" s="249"/>
    </row>
    <row r="789" spans="12:21">
      <c r="L789" s="249"/>
      <c r="M789" s="249"/>
      <c r="N789" s="249"/>
      <c r="T789" s="249"/>
      <c r="U789" s="249"/>
    </row>
    <row r="790" spans="12:21">
      <c r="L790" s="249"/>
      <c r="M790" s="249"/>
      <c r="N790" s="249"/>
      <c r="T790" s="249"/>
      <c r="U790" s="249"/>
    </row>
    <row r="791" spans="12:21">
      <c r="L791" s="249"/>
      <c r="M791" s="249"/>
      <c r="N791" s="249"/>
      <c r="T791" s="249"/>
      <c r="U791" s="249"/>
    </row>
    <row r="792" spans="12:21">
      <c r="L792" s="249"/>
      <c r="M792" s="249"/>
      <c r="N792" s="249"/>
      <c r="T792" s="249"/>
      <c r="U792" s="249"/>
    </row>
    <row r="793" spans="12:21">
      <c r="L793" s="249"/>
      <c r="M793" s="249"/>
      <c r="N793" s="249"/>
      <c r="T793" s="249"/>
      <c r="U793" s="249"/>
    </row>
    <row r="794" spans="12:21">
      <c r="L794" s="249"/>
      <c r="M794" s="249"/>
      <c r="N794" s="249"/>
      <c r="T794" s="249"/>
      <c r="U794" s="249"/>
    </row>
    <row r="795" spans="12:21">
      <c r="L795" s="249"/>
      <c r="M795" s="249"/>
      <c r="N795" s="249"/>
      <c r="T795" s="249"/>
      <c r="U795" s="249"/>
    </row>
    <row r="796" spans="12:21">
      <c r="L796" s="249"/>
      <c r="M796" s="249"/>
      <c r="N796" s="249"/>
      <c r="T796" s="249"/>
      <c r="U796" s="249"/>
    </row>
    <row r="797" spans="12:21">
      <c r="L797" s="249"/>
      <c r="M797" s="249"/>
      <c r="N797" s="249"/>
      <c r="T797" s="249"/>
      <c r="U797" s="249"/>
    </row>
    <row r="798" spans="12:21">
      <c r="L798" s="249"/>
      <c r="M798" s="249"/>
      <c r="N798" s="249"/>
      <c r="T798" s="249"/>
      <c r="U798" s="249"/>
    </row>
    <row r="799" spans="12:21">
      <c r="L799" s="249"/>
      <c r="M799" s="249"/>
      <c r="N799" s="249"/>
      <c r="T799" s="249"/>
      <c r="U799" s="249"/>
    </row>
    <row r="800" spans="12:21">
      <c r="L800" s="249"/>
      <c r="M800" s="249"/>
      <c r="N800" s="249"/>
      <c r="T800" s="249"/>
      <c r="U800" s="249"/>
    </row>
    <row r="801" spans="12:21">
      <c r="L801" s="249"/>
      <c r="M801" s="249"/>
      <c r="N801" s="249"/>
      <c r="T801" s="249"/>
      <c r="U801" s="249"/>
    </row>
    <row r="802" spans="12:21">
      <c r="L802" s="249"/>
      <c r="M802" s="249"/>
      <c r="N802" s="249"/>
      <c r="T802" s="249"/>
      <c r="U802" s="249"/>
    </row>
    <row r="803" spans="12:21">
      <c r="L803" s="249"/>
      <c r="M803" s="249"/>
      <c r="N803" s="249"/>
      <c r="T803" s="249"/>
      <c r="U803" s="249"/>
    </row>
    <row r="804" spans="12:21">
      <c r="L804" s="249"/>
      <c r="M804" s="249"/>
      <c r="N804" s="249"/>
      <c r="T804" s="249"/>
      <c r="U804" s="249"/>
    </row>
    <row r="805" spans="12:21">
      <c r="L805" s="249"/>
      <c r="M805" s="249"/>
      <c r="N805" s="249"/>
      <c r="T805" s="249"/>
      <c r="U805" s="249"/>
    </row>
    <row r="806" spans="12:21">
      <c r="L806" s="249"/>
      <c r="M806" s="249"/>
      <c r="N806" s="249"/>
      <c r="T806" s="249"/>
      <c r="U806" s="249"/>
    </row>
    <row r="807" spans="12:21">
      <c r="L807" s="249"/>
      <c r="M807" s="249"/>
      <c r="N807" s="249"/>
      <c r="T807" s="249"/>
      <c r="U807" s="249"/>
    </row>
    <row r="808" spans="12:21">
      <c r="L808" s="249"/>
      <c r="M808" s="249"/>
      <c r="N808" s="249"/>
      <c r="T808" s="249"/>
      <c r="U808" s="249"/>
    </row>
    <row r="809" spans="12:21">
      <c r="L809" s="249"/>
      <c r="M809" s="249"/>
      <c r="N809" s="249"/>
      <c r="T809" s="249"/>
      <c r="U809" s="249"/>
    </row>
    <row r="810" spans="12:21">
      <c r="L810" s="249"/>
      <c r="M810" s="249"/>
      <c r="N810" s="249"/>
      <c r="T810" s="249"/>
      <c r="U810" s="249"/>
    </row>
    <row r="811" spans="12:21">
      <c r="L811" s="249"/>
      <c r="M811" s="249"/>
      <c r="N811" s="249"/>
      <c r="T811" s="249"/>
      <c r="U811" s="249"/>
    </row>
    <row r="812" spans="12:21">
      <c r="L812" s="249"/>
      <c r="M812" s="249"/>
      <c r="N812" s="249"/>
      <c r="T812" s="249"/>
      <c r="U812" s="249"/>
    </row>
    <row r="813" spans="12:21">
      <c r="L813" s="249"/>
      <c r="M813" s="249"/>
      <c r="N813" s="249"/>
      <c r="T813" s="249"/>
      <c r="U813" s="249"/>
    </row>
    <row r="814" spans="12:21">
      <c r="L814" s="249"/>
      <c r="M814" s="249"/>
      <c r="N814" s="249"/>
      <c r="T814" s="249"/>
      <c r="U814" s="249"/>
    </row>
    <row r="815" spans="12:21">
      <c r="L815" s="249"/>
      <c r="M815" s="249"/>
      <c r="N815" s="249"/>
      <c r="T815" s="249"/>
      <c r="U815" s="249"/>
    </row>
    <row r="816" spans="12:21">
      <c r="L816" s="249"/>
      <c r="M816" s="249"/>
      <c r="N816" s="249"/>
      <c r="T816" s="249"/>
      <c r="U816" s="249"/>
    </row>
    <row r="817" spans="12:21">
      <c r="L817" s="249"/>
      <c r="M817" s="249"/>
      <c r="N817" s="249"/>
      <c r="T817" s="249"/>
      <c r="U817" s="249"/>
    </row>
    <row r="818" spans="12:21">
      <c r="L818" s="249"/>
      <c r="M818" s="249"/>
      <c r="N818" s="249"/>
      <c r="T818" s="249"/>
      <c r="U818" s="249"/>
    </row>
    <row r="819" spans="12:21">
      <c r="L819" s="249"/>
      <c r="M819" s="249"/>
      <c r="N819" s="249"/>
      <c r="T819" s="249"/>
      <c r="U819" s="249"/>
    </row>
    <row r="820" spans="12:21">
      <c r="L820" s="249"/>
      <c r="M820" s="249"/>
      <c r="N820" s="249"/>
      <c r="T820" s="249"/>
      <c r="U820" s="249"/>
    </row>
    <row r="821" spans="12:21">
      <c r="L821" s="249"/>
      <c r="M821" s="249"/>
      <c r="N821" s="249"/>
      <c r="T821" s="249"/>
      <c r="U821" s="249"/>
    </row>
    <row r="822" spans="12:21">
      <c r="L822" s="249"/>
      <c r="M822" s="249"/>
      <c r="N822" s="249"/>
      <c r="T822" s="249"/>
      <c r="U822" s="249"/>
    </row>
    <row r="823" spans="12:21">
      <c r="L823" s="249"/>
      <c r="M823" s="249"/>
      <c r="N823" s="249"/>
      <c r="T823" s="249"/>
      <c r="U823" s="249"/>
    </row>
    <row r="824" spans="12:21">
      <c r="L824" s="249"/>
      <c r="M824" s="249"/>
      <c r="N824" s="249"/>
      <c r="T824" s="249"/>
      <c r="U824" s="249"/>
    </row>
    <row r="825" spans="12:21">
      <c r="L825" s="249"/>
      <c r="M825" s="249"/>
      <c r="N825" s="249"/>
      <c r="T825" s="249"/>
      <c r="U825" s="249"/>
    </row>
    <row r="826" spans="12:21">
      <c r="L826" s="249"/>
      <c r="M826" s="249"/>
      <c r="N826" s="249"/>
      <c r="T826" s="249"/>
      <c r="U826" s="249"/>
    </row>
    <row r="827" spans="12:21">
      <c r="L827" s="249"/>
      <c r="M827" s="249"/>
      <c r="N827" s="249"/>
      <c r="T827" s="249"/>
      <c r="U827" s="249"/>
    </row>
    <row r="828" spans="12:21">
      <c r="L828" s="249"/>
      <c r="M828" s="249"/>
      <c r="N828" s="249"/>
      <c r="T828" s="249"/>
      <c r="U828" s="249"/>
    </row>
    <row r="829" spans="12:21">
      <c r="L829" s="249"/>
      <c r="M829" s="249"/>
      <c r="N829" s="249"/>
      <c r="T829" s="249"/>
      <c r="U829" s="249"/>
    </row>
    <row r="830" spans="12:21">
      <c r="L830" s="249"/>
      <c r="M830" s="249"/>
      <c r="N830" s="249"/>
      <c r="T830" s="249"/>
      <c r="U830" s="249"/>
    </row>
    <row r="831" spans="12:21">
      <c r="L831" s="249"/>
      <c r="M831" s="249"/>
      <c r="N831" s="249"/>
      <c r="T831" s="249"/>
      <c r="U831" s="249"/>
    </row>
    <row r="832" spans="12:21">
      <c r="L832" s="249"/>
      <c r="M832" s="249"/>
      <c r="N832" s="249"/>
      <c r="T832" s="249"/>
      <c r="U832" s="249"/>
    </row>
    <row r="833" spans="12:21">
      <c r="L833" s="249"/>
      <c r="M833" s="249"/>
      <c r="N833" s="249"/>
      <c r="T833" s="249"/>
      <c r="U833" s="249"/>
    </row>
    <row r="834" spans="12:21">
      <c r="L834" s="249"/>
      <c r="M834" s="249"/>
      <c r="N834" s="249"/>
      <c r="T834" s="249"/>
      <c r="U834" s="249"/>
    </row>
    <row r="835" spans="12:21">
      <c r="L835" s="249"/>
      <c r="M835" s="249"/>
      <c r="N835" s="249"/>
      <c r="T835" s="249"/>
      <c r="U835" s="249"/>
    </row>
    <row r="836" spans="12:21">
      <c r="L836" s="249"/>
      <c r="M836" s="249"/>
      <c r="N836" s="249"/>
      <c r="T836" s="249"/>
      <c r="U836" s="249"/>
    </row>
    <row r="837" spans="12:21">
      <c r="L837" s="249"/>
      <c r="M837" s="249"/>
      <c r="N837" s="249"/>
      <c r="T837" s="249"/>
      <c r="U837" s="249"/>
    </row>
    <row r="838" spans="12:21">
      <c r="L838" s="249"/>
      <c r="M838" s="249"/>
      <c r="N838" s="249"/>
      <c r="T838" s="249"/>
      <c r="U838" s="249"/>
    </row>
    <row r="839" spans="12:21">
      <c r="L839" s="249"/>
      <c r="M839" s="249"/>
      <c r="N839" s="249"/>
      <c r="T839" s="249"/>
      <c r="U839" s="249"/>
    </row>
    <row r="840" spans="12:21">
      <c r="L840" s="249"/>
      <c r="M840" s="249"/>
      <c r="N840" s="249"/>
      <c r="T840" s="249"/>
      <c r="U840" s="249"/>
    </row>
    <row r="841" spans="12:21">
      <c r="L841" s="249"/>
      <c r="M841" s="249"/>
      <c r="N841" s="249"/>
      <c r="T841" s="249"/>
      <c r="U841" s="249"/>
    </row>
    <row r="842" spans="12:21">
      <c r="L842" s="249"/>
      <c r="M842" s="249"/>
      <c r="N842" s="249"/>
      <c r="T842" s="249"/>
      <c r="U842" s="249"/>
    </row>
    <row r="843" spans="12:21">
      <c r="L843" s="249"/>
      <c r="M843" s="249"/>
      <c r="N843" s="249"/>
      <c r="T843" s="249"/>
      <c r="U843" s="249"/>
    </row>
    <row r="844" spans="12:21">
      <c r="L844" s="249"/>
      <c r="M844" s="249"/>
      <c r="N844" s="249"/>
      <c r="T844" s="249"/>
      <c r="U844" s="249"/>
    </row>
    <row r="845" spans="12:21">
      <c r="L845" s="249"/>
      <c r="M845" s="249"/>
      <c r="N845" s="249"/>
      <c r="T845" s="249"/>
      <c r="U845" s="249"/>
    </row>
    <row r="846" spans="12:21">
      <c r="L846" s="249"/>
      <c r="M846" s="249"/>
      <c r="N846" s="249"/>
      <c r="T846" s="249"/>
      <c r="U846" s="249"/>
    </row>
    <row r="847" spans="12:21">
      <c r="L847" s="249"/>
      <c r="M847" s="249"/>
      <c r="N847" s="249"/>
      <c r="T847" s="249"/>
      <c r="U847" s="249"/>
    </row>
    <row r="848" spans="12:21">
      <c r="L848" s="249"/>
      <c r="M848" s="249"/>
      <c r="N848" s="249"/>
      <c r="T848" s="249"/>
      <c r="U848" s="249"/>
    </row>
    <row r="849" spans="12:21">
      <c r="L849" s="249"/>
      <c r="M849" s="249"/>
      <c r="N849" s="249"/>
      <c r="T849" s="249"/>
      <c r="U849" s="249"/>
    </row>
    <row r="850" spans="12:21">
      <c r="L850" s="249"/>
      <c r="M850" s="249"/>
      <c r="N850" s="249"/>
      <c r="T850" s="249"/>
      <c r="U850" s="249"/>
    </row>
    <row r="851" spans="12:21">
      <c r="L851" s="249"/>
      <c r="M851" s="249"/>
      <c r="N851" s="249"/>
      <c r="T851" s="249"/>
      <c r="U851" s="249"/>
    </row>
    <row r="852" spans="12:21">
      <c r="L852" s="249"/>
      <c r="M852" s="249"/>
      <c r="N852" s="249"/>
      <c r="T852" s="249"/>
      <c r="U852" s="249"/>
    </row>
    <row r="853" spans="12:21">
      <c r="L853" s="249"/>
      <c r="M853" s="249"/>
      <c r="N853" s="249"/>
      <c r="T853" s="249"/>
      <c r="U853" s="249"/>
    </row>
    <row r="854" spans="12:21">
      <c r="L854" s="249"/>
      <c r="M854" s="249"/>
      <c r="N854" s="249"/>
      <c r="T854" s="249"/>
      <c r="U854" s="249"/>
    </row>
    <row r="855" spans="12:21">
      <c r="L855" s="249"/>
      <c r="M855" s="249"/>
      <c r="N855" s="249"/>
      <c r="T855" s="249"/>
      <c r="U855" s="249"/>
    </row>
    <row r="856" spans="12:21">
      <c r="L856" s="249"/>
      <c r="M856" s="249"/>
      <c r="N856" s="249"/>
      <c r="T856" s="249"/>
      <c r="U856" s="249"/>
    </row>
    <row r="857" spans="12:21">
      <c r="L857" s="249"/>
      <c r="M857" s="249"/>
      <c r="N857" s="249"/>
      <c r="T857" s="249"/>
      <c r="U857" s="249"/>
    </row>
    <row r="858" spans="12:21">
      <c r="L858" s="249"/>
      <c r="M858" s="249"/>
      <c r="N858" s="249"/>
      <c r="T858" s="249"/>
      <c r="U858" s="249"/>
    </row>
    <row r="859" spans="12:21">
      <c r="L859" s="249"/>
      <c r="M859" s="249"/>
      <c r="N859" s="249"/>
      <c r="T859" s="249"/>
      <c r="U859" s="249"/>
    </row>
    <row r="860" spans="12:21">
      <c r="L860" s="249"/>
      <c r="M860" s="249"/>
      <c r="N860" s="249"/>
      <c r="T860" s="249"/>
      <c r="U860" s="249"/>
    </row>
    <row r="861" spans="12:21">
      <c r="L861" s="249"/>
      <c r="M861" s="249"/>
      <c r="N861" s="249"/>
      <c r="T861" s="249"/>
      <c r="U861" s="249"/>
    </row>
    <row r="862" spans="12:21">
      <c r="L862" s="249"/>
      <c r="M862" s="249"/>
      <c r="N862" s="249"/>
      <c r="T862" s="249"/>
      <c r="U862" s="249"/>
    </row>
    <row r="863" spans="12:21">
      <c r="L863" s="249"/>
      <c r="M863" s="249"/>
      <c r="N863" s="249"/>
      <c r="T863" s="249"/>
      <c r="U863" s="249"/>
    </row>
    <row r="864" spans="12:21">
      <c r="L864" s="249"/>
      <c r="M864" s="249"/>
      <c r="N864" s="249"/>
      <c r="T864" s="249"/>
      <c r="U864" s="249"/>
    </row>
    <row r="865" spans="12:21">
      <c r="L865" s="249"/>
      <c r="M865" s="249"/>
      <c r="N865" s="249"/>
      <c r="T865" s="249"/>
      <c r="U865" s="249"/>
    </row>
    <row r="866" spans="12:21">
      <c r="L866" s="249"/>
      <c r="M866" s="249"/>
      <c r="N866" s="249"/>
      <c r="T866" s="249"/>
      <c r="U866" s="249"/>
    </row>
    <row r="867" spans="12:21">
      <c r="L867" s="249"/>
      <c r="M867" s="249"/>
      <c r="N867" s="249"/>
      <c r="T867" s="249"/>
      <c r="U867" s="249"/>
    </row>
    <row r="868" spans="12:21">
      <c r="L868" s="249"/>
      <c r="M868" s="249"/>
      <c r="N868" s="249"/>
      <c r="T868" s="249"/>
      <c r="U868" s="249"/>
    </row>
    <row r="869" spans="12:21">
      <c r="L869" s="249"/>
      <c r="M869" s="249"/>
      <c r="N869" s="249"/>
      <c r="T869" s="249"/>
      <c r="U869" s="249"/>
    </row>
    <row r="870" spans="12:21">
      <c r="L870" s="249"/>
      <c r="M870" s="249"/>
      <c r="N870" s="249"/>
      <c r="T870" s="249"/>
      <c r="U870" s="249"/>
    </row>
    <row r="871" spans="12:21">
      <c r="L871" s="249"/>
      <c r="M871" s="249"/>
      <c r="N871" s="249"/>
      <c r="T871" s="249"/>
      <c r="U871" s="249"/>
    </row>
    <row r="872" spans="12:21">
      <c r="L872" s="249"/>
      <c r="M872" s="249"/>
      <c r="N872" s="249"/>
      <c r="T872" s="249"/>
      <c r="U872" s="249"/>
    </row>
    <row r="873" spans="12:21">
      <c r="L873" s="249"/>
      <c r="M873" s="249"/>
      <c r="N873" s="249"/>
      <c r="T873" s="249"/>
      <c r="U873" s="249"/>
    </row>
    <row r="874" spans="12:21">
      <c r="L874" s="249"/>
      <c r="M874" s="249"/>
      <c r="N874" s="249"/>
      <c r="T874" s="249"/>
      <c r="U874" s="249"/>
    </row>
    <row r="875" spans="12:21">
      <c r="L875" s="249"/>
      <c r="M875" s="249"/>
      <c r="N875" s="249"/>
      <c r="T875" s="249"/>
      <c r="U875" s="249"/>
    </row>
    <row r="876" spans="12:21">
      <c r="L876" s="249"/>
      <c r="M876" s="249"/>
      <c r="N876" s="249"/>
      <c r="T876" s="249"/>
      <c r="U876" s="249"/>
    </row>
    <row r="877" spans="12:21">
      <c r="L877" s="249"/>
      <c r="M877" s="249"/>
      <c r="N877" s="249"/>
      <c r="T877" s="249"/>
      <c r="U877" s="249"/>
    </row>
    <row r="878" spans="12:21">
      <c r="L878" s="249"/>
      <c r="M878" s="249"/>
      <c r="N878" s="249"/>
      <c r="T878" s="249"/>
      <c r="U878" s="249"/>
    </row>
    <row r="879" spans="12:21">
      <c r="L879" s="249"/>
      <c r="M879" s="249"/>
      <c r="N879" s="249"/>
      <c r="T879" s="249"/>
      <c r="U879" s="249"/>
    </row>
    <row r="880" spans="12:21">
      <c r="L880" s="249"/>
      <c r="M880" s="249"/>
      <c r="N880" s="249"/>
      <c r="T880" s="249"/>
      <c r="U880" s="249"/>
    </row>
    <row r="881" spans="12:21">
      <c r="L881" s="249"/>
      <c r="M881" s="249"/>
      <c r="N881" s="249"/>
      <c r="T881" s="249"/>
      <c r="U881" s="249"/>
    </row>
    <row r="882" spans="12:21">
      <c r="L882" s="249"/>
      <c r="M882" s="249"/>
      <c r="N882" s="249"/>
      <c r="T882" s="249"/>
      <c r="U882" s="249"/>
    </row>
    <row r="883" spans="12:21">
      <c r="L883" s="249"/>
      <c r="M883" s="249"/>
      <c r="N883" s="249"/>
      <c r="T883" s="249"/>
      <c r="U883" s="249"/>
    </row>
    <row r="884" spans="12:21">
      <c r="L884" s="249"/>
      <c r="M884" s="249"/>
      <c r="N884" s="249"/>
      <c r="T884" s="249"/>
      <c r="U884" s="249"/>
    </row>
    <row r="885" spans="12:21">
      <c r="L885" s="249"/>
      <c r="M885" s="249"/>
      <c r="N885" s="249"/>
      <c r="T885" s="249"/>
      <c r="U885" s="249"/>
    </row>
    <row r="886" spans="12:21">
      <c r="L886" s="249"/>
      <c r="M886" s="249"/>
      <c r="N886" s="249"/>
      <c r="T886" s="249"/>
      <c r="U886" s="249"/>
    </row>
    <row r="887" spans="12:21">
      <c r="L887" s="249"/>
      <c r="M887" s="249"/>
      <c r="N887" s="249"/>
      <c r="T887" s="249"/>
      <c r="U887" s="249"/>
    </row>
    <row r="888" spans="12:21">
      <c r="L888" s="249"/>
      <c r="M888" s="249"/>
      <c r="N888" s="249"/>
      <c r="T888" s="249"/>
      <c r="U888" s="249"/>
    </row>
    <row r="889" spans="12:21">
      <c r="L889" s="249"/>
      <c r="M889" s="249"/>
      <c r="N889" s="249"/>
      <c r="T889" s="249"/>
      <c r="U889" s="249"/>
    </row>
    <row r="890" spans="12:21">
      <c r="L890" s="249"/>
      <c r="M890" s="249"/>
      <c r="N890" s="249"/>
      <c r="T890" s="249"/>
      <c r="U890" s="249"/>
    </row>
    <row r="891" spans="12:21">
      <c r="L891" s="249"/>
      <c r="M891" s="249"/>
      <c r="N891" s="249"/>
      <c r="T891" s="249"/>
      <c r="U891" s="249"/>
    </row>
    <row r="892" spans="12:21">
      <c r="L892" s="249"/>
      <c r="M892" s="249"/>
      <c r="N892" s="249"/>
      <c r="T892" s="249"/>
      <c r="U892" s="249"/>
    </row>
    <row r="893" spans="12:21">
      <c r="L893" s="249"/>
      <c r="M893" s="249"/>
      <c r="N893" s="249"/>
      <c r="T893" s="249"/>
      <c r="U893" s="249"/>
    </row>
    <row r="894" spans="12:21">
      <c r="L894" s="249"/>
      <c r="M894" s="249"/>
      <c r="N894" s="249"/>
      <c r="T894" s="249"/>
      <c r="U894" s="249"/>
    </row>
    <row r="895" spans="12:21">
      <c r="L895" s="249"/>
      <c r="M895" s="249"/>
      <c r="N895" s="249"/>
      <c r="T895" s="249"/>
      <c r="U895" s="249"/>
    </row>
    <row r="896" spans="12:21">
      <c r="L896" s="249"/>
      <c r="M896" s="249"/>
      <c r="N896" s="249"/>
      <c r="T896" s="249"/>
      <c r="U896" s="249"/>
    </row>
    <row r="897" spans="12:21">
      <c r="L897" s="249"/>
      <c r="M897" s="249"/>
      <c r="N897" s="249"/>
      <c r="T897" s="249"/>
      <c r="U897" s="249"/>
    </row>
    <row r="898" spans="12:21">
      <c r="L898" s="249"/>
      <c r="M898" s="249"/>
      <c r="N898" s="249"/>
      <c r="T898" s="249"/>
      <c r="U898" s="249"/>
    </row>
    <row r="899" spans="12:21">
      <c r="L899" s="249"/>
      <c r="M899" s="249"/>
      <c r="N899" s="249"/>
      <c r="T899" s="249"/>
      <c r="U899" s="249"/>
    </row>
    <row r="900" spans="12:21">
      <c r="L900" s="249"/>
      <c r="M900" s="249"/>
      <c r="N900" s="249"/>
      <c r="T900" s="249"/>
      <c r="U900" s="249"/>
    </row>
    <row r="901" spans="12:21">
      <c r="L901" s="249"/>
      <c r="M901" s="249"/>
      <c r="N901" s="249"/>
      <c r="T901" s="249"/>
      <c r="U901" s="249"/>
    </row>
    <row r="902" spans="12:21">
      <c r="L902" s="249"/>
      <c r="M902" s="249"/>
      <c r="N902" s="249"/>
      <c r="T902" s="249"/>
      <c r="U902" s="249"/>
    </row>
    <row r="903" spans="12:21">
      <c r="L903" s="249"/>
      <c r="M903" s="249"/>
      <c r="N903" s="249"/>
      <c r="T903" s="249"/>
      <c r="U903" s="249"/>
    </row>
    <row r="904" spans="12:21">
      <c r="L904" s="249"/>
      <c r="M904" s="249"/>
      <c r="N904" s="249"/>
      <c r="T904" s="249"/>
      <c r="U904" s="249"/>
    </row>
    <row r="905" spans="12:21">
      <c r="L905" s="249"/>
      <c r="M905" s="249"/>
      <c r="N905" s="249"/>
      <c r="T905" s="249"/>
      <c r="U905" s="249"/>
    </row>
    <row r="906" spans="12:21">
      <c r="L906" s="249"/>
      <c r="M906" s="249"/>
      <c r="N906" s="249"/>
      <c r="T906" s="249"/>
      <c r="U906" s="249"/>
    </row>
    <row r="907" spans="12:21">
      <c r="L907" s="249"/>
      <c r="M907" s="249"/>
      <c r="N907" s="249"/>
      <c r="T907" s="249"/>
      <c r="U907" s="249"/>
    </row>
    <row r="908" spans="12:21">
      <c r="L908" s="249"/>
      <c r="M908" s="249"/>
      <c r="N908" s="249"/>
      <c r="T908" s="249"/>
      <c r="U908" s="249"/>
    </row>
    <row r="909" spans="12:21">
      <c r="L909" s="249"/>
      <c r="M909" s="249"/>
      <c r="N909" s="249"/>
      <c r="T909" s="249"/>
      <c r="U909" s="249"/>
    </row>
    <row r="910" spans="12:21">
      <c r="L910" s="249"/>
      <c r="M910" s="249"/>
      <c r="N910" s="249"/>
      <c r="T910" s="249"/>
      <c r="U910" s="249"/>
    </row>
    <row r="911" spans="12:21">
      <c r="L911" s="249"/>
      <c r="M911" s="249"/>
      <c r="N911" s="249"/>
      <c r="T911" s="249"/>
      <c r="U911" s="249"/>
    </row>
    <row r="912" spans="12:21">
      <c r="L912" s="249"/>
      <c r="M912" s="249"/>
      <c r="N912" s="249"/>
      <c r="T912" s="249"/>
      <c r="U912" s="249"/>
    </row>
    <row r="913" spans="12:21">
      <c r="L913" s="249"/>
      <c r="M913" s="249"/>
      <c r="N913" s="249"/>
      <c r="T913" s="249"/>
      <c r="U913" s="249"/>
    </row>
    <row r="914" spans="12:21">
      <c r="L914" s="249"/>
      <c r="M914" s="249"/>
      <c r="N914" s="249"/>
      <c r="T914" s="249"/>
      <c r="U914" s="249"/>
    </row>
    <row r="915" spans="12:21">
      <c r="L915" s="249"/>
      <c r="M915" s="249"/>
      <c r="N915" s="249"/>
      <c r="T915" s="249"/>
      <c r="U915" s="249"/>
    </row>
    <row r="916" spans="12:21">
      <c r="L916" s="249"/>
      <c r="M916" s="249"/>
      <c r="N916" s="249"/>
      <c r="T916" s="249"/>
      <c r="U916" s="249"/>
    </row>
    <row r="917" spans="12:21">
      <c r="L917" s="249"/>
      <c r="M917" s="249"/>
      <c r="N917" s="249"/>
      <c r="T917" s="249"/>
      <c r="U917" s="249"/>
    </row>
    <row r="918" spans="12:21">
      <c r="L918" s="249"/>
      <c r="M918" s="249"/>
      <c r="N918" s="249"/>
      <c r="T918" s="249"/>
      <c r="U918" s="249"/>
    </row>
    <row r="919" spans="12:21">
      <c r="L919" s="249"/>
      <c r="M919" s="249"/>
      <c r="N919" s="249"/>
      <c r="T919" s="249"/>
      <c r="U919" s="249"/>
    </row>
    <row r="920" spans="12:21">
      <c r="L920" s="249"/>
      <c r="M920" s="249"/>
      <c r="N920" s="249"/>
      <c r="T920" s="249"/>
      <c r="U920" s="249"/>
    </row>
    <row r="921" spans="12:21">
      <c r="L921" s="249"/>
      <c r="M921" s="249"/>
      <c r="N921" s="249"/>
      <c r="T921" s="249"/>
      <c r="U921" s="249"/>
    </row>
    <row r="922" spans="12:21">
      <c r="L922" s="249"/>
      <c r="M922" s="249"/>
      <c r="N922" s="249"/>
      <c r="T922" s="249"/>
      <c r="U922" s="249"/>
    </row>
    <row r="923" spans="12:21">
      <c r="L923" s="249"/>
      <c r="M923" s="249"/>
      <c r="N923" s="249"/>
      <c r="T923" s="249"/>
      <c r="U923" s="249"/>
    </row>
    <row r="924" spans="12:21">
      <c r="L924" s="249"/>
      <c r="M924" s="249"/>
      <c r="N924" s="249"/>
      <c r="T924" s="249"/>
      <c r="U924" s="249"/>
    </row>
    <row r="925" spans="12:21">
      <c r="L925" s="249"/>
      <c r="M925" s="249"/>
      <c r="N925" s="249"/>
      <c r="T925" s="249"/>
      <c r="U925" s="249"/>
    </row>
    <row r="926" spans="12:21">
      <c r="L926" s="249"/>
      <c r="M926" s="249"/>
      <c r="N926" s="249"/>
      <c r="T926" s="249"/>
      <c r="U926" s="249"/>
    </row>
    <row r="927" spans="12:21">
      <c r="L927" s="249"/>
      <c r="M927" s="249"/>
      <c r="N927" s="249"/>
      <c r="T927" s="249"/>
      <c r="U927" s="249"/>
    </row>
    <row r="928" spans="12:21">
      <c r="L928" s="249"/>
      <c r="M928" s="249"/>
      <c r="N928" s="249"/>
      <c r="T928" s="249"/>
      <c r="U928" s="249"/>
    </row>
    <row r="929" spans="12:21">
      <c r="L929" s="249"/>
      <c r="M929" s="249"/>
      <c r="N929" s="249"/>
      <c r="T929" s="249"/>
      <c r="U929" s="249"/>
    </row>
    <row r="930" spans="12:21">
      <c r="L930" s="249"/>
      <c r="M930" s="249"/>
      <c r="N930" s="249"/>
      <c r="T930" s="249"/>
      <c r="U930" s="249"/>
    </row>
    <row r="931" spans="12:21">
      <c r="L931" s="249"/>
      <c r="M931" s="249"/>
      <c r="N931" s="249"/>
      <c r="T931" s="249"/>
      <c r="U931" s="249"/>
    </row>
    <row r="932" spans="12:21">
      <c r="L932" s="249"/>
      <c r="M932" s="249"/>
      <c r="N932" s="249"/>
      <c r="T932" s="249"/>
      <c r="U932" s="249"/>
    </row>
    <row r="933" spans="12:21">
      <c r="L933" s="249"/>
      <c r="M933" s="249"/>
      <c r="N933" s="249"/>
      <c r="T933" s="249"/>
      <c r="U933" s="249"/>
    </row>
    <row r="934" spans="12:21">
      <c r="L934" s="249"/>
      <c r="M934" s="249"/>
      <c r="N934" s="249"/>
      <c r="T934" s="249"/>
      <c r="U934" s="249"/>
    </row>
    <row r="935" spans="12:21">
      <c r="L935" s="249"/>
      <c r="M935" s="249"/>
      <c r="N935" s="249"/>
      <c r="T935" s="249"/>
      <c r="U935" s="249"/>
    </row>
    <row r="936" spans="12:21">
      <c r="L936" s="249"/>
      <c r="M936" s="249"/>
      <c r="N936" s="249"/>
      <c r="T936" s="249"/>
      <c r="U936" s="249"/>
    </row>
    <row r="937" spans="12:21">
      <c r="L937" s="249"/>
      <c r="M937" s="249"/>
      <c r="N937" s="249"/>
      <c r="T937" s="249"/>
      <c r="U937" s="249"/>
    </row>
    <row r="938" spans="12:21">
      <c r="L938" s="249"/>
      <c r="M938" s="249"/>
      <c r="N938" s="249"/>
      <c r="T938" s="249"/>
      <c r="U938" s="249"/>
    </row>
    <row r="939" spans="12:21">
      <c r="L939" s="249"/>
      <c r="M939" s="249"/>
      <c r="N939" s="249"/>
      <c r="T939" s="249"/>
      <c r="U939" s="249"/>
    </row>
    <row r="940" spans="12:21">
      <c r="L940" s="249"/>
      <c r="M940" s="249"/>
      <c r="N940" s="249"/>
      <c r="T940" s="249"/>
      <c r="U940" s="249"/>
    </row>
    <row r="941" spans="12:21">
      <c r="L941" s="249"/>
      <c r="M941" s="249"/>
      <c r="N941" s="249"/>
      <c r="T941" s="249"/>
      <c r="U941" s="249"/>
    </row>
    <row r="942" spans="12:21">
      <c r="L942" s="249"/>
      <c r="M942" s="249"/>
      <c r="N942" s="249"/>
      <c r="T942" s="249"/>
      <c r="U942" s="249"/>
    </row>
    <row r="943" spans="12:21">
      <c r="L943" s="249"/>
      <c r="M943" s="249"/>
      <c r="N943" s="249"/>
      <c r="T943" s="249"/>
      <c r="U943" s="249"/>
    </row>
    <row r="944" spans="12:21">
      <c r="L944" s="249"/>
      <c r="M944" s="249"/>
      <c r="N944" s="249"/>
      <c r="T944" s="249"/>
      <c r="U944" s="249"/>
    </row>
    <row r="945" spans="12:21">
      <c r="L945" s="249"/>
      <c r="M945" s="249"/>
      <c r="N945" s="249"/>
      <c r="T945" s="249"/>
      <c r="U945" s="249"/>
    </row>
    <row r="946" spans="12:21">
      <c r="L946" s="249"/>
      <c r="M946" s="249"/>
      <c r="N946" s="249"/>
      <c r="T946" s="249"/>
      <c r="U946" s="249"/>
    </row>
    <row r="947" spans="12:21">
      <c r="L947" s="249"/>
      <c r="M947" s="249"/>
      <c r="N947" s="249"/>
      <c r="T947" s="249"/>
      <c r="U947" s="249"/>
    </row>
    <row r="948" spans="12:21">
      <c r="L948" s="249"/>
      <c r="M948" s="249"/>
      <c r="N948" s="249"/>
      <c r="T948" s="249"/>
      <c r="U948" s="249"/>
    </row>
    <row r="949" spans="12:21">
      <c r="L949" s="249"/>
      <c r="M949" s="249"/>
      <c r="N949" s="249"/>
      <c r="T949" s="249"/>
      <c r="U949" s="249"/>
    </row>
    <row r="950" spans="12:21">
      <c r="L950" s="249"/>
      <c r="M950" s="249"/>
      <c r="N950" s="249"/>
      <c r="T950" s="249"/>
      <c r="U950" s="249"/>
    </row>
    <row r="951" spans="12:21">
      <c r="L951" s="249"/>
      <c r="M951" s="249"/>
      <c r="N951" s="249"/>
      <c r="T951" s="249"/>
      <c r="U951" s="249"/>
    </row>
    <row r="952" spans="12:21">
      <c r="L952" s="249"/>
      <c r="M952" s="249"/>
      <c r="N952" s="249"/>
      <c r="T952" s="249"/>
      <c r="U952" s="249"/>
    </row>
    <row r="953" spans="12:21">
      <c r="L953" s="249"/>
      <c r="M953" s="249"/>
      <c r="N953" s="249"/>
      <c r="T953" s="249"/>
      <c r="U953" s="249"/>
    </row>
    <row r="954" spans="12:21">
      <c r="L954" s="249"/>
      <c r="M954" s="249"/>
      <c r="N954" s="249"/>
      <c r="T954" s="249"/>
      <c r="U954" s="249"/>
    </row>
    <row r="955" spans="12:21">
      <c r="L955" s="249"/>
      <c r="M955" s="249"/>
      <c r="N955" s="249"/>
      <c r="T955" s="249"/>
      <c r="U955" s="249"/>
    </row>
    <row r="956" spans="12:21">
      <c r="L956" s="249"/>
      <c r="M956" s="249"/>
      <c r="N956" s="249"/>
      <c r="T956" s="249"/>
      <c r="U956" s="249"/>
    </row>
    <row r="957" spans="12:21">
      <c r="L957" s="249"/>
      <c r="M957" s="249"/>
      <c r="N957" s="249"/>
      <c r="T957" s="249"/>
      <c r="U957" s="249"/>
    </row>
    <row r="958" spans="12:21">
      <c r="L958" s="249"/>
      <c r="M958" s="249"/>
      <c r="N958" s="249"/>
      <c r="T958" s="249"/>
      <c r="U958" s="249"/>
    </row>
    <row r="959" spans="12:21">
      <c r="L959" s="249"/>
      <c r="M959" s="249"/>
      <c r="N959" s="249"/>
      <c r="T959" s="249"/>
      <c r="U959" s="249"/>
    </row>
    <row r="960" spans="12:21">
      <c r="L960" s="249"/>
      <c r="M960" s="249"/>
      <c r="N960" s="249"/>
      <c r="T960" s="249"/>
      <c r="U960" s="249"/>
    </row>
    <row r="961" spans="12:21">
      <c r="L961" s="249"/>
      <c r="M961" s="249"/>
      <c r="N961" s="249"/>
      <c r="T961" s="249"/>
      <c r="U961" s="249"/>
    </row>
    <row r="962" spans="12:21">
      <c r="L962" s="249"/>
      <c r="M962" s="249"/>
      <c r="N962" s="249"/>
      <c r="T962" s="249"/>
      <c r="U962" s="249"/>
    </row>
    <row r="963" spans="12:21">
      <c r="L963" s="249"/>
      <c r="M963" s="249"/>
      <c r="N963" s="249"/>
      <c r="T963" s="249"/>
      <c r="U963" s="249"/>
    </row>
    <row r="964" spans="12:21">
      <c r="L964" s="249"/>
      <c r="M964" s="249"/>
      <c r="N964" s="249"/>
      <c r="T964" s="249"/>
      <c r="U964" s="249"/>
    </row>
    <row r="965" spans="12:21">
      <c r="L965" s="249"/>
      <c r="M965" s="249"/>
      <c r="N965" s="249"/>
      <c r="T965" s="249"/>
      <c r="U965" s="249"/>
    </row>
    <row r="966" spans="12:21">
      <c r="L966" s="249"/>
      <c r="M966" s="249"/>
      <c r="N966" s="249"/>
      <c r="T966" s="249"/>
      <c r="U966" s="249"/>
    </row>
    <row r="967" spans="12:21">
      <c r="L967" s="249"/>
      <c r="M967" s="249"/>
      <c r="N967" s="249"/>
      <c r="T967" s="249"/>
      <c r="U967" s="249"/>
    </row>
    <row r="968" spans="12:21">
      <c r="L968" s="249"/>
      <c r="M968" s="249"/>
      <c r="N968" s="249"/>
      <c r="T968" s="249"/>
      <c r="U968" s="249"/>
    </row>
    <row r="969" spans="12:21">
      <c r="L969" s="249"/>
      <c r="M969" s="249"/>
      <c r="N969" s="249"/>
      <c r="T969" s="249"/>
      <c r="U969" s="249"/>
    </row>
    <row r="970" spans="12:21">
      <c r="L970" s="249"/>
      <c r="M970" s="249"/>
      <c r="N970" s="249"/>
      <c r="T970" s="249"/>
      <c r="U970" s="249"/>
    </row>
    <row r="971" spans="12:21">
      <c r="L971" s="249"/>
      <c r="M971" s="249"/>
      <c r="N971" s="249"/>
      <c r="T971" s="249"/>
      <c r="U971" s="249"/>
    </row>
    <row r="972" spans="12:21">
      <c r="L972" s="249"/>
      <c r="M972" s="249"/>
      <c r="N972" s="249"/>
      <c r="T972" s="249"/>
      <c r="U972" s="249"/>
    </row>
    <row r="973" spans="12:21">
      <c r="L973" s="249"/>
      <c r="M973" s="249"/>
      <c r="N973" s="249"/>
      <c r="T973" s="249"/>
      <c r="U973" s="249"/>
    </row>
    <row r="974" spans="12:21">
      <c r="L974" s="249"/>
      <c r="M974" s="249"/>
      <c r="N974" s="249"/>
      <c r="T974" s="249"/>
      <c r="U974" s="249"/>
    </row>
    <row r="975" spans="12:21">
      <c r="L975" s="249"/>
      <c r="M975" s="249"/>
      <c r="N975" s="249"/>
      <c r="T975" s="249"/>
      <c r="U975" s="249"/>
    </row>
    <row r="976" spans="12:21">
      <c r="L976" s="249"/>
      <c r="M976" s="249"/>
      <c r="N976" s="249"/>
      <c r="T976" s="249"/>
      <c r="U976" s="249"/>
    </row>
    <row r="977" spans="12:21">
      <c r="L977" s="249"/>
      <c r="M977" s="249"/>
      <c r="N977" s="249"/>
      <c r="T977" s="249"/>
      <c r="U977" s="249"/>
    </row>
    <row r="978" spans="12:21">
      <c r="L978" s="249"/>
      <c r="M978" s="249"/>
      <c r="N978" s="249"/>
      <c r="T978" s="249"/>
      <c r="U978" s="249"/>
    </row>
    <row r="979" spans="12:21">
      <c r="L979" s="249"/>
      <c r="M979" s="249"/>
      <c r="N979" s="249"/>
      <c r="T979" s="249"/>
      <c r="U979" s="249"/>
    </row>
    <row r="980" spans="12:21">
      <c r="L980" s="249"/>
      <c r="M980" s="249"/>
      <c r="N980" s="249"/>
      <c r="T980" s="249"/>
      <c r="U980" s="249"/>
    </row>
    <row r="981" spans="12:21">
      <c r="L981" s="249"/>
      <c r="M981" s="249"/>
      <c r="N981" s="249"/>
      <c r="T981" s="249"/>
      <c r="U981" s="249"/>
    </row>
    <row r="982" spans="12:21">
      <c r="L982" s="249"/>
      <c r="M982" s="249"/>
      <c r="N982" s="249"/>
      <c r="T982" s="249"/>
      <c r="U982" s="249"/>
    </row>
    <row r="983" spans="12:21">
      <c r="L983" s="249"/>
      <c r="M983" s="249"/>
      <c r="N983" s="249"/>
      <c r="T983" s="249"/>
      <c r="U983" s="249"/>
    </row>
    <row r="984" spans="12:21">
      <c r="L984" s="249"/>
      <c r="M984" s="249"/>
      <c r="N984" s="249"/>
      <c r="T984" s="249"/>
      <c r="U984" s="249"/>
    </row>
    <row r="985" spans="12:21">
      <c r="L985" s="249"/>
      <c r="M985" s="249"/>
      <c r="N985" s="249"/>
      <c r="T985" s="249"/>
      <c r="U985" s="249"/>
    </row>
    <row r="986" spans="12:21">
      <c r="L986" s="249"/>
      <c r="M986" s="249"/>
      <c r="N986" s="249"/>
      <c r="T986" s="249"/>
      <c r="U986" s="249"/>
    </row>
    <row r="987" spans="12:21">
      <c r="L987" s="249"/>
      <c r="M987" s="249"/>
      <c r="N987" s="249"/>
      <c r="T987" s="249"/>
      <c r="U987" s="249"/>
    </row>
    <row r="988" spans="12:21">
      <c r="L988" s="249"/>
      <c r="M988" s="249"/>
      <c r="N988" s="249"/>
      <c r="T988" s="249"/>
      <c r="U988" s="249"/>
    </row>
    <row r="989" spans="12:21">
      <c r="L989" s="249"/>
      <c r="M989" s="249"/>
      <c r="N989" s="249"/>
      <c r="T989" s="249"/>
      <c r="U989" s="249"/>
    </row>
    <row r="990" spans="12:21">
      <c r="L990" s="249"/>
      <c r="M990" s="249"/>
      <c r="N990" s="249"/>
      <c r="T990" s="249"/>
      <c r="U990" s="249"/>
    </row>
    <row r="991" spans="12:21">
      <c r="L991" s="249"/>
      <c r="M991" s="249"/>
      <c r="N991" s="249"/>
      <c r="T991" s="249"/>
      <c r="U991" s="249"/>
    </row>
    <row r="992" spans="12:21">
      <c r="L992" s="249"/>
      <c r="M992" s="249"/>
      <c r="N992" s="249"/>
      <c r="T992" s="249"/>
      <c r="U992" s="249"/>
    </row>
    <row r="993" spans="12:21">
      <c r="L993" s="249"/>
      <c r="M993" s="249"/>
      <c r="N993" s="249"/>
      <c r="T993" s="249"/>
      <c r="U993" s="249"/>
    </row>
    <row r="994" spans="12:21">
      <c r="L994" s="249"/>
      <c r="M994" s="249"/>
      <c r="N994" s="249"/>
      <c r="T994" s="249"/>
      <c r="U994" s="249"/>
    </row>
    <row r="995" spans="12:21">
      <c r="L995" s="249"/>
      <c r="M995" s="249"/>
      <c r="N995" s="249"/>
      <c r="T995" s="249"/>
      <c r="U995" s="249"/>
    </row>
    <row r="996" spans="12:21">
      <c r="L996" s="249"/>
      <c r="M996" s="249"/>
      <c r="N996" s="249"/>
      <c r="T996" s="249"/>
      <c r="U996" s="249"/>
    </row>
    <row r="997" spans="12:21">
      <c r="L997" s="249"/>
      <c r="M997" s="249"/>
      <c r="N997" s="249"/>
      <c r="T997" s="249"/>
      <c r="U997" s="249"/>
    </row>
    <row r="998" spans="12:21">
      <c r="L998" s="249"/>
      <c r="M998" s="249"/>
      <c r="N998" s="249"/>
      <c r="T998" s="249"/>
      <c r="U998" s="249"/>
    </row>
    <row r="999" spans="12:21">
      <c r="L999" s="249"/>
      <c r="M999" s="249"/>
      <c r="N999" s="249"/>
      <c r="T999" s="249"/>
      <c r="U999" s="249"/>
    </row>
    <row r="1000" spans="12:21">
      <c r="L1000" s="249"/>
      <c r="M1000" s="249"/>
      <c r="N1000" s="249"/>
      <c r="T1000" s="249"/>
      <c r="U1000" s="249"/>
    </row>
    <row r="1001" spans="12:21">
      <c r="L1001" s="249"/>
      <c r="M1001" s="249"/>
      <c r="N1001" s="249"/>
      <c r="T1001" s="249"/>
      <c r="U1001" s="249"/>
    </row>
    <row r="1002" spans="12:21">
      <c r="L1002" s="249"/>
      <c r="M1002" s="249"/>
      <c r="N1002" s="249"/>
      <c r="T1002" s="249"/>
      <c r="U1002" s="249"/>
    </row>
    <row r="1003" spans="12:21">
      <c r="L1003" s="249"/>
      <c r="M1003" s="249"/>
      <c r="N1003" s="249"/>
      <c r="T1003" s="249"/>
      <c r="U1003" s="249"/>
    </row>
    <row r="1004" spans="12:21">
      <c r="L1004" s="249"/>
      <c r="M1004" s="249"/>
      <c r="N1004" s="249"/>
      <c r="T1004" s="249"/>
      <c r="U1004" s="249"/>
    </row>
    <row r="1005" spans="12:21">
      <c r="L1005" s="249"/>
      <c r="M1005" s="249"/>
      <c r="N1005" s="249"/>
      <c r="T1005" s="249"/>
      <c r="U1005" s="249"/>
    </row>
    <row r="1006" spans="12:21">
      <c r="L1006" s="249"/>
      <c r="M1006" s="249"/>
      <c r="N1006" s="249"/>
      <c r="T1006" s="249"/>
      <c r="U1006" s="249"/>
    </row>
    <row r="1007" spans="12:21">
      <c r="L1007" s="249"/>
      <c r="M1007" s="249"/>
      <c r="N1007" s="249"/>
      <c r="T1007" s="249"/>
      <c r="U1007" s="249"/>
    </row>
    <row r="1008" spans="12:21">
      <c r="L1008" s="249"/>
      <c r="M1008" s="249"/>
      <c r="N1008" s="249"/>
      <c r="T1008" s="249"/>
      <c r="U1008" s="249"/>
    </row>
    <row r="1009" spans="12:21">
      <c r="L1009" s="249"/>
      <c r="M1009" s="249"/>
      <c r="N1009" s="249"/>
      <c r="T1009" s="249"/>
      <c r="U1009" s="249"/>
    </row>
    <row r="1010" spans="12:21">
      <c r="L1010" s="249"/>
      <c r="M1010" s="249"/>
      <c r="N1010" s="249"/>
      <c r="T1010" s="249"/>
      <c r="U1010" s="249"/>
    </row>
    <row r="1011" spans="12:21">
      <c r="L1011" s="249"/>
      <c r="M1011" s="249"/>
      <c r="N1011" s="249"/>
      <c r="T1011" s="249"/>
      <c r="U1011" s="249"/>
    </row>
    <row r="1012" spans="12:21">
      <c r="L1012" s="249"/>
      <c r="M1012" s="249"/>
      <c r="N1012" s="249"/>
      <c r="T1012" s="249"/>
      <c r="U1012" s="249"/>
    </row>
    <row r="1013" spans="12:21">
      <c r="L1013" s="249"/>
      <c r="M1013" s="249"/>
      <c r="N1013" s="249"/>
      <c r="T1013" s="249"/>
      <c r="U1013" s="249"/>
    </row>
    <row r="1014" spans="12:21">
      <c r="L1014" s="249"/>
      <c r="M1014" s="249"/>
      <c r="N1014" s="249"/>
      <c r="T1014" s="249"/>
      <c r="U1014" s="249"/>
    </row>
    <row r="1015" spans="12:21">
      <c r="L1015" s="249"/>
      <c r="M1015" s="249"/>
      <c r="N1015" s="249"/>
      <c r="T1015" s="249"/>
      <c r="U1015" s="249"/>
    </row>
    <row r="1016" spans="12:21">
      <c r="L1016" s="249"/>
      <c r="M1016" s="249"/>
      <c r="N1016" s="249"/>
      <c r="T1016" s="249"/>
      <c r="U1016" s="249"/>
    </row>
    <row r="1017" spans="12:21">
      <c r="L1017" s="249"/>
      <c r="M1017" s="249"/>
      <c r="N1017" s="249"/>
      <c r="T1017" s="249"/>
      <c r="U1017" s="249"/>
    </row>
    <row r="1018" spans="12:21">
      <c r="L1018" s="249"/>
      <c r="M1018" s="249"/>
      <c r="N1018" s="249"/>
      <c r="T1018" s="249"/>
      <c r="U1018" s="249"/>
    </row>
    <row r="1019" spans="12:21">
      <c r="L1019" s="249"/>
      <c r="M1019" s="249"/>
      <c r="N1019" s="249"/>
      <c r="T1019" s="249"/>
      <c r="U1019" s="249"/>
    </row>
    <row r="1020" spans="12:21">
      <c r="L1020" s="249"/>
      <c r="M1020" s="249"/>
      <c r="N1020" s="249"/>
      <c r="T1020" s="249"/>
      <c r="U1020" s="249"/>
    </row>
    <row r="1021" spans="12:21">
      <c r="L1021" s="249"/>
      <c r="M1021" s="249"/>
      <c r="N1021" s="249"/>
      <c r="T1021" s="249"/>
      <c r="U1021" s="249"/>
    </row>
    <row r="1022" spans="12:21">
      <c r="L1022" s="249"/>
      <c r="M1022" s="249"/>
      <c r="N1022" s="249"/>
      <c r="T1022" s="249"/>
      <c r="U1022" s="249"/>
    </row>
    <row r="1023" spans="12:21">
      <c r="L1023" s="249"/>
      <c r="M1023" s="249"/>
      <c r="N1023" s="249"/>
      <c r="T1023" s="249"/>
      <c r="U1023" s="249"/>
    </row>
    <row r="1024" spans="12:21">
      <c r="L1024" s="249"/>
      <c r="M1024" s="249"/>
      <c r="N1024" s="249"/>
      <c r="T1024" s="249"/>
      <c r="U1024" s="249"/>
    </row>
    <row r="1025" spans="12:21">
      <c r="L1025" s="249"/>
      <c r="M1025" s="249"/>
      <c r="N1025" s="249"/>
      <c r="T1025" s="249"/>
      <c r="U1025" s="249"/>
    </row>
    <row r="1026" spans="12:21">
      <c r="L1026" s="249"/>
      <c r="M1026" s="249"/>
      <c r="N1026" s="249"/>
      <c r="T1026" s="249"/>
      <c r="U1026" s="249"/>
    </row>
    <row r="1027" spans="12:21">
      <c r="L1027" s="249"/>
      <c r="M1027" s="249"/>
      <c r="N1027" s="249"/>
      <c r="T1027" s="249"/>
      <c r="U1027" s="249"/>
    </row>
    <row r="1028" spans="12:21">
      <c r="L1028" s="249"/>
      <c r="M1028" s="249"/>
      <c r="N1028" s="249"/>
      <c r="T1028" s="249"/>
      <c r="U1028" s="249"/>
    </row>
    <row r="1029" spans="12:21">
      <c r="L1029" s="249"/>
      <c r="M1029" s="249"/>
      <c r="N1029" s="249"/>
      <c r="T1029" s="249"/>
      <c r="U1029" s="249"/>
    </row>
    <row r="1030" spans="12:21">
      <c r="L1030" s="249"/>
      <c r="M1030" s="249"/>
      <c r="N1030" s="249"/>
      <c r="T1030" s="249"/>
      <c r="U1030" s="249"/>
    </row>
    <row r="1031" spans="12:21">
      <c r="L1031" s="249"/>
      <c r="M1031" s="249"/>
      <c r="N1031" s="249"/>
      <c r="T1031" s="249"/>
      <c r="U1031" s="249"/>
    </row>
    <row r="1032" spans="12:21">
      <c r="L1032" s="249"/>
      <c r="M1032" s="249"/>
      <c r="N1032" s="249"/>
      <c r="T1032" s="249"/>
      <c r="U1032" s="249"/>
    </row>
    <row r="1033" spans="12:21">
      <c r="L1033" s="249"/>
      <c r="M1033" s="249"/>
      <c r="N1033" s="249"/>
      <c r="T1033" s="249"/>
      <c r="U1033" s="249"/>
    </row>
    <row r="1034" spans="12:21">
      <c r="L1034" s="249"/>
      <c r="M1034" s="249"/>
      <c r="N1034" s="249"/>
      <c r="T1034" s="249"/>
      <c r="U1034" s="249"/>
    </row>
    <row r="1035" spans="12:21">
      <c r="L1035" s="249"/>
      <c r="M1035" s="249"/>
      <c r="N1035" s="249"/>
      <c r="T1035" s="249"/>
      <c r="U1035" s="249"/>
    </row>
    <row r="1036" spans="12:21">
      <c r="L1036" s="249"/>
      <c r="M1036" s="249"/>
      <c r="N1036" s="249"/>
      <c r="T1036" s="249"/>
      <c r="U1036" s="249"/>
    </row>
    <row r="1037" spans="12:21">
      <c r="L1037" s="249"/>
      <c r="M1037" s="249"/>
      <c r="N1037" s="249"/>
      <c r="T1037" s="249"/>
      <c r="U1037" s="249"/>
    </row>
    <row r="1038" spans="12:21">
      <c r="L1038" s="249"/>
      <c r="M1038" s="249"/>
      <c r="N1038" s="249"/>
      <c r="T1038" s="249"/>
      <c r="U1038" s="249"/>
    </row>
    <row r="1039" spans="12:21">
      <c r="L1039" s="249"/>
      <c r="M1039" s="249"/>
      <c r="N1039" s="249"/>
      <c r="T1039" s="249"/>
      <c r="U1039" s="249"/>
    </row>
    <row r="1040" spans="12:21">
      <c r="L1040" s="249"/>
      <c r="M1040" s="249"/>
      <c r="N1040" s="249"/>
      <c r="T1040" s="249"/>
      <c r="U1040" s="249"/>
    </row>
    <row r="1041" spans="12:21">
      <c r="L1041" s="249"/>
      <c r="M1041" s="249"/>
      <c r="N1041" s="249"/>
      <c r="T1041" s="249"/>
      <c r="U1041" s="249"/>
    </row>
    <row r="1042" spans="12:21">
      <c r="L1042" s="249"/>
      <c r="M1042" s="249"/>
      <c r="N1042" s="249"/>
      <c r="T1042" s="249"/>
      <c r="U1042" s="249"/>
    </row>
    <row r="1043" spans="12:21">
      <c r="L1043" s="249"/>
      <c r="M1043" s="249"/>
      <c r="N1043" s="249"/>
      <c r="T1043" s="249"/>
      <c r="U1043" s="249"/>
    </row>
    <row r="1044" spans="12:21">
      <c r="L1044" s="249"/>
      <c r="M1044" s="249"/>
      <c r="N1044" s="249"/>
      <c r="T1044" s="249"/>
      <c r="U1044" s="249"/>
    </row>
    <row r="1045" spans="12:21">
      <c r="L1045" s="249"/>
      <c r="M1045" s="249"/>
      <c r="N1045" s="249"/>
      <c r="T1045" s="249"/>
      <c r="U1045" s="249"/>
    </row>
    <row r="1046" spans="12:21">
      <c r="L1046" s="249"/>
      <c r="M1046" s="249"/>
      <c r="N1046" s="249"/>
      <c r="T1046" s="249"/>
      <c r="U1046" s="249"/>
    </row>
    <row r="1047" spans="12:21">
      <c r="L1047" s="249"/>
      <c r="M1047" s="249"/>
      <c r="N1047" s="249"/>
      <c r="T1047" s="249"/>
      <c r="U1047" s="249"/>
    </row>
    <row r="1048" spans="12:21">
      <c r="L1048" s="249"/>
      <c r="M1048" s="249"/>
      <c r="N1048" s="249"/>
      <c r="T1048" s="249"/>
      <c r="U1048" s="249"/>
    </row>
    <row r="1049" spans="12:21">
      <c r="L1049" s="249"/>
      <c r="M1049" s="249"/>
      <c r="N1049" s="249"/>
      <c r="T1049" s="249"/>
      <c r="U1049" s="249"/>
    </row>
    <row r="1050" spans="12:21">
      <c r="L1050" s="249"/>
      <c r="M1050" s="249"/>
      <c r="N1050" s="249"/>
      <c r="T1050" s="249"/>
      <c r="U1050" s="249"/>
    </row>
    <row r="1051" spans="12:21">
      <c r="L1051" s="249"/>
      <c r="M1051" s="249"/>
      <c r="N1051" s="249"/>
      <c r="T1051" s="249"/>
      <c r="U1051" s="249"/>
    </row>
    <row r="1052" spans="12:21">
      <c r="L1052" s="249"/>
      <c r="M1052" s="249"/>
      <c r="N1052" s="249"/>
      <c r="T1052" s="249"/>
      <c r="U1052" s="249"/>
    </row>
    <row r="1053" spans="12:21">
      <c r="L1053" s="249"/>
      <c r="M1053" s="249"/>
      <c r="N1053" s="249"/>
      <c r="T1053" s="249"/>
      <c r="U1053" s="249"/>
    </row>
    <row r="1054" spans="12:21">
      <c r="L1054" s="249"/>
      <c r="M1054" s="249"/>
      <c r="N1054" s="249"/>
      <c r="T1054" s="249"/>
      <c r="U1054" s="249"/>
    </row>
    <row r="1055" spans="12:21">
      <c r="L1055" s="249"/>
      <c r="M1055" s="249"/>
      <c r="N1055" s="249"/>
      <c r="T1055" s="249"/>
      <c r="U1055" s="249"/>
    </row>
    <row r="1056" spans="12:21">
      <c r="L1056" s="249"/>
      <c r="M1056" s="249"/>
      <c r="N1056" s="249"/>
      <c r="T1056" s="249"/>
      <c r="U1056" s="249"/>
    </row>
    <row r="1057" spans="12:21">
      <c r="L1057" s="249"/>
      <c r="M1057" s="249"/>
      <c r="N1057" s="249"/>
      <c r="T1057" s="249"/>
      <c r="U1057" s="249"/>
    </row>
    <row r="1058" spans="12:21">
      <c r="L1058" s="249"/>
      <c r="M1058" s="249"/>
      <c r="N1058" s="249"/>
      <c r="T1058" s="249"/>
      <c r="U1058" s="249"/>
    </row>
    <row r="1059" spans="12:21">
      <c r="L1059" s="249"/>
      <c r="M1059" s="249"/>
      <c r="N1059" s="249"/>
      <c r="T1059" s="249"/>
      <c r="U1059" s="249"/>
    </row>
    <row r="1060" spans="12:21">
      <c r="L1060" s="249"/>
      <c r="M1060" s="249"/>
      <c r="N1060" s="249"/>
      <c r="T1060" s="249"/>
      <c r="U1060" s="249"/>
    </row>
    <row r="1061" spans="12:21">
      <c r="L1061" s="249"/>
      <c r="M1061" s="249"/>
      <c r="N1061" s="249"/>
      <c r="T1061" s="249"/>
      <c r="U1061" s="249"/>
    </row>
    <row r="1062" spans="12:21">
      <c r="L1062" s="249"/>
      <c r="M1062" s="249"/>
      <c r="N1062" s="249"/>
      <c r="T1062" s="249"/>
      <c r="U1062" s="249"/>
    </row>
    <row r="1063" spans="12:21">
      <c r="L1063" s="249"/>
      <c r="M1063" s="249"/>
      <c r="N1063" s="249"/>
      <c r="T1063" s="249"/>
      <c r="U1063" s="249"/>
    </row>
    <row r="1064" spans="12:21">
      <c r="L1064" s="249"/>
      <c r="M1064" s="249"/>
      <c r="N1064" s="249"/>
      <c r="T1064" s="249"/>
      <c r="U1064" s="249"/>
    </row>
    <row r="1065" spans="12:21">
      <c r="L1065" s="249"/>
      <c r="M1065" s="249"/>
      <c r="N1065" s="249"/>
      <c r="T1065" s="249"/>
      <c r="U1065" s="249"/>
    </row>
    <row r="1066" spans="12:21">
      <c r="L1066" s="249"/>
      <c r="M1066" s="249"/>
      <c r="N1066" s="249"/>
      <c r="T1066" s="249"/>
      <c r="U1066" s="249"/>
    </row>
    <row r="1067" spans="12:21">
      <c r="L1067" s="249"/>
      <c r="M1067" s="249"/>
      <c r="N1067" s="249"/>
      <c r="T1067" s="249"/>
      <c r="U1067" s="249"/>
    </row>
    <row r="1068" spans="12:21">
      <c r="L1068" s="249"/>
      <c r="M1068" s="249"/>
      <c r="N1068" s="249"/>
      <c r="T1068" s="249"/>
      <c r="U1068" s="249"/>
    </row>
    <row r="1069" spans="12:21">
      <c r="L1069" s="249"/>
      <c r="M1069" s="249"/>
      <c r="N1069" s="249"/>
      <c r="T1069" s="249"/>
      <c r="U1069" s="249"/>
    </row>
    <row r="1070" spans="12:21">
      <c r="L1070" s="249"/>
      <c r="M1070" s="249"/>
      <c r="N1070" s="249"/>
      <c r="T1070" s="249"/>
      <c r="U1070" s="249"/>
    </row>
    <row r="1071" spans="12:21">
      <c r="L1071" s="249"/>
      <c r="M1071" s="249"/>
      <c r="N1071" s="249"/>
      <c r="T1071" s="249"/>
      <c r="U1071" s="249"/>
    </row>
    <row r="1072" spans="12:21">
      <c r="L1072" s="249"/>
      <c r="M1072" s="249"/>
      <c r="N1072" s="249"/>
      <c r="T1072" s="249"/>
      <c r="U1072" s="249"/>
    </row>
    <row r="1073" spans="12:21">
      <c r="L1073" s="249"/>
      <c r="M1073" s="249"/>
      <c r="N1073" s="249"/>
      <c r="T1073" s="249"/>
      <c r="U1073" s="249"/>
    </row>
    <row r="1074" spans="12:21">
      <c r="L1074" s="249"/>
      <c r="M1074" s="249"/>
      <c r="N1074" s="249"/>
      <c r="T1074" s="249"/>
      <c r="U1074" s="249"/>
    </row>
    <row r="1075" spans="12:21">
      <c r="L1075" s="249"/>
      <c r="M1075" s="249"/>
      <c r="N1075" s="249"/>
      <c r="T1075" s="249"/>
      <c r="U1075" s="249"/>
    </row>
    <row r="1076" spans="12:21">
      <c r="L1076" s="249"/>
      <c r="M1076" s="249"/>
      <c r="N1076" s="249"/>
      <c r="T1076" s="249"/>
      <c r="U1076" s="249"/>
    </row>
    <row r="1077" spans="12:21">
      <c r="L1077" s="249"/>
      <c r="M1077" s="249"/>
      <c r="N1077" s="249"/>
      <c r="T1077" s="249"/>
      <c r="U1077" s="249"/>
    </row>
    <row r="1078" spans="12:21">
      <c r="L1078" s="249"/>
      <c r="M1078" s="249"/>
      <c r="N1078" s="249"/>
      <c r="T1078" s="249"/>
      <c r="U1078" s="249"/>
    </row>
    <row r="1079" spans="12:21">
      <c r="L1079" s="249"/>
      <c r="M1079" s="249"/>
      <c r="N1079" s="249"/>
      <c r="T1079" s="249"/>
      <c r="U1079" s="249"/>
    </row>
    <row r="1080" spans="12:21">
      <c r="L1080" s="249"/>
      <c r="M1080" s="249"/>
      <c r="N1080" s="249"/>
      <c r="T1080" s="249"/>
      <c r="U1080" s="249"/>
    </row>
    <row r="1081" spans="12:21">
      <c r="L1081" s="249"/>
      <c r="M1081" s="249"/>
      <c r="N1081" s="249"/>
      <c r="T1081" s="249"/>
      <c r="U1081" s="249"/>
    </row>
    <row r="1082" spans="12:21">
      <c r="L1082" s="249"/>
      <c r="M1082" s="249"/>
      <c r="N1082" s="249"/>
      <c r="T1082" s="249"/>
      <c r="U1082" s="249"/>
    </row>
    <row r="1083" spans="12:21">
      <c r="L1083" s="249"/>
      <c r="M1083" s="249"/>
      <c r="N1083" s="249"/>
      <c r="T1083" s="249"/>
      <c r="U1083" s="249"/>
    </row>
    <row r="1084" spans="12:21">
      <c r="L1084" s="249"/>
      <c r="M1084" s="249"/>
      <c r="N1084" s="249"/>
      <c r="T1084" s="249"/>
      <c r="U1084" s="249"/>
    </row>
    <row r="1085" spans="12:21">
      <c r="L1085" s="249"/>
      <c r="M1085" s="249"/>
      <c r="N1085" s="249"/>
      <c r="T1085" s="249"/>
      <c r="U1085" s="249"/>
    </row>
    <row r="1086" spans="12:21">
      <c r="L1086" s="249"/>
      <c r="M1086" s="249"/>
      <c r="N1086" s="249"/>
      <c r="T1086" s="249"/>
      <c r="U1086" s="249"/>
    </row>
    <row r="1087" spans="12:21">
      <c r="L1087" s="249"/>
      <c r="M1087" s="249"/>
      <c r="N1087" s="249"/>
      <c r="T1087" s="249"/>
      <c r="U1087" s="249"/>
    </row>
    <row r="1088" spans="12:21">
      <c r="L1088" s="249"/>
      <c r="M1088" s="249"/>
      <c r="N1088" s="249"/>
      <c r="T1088" s="249"/>
      <c r="U1088" s="249"/>
    </row>
    <row r="1089" spans="12:21">
      <c r="L1089" s="249"/>
      <c r="M1089" s="249"/>
      <c r="N1089" s="249"/>
      <c r="T1089" s="249"/>
      <c r="U1089" s="249"/>
    </row>
    <row r="1090" spans="12:21">
      <c r="L1090" s="249"/>
      <c r="M1090" s="249"/>
      <c r="N1090" s="249"/>
      <c r="T1090" s="249"/>
      <c r="U1090" s="249"/>
    </row>
    <row r="1091" spans="12:21">
      <c r="L1091" s="249"/>
      <c r="M1091" s="249"/>
      <c r="N1091" s="249"/>
      <c r="T1091" s="249"/>
      <c r="U1091" s="249"/>
    </row>
    <row r="1092" spans="12:21">
      <c r="L1092" s="249"/>
      <c r="M1092" s="249"/>
      <c r="N1092" s="249"/>
      <c r="T1092" s="249"/>
      <c r="U1092" s="249"/>
    </row>
    <row r="1093" spans="12:21">
      <c r="L1093" s="249"/>
      <c r="M1093" s="249"/>
      <c r="N1093" s="249"/>
      <c r="T1093" s="249"/>
      <c r="U1093" s="249"/>
    </row>
    <row r="1094" spans="12:21">
      <c r="L1094" s="249"/>
      <c r="M1094" s="249"/>
      <c r="N1094" s="249"/>
      <c r="T1094" s="249"/>
      <c r="U1094" s="249"/>
    </row>
    <row r="1095" spans="12:21">
      <c r="L1095" s="249"/>
      <c r="M1095" s="249"/>
      <c r="N1095" s="249"/>
      <c r="T1095" s="249"/>
      <c r="U1095" s="249"/>
    </row>
    <row r="1096" spans="12:21">
      <c r="L1096" s="249"/>
      <c r="M1096" s="249"/>
      <c r="N1096" s="249"/>
      <c r="T1096" s="249"/>
      <c r="U1096" s="249"/>
    </row>
    <row r="1097" spans="12:21">
      <c r="L1097" s="249"/>
      <c r="M1097" s="249"/>
      <c r="N1097" s="249"/>
      <c r="T1097" s="249"/>
      <c r="U1097" s="249"/>
    </row>
    <row r="1098" spans="12:21">
      <c r="L1098" s="249"/>
      <c r="M1098" s="249"/>
      <c r="N1098" s="249"/>
      <c r="T1098" s="249"/>
      <c r="U1098" s="249"/>
    </row>
    <row r="1099" spans="12:21">
      <c r="L1099" s="249"/>
      <c r="M1099" s="249"/>
      <c r="N1099" s="249"/>
      <c r="T1099" s="249"/>
      <c r="U1099" s="249"/>
    </row>
    <row r="1100" spans="12:21">
      <c r="L1100" s="249"/>
      <c r="M1100" s="249"/>
      <c r="N1100" s="249"/>
      <c r="T1100" s="249"/>
      <c r="U1100" s="249"/>
    </row>
    <row r="1101" spans="12:21">
      <c r="L1101" s="249"/>
      <c r="M1101" s="249"/>
      <c r="N1101" s="249"/>
      <c r="T1101" s="249"/>
      <c r="U1101" s="249"/>
    </row>
    <row r="1102" spans="12:21">
      <c r="L1102" s="249"/>
      <c r="M1102" s="249"/>
      <c r="N1102" s="249"/>
      <c r="T1102" s="249"/>
      <c r="U1102" s="249"/>
    </row>
    <row r="1103" spans="12:21">
      <c r="L1103" s="249"/>
      <c r="M1103" s="249"/>
      <c r="N1103" s="249"/>
      <c r="T1103" s="249"/>
      <c r="U1103" s="249"/>
    </row>
    <row r="1104" spans="12:21">
      <c r="L1104" s="249"/>
      <c r="M1104" s="249"/>
      <c r="N1104" s="249"/>
      <c r="T1104" s="249"/>
      <c r="U1104" s="249"/>
    </row>
    <row r="1105" spans="12:21">
      <c r="L1105" s="249"/>
      <c r="M1105" s="249"/>
      <c r="N1105" s="249"/>
      <c r="T1105" s="249"/>
      <c r="U1105" s="249"/>
    </row>
    <row r="1106" spans="12:21">
      <c r="L1106" s="249"/>
      <c r="M1106" s="249"/>
      <c r="N1106" s="249"/>
      <c r="T1106" s="249"/>
      <c r="U1106" s="249"/>
    </row>
    <row r="1107" spans="12:21">
      <c r="L1107" s="249"/>
      <c r="M1107" s="249"/>
      <c r="N1107" s="249"/>
      <c r="T1107" s="249"/>
      <c r="U1107" s="249"/>
    </row>
    <row r="1108" spans="12:21">
      <c r="L1108" s="249"/>
      <c r="M1108" s="249"/>
      <c r="N1108" s="249"/>
      <c r="T1108" s="249"/>
      <c r="U1108" s="249"/>
    </row>
    <row r="1109" spans="12:21">
      <c r="L1109" s="249"/>
      <c r="M1109" s="249"/>
      <c r="N1109" s="249"/>
      <c r="T1109" s="249"/>
      <c r="U1109" s="249"/>
    </row>
    <row r="1110" spans="12:21">
      <c r="L1110" s="249"/>
      <c r="M1110" s="249"/>
      <c r="N1110" s="249"/>
      <c r="T1110" s="249"/>
      <c r="U1110" s="249"/>
    </row>
    <row r="1111" spans="12:21">
      <c r="L1111" s="249"/>
      <c r="M1111" s="249"/>
      <c r="N1111" s="249"/>
      <c r="T1111" s="249"/>
      <c r="U1111" s="249"/>
    </row>
    <row r="1112" spans="12:21">
      <c r="L1112" s="249"/>
      <c r="M1112" s="249"/>
      <c r="N1112" s="249"/>
      <c r="T1112" s="249"/>
      <c r="U1112" s="249"/>
    </row>
    <row r="1113" spans="12:21">
      <c r="L1113" s="249"/>
      <c r="M1113" s="249"/>
      <c r="N1113" s="249"/>
      <c r="T1113" s="249"/>
      <c r="U1113" s="249"/>
    </row>
    <row r="1114" spans="12:21">
      <c r="L1114" s="249"/>
      <c r="M1114" s="249"/>
      <c r="N1114" s="249"/>
      <c r="T1114" s="249"/>
      <c r="U1114" s="249"/>
    </row>
    <row r="1115" spans="12:21">
      <c r="L1115" s="249"/>
      <c r="M1115" s="249"/>
      <c r="N1115" s="249"/>
      <c r="T1115" s="249"/>
      <c r="U1115" s="249"/>
    </row>
    <row r="1116" spans="12:21">
      <c r="L1116" s="249"/>
      <c r="M1116" s="249"/>
      <c r="N1116" s="249"/>
      <c r="T1116" s="249"/>
      <c r="U1116" s="249"/>
    </row>
    <row r="1117" spans="12:21">
      <c r="L1117" s="249"/>
      <c r="M1117" s="249"/>
      <c r="N1117" s="249"/>
      <c r="T1117" s="249"/>
      <c r="U1117" s="249"/>
    </row>
    <row r="1118" spans="12:21">
      <c r="L1118" s="249"/>
      <c r="M1118" s="249"/>
      <c r="N1118" s="249"/>
      <c r="T1118" s="249"/>
      <c r="U1118" s="249"/>
    </row>
    <row r="1119" spans="12:21">
      <c r="L1119" s="249"/>
      <c r="M1119" s="249"/>
      <c r="N1119" s="249"/>
      <c r="T1119" s="249"/>
      <c r="U1119" s="249"/>
    </row>
    <row r="1120" spans="12:21">
      <c r="L1120" s="249"/>
      <c r="M1120" s="249"/>
      <c r="N1120" s="249"/>
      <c r="T1120" s="249"/>
      <c r="U1120" s="249"/>
    </row>
    <row r="1121" spans="12:21">
      <c r="L1121" s="249"/>
      <c r="M1121" s="249"/>
      <c r="N1121" s="249"/>
      <c r="T1121" s="249"/>
      <c r="U1121" s="249"/>
    </row>
    <row r="1122" spans="12:21">
      <c r="L1122" s="249"/>
      <c r="M1122" s="249"/>
      <c r="N1122" s="249"/>
      <c r="T1122" s="249"/>
      <c r="U1122" s="249"/>
    </row>
    <row r="1123" spans="12:21">
      <c r="L1123" s="249"/>
      <c r="M1123" s="249"/>
      <c r="N1123" s="249"/>
      <c r="T1123" s="249"/>
      <c r="U1123" s="249"/>
    </row>
    <row r="1124" spans="12:21">
      <c r="L1124" s="249"/>
      <c r="M1124" s="249"/>
      <c r="N1124" s="249"/>
      <c r="T1124" s="249"/>
      <c r="U1124" s="249"/>
    </row>
    <row r="1125" spans="12:21">
      <c r="L1125" s="249"/>
      <c r="M1125" s="249"/>
      <c r="N1125" s="249"/>
      <c r="T1125" s="249"/>
      <c r="U1125" s="249"/>
    </row>
    <row r="1126" spans="12:21">
      <c r="L1126" s="249"/>
      <c r="M1126" s="249"/>
      <c r="N1126" s="249"/>
      <c r="T1126" s="249"/>
      <c r="U1126" s="249"/>
    </row>
    <row r="1127" spans="12:21">
      <c r="L1127" s="249"/>
      <c r="M1127" s="249"/>
      <c r="N1127" s="249"/>
      <c r="T1127" s="249"/>
      <c r="U1127" s="249"/>
    </row>
    <row r="1128" spans="12:21">
      <c r="L1128" s="249"/>
      <c r="M1128" s="249"/>
      <c r="N1128" s="249"/>
      <c r="T1128" s="249"/>
      <c r="U1128" s="249"/>
    </row>
    <row r="1129" spans="12:21">
      <c r="L1129" s="249"/>
      <c r="M1129" s="249"/>
      <c r="N1129" s="249"/>
      <c r="T1129" s="249"/>
      <c r="U1129" s="249"/>
    </row>
    <row r="1130" spans="12:21">
      <c r="L1130" s="249"/>
      <c r="M1130" s="249"/>
      <c r="N1130" s="249"/>
      <c r="T1130" s="249"/>
      <c r="U1130" s="249"/>
    </row>
    <row r="1131" spans="12:21">
      <c r="L1131" s="249"/>
      <c r="M1131" s="249"/>
      <c r="N1131" s="249"/>
      <c r="T1131" s="249"/>
      <c r="U1131" s="249"/>
    </row>
    <row r="1132" spans="12:21">
      <c r="L1132" s="249"/>
      <c r="M1132" s="249"/>
      <c r="N1132" s="249"/>
      <c r="T1132" s="249"/>
      <c r="U1132" s="249"/>
    </row>
    <row r="1133" spans="12:21">
      <c r="L1133" s="249"/>
      <c r="M1133" s="249"/>
      <c r="N1133" s="249"/>
      <c r="T1133" s="249"/>
      <c r="U1133" s="249"/>
    </row>
    <row r="1134" spans="12:21">
      <c r="L1134" s="249"/>
      <c r="M1134" s="249"/>
      <c r="N1134" s="249"/>
      <c r="T1134" s="249"/>
      <c r="U1134" s="249"/>
    </row>
    <row r="1135" spans="12:21">
      <c r="L1135" s="249"/>
      <c r="M1135" s="249"/>
      <c r="N1135" s="249"/>
      <c r="T1135" s="249"/>
      <c r="U1135" s="249"/>
    </row>
    <row r="1136" spans="12:21">
      <c r="L1136" s="249"/>
      <c r="M1136" s="249"/>
      <c r="N1136" s="249"/>
      <c r="T1136" s="249"/>
      <c r="U1136" s="249"/>
    </row>
    <row r="1137" spans="12:21">
      <c r="L1137" s="249"/>
      <c r="M1137" s="249"/>
      <c r="N1137" s="249"/>
      <c r="T1137" s="249"/>
      <c r="U1137" s="249"/>
    </row>
    <row r="1138" spans="12:21">
      <c r="L1138" s="249"/>
      <c r="M1138" s="249"/>
      <c r="N1138" s="249"/>
      <c r="T1138" s="249"/>
      <c r="U1138" s="249"/>
    </row>
    <row r="1139" spans="12:21">
      <c r="L1139" s="249"/>
      <c r="M1139" s="249"/>
      <c r="N1139" s="249"/>
      <c r="T1139" s="249"/>
      <c r="U1139" s="249"/>
    </row>
    <row r="1140" spans="12:21">
      <c r="L1140" s="249"/>
      <c r="M1140" s="249"/>
      <c r="N1140" s="249"/>
      <c r="T1140" s="249"/>
      <c r="U1140" s="249"/>
    </row>
    <row r="1141" spans="12:21">
      <c r="L1141" s="249"/>
      <c r="M1141" s="249"/>
      <c r="N1141" s="249"/>
      <c r="T1141" s="249"/>
      <c r="U1141" s="249"/>
    </row>
    <row r="1142" spans="12:21">
      <c r="L1142" s="249"/>
      <c r="M1142" s="249"/>
      <c r="N1142" s="249"/>
      <c r="T1142" s="249"/>
      <c r="U1142" s="249"/>
    </row>
    <row r="1143" spans="12:21">
      <c r="L1143" s="249"/>
      <c r="M1143" s="249"/>
      <c r="N1143" s="249"/>
      <c r="T1143" s="249"/>
      <c r="U1143" s="249"/>
    </row>
    <row r="1144" spans="12:21">
      <c r="L1144" s="249"/>
      <c r="M1144" s="249"/>
      <c r="N1144" s="249"/>
      <c r="T1144" s="249"/>
      <c r="U1144" s="249"/>
    </row>
    <row r="1145" spans="12:21">
      <c r="L1145" s="249"/>
      <c r="M1145" s="249"/>
      <c r="N1145" s="249"/>
      <c r="T1145" s="249"/>
      <c r="U1145" s="249"/>
    </row>
    <row r="1146" spans="12:21">
      <c r="L1146" s="249"/>
      <c r="M1146" s="249"/>
      <c r="N1146" s="249"/>
      <c r="T1146" s="249"/>
      <c r="U1146" s="249"/>
    </row>
    <row r="1147" spans="12:21">
      <c r="L1147" s="249"/>
      <c r="M1147" s="249"/>
      <c r="N1147" s="249"/>
      <c r="T1147" s="249"/>
      <c r="U1147" s="249"/>
    </row>
    <row r="1148" spans="12:21">
      <c r="L1148" s="249"/>
      <c r="M1148" s="249"/>
      <c r="N1148" s="249"/>
      <c r="T1148" s="249"/>
      <c r="U1148" s="249"/>
    </row>
    <row r="1149" spans="12:21">
      <c r="L1149" s="249"/>
      <c r="M1149" s="249"/>
      <c r="N1149" s="249"/>
      <c r="T1149" s="249"/>
      <c r="U1149" s="249"/>
    </row>
    <row r="1150" spans="12:21">
      <c r="L1150" s="249"/>
      <c r="M1150" s="249"/>
      <c r="N1150" s="249"/>
      <c r="T1150" s="249"/>
      <c r="U1150" s="249"/>
    </row>
    <row r="1151" spans="12:21">
      <c r="L1151" s="249"/>
      <c r="M1151" s="249"/>
      <c r="N1151" s="249"/>
      <c r="T1151" s="249"/>
      <c r="U1151" s="249"/>
    </row>
    <row r="1152" spans="12:21">
      <c r="L1152" s="249"/>
      <c r="M1152" s="249"/>
      <c r="N1152" s="249"/>
      <c r="T1152" s="249"/>
      <c r="U1152" s="249"/>
    </row>
    <row r="1153" spans="12:21">
      <c r="L1153" s="249"/>
      <c r="M1153" s="249"/>
      <c r="N1153" s="249"/>
      <c r="T1153" s="249"/>
      <c r="U1153" s="249"/>
    </row>
    <row r="1154" spans="12:21">
      <c r="L1154" s="249"/>
      <c r="M1154" s="249"/>
      <c r="N1154" s="249"/>
      <c r="T1154" s="249"/>
      <c r="U1154" s="249"/>
    </row>
    <row r="1155" spans="12:21">
      <c r="L1155" s="249"/>
      <c r="M1155" s="249"/>
      <c r="N1155" s="249"/>
      <c r="T1155" s="249"/>
      <c r="U1155" s="249"/>
    </row>
    <row r="1156" spans="12:21">
      <c r="L1156" s="249"/>
      <c r="M1156" s="249"/>
      <c r="N1156" s="249"/>
      <c r="T1156" s="249"/>
      <c r="U1156" s="249"/>
    </row>
    <row r="1157" spans="12:21">
      <c r="L1157" s="249"/>
      <c r="M1157" s="249"/>
      <c r="N1157" s="249"/>
      <c r="T1157" s="249"/>
      <c r="U1157" s="249"/>
    </row>
    <row r="1158" spans="12:21">
      <c r="L1158" s="249"/>
      <c r="M1158" s="249"/>
      <c r="N1158" s="249"/>
      <c r="T1158" s="249"/>
      <c r="U1158" s="249"/>
    </row>
    <row r="1159" spans="12:21">
      <c r="L1159" s="249"/>
      <c r="M1159" s="249"/>
      <c r="N1159" s="249"/>
      <c r="T1159" s="249"/>
      <c r="U1159" s="249"/>
    </row>
    <row r="1160" spans="12:21">
      <c r="L1160" s="249"/>
      <c r="M1160" s="249"/>
      <c r="N1160" s="249"/>
      <c r="T1160" s="249"/>
      <c r="U1160" s="249"/>
    </row>
    <row r="1161" spans="12:21">
      <c r="L1161" s="249"/>
      <c r="M1161" s="249"/>
      <c r="N1161" s="249"/>
      <c r="T1161" s="249"/>
      <c r="U1161" s="249"/>
    </row>
    <row r="1162" spans="12:21">
      <c r="L1162" s="249"/>
      <c r="M1162" s="249"/>
      <c r="N1162" s="249"/>
      <c r="T1162" s="249"/>
      <c r="U1162" s="249"/>
    </row>
    <row r="1163" spans="12:21">
      <c r="L1163" s="249"/>
      <c r="M1163" s="249"/>
      <c r="N1163" s="249"/>
      <c r="T1163" s="249"/>
      <c r="U1163" s="249"/>
    </row>
    <row r="1164" spans="12:21">
      <c r="L1164" s="249"/>
      <c r="M1164" s="249"/>
      <c r="N1164" s="249"/>
      <c r="T1164" s="249"/>
      <c r="U1164" s="249"/>
    </row>
    <row r="1165" spans="12:21">
      <c r="L1165" s="249"/>
      <c r="M1165" s="249"/>
      <c r="N1165" s="249"/>
      <c r="T1165" s="249"/>
      <c r="U1165" s="249"/>
    </row>
    <row r="1166" spans="12:21">
      <c r="L1166" s="249"/>
      <c r="M1166" s="249"/>
      <c r="N1166" s="249"/>
      <c r="T1166" s="249"/>
      <c r="U1166" s="249"/>
    </row>
    <row r="1167" spans="12:21">
      <c r="L1167" s="249"/>
      <c r="M1167" s="249"/>
      <c r="N1167" s="249"/>
      <c r="T1167" s="249"/>
      <c r="U1167" s="249"/>
    </row>
    <row r="1168" spans="12:21">
      <c r="L1168" s="249"/>
      <c r="M1168" s="249"/>
      <c r="N1168" s="249"/>
      <c r="T1168" s="249"/>
      <c r="U1168" s="249"/>
    </row>
    <row r="1169" spans="12:21">
      <c r="L1169" s="249"/>
      <c r="M1169" s="249"/>
      <c r="N1169" s="249"/>
      <c r="T1169" s="249"/>
      <c r="U1169" s="249"/>
    </row>
    <row r="1170" spans="12:21">
      <c r="L1170" s="249"/>
      <c r="M1170" s="249"/>
      <c r="N1170" s="249"/>
      <c r="T1170" s="249"/>
      <c r="U1170" s="249"/>
    </row>
    <row r="1171" spans="12:21">
      <c r="L1171" s="249"/>
      <c r="M1171" s="249"/>
      <c r="N1171" s="249"/>
      <c r="T1171" s="249"/>
      <c r="U1171" s="249"/>
    </row>
    <row r="1172" spans="12:21">
      <c r="L1172" s="249"/>
      <c r="M1172" s="249"/>
      <c r="N1172" s="249"/>
      <c r="T1172" s="249"/>
      <c r="U1172" s="249"/>
    </row>
    <row r="1173" spans="12:21">
      <c r="L1173" s="249"/>
      <c r="M1173" s="249"/>
      <c r="N1173" s="249"/>
      <c r="T1173" s="249"/>
      <c r="U1173" s="249"/>
    </row>
    <row r="1174" spans="12:21">
      <c r="L1174" s="249"/>
      <c r="M1174" s="249"/>
      <c r="N1174" s="249"/>
      <c r="T1174" s="249"/>
      <c r="U1174" s="249"/>
    </row>
    <row r="1175" spans="12:21">
      <c r="L1175" s="249"/>
      <c r="M1175" s="249"/>
      <c r="N1175" s="249"/>
      <c r="T1175" s="249"/>
      <c r="U1175" s="249"/>
    </row>
    <row r="1176" spans="12:21">
      <c r="L1176" s="249"/>
      <c r="M1176" s="249"/>
      <c r="N1176" s="249"/>
      <c r="T1176" s="249"/>
      <c r="U1176" s="249"/>
    </row>
    <row r="1177" spans="12:21">
      <c r="L1177" s="249"/>
      <c r="M1177" s="249"/>
      <c r="N1177" s="249"/>
      <c r="T1177" s="249"/>
      <c r="U1177" s="249"/>
    </row>
    <row r="1178" spans="12:21">
      <c r="L1178" s="249"/>
      <c r="M1178" s="249"/>
      <c r="N1178" s="249"/>
      <c r="T1178" s="249"/>
      <c r="U1178" s="249"/>
    </row>
    <row r="1179" spans="12:21">
      <c r="L1179" s="249"/>
      <c r="M1179" s="249"/>
      <c r="N1179" s="249"/>
      <c r="T1179" s="249"/>
      <c r="U1179" s="249"/>
    </row>
    <row r="1180" spans="12:21">
      <c r="L1180" s="249"/>
      <c r="M1180" s="249"/>
      <c r="N1180" s="249"/>
      <c r="T1180" s="249"/>
      <c r="U1180" s="249"/>
    </row>
    <row r="1181" spans="12:21">
      <c r="L1181" s="249"/>
      <c r="M1181" s="249"/>
      <c r="N1181" s="249"/>
      <c r="T1181" s="249"/>
      <c r="U1181" s="249"/>
    </row>
    <row r="1182" spans="12:21">
      <c r="L1182" s="249"/>
      <c r="M1182" s="249"/>
      <c r="N1182" s="249"/>
      <c r="T1182" s="249"/>
      <c r="U1182" s="249"/>
    </row>
    <row r="1183" spans="12:21">
      <c r="L1183" s="249"/>
      <c r="M1183" s="249"/>
      <c r="N1183" s="249"/>
      <c r="T1183" s="249"/>
      <c r="U1183" s="249"/>
    </row>
    <row r="1184" spans="12:21">
      <c r="L1184" s="249"/>
      <c r="M1184" s="249"/>
      <c r="N1184" s="249"/>
      <c r="T1184" s="249"/>
      <c r="U1184" s="249"/>
    </row>
    <row r="1185" spans="12:21">
      <c r="L1185" s="249"/>
      <c r="M1185" s="249"/>
      <c r="N1185" s="249"/>
      <c r="T1185" s="249"/>
      <c r="U1185" s="249"/>
    </row>
    <row r="1186" spans="12:21">
      <c r="L1186" s="249"/>
      <c r="M1186" s="249"/>
      <c r="N1186" s="249"/>
      <c r="T1186" s="249"/>
      <c r="U1186" s="249"/>
    </row>
    <row r="1187" spans="12:21">
      <c r="L1187" s="249"/>
      <c r="M1187" s="249"/>
      <c r="N1187" s="249"/>
      <c r="T1187" s="249"/>
      <c r="U1187" s="249"/>
    </row>
    <row r="1188" spans="12:21">
      <c r="L1188" s="249"/>
      <c r="M1188" s="249"/>
      <c r="N1188" s="249"/>
      <c r="T1188" s="249"/>
      <c r="U1188" s="249"/>
    </row>
    <row r="1189" spans="12:21">
      <c r="L1189" s="249"/>
      <c r="M1189" s="249"/>
      <c r="N1189" s="249"/>
      <c r="T1189" s="249"/>
      <c r="U1189" s="249"/>
    </row>
    <row r="1190" spans="12:21">
      <c r="L1190" s="249"/>
      <c r="M1190" s="249"/>
      <c r="N1190" s="249"/>
      <c r="T1190" s="249"/>
      <c r="U1190" s="249"/>
    </row>
    <row r="1191" spans="12:21">
      <c r="L1191" s="249"/>
      <c r="M1191" s="249"/>
      <c r="N1191" s="249"/>
      <c r="T1191" s="249"/>
      <c r="U1191" s="249"/>
    </row>
    <row r="1192" spans="12:21">
      <c r="L1192" s="249"/>
      <c r="M1192" s="249"/>
      <c r="N1192" s="249"/>
      <c r="T1192" s="249"/>
      <c r="U1192" s="249"/>
    </row>
    <row r="1193" spans="12:21">
      <c r="L1193" s="249"/>
      <c r="M1193" s="249"/>
      <c r="N1193" s="249"/>
      <c r="T1193" s="249"/>
      <c r="U1193" s="249"/>
    </row>
    <row r="1194" spans="12:21">
      <c r="L1194" s="249"/>
      <c r="M1194" s="249"/>
      <c r="N1194" s="249"/>
      <c r="T1194" s="249"/>
      <c r="U1194" s="249"/>
    </row>
    <row r="1195" spans="12:21">
      <c r="L1195" s="249"/>
      <c r="M1195" s="249"/>
      <c r="N1195" s="249"/>
      <c r="T1195" s="249"/>
      <c r="U1195" s="249"/>
    </row>
    <row r="1196" spans="12:21">
      <c r="L1196" s="249"/>
      <c r="M1196" s="249"/>
      <c r="N1196" s="249"/>
      <c r="T1196" s="249"/>
      <c r="U1196" s="249"/>
    </row>
    <row r="1197" spans="12:21">
      <c r="L1197" s="249"/>
      <c r="M1197" s="249"/>
      <c r="N1197" s="249"/>
      <c r="T1197" s="249"/>
      <c r="U1197" s="249"/>
    </row>
    <row r="1198" spans="12:21">
      <c r="L1198" s="249"/>
      <c r="M1198" s="249"/>
      <c r="N1198" s="249"/>
      <c r="T1198" s="249"/>
      <c r="U1198" s="249"/>
    </row>
    <row r="1199" spans="12:21">
      <c r="L1199" s="249"/>
      <c r="M1199" s="249"/>
      <c r="N1199" s="249"/>
      <c r="T1199" s="249"/>
      <c r="U1199" s="249"/>
    </row>
    <row r="1200" spans="12:21">
      <c r="L1200" s="249"/>
      <c r="M1200" s="249"/>
      <c r="N1200" s="249"/>
      <c r="T1200" s="249"/>
      <c r="U1200" s="249"/>
    </row>
    <row r="1201" spans="12:21">
      <c r="L1201" s="249"/>
      <c r="M1201" s="249"/>
      <c r="N1201" s="249"/>
      <c r="T1201" s="249"/>
      <c r="U1201" s="249"/>
    </row>
    <row r="1202" spans="12:21">
      <c r="L1202" s="249"/>
      <c r="M1202" s="249"/>
      <c r="N1202" s="249"/>
      <c r="T1202" s="249"/>
      <c r="U1202" s="249"/>
    </row>
    <row r="1203" spans="12:21">
      <c r="L1203" s="249"/>
      <c r="M1203" s="249"/>
      <c r="N1203" s="249"/>
      <c r="T1203" s="249"/>
      <c r="U1203" s="249"/>
    </row>
    <row r="1204" spans="12:21">
      <c r="L1204" s="249"/>
      <c r="M1204" s="249"/>
      <c r="N1204" s="249"/>
      <c r="T1204" s="249"/>
      <c r="U1204" s="249"/>
    </row>
    <row r="1205" spans="12:21">
      <c r="L1205" s="249"/>
      <c r="M1205" s="249"/>
      <c r="N1205" s="249"/>
      <c r="T1205" s="249"/>
      <c r="U1205" s="249"/>
    </row>
    <row r="1206" spans="12:21">
      <c r="L1206" s="249"/>
      <c r="M1206" s="249"/>
      <c r="N1206" s="249"/>
      <c r="T1206" s="249"/>
      <c r="U1206" s="249"/>
    </row>
    <row r="1207" spans="12:21">
      <c r="L1207" s="249"/>
      <c r="M1207" s="249"/>
      <c r="N1207" s="249"/>
      <c r="T1207" s="249"/>
      <c r="U1207" s="249"/>
    </row>
    <row r="1208" spans="12:21">
      <c r="L1208" s="249"/>
      <c r="M1208" s="249"/>
      <c r="N1208" s="249"/>
      <c r="T1208" s="249"/>
      <c r="U1208" s="249"/>
    </row>
    <row r="1209" spans="12:21">
      <c r="L1209" s="249"/>
      <c r="M1209" s="249"/>
      <c r="N1209" s="249"/>
      <c r="T1209" s="249"/>
      <c r="U1209" s="249"/>
    </row>
    <row r="1210" spans="12:21">
      <c r="L1210" s="249"/>
      <c r="M1210" s="249"/>
      <c r="N1210" s="249"/>
      <c r="T1210" s="249"/>
      <c r="U1210" s="249"/>
    </row>
    <row r="1211" spans="12:21">
      <c r="L1211" s="249"/>
      <c r="M1211" s="249"/>
      <c r="N1211" s="249"/>
      <c r="T1211" s="249"/>
      <c r="U1211" s="249"/>
    </row>
    <row r="1212" spans="12:21">
      <c r="L1212" s="249"/>
      <c r="M1212" s="249"/>
      <c r="N1212" s="249"/>
      <c r="T1212" s="249"/>
      <c r="U1212" s="249"/>
    </row>
    <row r="1213" spans="12:21">
      <c r="L1213" s="249"/>
      <c r="M1213" s="249"/>
      <c r="N1213" s="249"/>
      <c r="T1213" s="249"/>
      <c r="U1213" s="249"/>
    </row>
    <row r="1214" spans="12:21">
      <c r="L1214" s="249"/>
      <c r="M1214" s="249"/>
      <c r="N1214" s="249"/>
      <c r="T1214" s="249"/>
      <c r="U1214" s="249"/>
    </row>
    <row r="1215" spans="12:21">
      <c r="L1215" s="249"/>
      <c r="M1215" s="249"/>
      <c r="N1215" s="249"/>
      <c r="T1215" s="249"/>
      <c r="U1215" s="249"/>
    </row>
    <row r="1216" spans="12:21">
      <c r="L1216" s="249"/>
      <c r="M1216" s="249"/>
      <c r="N1216" s="249"/>
      <c r="T1216" s="249"/>
      <c r="U1216" s="249"/>
    </row>
    <row r="1217" spans="12:21">
      <c r="L1217" s="249"/>
      <c r="M1217" s="249"/>
      <c r="N1217" s="249"/>
      <c r="T1217" s="249"/>
      <c r="U1217" s="249"/>
    </row>
    <row r="1218" spans="12:21">
      <c r="L1218" s="249"/>
      <c r="M1218" s="249"/>
      <c r="N1218" s="249"/>
      <c r="T1218" s="249"/>
      <c r="U1218" s="249"/>
    </row>
    <row r="1219" spans="12:21">
      <c r="L1219" s="249"/>
      <c r="M1219" s="249"/>
      <c r="N1219" s="249"/>
      <c r="T1219" s="249"/>
      <c r="U1219" s="249"/>
    </row>
    <row r="1220" spans="12:21">
      <c r="L1220" s="249"/>
      <c r="M1220" s="249"/>
      <c r="N1220" s="249"/>
      <c r="T1220" s="249"/>
      <c r="U1220" s="249"/>
    </row>
    <row r="1221" spans="12:21">
      <c r="L1221" s="249"/>
      <c r="M1221" s="249"/>
      <c r="N1221" s="249"/>
      <c r="T1221" s="249"/>
      <c r="U1221" s="249"/>
    </row>
    <row r="1222" spans="12:21">
      <c r="L1222" s="249"/>
      <c r="M1222" s="249"/>
      <c r="N1222" s="249"/>
      <c r="T1222" s="249"/>
      <c r="U1222" s="249"/>
    </row>
    <row r="1223" spans="12:21">
      <c r="L1223" s="249"/>
      <c r="M1223" s="249"/>
      <c r="N1223" s="249"/>
      <c r="T1223" s="249"/>
      <c r="U1223" s="249"/>
    </row>
    <row r="1224" spans="12:21">
      <c r="L1224" s="249"/>
      <c r="M1224" s="249"/>
      <c r="N1224" s="249"/>
      <c r="T1224" s="249"/>
      <c r="U1224" s="249"/>
    </row>
    <row r="1225" spans="12:21">
      <c r="L1225" s="249"/>
      <c r="M1225" s="249"/>
      <c r="N1225" s="249"/>
      <c r="T1225" s="249"/>
      <c r="U1225" s="249"/>
    </row>
    <row r="1226" spans="12:21">
      <c r="L1226" s="249"/>
      <c r="M1226" s="249"/>
      <c r="N1226" s="249"/>
      <c r="T1226" s="249"/>
      <c r="U1226" s="249"/>
    </row>
    <row r="1227" spans="12:21">
      <c r="L1227" s="249"/>
      <c r="M1227" s="249"/>
      <c r="N1227" s="249"/>
      <c r="T1227" s="249"/>
      <c r="U1227" s="249"/>
    </row>
    <row r="1228" spans="12:21">
      <c r="L1228" s="249"/>
      <c r="M1228" s="249"/>
      <c r="N1228" s="249"/>
      <c r="T1228" s="249"/>
      <c r="U1228" s="249"/>
    </row>
    <row r="1229" spans="12:21">
      <c r="L1229" s="249"/>
      <c r="M1229" s="249"/>
      <c r="N1229" s="249"/>
      <c r="T1229" s="249"/>
      <c r="U1229" s="249"/>
    </row>
    <row r="1230" spans="12:21">
      <c r="L1230" s="249"/>
      <c r="M1230" s="249"/>
      <c r="N1230" s="249"/>
      <c r="T1230" s="249"/>
      <c r="U1230" s="249"/>
    </row>
    <row r="1231" spans="12:21">
      <c r="L1231" s="249"/>
      <c r="M1231" s="249"/>
      <c r="N1231" s="249"/>
      <c r="T1231" s="249"/>
      <c r="U1231" s="249"/>
    </row>
    <row r="1232" spans="12:21">
      <c r="L1232" s="249"/>
      <c r="M1232" s="249"/>
      <c r="N1232" s="249"/>
      <c r="T1232" s="249"/>
      <c r="U1232" s="249"/>
    </row>
    <row r="1233" spans="12:21">
      <c r="L1233" s="249"/>
      <c r="M1233" s="249"/>
      <c r="N1233" s="249"/>
      <c r="T1233" s="249"/>
      <c r="U1233" s="249"/>
    </row>
    <row r="1234" spans="12:21">
      <c r="L1234" s="249"/>
      <c r="M1234" s="249"/>
      <c r="N1234" s="249"/>
      <c r="T1234" s="249"/>
      <c r="U1234" s="249"/>
    </row>
    <row r="1235" spans="12:21">
      <c r="L1235" s="249"/>
      <c r="M1235" s="249"/>
      <c r="N1235" s="249"/>
      <c r="T1235" s="249"/>
      <c r="U1235" s="249"/>
    </row>
    <row r="1236" spans="12:21">
      <c r="L1236" s="249"/>
      <c r="M1236" s="249"/>
      <c r="N1236" s="249"/>
      <c r="T1236" s="249"/>
      <c r="U1236" s="249"/>
    </row>
    <row r="1237" spans="12:21">
      <c r="L1237" s="249"/>
      <c r="M1237" s="249"/>
      <c r="N1237" s="249"/>
      <c r="T1237" s="249"/>
      <c r="U1237" s="249"/>
    </row>
    <row r="1238" spans="12:21">
      <c r="L1238" s="249"/>
      <c r="M1238" s="249"/>
      <c r="N1238" s="249"/>
      <c r="T1238" s="249"/>
      <c r="U1238" s="249"/>
    </row>
    <row r="1239" spans="12:21">
      <c r="L1239" s="249"/>
      <c r="M1239" s="249"/>
      <c r="N1239" s="249"/>
      <c r="T1239" s="249"/>
      <c r="U1239" s="249"/>
    </row>
    <row r="1240" spans="12:21">
      <c r="L1240" s="249"/>
      <c r="M1240" s="249"/>
      <c r="N1240" s="249"/>
      <c r="T1240" s="249"/>
      <c r="U1240" s="249"/>
    </row>
    <row r="1241" spans="12:21">
      <c r="L1241" s="249"/>
      <c r="M1241" s="249"/>
      <c r="N1241" s="249"/>
      <c r="T1241" s="249"/>
      <c r="U1241" s="249"/>
    </row>
    <row r="1242" spans="12:21">
      <c r="L1242" s="249"/>
      <c r="M1242" s="249"/>
      <c r="N1242" s="249"/>
      <c r="T1242" s="249"/>
      <c r="U1242" s="249"/>
    </row>
    <row r="1243" spans="12:21">
      <c r="L1243" s="249"/>
      <c r="M1243" s="249"/>
      <c r="N1243" s="249"/>
      <c r="T1243" s="249"/>
      <c r="U1243" s="249"/>
    </row>
    <row r="1244" spans="12:21">
      <c r="L1244" s="249"/>
      <c r="M1244" s="249"/>
      <c r="N1244" s="249"/>
      <c r="T1244" s="249"/>
      <c r="U1244" s="249"/>
    </row>
    <row r="1245" spans="12:21">
      <c r="L1245" s="249"/>
      <c r="M1245" s="249"/>
      <c r="N1245" s="249"/>
      <c r="T1245" s="249"/>
      <c r="U1245" s="249"/>
    </row>
    <row r="1246" spans="12:21">
      <c r="L1246" s="249"/>
      <c r="M1246" s="249"/>
      <c r="N1246" s="249"/>
      <c r="T1246" s="249"/>
      <c r="U1246" s="249"/>
    </row>
    <row r="1247" spans="12:21">
      <c r="L1247" s="249"/>
      <c r="M1247" s="249"/>
      <c r="N1247" s="249"/>
      <c r="T1247" s="249"/>
      <c r="U1247" s="249"/>
    </row>
    <row r="1248" spans="12:21">
      <c r="L1248" s="249"/>
      <c r="M1248" s="249"/>
      <c r="N1248" s="249"/>
      <c r="T1248" s="249"/>
      <c r="U1248" s="249"/>
    </row>
    <row r="1249" spans="12:21">
      <c r="L1249" s="249"/>
      <c r="M1249" s="249"/>
      <c r="N1249" s="249"/>
      <c r="T1249" s="249"/>
      <c r="U1249" s="249"/>
    </row>
    <row r="1250" spans="12:21">
      <c r="L1250" s="249"/>
      <c r="M1250" s="249"/>
      <c r="N1250" s="249"/>
      <c r="T1250" s="249"/>
      <c r="U1250" s="249"/>
    </row>
    <row r="1251" spans="12:21">
      <c r="L1251" s="249"/>
      <c r="M1251" s="249"/>
      <c r="N1251" s="249"/>
      <c r="T1251" s="249"/>
      <c r="U1251" s="249"/>
    </row>
    <row r="1252" spans="12:21">
      <c r="L1252" s="249"/>
      <c r="M1252" s="249"/>
      <c r="N1252" s="249"/>
      <c r="T1252" s="249"/>
      <c r="U1252" s="249"/>
    </row>
    <row r="1253" spans="12:21">
      <c r="L1253" s="249"/>
      <c r="M1253" s="249"/>
      <c r="N1253" s="249"/>
      <c r="T1253" s="249"/>
      <c r="U1253" s="249"/>
    </row>
    <row r="1254" spans="12:21">
      <c r="L1254" s="249"/>
      <c r="M1254" s="249"/>
      <c r="N1254" s="249"/>
      <c r="T1254" s="249"/>
      <c r="U1254" s="249"/>
    </row>
    <row r="1255" spans="12:21">
      <c r="L1255" s="249"/>
      <c r="M1255" s="249"/>
      <c r="N1255" s="249"/>
      <c r="T1255" s="249"/>
      <c r="U1255" s="249"/>
    </row>
    <row r="1256" spans="12:21">
      <c r="L1256" s="249"/>
      <c r="M1256" s="249"/>
      <c r="N1256" s="249"/>
      <c r="T1256" s="249"/>
      <c r="U1256" s="249"/>
    </row>
    <row r="1257" spans="12:21">
      <c r="L1257" s="249"/>
      <c r="M1257" s="249"/>
      <c r="N1257" s="249"/>
      <c r="T1257" s="249"/>
      <c r="U1257" s="249"/>
    </row>
    <row r="1258" spans="12:21">
      <c r="L1258" s="249"/>
      <c r="M1258" s="249"/>
      <c r="N1258" s="249"/>
      <c r="T1258" s="249"/>
      <c r="U1258" s="249"/>
    </row>
    <row r="1259" spans="12:21">
      <c r="L1259" s="249"/>
      <c r="M1259" s="249"/>
      <c r="N1259" s="249"/>
      <c r="T1259" s="249"/>
      <c r="U1259" s="249"/>
    </row>
    <row r="1260" spans="12:21">
      <c r="L1260" s="249"/>
      <c r="M1260" s="249"/>
      <c r="N1260" s="249"/>
      <c r="T1260" s="249"/>
      <c r="U1260" s="249"/>
    </row>
    <row r="1261" spans="12:21">
      <c r="L1261" s="249"/>
      <c r="M1261" s="249"/>
      <c r="N1261" s="249"/>
      <c r="T1261" s="249"/>
      <c r="U1261" s="249"/>
    </row>
    <row r="1262" spans="12:21">
      <c r="L1262" s="249"/>
      <c r="M1262" s="249"/>
      <c r="N1262" s="249"/>
      <c r="T1262" s="249"/>
      <c r="U1262" s="249"/>
    </row>
    <row r="1263" spans="12:21">
      <c r="L1263" s="249"/>
      <c r="M1263" s="249"/>
      <c r="N1263" s="249"/>
      <c r="T1263" s="249"/>
      <c r="U1263" s="249"/>
    </row>
    <row r="1264" spans="12:21">
      <c r="L1264" s="249"/>
      <c r="M1264" s="249"/>
      <c r="N1264" s="249"/>
      <c r="T1264" s="249"/>
      <c r="U1264" s="249"/>
    </row>
    <row r="1265" spans="12:21">
      <c r="L1265" s="249"/>
      <c r="M1265" s="249"/>
      <c r="N1265" s="249"/>
      <c r="T1265" s="249"/>
      <c r="U1265" s="249"/>
    </row>
    <row r="1266" spans="12:21">
      <c r="L1266" s="249"/>
      <c r="M1266" s="249"/>
      <c r="N1266" s="249"/>
      <c r="T1266" s="249"/>
      <c r="U1266" s="249"/>
    </row>
    <row r="1267" spans="12:21">
      <c r="L1267" s="249"/>
      <c r="M1267" s="249"/>
      <c r="N1267" s="249"/>
      <c r="T1267" s="249"/>
      <c r="U1267" s="249"/>
    </row>
    <row r="1268" spans="12:21">
      <c r="L1268" s="249"/>
      <c r="M1268" s="249"/>
      <c r="N1268" s="249"/>
      <c r="T1268" s="249"/>
      <c r="U1268" s="249"/>
    </row>
    <row r="1269" spans="12:21">
      <c r="L1269" s="249"/>
      <c r="M1269" s="249"/>
      <c r="N1269" s="249"/>
      <c r="T1269" s="249"/>
      <c r="U1269" s="249"/>
    </row>
    <row r="1270" spans="12:21">
      <c r="L1270" s="249"/>
      <c r="M1270" s="249"/>
      <c r="N1270" s="249"/>
      <c r="T1270" s="249"/>
      <c r="U1270" s="249"/>
    </row>
    <row r="1271" spans="12:21">
      <c r="L1271" s="249"/>
      <c r="M1271" s="249"/>
      <c r="N1271" s="249"/>
      <c r="T1271" s="249"/>
      <c r="U1271" s="249"/>
    </row>
    <row r="1272" spans="12:21">
      <c r="L1272" s="249"/>
      <c r="M1272" s="249"/>
      <c r="N1272" s="249"/>
      <c r="T1272" s="249"/>
      <c r="U1272" s="249"/>
    </row>
    <row r="1273" spans="12:21">
      <c r="L1273" s="249"/>
      <c r="M1273" s="249"/>
      <c r="N1273" s="249"/>
      <c r="T1273" s="249"/>
      <c r="U1273" s="249"/>
    </row>
    <row r="1274" spans="12:21">
      <c r="L1274" s="249"/>
      <c r="M1274" s="249"/>
      <c r="N1274" s="249"/>
      <c r="T1274" s="249"/>
      <c r="U1274" s="249"/>
    </row>
    <row r="1275" spans="12:21">
      <c r="L1275" s="249"/>
      <c r="M1275" s="249"/>
      <c r="N1275" s="249"/>
      <c r="T1275" s="249"/>
      <c r="U1275" s="249"/>
    </row>
    <row r="1276" spans="12:21">
      <c r="L1276" s="249"/>
      <c r="M1276" s="249"/>
      <c r="N1276" s="249"/>
      <c r="T1276" s="249"/>
      <c r="U1276" s="249"/>
    </row>
    <row r="1277" spans="12:21">
      <c r="L1277" s="249"/>
      <c r="M1277" s="249"/>
      <c r="N1277" s="249"/>
      <c r="T1277" s="249"/>
      <c r="U1277" s="249"/>
    </row>
    <row r="1278" spans="12:21">
      <c r="L1278" s="249"/>
      <c r="M1278" s="249"/>
      <c r="N1278" s="249"/>
      <c r="T1278" s="249"/>
      <c r="U1278" s="249"/>
    </row>
    <row r="1279" spans="12:21">
      <c r="L1279" s="249"/>
      <c r="M1279" s="249"/>
      <c r="N1279" s="249"/>
      <c r="T1279" s="249"/>
      <c r="U1279" s="249"/>
    </row>
    <row r="1280" spans="12:21">
      <c r="L1280" s="249"/>
      <c r="M1280" s="249"/>
      <c r="N1280" s="249"/>
      <c r="T1280" s="249"/>
      <c r="U1280" s="249"/>
    </row>
    <row r="1281" spans="12:21">
      <c r="L1281" s="249"/>
      <c r="M1281" s="249"/>
      <c r="N1281" s="249"/>
      <c r="T1281" s="249"/>
      <c r="U1281" s="249"/>
    </row>
    <row r="1282" spans="12:21">
      <c r="L1282" s="249"/>
      <c r="M1282" s="249"/>
      <c r="N1282" s="249"/>
      <c r="T1282" s="249"/>
      <c r="U1282" s="249"/>
    </row>
    <row r="1283" spans="12:21">
      <c r="L1283" s="249"/>
      <c r="M1283" s="249"/>
      <c r="N1283" s="249"/>
      <c r="T1283" s="249"/>
      <c r="U1283" s="249"/>
    </row>
    <row r="1284" spans="12:21">
      <c r="L1284" s="249"/>
      <c r="M1284" s="249"/>
      <c r="N1284" s="249"/>
      <c r="T1284" s="249"/>
      <c r="U1284" s="249"/>
    </row>
    <row r="1285" spans="12:21">
      <c r="L1285" s="249"/>
      <c r="M1285" s="249"/>
      <c r="N1285" s="249"/>
      <c r="T1285" s="249"/>
      <c r="U1285" s="249"/>
    </row>
    <row r="1286" spans="12:21">
      <c r="L1286" s="249"/>
      <c r="M1286" s="249"/>
      <c r="N1286" s="249"/>
      <c r="T1286" s="249"/>
      <c r="U1286" s="249"/>
    </row>
    <row r="1287" spans="12:21">
      <c r="L1287" s="249"/>
      <c r="M1287" s="249"/>
      <c r="N1287" s="249"/>
      <c r="T1287" s="249"/>
      <c r="U1287" s="249"/>
    </row>
    <row r="1288" spans="12:21">
      <c r="L1288" s="249"/>
      <c r="M1288" s="249"/>
      <c r="N1288" s="249"/>
      <c r="T1288" s="249"/>
      <c r="U1288" s="249"/>
    </row>
    <row r="1289" spans="12:21">
      <c r="L1289" s="249"/>
      <c r="M1289" s="249"/>
      <c r="N1289" s="249"/>
      <c r="T1289" s="249"/>
      <c r="U1289" s="249"/>
    </row>
    <row r="1290" spans="12:21">
      <c r="L1290" s="249"/>
      <c r="M1290" s="249"/>
      <c r="N1290" s="249"/>
      <c r="T1290" s="249"/>
      <c r="U1290" s="249"/>
    </row>
    <row r="1291" spans="12:21">
      <c r="L1291" s="249"/>
      <c r="M1291" s="249"/>
      <c r="N1291" s="249"/>
      <c r="T1291" s="249"/>
      <c r="U1291" s="249"/>
    </row>
    <row r="1292" spans="12:21">
      <c r="L1292" s="249"/>
      <c r="M1292" s="249"/>
      <c r="N1292" s="249"/>
      <c r="T1292" s="249"/>
      <c r="U1292" s="249"/>
    </row>
    <row r="1293" spans="12:21">
      <c r="L1293" s="249"/>
      <c r="M1293" s="249"/>
      <c r="N1293" s="249"/>
      <c r="T1293" s="249"/>
      <c r="U1293" s="249"/>
    </row>
    <row r="1294" spans="12:21">
      <c r="L1294" s="249"/>
      <c r="M1294" s="249"/>
      <c r="N1294" s="249"/>
      <c r="T1294" s="249"/>
      <c r="U1294" s="249"/>
    </row>
    <row r="1295" spans="12:21">
      <c r="L1295" s="249"/>
      <c r="M1295" s="249"/>
      <c r="N1295" s="249"/>
      <c r="T1295" s="249"/>
      <c r="U1295" s="249"/>
    </row>
    <row r="1296" spans="12:21">
      <c r="L1296" s="249"/>
      <c r="M1296" s="249"/>
      <c r="N1296" s="249"/>
      <c r="T1296" s="249"/>
      <c r="U1296" s="249"/>
    </row>
    <row r="1297" spans="12:21">
      <c r="L1297" s="249"/>
      <c r="M1297" s="249"/>
      <c r="N1297" s="249"/>
      <c r="T1297" s="249"/>
      <c r="U1297" s="249"/>
    </row>
    <row r="1298" spans="12:21">
      <c r="L1298" s="249"/>
      <c r="M1298" s="249"/>
      <c r="N1298" s="249"/>
      <c r="T1298" s="249"/>
      <c r="U1298" s="249"/>
    </row>
    <row r="1299" spans="12:21">
      <c r="L1299" s="249"/>
      <c r="M1299" s="249"/>
      <c r="N1299" s="249"/>
      <c r="T1299" s="249"/>
      <c r="U1299" s="249"/>
    </row>
    <row r="1300" spans="12:21">
      <c r="L1300" s="249"/>
      <c r="M1300" s="249"/>
      <c r="N1300" s="249"/>
      <c r="T1300" s="249"/>
      <c r="U1300" s="249"/>
    </row>
    <row r="1301" spans="12:21">
      <c r="L1301" s="249"/>
      <c r="M1301" s="249"/>
      <c r="N1301" s="249"/>
      <c r="T1301" s="249"/>
      <c r="U1301" s="249"/>
    </row>
    <row r="1302" spans="12:21">
      <c r="L1302" s="249"/>
      <c r="M1302" s="249"/>
      <c r="N1302" s="249"/>
      <c r="T1302" s="249"/>
      <c r="U1302" s="249"/>
    </row>
    <row r="1303" spans="12:21">
      <c r="L1303" s="249"/>
      <c r="M1303" s="249"/>
      <c r="N1303" s="249"/>
      <c r="T1303" s="249"/>
      <c r="U1303" s="249"/>
    </row>
    <row r="1304" spans="12:21">
      <c r="L1304" s="249"/>
      <c r="M1304" s="249"/>
      <c r="N1304" s="249"/>
      <c r="T1304" s="249"/>
      <c r="U1304" s="249"/>
    </row>
    <row r="1305" spans="12:21">
      <c r="L1305" s="249"/>
      <c r="M1305" s="249"/>
      <c r="N1305" s="249"/>
      <c r="T1305" s="249"/>
      <c r="U1305" s="249"/>
    </row>
    <row r="1306" spans="12:21">
      <c r="L1306" s="249"/>
      <c r="M1306" s="249"/>
      <c r="N1306" s="249"/>
      <c r="T1306" s="249"/>
      <c r="U1306" s="249"/>
    </row>
    <row r="1307" spans="12:21">
      <c r="L1307" s="249"/>
      <c r="M1307" s="249"/>
      <c r="N1307" s="249"/>
      <c r="T1307" s="249"/>
      <c r="U1307" s="249"/>
    </row>
    <row r="1308" spans="12:21">
      <c r="L1308" s="249"/>
      <c r="M1308" s="249"/>
      <c r="N1308" s="249"/>
      <c r="T1308" s="249"/>
      <c r="U1308" s="249"/>
    </row>
    <row r="1309" spans="12:21">
      <c r="L1309" s="249"/>
      <c r="M1309" s="249"/>
      <c r="N1309" s="249"/>
      <c r="T1309" s="249"/>
      <c r="U1309" s="249"/>
    </row>
    <row r="1310" spans="12:21">
      <c r="L1310" s="249"/>
      <c r="M1310" s="249"/>
      <c r="N1310" s="249"/>
      <c r="T1310" s="249"/>
      <c r="U1310" s="249"/>
    </row>
    <row r="1311" spans="12:21">
      <c r="L1311" s="249"/>
      <c r="M1311" s="249"/>
      <c r="N1311" s="249"/>
      <c r="T1311" s="249"/>
      <c r="U1311" s="249"/>
    </row>
    <row r="1312" spans="12:21">
      <c r="L1312" s="249"/>
      <c r="M1312" s="249"/>
      <c r="N1312" s="249"/>
      <c r="T1312" s="249"/>
      <c r="U1312" s="249"/>
    </row>
    <row r="1313" spans="12:21">
      <c r="L1313" s="249"/>
      <c r="M1313" s="249"/>
      <c r="N1313" s="249"/>
      <c r="T1313" s="249"/>
      <c r="U1313" s="249"/>
    </row>
    <row r="1314" spans="12:21">
      <c r="L1314" s="249"/>
      <c r="M1314" s="249"/>
      <c r="N1314" s="249"/>
      <c r="T1314" s="249"/>
      <c r="U1314" s="249"/>
    </row>
    <row r="1315" spans="12:21">
      <c r="L1315" s="249"/>
      <c r="M1315" s="249"/>
      <c r="N1315" s="249"/>
      <c r="T1315" s="249"/>
      <c r="U1315" s="249"/>
    </row>
    <row r="1316" spans="12:21">
      <c r="L1316" s="249"/>
      <c r="M1316" s="249"/>
      <c r="N1316" s="249"/>
      <c r="T1316" s="249"/>
      <c r="U1316" s="249"/>
    </row>
    <row r="1317" spans="12:21">
      <c r="L1317" s="249"/>
      <c r="M1317" s="249"/>
      <c r="N1317" s="249"/>
      <c r="T1317" s="249"/>
      <c r="U1317" s="249"/>
    </row>
    <row r="1318" spans="12:21">
      <c r="L1318" s="249"/>
      <c r="M1318" s="249"/>
      <c r="N1318" s="249"/>
      <c r="T1318" s="249"/>
      <c r="U1318" s="249"/>
    </row>
    <row r="1319" spans="12:21">
      <c r="L1319" s="249"/>
      <c r="M1319" s="249"/>
      <c r="N1319" s="249"/>
      <c r="T1319" s="249"/>
      <c r="U1319" s="249"/>
    </row>
    <row r="1320" spans="12:21">
      <c r="L1320" s="249"/>
      <c r="M1320" s="249"/>
      <c r="N1320" s="249"/>
      <c r="T1320" s="249"/>
      <c r="U1320" s="249"/>
    </row>
    <row r="1321" spans="12:21">
      <c r="L1321" s="249"/>
      <c r="M1321" s="249"/>
      <c r="N1321" s="249"/>
      <c r="T1321" s="249"/>
      <c r="U1321" s="249"/>
    </row>
    <row r="1322" spans="12:21">
      <c r="L1322" s="249"/>
      <c r="M1322" s="249"/>
      <c r="N1322" s="249"/>
      <c r="T1322" s="249"/>
      <c r="U1322" s="249"/>
    </row>
    <row r="1323" spans="12:21">
      <c r="L1323" s="249"/>
      <c r="M1323" s="249"/>
      <c r="N1323" s="249"/>
      <c r="T1323" s="249"/>
      <c r="U1323" s="249"/>
    </row>
    <row r="1324" spans="12:21">
      <c r="L1324" s="249"/>
      <c r="M1324" s="249"/>
      <c r="N1324" s="249"/>
      <c r="T1324" s="249"/>
      <c r="U1324" s="249"/>
    </row>
    <row r="1325" spans="12:21">
      <c r="L1325" s="249"/>
      <c r="M1325" s="249"/>
      <c r="N1325" s="249"/>
      <c r="T1325" s="249"/>
      <c r="U1325" s="249"/>
    </row>
    <row r="1326" spans="12:21">
      <c r="L1326" s="249"/>
      <c r="M1326" s="249"/>
      <c r="N1326" s="249"/>
      <c r="T1326" s="249"/>
      <c r="U1326" s="249"/>
    </row>
    <row r="1327" spans="12:21">
      <c r="L1327" s="249"/>
      <c r="M1327" s="249"/>
      <c r="N1327" s="249"/>
      <c r="T1327" s="249"/>
      <c r="U1327" s="249"/>
    </row>
    <row r="1328" spans="12:21">
      <c r="L1328" s="249"/>
      <c r="M1328" s="249"/>
      <c r="N1328" s="249"/>
      <c r="T1328" s="249"/>
      <c r="U1328" s="249"/>
    </row>
    <row r="1329" spans="12:21">
      <c r="L1329" s="249"/>
      <c r="M1329" s="249"/>
      <c r="N1329" s="249"/>
      <c r="T1329" s="249"/>
      <c r="U1329" s="249"/>
    </row>
    <row r="1330" spans="12:21">
      <c r="L1330" s="249"/>
      <c r="M1330" s="249"/>
      <c r="N1330" s="249"/>
      <c r="T1330" s="249"/>
      <c r="U1330" s="249"/>
    </row>
    <row r="1331" spans="12:21">
      <c r="L1331" s="249"/>
      <c r="M1331" s="249"/>
      <c r="N1331" s="249"/>
      <c r="T1331" s="249"/>
      <c r="U1331" s="249"/>
    </row>
    <row r="1332" spans="12:21">
      <c r="L1332" s="249"/>
      <c r="M1332" s="249"/>
      <c r="N1332" s="249"/>
      <c r="T1332" s="249"/>
      <c r="U1332" s="249"/>
    </row>
    <row r="1333" spans="12:21">
      <c r="L1333" s="249"/>
      <c r="M1333" s="249"/>
      <c r="N1333" s="249"/>
      <c r="T1333" s="249"/>
      <c r="U1333" s="249"/>
    </row>
    <row r="1334" spans="12:21">
      <c r="L1334" s="249"/>
      <c r="M1334" s="249"/>
      <c r="N1334" s="249"/>
      <c r="T1334" s="249"/>
      <c r="U1334" s="249"/>
    </row>
    <row r="1335" spans="12:21">
      <c r="L1335" s="249"/>
      <c r="M1335" s="249"/>
      <c r="N1335" s="249"/>
      <c r="T1335" s="249"/>
      <c r="U1335" s="249"/>
    </row>
    <row r="1336" spans="12:21">
      <c r="L1336" s="249"/>
      <c r="M1336" s="249"/>
      <c r="N1336" s="249"/>
      <c r="T1336" s="249"/>
      <c r="U1336" s="249"/>
    </row>
    <row r="1337" spans="12:21">
      <c r="L1337" s="249"/>
      <c r="M1337" s="249"/>
      <c r="N1337" s="249"/>
      <c r="T1337" s="249"/>
      <c r="U1337" s="249"/>
    </row>
    <row r="1338" spans="12:21">
      <c r="L1338" s="249"/>
      <c r="M1338" s="249"/>
      <c r="N1338" s="249"/>
      <c r="T1338" s="249"/>
      <c r="U1338" s="249"/>
    </row>
    <row r="1339" spans="12:21">
      <c r="L1339" s="249"/>
      <c r="M1339" s="249"/>
      <c r="N1339" s="249"/>
      <c r="T1339" s="249"/>
      <c r="U1339" s="249"/>
    </row>
    <row r="1340" spans="12:21">
      <c r="L1340" s="249"/>
      <c r="M1340" s="249"/>
      <c r="N1340" s="249"/>
      <c r="T1340" s="249"/>
      <c r="U1340" s="249"/>
    </row>
    <row r="1341" spans="12:21">
      <c r="L1341" s="249"/>
      <c r="M1341" s="249"/>
      <c r="N1341" s="249"/>
      <c r="T1341" s="249"/>
      <c r="U1341" s="249"/>
    </row>
    <row r="1342" spans="12:21">
      <c r="L1342" s="249"/>
      <c r="M1342" s="249"/>
      <c r="N1342" s="249"/>
      <c r="T1342" s="249"/>
      <c r="U1342" s="249"/>
    </row>
    <row r="1343" spans="12:21">
      <c r="L1343" s="249"/>
      <c r="M1343" s="249"/>
      <c r="N1343" s="249"/>
      <c r="T1343" s="249"/>
      <c r="U1343" s="249"/>
    </row>
    <row r="1344" spans="12:21">
      <c r="L1344" s="249"/>
      <c r="M1344" s="249"/>
      <c r="N1344" s="249"/>
      <c r="T1344" s="249"/>
      <c r="U1344" s="249"/>
    </row>
    <row r="1345" spans="12:21">
      <c r="L1345" s="249"/>
      <c r="M1345" s="249"/>
      <c r="N1345" s="249"/>
      <c r="T1345" s="249"/>
      <c r="U1345" s="249"/>
    </row>
    <row r="1346" spans="12:21">
      <c r="L1346" s="249"/>
      <c r="M1346" s="249"/>
      <c r="N1346" s="249"/>
      <c r="T1346" s="249"/>
      <c r="U1346" s="249"/>
    </row>
    <row r="1347" spans="12:21">
      <c r="L1347" s="249"/>
      <c r="M1347" s="249"/>
      <c r="N1347" s="249"/>
      <c r="T1347" s="249"/>
      <c r="U1347" s="249"/>
    </row>
    <row r="1348" spans="12:21">
      <c r="L1348" s="249"/>
      <c r="M1348" s="249"/>
      <c r="N1348" s="249"/>
      <c r="T1348" s="249"/>
      <c r="U1348" s="249"/>
    </row>
    <row r="1349" spans="12:21">
      <c r="L1349" s="249"/>
      <c r="M1349" s="249"/>
      <c r="N1349" s="249"/>
      <c r="T1349" s="249"/>
      <c r="U1349" s="249"/>
    </row>
    <row r="1350" spans="12:21">
      <c r="L1350" s="249"/>
      <c r="M1350" s="249"/>
      <c r="N1350" s="249"/>
      <c r="T1350" s="249"/>
      <c r="U1350" s="249"/>
    </row>
    <row r="1351" spans="12:21">
      <c r="L1351" s="249"/>
      <c r="M1351" s="249"/>
      <c r="N1351" s="249"/>
      <c r="T1351" s="249"/>
      <c r="U1351" s="249"/>
    </row>
    <row r="1352" spans="12:21">
      <c r="L1352" s="249"/>
      <c r="M1352" s="249"/>
      <c r="N1352" s="249"/>
      <c r="T1352" s="249"/>
      <c r="U1352" s="249"/>
    </row>
    <row r="1353" spans="12:21">
      <c r="L1353" s="249"/>
      <c r="M1353" s="249"/>
      <c r="N1353" s="249"/>
      <c r="T1353" s="249"/>
      <c r="U1353" s="249"/>
    </row>
    <row r="1354" spans="12:21">
      <c r="L1354" s="249"/>
      <c r="M1354" s="249"/>
      <c r="N1354" s="249"/>
      <c r="T1354" s="249"/>
      <c r="U1354" s="249"/>
    </row>
    <row r="1355" spans="12:21">
      <c r="L1355" s="249"/>
      <c r="M1355" s="249"/>
      <c r="N1355" s="249"/>
      <c r="T1355" s="249"/>
      <c r="U1355" s="249"/>
    </row>
    <row r="1356" spans="12:21">
      <c r="L1356" s="249"/>
      <c r="M1356" s="249"/>
      <c r="N1356" s="249"/>
      <c r="T1356" s="249"/>
      <c r="U1356" s="249"/>
    </row>
    <row r="1357" spans="12:21">
      <c r="L1357" s="249"/>
      <c r="M1357" s="249"/>
      <c r="N1357" s="249"/>
      <c r="T1357" s="249"/>
      <c r="U1357" s="249"/>
    </row>
    <row r="1358" spans="12:21">
      <c r="L1358" s="249"/>
      <c r="M1358" s="249"/>
      <c r="N1358" s="249"/>
      <c r="T1358" s="249"/>
      <c r="U1358" s="249"/>
    </row>
    <row r="1359" spans="12:21">
      <c r="L1359" s="249"/>
      <c r="M1359" s="249"/>
      <c r="N1359" s="249"/>
      <c r="T1359" s="249"/>
      <c r="U1359" s="249"/>
    </row>
    <row r="1360" spans="12:21">
      <c r="L1360" s="249"/>
      <c r="M1360" s="249"/>
      <c r="N1360" s="249"/>
      <c r="T1360" s="249"/>
      <c r="U1360" s="249"/>
    </row>
    <row r="1361" spans="12:21">
      <c r="L1361" s="249"/>
      <c r="M1361" s="249"/>
      <c r="N1361" s="249"/>
      <c r="T1361" s="249"/>
      <c r="U1361" s="249"/>
    </row>
    <row r="1362" spans="12:21">
      <c r="L1362" s="249"/>
      <c r="M1362" s="249"/>
      <c r="N1362" s="249"/>
      <c r="T1362" s="249"/>
      <c r="U1362" s="249"/>
    </row>
    <row r="1363" spans="12:21">
      <c r="L1363" s="249"/>
      <c r="M1363" s="249"/>
      <c r="N1363" s="249"/>
      <c r="T1363" s="249"/>
      <c r="U1363" s="249"/>
    </row>
    <row r="1364" spans="12:21">
      <c r="L1364" s="249"/>
      <c r="M1364" s="249"/>
      <c r="N1364" s="249"/>
      <c r="T1364" s="249"/>
      <c r="U1364" s="249"/>
    </row>
    <row r="1365" spans="12:21">
      <c r="L1365" s="249"/>
      <c r="M1365" s="249"/>
      <c r="N1365" s="249"/>
      <c r="T1365" s="249"/>
      <c r="U1365" s="249"/>
    </row>
    <row r="1366" spans="12:21">
      <c r="L1366" s="249"/>
      <c r="M1366" s="249"/>
      <c r="N1366" s="249"/>
      <c r="T1366" s="249"/>
      <c r="U1366" s="249"/>
    </row>
    <row r="1367" spans="12:21">
      <c r="L1367" s="249"/>
      <c r="M1367" s="249"/>
      <c r="N1367" s="249"/>
      <c r="T1367" s="249"/>
      <c r="U1367" s="249"/>
    </row>
    <row r="1368" spans="12:21">
      <c r="L1368" s="249"/>
      <c r="M1368" s="249"/>
      <c r="N1368" s="249"/>
      <c r="T1368" s="249"/>
      <c r="U1368" s="249"/>
    </row>
    <row r="1369" spans="12:21">
      <c r="L1369" s="249"/>
      <c r="M1369" s="249"/>
      <c r="N1369" s="249"/>
      <c r="T1369" s="249"/>
      <c r="U1369" s="249"/>
    </row>
    <row r="1370" spans="12:21">
      <c r="L1370" s="249"/>
      <c r="M1370" s="249"/>
      <c r="N1370" s="249"/>
      <c r="T1370" s="249"/>
      <c r="U1370" s="249"/>
    </row>
    <row r="1371" spans="12:21">
      <c r="L1371" s="249"/>
      <c r="M1371" s="249"/>
      <c r="N1371" s="249"/>
      <c r="T1371" s="249"/>
      <c r="U1371" s="249"/>
    </row>
    <row r="1372" spans="12:21">
      <c r="L1372" s="249"/>
      <c r="M1372" s="249"/>
      <c r="N1372" s="249"/>
      <c r="T1372" s="249"/>
      <c r="U1372" s="249"/>
    </row>
    <row r="1373" spans="12:21">
      <c r="L1373" s="249"/>
      <c r="M1373" s="249"/>
      <c r="N1373" s="249"/>
      <c r="T1373" s="249"/>
      <c r="U1373" s="249"/>
    </row>
    <row r="1374" spans="12:21">
      <c r="L1374" s="249"/>
      <c r="M1374" s="249"/>
      <c r="N1374" s="249"/>
      <c r="T1374" s="249"/>
      <c r="U1374" s="249"/>
    </row>
    <row r="1375" spans="12:21">
      <c r="L1375" s="249"/>
      <c r="M1375" s="249"/>
      <c r="N1375" s="249"/>
      <c r="T1375" s="249"/>
      <c r="U1375" s="249"/>
    </row>
    <row r="1376" spans="12:21">
      <c r="L1376" s="249"/>
      <c r="M1376" s="249"/>
      <c r="N1376" s="249"/>
      <c r="T1376" s="249"/>
      <c r="U1376" s="249"/>
    </row>
    <row r="1377" spans="12:21">
      <c r="L1377" s="249"/>
      <c r="M1377" s="249"/>
      <c r="N1377" s="249"/>
      <c r="T1377" s="249"/>
      <c r="U1377" s="249"/>
    </row>
    <row r="1378" spans="12:21">
      <c r="L1378" s="249"/>
      <c r="M1378" s="249"/>
      <c r="N1378" s="249"/>
      <c r="T1378" s="249"/>
      <c r="U1378" s="249"/>
    </row>
    <row r="1379" spans="12:21">
      <c r="L1379" s="249"/>
      <c r="M1379" s="249"/>
      <c r="N1379" s="249"/>
      <c r="T1379" s="249"/>
      <c r="U1379" s="249"/>
    </row>
    <row r="1380" spans="12:21">
      <c r="L1380" s="249"/>
      <c r="M1380" s="249"/>
      <c r="N1380" s="249"/>
      <c r="T1380" s="249"/>
      <c r="U1380" s="249"/>
    </row>
    <row r="1381" spans="12:21">
      <c r="L1381" s="249"/>
      <c r="M1381" s="249"/>
      <c r="N1381" s="249"/>
      <c r="T1381" s="249"/>
      <c r="U1381" s="249"/>
    </row>
    <row r="1382" spans="12:21">
      <c r="L1382" s="249"/>
      <c r="M1382" s="249"/>
      <c r="N1382" s="249"/>
      <c r="T1382" s="249"/>
      <c r="U1382" s="249"/>
    </row>
    <row r="1383" spans="12:21">
      <c r="L1383" s="249"/>
      <c r="M1383" s="249"/>
      <c r="N1383" s="249"/>
      <c r="T1383" s="249"/>
      <c r="U1383" s="249"/>
    </row>
    <row r="1384" spans="12:21">
      <c r="L1384" s="249"/>
      <c r="M1384" s="249"/>
      <c r="N1384" s="249"/>
      <c r="T1384" s="249"/>
      <c r="U1384" s="249"/>
    </row>
    <row r="1385" spans="12:21">
      <c r="L1385" s="249"/>
      <c r="M1385" s="249"/>
      <c r="N1385" s="249"/>
      <c r="T1385" s="249"/>
      <c r="U1385" s="249"/>
    </row>
    <row r="1386" spans="12:21">
      <c r="L1386" s="249"/>
      <c r="M1386" s="249"/>
      <c r="N1386" s="249"/>
      <c r="T1386" s="249"/>
      <c r="U1386" s="249"/>
    </row>
    <row r="1387" spans="12:21">
      <c r="L1387" s="249"/>
      <c r="M1387" s="249"/>
      <c r="N1387" s="249"/>
      <c r="T1387" s="249"/>
      <c r="U1387" s="249"/>
    </row>
    <row r="1388" spans="12:21">
      <c r="L1388" s="249"/>
      <c r="M1388" s="249"/>
      <c r="N1388" s="249"/>
      <c r="T1388" s="249"/>
      <c r="U1388" s="249"/>
    </row>
    <row r="1389" spans="12:21">
      <c r="L1389" s="249"/>
      <c r="M1389" s="249"/>
      <c r="N1389" s="249"/>
      <c r="T1389" s="249"/>
      <c r="U1389" s="249"/>
    </row>
    <row r="1390" spans="12:21">
      <c r="L1390" s="249"/>
      <c r="M1390" s="249"/>
      <c r="N1390" s="249"/>
      <c r="T1390" s="249"/>
      <c r="U1390" s="249"/>
    </row>
    <row r="1391" spans="12:21">
      <c r="L1391" s="249"/>
      <c r="M1391" s="249"/>
      <c r="N1391" s="249"/>
      <c r="T1391" s="249"/>
      <c r="U1391" s="249"/>
    </row>
    <row r="1392" spans="12:21">
      <c r="L1392" s="249"/>
      <c r="M1392" s="249"/>
      <c r="N1392" s="249"/>
      <c r="T1392" s="249"/>
      <c r="U1392" s="249"/>
    </row>
    <row r="1393" spans="12:21">
      <c r="L1393" s="249"/>
      <c r="M1393" s="249"/>
      <c r="N1393" s="249"/>
      <c r="T1393" s="249"/>
      <c r="U1393" s="249"/>
    </row>
    <row r="1394" spans="12:21">
      <c r="L1394" s="249"/>
      <c r="M1394" s="249"/>
      <c r="N1394" s="249"/>
      <c r="T1394" s="249"/>
      <c r="U1394" s="249"/>
    </row>
    <row r="1395" spans="12:21">
      <c r="L1395" s="249"/>
      <c r="M1395" s="249"/>
      <c r="N1395" s="249"/>
      <c r="T1395" s="249"/>
      <c r="U1395" s="249"/>
    </row>
    <row r="1396" spans="12:21">
      <c r="L1396" s="249"/>
      <c r="M1396" s="249"/>
      <c r="N1396" s="249"/>
      <c r="T1396" s="249"/>
      <c r="U1396" s="249"/>
    </row>
    <row r="1397" spans="12:21">
      <c r="L1397" s="249"/>
      <c r="M1397" s="249"/>
      <c r="N1397" s="249"/>
      <c r="T1397" s="249"/>
      <c r="U1397" s="249"/>
    </row>
    <row r="1398" spans="12:21">
      <c r="L1398" s="249"/>
      <c r="M1398" s="249"/>
      <c r="N1398" s="249"/>
      <c r="T1398" s="249"/>
      <c r="U1398" s="249"/>
    </row>
    <row r="1399" spans="12:21">
      <c r="L1399" s="249"/>
      <c r="M1399" s="249"/>
      <c r="N1399" s="249"/>
      <c r="T1399" s="249"/>
      <c r="U1399" s="249"/>
    </row>
    <row r="1400" spans="12:21">
      <c r="L1400" s="249"/>
      <c r="M1400" s="249"/>
      <c r="N1400" s="249"/>
      <c r="T1400" s="249"/>
      <c r="U1400" s="249"/>
    </row>
    <row r="1401" spans="12:21">
      <c r="L1401" s="249"/>
      <c r="M1401" s="249"/>
      <c r="N1401" s="249"/>
      <c r="T1401" s="249"/>
      <c r="U1401" s="249"/>
    </row>
    <row r="1402" spans="12:21">
      <c r="L1402" s="249"/>
      <c r="M1402" s="249"/>
      <c r="N1402" s="249"/>
      <c r="T1402" s="249"/>
      <c r="U1402" s="249"/>
    </row>
    <row r="1403" spans="12:21">
      <c r="L1403" s="249"/>
      <c r="M1403" s="249"/>
      <c r="N1403" s="249"/>
      <c r="T1403" s="249"/>
      <c r="U1403" s="249"/>
    </row>
    <row r="1404" spans="12:21">
      <c r="L1404" s="249"/>
      <c r="M1404" s="249"/>
      <c r="N1404" s="249"/>
      <c r="T1404" s="249"/>
      <c r="U1404" s="249"/>
    </row>
    <row r="1405" spans="12:21">
      <c r="L1405" s="249"/>
      <c r="M1405" s="249"/>
      <c r="N1405" s="249"/>
      <c r="T1405" s="249"/>
      <c r="U1405" s="249"/>
    </row>
    <row r="1406" spans="12:21">
      <c r="L1406" s="249"/>
      <c r="M1406" s="249"/>
      <c r="N1406" s="249"/>
      <c r="T1406" s="249"/>
      <c r="U1406" s="249"/>
    </row>
    <row r="1407" spans="12:21">
      <c r="L1407" s="249"/>
      <c r="M1407" s="249"/>
      <c r="N1407" s="249"/>
      <c r="T1407" s="249"/>
      <c r="U1407" s="249"/>
    </row>
    <row r="1408" spans="12:21">
      <c r="L1408" s="249"/>
      <c r="M1408" s="249"/>
      <c r="N1408" s="249"/>
      <c r="T1408" s="249"/>
      <c r="U1408" s="249"/>
    </row>
    <row r="1409" spans="12:21">
      <c r="L1409" s="249"/>
      <c r="M1409" s="249"/>
      <c r="N1409" s="249"/>
      <c r="T1409" s="249"/>
      <c r="U1409" s="249"/>
    </row>
    <row r="1410" spans="12:21">
      <c r="L1410" s="249"/>
      <c r="M1410" s="249"/>
      <c r="N1410" s="249"/>
      <c r="T1410" s="249"/>
      <c r="U1410" s="249"/>
    </row>
    <row r="1411" spans="12:21">
      <c r="L1411" s="249"/>
      <c r="M1411" s="249"/>
      <c r="N1411" s="249"/>
      <c r="T1411" s="249"/>
      <c r="U1411" s="249"/>
    </row>
    <row r="1412" spans="12:21">
      <c r="L1412" s="249"/>
      <c r="M1412" s="249"/>
      <c r="N1412" s="249"/>
      <c r="T1412" s="249"/>
      <c r="U1412" s="249"/>
    </row>
    <row r="1413" spans="12:21">
      <c r="L1413" s="249"/>
      <c r="M1413" s="249"/>
      <c r="N1413" s="249"/>
      <c r="T1413" s="249"/>
      <c r="U1413" s="249"/>
    </row>
    <row r="1414" spans="12:21">
      <c r="L1414" s="249"/>
      <c r="M1414" s="249"/>
      <c r="N1414" s="249"/>
      <c r="T1414" s="249"/>
      <c r="U1414" s="249"/>
    </row>
    <row r="1415" spans="12:21">
      <c r="L1415" s="249"/>
      <c r="M1415" s="249"/>
      <c r="N1415" s="249"/>
      <c r="T1415" s="249"/>
      <c r="U1415" s="249"/>
    </row>
    <row r="1416" spans="12:21">
      <c r="L1416" s="249"/>
      <c r="M1416" s="249"/>
      <c r="N1416" s="249"/>
      <c r="T1416" s="249"/>
      <c r="U1416" s="249"/>
    </row>
    <row r="1417" spans="12:21">
      <c r="L1417" s="249"/>
      <c r="M1417" s="249"/>
      <c r="N1417" s="249"/>
      <c r="T1417" s="249"/>
      <c r="U1417" s="249"/>
    </row>
    <row r="1418" spans="12:21">
      <c r="L1418" s="249"/>
      <c r="M1418" s="249"/>
      <c r="N1418" s="249"/>
      <c r="T1418" s="249"/>
      <c r="U1418" s="249"/>
    </row>
    <row r="1419" spans="12:21">
      <c r="L1419" s="249"/>
      <c r="M1419" s="249"/>
      <c r="N1419" s="249"/>
      <c r="T1419" s="249"/>
      <c r="U1419" s="249"/>
    </row>
    <row r="1420" spans="12:21">
      <c r="L1420" s="249"/>
      <c r="M1420" s="249"/>
      <c r="N1420" s="249"/>
      <c r="T1420" s="249"/>
      <c r="U1420" s="249"/>
    </row>
    <row r="1421" spans="12:21">
      <c r="L1421" s="249"/>
      <c r="M1421" s="249"/>
      <c r="N1421" s="249"/>
      <c r="T1421" s="249"/>
      <c r="U1421" s="249"/>
    </row>
    <row r="1422" spans="12:21">
      <c r="L1422" s="249"/>
      <c r="M1422" s="249"/>
      <c r="N1422" s="249"/>
      <c r="T1422" s="249"/>
      <c r="U1422" s="249"/>
    </row>
    <row r="1423" spans="12:21">
      <c r="L1423" s="249"/>
      <c r="M1423" s="249"/>
      <c r="N1423" s="249"/>
      <c r="T1423" s="249"/>
      <c r="U1423" s="249"/>
    </row>
    <row r="1424" spans="12:21">
      <c r="L1424" s="249"/>
      <c r="M1424" s="249"/>
      <c r="N1424" s="249"/>
      <c r="T1424" s="249"/>
      <c r="U1424" s="249"/>
    </row>
    <row r="1425" spans="12:21">
      <c r="L1425" s="249"/>
      <c r="M1425" s="249"/>
      <c r="N1425" s="249"/>
      <c r="T1425" s="249"/>
      <c r="U1425" s="249"/>
    </row>
    <row r="1426" spans="12:21">
      <c r="L1426" s="249"/>
      <c r="M1426" s="249"/>
      <c r="N1426" s="249"/>
      <c r="T1426" s="249"/>
      <c r="U1426" s="249"/>
    </row>
    <row r="1427" spans="12:21">
      <c r="L1427" s="249"/>
      <c r="M1427" s="249"/>
      <c r="N1427" s="249"/>
      <c r="T1427" s="249"/>
      <c r="U1427" s="249"/>
    </row>
    <row r="1428" spans="12:21">
      <c r="L1428" s="249"/>
      <c r="M1428" s="249"/>
      <c r="N1428" s="249"/>
      <c r="T1428" s="249"/>
      <c r="U1428" s="249"/>
    </row>
    <row r="1429" spans="12:21">
      <c r="L1429" s="249"/>
      <c r="M1429" s="249"/>
      <c r="N1429" s="249"/>
      <c r="T1429" s="249"/>
      <c r="U1429" s="249"/>
    </row>
    <row r="1430" spans="12:21">
      <c r="L1430" s="249"/>
      <c r="M1430" s="249"/>
      <c r="N1430" s="249"/>
      <c r="T1430" s="249"/>
      <c r="U1430" s="249"/>
    </row>
    <row r="1431" spans="12:21">
      <c r="L1431" s="249"/>
      <c r="M1431" s="249"/>
      <c r="N1431" s="249"/>
      <c r="T1431" s="249"/>
      <c r="U1431" s="249"/>
    </row>
    <row r="1432" spans="12:21">
      <c r="L1432" s="249"/>
      <c r="M1432" s="249"/>
      <c r="N1432" s="249"/>
      <c r="T1432" s="249"/>
      <c r="U1432" s="249"/>
    </row>
    <row r="1433" spans="12:21">
      <c r="L1433" s="249"/>
      <c r="M1433" s="249"/>
      <c r="N1433" s="249"/>
      <c r="T1433" s="249"/>
      <c r="U1433" s="249"/>
    </row>
    <row r="1434" spans="12:21">
      <c r="L1434" s="249"/>
      <c r="M1434" s="249"/>
      <c r="N1434" s="249"/>
      <c r="T1434" s="249"/>
      <c r="U1434" s="249"/>
    </row>
    <row r="1435" spans="12:21">
      <c r="L1435" s="249"/>
      <c r="M1435" s="249"/>
      <c r="N1435" s="249"/>
      <c r="T1435" s="249"/>
      <c r="U1435" s="249"/>
    </row>
    <row r="1436" spans="12:21">
      <c r="L1436" s="249"/>
      <c r="M1436" s="249"/>
      <c r="N1436" s="249"/>
      <c r="T1436" s="249"/>
      <c r="U1436" s="249"/>
    </row>
    <row r="1437" spans="12:21">
      <c r="L1437" s="249"/>
      <c r="M1437" s="249"/>
      <c r="N1437" s="249"/>
      <c r="T1437" s="249"/>
      <c r="U1437" s="249"/>
    </row>
    <row r="1438" spans="12:21">
      <c r="L1438" s="249"/>
      <c r="M1438" s="249"/>
      <c r="N1438" s="249"/>
      <c r="T1438" s="249"/>
      <c r="U1438" s="249"/>
    </row>
    <row r="1439" spans="12:21">
      <c r="L1439" s="249"/>
      <c r="M1439" s="249"/>
      <c r="N1439" s="249"/>
      <c r="T1439" s="249"/>
      <c r="U1439" s="249"/>
    </row>
    <row r="1440" spans="12:21">
      <c r="L1440" s="249"/>
      <c r="M1440" s="249"/>
      <c r="N1440" s="249"/>
      <c r="T1440" s="249"/>
      <c r="U1440" s="249"/>
    </row>
    <row r="1441" spans="12:21">
      <c r="L1441" s="249"/>
      <c r="M1441" s="249"/>
      <c r="N1441" s="249"/>
      <c r="T1441" s="249"/>
      <c r="U1441" s="249"/>
    </row>
    <row r="1442" spans="12:21">
      <c r="L1442" s="249"/>
      <c r="M1442" s="249"/>
      <c r="N1442" s="249"/>
      <c r="T1442" s="249"/>
      <c r="U1442" s="249"/>
    </row>
    <row r="1443" spans="12:21">
      <c r="L1443" s="249"/>
      <c r="M1443" s="249"/>
      <c r="N1443" s="249"/>
      <c r="T1443" s="249"/>
      <c r="U1443" s="249"/>
    </row>
    <row r="1444" spans="12:21">
      <c r="L1444" s="249"/>
      <c r="M1444" s="249"/>
      <c r="N1444" s="249"/>
      <c r="T1444" s="249"/>
      <c r="U1444" s="249"/>
    </row>
    <row r="1445" spans="12:21">
      <c r="L1445" s="249"/>
      <c r="M1445" s="249"/>
      <c r="N1445" s="249"/>
      <c r="T1445" s="249"/>
      <c r="U1445" s="249"/>
    </row>
    <row r="1446" spans="12:21">
      <c r="L1446" s="249"/>
      <c r="M1446" s="249"/>
      <c r="N1446" s="249"/>
      <c r="T1446" s="249"/>
      <c r="U1446" s="249"/>
    </row>
    <row r="1447" spans="12:21">
      <c r="L1447" s="249"/>
      <c r="M1447" s="249"/>
      <c r="N1447" s="249"/>
      <c r="T1447" s="249"/>
      <c r="U1447" s="249"/>
    </row>
    <row r="1448" spans="12:21">
      <c r="L1448" s="249"/>
      <c r="M1448" s="249"/>
      <c r="N1448" s="249"/>
      <c r="T1448" s="249"/>
      <c r="U1448" s="249"/>
    </row>
    <row r="1449" spans="12:21">
      <c r="L1449" s="249"/>
      <c r="M1449" s="249"/>
      <c r="N1449" s="249"/>
      <c r="T1449" s="249"/>
      <c r="U1449" s="249"/>
    </row>
    <row r="1450" spans="12:21">
      <c r="L1450" s="249"/>
      <c r="M1450" s="249"/>
      <c r="N1450" s="249"/>
      <c r="T1450" s="249"/>
      <c r="U1450" s="249"/>
    </row>
    <row r="1451" spans="12:21">
      <c r="L1451" s="249"/>
      <c r="M1451" s="249"/>
      <c r="N1451" s="249"/>
      <c r="T1451" s="249"/>
      <c r="U1451" s="249"/>
    </row>
    <row r="1452" spans="12:21">
      <c r="L1452" s="249"/>
      <c r="M1452" s="249"/>
      <c r="N1452" s="249"/>
      <c r="T1452" s="249"/>
      <c r="U1452" s="249"/>
    </row>
    <row r="1453" spans="12:21">
      <c r="L1453" s="249"/>
      <c r="M1453" s="249"/>
      <c r="N1453" s="249"/>
      <c r="T1453" s="249"/>
      <c r="U1453" s="249"/>
    </row>
    <row r="1454" spans="12:21">
      <c r="L1454" s="249"/>
      <c r="M1454" s="249"/>
      <c r="N1454" s="249"/>
      <c r="T1454" s="249"/>
      <c r="U1454" s="249"/>
    </row>
    <row r="1455" spans="12:21">
      <c r="L1455" s="249"/>
      <c r="M1455" s="249"/>
      <c r="N1455" s="249"/>
      <c r="T1455" s="249"/>
      <c r="U1455" s="249"/>
    </row>
    <row r="1456" spans="12:21">
      <c r="L1456" s="249"/>
      <c r="M1456" s="249"/>
      <c r="N1456" s="249"/>
      <c r="T1456" s="249"/>
      <c r="U1456" s="249"/>
    </row>
    <row r="1457" spans="12:21">
      <c r="L1457" s="249"/>
      <c r="M1457" s="249"/>
      <c r="N1457" s="249"/>
      <c r="T1457" s="249"/>
      <c r="U1457" s="249"/>
    </row>
    <row r="1458" spans="12:21">
      <c r="L1458" s="249"/>
      <c r="M1458" s="249"/>
      <c r="N1458" s="249"/>
      <c r="T1458" s="249"/>
      <c r="U1458" s="249"/>
    </row>
    <row r="1459" spans="12:21">
      <c r="L1459" s="249"/>
      <c r="M1459" s="249"/>
      <c r="N1459" s="249"/>
      <c r="T1459" s="249"/>
      <c r="U1459" s="249"/>
    </row>
    <row r="1460" spans="12:21">
      <c r="L1460" s="249"/>
      <c r="M1460" s="249"/>
      <c r="N1460" s="249"/>
      <c r="T1460" s="249"/>
      <c r="U1460" s="249"/>
    </row>
    <row r="1461" spans="12:21">
      <c r="L1461" s="249"/>
      <c r="M1461" s="249"/>
      <c r="N1461" s="249"/>
      <c r="T1461" s="249"/>
      <c r="U1461" s="249"/>
    </row>
    <row r="1462" spans="12:21">
      <c r="L1462" s="249"/>
      <c r="M1462" s="249"/>
      <c r="N1462" s="249"/>
      <c r="T1462" s="249"/>
      <c r="U1462" s="249"/>
    </row>
    <row r="1463" spans="12:21">
      <c r="L1463" s="249"/>
      <c r="M1463" s="249"/>
      <c r="N1463" s="249"/>
      <c r="T1463" s="249"/>
      <c r="U1463" s="249"/>
    </row>
    <row r="1464" spans="12:21">
      <c r="L1464" s="249"/>
      <c r="M1464" s="249"/>
      <c r="N1464" s="249"/>
      <c r="T1464" s="249"/>
      <c r="U1464" s="249"/>
    </row>
    <row r="1465" spans="12:21">
      <c r="L1465" s="249"/>
      <c r="M1465" s="249"/>
      <c r="N1465" s="249"/>
      <c r="T1465" s="249"/>
      <c r="U1465" s="249"/>
    </row>
    <row r="1466" spans="12:21">
      <c r="L1466" s="249"/>
      <c r="M1466" s="249"/>
      <c r="N1466" s="249"/>
      <c r="T1466" s="249"/>
      <c r="U1466" s="249"/>
    </row>
    <row r="1467" spans="12:21">
      <c r="L1467" s="249"/>
      <c r="M1467" s="249"/>
      <c r="N1467" s="249"/>
      <c r="T1467" s="249"/>
      <c r="U1467" s="249"/>
    </row>
    <row r="1468" spans="12:21">
      <c r="L1468" s="249"/>
      <c r="M1468" s="249"/>
      <c r="N1468" s="249"/>
      <c r="T1468" s="249"/>
      <c r="U1468" s="249"/>
    </row>
    <row r="1469" spans="12:21">
      <c r="L1469" s="249"/>
      <c r="M1469" s="249"/>
      <c r="N1469" s="249"/>
      <c r="T1469" s="249"/>
      <c r="U1469" s="249"/>
    </row>
    <row r="1470" spans="12:21">
      <c r="L1470" s="249"/>
      <c r="M1470" s="249"/>
      <c r="N1470" s="249"/>
      <c r="T1470" s="249"/>
      <c r="U1470" s="249"/>
    </row>
    <row r="1471" spans="12:21">
      <c r="L1471" s="249"/>
      <c r="M1471" s="249"/>
      <c r="N1471" s="249"/>
      <c r="T1471" s="249"/>
      <c r="U1471" s="249"/>
    </row>
    <row r="1472" spans="12:21">
      <c r="L1472" s="249"/>
      <c r="M1472" s="249"/>
      <c r="N1472" s="249"/>
      <c r="T1472" s="249"/>
      <c r="U1472" s="249"/>
    </row>
    <row r="1473" spans="12:21">
      <c r="L1473" s="249"/>
      <c r="M1473" s="249"/>
      <c r="N1473" s="249"/>
      <c r="T1473" s="249"/>
      <c r="U1473" s="249"/>
    </row>
    <row r="1474" spans="12:21">
      <c r="L1474" s="249"/>
      <c r="M1474" s="249"/>
      <c r="N1474" s="249"/>
      <c r="T1474" s="249"/>
      <c r="U1474" s="249"/>
    </row>
    <row r="1475" spans="12:21">
      <c r="L1475" s="249"/>
      <c r="M1475" s="249"/>
      <c r="N1475" s="249"/>
      <c r="T1475" s="249"/>
      <c r="U1475" s="249"/>
    </row>
    <row r="1476" spans="12:21">
      <c r="L1476" s="249"/>
      <c r="M1476" s="249"/>
      <c r="N1476" s="249"/>
      <c r="T1476" s="249"/>
      <c r="U1476" s="249"/>
    </row>
    <row r="1477" spans="12:21">
      <c r="L1477" s="249"/>
      <c r="M1477" s="249"/>
      <c r="N1477" s="249"/>
      <c r="T1477" s="249"/>
      <c r="U1477" s="249"/>
    </row>
    <row r="1478" spans="12:21">
      <c r="L1478" s="249"/>
      <c r="M1478" s="249"/>
      <c r="N1478" s="249"/>
      <c r="T1478" s="249"/>
      <c r="U1478" s="249"/>
    </row>
    <row r="1479" spans="12:21">
      <c r="L1479" s="249"/>
      <c r="M1479" s="249"/>
      <c r="N1479" s="249"/>
      <c r="T1479" s="249"/>
      <c r="U1479" s="249"/>
    </row>
    <row r="1480" spans="12:21">
      <c r="L1480" s="249"/>
      <c r="M1480" s="249"/>
      <c r="N1480" s="249"/>
      <c r="T1480" s="249"/>
      <c r="U1480" s="249"/>
    </row>
    <row r="1481" spans="12:21">
      <c r="L1481" s="249"/>
      <c r="M1481" s="249"/>
      <c r="N1481" s="249"/>
      <c r="T1481" s="249"/>
      <c r="U1481" s="249"/>
    </row>
    <row r="1482" spans="12:21">
      <c r="L1482" s="249"/>
      <c r="M1482" s="249"/>
      <c r="N1482" s="249"/>
      <c r="T1482" s="249"/>
      <c r="U1482" s="249"/>
    </row>
    <row r="1483" spans="12:21">
      <c r="L1483" s="249"/>
      <c r="M1483" s="249"/>
      <c r="N1483" s="249"/>
      <c r="T1483" s="249"/>
      <c r="U1483" s="249"/>
    </row>
    <row r="1484" spans="12:21">
      <c r="L1484" s="249"/>
      <c r="M1484" s="249"/>
      <c r="N1484" s="249"/>
      <c r="T1484" s="249"/>
      <c r="U1484" s="249"/>
    </row>
    <row r="1485" spans="12:21">
      <c r="L1485" s="249"/>
      <c r="M1485" s="249"/>
      <c r="N1485" s="249"/>
      <c r="T1485" s="249"/>
      <c r="U1485" s="249"/>
    </row>
    <row r="1486" spans="12:21">
      <c r="L1486" s="249"/>
      <c r="M1486" s="249"/>
      <c r="N1486" s="249"/>
      <c r="T1486" s="249"/>
      <c r="U1486" s="249"/>
    </row>
    <row r="1487" spans="12:21">
      <c r="L1487" s="249"/>
      <c r="M1487" s="249"/>
      <c r="N1487" s="249"/>
      <c r="T1487" s="249"/>
      <c r="U1487" s="249"/>
    </row>
    <row r="1488" spans="12:21">
      <c r="L1488" s="249"/>
      <c r="M1488" s="249"/>
      <c r="N1488" s="249"/>
      <c r="T1488" s="249"/>
      <c r="U1488" s="249"/>
    </row>
    <row r="1489" spans="12:21">
      <c r="L1489" s="249"/>
      <c r="M1489" s="249"/>
      <c r="N1489" s="249"/>
      <c r="T1489" s="249"/>
      <c r="U1489" s="249"/>
    </row>
    <row r="1490" spans="12:21">
      <c r="L1490" s="249"/>
      <c r="M1490" s="249"/>
      <c r="N1490" s="249"/>
      <c r="T1490" s="249"/>
      <c r="U1490" s="249"/>
    </row>
    <row r="1491" spans="12:21">
      <c r="L1491" s="249"/>
      <c r="M1491" s="249"/>
      <c r="N1491" s="249"/>
      <c r="T1491" s="249"/>
      <c r="U1491" s="249"/>
    </row>
    <row r="1492" spans="12:21">
      <c r="L1492" s="249"/>
      <c r="M1492" s="249"/>
      <c r="N1492" s="249"/>
      <c r="T1492" s="249"/>
      <c r="U1492" s="249"/>
    </row>
    <row r="1493" spans="12:21">
      <c r="L1493" s="249"/>
      <c r="M1493" s="249"/>
      <c r="N1493" s="249"/>
      <c r="T1493" s="249"/>
      <c r="U1493" s="249"/>
    </row>
    <row r="1494" spans="12:21">
      <c r="L1494" s="249"/>
      <c r="M1494" s="249"/>
      <c r="N1494" s="249"/>
      <c r="T1494" s="249"/>
      <c r="U1494" s="249"/>
    </row>
    <row r="1495" spans="12:21">
      <c r="L1495" s="249"/>
      <c r="M1495" s="249"/>
      <c r="N1495" s="249"/>
      <c r="T1495" s="249"/>
      <c r="U1495" s="249"/>
    </row>
    <row r="1496" spans="12:21">
      <c r="L1496" s="249"/>
      <c r="M1496" s="249"/>
      <c r="N1496" s="249"/>
      <c r="T1496" s="249"/>
      <c r="U1496" s="249"/>
    </row>
    <row r="1497" spans="12:21">
      <c r="L1497" s="249"/>
      <c r="M1497" s="249"/>
      <c r="N1497" s="249"/>
      <c r="T1497" s="249"/>
      <c r="U1497" s="249"/>
    </row>
    <row r="1498" spans="12:21">
      <c r="L1498" s="249"/>
      <c r="M1498" s="249"/>
      <c r="N1498" s="249"/>
      <c r="T1498" s="249"/>
      <c r="U1498" s="249"/>
    </row>
    <row r="1499" spans="12:21">
      <c r="L1499" s="249"/>
      <c r="M1499" s="249"/>
      <c r="N1499" s="249"/>
      <c r="T1499" s="249"/>
      <c r="U1499" s="249"/>
    </row>
    <row r="1500" spans="12:21">
      <c r="L1500" s="249"/>
      <c r="M1500" s="249"/>
      <c r="N1500" s="249"/>
      <c r="T1500" s="249"/>
      <c r="U1500" s="249"/>
    </row>
    <row r="1501" spans="12:21">
      <c r="L1501" s="249"/>
      <c r="M1501" s="249"/>
      <c r="N1501" s="249"/>
      <c r="T1501" s="249"/>
      <c r="U1501" s="249"/>
    </row>
    <row r="1502" spans="12:21">
      <c r="L1502" s="249"/>
      <c r="M1502" s="249"/>
      <c r="N1502" s="249"/>
      <c r="T1502" s="249"/>
      <c r="U1502" s="249"/>
    </row>
    <row r="1503" spans="12:21">
      <c r="L1503" s="249"/>
      <c r="M1503" s="249"/>
      <c r="N1503" s="249"/>
      <c r="T1503" s="249"/>
      <c r="U1503" s="249"/>
    </row>
    <row r="1504" spans="12:21">
      <c r="L1504" s="249"/>
      <c r="M1504" s="249"/>
      <c r="N1504" s="249"/>
      <c r="T1504" s="249"/>
      <c r="U1504" s="249"/>
    </row>
    <row r="1505" spans="12:21">
      <c r="L1505" s="249"/>
      <c r="M1505" s="249"/>
      <c r="N1505" s="249"/>
      <c r="T1505" s="249"/>
      <c r="U1505" s="249"/>
    </row>
    <row r="1506" spans="12:21">
      <c r="L1506" s="249"/>
      <c r="M1506" s="249"/>
      <c r="N1506" s="249"/>
      <c r="T1506" s="249"/>
      <c r="U1506" s="249"/>
    </row>
    <row r="1507" spans="12:21">
      <c r="L1507" s="249"/>
      <c r="M1507" s="249"/>
      <c r="N1507" s="249"/>
      <c r="T1507" s="249"/>
      <c r="U1507" s="249"/>
    </row>
    <row r="1508" spans="12:21">
      <c r="L1508" s="249"/>
      <c r="M1508" s="249"/>
      <c r="N1508" s="249"/>
      <c r="T1508" s="249"/>
      <c r="U1508" s="249"/>
    </row>
    <row r="1509" spans="12:21">
      <c r="L1509" s="249"/>
      <c r="M1509" s="249"/>
      <c r="N1509" s="249"/>
      <c r="T1509" s="249"/>
      <c r="U1509" s="249"/>
    </row>
    <row r="1510" spans="12:21">
      <c r="L1510" s="249"/>
      <c r="M1510" s="249"/>
      <c r="N1510" s="249"/>
      <c r="T1510" s="249"/>
      <c r="U1510" s="249"/>
    </row>
    <row r="1511" spans="12:21">
      <c r="L1511" s="249"/>
      <c r="M1511" s="249"/>
      <c r="N1511" s="249"/>
      <c r="T1511" s="249"/>
      <c r="U1511" s="249"/>
    </row>
    <row r="1512" spans="12:21">
      <c r="L1512" s="249"/>
      <c r="M1512" s="249"/>
      <c r="N1512" s="249"/>
      <c r="T1512" s="249"/>
      <c r="U1512" s="249"/>
    </row>
    <row r="1513" spans="12:21">
      <c r="L1513" s="249"/>
      <c r="M1513" s="249"/>
      <c r="N1513" s="249"/>
      <c r="T1513" s="249"/>
      <c r="U1513" s="249"/>
    </row>
    <row r="1514" spans="12:21">
      <c r="L1514" s="249"/>
      <c r="M1514" s="249"/>
      <c r="N1514" s="249"/>
      <c r="T1514" s="249"/>
      <c r="U1514" s="249"/>
    </row>
    <row r="1515" spans="12:21">
      <c r="L1515" s="249"/>
      <c r="M1515" s="249"/>
      <c r="N1515" s="249"/>
      <c r="T1515" s="249"/>
      <c r="U1515" s="249"/>
    </row>
    <row r="1516" spans="12:21">
      <c r="L1516" s="249"/>
      <c r="M1516" s="249"/>
      <c r="N1516" s="249"/>
      <c r="T1516" s="249"/>
      <c r="U1516" s="249"/>
    </row>
    <row r="1517" spans="12:21">
      <c r="L1517" s="249"/>
      <c r="M1517" s="249"/>
      <c r="N1517" s="249"/>
      <c r="T1517" s="249"/>
      <c r="U1517" s="249"/>
    </row>
    <row r="1518" spans="12:21">
      <c r="L1518" s="249"/>
      <c r="M1518" s="249"/>
      <c r="N1518" s="249"/>
      <c r="T1518" s="249"/>
      <c r="U1518" s="249"/>
    </row>
    <row r="1519" spans="12:21">
      <c r="L1519" s="249"/>
      <c r="M1519" s="249"/>
      <c r="N1519" s="249"/>
      <c r="T1519" s="249"/>
      <c r="U1519" s="249"/>
    </row>
    <row r="1520" spans="12:21">
      <c r="L1520" s="249"/>
      <c r="M1520" s="249"/>
      <c r="N1520" s="249"/>
      <c r="T1520" s="249"/>
      <c r="U1520" s="249"/>
    </row>
    <row r="1521" spans="12:21">
      <c r="L1521" s="249"/>
      <c r="M1521" s="249"/>
      <c r="N1521" s="249"/>
      <c r="T1521" s="249"/>
      <c r="U1521" s="249"/>
    </row>
    <row r="1522" spans="12:21">
      <c r="L1522" s="249"/>
      <c r="M1522" s="249"/>
      <c r="N1522" s="249"/>
      <c r="T1522" s="249"/>
      <c r="U1522" s="249"/>
    </row>
    <row r="1523" spans="12:21">
      <c r="L1523" s="249"/>
      <c r="M1523" s="249"/>
      <c r="N1523" s="249"/>
      <c r="T1523" s="249"/>
      <c r="U1523" s="249"/>
    </row>
    <row r="1524" spans="12:21">
      <c r="L1524" s="249"/>
      <c r="M1524" s="249"/>
      <c r="N1524" s="249"/>
      <c r="T1524" s="249"/>
      <c r="U1524" s="249"/>
    </row>
    <row r="1525" spans="12:21">
      <c r="L1525" s="249"/>
      <c r="M1525" s="249"/>
      <c r="N1525" s="249"/>
      <c r="T1525" s="249"/>
      <c r="U1525" s="249"/>
    </row>
    <row r="1526" spans="12:21">
      <c r="L1526" s="249"/>
      <c r="M1526" s="249"/>
      <c r="N1526" s="249"/>
      <c r="T1526" s="249"/>
      <c r="U1526" s="249"/>
    </row>
    <row r="1527" spans="12:21">
      <c r="L1527" s="249"/>
      <c r="M1527" s="249"/>
      <c r="N1527" s="249"/>
      <c r="T1527" s="249"/>
      <c r="U1527" s="249"/>
    </row>
    <row r="1528" spans="12:21">
      <c r="L1528" s="249"/>
      <c r="M1528" s="249"/>
      <c r="N1528" s="249"/>
      <c r="T1528" s="249"/>
      <c r="U1528" s="249"/>
    </row>
    <row r="1529" spans="12:21">
      <c r="L1529" s="249"/>
      <c r="M1529" s="249"/>
      <c r="N1529" s="249"/>
      <c r="T1529" s="249"/>
      <c r="U1529" s="249"/>
    </row>
    <row r="1530" spans="12:21">
      <c r="L1530" s="249"/>
      <c r="M1530" s="249"/>
      <c r="N1530" s="249"/>
      <c r="T1530" s="249"/>
      <c r="U1530" s="249"/>
    </row>
    <row r="1531" spans="12:21">
      <c r="L1531" s="249"/>
      <c r="M1531" s="249"/>
      <c r="N1531" s="249"/>
      <c r="T1531" s="249"/>
      <c r="U1531" s="249"/>
    </row>
    <row r="1532" spans="12:21">
      <c r="L1532" s="249"/>
      <c r="M1532" s="249"/>
      <c r="N1532" s="249"/>
      <c r="T1532" s="249"/>
      <c r="U1532" s="249"/>
    </row>
    <row r="1533" spans="12:21">
      <c r="L1533" s="249"/>
      <c r="M1533" s="249"/>
      <c r="N1533" s="249"/>
      <c r="T1533" s="249"/>
      <c r="U1533" s="249"/>
    </row>
    <row r="1534" spans="12:21">
      <c r="L1534" s="249"/>
      <c r="M1534" s="249"/>
      <c r="N1534" s="249"/>
      <c r="T1534" s="249"/>
      <c r="U1534" s="249"/>
    </row>
    <row r="1535" spans="12:21">
      <c r="L1535" s="249"/>
      <c r="M1535" s="249"/>
      <c r="N1535" s="249"/>
      <c r="T1535" s="249"/>
      <c r="U1535" s="249"/>
    </row>
    <row r="1536" spans="12:21">
      <c r="L1536" s="249"/>
      <c r="M1536" s="249"/>
      <c r="N1536" s="249"/>
      <c r="T1536" s="249"/>
      <c r="U1536" s="249"/>
    </row>
    <row r="1537" spans="12:21">
      <c r="L1537" s="249"/>
      <c r="M1537" s="249"/>
      <c r="N1537" s="249"/>
      <c r="T1537" s="249"/>
      <c r="U1537" s="249"/>
    </row>
    <row r="1538" spans="12:21">
      <c r="L1538" s="249"/>
      <c r="M1538" s="249"/>
      <c r="N1538" s="249"/>
      <c r="T1538" s="249"/>
      <c r="U1538" s="249"/>
    </row>
    <row r="1539" spans="12:21">
      <c r="L1539" s="249"/>
      <c r="M1539" s="249"/>
      <c r="N1539" s="249"/>
      <c r="T1539" s="249"/>
      <c r="U1539" s="249"/>
    </row>
    <row r="1540" spans="12:21">
      <c r="L1540" s="249"/>
      <c r="M1540" s="249"/>
      <c r="N1540" s="249"/>
      <c r="T1540" s="249"/>
      <c r="U1540" s="249"/>
    </row>
    <row r="1541" spans="12:21">
      <c r="L1541" s="249"/>
      <c r="M1541" s="249"/>
      <c r="N1541" s="249"/>
      <c r="T1541" s="249"/>
      <c r="U1541" s="249"/>
    </row>
    <row r="1542" spans="12:21">
      <c r="L1542" s="249"/>
      <c r="M1542" s="249"/>
      <c r="N1542" s="249"/>
      <c r="T1542" s="249"/>
      <c r="U1542" s="249"/>
    </row>
    <row r="1543" spans="12:21">
      <c r="L1543" s="249"/>
      <c r="M1543" s="249"/>
      <c r="N1543" s="249"/>
      <c r="T1543" s="249"/>
      <c r="U1543" s="249"/>
    </row>
    <row r="1544" spans="12:21">
      <c r="L1544" s="249"/>
      <c r="M1544" s="249"/>
      <c r="N1544" s="249"/>
      <c r="T1544" s="249"/>
      <c r="U1544" s="249"/>
    </row>
    <row r="1545" spans="12:21">
      <c r="L1545" s="249"/>
      <c r="M1545" s="249"/>
      <c r="N1545" s="249"/>
      <c r="T1545" s="249"/>
      <c r="U1545" s="249"/>
    </row>
    <row r="1546" spans="12:21">
      <c r="L1546" s="249"/>
      <c r="M1546" s="249"/>
      <c r="N1546" s="249"/>
      <c r="T1546" s="249"/>
      <c r="U1546" s="249"/>
    </row>
    <row r="1547" spans="12:21">
      <c r="L1547" s="249"/>
      <c r="M1547" s="249"/>
      <c r="N1547" s="249"/>
      <c r="T1547" s="249"/>
      <c r="U1547" s="249"/>
    </row>
    <row r="1548" spans="12:21">
      <c r="L1548" s="249"/>
      <c r="M1548" s="249"/>
      <c r="N1548" s="249"/>
      <c r="T1548" s="249"/>
      <c r="U1548" s="249"/>
    </row>
    <row r="1549" spans="12:21">
      <c r="L1549" s="249"/>
      <c r="M1549" s="249"/>
      <c r="N1549" s="249"/>
      <c r="T1549" s="249"/>
      <c r="U1549" s="249"/>
    </row>
    <row r="1550" spans="12:21">
      <c r="L1550" s="249"/>
      <c r="M1550" s="249"/>
      <c r="N1550" s="249"/>
      <c r="T1550" s="249"/>
      <c r="U1550" s="249"/>
    </row>
    <row r="1551" spans="12:21">
      <c r="L1551" s="249"/>
      <c r="M1551" s="249"/>
      <c r="N1551" s="249"/>
      <c r="T1551" s="249"/>
      <c r="U1551" s="249"/>
    </row>
    <row r="1552" spans="12:21">
      <c r="L1552" s="249"/>
      <c r="M1552" s="249"/>
      <c r="N1552" s="249"/>
      <c r="T1552" s="249"/>
      <c r="U1552" s="249"/>
    </row>
    <row r="1553" spans="12:21">
      <c r="L1553" s="249"/>
      <c r="M1553" s="249"/>
      <c r="N1553" s="249"/>
      <c r="T1553" s="249"/>
      <c r="U1553" s="249"/>
    </row>
    <row r="1554" spans="12:21">
      <c r="L1554" s="249"/>
      <c r="M1554" s="249"/>
      <c r="N1554" s="249"/>
      <c r="T1554" s="249"/>
      <c r="U1554" s="249"/>
    </row>
    <row r="1555" spans="12:21">
      <c r="L1555" s="249"/>
      <c r="M1555" s="249"/>
      <c r="N1555" s="249"/>
      <c r="T1555" s="249"/>
      <c r="U1555" s="249"/>
    </row>
    <row r="1556" spans="12:21">
      <c r="L1556" s="249"/>
      <c r="M1556" s="249"/>
      <c r="N1556" s="249"/>
      <c r="T1556" s="249"/>
      <c r="U1556" s="249"/>
    </row>
    <row r="1557" spans="12:21">
      <c r="L1557" s="249"/>
      <c r="M1557" s="249"/>
      <c r="N1557" s="249"/>
      <c r="T1557" s="249"/>
      <c r="U1557" s="249"/>
    </row>
    <row r="1558" spans="12:21">
      <c r="L1558" s="249"/>
      <c r="M1558" s="249"/>
      <c r="N1558" s="249"/>
      <c r="T1558" s="249"/>
      <c r="U1558" s="249"/>
    </row>
    <row r="1559" spans="12:21">
      <c r="L1559" s="249"/>
      <c r="M1559" s="249"/>
      <c r="N1559" s="249"/>
      <c r="T1559" s="249"/>
      <c r="U1559" s="249"/>
    </row>
    <row r="1560" spans="12:21">
      <c r="L1560" s="249"/>
      <c r="M1560" s="249"/>
      <c r="N1560" s="249"/>
      <c r="T1560" s="249"/>
      <c r="U1560" s="249"/>
    </row>
    <row r="1561" spans="12:21">
      <c r="L1561" s="249"/>
      <c r="M1561" s="249"/>
      <c r="N1561" s="249"/>
      <c r="T1561" s="249"/>
      <c r="U1561" s="249"/>
    </row>
    <row r="1562" spans="12:21">
      <c r="L1562" s="249"/>
      <c r="M1562" s="249"/>
      <c r="N1562" s="249"/>
      <c r="T1562" s="249"/>
      <c r="U1562" s="249"/>
    </row>
    <row r="1563" spans="12:21">
      <c r="L1563" s="249"/>
      <c r="M1563" s="249"/>
      <c r="N1563" s="249"/>
      <c r="T1563" s="249"/>
      <c r="U1563" s="249"/>
    </row>
    <row r="1564" spans="12:21">
      <c r="L1564" s="249"/>
      <c r="M1564" s="249"/>
      <c r="N1564" s="249"/>
      <c r="T1564" s="249"/>
      <c r="U1564" s="249"/>
    </row>
    <row r="1565" spans="12:21">
      <c r="L1565" s="249"/>
      <c r="M1565" s="249"/>
      <c r="N1565" s="249"/>
      <c r="T1565" s="249"/>
      <c r="U1565" s="249"/>
    </row>
    <row r="1566" spans="12:21">
      <c r="L1566" s="249"/>
      <c r="M1566" s="249"/>
      <c r="N1566" s="249"/>
      <c r="T1566" s="249"/>
      <c r="U1566" s="249"/>
    </row>
    <row r="1567" spans="12:21">
      <c r="L1567" s="249"/>
      <c r="M1567" s="249"/>
      <c r="N1567" s="249"/>
      <c r="T1567" s="249"/>
      <c r="U1567" s="249"/>
    </row>
    <row r="1568" spans="12:21">
      <c r="L1568" s="249"/>
      <c r="M1568" s="249"/>
      <c r="N1568" s="249"/>
      <c r="T1568" s="249"/>
      <c r="U1568" s="249"/>
    </row>
    <row r="1569" spans="12:21">
      <c r="L1569" s="249"/>
      <c r="M1569" s="249"/>
      <c r="N1569" s="249"/>
      <c r="T1569" s="249"/>
      <c r="U1569" s="249"/>
    </row>
    <row r="1570" spans="12:21">
      <c r="L1570" s="249"/>
      <c r="M1570" s="249"/>
      <c r="N1570" s="249"/>
      <c r="T1570" s="249"/>
      <c r="U1570" s="249"/>
    </row>
    <row r="1571" spans="12:21">
      <c r="L1571" s="249"/>
      <c r="M1571" s="249"/>
      <c r="N1571" s="249"/>
      <c r="T1571" s="249"/>
      <c r="U1571" s="249"/>
    </row>
    <row r="1572" spans="12:21">
      <c r="L1572" s="249"/>
      <c r="M1572" s="249"/>
      <c r="N1572" s="249"/>
      <c r="T1572" s="249"/>
      <c r="U1572" s="249"/>
    </row>
    <row r="1573" spans="12:21">
      <c r="L1573" s="249"/>
      <c r="M1573" s="249"/>
      <c r="N1573" s="249"/>
      <c r="T1573" s="249"/>
      <c r="U1573" s="249"/>
    </row>
    <row r="1574" spans="12:21">
      <c r="L1574" s="249"/>
      <c r="M1574" s="249"/>
      <c r="N1574" s="249"/>
      <c r="T1574" s="249"/>
      <c r="U1574" s="249"/>
    </row>
    <row r="1575" spans="12:21">
      <c r="L1575" s="249"/>
      <c r="M1575" s="249"/>
      <c r="N1575" s="249"/>
      <c r="T1575" s="249"/>
      <c r="U1575" s="249"/>
    </row>
    <row r="1576" spans="12:21">
      <c r="L1576" s="249"/>
      <c r="M1576" s="249"/>
      <c r="N1576" s="249"/>
      <c r="T1576" s="249"/>
      <c r="U1576" s="249"/>
    </row>
    <row r="1577" spans="12:21">
      <c r="L1577" s="249"/>
      <c r="M1577" s="249"/>
      <c r="N1577" s="249"/>
      <c r="T1577" s="249"/>
      <c r="U1577" s="249"/>
    </row>
    <row r="1578" spans="12:21">
      <c r="L1578" s="249"/>
      <c r="M1578" s="249"/>
      <c r="N1578" s="249"/>
      <c r="T1578" s="249"/>
      <c r="U1578" s="249"/>
    </row>
    <row r="1579" spans="12:21">
      <c r="L1579" s="249"/>
      <c r="M1579" s="249"/>
      <c r="N1579" s="249"/>
      <c r="T1579" s="249"/>
      <c r="U1579" s="249"/>
    </row>
    <row r="1580" spans="12:21">
      <c r="L1580" s="249"/>
      <c r="M1580" s="249"/>
      <c r="N1580" s="249"/>
      <c r="T1580" s="249"/>
      <c r="U1580" s="249"/>
    </row>
    <row r="1581" spans="12:21">
      <c r="L1581" s="249"/>
      <c r="M1581" s="249"/>
      <c r="N1581" s="249"/>
      <c r="T1581" s="249"/>
      <c r="U1581" s="249"/>
    </row>
    <row r="1582" spans="12:21">
      <c r="L1582" s="249"/>
      <c r="M1582" s="249"/>
      <c r="N1582" s="249"/>
      <c r="T1582" s="249"/>
      <c r="U1582" s="249"/>
    </row>
    <row r="1583" spans="12:21">
      <c r="L1583" s="249"/>
      <c r="M1583" s="249"/>
      <c r="N1583" s="249"/>
      <c r="T1583" s="249"/>
      <c r="U1583" s="249"/>
    </row>
    <row r="1584" spans="12:21">
      <c r="L1584" s="249"/>
      <c r="M1584" s="249"/>
      <c r="N1584" s="249"/>
      <c r="T1584" s="249"/>
      <c r="U1584" s="249"/>
    </row>
    <row r="1585" spans="12:21">
      <c r="L1585" s="249"/>
      <c r="M1585" s="249"/>
      <c r="N1585" s="249"/>
      <c r="T1585" s="249"/>
      <c r="U1585" s="249"/>
    </row>
    <row r="1586" spans="12:21">
      <c r="L1586" s="249"/>
      <c r="M1586" s="249"/>
      <c r="N1586" s="249"/>
      <c r="T1586" s="249"/>
      <c r="U1586" s="249"/>
    </row>
    <row r="1587" spans="12:21">
      <c r="L1587" s="249"/>
      <c r="M1587" s="249"/>
      <c r="N1587" s="249"/>
      <c r="T1587" s="249"/>
      <c r="U1587" s="249"/>
    </row>
    <row r="1588" spans="12:21">
      <c r="L1588" s="249"/>
      <c r="M1588" s="249"/>
      <c r="N1588" s="249"/>
      <c r="T1588" s="249"/>
      <c r="U1588" s="249"/>
    </row>
    <row r="1589" spans="12:21">
      <c r="L1589" s="249"/>
      <c r="M1589" s="249"/>
      <c r="N1589" s="249"/>
      <c r="T1589" s="249"/>
      <c r="U1589" s="249"/>
    </row>
    <row r="1590" spans="12:21">
      <c r="L1590" s="249"/>
      <c r="M1590" s="249"/>
      <c r="N1590" s="249"/>
      <c r="T1590" s="249"/>
      <c r="U1590" s="249"/>
    </row>
    <row r="1591" spans="12:21">
      <c r="L1591" s="249"/>
      <c r="M1591" s="249"/>
      <c r="N1591" s="249"/>
      <c r="T1591" s="249"/>
      <c r="U1591" s="249"/>
    </row>
    <row r="1592" spans="12:21">
      <c r="L1592" s="249"/>
      <c r="M1592" s="249"/>
      <c r="N1592" s="249"/>
      <c r="T1592" s="249"/>
      <c r="U1592" s="249"/>
    </row>
    <row r="1593" spans="12:21">
      <c r="L1593" s="249"/>
      <c r="M1593" s="249"/>
      <c r="N1593" s="249"/>
      <c r="T1593" s="249"/>
      <c r="U1593" s="249"/>
    </row>
    <row r="1594" spans="12:21">
      <c r="L1594" s="249"/>
      <c r="M1594" s="249"/>
      <c r="N1594" s="249"/>
      <c r="T1594" s="249"/>
      <c r="U1594" s="249"/>
    </row>
    <row r="1595" spans="12:21">
      <c r="L1595" s="249"/>
      <c r="M1595" s="249"/>
      <c r="N1595" s="249"/>
      <c r="T1595" s="249"/>
      <c r="U1595" s="249"/>
    </row>
    <row r="1596" spans="12:21">
      <c r="L1596" s="249"/>
      <c r="M1596" s="249"/>
      <c r="N1596" s="249"/>
      <c r="T1596" s="249"/>
      <c r="U1596" s="249"/>
    </row>
    <row r="1597" spans="12:21">
      <c r="L1597" s="249"/>
      <c r="M1597" s="249"/>
      <c r="N1597" s="249"/>
      <c r="T1597" s="249"/>
      <c r="U1597" s="249"/>
    </row>
    <row r="1598" spans="12:21">
      <c r="L1598" s="249"/>
      <c r="M1598" s="249"/>
      <c r="N1598" s="249"/>
      <c r="T1598" s="249"/>
      <c r="U1598" s="249"/>
    </row>
    <row r="1599" spans="12:21">
      <c r="L1599" s="249"/>
      <c r="M1599" s="249"/>
      <c r="N1599" s="249"/>
      <c r="T1599" s="249"/>
      <c r="U1599" s="249"/>
    </row>
    <row r="1600" spans="12:21">
      <c r="L1600" s="249"/>
      <c r="M1600" s="249"/>
      <c r="N1600" s="249"/>
      <c r="T1600" s="249"/>
      <c r="U1600" s="249"/>
    </row>
    <row r="1601" spans="12:21">
      <c r="L1601" s="249"/>
      <c r="M1601" s="249"/>
      <c r="N1601" s="249"/>
      <c r="T1601" s="249"/>
      <c r="U1601" s="249"/>
    </row>
    <row r="1602" spans="12:21">
      <c r="L1602" s="249"/>
      <c r="M1602" s="249"/>
      <c r="N1602" s="249"/>
      <c r="T1602" s="249"/>
      <c r="U1602" s="249"/>
    </row>
    <row r="1603" spans="12:21">
      <c r="L1603" s="249"/>
      <c r="M1603" s="249"/>
      <c r="N1603" s="249"/>
      <c r="T1603" s="249"/>
      <c r="U1603" s="249"/>
    </row>
    <row r="1604" spans="12:21">
      <c r="L1604" s="249"/>
      <c r="M1604" s="249"/>
      <c r="N1604" s="249"/>
      <c r="T1604" s="249"/>
      <c r="U1604" s="249"/>
    </row>
    <row r="1605" spans="12:21">
      <c r="L1605" s="249"/>
      <c r="M1605" s="249"/>
      <c r="N1605" s="249"/>
      <c r="T1605" s="249"/>
      <c r="U1605" s="249"/>
    </row>
    <row r="1606" spans="12:21">
      <c r="L1606" s="249"/>
      <c r="M1606" s="249"/>
      <c r="N1606" s="249"/>
      <c r="T1606" s="249"/>
      <c r="U1606" s="249"/>
    </row>
    <row r="1607" spans="12:21">
      <c r="L1607" s="249"/>
      <c r="M1607" s="249"/>
      <c r="N1607" s="249"/>
      <c r="T1607" s="249"/>
      <c r="U1607" s="249"/>
    </row>
    <row r="1608" spans="12:21">
      <c r="L1608" s="249"/>
      <c r="M1608" s="249"/>
      <c r="N1608" s="249"/>
      <c r="T1608" s="249"/>
      <c r="U1608" s="249"/>
    </row>
    <row r="1609" spans="12:21">
      <c r="L1609" s="249"/>
      <c r="M1609" s="249"/>
      <c r="N1609" s="249"/>
      <c r="T1609" s="249"/>
      <c r="U1609" s="249"/>
    </row>
    <row r="1610" spans="12:21">
      <c r="L1610" s="249"/>
      <c r="M1610" s="249"/>
      <c r="N1610" s="249"/>
      <c r="T1610" s="249"/>
      <c r="U1610" s="249"/>
    </row>
    <row r="1611" spans="12:21">
      <c r="L1611" s="249"/>
      <c r="M1611" s="249"/>
      <c r="N1611" s="249"/>
      <c r="T1611" s="249"/>
      <c r="U1611" s="249"/>
    </row>
    <row r="1612" spans="12:21">
      <c r="L1612" s="249"/>
      <c r="M1612" s="249"/>
      <c r="N1612" s="249"/>
      <c r="T1612" s="249"/>
      <c r="U1612" s="249"/>
    </row>
    <row r="1613" spans="12:21">
      <c r="L1613" s="249"/>
      <c r="M1613" s="249"/>
      <c r="N1613" s="249"/>
      <c r="T1613" s="249"/>
      <c r="U1613" s="249"/>
    </row>
    <row r="1614" spans="12:21">
      <c r="L1614" s="249"/>
      <c r="M1614" s="249"/>
      <c r="N1614" s="249"/>
      <c r="T1614" s="249"/>
      <c r="U1614" s="249"/>
    </row>
    <row r="1615" spans="12:21">
      <c r="L1615" s="249"/>
      <c r="M1615" s="249"/>
      <c r="N1615" s="249"/>
      <c r="T1615" s="249"/>
      <c r="U1615" s="249"/>
    </row>
    <row r="1616" spans="12:21">
      <c r="L1616" s="249"/>
      <c r="M1616" s="249"/>
      <c r="N1616" s="249"/>
      <c r="T1616" s="249"/>
      <c r="U1616" s="249"/>
    </row>
    <row r="1617" spans="12:21">
      <c r="L1617" s="249"/>
      <c r="M1617" s="249"/>
      <c r="N1617" s="249"/>
      <c r="T1617" s="249"/>
      <c r="U1617" s="249"/>
    </row>
    <row r="1618" spans="12:21">
      <c r="L1618" s="249"/>
      <c r="M1618" s="249"/>
      <c r="N1618" s="249"/>
      <c r="T1618" s="249"/>
      <c r="U1618" s="249"/>
    </row>
    <row r="1619" spans="12:21">
      <c r="L1619" s="249"/>
      <c r="M1619" s="249"/>
      <c r="N1619" s="249"/>
      <c r="T1619" s="249"/>
      <c r="U1619" s="249"/>
    </row>
    <row r="1620" spans="12:21">
      <c r="L1620" s="249"/>
      <c r="M1620" s="249"/>
      <c r="N1620" s="249"/>
      <c r="T1620" s="249"/>
      <c r="U1620" s="249"/>
    </row>
    <row r="1621" spans="12:21">
      <c r="L1621" s="249"/>
      <c r="M1621" s="249"/>
      <c r="N1621" s="249"/>
      <c r="T1621" s="249"/>
      <c r="U1621" s="249"/>
    </row>
    <row r="1622" spans="12:21">
      <c r="L1622" s="249"/>
      <c r="M1622" s="249"/>
      <c r="N1622" s="249"/>
      <c r="T1622" s="249"/>
      <c r="U1622" s="249"/>
    </row>
    <row r="1623" spans="12:21">
      <c r="L1623" s="249"/>
      <c r="M1623" s="249"/>
      <c r="N1623" s="249"/>
      <c r="T1623" s="249"/>
      <c r="U1623" s="249"/>
    </row>
    <row r="1624" spans="12:21">
      <c r="L1624" s="249"/>
      <c r="M1624" s="249"/>
      <c r="N1624" s="249"/>
      <c r="T1624" s="249"/>
      <c r="U1624" s="249"/>
    </row>
    <row r="1625" spans="12:21">
      <c r="L1625" s="249"/>
      <c r="M1625" s="249"/>
      <c r="N1625" s="249"/>
      <c r="T1625" s="249"/>
      <c r="U1625" s="249"/>
    </row>
    <row r="1626" spans="12:21">
      <c r="L1626" s="249"/>
      <c r="M1626" s="249"/>
      <c r="N1626" s="249"/>
      <c r="T1626" s="249"/>
      <c r="U1626" s="249"/>
    </row>
    <row r="1627" spans="12:21">
      <c r="L1627" s="249"/>
      <c r="M1627" s="249"/>
      <c r="N1627" s="249"/>
      <c r="T1627" s="249"/>
      <c r="U1627" s="249"/>
    </row>
    <row r="1628" spans="12:21">
      <c r="L1628" s="249"/>
      <c r="M1628" s="249"/>
      <c r="N1628" s="249"/>
      <c r="T1628" s="249"/>
      <c r="U1628" s="249"/>
    </row>
    <row r="1629" spans="12:21">
      <c r="L1629" s="249"/>
      <c r="M1629" s="249"/>
      <c r="N1629" s="249"/>
      <c r="T1629" s="249"/>
      <c r="U1629" s="249"/>
    </row>
    <row r="1630" spans="12:21">
      <c r="L1630" s="249"/>
      <c r="M1630" s="249"/>
      <c r="N1630" s="249"/>
      <c r="T1630" s="249"/>
      <c r="U1630" s="249"/>
    </row>
    <row r="1631" spans="12:21">
      <c r="L1631" s="249"/>
      <c r="M1631" s="249"/>
      <c r="N1631" s="249"/>
      <c r="T1631" s="249"/>
      <c r="U1631" s="249"/>
    </row>
    <row r="1632" spans="12:21">
      <c r="L1632" s="249"/>
      <c r="M1632" s="249"/>
      <c r="N1632" s="249"/>
      <c r="T1632" s="249"/>
      <c r="U1632" s="249"/>
    </row>
    <row r="1633" spans="12:21">
      <c r="L1633" s="249"/>
      <c r="M1633" s="249"/>
      <c r="N1633" s="249"/>
      <c r="T1633" s="249"/>
      <c r="U1633" s="249"/>
    </row>
    <row r="1634" spans="12:21">
      <c r="L1634" s="249"/>
      <c r="M1634" s="249"/>
      <c r="N1634" s="249"/>
      <c r="T1634" s="249"/>
      <c r="U1634" s="249"/>
    </row>
    <row r="1635" spans="12:21">
      <c r="L1635" s="249"/>
      <c r="M1635" s="249"/>
      <c r="N1635" s="249"/>
      <c r="T1635" s="249"/>
      <c r="U1635" s="249"/>
    </row>
    <row r="1636" spans="12:21">
      <c r="L1636" s="249"/>
      <c r="M1636" s="249"/>
      <c r="N1636" s="249"/>
      <c r="T1636" s="249"/>
      <c r="U1636" s="249"/>
    </row>
    <row r="1637" spans="12:21">
      <c r="L1637" s="249"/>
      <c r="M1637" s="249"/>
      <c r="N1637" s="249"/>
      <c r="T1637" s="249"/>
      <c r="U1637" s="249"/>
    </row>
    <row r="1638" spans="12:21">
      <c r="L1638" s="249"/>
      <c r="M1638" s="249"/>
      <c r="N1638" s="249"/>
      <c r="T1638" s="249"/>
      <c r="U1638" s="249"/>
    </row>
    <row r="1639" spans="12:21">
      <c r="L1639" s="249"/>
      <c r="M1639" s="249"/>
      <c r="N1639" s="249"/>
      <c r="T1639" s="249"/>
      <c r="U1639" s="249"/>
    </row>
    <row r="1640" spans="12:21">
      <c r="L1640" s="249"/>
      <c r="M1640" s="249"/>
      <c r="N1640" s="249"/>
      <c r="T1640" s="249"/>
      <c r="U1640" s="249"/>
    </row>
    <row r="1641" spans="12:21">
      <c r="L1641" s="249"/>
      <c r="M1641" s="249"/>
      <c r="N1641" s="249"/>
      <c r="T1641" s="249"/>
      <c r="U1641" s="249"/>
    </row>
    <row r="1642" spans="12:21">
      <c r="L1642" s="249"/>
      <c r="M1642" s="249"/>
      <c r="N1642" s="249"/>
      <c r="T1642" s="249"/>
      <c r="U1642" s="249"/>
    </row>
    <row r="1643" spans="12:21">
      <c r="L1643" s="249"/>
      <c r="M1643" s="249"/>
      <c r="N1643" s="249"/>
      <c r="T1643" s="249"/>
      <c r="U1643" s="249"/>
    </row>
    <row r="1644" spans="12:21">
      <c r="L1644" s="249"/>
      <c r="M1644" s="249"/>
      <c r="N1644" s="249"/>
      <c r="T1644" s="249"/>
      <c r="U1644" s="249"/>
    </row>
    <row r="1645" spans="12:21">
      <c r="L1645" s="249"/>
      <c r="M1645" s="249"/>
      <c r="N1645" s="249"/>
      <c r="T1645" s="249"/>
      <c r="U1645" s="249"/>
    </row>
    <row r="1646" spans="12:21">
      <c r="L1646" s="249"/>
      <c r="M1646" s="249"/>
      <c r="N1646" s="249"/>
      <c r="T1646" s="249"/>
      <c r="U1646" s="249"/>
    </row>
    <row r="1647" spans="12:21">
      <c r="L1647" s="249"/>
      <c r="M1647" s="249"/>
      <c r="N1647" s="249"/>
      <c r="T1647" s="249"/>
      <c r="U1647" s="249"/>
    </row>
    <row r="1648" spans="12:21">
      <c r="L1648" s="249"/>
      <c r="M1648" s="249"/>
      <c r="N1648" s="249"/>
      <c r="T1648" s="249"/>
      <c r="U1648" s="249"/>
    </row>
    <row r="1649" spans="12:21">
      <c r="L1649" s="249"/>
      <c r="M1649" s="249"/>
      <c r="N1649" s="249"/>
      <c r="T1649" s="249"/>
      <c r="U1649" s="249"/>
    </row>
    <row r="1650" spans="12:21">
      <c r="L1650" s="249"/>
      <c r="M1650" s="249"/>
      <c r="N1650" s="249"/>
      <c r="T1650" s="249"/>
      <c r="U1650" s="249"/>
    </row>
    <row r="1651" spans="12:21">
      <c r="L1651" s="249"/>
      <c r="M1651" s="249"/>
      <c r="N1651" s="249"/>
      <c r="T1651" s="249"/>
      <c r="U1651" s="249"/>
    </row>
    <row r="1652" spans="12:21">
      <c r="L1652" s="249"/>
      <c r="M1652" s="249"/>
      <c r="N1652" s="249"/>
      <c r="T1652" s="249"/>
      <c r="U1652" s="249"/>
    </row>
    <row r="1653" spans="12:21">
      <c r="L1653" s="249"/>
      <c r="M1653" s="249"/>
      <c r="N1653" s="249"/>
      <c r="T1653" s="249"/>
      <c r="U1653" s="249"/>
    </row>
    <row r="1654" spans="12:21">
      <c r="L1654" s="249"/>
      <c r="M1654" s="249"/>
      <c r="N1654" s="249"/>
      <c r="T1654" s="249"/>
      <c r="U1654" s="249"/>
    </row>
    <row r="1655" spans="12:21">
      <c r="L1655" s="249"/>
      <c r="M1655" s="249"/>
      <c r="N1655" s="249"/>
      <c r="T1655" s="249"/>
      <c r="U1655" s="249"/>
    </row>
    <row r="1656" spans="12:21">
      <c r="L1656" s="249"/>
      <c r="M1656" s="249"/>
      <c r="N1656" s="249"/>
      <c r="T1656" s="249"/>
      <c r="U1656" s="249"/>
    </row>
    <row r="1657" spans="12:21">
      <c r="L1657" s="249"/>
      <c r="M1657" s="249"/>
      <c r="N1657" s="249"/>
      <c r="T1657" s="249"/>
      <c r="U1657" s="249"/>
    </row>
    <row r="1658" spans="12:21">
      <c r="L1658" s="249"/>
      <c r="M1658" s="249"/>
      <c r="N1658" s="249"/>
      <c r="T1658" s="249"/>
      <c r="U1658" s="249"/>
    </row>
    <row r="1659" spans="12:21">
      <c r="L1659" s="249"/>
      <c r="M1659" s="249"/>
      <c r="N1659" s="249"/>
      <c r="T1659" s="249"/>
      <c r="U1659" s="249"/>
    </row>
    <row r="1660" spans="12:21">
      <c r="L1660" s="249"/>
      <c r="M1660" s="249"/>
      <c r="N1660" s="249"/>
      <c r="T1660" s="249"/>
      <c r="U1660" s="249"/>
    </row>
    <row r="1661" spans="12:21">
      <c r="L1661" s="249"/>
      <c r="M1661" s="249"/>
      <c r="N1661" s="249"/>
      <c r="T1661" s="249"/>
      <c r="U1661" s="249"/>
    </row>
    <row r="1662" spans="12:21">
      <c r="L1662" s="249"/>
      <c r="M1662" s="249"/>
      <c r="N1662" s="249"/>
      <c r="T1662" s="249"/>
      <c r="U1662" s="249"/>
    </row>
    <row r="1663" spans="12:21">
      <c r="L1663" s="249"/>
      <c r="M1663" s="249"/>
      <c r="N1663" s="249"/>
      <c r="T1663" s="249"/>
      <c r="U1663" s="249"/>
    </row>
    <row r="1664" spans="12:21">
      <c r="L1664" s="249"/>
      <c r="M1664" s="249"/>
      <c r="N1664" s="249"/>
      <c r="T1664" s="249"/>
      <c r="U1664" s="249"/>
    </row>
    <row r="1665" spans="12:21">
      <c r="L1665" s="249"/>
      <c r="M1665" s="249"/>
      <c r="N1665" s="249"/>
      <c r="T1665" s="249"/>
      <c r="U1665" s="249"/>
    </row>
    <row r="1666" spans="12:21">
      <c r="L1666" s="249"/>
      <c r="M1666" s="249"/>
      <c r="N1666" s="249"/>
      <c r="T1666" s="249"/>
      <c r="U1666" s="249"/>
    </row>
    <row r="1667" spans="12:21">
      <c r="L1667" s="249"/>
      <c r="M1667" s="249"/>
      <c r="N1667" s="249"/>
      <c r="T1667" s="249"/>
      <c r="U1667" s="249"/>
    </row>
    <row r="1668" spans="12:21">
      <c r="L1668" s="249"/>
      <c r="M1668" s="249"/>
      <c r="N1668" s="249"/>
      <c r="T1668" s="249"/>
      <c r="U1668" s="249"/>
    </row>
    <row r="1669" spans="12:21">
      <c r="L1669" s="249"/>
      <c r="M1669" s="249"/>
      <c r="N1669" s="249"/>
      <c r="T1669" s="249"/>
      <c r="U1669" s="249"/>
    </row>
    <row r="1670" spans="12:21">
      <c r="L1670" s="249"/>
      <c r="M1670" s="249"/>
      <c r="N1670" s="249"/>
      <c r="T1670" s="249"/>
      <c r="U1670" s="249"/>
    </row>
    <row r="1671" spans="12:21">
      <c r="L1671" s="249"/>
      <c r="M1671" s="249"/>
      <c r="N1671" s="249"/>
      <c r="T1671" s="249"/>
      <c r="U1671" s="249"/>
    </row>
    <row r="1672" spans="12:21">
      <c r="L1672" s="249"/>
      <c r="M1672" s="249"/>
      <c r="N1672" s="249"/>
      <c r="T1672" s="249"/>
      <c r="U1672" s="249"/>
    </row>
    <row r="1673" spans="12:21">
      <c r="L1673" s="249"/>
      <c r="M1673" s="249"/>
      <c r="N1673" s="249"/>
      <c r="T1673" s="249"/>
      <c r="U1673" s="249"/>
    </row>
    <row r="1674" spans="12:21">
      <c r="L1674" s="249"/>
      <c r="M1674" s="249"/>
      <c r="N1674" s="249"/>
      <c r="T1674" s="249"/>
      <c r="U1674" s="249"/>
    </row>
    <row r="1675" spans="12:21">
      <c r="L1675" s="249"/>
      <c r="M1675" s="249"/>
      <c r="N1675" s="249"/>
      <c r="T1675" s="249"/>
      <c r="U1675" s="249"/>
    </row>
    <row r="1676" spans="12:21">
      <c r="L1676" s="249"/>
      <c r="M1676" s="249"/>
      <c r="N1676" s="249"/>
      <c r="T1676" s="249"/>
      <c r="U1676" s="249"/>
    </row>
    <row r="1677" spans="12:21">
      <c r="L1677" s="249"/>
      <c r="M1677" s="249"/>
      <c r="N1677" s="249"/>
      <c r="T1677" s="249"/>
      <c r="U1677" s="249"/>
    </row>
    <row r="1678" spans="12:21">
      <c r="L1678" s="249"/>
      <c r="M1678" s="249"/>
      <c r="N1678" s="249"/>
      <c r="T1678" s="249"/>
      <c r="U1678" s="249"/>
    </row>
    <row r="1679" spans="12:21">
      <c r="L1679" s="249"/>
      <c r="M1679" s="249"/>
      <c r="N1679" s="249"/>
      <c r="T1679" s="249"/>
      <c r="U1679" s="249"/>
    </row>
    <row r="1680" spans="12:21">
      <c r="L1680" s="249"/>
      <c r="M1680" s="249"/>
      <c r="N1680" s="249"/>
      <c r="T1680" s="249"/>
      <c r="U1680" s="249"/>
    </row>
    <row r="1681" spans="12:21">
      <c r="L1681" s="249"/>
      <c r="M1681" s="249"/>
      <c r="N1681" s="249"/>
      <c r="T1681" s="249"/>
      <c r="U1681" s="249"/>
    </row>
    <row r="1682" spans="12:21">
      <c r="L1682" s="249"/>
      <c r="M1682" s="249"/>
      <c r="N1682" s="249"/>
      <c r="T1682" s="249"/>
      <c r="U1682" s="249"/>
    </row>
    <row r="1683" spans="12:21">
      <c r="L1683" s="249"/>
      <c r="M1683" s="249"/>
      <c r="N1683" s="249"/>
      <c r="T1683" s="249"/>
      <c r="U1683" s="249"/>
    </row>
    <row r="1684" spans="12:21">
      <c r="L1684" s="249"/>
      <c r="M1684" s="249"/>
      <c r="N1684" s="249"/>
      <c r="T1684" s="249"/>
      <c r="U1684" s="249"/>
    </row>
    <row r="1685" spans="12:21">
      <c r="L1685" s="249"/>
      <c r="M1685" s="249"/>
      <c r="N1685" s="249"/>
      <c r="T1685" s="249"/>
      <c r="U1685" s="249"/>
    </row>
    <row r="1686" spans="12:21">
      <c r="L1686" s="249"/>
      <c r="M1686" s="249"/>
      <c r="N1686" s="249"/>
      <c r="T1686" s="249"/>
      <c r="U1686" s="249"/>
    </row>
    <row r="1687" spans="12:21">
      <c r="L1687" s="249"/>
      <c r="M1687" s="249"/>
      <c r="N1687" s="249"/>
      <c r="T1687" s="249"/>
      <c r="U1687" s="249"/>
    </row>
    <row r="1688" spans="12:21">
      <c r="L1688" s="249"/>
      <c r="M1688" s="249"/>
      <c r="N1688" s="249"/>
      <c r="T1688" s="249"/>
      <c r="U1688" s="249"/>
    </row>
    <row r="1689" spans="12:21">
      <c r="L1689" s="249"/>
      <c r="M1689" s="249"/>
      <c r="N1689" s="249"/>
      <c r="T1689" s="249"/>
      <c r="U1689" s="249"/>
    </row>
    <row r="1690" spans="12:21">
      <c r="L1690" s="249"/>
      <c r="M1690" s="249"/>
      <c r="N1690" s="249"/>
      <c r="T1690" s="249"/>
      <c r="U1690" s="249"/>
    </row>
    <row r="1691" spans="12:21">
      <c r="L1691" s="249"/>
      <c r="M1691" s="249"/>
      <c r="N1691" s="249"/>
      <c r="T1691" s="249"/>
      <c r="U1691" s="249"/>
    </row>
    <row r="1692" spans="12:21">
      <c r="L1692" s="249"/>
      <c r="M1692" s="249"/>
      <c r="N1692" s="249"/>
      <c r="T1692" s="249"/>
      <c r="U1692" s="249"/>
    </row>
    <row r="1693" spans="12:21">
      <c r="L1693" s="249"/>
      <c r="M1693" s="249"/>
      <c r="N1693" s="249"/>
      <c r="T1693" s="249"/>
      <c r="U1693" s="249"/>
    </row>
    <row r="1694" spans="12:21">
      <c r="L1694" s="249"/>
      <c r="M1694" s="249"/>
      <c r="N1694" s="249"/>
      <c r="T1694" s="249"/>
      <c r="U1694" s="249"/>
    </row>
    <row r="1695" spans="12:21">
      <c r="L1695" s="249"/>
      <c r="M1695" s="249"/>
      <c r="N1695" s="249"/>
      <c r="T1695" s="249"/>
      <c r="U1695" s="249"/>
    </row>
    <row r="1696" spans="12:21">
      <c r="L1696" s="249"/>
      <c r="M1696" s="249"/>
      <c r="N1696" s="249"/>
      <c r="T1696" s="249"/>
      <c r="U1696" s="249"/>
    </row>
    <row r="1697" spans="12:21">
      <c r="L1697" s="249"/>
      <c r="M1697" s="249"/>
      <c r="N1697" s="249"/>
      <c r="T1697" s="249"/>
      <c r="U1697" s="249"/>
    </row>
    <row r="1698" spans="12:21">
      <c r="L1698" s="249"/>
      <c r="M1698" s="249"/>
      <c r="N1698" s="249"/>
      <c r="T1698" s="249"/>
      <c r="U1698" s="249"/>
    </row>
    <row r="1699" spans="12:21">
      <c r="L1699" s="249"/>
      <c r="M1699" s="249"/>
      <c r="N1699" s="249"/>
      <c r="T1699" s="249"/>
      <c r="U1699" s="249"/>
    </row>
    <row r="1700" spans="12:21">
      <c r="L1700" s="249"/>
      <c r="M1700" s="249"/>
      <c r="N1700" s="249"/>
      <c r="T1700" s="249"/>
      <c r="U1700" s="249"/>
    </row>
    <row r="1701" spans="12:21">
      <c r="L1701" s="249"/>
      <c r="M1701" s="249"/>
      <c r="N1701" s="249"/>
      <c r="T1701" s="249"/>
      <c r="U1701" s="249"/>
    </row>
    <row r="1702" spans="12:21">
      <c r="L1702" s="249"/>
      <c r="M1702" s="249"/>
      <c r="N1702" s="249"/>
      <c r="T1702" s="249"/>
      <c r="U1702" s="249"/>
    </row>
    <row r="1703" spans="12:21">
      <c r="L1703" s="249"/>
      <c r="M1703" s="249"/>
      <c r="N1703" s="249"/>
      <c r="T1703" s="249"/>
      <c r="U1703" s="249"/>
    </row>
    <row r="1704" spans="12:21">
      <c r="L1704" s="249"/>
      <c r="M1704" s="249"/>
      <c r="N1704" s="249"/>
      <c r="T1704" s="249"/>
      <c r="U1704" s="249"/>
    </row>
    <row r="1705" spans="12:21">
      <c r="L1705" s="249"/>
      <c r="M1705" s="249"/>
      <c r="N1705" s="249"/>
      <c r="T1705" s="249"/>
      <c r="U1705" s="249"/>
    </row>
    <row r="1706" spans="12:21">
      <c r="L1706" s="249"/>
      <c r="M1706" s="249"/>
      <c r="N1706" s="249"/>
      <c r="T1706" s="249"/>
      <c r="U1706" s="249"/>
    </row>
    <row r="1707" spans="12:21">
      <c r="L1707" s="249"/>
      <c r="M1707" s="249"/>
      <c r="N1707" s="249"/>
      <c r="T1707" s="249"/>
      <c r="U1707" s="249"/>
    </row>
    <row r="1708" spans="12:21">
      <c r="L1708" s="249"/>
      <c r="M1708" s="249"/>
      <c r="N1708" s="249"/>
      <c r="T1708" s="249"/>
      <c r="U1708" s="249"/>
    </row>
    <row r="1709" spans="12:21">
      <c r="L1709" s="249"/>
      <c r="M1709" s="249"/>
      <c r="N1709" s="249"/>
      <c r="T1709" s="249"/>
      <c r="U1709" s="249"/>
    </row>
    <row r="1710" spans="12:21">
      <c r="L1710" s="249"/>
      <c r="M1710" s="249"/>
      <c r="N1710" s="249"/>
      <c r="T1710" s="249"/>
      <c r="U1710" s="249"/>
    </row>
    <row r="1711" spans="12:21">
      <c r="L1711" s="249"/>
      <c r="M1711" s="249"/>
      <c r="N1711" s="249"/>
      <c r="T1711" s="249"/>
      <c r="U1711" s="249"/>
    </row>
    <row r="1712" spans="12:21">
      <c r="L1712" s="249"/>
      <c r="M1712" s="249"/>
      <c r="N1712" s="249"/>
      <c r="T1712" s="249"/>
      <c r="U1712" s="249"/>
    </row>
    <row r="1713" spans="12:21">
      <c r="L1713" s="249"/>
      <c r="M1713" s="249"/>
      <c r="N1713" s="249"/>
      <c r="T1713" s="249"/>
      <c r="U1713" s="249"/>
    </row>
    <row r="1714" spans="12:21">
      <c r="L1714" s="249"/>
      <c r="M1714" s="249"/>
      <c r="N1714" s="249"/>
      <c r="T1714" s="249"/>
      <c r="U1714" s="249"/>
    </row>
    <row r="1715" spans="12:21">
      <c r="L1715" s="249"/>
      <c r="M1715" s="249"/>
      <c r="N1715" s="249"/>
      <c r="T1715" s="249"/>
      <c r="U1715" s="249"/>
    </row>
    <row r="1716" spans="12:21">
      <c r="L1716" s="249"/>
      <c r="M1716" s="249"/>
      <c r="N1716" s="249"/>
      <c r="T1716" s="249"/>
      <c r="U1716" s="249"/>
    </row>
    <row r="1717" spans="12:21">
      <c r="L1717" s="249"/>
      <c r="M1717" s="249"/>
      <c r="N1717" s="249"/>
      <c r="T1717" s="249"/>
      <c r="U1717" s="249"/>
    </row>
    <row r="1718" spans="12:21">
      <c r="L1718" s="249"/>
      <c r="M1718" s="249"/>
      <c r="N1718" s="249"/>
      <c r="T1718" s="249"/>
      <c r="U1718" s="249"/>
    </row>
    <row r="1719" spans="12:21">
      <c r="L1719" s="249"/>
      <c r="M1719" s="249"/>
      <c r="N1719" s="249"/>
      <c r="T1719" s="249"/>
      <c r="U1719" s="249"/>
    </row>
    <row r="1720" spans="12:21">
      <c r="L1720" s="249"/>
      <c r="M1720" s="249"/>
      <c r="N1720" s="249"/>
      <c r="T1720" s="249"/>
      <c r="U1720" s="249"/>
    </row>
    <row r="1721" spans="12:21">
      <c r="L1721" s="249"/>
      <c r="M1721" s="249"/>
      <c r="N1721" s="249"/>
      <c r="T1721" s="249"/>
      <c r="U1721" s="249"/>
    </row>
    <row r="1722" spans="12:21">
      <c r="L1722" s="249"/>
      <c r="M1722" s="249"/>
      <c r="N1722" s="249"/>
      <c r="T1722" s="249"/>
      <c r="U1722" s="249"/>
    </row>
    <row r="1723" spans="12:21">
      <c r="L1723" s="249"/>
      <c r="M1723" s="249"/>
      <c r="N1723" s="249"/>
      <c r="T1723" s="249"/>
      <c r="U1723" s="249"/>
    </row>
    <row r="1724" spans="12:21">
      <c r="L1724" s="249"/>
      <c r="M1724" s="249"/>
      <c r="N1724" s="249"/>
      <c r="T1724" s="249"/>
      <c r="U1724" s="249"/>
    </row>
    <row r="1725" spans="12:21">
      <c r="L1725" s="249"/>
      <c r="M1725" s="249"/>
      <c r="N1725" s="249"/>
      <c r="T1725" s="249"/>
      <c r="U1725" s="249"/>
    </row>
    <row r="1726" spans="12:21">
      <c r="L1726" s="249"/>
      <c r="M1726" s="249"/>
      <c r="N1726" s="249"/>
      <c r="T1726" s="249"/>
      <c r="U1726" s="249"/>
    </row>
    <row r="1727" spans="12:21">
      <c r="L1727" s="249"/>
      <c r="M1727" s="249"/>
      <c r="N1727" s="249"/>
      <c r="T1727" s="249"/>
      <c r="U1727" s="249"/>
    </row>
    <row r="1728" spans="12:21">
      <c r="L1728" s="249"/>
      <c r="M1728" s="249"/>
      <c r="N1728" s="249"/>
      <c r="T1728" s="249"/>
      <c r="U1728" s="249"/>
    </row>
    <row r="1729" spans="12:21">
      <c r="L1729" s="249"/>
      <c r="M1729" s="249"/>
      <c r="N1729" s="249"/>
      <c r="T1729" s="249"/>
      <c r="U1729" s="249"/>
    </row>
    <row r="1730" spans="12:21">
      <c r="L1730" s="249"/>
      <c r="M1730" s="249"/>
      <c r="N1730" s="249"/>
      <c r="T1730" s="249"/>
      <c r="U1730" s="249"/>
    </row>
    <row r="1731" spans="12:21">
      <c r="L1731" s="249"/>
      <c r="M1731" s="249"/>
      <c r="N1731" s="249"/>
      <c r="T1731" s="249"/>
      <c r="U1731" s="249"/>
    </row>
    <row r="1732" spans="12:21">
      <c r="L1732" s="249"/>
      <c r="M1732" s="249"/>
      <c r="N1732" s="249"/>
      <c r="T1732" s="249"/>
      <c r="U1732" s="249"/>
    </row>
    <row r="1733" spans="12:21">
      <c r="L1733" s="249"/>
      <c r="M1733" s="249"/>
      <c r="N1733" s="249"/>
      <c r="T1733" s="249"/>
      <c r="U1733" s="249"/>
    </row>
    <row r="1734" spans="12:21">
      <c r="L1734" s="249"/>
      <c r="M1734" s="249"/>
      <c r="N1734" s="249"/>
      <c r="T1734" s="249"/>
      <c r="U1734" s="249"/>
    </row>
    <row r="1735" spans="12:21">
      <c r="L1735" s="249"/>
      <c r="M1735" s="249"/>
      <c r="N1735" s="249"/>
      <c r="T1735" s="249"/>
      <c r="U1735" s="249"/>
    </row>
    <row r="1736" spans="12:21">
      <c r="L1736" s="249"/>
      <c r="M1736" s="249"/>
      <c r="N1736" s="249"/>
      <c r="T1736" s="249"/>
      <c r="U1736" s="249"/>
    </row>
    <row r="1737" spans="12:21">
      <c r="L1737" s="249"/>
      <c r="M1737" s="249"/>
      <c r="N1737" s="249"/>
      <c r="T1737" s="249"/>
      <c r="U1737" s="249"/>
    </row>
    <row r="1738" spans="12:21">
      <c r="L1738" s="249"/>
      <c r="M1738" s="249"/>
      <c r="N1738" s="249"/>
      <c r="T1738" s="249"/>
      <c r="U1738" s="249"/>
    </row>
    <row r="1739" spans="12:21">
      <c r="L1739" s="249"/>
      <c r="M1739" s="249"/>
      <c r="N1739" s="249"/>
      <c r="T1739" s="249"/>
      <c r="U1739" s="249"/>
    </row>
    <row r="1740" spans="12:21">
      <c r="L1740" s="249"/>
      <c r="M1740" s="249"/>
      <c r="N1740" s="249"/>
      <c r="T1740" s="249"/>
      <c r="U1740" s="249"/>
    </row>
    <row r="1741" spans="12:21">
      <c r="L1741" s="249"/>
      <c r="M1741" s="249"/>
      <c r="N1741" s="249"/>
      <c r="T1741" s="249"/>
      <c r="U1741" s="249"/>
    </row>
    <row r="1742" spans="12:21">
      <c r="L1742" s="249"/>
      <c r="M1742" s="249"/>
      <c r="N1742" s="249"/>
      <c r="T1742" s="249"/>
      <c r="U1742" s="249"/>
    </row>
    <row r="1743" spans="12:21">
      <c r="L1743" s="249"/>
      <c r="M1743" s="249"/>
      <c r="N1743" s="249"/>
      <c r="T1743" s="249"/>
      <c r="U1743" s="249"/>
    </row>
    <row r="1744" spans="12:21">
      <c r="L1744" s="249"/>
      <c r="M1744" s="249"/>
      <c r="N1744" s="249"/>
      <c r="T1744" s="249"/>
      <c r="U1744" s="249"/>
    </row>
    <row r="1745" spans="12:21">
      <c r="L1745" s="249"/>
      <c r="M1745" s="249"/>
      <c r="N1745" s="249"/>
      <c r="T1745" s="249"/>
      <c r="U1745" s="249"/>
    </row>
    <row r="1746" spans="12:21">
      <c r="L1746" s="249"/>
      <c r="M1746" s="249"/>
      <c r="N1746" s="249"/>
      <c r="T1746" s="249"/>
      <c r="U1746" s="249"/>
    </row>
    <row r="1747" spans="12:21">
      <c r="L1747" s="249"/>
      <c r="M1747" s="249"/>
      <c r="N1747" s="249"/>
      <c r="T1747" s="249"/>
      <c r="U1747" s="249"/>
    </row>
    <row r="1748" spans="12:21">
      <c r="L1748" s="249"/>
      <c r="M1748" s="249"/>
      <c r="N1748" s="249"/>
      <c r="T1748" s="249"/>
      <c r="U1748" s="249"/>
    </row>
    <row r="1749" spans="12:21">
      <c r="L1749" s="249"/>
      <c r="M1749" s="249"/>
      <c r="N1749" s="249"/>
      <c r="T1749" s="249"/>
      <c r="U1749" s="249"/>
    </row>
    <row r="1750" spans="12:21">
      <c r="L1750" s="249"/>
      <c r="M1750" s="249"/>
      <c r="N1750" s="249"/>
      <c r="T1750" s="249"/>
      <c r="U1750" s="249"/>
    </row>
    <row r="1751" spans="12:21">
      <c r="L1751" s="249"/>
      <c r="M1751" s="249"/>
      <c r="N1751" s="249"/>
      <c r="T1751" s="249"/>
      <c r="U1751" s="249"/>
    </row>
    <row r="1752" spans="12:21">
      <c r="L1752" s="249"/>
      <c r="M1752" s="249"/>
      <c r="N1752" s="249"/>
      <c r="T1752" s="249"/>
      <c r="U1752" s="249"/>
    </row>
    <row r="1753" spans="12:21">
      <c r="L1753" s="249"/>
      <c r="M1753" s="249"/>
      <c r="N1753" s="249"/>
      <c r="T1753" s="249"/>
      <c r="U1753" s="249"/>
    </row>
    <row r="1754" spans="12:21">
      <c r="L1754" s="249"/>
      <c r="M1754" s="249"/>
      <c r="N1754" s="249"/>
      <c r="T1754" s="249"/>
      <c r="U1754" s="249"/>
    </row>
    <row r="1755" spans="12:21">
      <c r="L1755" s="249"/>
      <c r="M1755" s="249"/>
      <c r="N1755" s="249"/>
      <c r="T1755" s="249"/>
      <c r="U1755" s="249"/>
    </row>
    <row r="1756" spans="12:21">
      <c r="L1756" s="249"/>
      <c r="M1756" s="249"/>
      <c r="N1756" s="249"/>
      <c r="T1756" s="249"/>
      <c r="U1756" s="249"/>
    </row>
    <row r="1757" spans="12:21">
      <c r="L1757" s="249"/>
      <c r="M1757" s="249"/>
      <c r="N1757" s="249"/>
      <c r="T1757" s="249"/>
      <c r="U1757" s="249"/>
    </row>
    <row r="1758" spans="12:21">
      <c r="L1758" s="249"/>
      <c r="M1758" s="249"/>
      <c r="N1758" s="249"/>
      <c r="T1758" s="249"/>
      <c r="U1758" s="249"/>
    </row>
    <row r="1759" spans="12:21">
      <c r="L1759" s="249"/>
      <c r="M1759" s="249"/>
      <c r="N1759" s="249"/>
      <c r="T1759" s="249"/>
      <c r="U1759" s="249"/>
    </row>
    <row r="1760" spans="12:21">
      <c r="L1760" s="249"/>
      <c r="M1760" s="249"/>
      <c r="N1760" s="249"/>
      <c r="T1760" s="249"/>
      <c r="U1760" s="249"/>
    </row>
    <row r="1761" spans="12:21">
      <c r="L1761" s="249"/>
      <c r="M1761" s="249"/>
      <c r="N1761" s="249"/>
      <c r="T1761" s="249"/>
      <c r="U1761" s="249"/>
    </row>
    <row r="1762" spans="12:21">
      <c r="L1762" s="249"/>
      <c r="M1762" s="249"/>
      <c r="N1762" s="249"/>
      <c r="T1762" s="249"/>
      <c r="U1762" s="249"/>
    </row>
    <row r="1763" spans="12:21">
      <c r="L1763" s="249"/>
      <c r="M1763" s="249"/>
      <c r="N1763" s="249"/>
      <c r="T1763" s="249"/>
      <c r="U1763" s="249"/>
    </row>
    <row r="1764" spans="12:21">
      <c r="L1764" s="249"/>
      <c r="M1764" s="249"/>
      <c r="N1764" s="249"/>
      <c r="T1764" s="249"/>
      <c r="U1764" s="249"/>
    </row>
    <row r="1765" spans="12:21">
      <c r="L1765" s="249"/>
      <c r="M1765" s="249"/>
      <c r="N1765" s="249"/>
      <c r="T1765" s="249"/>
      <c r="U1765" s="249"/>
    </row>
    <row r="1766" spans="12:21">
      <c r="L1766" s="249"/>
      <c r="M1766" s="249"/>
      <c r="N1766" s="249"/>
      <c r="T1766" s="249"/>
      <c r="U1766" s="249"/>
    </row>
    <row r="1767" spans="12:21">
      <c r="L1767" s="249"/>
      <c r="M1767" s="249"/>
      <c r="N1767" s="249"/>
      <c r="T1767" s="249"/>
      <c r="U1767" s="249"/>
    </row>
    <row r="1768" spans="12:21">
      <c r="L1768" s="249"/>
      <c r="M1768" s="249"/>
      <c r="N1768" s="249"/>
      <c r="T1768" s="249"/>
      <c r="U1768" s="249"/>
    </row>
    <row r="1769" spans="12:21">
      <c r="L1769" s="249"/>
      <c r="M1769" s="249"/>
      <c r="N1769" s="249"/>
      <c r="T1769" s="249"/>
      <c r="U1769" s="249"/>
    </row>
    <row r="1770" spans="12:21">
      <c r="L1770" s="249"/>
      <c r="M1770" s="249"/>
      <c r="N1770" s="249"/>
      <c r="T1770" s="249"/>
      <c r="U1770" s="249"/>
    </row>
    <row r="1771" spans="12:21">
      <c r="L1771" s="249"/>
      <c r="M1771" s="249"/>
      <c r="N1771" s="249"/>
      <c r="T1771" s="249"/>
      <c r="U1771" s="249"/>
    </row>
    <row r="1772" spans="12:21">
      <c r="L1772" s="249"/>
      <c r="M1772" s="249"/>
      <c r="N1772" s="249"/>
      <c r="T1772" s="249"/>
      <c r="U1772" s="249"/>
    </row>
    <row r="1773" spans="12:21">
      <c r="L1773" s="249"/>
      <c r="M1773" s="249"/>
      <c r="N1773" s="249"/>
      <c r="T1773" s="249"/>
      <c r="U1773" s="249"/>
    </row>
    <row r="1774" spans="12:21">
      <c r="L1774" s="249"/>
      <c r="M1774" s="249"/>
      <c r="N1774" s="249"/>
      <c r="T1774" s="249"/>
      <c r="U1774" s="249"/>
    </row>
    <row r="1775" spans="12:21">
      <c r="L1775" s="249"/>
      <c r="M1775" s="249"/>
      <c r="N1775" s="249"/>
      <c r="T1775" s="249"/>
      <c r="U1775" s="249"/>
    </row>
    <row r="1776" spans="12:21">
      <c r="L1776" s="249"/>
      <c r="M1776" s="249"/>
      <c r="N1776" s="249"/>
      <c r="T1776" s="249"/>
      <c r="U1776" s="249"/>
    </row>
    <row r="1777" spans="12:21">
      <c r="L1777" s="249"/>
      <c r="M1777" s="249"/>
      <c r="N1777" s="249"/>
      <c r="T1777" s="249"/>
      <c r="U1777" s="249"/>
    </row>
    <row r="1778" spans="12:21">
      <c r="L1778" s="249"/>
      <c r="M1778" s="249"/>
      <c r="N1778" s="249"/>
      <c r="T1778" s="249"/>
      <c r="U1778" s="249"/>
    </row>
    <row r="1779" spans="12:21">
      <c r="L1779" s="249"/>
      <c r="M1779" s="249"/>
      <c r="N1779" s="249"/>
      <c r="T1779" s="249"/>
      <c r="U1779" s="249"/>
    </row>
    <row r="1780" spans="12:21">
      <c r="L1780" s="249"/>
      <c r="M1780" s="249"/>
      <c r="N1780" s="249"/>
      <c r="T1780" s="249"/>
      <c r="U1780" s="249"/>
    </row>
    <row r="1781" spans="12:21">
      <c r="L1781" s="249"/>
      <c r="M1781" s="249"/>
      <c r="N1781" s="249"/>
      <c r="T1781" s="249"/>
      <c r="U1781" s="249"/>
    </row>
    <row r="1782" spans="12:21">
      <c r="L1782" s="249"/>
      <c r="M1782" s="249"/>
      <c r="N1782" s="249"/>
      <c r="T1782" s="249"/>
      <c r="U1782" s="249"/>
    </row>
    <row r="1783" spans="12:21">
      <c r="L1783" s="249"/>
      <c r="M1783" s="249"/>
      <c r="N1783" s="249"/>
      <c r="T1783" s="249"/>
      <c r="U1783" s="249"/>
    </row>
    <row r="1784" spans="12:21">
      <c r="L1784" s="249"/>
      <c r="M1784" s="249"/>
      <c r="N1784" s="249"/>
      <c r="T1784" s="249"/>
      <c r="U1784" s="249"/>
    </row>
    <row r="1785" spans="12:21">
      <c r="L1785" s="249"/>
      <c r="M1785" s="249"/>
      <c r="N1785" s="249"/>
      <c r="T1785" s="249"/>
      <c r="U1785" s="249"/>
    </row>
    <row r="1786" spans="12:21">
      <c r="L1786" s="249"/>
      <c r="M1786" s="249"/>
      <c r="N1786" s="249"/>
      <c r="T1786" s="249"/>
      <c r="U1786" s="249"/>
    </row>
    <row r="1787" spans="12:21">
      <c r="L1787" s="249"/>
      <c r="M1787" s="249"/>
      <c r="N1787" s="249"/>
      <c r="T1787" s="249"/>
      <c r="U1787" s="249"/>
    </row>
    <row r="1788" spans="12:21">
      <c r="L1788" s="249"/>
      <c r="M1788" s="249"/>
      <c r="N1788" s="249"/>
      <c r="T1788" s="249"/>
      <c r="U1788" s="249"/>
    </row>
    <row r="1789" spans="12:21">
      <c r="L1789" s="249"/>
      <c r="M1789" s="249"/>
      <c r="N1789" s="249"/>
      <c r="T1789" s="249"/>
      <c r="U1789" s="249"/>
    </row>
    <row r="1790" spans="12:21">
      <c r="L1790" s="249"/>
      <c r="M1790" s="249"/>
      <c r="N1790" s="249"/>
      <c r="T1790" s="249"/>
      <c r="U1790" s="249"/>
    </row>
    <row r="1791" spans="12:21">
      <c r="L1791" s="249"/>
      <c r="M1791" s="249"/>
      <c r="N1791" s="249"/>
      <c r="T1791" s="249"/>
      <c r="U1791" s="249"/>
    </row>
    <row r="1792" spans="12:21">
      <c r="L1792" s="249"/>
      <c r="M1792" s="249"/>
      <c r="N1792" s="249"/>
      <c r="T1792" s="249"/>
      <c r="U1792" s="249"/>
    </row>
    <row r="1793" spans="12:21">
      <c r="L1793" s="249"/>
      <c r="M1793" s="249"/>
      <c r="N1793" s="249"/>
      <c r="T1793" s="249"/>
      <c r="U1793" s="249"/>
    </row>
    <row r="1794" spans="12:21">
      <c r="L1794" s="249"/>
      <c r="M1794" s="249"/>
      <c r="N1794" s="249"/>
      <c r="T1794" s="249"/>
      <c r="U1794" s="249"/>
    </row>
    <row r="1795" spans="12:21">
      <c r="L1795" s="249"/>
      <c r="M1795" s="249"/>
      <c r="N1795" s="249"/>
      <c r="T1795" s="249"/>
      <c r="U1795" s="249"/>
    </row>
    <row r="1796" spans="12:21">
      <c r="L1796" s="249"/>
      <c r="M1796" s="249"/>
      <c r="N1796" s="249"/>
      <c r="T1796" s="249"/>
      <c r="U1796" s="249"/>
    </row>
    <row r="1797" spans="12:21">
      <c r="L1797" s="249"/>
      <c r="M1797" s="249"/>
      <c r="N1797" s="249"/>
      <c r="T1797" s="249"/>
      <c r="U1797" s="249"/>
    </row>
    <row r="1798" spans="12:21">
      <c r="L1798" s="249"/>
      <c r="M1798" s="249"/>
      <c r="N1798" s="249"/>
      <c r="T1798" s="249"/>
      <c r="U1798" s="249"/>
    </row>
    <row r="1799" spans="12:21">
      <c r="L1799" s="249"/>
      <c r="M1799" s="249"/>
      <c r="N1799" s="249"/>
      <c r="T1799" s="249"/>
      <c r="U1799" s="249"/>
    </row>
    <row r="1800" spans="12:21">
      <c r="L1800" s="249"/>
      <c r="M1800" s="249"/>
      <c r="N1800" s="249"/>
      <c r="T1800" s="249"/>
      <c r="U1800" s="249"/>
    </row>
    <row r="1801" spans="12:21">
      <c r="L1801" s="249"/>
      <c r="M1801" s="249"/>
      <c r="N1801" s="249"/>
      <c r="T1801" s="249"/>
      <c r="U1801" s="249"/>
    </row>
    <row r="1802" spans="12:21">
      <c r="L1802" s="249"/>
      <c r="M1802" s="249"/>
      <c r="N1802" s="249"/>
      <c r="T1802" s="249"/>
      <c r="U1802" s="249"/>
    </row>
    <row r="1803" spans="12:21">
      <c r="L1803" s="249"/>
      <c r="M1803" s="249"/>
      <c r="N1803" s="249"/>
      <c r="T1803" s="249"/>
      <c r="U1803" s="249"/>
    </row>
    <row r="1804" spans="12:21">
      <c r="L1804" s="249"/>
      <c r="M1804" s="249"/>
      <c r="N1804" s="249"/>
      <c r="T1804" s="249"/>
      <c r="U1804" s="249"/>
    </row>
    <row r="1805" spans="12:21">
      <c r="L1805" s="249"/>
      <c r="M1805" s="249"/>
      <c r="N1805" s="249"/>
      <c r="T1805" s="249"/>
      <c r="U1805" s="249"/>
    </row>
    <row r="1806" spans="12:21">
      <c r="L1806" s="249"/>
      <c r="M1806" s="249"/>
      <c r="N1806" s="249"/>
      <c r="T1806" s="249"/>
      <c r="U1806" s="249"/>
    </row>
    <row r="1807" spans="12:21">
      <c r="L1807" s="249"/>
      <c r="M1807" s="249"/>
      <c r="N1807" s="249"/>
      <c r="T1807" s="249"/>
      <c r="U1807" s="249"/>
    </row>
    <row r="1808" spans="12:21">
      <c r="L1808" s="249"/>
      <c r="M1808" s="249"/>
      <c r="N1808" s="249"/>
      <c r="T1808" s="249"/>
      <c r="U1808" s="249"/>
    </row>
    <row r="1809" spans="12:21">
      <c r="L1809" s="249"/>
      <c r="M1809" s="249"/>
      <c r="N1809" s="249"/>
      <c r="T1809" s="249"/>
      <c r="U1809" s="249"/>
    </row>
    <row r="1810" spans="12:21">
      <c r="L1810" s="249"/>
      <c r="M1810" s="249"/>
      <c r="N1810" s="249"/>
      <c r="T1810" s="249"/>
      <c r="U1810" s="249"/>
    </row>
    <row r="1811" spans="12:21">
      <c r="L1811" s="249"/>
      <c r="M1811" s="249"/>
      <c r="N1811" s="249"/>
      <c r="T1811" s="249"/>
      <c r="U1811" s="249"/>
    </row>
    <row r="1812" spans="12:21">
      <c r="L1812" s="249"/>
      <c r="M1812" s="249"/>
      <c r="N1812" s="249"/>
      <c r="T1812" s="249"/>
      <c r="U1812" s="249"/>
    </row>
    <row r="1813" spans="12:21">
      <c r="L1813" s="249"/>
      <c r="M1813" s="249"/>
      <c r="N1813" s="249"/>
      <c r="T1813" s="249"/>
      <c r="U1813" s="249"/>
    </row>
    <row r="1814" spans="12:21">
      <c r="L1814" s="249"/>
      <c r="M1814" s="249"/>
      <c r="N1814" s="249"/>
      <c r="T1814" s="249"/>
      <c r="U1814" s="249"/>
    </row>
    <row r="1815" spans="12:21">
      <c r="L1815" s="249"/>
      <c r="M1815" s="249"/>
      <c r="N1815" s="249"/>
      <c r="T1815" s="249"/>
      <c r="U1815" s="249"/>
    </row>
    <row r="1816" spans="12:21">
      <c r="L1816" s="249"/>
      <c r="M1816" s="249"/>
      <c r="N1816" s="249"/>
      <c r="T1816" s="249"/>
      <c r="U1816" s="249"/>
    </row>
    <row r="1817" spans="12:21">
      <c r="L1817" s="249"/>
      <c r="M1817" s="249"/>
      <c r="N1817" s="249"/>
      <c r="T1817" s="249"/>
      <c r="U1817" s="249"/>
    </row>
    <row r="1818" spans="12:21">
      <c r="L1818" s="249"/>
      <c r="M1818" s="249"/>
      <c r="N1818" s="249"/>
      <c r="T1818" s="249"/>
      <c r="U1818" s="249"/>
    </row>
    <row r="1819" spans="12:21">
      <c r="L1819" s="249"/>
      <c r="M1819" s="249"/>
      <c r="N1819" s="249"/>
      <c r="T1819" s="249"/>
      <c r="U1819" s="249"/>
    </row>
    <row r="1820" spans="12:21">
      <c r="L1820" s="249"/>
      <c r="M1820" s="249"/>
      <c r="N1820" s="249"/>
      <c r="T1820" s="249"/>
      <c r="U1820" s="249"/>
    </row>
    <row r="1821" spans="12:21">
      <c r="L1821" s="249"/>
      <c r="M1821" s="249"/>
      <c r="N1821" s="249"/>
      <c r="T1821" s="249"/>
      <c r="U1821" s="249"/>
    </row>
    <row r="1822" spans="12:21">
      <c r="L1822" s="249"/>
      <c r="M1822" s="249"/>
      <c r="N1822" s="249"/>
      <c r="T1822" s="249"/>
      <c r="U1822" s="249"/>
    </row>
    <row r="1823" spans="12:21">
      <c r="L1823" s="249"/>
      <c r="M1823" s="249"/>
      <c r="N1823" s="249"/>
      <c r="T1823" s="249"/>
      <c r="U1823" s="249"/>
    </row>
    <row r="1824" spans="12:21">
      <c r="L1824" s="249"/>
      <c r="M1824" s="249"/>
      <c r="N1824" s="249"/>
      <c r="T1824" s="249"/>
      <c r="U1824" s="249"/>
    </row>
    <row r="1825" spans="12:21">
      <c r="L1825" s="249"/>
      <c r="M1825" s="249"/>
      <c r="N1825" s="249"/>
      <c r="T1825" s="249"/>
      <c r="U1825" s="249"/>
    </row>
    <row r="1826" spans="12:21">
      <c r="L1826" s="249"/>
      <c r="M1826" s="249"/>
      <c r="N1826" s="249"/>
      <c r="T1826" s="249"/>
      <c r="U1826" s="249"/>
    </row>
    <row r="1827" spans="12:21">
      <c r="L1827" s="249"/>
      <c r="M1827" s="249"/>
      <c r="N1827" s="249"/>
      <c r="T1827" s="249"/>
      <c r="U1827" s="249"/>
    </row>
    <row r="1828" spans="12:21">
      <c r="L1828" s="249"/>
      <c r="M1828" s="249"/>
      <c r="N1828" s="249"/>
      <c r="T1828" s="249"/>
      <c r="U1828" s="249"/>
    </row>
    <row r="1829" spans="12:21">
      <c r="L1829" s="249"/>
      <c r="M1829" s="249"/>
      <c r="N1829" s="249"/>
      <c r="T1829" s="249"/>
      <c r="U1829" s="249"/>
    </row>
    <row r="1830" spans="12:21">
      <c r="L1830" s="249"/>
      <c r="M1830" s="249"/>
      <c r="N1830" s="249"/>
      <c r="T1830" s="249"/>
      <c r="U1830" s="249"/>
    </row>
    <row r="1831" spans="12:21">
      <c r="L1831" s="249"/>
      <c r="M1831" s="249"/>
      <c r="N1831" s="249"/>
      <c r="T1831" s="249"/>
      <c r="U1831" s="249"/>
    </row>
    <row r="1832" spans="12:21">
      <c r="L1832" s="249"/>
      <c r="M1832" s="249"/>
      <c r="N1832" s="249"/>
      <c r="T1832" s="249"/>
      <c r="U1832" s="249"/>
    </row>
    <row r="1833" spans="12:21">
      <c r="L1833" s="249"/>
      <c r="M1833" s="249"/>
      <c r="N1833" s="249"/>
      <c r="T1833" s="249"/>
      <c r="U1833" s="249"/>
    </row>
    <row r="1834" spans="12:21">
      <c r="L1834" s="249"/>
      <c r="M1834" s="249"/>
      <c r="N1834" s="249"/>
      <c r="T1834" s="249"/>
      <c r="U1834" s="249"/>
    </row>
    <row r="1835" spans="12:21">
      <c r="L1835" s="249"/>
      <c r="M1835" s="249"/>
      <c r="N1835" s="249"/>
      <c r="T1835" s="249"/>
      <c r="U1835" s="249"/>
    </row>
    <row r="1836" spans="12:21">
      <c r="L1836" s="249"/>
      <c r="M1836" s="249"/>
      <c r="N1836" s="249"/>
      <c r="T1836" s="249"/>
      <c r="U1836" s="249"/>
    </row>
    <row r="1837" spans="12:21">
      <c r="L1837" s="249"/>
      <c r="M1837" s="249"/>
      <c r="N1837" s="249"/>
      <c r="T1837" s="249"/>
      <c r="U1837" s="249"/>
    </row>
    <row r="1838" spans="12:21">
      <c r="L1838" s="249"/>
      <c r="M1838" s="249"/>
      <c r="N1838" s="249"/>
      <c r="T1838" s="249"/>
      <c r="U1838" s="249"/>
    </row>
    <row r="1839" spans="12:21">
      <c r="L1839" s="249"/>
      <c r="M1839" s="249"/>
      <c r="N1839" s="249"/>
      <c r="T1839" s="249"/>
      <c r="U1839" s="249"/>
    </row>
    <row r="1840" spans="12:21">
      <c r="L1840" s="249"/>
      <c r="M1840" s="249"/>
      <c r="N1840" s="249"/>
      <c r="T1840" s="249"/>
      <c r="U1840" s="249"/>
    </row>
    <row r="1841" spans="12:21">
      <c r="L1841" s="249"/>
      <c r="M1841" s="249"/>
      <c r="N1841" s="249"/>
      <c r="T1841" s="249"/>
      <c r="U1841" s="249"/>
    </row>
    <row r="1842" spans="12:21">
      <c r="L1842" s="249"/>
      <c r="M1842" s="249"/>
      <c r="N1842" s="249"/>
      <c r="T1842" s="249"/>
      <c r="U1842" s="249"/>
    </row>
    <row r="1843" spans="12:21">
      <c r="L1843" s="249"/>
      <c r="M1843" s="249"/>
      <c r="N1843" s="249"/>
      <c r="T1843" s="249"/>
      <c r="U1843" s="249"/>
    </row>
    <row r="1844" spans="12:21">
      <c r="L1844" s="249"/>
      <c r="M1844" s="249"/>
      <c r="N1844" s="249"/>
      <c r="T1844" s="249"/>
      <c r="U1844" s="249"/>
    </row>
    <row r="1845" spans="12:21">
      <c r="L1845" s="249"/>
      <c r="M1845" s="249"/>
      <c r="N1845" s="249"/>
      <c r="T1845" s="249"/>
      <c r="U1845" s="249"/>
    </row>
    <row r="1846" spans="12:21">
      <c r="L1846" s="249"/>
      <c r="M1846" s="249"/>
      <c r="N1846" s="249"/>
      <c r="T1846" s="249"/>
      <c r="U1846" s="249"/>
    </row>
    <row r="1847" spans="12:21">
      <c r="L1847" s="249"/>
      <c r="M1847" s="249"/>
      <c r="N1847" s="249"/>
      <c r="T1847" s="249"/>
      <c r="U1847" s="249"/>
    </row>
    <row r="1848" spans="12:21">
      <c r="L1848" s="249"/>
      <c r="M1848" s="249"/>
      <c r="N1848" s="249"/>
      <c r="T1848" s="249"/>
      <c r="U1848" s="249"/>
    </row>
    <row r="1849" spans="12:21">
      <c r="L1849" s="249"/>
      <c r="M1849" s="249"/>
      <c r="N1849" s="249"/>
      <c r="T1849" s="249"/>
      <c r="U1849" s="249"/>
    </row>
    <row r="1850" spans="12:21">
      <c r="L1850" s="249"/>
      <c r="M1850" s="249"/>
      <c r="N1850" s="249"/>
      <c r="T1850" s="249"/>
      <c r="U1850" s="249"/>
    </row>
    <row r="1851" spans="12:21">
      <c r="L1851" s="249"/>
      <c r="M1851" s="249"/>
      <c r="N1851" s="249"/>
      <c r="T1851" s="249"/>
      <c r="U1851" s="249"/>
    </row>
    <row r="1852" spans="12:21">
      <c r="L1852" s="249"/>
      <c r="M1852" s="249"/>
      <c r="N1852" s="249"/>
      <c r="T1852" s="249"/>
      <c r="U1852" s="249"/>
    </row>
    <row r="1853" spans="12:21">
      <c r="L1853" s="249"/>
      <c r="M1853" s="249"/>
      <c r="N1853" s="249"/>
      <c r="T1853" s="249"/>
      <c r="U1853" s="249"/>
    </row>
    <row r="1854" spans="12:21">
      <c r="L1854" s="249"/>
      <c r="M1854" s="249"/>
      <c r="N1854" s="249"/>
      <c r="T1854" s="249"/>
      <c r="U1854" s="249"/>
    </row>
    <row r="1855" spans="12:21">
      <c r="L1855" s="249"/>
      <c r="M1855" s="249"/>
      <c r="N1855" s="249"/>
      <c r="T1855" s="249"/>
      <c r="U1855" s="249"/>
    </row>
    <row r="1856" spans="12:21">
      <c r="L1856" s="249"/>
      <c r="M1856" s="249"/>
      <c r="N1856" s="249"/>
      <c r="T1856" s="249"/>
      <c r="U1856" s="249"/>
    </row>
    <row r="1857" spans="12:21">
      <c r="L1857" s="249"/>
      <c r="M1857" s="249"/>
      <c r="N1857" s="249"/>
      <c r="T1857" s="249"/>
      <c r="U1857" s="249"/>
    </row>
    <row r="1858" spans="12:21">
      <c r="L1858" s="249"/>
      <c r="M1858" s="249"/>
      <c r="N1858" s="249"/>
      <c r="T1858" s="249"/>
      <c r="U1858" s="249"/>
    </row>
    <row r="1859" spans="12:21">
      <c r="L1859" s="249"/>
      <c r="M1859" s="249"/>
      <c r="N1859" s="249"/>
      <c r="T1859" s="249"/>
      <c r="U1859" s="249"/>
    </row>
    <row r="1860" spans="12:21">
      <c r="L1860" s="249"/>
      <c r="M1860" s="249"/>
      <c r="N1860" s="249"/>
      <c r="T1860" s="249"/>
      <c r="U1860" s="249"/>
    </row>
    <row r="1861" spans="12:21">
      <c r="L1861" s="249"/>
      <c r="M1861" s="249"/>
      <c r="N1861" s="249"/>
      <c r="T1861" s="249"/>
      <c r="U1861" s="249"/>
    </row>
    <row r="1862" spans="12:21">
      <c r="L1862" s="249"/>
      <c r="M1862" s="249"/>
      <c r="N1862" s="249"/>
      <c r="T1862" s="249"/>
      <c r="U1862" s="249"/>
    </row>
    <row r="1863" spans="12:21">
      <c r="L1863" s="249"/>
      <c r="M1863" s="249"/>
      <c r="N1863" s="249"/>
      <c r="T1863" s="249"/>
      <c r="U1863" s="249"/>
    </row>
    <row r="1864" spans="12:21">
      <c r="L1864" s="249"/>
      <c r="M1864" s="249"/>
      <c r="N1864" s="249"/>
      <c r="T1864" s="249"/>
      <c r="U1864" s="249"/>
    </row>
    <row r="1865" spans="12:21">
      <c r="L1865" s="249"/>
      <c r="M1865" s="249"/>
      <c r="N1865" s="249"/>
      <c r="T1865" s="249"/>
      <c r="U1865" s="249"/>
    </row>
    <row r="1866" spans="12:21">
      <c r="L1866" s="249"/>
      <c r="M1866" s="249"/>
      <c r="N1866" s="249"/>
      <c r="T1866" s="249"/>
      <c r="U1866" s="249"/>
    </row>
    <row r="1867" spans="12:21">
      <c r="L1867" s="249"/>
      <c r="M1867" s="249"/>
      <c r="N1867" s="249"/>
      <c r="T1867" s="249"/>
      <c r="U1867" s="249"/>
    </row>
    <row r="1868" spans="12:21">
      <c r="L1868" s="249"/>
      <c r="M1868" s="249"/>
      <c r="N1868" s="249"/>
      <c r="T1868" s="249"/>
      <c r="U1868" s="249"/>
    </row>
    <row r="1869" spans="12:21">
      <c r="L1869" s="249"/>
      <c r="M1869" s="249"/>
      <c r="N1869" s="249"/>
      <c r="T1869" s="249"/>
      <c r="U1869" s="249"/>
    </row>
    <row r="1870" spans="12:21">
      <c r="L1870" s="249"/>
      <c r="M1870" s="249"/>
      <c r="N1870" s="249"/>
      <c r="T1870" s="249"/>
      <c r="U1870" s="249"/>
    </row>
    <row r="1871" spans="12:21">
      <c r="L1871" s="249"/>
      <c r="M1871" s="249"/>
      <c r="N1871" s="249"/>
      <c r="T1871" s="249"/>
      <c r="U1871" s="249"/>
    </row>
    <row r="1872" spans="12:21">
      <c r="L1872" s="249"/>
      <c r="M1872" s="249"/>
      <c r="N1872" s="249"/>
      <c r="T1872" s="249"/>
      <c r="U1872" s="249"/>
    </row>
    <row r="1873" spans="12:21">
      <c r="L1873" s="249"/>
      <c r="M1873" s="249"/>
      <c r="N1873" s="249"/>
      <c r="T1873" s="249"/>
      <c r="U1873" s="249"/>
    </row>
    <row r="1874" spans="12:21">
      <c r="L1874" s="249"/>
      <c r="M1874" s="249"/>
      <c r="N1874" s="249"/>
      <c r="T1874" s="249"/>
      <c r="U1874" s="249"/>
    </row>
    <row r="1875" spans="12:21">
      <c r="L1875" s="249"/>
      <c r="M1875" s="249"/>
      <c r="N1875" s="249"/>
      <c r="T1875" s="249"/>
      <c r="U1875" s="249"/>
    </row>
    <row r="1876" spans="12:21">
      <c r="L1876" s="249"/>
      <c r="M1876" s="249"/>
      <c r="N1876" s="249"/>
      <c r="T1876" s="249"/>
      <c r="U1876" s="249"/>
    </row>
    <row r="1877" spans="12:21">
      <c r="L1877" s="249"/>
      <c r="M1877" s="249"/>
      <c r="N1877" s="249"/>
      <c r="T1877" s="249"/>
      <c r="U1877" s="249"/>
    </row>
    <row r="1878" spans="12:21">
      <c r="L1878" s="249"/>
      <c r="M1878" s="249"/>
      <c r="N1878" s="249"/>
      <c r="T1878" s="249"/>
      <c r="U1878" s="249"/>
    </row>
    <row r="1879" spans="12:21">
      <c r="L1879" s="249"/>
      <c r="M1879" s="249"/>
      <c r="N1879" s="249"/>
      <c r="T1879" s="249"/>
      <c r="U1879" s="249"/>
    </row>
    <row r="1880" spans="12:21">
      <c r="L1880" s="249"/>
      <c r="M1880" s="249"/>
      <c r="N1880" s="249"/>
      <c r="T1880" s="249"/>
      <c r="U1880" s="249"/>
    </row>
    <row r="1881" spans="12:21">
      <c r="L1881" s="249"/>
      <c r="M1881" s="249"/>
      <c r="N1881" s="249"/>
      <c r="T1881" s="249"/>
      <c r="U1881" s="249"/>
    </row>
    <row r="1882" spans="12:21">
      <c r="L1882" s="249"/>
      <c r="M1882" s="249"/>
      <c r="N1882" s="249"/>
      <c r="T1882" s="249"/>
      <c r="U1882" s="249"/>
    </row>
    <row r="1883" spans="12:21">
      <c r="L1883" s="249"/>
      <c r="M1883" s="249"/>
      <c r="N1883" s="249"/>
      <c r="T1883" s="249"/>
      <c r="U1883" s="249"/>
    </row>
    <row r="1884" spans="12:21">
      <c r="L1884" s="249"/>
      <c r="M1884" s="249"/>
      <c r="N1884" s="249"/>
      <c r="T1884" s="249"/>
      <c r="U1884" s="249"/>
    </row>
    <row r="1885" spans="12:21">
      <c r="L1885" s="249"/>
      <c r="M1885" s="249"/>
      <c r="N1885" s="249"/>
      <c r="T1885" s="249"/>
      <c r="U1885" s="249"/>
    </row>
    <row r="1886" spans="12:21">
      <c r="L1886" s="249"/>
      <c r="M1886" s="249"/>
      <c r="N1886" s="249"/>
      <c r="T1886" s="249"/>
      <c r="U1886" s="249"/>
    </row>
    <row r="1887" spans="12:21">
      <c r="L1887" s="249"/>
      <c r="M1887" s="249"/>
      <c r="N1887" s="249"/>
      <c r="T1887" s="249"/>
      <c r="U1887" s="249"/>
    </row>
    <row r="1888" spans="12:21">
      <c r="L1888" s="249"/>
      <c r="M1888" s="249"/>
      <c r="N1888" s="249"/>
      <c r="T1888" s="249"/>
      <c r="U1888" s="249"/>
    </row>
    <row r="1889" spans="12:21">
      <c r="L1889" s="249"/>
      <c r="M1889" s="249"/>
      <c r="N1889" s="249"/>
      <c r="T1889" s="249"/>
      <c r="U1889" s="249"/>
    </row>
    <row r="1890" spans="12:21">
      <c r="L1890" s="249"/>
      <c r="M1890" s="249"/>
      <c r="N1890" s="249"/>
      <c r="T1890" s="249"/>
      <c r="U1890" s="249"/>
    </row>
    <row r="1891" spans="12:21">
      <c r="L1891" s="249"/>
      <c r="M1891" s="249"/>
      <c r="N1891" s="249"/>
      <c r="T1891" s="249"/>
      <c r="U1891" s="249"/>
    </row>
    <row r="1892" spans="12:21">
      <c r="L1892" s="249"/>
      <c r="M1892" s="249"/>
      <c r="N1892" s="249"/>
      <c r="T1892" s="249"/>
      <c r="U1892" s="249"/>
    </row>
    <row r="1893" spans="12:21">
      <c r="L1893" s="249"/>
      <c r="M1893" s="249"/>
      <c r="N1893" s="249"/>
      <c r="T1893" s="249"/>
      <c r="U1893" s="249"/>
    </row>
    <row r="1894" spans="12:21">
      <c r="L1894" s="249"/>
      <c r="M1894" s="249"/>
      <c r="N1894" s="249"/>
      <c r="T1894" s="249"/>
      <c r="U1894" s="249"/>
    </row>
    <row r="1895" spans="12:21">
      <c r="L1895" s="249"/>
      <c r="M1895" s="249"/>
      <c r="N1895" s="249"/>
      <c r="T1895" s="249"/>
      <c r="U1895" s="249"/>
    </row>
    <row r="1896" spans="12:21">
      <c r="L1896" s="249"/>
      <c r="M1896" s="249"/>
      <c r="N1896" s="249"/>
      <c r="T1896" s="249"/>
      <c r="U1896" s="249"/>
    </row>
    <row r="1897" spans="12:21">
      <c r="L1897" s="249"/>
      <c r="M1897" s="249"/>
      <c r="N1897" s="249"/>
      <c r="T1897" s="249"/>
      <c r="U1897" s="249"/>
    </row>
    <row r="1898" spans="12:21">
      <c r="L1898" s="249"/>
      <c r="M1898" s="249"/>
      <c r="N1898" s="249"/>
      <c r="T1898" s="249"/>
      <c r="U1898" s="249"/>
    </row>
    <row r="1899" spans="12:21">
      <c r="L1899" s="249"/>
      <c r="M1899" s="249"/>
      <c r="N1899" s="249"/>
      <c r="T1899" s="249"/>
      <c r="U1899" s="249"/>
    </row>
    <row r="1900" spans="12:21">
      <c r="L1900" s="249"/>
      <c r="M1900" s="249"/>
      <c r="N1900" s="249"/>
      <c r="T1900" s="249"/>
      <c r="U1900" s="249"/>
    </row>
    <row r="1901" spans="12:21">
      <c r="L1901" s="249"/>
      <c r="M1901" s="249"/>
      <c r="N1901" s="249"/>
      <c r="T1901" s="249"/>
      <c r="U1901" s="249"/>
    </row>
    <row r="1902" spans="12:21">
      <c r="L1902" s="249"/>
      <c r="M1902" s="249"/>
      <c r="N1902" s="249"/>
      <c r="T1902" s="249"/>
      <c r="U1902" s="249"/>
    </row>
    <row r="1903" spans="12:21">
      <c r="L1903" s="249"/>
      <c r="M1903" s="249"/>
      <c r="N1903" s="249"/>
      <c r="T1903" s="249"/>
      <c r="U1903" s="249"/>
    </row>
    <row r="1904" spans="12:21">
      <c r="L1904" s="249"/>
      <c r="M1904" s="249"/>
      <c r="N1904" s="249"/>
      <c r="T1904" s="249"/>
      <c r="U1904" s="249"/>
    </row>
    <row r="1905" spans="12:21">
      <c r="L1905" s="249"/>
      <c r="M1905" s="249"/>
      <c r="N1905" s="249"/>
      <c r="T1905" s="249"/>
      <c r="U1905" s="249"/>
    </row>
    <row r="1906" spans="12:21">
      <c r="L1906" s="249"/>
      <c r="M1906" s="249"/>
      <c r="N1906" s="249"/>
      <c r="T1906" s="249"/>
      <c r="U1906" s="249"/>
    </row>
    <row r="1907" spans="12:21">
      <c r="L1907" s="249"/>
      <c r="M1907" s="249"/>
      <c r="N1907" s="249"/>
      <c r="T1907" s="249"/>
      <c r="U1907" s="249"/>
    </row>
    <row r="1908" spans="12:21">
      <c r="L1908" s="249"/>
      <c r="M1908" s="249"/>
      <c r="N1908" s="249"/>
      <c r="T1908" s="249"/>
      <c r="U1908" s="249"/>
    </row>
    <row r="1909" spans="12:21">
      <c r="L1909" s="249"/>
      <c r="M1909" s="249"/>
      <c r="N1909" s="249"/>
      <c r="T1909" s="249"/>
      <c r="U1909" s="249"/>
    </row>
    <row r="1910" spans="12:21">
      <c r="L1910" s="249"/>
      <c r="M1910" s="249"/>
      <c r="N1910" s="249"/>
      <c r="T1910" s="249"/>
      <c r="U1910" s="249"/>
    </row>
    <row r="1911" spans="12:21">
      <c r="L1911" s="249"/>
      <c r="M1911" s="249"/>
      <c r="N1911" s="249"/>
      <c r="T1911" s="249"/>
      <c r="U1911" s="249"/>
    </row>
    <row r="1912" spans="12:21">
      <c r="L1912" s="249"/>
      <c r="M1912" s="249"/>
      <c r="N1912" s="249"/>
      <c r="T1912" s="249"/>
      <c r="U1912" s="249"/>
    </row>
    <row r="1913" spans="12:21">
      <c r="L1913" s="249"/>
      <c r="M1913" s="249"/>
      <c r="N1913" s="249"/>
      <c r="T1913" s="249"/>
      <c r="U1913" s="249"/>
    </row>
    <row r="1914" spans="12:21">
      <c r="L1914" s="249"/>
      <c r="M1914" s="249"/>
      <c r="N1914" s="249"/>
      <c r="T1914" s="249"/>
      <c r="U1914" s="249"/>
    </row>
    <row r="1915" spans="12:21">
      <c r="L1915" s="249"/>
      <c r="M1915" s="249"/>
      <c r="N1915" s="249"/>
      <c r="T1915" s="249"/>
      <c r="U1915" s="249"/>
    </row>
    <row r="1916" spans="12:21">
      <c r="L1916" s="249"/>
      <c r="M1916" s="249"/>
      <c r="N1916" s="249"/>
      <c r="T1916" s="249"/>
      <c r="U1916" s="249"/>
    </row>
    <row r="1917" spans="12:21">
      <c r="L1917" s="249"/>
      <c r="M1917" s="249"/>
      <c r="N1917" s="249"/>
      <c r="T1917" s="249"/>
      <c r="U1917" s="249"/>
    </row>
    <row r="1918" spans="12:21">
      <c r="L1918" s="249"/>
      <c r="M1918" s="249"/>
      <c r="N1918" s="249"/>
      <c r="T1918" s="249"/>
      <c r="U1918" s="249"/>
    </row>
    <row r="1919" spans="12:21">
      <c r="L1919" s="249"/>
      <c r="M1919" s="249"/>
      <c r="N1919" s="249"/>
      <c r="T1919" s="249"/>
      <c r="U1919" s="249"/>
    </row>
    <row r="1920" spans="12:21">
      <c r="L1920" s="249"/>
      <c r="M1920" s="249"/>
      <c r="N1920" s="249"/>
      <c r="T1920" s="249"/>
      <c r="U1920" s="249"/>
    </row>
  </sheetData>
  <mergeCells count="74">
    <mergeCell ref="B659:C673"/>
    <mergeCell ref="B719:C733"/>
    <mergeCell ref="B734:C748"/>
    <mergeCell ref="A734:A748"/>
    <mergeCell ref="A719:A733"/>
    <mergeCell ref="B689:C703"/>
    <mergeCell ref="B704:C718"/>
    <mergeCell ref="A516:A718"/>
    <mergeCell ref="B644:C658"/>
    <mergeCell ref="B674:C688"/>
    <mergeCell ref="B533:C549"/>
    <mergeCell ref="B550:C566"/>
    <mergeCell ref="B567:C581"/>
    <mergeCell ref="B597:C611"/>
    <mergeCell ref="B627:C643"/>
    <mergeCell ref="B582:C596"/>
    <mergeCell ref="C88:C102"/>
    <mergeCell ref="A13:C14"/>
    <mergeCell ref="D13:D14"/>
    <mergeCell ref="C133:C147"/>
    <mergeCell ref="C270:C284"/>
    <mergeCell ref="C103:C117"/>
    <mergeCell ref="B73:B117"/>
    <mergeCell ref="B238:C252"/>
    <mergeCell ref="C118:C132"/>
    <mergeCell ref="C148:C162"/>
    <mergeCell ref="B118:B162"/>
    <mergeCell ref="B163:C177"/>
    <mergeCell ref="B178:C192"/>
    <mergeCell ref="B193:C207"/>
    <mergeCell ref="B208:C222"/>
    <mergeCell ref="B223:C237"/>
    <mergeCell ref="A409:A470"/>
    <mergeCell ref="A471:A515"/>
    <mergeCell ref="A22:A207"/>
    <mergeCell ref="A208:A252"/>
    <mergeCell ref="A330:A346"/>
    <mergeCell ref="A347:A408"/>
    <mergeCell ref="A253:A329"/>
    <mergeCell ref="V1:W1"/>
    <mergeCell ref="C6:W6"/>
    <mergeCell ref="C7:W7"/>
    <mergeCell ref="C8:W8"/>
    <mergeCell ref="C73:C87"/>
    <mergeCell ref="W13:W14"/>
    <mergeCell ref="E13:E14"/>
    <mergeCell ref="V13:V14"/>
    <mergeCell ref="A15:W15"/>
    <mergeCell ref="A16:C18"/>
    <mergeCell ref="A19:C21"/>
    <mergeCell ref="B56:C72"/>
    <mergeCell ref="B22:C38"/>
    <mergeCell ref="B39:C55"/>
    <mergeCell ref="F13:U13"/>
    <mergeCell ref="B330:C346"/>
    <mergeCell ref="B347:C363"/>
    <mergeCell ref="B253:C269"/>
    <mergeCell ref="C300:C314"/>
    <mergeCell ref="B364:C378"/>
    <mergeCell ref="C285:C299"/>
    <mergeCell ref="B270:B299"/>
    <mergeCell ref="C315:C329"/>
    <mergeCell ref="B300:B329"/>
    <mergeCell ref="B379:C393"/>
    <mergeCell ref="B394:C408"/>
    <mergeCell ref="B409:C425"/>
    <mergeCell ref="B426:C440"/>
    <mergeCell ref="B441:C455"/>
    <mergeCell ref="B612:C626"/>
    <mergeCell ref="B456:C470"/>
    <mergeCell ref="B471:C485"/>
    <mergeCell ref="B486:C500"/>
    <mergeCell ref="B501:C515"/>
    <mergeCell ref="B516:C532"/>
  </mergeCells>
  <pageMargins left="0.19685039370078741" right="0.31496062992125984" top="0.19685039370078741" bottom="0.31496062992125984" header="0.19685039370078741" footer="0.31496062992125984"/>
  <pageSetup paperSize="9" scale="26" fitToHeight="2" orientation="portrait" r:id="rId1"/>
  <rowBreaks count="3" manualBreakCount="3">
    <brk id="363" max="22" man="1"/>
    <brk id="532" max="22" man="1"/>
    <brk id="596" max="2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C000"/>
  </sheetPr>
  <dimension ref="A1:AB1920"/>
  <sheetViews>
    <sheetView view="pageBreakPreview" zoomScale="70" zoomScaleNormal="70" zoomScaleSheetLayoutView="70" workbookViewId="0">
      <pane xSplit="5" ySplit="15" topLeftCell="I639" activePane="bottomRight" state="frozen"/>
      <selection activeCell="E367" sqref="E367:G367"/>
      <selection pane="topRight" activeCell="E367" sqref="E367:G367"/>
      <selection pane="bottomLeft" activeCell="E367" sqref="E367:G367"/>
      <selection pane="bottomRight" activeCell="P654" sqref="P654"/>
    </sheetView>
  </sheetViews>
  <sheetFormatPr defaultColWidth="9.33203125" defaultRowHeight="12.55"/>
  <cols>
    <col min="1" max="1" width="10.44140625" style="249" customWidth="1"/>
    <col min="2" max="2" width="6.44140625" style="249" customWidth="1"/>
    <col min="3" max="3" width="7" style="155" customWidth="1"/>
    <col min="4" max="4" width="32" style="155" bestFit="1" customWidth="1"/>
    <col min="5" max="5" width="16.44140625" style="1" customWidth="1"/>
    <col min="6" max="6" width="12.44140625" style="15" customWidth="1"/>
    <col min="7" max="11" width="11.44140625" style="15" customWidth="1"/>
    <col min="12" max="12" width="12" style="16" customWidth="1"/>
    <col min="13" max="13" width="11.44140625" style="16" customWidth="1"/>
    <col min="14" max="14" width="12.33203125" style="17" customWidth="1"/>
    <col min="15" max="17" width="11.44140625" style="15" customWidth="1"/>
    <col min="18" max="18" width="13" style="15" customWidth="1"/>
    <col min="19" max="19" width="12" style="15" customWidth="1"/>
    <col min="20" max="20" width="13.44140625" style="16" customWidth="1"/>
    <col min="21" max="21" width="13.5546875" style="16" customWidth="1"/>
    <col min="22" max="22" width="15.44140625" style="78" customWidth="1"/>
    <col min="23" max="23" width="12.6640625" style="15" customWidth="1"/>
    <col min="24" max="24" width="13.6640625" style="13" customWidth="1"/>
    <col min="25" max="25" width="9.6640625" style="13" bestFit="1" customWidth="1"/>
    <col min="26" max="27" width="14.5546875" style="13" customWidth="1"/>
    <col min="28" max="16384" width="9.33203125" style="13"/>
  </cols>
  <sheetData>
    <row r="1" spans="1:27" s="377" customFormat="1" ht="25.7" customHeight="1">
      <c r="A1" s="543" t="s">
        <v>42</v>
      </c>
      <c r="B1" s="343"/>
      <c r="C1" s="372"/>
      <c r="D1" s="372"/>
      <c r="E1" s="519" t="s">
        <v>131</v>
      </c>
      <c r="F1" s="472">
        <v>3777</v>
      </c>
      <c r="G1" s="472">
        <v>213657</v>
      </c>
      <c r="H1" s="472">
        <v>292181</v>
      </c>
      <c r="I1" s="472">
        <v>189793</v>
      </c>
      <c r="J1" s="472">
        <v>63493</v>
      </c>
      <c r="K1" s="472">
        <v>52882</v>
      </c>
      <c r="L1" s="472"/>
      <c r="M1" s="472"/>
      <c r="N1" s="472">
        <v>44979</v>
      </c>
      <c r="O1" s="472">
        <v>43271</v>
      </c>
      <c r="P1" s="472">
        <v>61292</v>
      </c>
      <c r="Q1" s="472">
        <v>75825</v>
      </c>
      <c r="R1" s="472">
        <v>55445</v>
      </c>
      <c r="S1" s="472">
        <v>466575</v>
      </c>
      <c r="T1" s="472">
        <v>1563170</v>
      </c>
      <c r="U1" s="329">
        <v>1563.17</v>
      </c>
      <c r="V1" s="681" t="s">
        <v>3</v>
      </c>
      <c r="W1" s="681"/>
    </row>
    <row r="2" spans="1:27" ht="18.2" customHeight="1">
      <c r="E2" s="385"/>
      <c r="F2" s="476">
        <f>F1/1000</f>
        <v>3.7770000000000001</v>
      </c>
      <c r="G2" s="476">
        <f t="shared" ref="G2:K2" si="0">G1/1000</f>
        <v>213.65700000000001</v>
      </c>
      <c r="H2" s="476">
        <f t="shared" si="0"/>
        <v>292.18099999999998</v>
      </c>
      <c r="I2" s="476">
        <f t="shared" si="0"/>
        <v>189.79300000000001</v>
      </c>
      <c r="J2" s="476">
        <f t="shared" si="0"/>
        <v>63.493000000000002</v>
      </c>
      <c r="K2" s="476">
        <f t="shared" si="0"/>
        <v>52.881999999999998</v>
      </c>
      <c r="L2" s="476"/>
      <c r="M2" s="476"/>
      <c r="N2" s="476">
        <f>N1/1000</f>
        <v>44.978999999999999</v>
      </c>
      <c r="O2" s="476">
        <f t="shared" ref="O2:S2" si="1">O1/1000</f>
        <v>43.271000000000001</v>
      </c>
      <c r="P2" s="476">
        <f t="shared" si="1"/>
        <v>61.292000000000002</v>
      </c>
      <c r="Q2" s="476">
        <f t="shared" si="1"/>
        <v>75.825000000000003</v>
      </c>
      <c r="R2" s="476">
        <f t="shared" si="1"/>
        <v>55.445</v>
      </c>
      <c r="S2" s="476">
        <f t="shared" si="1"/>
        <v>466.57499999999999</v>
      </c>
      <c r="T2" s="479">
        <f>SUM(F2:S2)</f>
        <v>1563.17</v>
      </c>
      <c r="U2" s="329">
        <f>U1-V19</f>
        <v>0</v>
      </c>
    </row>
    <row r="3" spans="1:27" s="459" customFormat="1" ht="16.3">
      <c r="A3" s="456"/>
      <c r="B3" s="456"/>
      <c r="C3" s="155"/>
      <c r="D3" s="155"/>
      <c r="E3" s="385"/>
      <c r="F3" s="477">
        <f>F2-F17-F18</f>
        <v>0</v>
      </c>
      <c r="G3" s="477">
        <f t="shared" ref="G3:K3" si="2">G2-G17-G18</f>
        <v>0</v>
      </c>
      <c r="H3" s="477">
        <f t="shared" si="2"/>
        <v>0</v>
      </c>
      <c r="I3" s="477">
        <f t="shared" si="2"/>
        <v>0</v>
      </c>
      <c r="J3" s="477">
        <f t="shared" si="2"/>
        <v>0</v>
      </c>
      <c r="K3" s="477">
        <f t="shared" si="2"/>
        <v>0</v>
      </c>
      <c r="L3" s="477"/>
      <c r="M3" s="477"/>
      <c r="N3" s="477">
        <f>N2-N17-N18</f>
        <v>0</v>
      </c>
      <c r="O3" s="477">
        <f t="shared" ref="O3" si="3">O2-O17-O18</f>
        <v>0</v>
      </c>
      <c r="P3" s="477">
        <f t="shared" ref="P3" si="4">P2-P17-P18</f>
        <v>0</v>
      </c>
      <c r="Q3" s="477">
        <f t="shared" ref="Q3" si="5">Q2-Q17-Q18</f>
        <v>0</v>
      </c>
      <c r="R3" s="477">
        <f t="shared" ref="R3" si="6">R2-R17-R18</f>
        <v>0</v>
      </c>
      <c r="S3" s="477">
        <f t="shared" ref="S3" si="7">S2-S17-S18</f>
        <v>0</v>
      </c>
      <c r="T3" s="478">
        <f>SUM(F3:S3)</f>
        <v>0</v>
      </c>
      <c r="U3" s="329">
        <f>U1-V16</f>
        <v>0</v>
      </c>
      <c r="V3" s="458"/>
      <c r="W3" s="457"/>
    </row>
    <row r="4" spans="1:27" ht="19.45" customHeight="1">
      <c r="L4" s="15"/>
      <c r="M4" s="15"/>
      <c r="N4" s="15"/>
      <c r="T4" s="15"/>
      <c r="U4" s="15"/>
    </row>
    <row r="5" spans="1:27" s="3" customFormat="1" ht="26.3" customHeight="1">
      <c r="A5" s="155"/>
      <c r="B5" s="155"/>
      <c r="F5" s="425"/>
      <c r="G5" s="437"/>
      <c r="H5" s="437"/>
      <c r="I5" s="436"/>
      <c r="J5" s="436"/>
      <c r="K5" s="2"/>
      <c r="L5" s="2"/>
      <c r="M5" s="2"/>
      <c r="N5" s="332"/>
      <c r="O5" s="332"/>
      <c r="P5" s="111"/>
      <c r="Q5" s="2"/>
      <c r="R5" s="2"/>
      <c r="S5" s="1"/>
      <c r="T5" s="1"/>
      <c r="U5" s="1"/>
      <c r="Y5" s="311"/>
      <c r="Z5" s="310"/>
      <c r="AA5" s="312"/>
    </row>
    <row r="6" spans="1:27" s="7" customFormat="1" ht="17.55">
      <c r="A6" s="162"/>
      <c r="B6" s="162"/>
      <c r="C6" s="680" t="s">
        <v>85</v>
      </c>
      <c r="D6" s="680"/>
      <c r="E6" s="680"/>
      <c r="F6" s="680"/>
      <c r="G6" s="680"/>
      <c r="H6" s="680"/>
      <c r="I6" s="680"/>
      <c r="J6" s="680"/>
      <c r="K6" s="680"/>
      <c r="L6" s="680"/>
      <c r="M6" s="680"/>
      <c r="N6" s="680"/>
      <c r="O6" s="680"/>
      <c r="P6" s="680"/>
      <c r="Q6" s="680"/>
      <c r="R6" s="680"/>
      <c r="S6" s="680"/>
      <c r="T6" s="680"/>
      <c r="U6" s="680"/>
      <c r="V6" s="680"/>
      <c r="W6" s="680"/>
      <c r="Y6" s="163"/>
      <c r="Z6" s="293"/>
      <c r="AA6" s="270"/>
    </row>
    <row r="7" spans="1:27" s="7" customFormat="1" ht="15.65">
      <c r="A7" s="162"/>
      <c r="B7" s="162"/>
      <c r="C7" s="674" t="s">
        <v>43</v>
      </c>
      <c r="D7" s="674"/>
      <c r="E7" s="674"/>
      <c r="F7" s="674"/>
      <c r="G7" s="674"/>
      <c r="H7" s="674"/>
      <c r="I7" s="674"/>
      <c r="J7" s="674"/>
      <c r="K7" s="674"/>
      <c r="L7" s="674"/>
      <c r="M7" s="674"/>
      <c r="N7" s="674"/>
      <c r="O7" s="674"/>
      <c r="P7" s="674"/>
      <c r="Q7" s="674"/>
      <c r="R7" s="674"/>
      <c r="S7" s="674"/>
      <c r="T7" s="674"/>
      <c r="U7" s="674"/>
      <c r="V7" s="674"/>
      <c r="W7" s="674"/>
      <c r="Y7" s="163"/>
      <c r="Z7" s="293"/>
      <c r="AA7" s="270"/>
    </row>
    <row r="8" spans="1:27" s="7" customFormat="1" ht="15.65">
      <c r="A8" s="162"/>
      <c r="B8" s="162"/>
      <c r="C8" s="613" t="str">
        <f>серпень!C8</f>
        <v>станом на 01.09.2025</v>
      </c>
      <c r="D8" s="613"/>
      <c r="E8" s="613"/>
      <c r="F8" s="613"/>
      <c r="G8" s="613"/>
      <c r="H8" s="613"/>
      <c r="I8" s="613"/>
      <c r="J8" s="613"/>
      <c r="K8" s="613"/>
      <c r="L8" s="613"/>
      <c r="M8" s="613"/>
      <c r="N8" s="613"/>
      <c r="O8" s="613"/>
      <c r="P8" s="613"/>
      <c r="Q8" s="613"/>
      <c r="R8" s="613"/>
      <c r="S8" s="613"/>
      <c r="T8" s="613"/>
      <c r="U8" s="613"/>
      <c r="V8" s="613"/>
      <c r="W8" s="613"/>
      <c r="Y8" s="163"/>
      <c r="Z8" s="293"/>
      <c r="AA8" s="270"/>
    </row>
    <row r="9" spans="1:27" s="7" customFormat="1" ht="15.65">
      <c r="A9" s="162"/>
      <c r="B9" s="162"/>
      <c r="C9" s="162"/>
      <c r="D9" s="674"/>
      <c r="E9" s="674"/>
      <c r="F9" s="674"/>
      <c r="G9" s="674"/>
      <c r="H9" s="674"/>
      <c r="I9" s="674"/>
      <c r="J9" s="674"/>
      <c r="K9" s="674"/>
      <c r="L9" s="674"/>
      <c r="M9" s="674"/>
      <c r="N9" s="674"/>
      <c r="O9" s="674"/>
      <c r="P9" s="674"/>
      <c r="Q9" s="674"/>
      <c r="R9" s="674"/>
      <c r="S9" s="674"/>
      <c r="T9" s="674"/>
      <c r="U9" s="674"/>
      <c r="V9" s="79"/>
      <c r="W9" s="6"/>
    </row>
    <row r="10" spans="1:27" s="3" customFormat="1" ht="20.7" customHeight="1">
      <c r="A10" s="155"/>
      <c r="B10" s="155"/>
      <c r="C10" s="155"/>
      <c r="D10" s="164"/>
      <c r="E10" s="6" t="s">
        <v>126</v>
      </c>
      <c r="F10" s="376">
        <v>0</v>
      </c>
      <c r="G10" s="376">
        <v>216126.5</v>
      </c>
      <c r="H10" s="376">
        <v>290562.8</v>
      </c>
      <c r="I10" s="376">
        <v>192703.55</v>
      </c>
      <c r="J10" s="376">
        <v>61448.76</v>
      </c>
      <c r="K10" s="376">
        <v>54850.11</v>
      </c>
      <c r="L10" s="1"/>
      <c r="M10" s="1"/>
      <c r="N10" s="376">
        <v>44076.59</v>
      </c>
      <c r="O10" s="376">
        <v>44071.81</v>
      </c>
      <c r="P10" s="376"/>
      <c r="Q10" s="376"/>
      <c r="R10" s="376"/>
      <c r="S10" s="376"/>
      <c r="T10" s="1"/>
      <c r="U10" s="1"/>
      <c r="V10" s="77"/>
      <c r="W10" s="1"/>
    </row>
    <row r="11" spans="1:27" s="3" customFormat="1" ht="13.15" customHeight="1">
      <c r="A11" s="155"/>
      <c r="B11" s="155"/>
      <c r="C11" s="155"/>
      <c r="D11" s="164"/>
      <c r="E11" s="1"/>
      <c r="F11" s="328">
        <f>F10/1000</f>
        <v>0</v>
      </c>
      <c r="G11" s="328">
        <f t="shared" ref="G11:K11" si="8">G10/1000</f>
        <v>216.12700000000001</v>
      </c>
      <c r="H11" s="328">
        <f t="shared" si="8"/>
        <v>290.56299999999999</v>
      </c>
      <c r="I11" s="328">
        <f t="shared" si="8"/>
        <v>192.70400000000001</v>
      </c>
      <c r="J11" s="328">
        <f t="shared" si="8"/>
        <v>61.448999999999998</v>
      </c>
      <c r="K11" s="328">
        <f t="shared" si="8"/>
        <v>54.85</v>
      </c>
      <c r="L11" s="1"/>
      <c r="M11" s="1"/>
      <c r="N11" s="328">
        <f>N10/1000</f>
        <v>44.076999999999998</v>
      </c>
      <c r="O11" s="328">
        <f t="shared" ref="O11:S11" si="9">O10/1000</f>
        <v>44.072000000000003</v>
      </c>
      <c r="P11" s="328">
        <f t="shared" si="9"/>
        <v>0</v>
      </c>
      <c r="Q11" s="328">
        <f t="shared" si="9"/>
        <v>0</v>
      </c>
      <c r="R11" s="328">
        <f t="shared" si="9"/>
        <v>0</v>
      </c>
      <c r="S11" s="328">
        <f t="shared" si="9"/>
        <v>0</v>
      </c>
      <c r="T11" s="1"/>
      <c r="U11" s="1"/>
      <c r="V11" s="393"/>
      <c r="W11" s="1"/>
    </row>
    <row r="12" spans="1:27" s="36" customFormat="1" ht="16.3" customHeight="1">
      <c r="A12" s="525"/>
      <c r="B12" s="525"/>
      <c r="C12" s="525"/>
      <c r="D12" s="526"/>
      <c r="E12" s="527"/>
      <c r="F12" s="534">
        <f>F11-F19</f>
        <v>0</v>
      </c>
      <c r="G12" s="534">
        <f>G11-G19</f>
        <v>0</v>
      </c>
      <c r="H12" s="534">
        <f t="shared" ref="H12:K12" si="10">H11-H19</f>
        <v>0</v>
      </c>
      <c r="I12" s="534">
        <f t="shared" si="10"/>
        <v>1E-3</v>
      </c>
      <c r="J12" s="534">
        <f t="shared" si="10"/>
        <v>1E-3</v>
      </c>
      <c r="K12" s="534">
        <f t="shared" si="10"/>
        <v>0</v>
      </c>
      <c r="L12" s="527"/>
      <c r="M12" s="527"/>
      <c r="N12" s="534">
        <f>N11-N19</f>
        <v>1E-3</v>
      </c>
      <c r="O12" s="534">
        <f t="shared" ref="O12" si="11">O11-O19</f>
        <v>0</v>
      </c>
      <c r="P12" s="534">
        <f t="shared" ref="P12" si="12">P11-P19</f>
        <v>-49.74</v>
      </c>
      <c r="Q12" s="534">
        <f t="shared" ref="Q12" si="13">Q11-Q19</f>
        <v>-50.003999999999998</v>
      </c>
      <c r="R12" s="534">
        <f t="shared" ref="R12" si="14">R11-R19</f>
        <v>-56.326000000000001</v>
      </c>
      <c r="S12" s="534">
        <f t="shared" ref="S12" si="15">S11-S19</f>
        <v>-545.11599999999999</v>
      </c>
      <c r="T12" s="527">
        <f>SUM(F12:S12)</f>
        <v>-701.18299999999999</v>
      </c>
      <c r="U12" s="527"/>
      <c r="V12" s="528"/>
      <c r="W12" s="527"/>
    </row>
    <row r="13" spans="1:27" s="3" customFormat="1" ht="38.85" customHeight="1">
      <c r="A13" s="668" t="s">
        <v>5</v>
      </c>
      <c r="B13" s="668"/>
      <c r="C13" s="668"/>
      <c r="D13" s="668"/>
      <c r="E13" s="648" t="str">
        <f>серпень!E13</f>
        <v>оплата в січні 2025 за грудень 2024 року/в грудні 2024за січень 2025</v>
      </c>
      <c r="F13" s="675" t="s">
        <v>6</v>
      </c>
      <c r="G13" s="675"/>
      <c r="H13" s="675"/>
      <c r="I13" s="675"/>
      <c r="J13" s="675"/>
      <c r="K13" s="675"/>
      <c r="L13" s="675"/>
      <c r="M13" s="675"/>
      <c r="N13" s="675"/>
      <c r="O13" s="675"/>
      <c r="P13" s="675"/>
      <c r="Q13" s="675"/>
      <c r="R13" s="675"/>
      <c r="S13" s="675"/>
      <c r="T13" s="675"/>
      <c r="U13" s="675"/>
      <c r="V13" s="676" t="s">
        <v>7</v>
      </c>
      <c r="W13" s="676" t="s">
        <v>8</v>
      </c>
    </row>
    <row r="14" spans="1:27" s="3" customFormat="1" ht="51.05" customHeight="1">
      <c r="A14" s="668"/>
      <c r="B14" s="668"/>
      <c r="C14" s="668"/>
      <c r="D14" s="672"/>
      <c r="E14" s="649"/>
      <c r="F14" s="8" t="s">
        <v>9</v>
      </c>
      <c r="G14" s="8" t="s">
        <v>10</v>
      </c>
      <c r="H14" s="8" t="s">
        <v>11</v>
      </c>
      <c r="I14" s="327" t="s">
        <v>12</v>
      </c>
      <c r="J14" s="8" t="s">
        <v>13</v>
      </c>
      <c r="K14" s="8" t="s">
        <v>14</v>
      </c>
      <c r="L14" s="9" t="s">
        <v>15</v>
      </c>
      <c r="M14" s="9" t="s">
        <v>16</v>
      </c>
      <c r="N14" s="8" t="s">
        <v>17</v>
      </c>
      <c r="O14" s="8" t="s">
        <v>18</v>
      </c>
      <c r="P14" s="8" t="s">
        <v>19</v>
      </c>
      <c r="Q14" s="8" t="s">
        <v>20</v>
      </c>
      <c r="R14" s="8" t="s">
        <v>21</v>
      </c>
      <c r="S14" s="8" t="s">
        <v>22</v>
      </c>
      <c r="T14" s="9" t="s">
        <v>23</v>
      </c>
      <c r="U14" s="9" t="s">
        <v>2</v>
      </c>
      <c r="V14" s="676"/>
      <c r="W14" s="676"/>
    </row>
    <row r="15" spans="1:27" s="18" customFormat="1" ht="18.649999999999999" customHeight="1">
      <c r="A15" s="677" t="s">
        <v>94</v>
      </c>
      <c r="B15" s="678"/>
      <c r="C15" s="678"/>
      <c r="D15" s="678"/>
      <c r="E15" s="678"/>
      <c r="F15" s="678"/>
      <c r="G15" s="678"/>
      <c r="H15" s="678"/>
      <c r="I15" s="678"/>
      <c r="J15" s="678"/>
      <c r="K15" s="678"/>
      <c r="L15" s="678"/>
      <c r="M15" s="678"/>
      <c r="N15" s="678"/>
      <c r="O15" s="678"/>
      <c r="P15" s="678"/>
      <c r="Q15" s="678"/>
      <c r="R15" s="678"/>
      <c r="S15" s="678"/>
      <c r="T15" s="678"/>
      <c r="U15" s="678"/>
      <c r="V15" s="678"/>
      <c r="W15" s="679"/>
      <c r="X15" s="37"/>
    </row>
    <row r="16" spans="1:27" s="173" customFormat="1" ht="18" customHeight="1">
      <c r="A16" s="621">
        <v>2270</v>
      </c>
      <c r="B16" s="622"/>
      <c r="C16" s="623"/>
      <c r="D16" s="170" t="s">
        <v>0</v>
      </c>
      <c r="E16" s="171"/>
      <c r="F16" s="171">
        <f>F28+F334+F475+F520</f>
        <v>217.136</v>
      </c>
      <c r="G16" s="171">
        <f t="shared" ref="G16:K16" si="16">G28+G334+G475+G520</f>
        <v>289.55399999999997</v>
      </c>
      <c r="H16" s="171">
        <f t="shared" si="16"/>
        <v>189.84800000000001</v>
      </c>
      <c r="I16" s="171">
        <f t="shared" si="16"/>
        <v>58.466999999999999</v>
      </c>
      <c r="J16" s="171">
        <f t="shared" si="16"/>
        <v>56.405000000000001</v>
      </c>
      <c r="K16" s="171">
        <f t="shared" si="16"/>
        <v>45.658000000000001</v>
      </c>
      <c r="L16" s="171">
        <f t="shared" ref="L16:L18" si="17">SUM(F16:K16)</f>
        <v>857.06799999999998</v>
      </c>
      <c r="M16" s="171">
        <f t="shared" ref="M16:M18" si="18">L16/6</f>
        <v>142.845</v>
      </c>
      <c r="N16" s="171">
        <f t="shared" ref="N16:S16" si="19">N28+N334+N475+N520</f>
        <v>44.881999999999998</v>
      </c>
      <c r="O16" s="171">
        <f t="shared" si="19"/>
        <v>42.47</v>
      </c>
      <c r="P16" s="171">
        <f t="shared" si="19"/>
        <v>51.94</v>
      </c>
      <c r="Q16" s="171">
        <f t="shared" si="19"/>
        <v>52.570999999999998</v>
      </c>
      <c r="R16" s="171">
        <f t="shared" si="19"/>
        <v>207.53800000000001</v>
      </c>
      <c r="S16" s="171">
        <f t="shared" si="19"/>
        <v>348.55599999999998</v>
      </c>
      <c r="T16" s="171">
        <f t="shared" ref="T16:T18" si="20">SUM(N16:S16)</f>
        <v>747.95699999999999</v>
      </c>
      <c r="U16" s="171">
        <f>T16+L16</f>
        <v>1605.0250000000001</v>
      </c>
      <c r="V16" s="171">
        <f>V28+V334+V475+V520</f>
        <v>1563.17</v>
      </c>
      <c r="W16" s="171">
        <f t="shared" ref="W16:W18" si="21">V16-U16</f>
        <v>-41.854999999999997</v>
      </c>
      <c r="X16" s="172"/>
    </row>
    <row r="17" spans="1:25" s="173" customFormat="1" ht="18" customHeight="1">
      <c r="A17" s="624"/>
      <c r="B17" s="625"/>
      <c r="C17" s="626"/>
      <c r="D17" s="174" t="s">
        <v>55</v>
      </c>
      <c r="E17" s="171"/>
      <c r="F17" s="171">
        <f t="shared" ref="F17:K17" si="22">F29+F337+F476+F540</f>
        <v>0</v>
      </c>
      <c r="G17" s="171">
        <f t="shared" si="22"/>
        <v>0</v>
      </c>
      <c r="H17" s="171">
        <f t="shared" si="22"/>
        <v>0</v>
      </c>
      <c r="I17" s="171">
        <f t="shared" si="22"/>
        <v>0</v>
      </c>
      <c r="J17" s="171">
        <f t="shared" si="22"/>
        <v>0</v>
      </c>
      <c r="K17" s="171">
        <f t="shared" si="22"/>
        <v>0</v>
      </c>
      <c r="L17" s="171">
        <f t="shared" si="17"/>
        <v>0</v>
      </c>
      <c r="M17" s="171">
        <f>L17/6</f>
        <v>0</v>
      </c>
      <c r="N17" s="171">
        <f t="shared" ref="N17:S17" si="23">N29+N337+N476+N540</f>
        <v>0</v>
      </c>
      <c r="O17" s="171">
        <f t="shared" si="23"/>
        <v>0</v>
      </c>
      <c r="P17" s="171">
        <f t="shared" si="23"/>
        <v>0</v>
      </c>
      <c r="Q17" s="171">
        <f t="shared" si="23"/>
        <v>0</v>
      </c>
      <c r="R17" s="171">
        <f t="shared" si="23"/>
        <v>0</v>
      </c>
      <c r="S17" s="171">
        <f t="shared" si="23"/>
        <v>0</v>
      </c>
      <c r="T17" s="171">
        <f t="shared" si="20"/>
        <v>0</v>
      </c>
      <c r="U17" s="171">
        <f>T17+L17</f>
        <v>0</v>
      </c>
      <c r="V17" s="171">
        <f>V29+V337+V476+V540</f>
        <v>0</v>
      </c>
      <c r="W17" s="171">
        <f t="shared" si="21"/>
        <v>0</v>
      </c>
      <c r="X17" s="172"/>
    </row>
    <row r="18" spans="1:25" s="173" customFormat="1" ht="18" customHeight="1">
      <c r="A18" s="627"/>
      <c r="B18" s="628"/>
      <c r="C18" s="629"/>
      <c r="D18" s="170" t="s">
        <v>24</v>
      </c>
      <c r="E18" s="171"/>
      <c r="F18" s="171">
        <f>F30+F338+F477+F524</f>
        <v>3.7770000000000001</v>
      </c>
      <c r="G18" s="171">
        <f t="shared" ref="G18:K18" si="24">G30+G338+G477+G524</f>
        <v>213.65700000000001</v>
      </c>
      <c r="H18" s="171">
        <f t="shared" si="24"/>
        <v>292.18099999999998</v>
      </c>
      <c r="I18" s="171">
        <f t="shared" si="24"/>
        <v>189.79300000000001</v>
      </c>
      <c r="J18" s="171">
        <f t="shared" si="24"/>
        <v>63.493000000000002</v>
      </c>
      <c r="K18" s="171">
        <f t="shared" si="24"/>
        <v>52.881999999999998</v>
      </c>
      <c r="L18" s="171">
        <f t="shared" si="17"/>
        <v>815.78300000000002</v>
      </c>
      <c r="M18" s="171">
        <f t="shared" si="18"/>
        <v>135.964</v>
      </c>
      <c r="N18" s="171">
        <f t="shared" ref="N18:S18" si="25">N30+N338+N477+N524</f>
        <v>44.978999999999999</v>
      </c>
      <c r="O18" s="171">
        <f t="shared" si="25"/>
        <v>43.271000000000001</v>
      </c>
      <c r="P18" s="171">
        <f t="shared" si="25"/>
        <v>61.292000000000002</v>
      </c>
      <c r="Q18" s="171">
        <f t="shared" si="25"/>
        <v>75.825000000000003</v>
      </c>
      <c r="R18" s="171">
        <f t="shared" si="25"/>
        <v>55.445</v>
      </c>
      <c r="S18" s="171">
        <f t="shared" si="25"/>
        <v>466.57499999999999</v>
      </c>
      <c r="T18" s="171">
        <f t="shared" si="20"/>
        <v>747.38699999999994</v>
      </c>
      <c r="U18" s="171">
        <f>T18+L18</f>
        <v>1563.17</v>
      </c>
      <c r="V18" s="171">
        <f>V30+V338+V477+V524</f>
        <v>1563.17</v>
      </c>
      <c r="W18" s="171">
        <f t="shared" si="21"/>
        <v>0</v>
      </c>
      <c r="X18" s="172"/>
    </row>
    <row r="19" spans="1:25" s="116" customFormat="1" ht="18" customHeight="1">
      <c r="A19" s="630">
        <v>2270</v>
      </c>
      <c r="B19" s="631"/>
      <c r="C19" s="632"/>
      <c r="D19" s="115" t="s">
        <v>25</v>
      </c>
      <c r="E19" s="99">
        <f t="shared" ref="E19:K19" si="26">E33+E341+E480+E527</f>
        <v>0</v>
      </c>
      <c r="F19" s="99">
        <f t="shared" si="26"/>
        <v>0</v>
      </c>
      <c r="G19" s="99">
        <f t="shared" si="26"/>
        <v>216.12700000000001</v>
      </c>
      <c r="H19" s="99">
        <f t="shared" si="26"/>
        <v>290.56299999999999</v>
      </c>
      <c r="I19" s="99">
        <f t="shared" si="26"/>
        <v>192.703</v>
      </c>
      <c r="J19" s="99">
        <f t="shared" si="26"/>
        <v>61.448</v>
      </c>
      <c r="K19" s="99">
        <f t="shared" si="26"/>
        <v>54.85</v>
      </c>
      <c r="L19" s="99">
        <f t="shared" ref="L19:L21" si="27">SUM(F19:K19)</f>
        <v>815.69100000000003</v>
      </c>
      <c r="M19" s="99">
        <f t="shared" ref="M19:M21" si="28">L19/6</f>
        <v>135.94900000000001</v>
      </c>
      <c r="N19" s="99">
        <f t="shared" ref="N19:S21" si="29">N33+N341+N480+N527</f>
        <v>44.076000000000001</v>
      </c>
      <c r="O19" s="99">
        <f t="shared" si="29"/>
        <v>44.072000000000003</v>
      </c>
      <c r="P19" s="99">
        <f t="shared" si="29"/>
        <v>49.74</v>
      </c>
      <c r="Q19" s="99">
        <f t="shared" si="29"/>
        <v>50.003999999999998</v>
      </c>
      <c r="R19" s="99">
        <f t="shared" si="29"/>
        <v>56.326000000000001</v>
      </c>
      <c r="S19" s="99">
        <f t="shared" si="29"/>
        <v>545.11599999999999</v>
      </c>
      <c r="T19" s="99">
        <f t="shared" ref="T19:T21" si="30">SUM(N19:S19)</f>
        <v>789.33399999999995</v>
      </c>
      <c r="U19" s="99">
        <f t="shared" ref="U19:U21" si="31">T19+L19</f>
        <v>1605.0250000000001</v>
      </c>
      <c r="V19" s="99">
        <f>V33+V341+V480+V527</f>
        <v>1563.17</v>
      </c>
      <c r="W19" s="99">
        <f t="shared" ref="W19:W21" si="32">V19-U19</f>
        <v>-41.854999999999997</v>
      </c>
      <c r="X19" s="63">
        <f>U16-U19</f>
        <v>0</v>
      </c>
    </row>
    <row r="20" spans="1:25" s="116" customFormat="1" ht="18" customHeight="1">
      <c r="A20" s="633"/>
      <c r="B20" s="634"/>
      <c r="C20" s="635"/>
      <c r="D20" s="115" t="s">
        <v>55</v>
      </c>
      <c r="E20" s="99"/>
      <c r="F20" s="99">
        <f t="shared" ref="F20:K21" si="33">F34+F342+F481+F528</f>
        <v>0</v>
      </c>
      <c r="G20" s="99">
        <f t="shared" si="33"/>
        <v>0</v>
      </c>
      <c r="H20" s="99">
        <f t="shared" si="33"/>
        <v>0</v>
      </c>
      <c r="I20" s="99">
        <f t="shared" si="33"/>
        <v>0</v>
      </c>
      <c r="J20" s="99">
        <f t="shared" si="33"/>
        <v>0</v>
      </c>
      <c r="K20" s="99">
        <f t="shared" si="33"/>
        <v>0</v>
      </c>
      <c r="L20" s="99">
        <f t="shared" si="27"/>
        <v>0</v>
      </c>
      <c r="M20" s="99">
        <f t="shared" si="28"/>
        <v>0</v>
      </c>
      <c r="N20" s="99">
        <f t="shared" si="29"/>
        <v>0</v>
      </c>
      <c r="O20" s="99">
        <f t="shared" si="29"/>
        <v>0</v>
      </c>
      <c r="P20" s="99">
        <f t="shared" si="29"/>
        <v>0</v>
      </c>
      <c r="Q20" s="99">
        <f t="shared" si="29"/>
        <v>0</v>
      </c>
      <c r="R20" s="99">
        <f t="shared" si="29"/>
        <v>0</v>
      </c>
      <c r="S20" s="99">
        <f t="shared" si="29"/>
        <v>0</v>
      </c>
      <c r="T20" s="99">
        <f t="shared" si="30"/>
        <v>0</v>
      </c>
      <c r="U20" s="99">
        <f t="shared" si="31"/>
        <v>0</v>
      </c>
      <c r="V20" s="99">
        <f>V34+V342+V481+V528</f>
        <v>0</v>
      </c>
      <c r="W20" s="99">
        <f t="shared" si="32"/>
        <v>0</v>
      </c>
      <c r="X20" s="63">
        <f>U17-U20</f>
        <v>0</v>
      </c>
    </row>
    <row r="21" spans="1:25" s="116" customFormat="1" ht="18" customHeight="1">
      <c r="A21" s="636"/>
      <c r="B21" s="637"/>
      <c r="C21" s="638"/>
      <c r="D21" s="115" t="s">
        <v>24</v>
      </c>
      <c r="E21" s="99"/>
      <c r="F21" s="99">
        <f t="shared" si="33"/>
        <v>0</v>
      </c>
      <c r="G21" s="99">
        <f t="shared" si="33"/>
        <v>216.12700000000001</v>
      </c>
      <c r="H21" s="99">
        <f t="shared" si="33"/>
        <v>290.56299999999999</v>
      </c>
      <c r="I21" s="99">
        <f t="shared" si="33"/>
        <v>192.703</v>
      </c>
      <c r="J21" s="99">
        <f t="shared" si="33"/>
        <v>61.448</v>
      </c>
      <c r="K21" s="99">
        <f t="shared" si="33"/>
        <v>54.85</v>
      </c>
      <c r="L21" s="99">
        <f t="shared" si="27"/>
        <v>815.69100000000003</v>
      </c>
      <c r="M21" s="99">
        <f t="shared" si="28"/>
        <v>135.94900000000001</v>
      </c>
      <c r="N21" s="99">
        <f t="shared" si="29"/>
        <v>44.076000000000001</v>
      </c>
      <c r="O21" s="99">
        <f t="shared" si="29"/>
        <v>44.072000000000003</v>
      </c>
      <c r="P21" s="99">
        <f t="shared" si="29"/>
        <v>49.74</v>
      </c>
      <c r="Q21" s="99">
        <f t="shared" si="29"/>
        <v>50.003999999999998</v>
      </c>
      <c r="R21" s="99">
        <f t="shared" si="29"/>
        <v>56.326000000000001</v>
      </c>
      <c r="S21" s="99">
        <f t="shared" si="29"/>
        <v>545.11599999999999</v>
      </c>
      <c r="T21" s="99">
        <f t="shared" si="30"/>
        <v>789.33399999999995</v>
      </c>
      <c r="U21" s="99">
        <f t="shared" si="31"/>
        <v>1605.0250000000001</v>
      </c>
      <c r="V21" s="99">
        <f>V35+V343+V482+V529</f>
        <v>1563.17</v>
      </c>
      <c r="W21" s="99">
        <f t="shared" si="32"/>
        <v>-41.854999999999997</v>
      </c>
      <c r="X21" s="63">
        <f>U18-U21</f>
        <v>-41.854999999999997</v>
      </c>
    </row>
    <row r="22" spans="1:25" s="186" customFormat="1" ht="18" customHeight="1">
      <c r="A22" s="609">
        <v>2271</v>
      </c>
      <c r="B22" s="580" t="s">
        <v>86</v>
      </c>
      <c r="C22" s="575"/>
      <c r="D22" s="178" t="str">
        <f>серпень!D22</f>
        <v>факт. нат.п-ки 2023</v>
      </c>
      <c r="E22" s="179"/>
      <c r="F22" s="180">
        <f t="shared" ref="F22:K23" si="34">F56+F163+F208+F253</f>
        <v>62.8</v>
      </c>
      <c r="G22" s="180">
        <f t="shared" si="34"/>
        <v>60.3</v>
      </c>
      <c r="H22" s="180">
        <f t="shared" si="34"/>
        <v>42.9</v>
      </c>
      <c r="I22" s="180">
        <f t="shared" si="34"/>
        <v>0.2</v>
      </c>
      <c r="J22" s="180">
        <f t="shared" si="34"/>
        <v>0.2</v>
      </c>
      <c r="K22" s="180">
        <f t="shared" si="34"/>
        <v>0.2</v>
      </c>
      <c r="L22" s="181">
        <f t="shared" ref="L22:L23" si="35">SUM(F22:K22)</f>
        <v>166.6</v>
      </c>
      <c r="M22" s="181">
        <f>L22/6</f>
        <v>27.8</v>
      </c>
      <c r="N22" s="180">
        <f t="shared" ref="N22:S24" si="36">N56+N163+N208+N253</f>
        <v>0.2</v>
      </c>
      <c r="O22" s="180">
        <f t="shared" si="36"/>
        <v>0.3</v>
      </c>
      <c r="P22" s="180">
        <f t="shared" si="36"/>
        <v>0.2</v>
      </c>
      <c r="Q22" s="180">
        <f t="shared" si="36"/>
        <v>0.2</v>
      </c>
      <c r="R22" s="180">
        <f t="shared" si="36"/>
        <v>40.1</v>
      </c>
      <c r="S22" s="180">
        <f t="shared" si="36"/>
        <v>69.8</v>
      </c>
      <c r="T22" s="181">
        <f t="shared" ref="T22:T23" si="37">SUM(N22:S22)</f>
        <v>110.8</v>
      </c>
      <c r="U22" s="182">
        <f>T22+L22</f>
        <v>277.39999999999998</v>
      </c>
      <c r="V22" s="183">
        <f>V56+V163+V208+V253</f>
        <v>274.89999999999998</v>
      </c>
      <c r="W22" s="184"/>
      <c r="X22" s="185"/>
    </row>
    <row r="23" spans="1:25" s="186" customFormat="1" ht="18" customHeight="1">
      <c r="A23" s="610"/>
      <c r="B23" s="576"/>
      <c r="C23" s="577"/>
      <c r="D23" s="178" t="str">
        <f>серпень!D23</f>
        <v>факт. нат.п-ки 2024</v>
      </c>
      <c r="E23" s="179"/>
      <c r="F23" s="180">
        <f t="shared" si="34"/>
        <v>56.4</v>
      </c>
      <c r="G23" s="180">
        <f t="shared" si="34"/>
        <v>67</v>
      </c>
      <c r="H23" s="180">
        <f t="shared" si="34"/>
        <v>51</v>
      </c>
      <c r="I23" s="180">
        <f t="shared" si="34"/>
        <v>0.2</v>
      </c>
      <c r="J23" s="180">
        <f t="shared" si="34"/>
        <v>0.2</v>
      </c>
      <c r="K23" s="180">
        <f t="shared" si="34"/>
        <v>0.2</v>
      </c>
      <c r="L23" s="181">
        <f t="shared" si="35"/>
        <v>175</v>
      </c>
      <c r="M23" s="181">
        <f>L23/6</f>
        <v>29.2</v>
      </c>
      <c r="N23" s="180">
        <f t="shared" si="36"/>
        <v>0.2</v>
      </c>
      <c r="O23" s="180">
        <f t="shared" si="36"/>
        <v>0.2</v>
      </c>
      <c r="P23" s="180">
        <f t="shared" si="36"/>
        <v>0.2</v>
      </c>
      <c r="Q23" s="180">
        <f t="shared" si="36"/>
        <v>0.2</v>
      </c>
      <c r="R23" s="180">
        <f t="shared" si="36"/>
        <v>41.2</v>
      </c>
      <c r="S23" s="180">
        <f t="shared" si="36"/>
        <v>95.2</v>
      </c>
      <c r="T23" s="181">
        <f t="shared" si="37"/>
        <v>137.19999999999999</v>
      </c>
      <c r="U23" s="182">
        <f t="shared" ref="U23:U24" si="38">T23+L23</f>
        <v>312.2</v>
      </c>
      <c r="V23" s="183">
        <f>V57+V164+V209+V254</f>
        <v>309.8</v>
      </c>
      <c r="W23" s="184"/>
      <c r="X23" s="185"/>
    </row>
    <row r="24" spans="1:25" s="186" customFormat="1" ht="18" customHeight="1">
      <c r="A24" s="610"/>
      <c r="B24" s="576"/>
      <c r="C24" s="577"/>
      <c r="D24" s="178" t="str">
        <f>серпень!D24</f>
        <v>факт. нат.п-ки 2025</v>
      </c>
      <c r="E24" s="179"/>
      <c r="F24" s="345">
        <f>F58+F165+F210+F255</f>
        <v>58.1</v>
      </c>
      <c r="G24" s="345">
        <f t="shared" ref="G24:K24" si="39">G58+G165+G210+G255</f>
        <v>82.7</v>
      </c>
      <c r="H24" s="345">
        <f t="shared" si="39"/>
        <v>50.7</v>
      </c>
      <c r="I24" s="345">
        <f t="shared" si="39"/>
        <v>0</v>
      </c>
      <c r="J24" s="345">
        <f t="shared" si="39"/>
        <v>0</v>
      </c>
      <c r="K24" s="345">
        <f t="shared" si="39"/>
        <v>0</v>
      </c>
      <c r="L24" s="338">
        <f t="shared" ref="L24" si="40">SUM(F24:K24)</f>
        <v>191.5</v>
      </c>
      <c r="M24" s="338">
        <f>L24/6</f>
        <v>31.91667</v>
      </c>
      <c r="N24" s="352">
        <f>N58+N165+N210+N255</f>
        <v>0</v>
      </c>
      <c r="O24" s="352">
        <f t="shared" si="36"/>
        <v>0</v>
      </c>
      <c r="P24" s="352">
        <f t="shared" si="36"/>
        <v>0</v>
      </c>
      <c r="Q24" s="352">
        <f t="shared" si="36"/>
        <v>0</v>
      </c>
      <c r="R24" s="352">
        <f t="shared" si="36"/>
        <v>41</v>
      </c>
      <c r="S24" s="352">
        <f t="shared" si="36"/>
        <v>77.599999999999994</v>
      </c>
      <c r="T24" s="339">
        <f t="shared" ref="T24" si="41">SUM(N24:S24)</f>
        <v>118.6</v>
      </c>
      <c r="U24" s="339">
        <f t="shared" si="38"/>
        <v>310.10000000000002</v>
      </c>
      <c r="V24" s="183">
        <f>V58+V165+V210+V255</f>
        <v>292.39999999999998</v>
      </c>
      <c r="W24" s="184">
        <f>V24-U24</f>
        <v>-17.7</v>
      </c>
      <c r="X24" s="185"/>
    </row>
    <row r="25" spans="1:25" s="190" customFormat="1" ht="18" customHeight="1">
      <c r="A25" s="610"/>
      <c r="B25" s="576"/>
      <c r="C25" s="577"/>
      <c r="D25" s="187" t="str">
        <f>серпень!D25</f>
        <v>тариф, грн.</v>
      </c>
      <c r="E25" s="188"/>
      <c r="F25" s="188">
        <f>F26/F24*1000</f>
        <v>2646.386</v>
      </c>
      <c r="G25" s="188">
        <f t="shared" ref="G25:W25" si="42">G26/G24*1000</f>
        <v>2799.8310000000001</v>
      </c>
      <c r="H25" s="188">
        <f t="shared" si="42"/>
        <v>2827.4560000000001</v>
      </c>
      <c r="I25" s="188" t="e">
        <f t="shared" si="42"/>
        <v>#DIV/0!</v>
      </c>
      <c r="J25" s="188" t="e">
        <f t="shared" si="42"/>
        <v>#DIV/0!</v>
      </c>
      <c r="K25" s="188" t="e">
        <f t="shared" si="42"/>
        <v>#DIV/0!</v>
      </c>
      <c r="L25" s="188">
        <f t="shared" si="42"/>
        <v>2760.59</v>
      </c>
      <c r="M25" s="188">
        <f t="shared" si="42"/>
        <v>2760.5949999999998</v>
      </c>
      <c r="N25" s="188" t="e">
        <f t="shared" si="42"/>
        <v>#DIV/0!</v>
      </c>
      <c r="O25" s="188" t="e">
        <f>O26/O24*1000</f>
        <v>#DIV/0!</v>
      </c>
      <c r="P25" s="188" t="e">
        <f>P26/P24*1000</f>
        <v>#DIV/0!</v>
      </c>
      <c r="Q25" s="188" t="e">
        <f>Q26/Q24*1000</f>
        <v>#DIV/0!</v>
      </c>
      <c r="R25" s="188">
        <f>R26/R24*1000</f>
        <v>2804.585</v>
      </c>
      <c r="S25" s="188">
        <f>S26/S24*1000</f>
        <v>2847.5</v>
      </c>
      <c r="T25" s="188">
        <f t="shared" si="42"/>
        <v>2832.6640000000002</v>
      </c>
      <c r="U25" s="188">
        <f t="shared" si="42"/>
        <v>2788.1550000000002</v>
      </c>
      <c r="V25" s="188">
        <f t="shared" si="42"/>
        <v>2690.663</v>
      </c>
      <c r="W25" s="189">
        <f t="shared" si="42"/>
        <v>4398.701</v>
      </c>
      <c r="X25" s="185"/>
    </row>
    <row r="26" spans="1:25" s="196" customFormat="1" ht="18" customHeight="1">
      <c r="A26" s="610"/>
      <c r="B26" s="576"/>
      <c r="C26" s="577"/>
      <c r="D26" s="191" t="str">
        <f>серпень!D26</f>
        <v>сума, тис.грн.</v>
      </c>
      <c r="E26" s="192"/>
      <c r="F26" s="193">
        <f>F60+F167+F212+F257</f>
        <v>153.755</v>
      </c>
      <c r="G26" s="193">
        <f t="shared" ref="G26:K26" si="43">G60+G167+G212+G257</f>
        <v>231.54599999999999</v>
      </c>
      <c r="H26" s="193">
        <f t="shared" si="43"/>
        <v>143.352</v>
      </c>
      <c r="I26" s="193">
        <f t="shared" si="43"/>
        <v>0</v>
      </c>
      <c r="J26" s="193">
        <f t="shared" si="43"/>
        <v>0</v>
      </c>
      <c r="K26" s="193">
        <f t="shared" si="43"/>
        <v>0</v>
      </c>
      <c r="L26" s="194">
        <f t="shared" ref="L26:L31" si="44">SUM(F26:K26)</f>
        <v>528.65300000000002</v>
      </c>
      <c r="M26" s="194">
        <f t="shared" ref="M26:M31" si="45">L26/6</f>
        <v>88.108999999999995</v>
      </c>
      <c r="N26" s="193">
        <f t="shared" ref="N26:S26" si="46">N60+N167+N212+N257</f>
        <v>0</v>
      </c>
      <c r="O26" s="193">
        <f t="shared" si="46"/>
        <v>0</v>
      </c>
      <c r="P26" s="193">
        <f t="shared" si="46"/>
        <v>0</v>
      </c>
      <c r="Q26" s="193">
        <f t="shared" si="46"/>
        <v>0</v>
      </c>
      <c r="R26" s="193">
        <f t="shared" si="46"/>
        <v>114.988</v>
      </c>
      <c r="S26" s="193">
        <f t="shared" si="46"/>
        <v>220.96600000000001</v>
      </c>
      <c r="T26" s="194">
        <f>SUM(N26:S26)</f>
        <v>335.95400000000001</v>
      </c>
      <c r="U26" s="194">
        <f>T26+L26</f>
        <v>864.60699999999997</v>
      </c>
      <c r="V26" s="171">
        <f>V60+V167+V212+V257</f>
        <v>786.75</v>
      </c>
      <c r="W26" s="193">
        <f>W60+W167+W212+W257</f>
        <v>-77.856999999999999</v>
      </c>
      <c r="X26" s="195"/>
    </row>
    <row r="27" spans="1:25" s="196" customFormat="1" ht="18" customHeight="1">
      <c r="A27" s="610"/>
      <c r="B27" s="576"/>
      <c r="C27" s="577"/>
      <c r="D27" s="174" t="str">
        <f>серпень!D27</f>
        <v>абоненська плата, тис.грн.</v>
      </c>
      <c r="E27" s="192"/>
      <c r="F27" s="278">
        <f>F44+F258</f>
        <v>24.48</v>
      </c>
      <c r="G27" s="278">
        <f t="shared" ref="G27:K27" si="47">G44+G258</f>
        <v>24.573</v>
      </c>
      <c r="H27" s="278">
        <f t="shared" si="47"/>
        <v>24.573</v>
      </c>
      <c r="I27" s="278">
        <f t="shared" si="47"/>
        <v>24.573</v>
      </c>
      <c r="J27" s="278">
        <f t="shared" si="47"/>
        <v>28.971</v>
      </c>
      <c r="K27" s="278">
        <f t="shared" si="47"/>
        <v>28.971</v>
      </c>
      <c r="L27" s="194">
        <f t="shared" si="44"/>
        <v>156.14099999999999</v>
      </c>
      <c r="M27" s="194">
        <f t="shared" si="45"/>
        <v>26.024000000000001</v>
      </c>
      <c r="N27" s="278">
        <f>N44+N258</f>
        <v>28.971</v>
      </c>
      <c r="O27" s="278">
        <f t="shared" ref="O27:S27" si="48">O44+O258</f>
        <v>28.971</v>
      </c>
      <c r="P27" s="278">
        <f t="shared" si="48"/>
        <v>24.843</v>
      </c>
      <c r="Q27" s="278">
        <f t="shared" si="48"/>
        <v>24.843</v>
      </c>
      <c r="R27" s="278">
        <f t="shared" si="48"/>
        <v>24.843</v>
      </c>
      <c r="S27" s="278">
        <f t="shared" si="48"/>
        <v>24.843</v>
      </c>
      <c r="T27" s="194">
        <f>SUM(N27:S27)</f>
        <v>157.31399999999999</v>
      </c>
      <c r="U27" s="194">
        <f>T27+L27</f>
        <v>313.45499999999998</v>
      </c>
      <c r="V27" s="171">
        <f t="shared" ref="V27" si="49">V44+V258</f>
        <v>296.988</v>
      </c>
      <c r="W27" s="193">
        <f>W61+W168+W213+W258</f>
        <v>-16.466999999999999</v>
      </c>
      <c r="X27" s="195"/>
    </row>
    <row r="28" spans="1:25" s="196" customFormat="1" ht="18" customHeight="1">
      <c r="A28" s="610"/>
      <c r="B28" s="576"/>
      <c r="C28" s="577"/>
      <c r="D28" s="174" t="str">
        <f>серпень!D28</f>
        <v>разом сума тис. грн+абонплата</v>
      </c>
      <c r="E28" s="192"/>
      <c r="F28" s="278">
        <f>F62+F167+F212+F259</f>
        <v>178.23500000000001</v>
      </c>
      <c r="G28" s="278">
        <f t="shared" ref="G28:K28" si="50">G62+G167+G212+G259</f>
        <v>256.11900000000003</v>
      </c>
      <c r="H28" s="278">
        <f t="shared" si="50"/>
        <v>167.92500000000001</v>
      </c>
      <c r="I28" s="278">
        <f t="shared" si="50"/>
        <v>24.573</v>
      </c>
      <c r="J28" s="278">
        <f t="shared" si="50"/>
        <v>28.971</v>
      </c>
      <c r="K28" s="278">
        <f t="shared" si="50"/>
        <v>28.971</v>
      </c>
      <c r="L28" s="194">
        <f t="shared" si="44"/>
        <v>684.79399999999998</v>
      </c>
      <c r="M28" s="194">
        <f t="shared" si="45"/>
        <v>114.13200000000001</v>
      </c>
      <c r="N28" s="278">
        <f>N62+N167+N212+N259</f>
        <v>28.971</v>
      </c>
      <c r="O28" s="278">
        <f t="shared" ref="O28:R28" si="51">O62+O167+O212+O259</f>
        <v>28.971</v>
      </c>
      <c r="P28" s="278">
        <f t="shared" si="51"/>
        <v>24.843</v>
      </c>
      <c r="Q28" s="278">
        <f t="shared" si="51"/>
        <v>24.843</v>
      </c>
      <c r="R28" s="278">
        <f t="shared" si="51"/>
        <v>139.83099999999999</v>
      </c>
      <c r="S28" s="278">
        <f>S62+S167+S212+S259</f>
        <v>245.809</v>
      </c>
      <c r="T28" s="194">
        <f t="shared" ref="T28:T29" si="52">SUM(N28:S28)</f>
        <v>493.26799999999997</v>
      </c>
      <c r="U28" s="194">
        <f t="shared" ref="U28:U29" si="53">T28+L28</f>
        <v>1178.0619999999999</v>
      </c>
      <c r="V28" s="171">
        <f>V45+V259</f>
        <v>1083.7380000000001</v>
      </c>
      <c r="W28" s="278">
        <f t="shared" ref="W28" si="54">W26+W27</f>
        <v>-94.323999999999998</v>
      </c>
      <c r="X28" s="195"/>
    </row>
    <row r="29" spans="1:25" s="196" customFormat="1" ht="18" customHeight="1">
      <c r="A29" s="610"/>
      <c r="B29" s="576"/>
      <c r="C29" s="577"/>
      <c r="D29" s="174" t="str">
        <f>серпень!D29</f>
        <v>дотація</v>
      </c>
      <c r="E29" s="192"/>
      <c r="F29" s="193">
        <f t="shared" ref="F29:K30" si="55">F63+F168+F213+F260</f>
        <v>0</v>
      </c>
      <c r="G29" s="193">
        <f t="shared" si="55"/>
        <v>0</v>
      </c>
      <c r="H29" s="193">
        <f t="shared" si="55"/>
        <v>0</v>
      </c>
      <c r="I29" s="193">
        <f t="shared" si="55"/>
        <v>0</v>
      </c>
      <c r="J29" s="193">
        <f t="shared" si="55"/>
        <v>0</v>
      </c>
      <c r="K29" s="193">
        <f t="shared" si="55"/>
        <v>0</v>
      </c>
      <c r="L29" s="194">
        <f t="shared" si="44"/>
        <v>0</v>
      </c>
      <c r="M29" s="194">
        <f t="shared" si="45"/>
        <v>0</v>
      </c>
      <c r="N29" s="193">
        <f t="shared" ref="N29:S31" si="56">N63+N168+N213+N260</f>
        <v>0</v>
      </c>
      <c r="O29" s="193">
        <f t="shared" si="56"/>
        <v>0</v>
      </c>
      <c r="P29" s="193">
        <f t="shared" si="56"/>
        <v>0</v>
      </c>
      <c r="Q29" s="193">
        <f t="shared" si="56"/>
        <v>0</v>
      </c>
      <c r="R29" s="193">
        <f t="shared" si="56"/>
        <v>0</v>
      </c>
      <c r="S29" s="193">
        <f t="shared" si="56"/>
        <v>0</v>
      </c>
      <c r="T29" s="194">
        <f t="shared" si="52"/>
        <v>0</v>
      </c>
      <c r="U29" s="194">
        <f t="shared" si="53"/>
        <v>0</v>
      </c>
      <c r="V29" s="171">
        <f>V63+V168+V213+V260</f>
        <v>0</v>
      </c>
      <c r="W29" s="192">
        <f t="shared" ref="W29" si="57">W63+W169+W214+W260</f>
        <v>0</v>
      </c>
      <c r="X29" s="195"/>
      <c r="Y29" s="197"/>
    </row>
    <row r="30" spans="1:25" s="196" customFormat="1" ht="18" customHeight="1">
      <c r="A30" s="610"/>
      <c r="B30" s="576"/>
      <c r="C30" s="577"/>
      <c r="D30" s="174" t="str">
        <f>серпень!D30</f>
        <v>місцевий (план), тис.грн</v>
      </c>
      <c r="E30" s="192"/>
      <c r="F30" s="193">
        <f t="shared" si="55"/>
        <v>0</v>
      </c>
      <c r="G30" s="193">
        <f t="shared" si="55"/>
        <v>178.23599999999999</v>
      </c>
      <c r="H30" s="193">
        <f t="shared" si="55"/>
        <v>256.11799999999999</v>
      </c>
      <c r="I30" s="193">
        <f t="shared" si="55"/>
        <v>167.92599999999999</v>
      </c>
      <c r="J30" s="193">
        <f t="shared" si="55"/>
        <v>24.748999999999999</v>
      </c>
      <c r="K30" s="193">
        <f t="shared" si="55"/>
        <v>28.795000000000002</v>
      </c>
      <c r="L30" s="194">
        <f t="shared" si="44"/>
        <v>655.82399999999996</v>
      </c>
      <c r="M30" s="194">
        <f t="shared" si="45"/>
        <v>109.304</v>
      </c>
      <c r="N30" s="193">
        <f t="shared" si="56"/>
        <v>28.972000000000001</v>
      </c>
      <c r="O30" s="193">
        <f t="shared" si="56"/>
        <v>28.971</v>
      </c>
      <c r="P30" s="193">
        <f t="shared" si="56"/>
        <v>24.748999999999999</v>
      </c>
      <c r="Q30" s="193">
        <f t="shared" si="56"/>
        <v>24.748999999999999</v>
      </c>
      <c r="R30" s="193">
        <f t="shared" si="56"/>
        <v>24.748999999999999</v>
      </c>
      <c r="S30" s="193">
        <f t="shared" si="56"/>
        <v>295.72399999999999</v>
      </c>
      <c r="T30" s="323">
        <f>SUM(N30:S30)</f>
        <v>427.91399999999999</v>
      </c>
      <c r="U30" s="323">
        <f>T30+L30</f>
        <v>1083.7380000000001</v>
      </c>
      <c r="V30" s="171">
        <f>V64+V169+V214+V261</f>
        <v>1083.7380000000001</v>
      </c>
      <c r="W30" s="192">
        <f>W64+W169+W214</f>
        <v>0</v>
      </c>
      <c r="X30" s="195"/>
      <c r="Y30" s="197"/>
    </row>
    <row r="31" spans="1:25" s="186" customFormat="1" ht="18" customHeight="1">
      <c r="A31" s="610"/>
      <c r="B31" s="576"/>
      <c r="C31" s="577"/>
      <c r="D31" s="178" t="str">
        <f>серпень!D31</f>
        <v>касові нат.п-ки 2025</v>
      </c>
      <c r="E31" s="180">
        <f>E65+E170+E215+E262</f>
        <v>0</v>
      </c>
      <c r="F31" s="346">
        <f>F65+F170+F215+F262</f>
        <v>0</v>
      </c>
      <c r="G31" s="346">
        <f t="shared" ref="G31:K31" si="58">G65+G170+G215+G262</f>
        <v>58.1</v>
      </c>
      <c r="H31" s="346">
        <f t="shared" si="58"/>
        <v>82.7</v>
      </c>
      <c r="I31" s="346">
        <f t="shared" si="58"/>
        <v>50.7</v>
      </c>
      <c r="J31" s="346">
        <f t="shared" si="58"/>
        <v>0</v>
      </c>
      <c r="K31" s="346">
        <f t="shared" si="58"/>
        <v>0</v>
      </c>
      <c r="L31" s="338">
        <f t="shared" si="44"/>
        <v>191.5</v>
      </c>
      <c r="M31" s="338">
        <f t="shared" si="45"/>
        <v>31.91667</v>
      </c>
      <c r="N31" s="259">
        <f>N65+N170+N215+N262</f>
        <v>0</v>
      </c>
      <c r="O31" s="259">
        <f t="shared" si="56"/>
        <v>0</v>
      </c>
      <c r="P31" s="259">
        <f t="shared" si="56"/>
        <v>0</v>
      </c>
      <c r="Q31" s="259">
        <f t="shared" si="56"/>
        <v>0</v>
      </c>
      <c r="R31" s="259">
        <f t="shared" si="56"/>
        <v>0</v>
      </c>
      <c r="S31" s="259">
        <f t="shared" si="56"/>
        <v>118.6</v>
      </c>
      <c r="T31" s="338">
        <f>SUM(N31:S31)</f>
        <v>118.6</v>
      </c>
      <c r="U31" s="338">
        <f>T31+L31</f>
        <v>310.10000000000002</v>
      </c>
      <c r="V31" s="183">
        <f t="shared" ref="V31:W31" si="59">V65+V170+V215</f>
        <v>292.39999999999998</v>
      </c>
      <c r="W31" s="184">
        <f t="shared" si="59"/>
        <v>-17.7</v>
      </c>
      <c r="X31" s="279">
        <f>U24-U31</f>
        <v>0</v>
      </c>
    </row>
    <row r="32" spans="1:25" s="190" customFormat="1" ht="18" customHeight="1">
      <c r="A32" s="610"/>
      <c r="B32" s="576"/>
      <c r="C32" s="577"/>
      <c r="D32" s="187" t="str">
        <f>серпень!D32</f>
        <v>тариф, грн.</v>
      </c>
      <c r="E32" s="188" t="e">
        <f t="shared" ref="E32:K32" si="60">E33/E31*1000</f>
        <v>#DIV/0!</v>
      </c>
      <c r="F32" s="188" t="e">
        <f t="shared" si="60"/>
        <v>#DIV/0!</v>
      </c>
      <c r="G32" s="188">
        <f t="shared" si="60"/>
        <v>3067.7280000000001</v>
      </c>
      <c r="H32" s="188">
        <f t="shared" si="60"/>
        <v>3096.9650000000001</v>
      </c>
      <c r="I32" s="188">
        <f t="shared" si="60"/>
        <v>3312.13</v>
      </c>
      <c r="J32" s="188" t="e">
        <f t="shared" si="60"/>
        <v>#DIV/0!</v>
      </c>
      <c r="K32" s="188" t="e">
        <f t="shared" si="60"/>
        <v>#DIV/0!</v>
      </c>
      <c r="L32" s="188">
        <f>L33/L31*1000</f>
        <v>3424.663</v>
      </c>
      <c r="M32" s="188">
        <f>M33/M31*1000</f>
        <v>3424.6680000000001</v>
      </c>
      <c r="N32" s="188" t="e">
        <f t="shared" ref="N32:S32" si="61">N33/N31*1000</f>
        <v>#DIV/0!</v>
      </c>
      <c r="O32" s="188" t="e">
        <f t="shared" si="61"/>
        <v>#DIV/0!</v>
      </c>
      <c r="P32" s="188" t="e">
        <f t="shared" si="61"/>
        <v>#DIV/0!</v>
      </c>
      <c r="Q32" s="188" t="e">
        <f t="shared" si="61"/>
        <v>#DIV/0!</v>
      </c>
      <c r="R32" s="188" t="e">
        <f t="shared" si="61"/>
        <v>#DIV/0!</v>
      </c>
      <c r="S32" s="188">
        <f t="shared" si="61"/>
        <v>3251.6019999999999</v>
      </c>
      <c r="T32" s="188">
        <f>T33/T31*1000</f>
        <v>4403.3639999999996</v>
      </c>
      <c r="U32" s="188">
        <f>U33/U31*1000</f>
        <v>3798.9749999999999</v>
      </c>
      <c r="V32" s="188">
        <f>V33/V31*1000</f>
        <v>3706.3539999999998</v>
      </c>
      <c r="W32" s="189">
        <f>W33/W31*1000</f>
        <v>5329.04</v>
      </c>
      <c r="X32" s="185"/>
    </row>
    <row r="33" spans="1:25" s="176" customFormat="1" ht="18" customHeight="1">
      <c r="A33" s="610"/>
      <c r="B33" s="576"/>
      <c r="C33" s="577"/>
      <c r="D33" s="198" t="str">
        <f>серпень!D33</f>
        <v>касові видатки, тис.грн.</v>
      </c>
      <c r="E33" s="199">
        <f t="shared" ref="E33" si="62">E67+E172+E217+E264</f>
        <v>0</v>
      </c>
      <c r="F33" s="199">
        <f>F67+F172+F217+F264</f>
        <v>0</v>
      </c>
      <c r="G33" s="199">
        <f t="shared" ref="G33:K33" si="63">G67+G172+G217+G264</f>
        <v>178.23500000000001</v>
      </c>
      <c r="H33" s="199">
        <f t="shared" si="63"/>
        <v>256.11900000000003</v>
      </c>
      <c r="I33" s="199">
        <f t="shared" si="63"/>
        <v>167.92500000000001</v>
      </c>
      <c r="J33" s="199">
        <f t="shared" si="63"/>
        <v>24.573</v>
      </c>
      <c r="K33" s="199">
        <f t="shared" si="63"/>
        <v>28.971</v>
      </c>
      <c r="L33" s="199">
        <f>SUM(F33:K33)</f>
        <v>655.82299999999998</v>
      </c>
      <c r="M33" s="199">
        <f>L33/6</f>
        <v>109.304</v>
      </c>
      <c r="N33" s="199">
        <f>N67+N172+N217+N264</f>
        <v>28.971</v>
      </c>
      <c r="O33" s="199">
        <f t="shared" ref="O33:S33" si="64">O67+O172+O217+O264</f>
        <v>28.971</v>
      </c>
      <c r="P33" s="199">
        <f t="shared" si="64"/>
        <v>28.971</v>
      </c>
      <c r="Q33" s="199">
        <f t="shared" si="64"/>
        <v>24.843</v>
      </c>
      <c r="R33" s="199">
        <f t="shared" si="64"/>
        <v>24.843</v>
      </c>
      <c r="S33" s="199">
        <f t="shared" si="64"/>
        <v>385.64</v>
      </c>
      <c r="T33" s="199">
        <f>SUM(N33:S33)</f>
        <v>522.23900000000003</v>
      </c>
      <c r="U33" s="199">
        <f>T33+L33</f>
        <v>1178.0619999999999</v>
      </c>
      <c r="V33" s="175">
        <f>V67+V172+V217+V264</f>
        <v>1083.7380000000001</v>
      </c>
      <c r="W33" s="200">
        <f>W67+W172+W217+W264</f>
        <v>-94.323999999999998</v>
      </c>
      <c r="X33" s="176">
        <f>U28-U33</f>
        <v>0</v>
      </c>
    </row>
    <row r="34" spans="1:25" s="176" customFormat="1" ht="18" customHeight="1">
      <c r="A34" s="610"/>
      <c r="B34" s="576"/>
      <c r="C34" s="577"/>
      <c r="D34" s="201" t="str">
        <f>серпень!D34</f>
        <v>дотація</v>
      </c>
      <c r="E34" s="199"/>
      <c r="F34" s="199">
        <f t="shared" ref="F34:K35" si="65">F68+F173+F218+F265</f>
        <v>0</v>
      </c>
      <c r="G34" s="199">
        <f t="shared" si="65"/>
        <v>0</v>
      </c>
      <c r="H34" s="199">
        <f t="shared" si="65"/>
        <v>0</v>
      </c>
      <c r="I34" s="199">
        <f t="shared" si="65"/>
        <v>0</v>
      </c>
      <c r="J34" s="199">
        <f t="shared" si="65"/>
        <v>0</v>
      </c>
      <c r="K34" s="199">
        <f t="shared" si="65"/>
        <v>0</v>
      </c>
      <c r="L34" s="199">
        <f>SUM(F34:K34)</f>
        <v>0</v>
      </c>
      <c r="M34" s="199">
        <f>L34/6</f>
        <v>0</v>
      </c>
      <c r="N34" s="199">
        <f t="shared" ref="N34:S35" si="66">N68+N173+N218+N265</f>
        <v>0</v>
      </c>
      <c r="O34" s="199">
        <f t="shared" si="66"/>
        <v>0</v>
      </c>
      <c r="P34" s="199">
        <f t="shared" si="66"/>
        <v>0</v>
      </c>
      <c r="Q34" s="199">
        <f t="shared" si="66"/>
        <v>0</v>
      </c>
      <c r="R34" s="199">
        <f t="shared" si="66"/>
        <v>0</v>
      </c>
      <c r="S34" s="199">
        <f t="shared" si="66"/>
        <v>0</v>
      </c>
      <c r="T34" s="199">
        <f>SUM(N34:S34)</f>
        <v>0</v>
      </c>
      <c r="U34" s="199">
        <f>T34+L34</f>
        <v>0</v>
      </c>
      <c r="V34" s="175">
        <f>V68+V173+V218+V265</f>
        <v>0</v>
      </c>
      <c r="W34" s="200">
        <f>V34-U34</f>
        <v>0</v>
      </c>
      <c r="X34" s="176">
        <f>U29-U34</f>
        <v>0</v>
      </c>
    </row>
    <row r="35" spans="1:25" s="176" customFormat="1" ht="18" customHeight="1">
      <c r="A35" s="610"/>
      <c r="B35" s="576"/>
      <c r="C35" s="577"/>
      <c r="D35" s="201" t="str">
        <f>серпень!D35</f>
        <v xml:space="preserve">місцевий </v>
      </c>
      <c r="E35" s="199"/>
      <c r="F35" s="199">
        <f t="shared" si="65"/>
        <v>0</v>
      </c>
      <c r="G35" s="199">
        <f t="shared" si="65"/>
        <v>178.23500000000001</v>
      </c>
      <c r="H35" s="199">
        <f t="shared" si="65"/>
        <v>256.11900000000003</v>
      </c>
      <c r="I35" s="199">
        <f t="shared" si="65"/>
        <v>167.92500000000001</v>
      </c>
      <c r="J35" s="199">
        <f t="shared" si="65"/>
        <v>24.573</v>
      </c>
      <c r="K35" s="199">
        <f t="shared" si="65"/>
        <v>28.971</v>
      </c>
      <c r="L35" s="199">
        <f>SUM(F35:K35)</f>
        <v>655.82299999999998</v>
      </c>
      <c r="M35" s="199">
        <f>L35/6</f>
        <v>109.304</v>
      </c>
      <c r="N35" s="199">
        <f t="shared" si="66"/>
        <v>28.971</v>
      </c>
      <c r="O35" s="199">
        <f t="shared" si="66"/>
        <v>28.971</v>
      </c>
      <c r="P35" s="199">
        <f t="shared" si="66"/>
        <v>28.971</v>
      </c>
      <c r="Q35" s="199">
        <f t="shared" si="66"/>
        <v>24.843</v>
      </c>
      <c r="R35" s="199">
        <f t="shared" si="66"/>
        <v>24.843</v>
      </c>
      <c r="S35" s="199">
        <f t="shared" si="66"/>
        <v>385.64</v>
      </c>
      <c r="T35" s="199">
        <f>SUM(N35:S35)</f>
        <v>522.23900000000003</v>
      </c>
      <c r="U35" s="199">
        <f>T35+L35</f>
        <v>1178.0619999999999</v>
      </c>
      <c r="V35" s="175">
        <f>V69+V174+V219+V266</f>
        <v>1083.7380000000001</v>
      </c>
      <c r="W35" s="200">
        <f>V35-U35</f>
        <v>-94.323999999999998</v>
      </c>
      <c r="X35" s="176">
        <f>U30-U35</f>
        <v>-94.323999999999998</v>
      </c>
    </row>
    <row r="36" spans="1:25" s="205" customFormat="1" ht="18" customHeight="1">
      <c r="A36" s="610"/>
      <c r="B36" s="576"/>
      <c r="C36" s="577"/>
      <c r="D36" s="202" t="str">
        <f>серпень!D36</f>
        <v>план</v>
      </c>
      <c r="E36" s="203"/>
      <c r="F36" s="203">
        <f t="shared" ref="F36:K36" si="67">F30</f>
        <v>0</v>
      </c>
      <c r="G36" s="203">
        <f t="shared" si="67"/>
        <v>178.23599999999999</v>
      </c>
      <c r="H36" s="203">
        <f t="shared" si="67"/>
        <v>256.11799999999999</v>
      </c>
      <c r="I36" s="203">
        <f>I30</f>
        <v>167.92599999999999</v>
      </c>
      <c r="J36" s="203">
        <f>J30</f>
        <v>24.748999999999999</v>
      </c>
      <c r="K36" s="203">
        <f t="shared" si="67"/>
        <v>28.795000000000002</v>
      </c>
      <c r="L36" s="203">
        <f>SUM(F36:K36)</f>
        <v>655.82399999999996</v>
      </c>
      <c r="M36" s="203">
        <f>L36/6</f>
        <v>109.304</v>
      </c>
      <c r="N36" s="203">
        <f t="shared" ref="N36:S36" si="68">N30+N29</f>
        <v>28.972000000000001</v>
      </c>
      <c r="O36" s="203">
        <f t="shared" si="68"/>
        <v>28.971</v>
      </c>
      <c r="P36" s="203">
        <f t="shared" si="68"/>
        <v>24.748999999999999</v>
      </c>
      <c r="Q36" s="203">
        <f t="shared" si="68"/>
        <v>24.748999999999999</v>
      </c>
      <c r="R36" s="203">
        <f t="shared" si="68"/>
        <v>24.748999999999999</v>
      </c>
      <c r="S36" s="203">
        <f t="shared" si="68"/>
        <v>295.72399999999999</v>
      </c>
      <c r="T36" s="203">
        <f>SUM(N36:S36)</f>
        <v>427.91399999999999</v>
      </c>
      <c r="U36" s="203">
        <f>T36+L36</f>
        <v>1083.7380000000001</v>
      </c>
      <c r="V36" s="204">
        <f>V70+V175+V220+V267</f>
        <v>1083.7380000000001</v>
      </c>
      <c r="W36" s="203">
        <f>V36-U36</f>
        <v>0</v>
      </c>
    </row>
    <row r="37" spans="1:25" s="205" customFormat="1" ht="18" customHeight="1">
      <c r="A37" s="610"/>
      <c r="B37" s="576"/>
      <c r="C37" s="577"/>
      <c r="D37" s="202" t="str">
        <f>серпень!D37</f>
        <v xml:space="preserve">відхилення </v>
      </c>
      <c r="E37" s="203"/>
      <c r="F37" s="203">
        <f t="shared" ref="F37:K37" si="69">F33-F36</f>
        <v>0</v>
      </c>
      <c r="G37" s="203">
        <f t="shared" si="69"/>
        <v>-1E-3</v>
      </c>
      <c r="H37" s="203">
        <f t="shared" si="69"/>
        <v>1E-3</v>
      </c>
      <c r="I37" s="203">
        <f t="shared" si="69"/>
        <v>-1E-3</v>
      </c>
      <c r="J37" s="203">
        <f t="shared" si="69"/>
        <v>-0.17599999999999999</v>
      </c>
      <c r="K37" s="203">
        <f t="shared" si="69"/>
        <v>0.17599999999999999</v>
      </c>
      <c r="L37" s="203"/>
      <c r="M37" s="203"/>
      <c r="N37" s="203">
        <f t="shared" ref="N37:S37" si="70">N33-N36</f>
        <v>-1E-3</v>
      </c>
      <c r="O37" s="203">
        <f t="shared" si="70"/>
        <v>0</v>
      </c>
      <c r="P37" s="203">
        <f t="shared" si="70"/>
        <v>4.2220000000000004</v>
      </c>
      <c r="Q37" s="203">
        <f t="shared" si="70"/>
        <v>9.4E-2</v>
      </c>
      <c r="R37" s="203">
        <f t="shared" si="70"/>
        <v>9.4E-2</v>
      </c>
      <c r="S37" s="203">
        <f t="shared" si="70"/>
        <v>89.915999999999997</v>
      </c>
      <c r="T37" s="203"/>
      <c r="U37" s="203"/>
      <c r="V37" s="203"/>
      <c r="W37" s="203"/>
    </row>
    <row r="38" spans="1:25" s="205" customFormat="1" ht="18" customHeight="1">
      <c r="A38" s="610"/>
      <c r="B38" s="576"/>
      <c r="C38" s="577"/>
      <c r="D38" s="202" t="str">
        <f>серпень!D38</f>
        <v>відхилення з наростаючим</v>
      </c>
      <c r="E38" s="203"/>
      <c r="F38" s="203">
        <f>F37</f>
        <v>0</v>
      </c>
      <c r="G38" s="203">
        <f>G37+F38</f>
        <v>-1E-3</v>
      </c>
      <c r="H38" s="203">
        <f>H37+G38</f>
        <v>0</v>
      </c>
      <c r="I38" s="203">
        <f>I37+H38</f>
        <v>-1E-3</v>
      </c>
      <c r="J38" s="203">
        <f>J37+I38</f>
        <v>-0.17699999999999999</v>
      </c>
      <c r="K38" s="203">
        <f>K37+J38</f>
        <v>-1E-3</v>
      </c>
      <c r="L38" s="203"/>
      <c r="M38" s="203"/>
      <c r="N38" s="203">
        <f>N37+K38</f>
        <v>-2E-3</v>
      </c>
      <c r="O38" s="203">
        <f>O37+N38</f>
        <v>-2E-3</v>
      </c>
      <c r="P38" s="203">
        <f>P37+O38</f>
        <v>4.22</v>
      </c>
      <c r="Q38" s="203">
        <f>Q37+P38</f>
        <v>4.3140000000000001</v>
      </c>
      <c r="R38" s="203">
        <f>R37+Q38</f>
        <v>4.4080000000000004</v>
      </c>
      <c r="S38" s="203">
        <f>S37+R38</f>
        <v>94.323999999999998</v>
      </c>
      <c r="T38" s="203"/>
      <c r="U38" s="203"/>
      <c r="V38" s="203"/>
      <c r="W38" s="203"/>
    </row>
    <row r="39" spans="1:25" s="206" customFormat="1" ht="18" customHeight="1">
      <c r="A39" s="610"/>
      <c r="B39" s="581" t="s">
        <v>71</v>
      </c>
      <c r="C39" s="581"/>
      <c r="D39" s="178" t="str">
        <f>серпень!D39</f>
        <v>факт. нат.п-ки 2023</v>
      </c>
      <c r="E39" s="179"/>
      <c r="F39" s="180">
        <f t="shared" ref="F39:K40" si="71">F56+F163+F208</f>
        <v>62.8</v>
      </c>
      <c r="G39" s="180">
        <f t="shared" si="71"/>
        <v>60.3</v>
      </c>
      <c r="H39" s="180">
        <f t="shared" si="71"/>
        <v>42.9</v>
      </c>
      <c r="I39" s="180">
        <f t="shared" si="71"/>
        <v>0.2</v>
      </c>
      <c r="J39" s="180">
        <f t="shared" si="71"/>
        <v>0.2</v>
      </c>
      <c r="K39" s="180">
        <f t="shared" si="71"/>
        <v>0.2</v>
      </c>
      <c r="L39" s="181">
        <f>SUM(F39:K39)</f>
        <v>166.6</v>
      </c>
      <c r="M39" s="181">
        <f>L39/6</f>
        <v>27.8</v>
      </c>
      <c r="N39" s="180">
        <f t="shared" ref="N39:S40" si="72">N56+N163+N208</f>
        <v>0.2</v>
      </c>
      <c r="O39" s="180">
        <f t="shared" si="72"/>
        <v>0.3</v>
      </c>
      <c r="P39" s="180">
        <f t="shared" si="72"/>
        <v>0.2</v>
      </c>
      <c r="Q39" s="180">
        <f t="shared" si="72"/>
        <v>0.2</v>
      </c>
      <c r="R39" s="180">
        <f t="shared" si="72"/>
        <v>40.1</v>
      </c>
      <c r="S39" s="180">
        <f t="shared" si="72"/>
        <v>69.8</v>
      </c>
      <c r="T39" s="181">
        <f>SUM(N39:S39)</f>
        <v>110.8</v>
      </c>
      <c r="U39" s="182">
        <f>T39+L39</f>
        <v>277.39999999999998</v>
      </c>
      <c r="V39" s="183">
        <f>V56+V163</f>
        <v>274.89999999999998</v>
      </c>
      <c r="W39" s="184"/>
    </row>
    <row r="40" spans="1:25" s="206" customFormat="1" ht="18" customHeight="1">
      <c r="A40" s="610"/>
      <c r="B40" s="581"/>
      <c r="C40" s="581"/>
      <c r="D40" s="178" t="str">
        <f>серпень!D40</f>
        <v>факт. нат.п-ки 2024</v>
      </c>
      <c r="E40" s="179"/>
      <c r="F40" s="180">
        <f t="shared" si="71"/>
        <v>56.4</v>
      </c>
      <c r="G40" s="180">
        <f t="shared" si="71"/>
        <v>67</v>
      </c>
      <c r="H40" s="180">
        <f t="shared" si="71"/>
        <v>51</v>
      </c>
      <c r="I40" s="180">
        <f t="shared" si="71"/>
        <v>0.2</v>
      </c>
      <c r="J40" s="180">
        <f t="shared" si="71"/>
        <v>0.2</v>
      </c>
      <c r="K40" s="180">
        <f t="shared" si="71"/>
        <v>0.2</v>
      </c>
      <c r="L40" s="181">
        <f>SUM(F40:K40)</f>
        <v>175</v>
      </c>
      <c r="M40" s="181">
        <f>L40/6</f>
        <v>29.2</v>
      </c>
      <c r="N40" s="180">
        <f t="shared" si="72"/>
        <v>0.2</v>
      </c>
      <c r="O40" s="180">
        <f t="shared" si="72"/>
        <v>0.2</v>
      </c>
      <c r="P40" s="180">
        <f t="shared" si="72"/>
        <v>0.2</v>
      </c>
      <c r="Q40" s="180">
        <f t="shared" si="72"/>
        <v>0.2</v>
      </c>
      <c r="R40" s="180">
        <f t="shared" si="72"/>
        <v>41.2</v>
      </c>
      <c r="S40" s="180">
        <f t="shared" si="72"/>
        <v>95.2</v>
      </c>
      <c r="T40" s="181">
        <f>SUM(N40:S40)</f>
        <v>137.19999999999999</v>
      </c>
      <c r="U40" s="182">
        <f>T40+L40</f>
        <v>312.2</v>
      </c>
      <c r="V40" s="183">
        <f>V57+V164</f>
        <v>309.8</v>
      </c>
      <c r="W40" s="184"/>
    </row>
    <row r="41" spans="1:25" s="206" customFormat="1" ht="18" customHeight="1">
      <c r="A41" s="610"/>
      <c r="B41" s="581"/>
      <c r="C41" s="581"/>
      <c r="D41" s="178" t="str">
        <f>серпень!D41</f>
        <v>факт. нат.п-ки 2025</v>
      </c>
      <c r="E41" s="179"/>
      <c r="F41" s="264">
        <f>F90+F135+F165+F210+F75</f>
        <v>58.344999999999999</v>
      </c>
      <c r="G41" s="264">
        <f t="shared" ref="G41:K41" si="73">G90+G135+G165+G210+G75</f>
        <v>82.935000000000002</v>
      </c>
      <c r="H41" s="264">
        <f t="shared" si="73"/>
        <v>50.935000000000002</v>
      </c>
      <c r="I41" s="264">
        <f t="shared" si="73"/>
        <v>0.23499999999999999</v>
      </c>
      <c r="J41" s="264">
        <f t="shared" si="73"/>
        <v>0.27700000000000002</v>
      </c>
      <c r="K41" s="264">
        <f t="shared" si="73"/>
        <v>0.27700000000000002</v>
      </c>
      <c r="L41" s="181">
        <f>SUM(F41:K41)</f>
        <v>193</v>
      </c>
      <c r="M41" s="181">
        <f>L41/6</f>
        <v>32.200000000000003</v>
      </c>
      <c r="N41" s="180">
        <f>N90+N135+N165+N210</f>
        <v>0</v>
      </c>
      <c r="O41" s="180">
        <f t="shared" ref="O41:S41" si="74">O90+O135+O165+O210</f>
        <v>0</v>
      </c>
      <c r="P41" s="180">
        <f t="shared" si="74"/>
        <v>0</v>
      </c>
      <c r="Q41" s="180">
        <f t="shared" si="74"/>
        <v>0</v>
      </c>
      <c r="R41" s="180">
        <f t="shared" si="74"/>
        <v>41</v>
      </c>
      <c r="S41" s="180">
        <f t="shared" si="74"/>
        <v>77.599999999999994</v>
      </c>
      <c r="T41" s="181">
        <f>SUM(N41:S41)</f>
        <v>118.6</v>
      </c>
      <c r="U41" s="182">
        <f>T41+L41</f>
        <v>311.60000000000002</v>
      </c>
      <c r="V41" s="264">
        <f t="shared" ref="V41" si="75">V58+V165+V210</f>
        <v>292.39999999999998</v>
      </c>
      <c r="W41" s="184">
        <f>V41-U41</f>
        <v>-19.2</v>
      </c>
    </row>
    <row r="42" spans="1:25" s="206" customFormat="1" ht="18" customHeight="1">
      <c r="A42" s="610"/>
      <c r="B42" s="581"/>
      <c r="C42" s="581"/>
      <c r="D42" s="187" t="str">
        <f>серпень!D42</f>
        <v>тариф, грн.</v>
      </c>
      <c r="E42" s="188"/>
      <c r="F42" s="188">
        <f t="shared" ref="F42:S42" si="76">F43/F41*1000</f>
        <v>2635.2730000000001</v>
      </c>
      <c r="G42" s="188">
        <f t="shared" si="76"/>
        <v>2791.8969999999999</v>
      </c>
      <c r="H42" s="188">
        <f t="shared" si="76"/>
        <v>2814.4110000000001</v>
      </c>
      <c r="I42" s="188">
        <f>I43/I41*1000</f>
        <v>0</v>
      </c>
      <c r="J42" s="188">
        <f>J43/J41*1000</f>
        <v>0</v>
      </c>
      <c r="K42" s="188">
        <f t="shared" si="76"/>
        <v>0</v>
      </c>
      <c r="L42" s="188">
        <f t="shared" si="76"/>
        <v>2739.1350000000002</v>
      </c>
      <c r="M42" s="188">
        <f t="shared" si="76"/>
        <v>2736.3040000000001</v>
      </c>
      <c r="N42" s="188" t="e">
        <f t="shared" si="76"/>
        <v>#DIV/0!</v>
      </c>
      <c r="O42" s="188" t="e">
        <f t="shared" si="76"/>
        <v>#DIV/0!</v>
      </c>
      <c r="P42" s="188" t="e">
        <f t="shared" si="76"/>
        <v>#DIV/0!</v>
      </c>
      <c r="Q42" s="188" t="e">
        <f t="shared" si="76"/>
        <v>#DIV/0!</v>
      </c>
      <c r="R42" s="188">
        <f t="shared" si="76"/>
        <v>2804.585</v>
      </c>
      <c r="S42" s="188">
        <f t="shared" si="76"/>
        <v>2847.5</v>
      </c>
      <c r="T42" s="188">
        <f>T43/T41*1000</f>
        <v>2832.6640000000002</v>
      </c>
      <c r="U42" s="188">
        <f>U43/U41*1000</f>
        <v>2774.7339999999999</v>
      </c>
      <c r="V42" s="188">
        <f>V43/V41*1000</f>
        <v>2690.663</v>
      </c>
      <c r="W42" s="189">
        <f>W43/W41*1000</f>
        <v>4055.0520000000001</v>
      </c>
    </row>
    <row r="43" spans="1:25" s="206" customFormat="1" ht="18" customHeight="1">
      <c r="A43" s="610"/>
      <c r="B43" s="581"/>
      <c r="C43" s="581"/>
      <c r="D43" s="191" t="str">
        <f>серпень!D43</f>
        <v>сума, тис.грн.</v>
      </c>
      <c r="E43" s="192"/>
      <c r="F43" s="193">
        <f>F92+F137+F167+F212</f>
        <v>153.755</v>
      </c>
      <c r="G43" s="193">
        <f t="shared" ref="G43:K43" si="77">G92+G137+G167+G212</f>
        <v>231.54599999999999</v>
      </c>
      <c r="H43" s="193">
        <f t="shared" si="77"/>
        <v>143.352</v>
      </c>
      <c r="I43" s="193">
        <f t="shared" si="77"/>
        <v>0</v>
      </c>
      <c r="J43" s="193">
        <f t="shared" si="77"/>
        <v>0</v>
      </c>
      <c r="K43" s="193">
        <f t="shared" si="77"/>
        <v>0</v>
      </c>
      <c r="L43" s="194">
        <f t="shared" ref="L43:L48" si="78">SUM(F43:K43)</f>
        <v>528.65300000000002</v>
      </c>
      <c r="M43" s="194">
        <f t="shared" ref="M43:M48" si="79">L43/6</f>
        <v>88.108999999999995</v>
      </c>
      <c r="N43" s="193">
        <f>N92+N137+N167+N212</f>
        <v>0</v>
      </c>
      <c r="O43" s="193">
        <f t="shared" ref="O43:S43" si="80">O92+O137+O167+O212</f>
        <v>0</v>
      </c>
      <c r="P43" s="193">
        <f t="shared" si="80"/>
        <v>0</v>
      </c>
      <c r="Q43" s="193">
        <f t="shared" si="80"/>
        <v>0</v>
      </c>
      <c r="R43" s="193">
        <f t="shared" si="80"/>
        <v>114.988</v>
      </c>
      <c r="S43" s="193">
        <f t="shared" si="80"/>
        <v>220.96600000000001</v>
      </c>
      <c r="T43" s="194">
        <f>SUM(N43:S43)</f>
        <v>335.95400000000001</v>
      </c>
      <c r="U43" s="194">
        <f>T43+L43</f>
        <v>864.60699999999997</v>
      </c>
      <c r="V43" s="171">
        <f>V60+V167+V212</f>
        <v>786.75</v>
      </c>
      <c r="W43" s="193">
        <f>V43-U43</f>
        <v>-77.856999999999999</v>
      </c>
    </row>
    <row r="44" spans="1:25" s="206" customFormat="1" ht="18" customHeight="1">
      <c r="A44" s="610"/>
      <c r="B44" s="581"/>
      <c r="C44" s="581"/>
      <c r="D44" s="174" t="str">
        <f>серпень!D44</f>
        <v>абоненська плата, тис.грн.</v>
      </c>
      <c r="E44" s="192"/>
      <c r="F44" s="193">
        <f>F77+F107+F122+F152</f>
        <v>24.48</v>
      </c>
      <c r="G44" s="193">
        <f t="shared" ref="G44:K44" si="81">G77+G107+G122+G152</f>
        <v>24.573</v>
      </c>
      <c r="H44" s="193">
        <f t="shared" si="81"/>
        <v>24.573</v>
      </c>
      <c r="I44" s="193">
        <f t="shared" si="81"/>
        <v>24.573</v>
      </c>
      <c r="J44" s="193">
        <f t="shared" si="81"/>
        <v>28.971</v>
      </c>
      <c r="K44" s="193">
        <f t="shared" si="81"/>
        <v>28.971</v>
      </c>
      <c r="L44" s="194">
        <f t="shared" si="78"/>
        <v>156.14099999999999</v>
      </c>
      <c r="M44" s="194">
        <f t="shared" si="79"/>
        <v>26.024000000000001</v>
      </c>
      <c r="N44" s="193">
        <f>N77+N107+N122+N152</f>
        <v>28.971</v>
      </c>
      <c r="O44" s="193">
        <f t="shared" ref="O44:S44" si="82">O77+O107+O122+O152</f>
        <v>28.971</v>
      </c>
      <c r="P44" s="193">
        <f t="shared" si="82"/>
        <v>24.843</v>
      </c>
      <c r="Q44" s="193">
        <f t="shared" si="82"/>
        <v>24.843</v>
      </c>
      <c r="R44" s="193">
        <f t="shared" si="82"/>
        <v>24.843</v>
      </c>
      <c r="S44" s="193">
        <f t="shared" si="82"/>
        <v>24.843</v>
      </c>
      <c r="T44" s="194">
        <f t="shared" ref="T44:T46" si="83">SUM(N44:S44)</f>
        <v>157.31399999999999</v>
      </c>
      <c r="U44" s="194">
        <f t="shared" ref="U44:U46" si="84">T44+L44</f>
        <v>313.45499999999998</v>
      </c>
      <c r="V44" s="171">
        <f t="shared" ref="V44" si="85">V77+V107+V122+V152</f>
        <v>296.988</v>
      </c>
      <c r="W44" s="193">
        <f t="shared" ref="W44:W45" si="86">V44-U44</f>
        <v>-16.466999999999999</v>
      </c>
    </row>
    <row r="45" spans="1:25" s="206" customFormat="1" ht="18" customHeight="1">
      <c r="A45" s="610"/>
      <c r="B45" s="581"/>
      <c r="C45" s="581"/>
      <c r="D45" s="174" t="str">
        <f>серпень!D45</f>
        <v>разом сума тис. грн+абонплата</v>
      </c>
      <c r="E45" s="192"/>
      <c r="F45" s="193">
        <f>F43+F44</f>
        <v>178.23500000000001</v>
      </c>
      <c r="G45" s="193">
        <f t="shared" ref="G45:K45" si="87">G43+G44</f>
        <v>256.11900000000003</v>
      </c>
      <c r="H45" s="193">
        <f t="shared" si="87"/>
        <v>167.92500000000001</v>
      </c>
      <c r="I45" s="193">
        <f t="shared" si="87"/>
        <v>24.573</v>
      </c>
      <c r="J45" s="193">
        <f t="shared" si="87"/>
        <v>28.971</v>
      </c>
      <c r="K45" s="193">
        <f t="shared" si="87"/>
        <v>28.971</v>
      </c>
      <c r="L45" s="194">
        <f t="shared" si="78"/>
        <v>684.79399999999998</v>
      </c>
      <c r="M45" s="194">
        <f t="shared" si="79"/>
        <v>114.13200000000001</v>
      </c>
      <c r="N45" s="193">
        <f t="shared" ref="N45:S45" si="88">N43+N44</f>
        <v>28.971</v>
      </c>
      <c r="O45" s="193">
        <f t="shared" si="88"/>
        <v>28.971</v>
      </c>
      <c r="P45" s="193">
        <f t="shared" si="88"/>
        <v>24.843</v>
      </c>
      <c r="Q45" s="193">
        <f t="shared" si="88"/>
        <v>24.843</v>
      </c>
      <c r="R45" s="193">
        <f t="shared" si="88"/>
        <v>139.83099999999999</v>
      </c>
      <c r="S45" s="193">
        <f t="shared" si="88"/>
        <v>245.809</v>
      </c>
      <c r="T45" s="194">
        <f t="shared" ref="T45" si="89">SUM(N45:S45)</f>
        <v>493.26799999999997</v>
      </c>
      <c r="U45" s="194">
        <f t="shared" si="84"/>
        <v>1178.0619999999999</v>
      </c>
      <c r="V45" s="171">
        <f t="shared" ref="V45" si="90">V43+V44</f>
        <v>1083.7380000000001</v>
      </c>
      <c r="W45" s="193">
        <f t="shared" si="86"/>
        <v>-94.323999999999998</v>
      </c>
    </row>
    <row r="46" spans="1:25" s="206" customFormat="1" ht="18" customHeight="1">
      <c r="A46" s="610"/>
      <c r="B46" s="581"/>
      <c r="C46" s="581"/>
      <c r="D46" s="174" t="str">
        <f>серпень!D46</f>
        <v>дотація</v>
      </c>
      <c r="E46" s="192"/>
      <c r="F46" s="193">
        <f>F63+F168+F213</f>
        <v>0</v>
      </c>
      <c r="G46" s="193">
        <f t="shared" ref="G46:K47" si="91">G63+G168+G213</f>
        <v>0</v>
      </c>
      <c r="H46" s="193">
        <f t="shared" si="91"/>
        <v>0</v>
      </c>
      <c r="I46" s="193">
        <f t="shared" si="91"/>
        <v>0</v>
      </c>
      <c r="J46" s="193">
        <f t="shared" si="91"/>
        <v>0</v>
      </c>
      <c r="K46" s="193">
        <f t="shared" si="91"/>
        <v>0</v>
      </c>
      <c r="L46" s="194">
        <f t="shared" si="78"/>
        <v>0</v>
      </c>
      <c r="M46" s="194">
        <f t="shared" si="79"/>
        <v>0</v>
      </c>
      <c r="N46" s="193">
        <f t="shared" ref="N46:S47" si="92">N63+N168+N213</f>
        <v>0</v>
      </c>
      <c r="O46" s="193">
        <f t="shared" si="92"/>
        <v>0</v>
      </c>
      <c r="P46" s="193">
        <f t="shared" si="92"/>
        <v>0</v>
      </c>
      <c r="Q46" s="193">
        <f t="shared" si="92"/>
        <v>0</v>
      </c>
      <c r="R46" s="193">
        <f t="shared" si="92"/>
        <v>0</v>
      </c>
      <c r="S46" s="193">
        <f t="shared" si="92"/>
        <v>0</v>
      </c>
      <c r="T46" s="194">
        <f t="shared" si="83"/>
        <v>0</v>
      </c>
      <c r="U46" s="194">
        <f t="shared" si="84"/>
        <v>0</v>
      </c>
      <c r="V46" s="171">
        <f t="shared" ref="V46" si="93">V63+V168+V213</f>
        <v>0</v>
      </c>
      <c r="W46" s="192">
        <f>V46-U46</f>
        <v>0</v>
      </c>
    </row>
    <row r="47" spans="1:25" s="206" customFormat="1" ht="18" customHeight="1">
      <c r="A47" s="610"/>
      <c r="B47" s="581"/>
      <c r="C47" s="581"/>
      <c r="D47" s="174" t="str">
        <f>серпень!D47</f>
        <v>місцевий (план), тис.грн</v>
      </c>
      <c r="E47" s="192"/>
      <c r="F47" s="193">
        <f>F64+F169+F214</f>
        <v>0</v>
      </c>
      <c r="G47" s="193">
        <f t="shared" si="91"/>
        <v>178.23599999999999</v>
      </c>
      <c r="H47" s="193">
        <f t="shared" si="91"/>
        <v>256.11799999999999</v>
      </c>
      <c r="I47" s="193">
        <f t="shared" si="91"/>
        <v>167.92599999999999</v>
      </c>
      <c r="J47" s="193">
        <f t="shared" si="91"/>
        <v>24.748999999999999</v>
      </c>
      <c r="K47" s="193">
        <f t="shared" si="91"/>
        <v>28.795000000000002</v>
      </c>
      <c r="L47" s="194">
        <f t="shared" si="78"/>
        <v>655.82399999999996</v>
      </c>
      <c r="M47" s="194">
        <f t="shared" si="79"/>
        <v>109.304</v>
      </c>
      <c r="N47" s="193">
        <f t="shared" si="92"/>
        <v>28.972000000000001</v>
      </c>
      <c r="O47" s="193">
        <f t="shared" si="92"/>
        <v>28.971</v>
      </c>
      <c r="P47" s="193">
        <f t="shared" si="92"/>
        <v>24.748999999999999</v>
      </c>
      <c r="Q47" s="193">
        <f t="shared" si="92"/>
        <v>24.748999999999999</v>
      </c>
      <c r="R47" s="193">
        <f t="shared" si="92"/>
        <v>24.748999999999999</v>
      </c>
      <c r="S47" s="193">
        <f t="shared" si="92"/>
        <v>295.72399999999999</v>
      </c>
      <c r="T47" s="194">
        <f>SUM(N47:S47)</f>
        <v>427.91399999999999</v>
      </c>
      <c r="U47" s="194">
        <f>T47+L47</f>
        <v>1083.7380000000001</v>
      </c>
      <c r="V47" s="171">
        <f t="shared" ref="V47" si="94">V64+V169+V214</f>
        <v>1083.7380000000001</v>
      </c>
      <c r="W47" s="192">
        <f>V47-U47</f>
        <v>0</v>
      </c>
    </row>
    <row r="48" spans="1:25" s="206" customFormat="1" ht="18" customHeight="1">
      <c r="A48" s="610"/>
      <c r="B48" s="581"/>
      <c r="C48" s="581"/>
      <c r="D48" s="178" t="str">
        <f>серпень!D48</f>
        <v>касові нат.п-ки 2025</v>
      </c>
      <c r="E48" s="179">
        <f t="shared" ref="E48" si="95">E65+E170+E215</f>
        <v>0</v>
      </c>
      <c r="F48" s="264">
        <f>F95+F140+F172+F217+F80</f>
        <v>0</v>
      </c>
      <c r="G48" s="264">
        <f t="shared" ref="G48:K48" si="96">G95+G140+G172+G217+G80</f>
        <v>58.344999999999999</v>
      </c>
      <c r="H48" s="264">
        <f t="shared" si="96"/>
        <v>82.935000000000002</v>
      </c>
      <c r="I48" s="264">
        <f t="shared" si="96"/>
        <v>50.935000000000002</v>
      </c>
      <c r="J48" s="264">
        <f t="shared" si="96"/>
        <v>0.23499999999999999</v>
      </c>
      <c r="K48" s="264">
        <f t="shared" si="96"/>
        <v>0.27700000000000002</v>
      </c>
      <c r="L48" s="181">
        <f t="shared" si="78"/>
        <v>192.7</v>
      </c>
      <c r="M48" s="181">
        <f t="shared" si="79"/>
        <v>32.1</v>
      </c>
      <c r="N48" s="264">
        <f>N95+N140+N170+N215+N80</f>
        <v>0.27700000000000002</v>
      </c>
      <c r="O48" s="264">
        <f t="shared" ref="O48:S48" si="97">O95+O140+O170+O215</f>
        <v>0</v>
      </c>
      <c r="P48" s="264">
        <f t="shared" si="97"/>
        <v>0</v>
      </c>
      <c r="Q48" s="264">
        <f t="shared" si="97"/>
        <v>0</v>
      </c>
      <c r="R48" s="264">
        <f t="shared" si="97"/>
        <v>0</v>
      </c>
      <c r="S48" s="264">
        <f t="shared" si="97"/>
        <v>118.6</v>
      </c>
      <c r="T48" s="181">
        <f>SUM(N48:S48)</f>
        <v>118.9</v>
      </c>
      <c r="U48" s="181">
        <f>T48+L48</f>
        <v>311.60000000000002</v>
      </c>
      <c r="V48" s="260">
        <f t="shared" ref="V48" si="98">V80+V95+V110+V125+V140+V155+V170+V215</f>
        <v>295.25400000000002</v>
      </c>
      <c r="W48" s="184">
        <f>V48-U48</f>
        <v>-16.3</v>
      </c>
      <c r="X48" s="206">
        <f>U41-U48</f>
        <v>0</v>
      </c>
      <c r="Y48" s="176"/>
    </row>
    <row r="49" spans="1:24" s="206" customFormat="1" ht="18" customHeight="1">
      <c r="A49" s="610"/>
      <c r="B49" s="581"/>
      <c r="C49" s="581"/>
      <c r="D49" s="187" t="str">
        <f>серпень!D49</f>
        <v>тариф, грн.</v>
      </c>
      <c r="E49" s="188" t="e">
        <f t="shared" ref="E49:S49" si="99">E50/E48*1000</f>
        <v>#DIV/0!</v>
      </c>
      <c r="F49" s="188" t="e">
        <f t="shared" si="99"/>
        <v>#DIV/0!</v>
      </c>
      <c r="G49" s="188">
        <f t="shared" si="99"/>
        <v>3054.846</v>
      </c>
      <c r="H49" s="188">
        <f t="shared" si="99"/>
        <v>3088.19</v>
      </c>
      <c r="I49" s="188">
        <f>I50/I48*1000</f>
        <v>3296.8490000000002</v>
      </c>
      <c r="J49" s="188">
        <f>J50/J48*1000</f>
        <v>104565.95699999999</v>
      </c>
      <c r="K49" s="188">
        <f t="shared" si="99"/>
        <v>104588.448</v>
      </c>
      <c r="L49" s="188">
        <f t="shared" si="99"/>
        <v>3403.337</v>
      </c>
      <c r="M49" s="188">
        <f t="shared" si="99"/>
        <v>3405.1089999999999</v>
      </c>
      <c r="N49" s="188">
        <f t="shared" si="99"/>
        <v>104588.448</v>
      </c>
      <c r="O49" s="188" t="e">
        <f t="shared" si="99"/>
        <v>#DIV/0!</v>
      </c>
      <c r="P49" s="188" t="e">
        <f t="shared" si="99"/>
        <v>#DIV/0!</v>
      </c>
      <c r="Q49" s="188" t="e">
        <f t="shared" si="99"/>
        <v>#DIV/0!</v>
      </c>
      <c r="R49" s="188" t="e">
        <f t="shared" si="99"/>
        <v>#DIV/0!</v>
      </c>
      <c r="S49" s="188">
        <f t="shared" si="99"/>
        <v>3251.6019999999999</v>
      </c>
      <c r="T49" s="188">
        <f>T50/T48*1000</f>
        <v>4392.2539999999999</v>
      </c>
      <c r="U49" s="188">
        <f>U50/U48*1000</f>
        <v>3780.6869999999999</v>
      </c>
      <c r="V49" s="188">
        <f>V50/V48*1000</f>
        <v>3670.5279999999998</v>
      </c>
      <c r="W49" s="189">
        <f>W50/W48*1000</f>
        <v>5786.7479999999996</v>
      </c>
    </row>
    <row r="50" spans="1:24" s="176" customFormat="1" ht="18" customHeight="1">
      <c r="A50" s="610"/>
      <c r="B50" s="581"/>
      <c r="C50" s="581"/>
      <c r="D50" s="198" t="str">
        <f>серпень!D50</f>
        <v>касові видатки, тис.грн.</v>
      </c>
      <c r="E50" s="199">
        <f t="shared" ref="E50" si="100">E67+E172+E217</f>
        <v>0</v>
      </c>
      <c r="F50" s="199">
        <f>F67+F172+F217</f>
        <v>0</v>
      </c>
      <c r="G50" s="199">
        <f t="shared" ref="F50:K52" si="101">G67+G172+G217</f>
        <v>178.23500000000001</v>
      </c>
      <c r="H50" s="199">
        <f>H67+H172+H217</f>
        <v>256.11900000000003</v>
      </c>
      <c r="I50" s="199">
        <f t="shared" si="101"/>
        <v>167.92500000000001</v>
      </c>
      <c r="J50" s="199">
        <f t="shared" si="101"/>
        <v>24.573</v>
      </c>
      <c r="K50" s="199">
        <f t="shared" si="101"/>
        <v>28.971</v>
      </c>
      <c r="L50" s="199">
        <f>SUM(F50:K50)</f>
        <v>655.82299999999998</v>
      </c>
      <c r="M50" s="199">
        <f>L50/6</f>
        <v>109.304</v>
      </c>
      <c r="N50" s="199">
        <f>N67+N172+N217</f>
        <v>28.971</v>
      </c>
      <c r="O50" s="199">
        <f t="shared" ref="O50:S50" si="102">O67+O172+O217</f>
        <v>28.971</v>
      </c>
      <c r="P50" s="199">
        <f t="shared" si="102"/>
        <v>28.971</v>
      </c>
      <c r="Q50" s="199">
        <f t="shared" si="102"/>
        <v>24.843</v>
      </c>
      <c r="R50" s="199">
        <f t="shared" si="102"/>
        <v>24.843</v>
      </c>
      <c r="S50" s="199">
        <f t="shared" si="102"/>
        <v>385.64</v>
      </c>
      <c r="T50" s="199">
        <f>SUM(N50:S50)</f>
        <v>522.23900000000003</v>
      </c>
      <c r="U50" s="199">
        <f>T50+L50</f>
        <v>1178.0619999999999</v>
      </c>
      <c r="V50" s="199">
        <f t="shared" ref="V50" si="103">V67+V172+V217</f>
        <v>1083.7380000000001</v>
      </c>
      <c r="W50" s="200">
        <f>V50-U50</f>
        <v>-94.323999999999998</v>
      </c>
      <c r="X50" s="176">
        <f>U45-U50</f>
        <v>0</v>
      </c>
    </row>
    <row r="51" spans="1:24" s="176" customFormat="1" ht="18" customHeight="1">
      <c r="A51" s="610"/>
      <c r="B51" s="581"/>
      <c r="C51" s="581"/>
      <c r="D51" s="201" t="str">
        <f>серпень!D51</f>
        <v>дотація</v>
      </c>
      <c r="E51" s="199"/>
      <c r="F51" s="199">
        <f>F68+F173+F218</f>
        <v>0</v>
      </c>
      <c r="G51" s="199">
        <f t="shared" si="101"/>
        <v>0</v>
      </c>
      <c r="H51" s="199">
        <f t="shared" si="101"/>
        <v>0</v>
      </c>
      <c r="I51" s="199">
        <f t="shared" si="101"/>
        <v>0</v>
      </c>
      <c r="J51" s="199">
        <f t="shared" si="101"/>
        <v>0</v>
      </c>
      <c r="K51" s="199">
        <f t="shared" si="101"/>
        <v>0</v>
      </c>
      <c r="L51" s="199">
        <f>SUM(F51:K51)</f>
        <v>0</v>
      </c>
      <c r="M51" s="199">
        <f>L51/6</f>
        <v>0</v>
      </c>
      <c r="N51" s="199">
        <f t="shared" ref="N51:S52" si="104">N68+N173+N218</f>
        <v>0</v>
      </c>
      <c r="O51" s="199">
        <f t="shared" si="104"/>
        <v>0</v>
      </c>
      <c r="P51" s="199">
        <f t="shared" si="104"/>
        <v>0</v>
      </c>
      <c r="Q51" s="199">
        <f t="shared" si="104"/>
        <v>0</v>
      </c>
      <c r="R51" s="199">
        <f t="shared" si="104"/>
        <v>0</v>
      </c>
      <c r="S51" s="199">
        <f t="shared" si="104"/>
        <v>0</v>
      </c>
      <c r="T51" s="199">
        <f>SUM(N51:S51)</f>
        <v>0</v>
      </c>
      <c r="U51" s="199">
        <f>T51+L51</f>
        <v>0</v>
      </c>
      <c r="V51" s="199">
        <f t="shared" ref="V51" si="105">V68+V173+V218</f>
        <v>0</v>
      </c>
      <c r="W51" s="200">
        <f>V51-U51</f>
        <v>0</v>
      </c>
      <c r="X51" s="176">
        <f>U46-U51</f>
        <v>0</v>
      </c>
    </row>
    <row r="52" spans="1:24" s="176" customFormat="1" ht="18" customHeight="1">
      <c r="A52" s="610"/>
      <c r="B52" s="581"/>
      <c r="C52" s="581"/>
      <c r="D52" s="201" t="str">
        <f>серпень!D52</f>
        <v xml:space="preserve">місцевий </v>
      </c>
      <c r="E52" s="199"/>
      <c r="F52" s="199">
        <f t="shared" si="101"/>
        <v>0</v>
      </c>
      <c r="G52" s="199">
        <f t="shared" si="101"/>
        <v>178.23500000000001</v>
      </c>
      <c r="H52" s="199">
        <f t="shared" si="101"/>
        <v>256.11900000000003</v>
      </c>
      <c r="I52" s="199">
        <f>I69+I174+I219</f>
        <v>167.92500000000001</v>
      </c>
      <c r="J52" s="199">
        <f t="shared" si="101"/>
        <v>24.573</v>
      </c>
      <c r="K52" s="199">
        <f t="shared" si="101"/>
        <v>28.971</v>
      </c>
      <c r="L52" s="199">
        <f>SUM(F52:K52)</f>
        <v>655.82299999999998</v>
      </c>
      <c r="M52" s="199">
        <f>L52/6</f>
        <v>109.304</v>
      </c>
      <c r="N52" s="199">
        <f t="shared" si="104"/>
        <v>28.971</v>
      </c>
      <c r="O52" s="199">
        <f t="shared" si="104"/>
        <v>28.971</v>
      </c>
      <c r="P52" s="199">
        <f t="shared" si="104"/>
        <v>28.971</v>
      </c>
      <c r="Q52" s="199">
        <f t="shared" si="104"/>
        <v>24.843</v>
      </c>
      <c r="R52" s="199">
        <f t="shared" si="104"/>
        <v>24.843</v>
      </c>
      <c r="S52" s="199">
        <f t="shared" si="104"/>
        <v>385.64</v>
      </c>
      <c r="T52" s="199">
        <f>SUM(N52:S52)</f>
        <v>522.23900000000003</v>
      </c>
      <c r="U52" s="199">
        <f>T52+L52</f>
        <v>1178.0619999999999</v>
      </c>
      <c r="V52" s="199">
        <f t="shared" ref="V52" si="106">V69+V174+V219</f>
        <v>1083.7380000000001</v>
      </c>
      <c r="W52" s="200">
        <f>V52-U52</f>
        <v>-94.323999999999998</v>
      </c>
      <c r="X52" s="176">
        <f>U47-U52</f>
        <v>-94.323999999999998</v>
      </c>
    </row>
    <row r="53" spans="1:24" s="205" customFormat="1" ht="18" customHeight="1">
      <c r="A53" s="610"/>
      <c r="B53" s="581"/>
      <c r="C53" s="581"/>
      <c r="D53" s="202" t="str">
        <f>серпень!D53</f>
        <v>план</v>
      </c>
      <c r="E53" s="203"/>
      <c r="F53" s="203">
        <f t="shared" ref="F53:K53" si="107">F47</f>
        <v>0</v>
      </c>
      <c r="G53" s="203">
        <f t="shared" si="107"/>
        <v>178.23599999999999</v>
      </c>
      <c r="H53" s="203">
        <f t="shared" si="107"/>
        <v>256.11799999999999</v>
      </c>
      <c r="I53" s="203">
        <f t="shared" si="107"/>
        <v>167.92599999999999</v>
      </c>
      <c r="J53" s="203">
        <f t="shared" si="107"/>
        <v>24.748999999999999</v>
      </c>
      <c r="K53" s="203">
        <f t="shared" si="107"/>
        <v>28.795000000000002</v>
      </c>
      <c r="L53" s="203">
        <f>SUM(F53:K53)</f>
        <v>655.82399999999996</v>
      </c>
      <c r="M53" s="203">
        <f>L53/6</f>
        <v>109.304</v>
      </c>
      <c r="N53" s="203">
        <f>N47+N46</f>
        <v>28.972000000000001</v>
      </c>
      <c r="O53" s="203">
        <f t="shared" ref="O53:S53" si="108">O47+O46</f>
        <v>28.971</v>
      </c>
      <c r="P53" s="203">
        <f t="shared" si="108"/>
        <v>24.748999999999999</v>
      </c>
      <c r="Q53" s="203">
        <f t="shared" si="108"/>
        <v>24.748999999999999</v>
      </c>
      <c r="R53" s="203">
        <f t="shared" si="108"/>
        <v>24.748999999999999</v>
      </c>
      <c r="S53" s="203">
        <f t="shared" si="108"/>
        <v>295.72399999999999</v>
      </c>
      <c r="T53" s="203">
        <f>SUM(N53:S53)</f>
        <v>427.91399999999999</v>
      </c>
      <c r="U53" s="203">
        <f>T53+L53</f>
        <v>1083.7380000000001</v>
      </c>
      <c r="V53" s="203">
        <f t="shared" ref="V53" si="109">V47+V46</f>
        <v>1083.7380000000001</v>
      </c>
      <c r="W53" s="203">
        <f>V53-U53</f>
        <v>0</v>
      </c>
    </row>
    <row r="54" spans="1:24" s="205" customFormat="1" ht="18" customHeight="1">
      <c r="A54" s="610"/>
      <c r="B54" s="581"/>
      <c r="C54" s="581"/>
      <c r="D54" s="202" t="str">
        <f>серпень!D54</f>
        <v xml:space="preserve">відхилення </v>
      </c>
      <c r="E54" s="203"/>
      <c r="F54" s="203">
        <f t="shared" ref="F54:K54" si="110">F50-F53</f>
        <v>0</v>
      </c>
      <c r="G54" s="203">
        <f t="shared" si="110"/>
        <v>-1E-3</v>
      </c>
      <c r="H54" s="203">
        <f t="shared" si="110"/>
        <v>1E-3</v>
      </c>
      <c r="I54" s="203">
        <f t="shared" si="110"/>
        <v>-1E-3</v>
      </c>
      <c r="J54" s="203">
        <f t="shared" si="110"/>
        <v>-0.17599999999999999</v>
      </c>
      <c r="K54" s="203">
        <f t="shared" si="110"/>
        <v>0.17599999999999999</v>
      </c>
      <c r="L54" s="203"/>
      <c r="M54" s="203"/>
      <c r="N54" s="203">
        <f t="shared" ref="N54:S54" si="111">N50-N53</f>
        <v>-1E-3</v>
      </c>
      <c r="O54" s="203">
        <f t="shared" si="111"/>
        <v>0</v>
      </c>
      <c r="P54" s="203">
        <f t="shared" si="111"/>
        <v>4.2220000000000004</v>
      </c>
      <c r="Q54" s="203">
        <f t="shared" si="111"/>
        <v>9.4E-2</v>
      </c>
      <c r="R54" s="203">
        <f t="shared" si="111"/>
        <v>9.4E-2</v>
      </c>
      <c r="S54" s="203">
        <f t="shared" si="111"/>
        <v>89.915999999999997</v>
      </c>
      <c r="T54" s="203"/>
      <c r="U54" s="203"/>
      <c r="V54" s="203"/>
      <c r="W54" s="203"/>
    </row>
    <row r="55" spans="1:24" s="205" customFormat="1" ht="18" customHeight="1">
      <c r="A55" s="610"/>
      <c r="B55" s="581"/>
      <c r="C55" s="581"/>
      <c r="D55" s="202" t="str">
        <f>серпень!D55</f>
        <v>відхилення з наростаючим</v>
      </c>
      <c r="E55" s="203"/>
      <c r="F55" s="203">
        <f>F54</f>
        <v>0</v>
      </c>
      <c r="G55" s="203">
        <f>G54+F55</f>
        <v>-1E-3</v>
      </c>
      <c r="H55" s="203">
        <f>H54+G55</f>
        <v>0</v>
      </c>
      <c r="I55" s="203">
        <f>I54+H55</f>
        <v>-1E-3</v>
      </c>
      <c r="J55" s="203">
        <f>J54+I55</f>
        <v>-0.17699999999999999</v>
      </c>
      <c r="K55" s="203">
        <f>K54+J55</f>
        <v>-1E-3</v>
      </c>
      <c r="L55" s="203"/>
      <c r="M55" s="203"/>
      <c r="N55" s="203">
        <f>N54+K55</f>
        <v>-2E-3</v>
      </c>
      <c r="O55" s="203">
        <f>O54+N55</f>
        <v>-2E-3</v>
      </c>
      <c r="P55" s="203">
        <f>P54+O55</f>
        <v>4.22</v>
      </c>
      <c r="Q55" s="203">
        <f>Q54+P55</f>
        <v>4.3140000000000001</v>
      </c>
      <c r="R55" s="203">
        <f>R54+Q55</f>
        <v>4.4080000000000004</v>
      </c>
      <c r="S55" s="203">
        <f>S54+R55</f>
        <v>94.323999999999998</v>
      </c>
      <c r="T55" s="203"/>
      <c r="U55" s="203"/>
      <c r="V55" s="203"/>
      <c r="W55" s="203"/>
    </row>
    <row r="56" spans="1:24" s="209" customFormat="1" ht="18" customHeight="1">
      <c r="A56" s="610"/>
      <c r="B56" s="580" t="s">
        <v>53</v>
      </c>
      <c r="C56" s="575"/>
      <c r="D56" s="178" t="str">
        <f>серпень!D56</f>
        <v>факт. нат.п-ки 2023</v>
      </c>
      <c r="E56" s="179"/>
      <c r="F56" s="180">
        <f t="shared" ref="F56:K57" si="112">F73+F88+F103+F118+F133+F148</f>
        <v>62.8</v>
      </c>
      <c r="G56" s="180">
        <f t="shared" si="112"/>
        <v>60.3</v>
      </c>
      <c r="H56" s="180">
        <f t="shared" si="112"/>
        <v>42.9</v>
      </c>
      <c r="I56" s="180">
        <f t="shared" si="112"/>
        <v>0.2</v>
      </c>
      <c r="J56" s="180">
        <f t="shared" si="112"/>
        <v>0.2</v>
      </c>
      <c r="K56" s="180">
        <f t="shared" si="112"/>
        <v>0.2</v>
      </c>
      <c r="L56" s="207">
        <f>SUM(F56:K56)</f>
        <v>166.6</v>
      </c>
      <c r="M56" s="207">
        <f>L56/6</f>
        <v>27.8</v>
      </c>
      <c r="N56" s="180">
        <f t="shared" ref="N56:S57" si="113">N73+N88+N103+N118+N133+N148</f>
        <v>0.2</v>
      </c>
      <c r="O56" s="180">
        <f t="shared" si="113"/>
        <v>0.3</v>
      </c>
      <c r="P56" s="180">
        <f t="shared" si="113"/>
        <v>0.2</v>
      </c>
      <c r="Q56" s="180">
        <f t="shared" si="113"/>
        <v>0.2</v>
      </c>
      <c r="R56" s="180">
        <f t="shared" si="113"/>
        <v>40.1</v>
      </c>
      <c r="S56" s="180">
        <f t="shared" si="113"/>
        <v>69.8</v>
      </c>
      <c r="T56" s="207">
        <f>SUM(N56:S56)</f>
        <v>110.8</v>
      </c>
      <c r="U56" s="208">
        <f>T56+L56</f>
        <v>277.39999999999998</v>
      </c>
      <c r="V56" s="183">
        <f>V88+V133</f>
        <v>274.89999999999998</v>
      </c>
      <c r="W56" s="184"/>
    </row>
    <row r="57" spans="1:24" s="209" customFormat="1" ht="18.649999999999999" customHeight="1">
      <c r="A57" s="610"/>
      <c r="B57" s="576"/>
      <c r="C57" s="577"/>
      <c r="D57" s="178" t="str">
        <f>серпень!D57</f>
        <v>факт. нат.п-ки 2024</v>
      </c>
      <c r="E57" s="179"/>
      <c r="F57" s="180">
        <f t="shared" si="112"/>
        <v>56.4</v>
      </c>
      <c r="G57" s="180">
        <f t="shared" si="112"/>
        <v>67</v>
      </c>
      <c r="H57" s="180">
        <f t="shared" si="112"/>
        <v>51</v>
      </c>
      <c r="I57" s="180">
        <f t="shared" si="112"/>
        <v>0.2</v>
      </c>
      <c r="J57" s="180">
        <f t="shared" si="112"/>
        <v>0.2</v>
      </c>
      <c r="K57" s="180">
        <f t="shared" si="112"/>
        <v>0.2</v>
      </c>
      <c r="L57" s="207">
        <f>SUM(F57:K57)</f>
        <v>175</v>
      </c>
      <c r="M57" s="207">
        <f>L57/6</f>
        <v>29.2</v>
      </c>
      <c r="N57" s="179">
        <f t="shared" si="113"/>
        <v>0.2</v>
      </c>
      <c r="O57" s="179">
        <f t="shared" si="113"/>
        <v>0.2</v>
      </c>
      <c r="P57" s="179">
        <f t="shared" si="113"/>
        <v>0.2</v>
      </c>
      <c r="Q57" s="179">
        <f t="shared" si="113"/>
        <v>0.2</v>
      </c>
      <c r="R57" s="179">
        <f t="shared" si="113"/>
        <v>41.2</v>
      </c>
      <c r="S57" s="179">
        <f t="shared" si="113"/>
        <v>95.2</v>
      </c>
      <c r="T57" s="207">
        <f>SUM(N57:S57)</f>
        <v>137.19999999999999</v>
      </c>
      <c r="U57" s="208">
        <f>T57+L57</f>
        <v>312.2</v>
      </c>
      <c r="V57" s="183">
        <f>V89+V134</f>
        <v>309.8</v>
      </c>
      <c r="W57" s="184"/>
    </row>
    <row r="58" spans="1:24" s="209" customFormat="1" ht="18" customHeight="1">
      <c r="A58" s="610"/>
      <c r="B58" s="576"/>
      <c r="C58" s="577"/>
      <c r="D58" s="178" t="str">
        <f>серпень!D58</f>
        <v>факт. нат.п-ки 2025</v>
      </c>
      <c r="E58" s="179"/>
      <c r="F58" s="180">
        <f>F90+F135</f>
        <v>58.1</v>
      </c>
      <c r="G58" s="180">
        <f t="shared" ref="G58:K58" si="114">G90+G135</f>
        <v>82.7</v>
      </c>
      <c r="H58" s="180">
        <f t="shared" si="114"/>
        <v>50.7</v>
      </c>
      <c r="I58" s="180">
        <f t="shared" si="114"/>
        <v>0</v>
      </c>
      <c r="J58" s="180">
        <f t="shared" si="114"/>
        <v>0</v>
      </c>
      <c r="K58" s="180">
        <f t="shared" si="114"/>
        <v>0</v>
      </c>
      <c r="L58" s="207">
        <f>SUM(F58:K58)</f>
        <v>191.5</v>
      </c>
      <c r="M58" s="207">
        <f>L58/6</f>
        <v>31.9</v>
      </c>
      <c r="N58" s="180">
        <f>N90+N135</f>
        <v>0</v>
      </c>
      <c r="O58" s="180">
        <f t="shared" ref="O58:S58" si="115">O90+O135</f>
        <v>0</v>
      </c>
      <c r="P58" s="180">
        <f t="shared" si="115"/>
        <v>0</v>
      </c>
      <c r="Q58" s="180">
        <f t="shared" si="115"/>
        <v>0</v>
      </c>
      <c r="R58" s="180">
        <f t="shared" si="115"/>
        <v>41</v>
      </c>
      <c r="S58" s="180">
        <f t="shared" si="115"/>
        <v>77.599999999999994</v>
      </c>
      <c r="T58" s="337">
        <f>SUM(N58:S58)</f>
        <v>118.6</v>
      </c>
      <c r="U58" s="413">
        <f>T58+L58</f>
        <v>310.10000000000002</v>
      </c>
      <c r="V58" s="180">
        <f t="shared" ref="V58" si="116">V90+V135</f>
        <v>292.39999999999998</v>
      </c>
      <c r="W58" s="184">
        <f>V58-U58</f>
        <v>-17.7</v>
      </c>
    </row>
    <row r="59" spans="1:24" s="209" customFormat="1" ht="18" customHeight="1">
      <c r="A59" s="610"/>
      <c r="B59" s="576"/>
      <c r="C59" s="577"/>
      <c r="D59" s="187" t="str">
        <f>серпень!D59</f>
        <v>тариф, грн.</v>
      </c>
      <c r="E59" s="188"/>
      <c r="F59" s="188">
        <f t="shared" ref="F59:S59" si="117">F60/F58*1000</f>
        <v>2646.386</v>
      </c>
      <c r="G59" s="188">
        <f t="shared" si="117"/>
        <v>2799.8310000000001</v>
      </c>
      <c r="H59" s="188">
        <f t="shared" si="117"/>
        <v>2827.4560000000001</v>
      </c>
      <c r="I59" s="188" t="e">
        <f>I60/I58*1000</f>
        <v>#DIV/0!</v>
      </c>
      <c r="J59" s="188" t="e">
        <f>J60/J58*1000</f>
        <v>#DIV/0!</v>
      </c>
      <c r="K59" s="188" t="e">
        <f t="shared" si="117"/>
        <v>#DIV/0!</v>
      </c>
      <c r="L59" s="188">
        <f t="shared" si="117"/>
        <v>2760.59</v>
      </c>
      <c r="M59" s="188">
        <f t="shared" si="117"/>
        <v>2762.038</v>
      </c>
      <c r="N59" s="188" t="e">
        <f t="shared" si="117"/>
        <v>#DIV/0!</v>
      </c>
      <c r="O59" s="188" t="e">
        <f t="shared" si="117"/>
        <v>#DIV/0!</v>
      </c>
      <c r="P59" s="188" t="e">
        <f t="shared" si="117"/>
        <v>#DIV/0!</v>
      </c>
      <c r="Q59" s="188" t="e">
        <f t="shared" si="117"/>
        <v>#DIV/0!</v>
      </c>
      <c r="R59" s="188">
        <f t="shared" si="117"/>
        <v>2804.585</v>
      </c>
      <c r="S59" s="188">
        <f t="shared" si="117"/>
        <v>2847.5</v>
      </c>
      <c r="T59" s="188">
        <f>T60/T58*1000</f>
        <v>2832.6640000000002</v>
      </c>
      <c r="U59" s="188">
        <f>U60/U58*1000</f>
        <v>2788.1550000000002</v>
      </c>
      <c r="V59" s="188">
        <f>V60/V58*1000</f>
        <v>2690.663</v>
      </c>
      <c r="W59" s="189">
        <f>W60/W58*1000</f>
        <v>4398.701</v>
      </c>
    </row>
    <row r="60" spans="1:24" s="209" customFormat="1" ht="18" customHeight="1">
      <c r="A60" s="610"/>
      <c r="B60" s="576"/>
      <c r="C60" s="577"/>
      <c r="D60" s="191" t="str">
        <f>серпень!D60</f>
        <v>сума, тис.грн.</v>
      </c>
      <c r="E60" s="192"/>
      <c r="F60" s="192">
        <f>F92+F137</f>
        <v>153.755</v>
      </c>
      <c r="G60" s="192">
        <f t="shared" ref="G60:K60" si="118">G92+G137</f>
        <v>231.54599999999999</v>
      </c>
      <c r="H60" s="192">
        <f t="shared" si="118"/>
        <v>143.352</v>
      </c>
      <c r="I60" s="192">
        <f t="shared" si="118"/>
        <v>0</v>
      </c>
      <c r="J60" s="192">
        <f t="shared" si="118"/>
        <v>0</v>
      </c>
      <c r="K60" s="192">
        <f t="shared" si="118"/>
        <v>0</v>
      </c>
      <c r="L60" s="192">
        <f t="shared" ref="L60:L65" si="119">SUM(F60:K60)</f>
        <v>528.65300000000002</v>
      </c>
      <c r="M60" s="192">
        <f t="shared" ref="M60:M65" si="120">L60/6</f>
        <v>88.108999999999995</v>
      </c>
      <c r="N60" s="192">
        <f>N92+N137</f>
        <v>0</v>
      </c>
      <c r="O60" s="192">
        <f t="shared" ref="O60:S60" si="121">O92+O137</f>
        <v>0</v>
      </c>
      <c r="P60" s="192">
        <f t="shared" si="121"/>
        <v>0</v>
      </c>
      <c r="Q60" s="192">
        <f t="shared" si="121"/>
        <v>0</v>
      </c>
      <c r="R60" s="192">
        <f t="shared" si="121"/>
        <v>114.988</v>
      </c>
      <c r="S60" s="192">
        <f t="shared" si="121"/>
        <v>220.96600000000001</v>
      </c>
      <c r="T60" s="192">
        <f t="shared" ref="T60:T65" si="122">SUM(N60:S60)</f>
        <v>335.95400000000001</v>
      </c>
      <c r="U60" s="192">
        <f t="shared" ref="U60:U65" si="123">T60+L60</f>
        <v>864.60699999999997</v>
      </c>
      <c r="V60" s="192">
        <f t="shared" ref="V60" si="124">V92+V137</f>
        <v>786.75</v>
      </c>
      <c r="W60" s="193">
        <f>V60-U60</f>
        <v>-77.856999999999999</v>
      </c>
    </row>
    <row r="61" spans="1:24" s="209" customFormat="1" ht="18" customHeight="1">
      <c r="A61" s="610"/>
      <c r="B61" s="576"/>
      <c r="C61" s="577"/>
      <c r="D61" s="174" t="str">
        <f>серпень!D61</f>
        <v>абоненська плата, тис.грн.</v>
      </c>
      <c r="E61" s="192"/>
      <c r="F61" s="192">
        <f>F77+F107+F122+F152</f>
        <v>24.48</v>
      </c>
      <c r="G61" s="192">
        <f t="shared" ref="G61:K61" si="125">G77+G107+G122+G152</f>
        <v>24.573</v>
      </c>
      <c r="H61" s="192">
        <f t="shared" si="125"/>
        <v>24.573</v>
      </c>
      <c r="I61" s="192">
        <f t="shared" si="125"/>
        <v>24.573</v>
      </c>
      <c r="J61" s="192">
        <f t="shared" si="125"/>
        <v>28.971</v>
      </c>
      <c r="K61" s="192">
        <f t="shared" si="125"/>
        <v>28.971</v>
      </c>
      <c r="L61" s="192">
        <f t="shared" si="119"/>
        <v>156.14099999999999</v>
      </c>
      <c r="M61" s="192">
        <f t="shared" si="120"/>
        <v>26.024000000000001</v>
      </c>
      <c r="N61" s="192">
        <f>N77+N107+N122+N152</f>
        <v>28.971</v>
      </c>
      <c r="O61" s="192">
        <f t="shared" ref="O61:S61" si="126">O77+O107+O122+O152</f>
        <v>28.971</v>
      </c>
      <c r="P61" s="192">
        <f t="shared" si="126"/>
        <v>24.843</v>
      </c>
      <c r="Q61" s="192">
        <f t="shared" si="126"/>
        <v>24.843</v>
      </c>
      <c r="R61" s="192">
        <f t="shared" si="126"/>
        <v>24.843</v>
      </c>
      <c r="S61" s="192">
        <f t="shared" si="126"/>
        <v>24.843</v>
      </c>
      <c r="T61" s="192">
        <f t="shared" si="122"/>
        <v>157.31399999999999</v>
      </c>
      <c r="U61" s="192">
        <f t="shared" si="123"/>
        <v>313.45499999999998</v>
      </c>
      <c r="V61" s="192">
        <f t="shared" ref="V61" si="127">V77+V107+V122+V152</f>
        <v>296.988</v>
      </c>
      <c r="W61" s="193">
        <f t="shared" ref="W61:W63" si="128">V61-U61</f>
        <v>-16.466999999999999</v>
      </c>
    </row>
    <row r="62" spans="1:24" s="209" customFormat="1" ht="18" customHeight="1">
      <c r="A62" s="610"/>
      <c r="B62" s="576"/>
      <c r="C62" s="577"/>
      <c r="D62" s="174" t="str">
        <f>серпень!D62</f>
        <v>разом сума тис. грн+абонплата</v>
      </c>
      <c r="E62" s="192"/>
      <c r="F62" s="192">
        <f>F60+F61</f>
        <v>178.23500000000001</v>
      </c>
      <c r="G62" s="192">
        <f>G60+G61</f>
        <v>256.11900000000003</v>
      </c>
      <c r="H62" s="192">
        <f t="shared" ref="H62:K62" si="129">H60+H61</f>
        <v>167.92500000000001</v>
      </c>
      <c r="I62" s="192">
        <f t="shared" si="129"/>
        <v>24.573</v>
      </c>
      <c r="J62" s="192">
        <f t="shared" si="129"/>
        <v>28.971</v>
      </c>
      <c r="K62" s="192">
        <f t="shared" si="129"/>
        <v>28.971</v>
      </c>
      <c r="L62" s="192">
        <f t="shared" si="119"/>
        <v>684.79399999999998</v>
      </c>
      <c r="M62" s="192">
        <f t="shared" si="120"/>
        <v>114.13200000000001</v>
      </c>
      <c r="N62" s="192">
        <f t="shared" ref="N62:S62" si="130">N60+N61</f>
        <v>28.971</v>
      </c>
      <c r="O62" s="192">
        <f t="shared" si="130"/>
        <v>28.971</v>
      </c>
      <c r="P62" s="192">
        <f t="shared" si="130"/>
        <v>24.843</v>
      </c>
      <c r="Q62" s="192">
        <f t="shared" si="130"/>
        <v>24.843</v>
      </c>
      <c r="R62" s="192">
        <f t="shared" si="130"/>
        <v>139.83099999999999</v>
      </c>
      <c r="S62" s="192">
        <f t="shared" si="130"/>
        <v>245.809</v>
      </c>
      <c r="T62" s="192">
        <f t="shared" si="122"/>
        <v>493.26799999999997</v>
      </c>
      <c r="U62" s="192">
        <f t="shared" si="123"/>
        <v>1178.0619999999999</v>
      </c>
      <c r="V62" s="192">
        <f t="shared" ref="V62" si="131">V60+V61</f>
        <v>1083.7380000000001</v>
      </c>
      <c r="W62" s="193">
        <f t="shared" si="128"/>
        <v>-94.323999999999998</v>
      </c>
    </row>
    <row r="63" spans="1:24" s="209" customFormat="1" ht="18" customHeight="1">
      <c r="A63" s="610"/>
      <c r="B63" s="576"/>
      <c r="C63" s="577"/>
      <c r="D63" s="174" t="str">
        <f>серпень!D63</f>
        <v>дотація</v>
      </c>
      <c r="E63" s="210"/>
      <c r="F63" s="192">
        <f t="shared" ref="F63:K64" si="132">F78+F93+F108+F123+F138+F153</f>
        <v>0</v>
      </c>
      <c r="G63" s="192">
        <f t="shared" si="132"/>
        <v>0</v>
      </c>
      <c r="H63" s="192">
        <f t="shared" si="132"/>
        <v>0</v>
      </c>
      <c r="I63" s="192">
        <f t="shared" si="132"/>
        <v>0</v>
      </c>
      <c r="J63" s="192">
        <f t="shared" si="132"/>
        <v>0</v>
      </c>
      <c r="K63" s="192">
        <f t="shared" si="132"/>
        <v>0</v>
      </c>
      <c r="L63" s="192">
        <f t="shared" si="119"/>
        <v>0</v>
      </c>
      <c r="M63" s="192">
        <f t="shared" si="120"/>
        <v>0</v>
      </c>
      <c r="N63" s="192">
        <f t="shared" ref="N63:S64" si="133">N78+N93+N108+N123+N138+N153</f>
        <v>0</v>
      </c>
      <c r="O63" s="192">
        <f t="shared" si="133"/>
        <v>0</v>
      </c>
      <c r="P63" s="192">
        <f t="shared" si="133"/>
        <v>0</v>
      </c>
      <c r="Q63" s="192">
        <f t="shared" si="133"/>
        <v>0</v>
      </c>
      <c r="R63" s="192">
        <f t="shared" si="133"/>
        <v>0</v>
      </c>
      <c r="S63" s="192">
        <f t="shared" si="133"/>
        <v>0</v>
      </c>
      <c r="T63" s="192">
        <f t="shared" si="122"/>
        <v>0</v>
      </c>
      <c r="U63" s="192">
        <f t="shared" si="123"/>
        <v>0</v>
      </c>
      <c r="V63" s="192">
        <f t="shared" ref="V63:V64" si="134">V78+V93+V108+V123+V138+V153</f>
        <v>0</v>
      </c>
      <c r="W63" s="211">
        <f t="shared" si="128"/>
        <v>0</v>
      </c>
    </row>
    <row r="64" spans="1:24" s="209" customFormat="1" ht="18" customHeight="1">
      <c r="A64" s="610"/>
      <c r="B64" s="576"/>
      <c r="C64" s="577"/>
      <c r="D64" s="174" t="str">
        <f>серпень!D64</f>
        <v>місцевий (план), тис.грн</v>
      </c>
      <c r="E64" s="210"/>
      <c r="F64" s="192">
        <f>F79+F94+F109+F124+F139+F154</f>
        <v>0</v>
      </c>
      <c r="G64" s="192">
        <f>G79+G94+G109+G124+G139+G154</f>
        <v>178.23599999999999</v>
      </c>
      <c r="H64" s="192">
        <f t="shared" si="132"/>
        <v>256.11799999999999</v>
      </c>
      <c r="I64" s="192">
        <f t="shared" si="132"/>
        <v>167.92599999999999</v>
      </c>
      <c r="J64" s="192">
        <f t="shared" si="132"/>
        <v>24.748999999999999</v>
      </c>
      <c r="K64" s="192">
        <f t="shared" si="132"/>
        <v>28.795000000000002</v>
      </c>
      <c r="L64" s="192">
        <f t="shared" si="119"/>
        <v>655.82399999999996</v>
      </c>
      <c r="M64" s="192">
        <f t="shared" si="120"/>
        <v>109.304</v>
      </c>
      <c r="N64" s="192">
        <f t="shared" si="133"/>
        <v>28.972000000000001</v>
      </c>
      <c r="O64" s="192">
        <f t="shared" si="133"/>
        <v>28.971</v>
      </c>
      <c r="P64" s="192">
        <f t="shared" si="133"/>
        <v>24.748999999999999</v>
      </c>
      <c r="Q64" s="192">
        <f t="shared" si="133"/>
        <v>24.748999999999999</v>
      </c>
      <c r="R64" s="192">
        <f t="shared" si="133"/>
        <v>24.748999999999999</v>
      </c>
      <c r="S64" s="192">
        <f t="shared" si="133"/>
        <v>295.72399999999999</v>
      </c>
      <c r="T64" s="192">
        <f t="shared" si="122"/>
        <v>427.91399999999999</v>
      </c>
      <c r="U64" s="192">
        <f t="shared" si="123"/>
        <v>1083.7380000000001</v>
      </c>
      <c r="V64" s="192">
        <f t="shared" si="134"/>
        <v>1083.7380000000001</v>
      </c>
      <c r="W64" s="193">
        <f>V64-U64</f>
        <v>0</v>
      </c>
    </row>
    <row r="65" spans="1:24" s="209" customFormat="1" ht="18" customHeight="1">
      <c r="A65" s="610"/>
      <c r="B65" s="576"/>
      <c r="C65" s="577"/>
      <c r="D65" s="178" t="str">
        <f>серпень!D65</f>
        <v>касові нат.п-ки 2025</v>
      </c>
      <c r="E65" s="260">
        <f>E80+E95+E110+E125+E140+E155</f>
        <v>0</v>
      </c>
      <c r="F65" s="229">
        <f>F95+F140</f>
        <v>0</v>
      </c>
      <c r="G65" s="229">
        <f t="shared" ref="G65:K65" si="135">G95+G140</f>
        <v>58.1</v>
      </c>
      <c r="H65" s="229">
        <f t="shared" si="135"/>
        <v>82.7</v>
      </c>
      <c r="I65" s="229">
        <f t="shared" si="135"/>
        <v>50.7</v>
      </c>
      <c r="J65" s="229">
        <f t="shared" si="135"/>
        <v>0</v>
      </c>
      <c r="K65" s="229">
        <f t="shared" si="135"/>
        <v>0</v>
      </c>
      <c r="L65" s="337">
        <f t="shared" si="119"/>
        <v>191.5</v>
      </c>
      <c r="M65" s="337">
        <f t="shared" si="120"/>
        <v>31.91667</v>
      </c>
      <c r="N65" s="229">
        <f>N95+N140</f>
        <v>0</v>
      </c>
      <c r="O65" s="229">
        <f t="shared" ref="O65:S65" si="136">O95+O140</f>
        <v>0</v>
      </c>
      <c r="P65" s="229">
        <f t="shared" si="136"/>
        <v>0</v>
      </c>
      <c r="Q65" s="229">
        <f t="shared" si="136"/>
        <v>0</v>
      </c>
      <c r="R65" s="229">
        <f t="shared" si="136"/>
        <v>0</v>
      </c>
      <c r="S65" s="229">
        <f t="shared" si="136"/>
        <v>118.6</v>
      </c>
      <c r="T65" s="337">
        <f t="shared" si="122"/>
        <v>118.6</v>
      </c>
      <c r="U65" s="337">
        <f t="shared" si="123"/>
        <v>310.10000000000002</v>
      </c>
      <c r="V65" s="229">
        <f t="shared" ref="V65" si="137">V95+V140</f>
        <v>292.39999999999998</v>
      </c>
      <c r="W65" s="184">
        <f>V65-U65</f>
        <v>-17.7</v>
      </c>
      <c r="X65" s="209">
        <f>U58-U65</f>
        <v>0</v>
      </c>
    </row>
    <row r="66" spans="1:24" s="209" customFormat="1" ht="18" customHeight="1">
      <c r="A66" s="610"/>
      <c r="B66" s="576"/>
      <c r="C66" s="577"/>
      <c r="D66" s="187" t="str">
        <f>серпень!D66</f>
        <v>тариф, грн.</v>
      </c>
      <c r="E66" s="188" t="e">
        <f t="shared" ref="E66:S66" si="138">E67/E65*1000</f>
        <v>#DIV/0!</v>
      </c>
      <c r="F66" s="188" t="e">
        <f t="shared" si="138"/>
        <v>#DIV/0!</v>
      </c>
      <c r="G66" s="188">
        <f t="shared" si="138"/>
        <v>3067.7280000000001</v>
      </c>
      <c r="H66" s="188">
        <f t="shared" si="138"/>
        <v>3096.9650000000001</v>
      </c>
      <c r="I66" s="188">
        <f>I67/I65*1000</f>
        <v>3312.13</v>
      </c>
      <c r="J66" s="188" t="e">
        <f>J67/J65*1000</f>
        <v>#DIV/0!</v>
      </c>
      <c r="K66" s="188" t="e">
        <f t="shared" si="138"/>
        <v>#DIV/0!</v>
      </c>
      <c r="L66" s="188">
        <f t="shared" si="138"/>
        <v>3424.663</v>
      </c>
      <c r="M66" s="188">
        <f t="shared" si="138"/>
        <v>3424.6680000000001</v>
      </c>
      <c r="N66" s="188" t="e">
        <f t="shared" si="138"/>
        <v>#DIV/0!</v>
      </c>
      <c r="O66" s="188" t="e">
        <f t="shared" si="138"/>
        <v>#DIV/0!</v>
      </c>
      <c r="P66" s="188" t="e">
        <f t="shared" si="138"/>
        <v>#DIV/0!</v>
      </c>
      <c r="Q66" s="188" t="e">
        <f t="shared" si="138"/>
        <v>#DIV/0!</v>
      </c>
      <c r="R66" s="188" t="e">
        <f t="shared" si="138"/>
        <v>#DIV/0!</v>
      </c>
      <c r="S66" s="188">
        <f t="shared" si="138"/>
        <v>3251.6019999999999</v>
      </c>
      <c r="T66" s="188">
        <f>T67/T65*1000</f>
        <v>4403.3639999999996</v>
      </c>
      <c r="U66" s="188">
        <f>U67/U65*1000</f>
        <v>3798.9749999999999</v>
      </c>
      <c r="V66" s="188">
        <f>V67/V65*1000</f>
        <v>3706.3539999999998</v>
      </c>
      <c r="W66" s="189">
        <f>W67/W65*1000</f>
        <v>5329.04</v>
      </c>
    </row>
    <row r="67" spans="1:24" s="213" customFormat="1" ht="18" customHeight="1">
      <c r="A67" s="610"/>
      <c r="B67" s="576"/>
      <c r="C67" s="577"/>
      <c r="D67" s="198" t="str">
        <f>серпень!D67</f>
        <v>касові видатки, тис.грн.</v>
      </c>
      <c r="E67" s="199">
        <f>E82+E97+E112+E127+E142+E157+E279+E294+E309+E324</f>
        <v>0</v>
      </c>
      <c r="F67" s="199">
        <f>F82+F97+F112+F127+F142+F157</f>
        <v>0</v>
      </c>
      <c r="G67" s="199">
        <f t="shared" ref="G67:K67" si="139">G82+G97+G112+G127+G142+G157</f>
        <v>178.23500000000001</v>
      </c>
      <c r="H67" s="199">
        <f>H82+H97+H112+H127+H142+H157</f>
        <v>256.11900000000003</v>
      </c>
      <c r="I67" s="199">
        <f>I82+I97+I112+I127+I142+I157</f>
        <v>167.92500000000001</v>
      </c>
      <c r="J67" s="199">
        <f t="shared" si="139"/>
        <v>24.573</v>
      </c>
      <c r="K67" s="199">
        <f t="shared" si="139"/>
        <v>28.971</v>
      </c>
      <c r="L67" s="199">
        <f>SUM(F67:K67)</f>
        <v>655.82299999999998</v>
      </c>
      <c r="M67" s="199">
        <f>L67/6</f>
        <v>109.304</v>
      </c>
      <c r="N67" s="199">
        <f>N82+N97+N112+N127+N142+N157</f>
        <v>28.971</v>
      </c>
      <c r="O67" s="199">
        <f t="shared" ref="O67:S67" si="140">O82+O97+O112+O127+O142+O157</f>
        <v>28.971</v>
      </c>
      <c r="P67" s="199">
        <f t="shared" si="140"/>
        <v>28.971</v>
      </c>
      <c r="Q67" s="199">
        <f t="shared" si="140"/>
        <v>24.843</v>
      </c>
      <c r="R67" s="199">
        <f t="shared" si="140"/>
        <v>24.843</v>
      </c>
      <c r="S67" s="199">
        <f t="shared" si="140"/>
        <v>385.64</v>
      </c>
      <c r="T67" s="199">
        <f>SUM(N67:S67)</f>
        <v>522.23900000000003</v>
      </c>
      <c r="U67" s="175">
        <f>T67+L67</f>
        <v>1178.0619999999999</v>
      </c>
      <c r="V67" s="175">
        <f t="shared" ref="V67:V69" si="141">V82+V97+V112+V127+V142+V157</f>
        <v>1083.7380000000001</v>
      </c>
      <c r="W67" s="175">
        <f>V67-U67</f>
        <v>-94.323999999999998</v>
      </c>
      <c r="X67" s="213">
        <f>U62-U67</f>
        <v>0</v>
      </c>
    </row>
    <row r="68" spans="1:24" s="213" customFormat="1" ht="18" customHeight="1">
      <c r="A68" s="610"/>
      <c r="B68" s="576"/>
      <c r="C68" s="577"/>
      <c r="D68" s="201" t="str">
        <f>серпень!D68</f>
        <v>дотація</v>
      </c>
      <c r="E68" s="212"/>
      <c r="F68" s="199">
        <f t="shared" ref="F68:K69" si="142">F83+F98+F113+F128+F143+F158</f>
        <v>0</v>
      </c>
      <c r="G68" s="199">
        <f t="shared" si="142"/>
        <v>0</v>
      </c>
      <c r="H68" s="199">
        <f t="shared" si="142"/>
        <v>0</v>
      </c>
      <c r="I68" s="199">
        <f t="shared" si="142"/>
        <v>0</v>
      </c>
      <c r="J68" s="199">
        <f t="shared" si="142"/>
        <v>0</v>
      </c>
      <c r="K68" s="199">
        <f t="shared" si="142"/>
        <v>0</v>
      </c>
      <c r="L68" s="199">
        <f>SUM(F68:K68)</f>
        <v>0</v>
      </c>
      <c r="M68" s="199">
        <f>L68/6</f>
        <v>0</v>
      </c>
      <c r="N68" s="199">
        <f t="shared" ref="N68:S69" si="143">N83+N98+N113+N128+N143+N158</f>
        <v>0</v>
      </c>
      <c r="O68" s="199">
        <f t="shared" si="143"/>
        <v>0</v>
      </c>
      <c r="P68" s="199">
        <f t="shared" si="143"/>
        <v>0</v>
      </c>
      <c r="Q68" s="199">
        <f t="shared" si="143"/>
        <v>0</v>
      </c>
      <c r="R68" s="199">
        <f t="shared" si="143"/>
        <v>0</v>
      </c>
      <c r="S68" s="199">
        <f t="shared" si="143"/>
        <v>0</v>
      </c>
      <c r="T68" s="199">
        <f>SUM(N68:S68)</f>
        <v>0</v>
      </c>
      <c r="U68" s="175">
        <f>T68+L68</f>
        <v>0</v>
      </c>
      <c r="V68" s="175">
        <f t="shared" si="141"/>
        <v>0</v>
      </c>
      <c r="W68" s="175">
        <f>V68-U68</f>
        <v>0</v>
      </c>
      <c r="X68" s="213">
        <f>U63-U68</f>
        <v>0</v>
      </c>
    </row>
    <row r="69" spans="1:24" s="213" customFormat="1" ht="18" customHeight="1">
      <c r="A69" s="610"/>
      <c r="B69" s="576"/>
      <c r="C69" s="577"/>
      <c r="D69" s="201" t="str">
        <f>серпень!D69</f>
        <v xml:space="preserve">місцевий </v>
      </c>
      <c r="E69" s="212"/>
      <c r="F69" s="199">
        <f t="shared" si="142"/>
        <v>0</v>
      </c>
      <c r="G69" s="199">
        <f t="shared" si="142"/>
        <v>178.23500000000001</v>
      </c>
      <c r="H69" s="199">
        <f t="shared" si="142"/>
        <v>256.11900000000003</v>
      </c>
      <c r="I69" s="199">
        <f t="shared" si="142"/>
        <v>167.92500000000001</v>
      </c>
      <c r="J69" s="199">
        <f t="shared" si="142"/>
        <v>24.573</v>
      </c>
      <c r="K69" s="199">
        <f t="shared" si="142"/>
        <v>28.971</v>
      </c>
      <c r="L69" s="199">
        <f>SUM(F69:K69)</f>
        <v>655.82299999999998</v>
      </c>
      <c r="M69" s="199">
        <f>L69/6</f>
        <v>109.304</v>
      </c>
      <c r="N69" s="199">
        <f t="shared" si="143"/>
        <v>28.971</v>
      </c>
      <c r="O69" s="199">
        <f t="shared" si="143"/>
        <v>28.971</v>
      </c>
      <c r="P69" s="199">
        <f t="shared" si="143"/>
        <v>28.971</v>
      </c>
      <c r="Q69" s="199">
        <f t="shared" si="143"/>
        <v>24.843</v>
      </c>
      <c r="R69" s="199">
        <f t="shared" si="143"/>
        <v>24.843</v>
      </c>
      <c r="S69" s="199">
        <f t="shared" si="143"/>
        <v>385.64</v>
      </c>
      <c r="T69" s="199">
        <f>SUM(N69:S69)</f>
        <v>522.23900000000003</v>
      </c>
      <c r="U69" s="175">
        <f>T69+L69</f>
        <v>1178.0619999999999</v>
      </c>
      <c r="V69" s="175">
        <f t="shared" si="141"/>
        <v>1083.7380000000001</v>
      </c>
      <c r="W69" s="175">
        <f>V69-U69</f>
        <v>-94.323999999999998</v>
      </c>
      <c r="X69" s="213">
        <f>U64-U69</f>
        <v>-94.323999999999998</v>
      </c>
    </row>
    <row r="70" spans="1:24" s="214" customFormat="1" ht="18" customHeight="1">
      <c r="A70" s="610"/>
      <c r="B70" s="576"/>
      <c r="C70" s="577"/>
      <c r="D70" s="202" t="str">
        <f>серпень!D70</f>
        <v>план</v>
      </c>
      <c r="E70" s="203"/>
      <c r="F70" s="203">
        <f t="shared" ref="F70:K70" si="144">F64</f>
        <v>0</v>
      </c>
      <c r="G70" s="203">
        <f t="shared" si="144"/>
        <v>178.23599999999999</v>
      </c>
      <c r="H70" s="203">
        <f>H64</f>
        <v>256.11799999999999</v>
      </c>
      <c r="I70" s="203">
        <f t="shared" si="144"/>
        <v>167.92599999999999</v>
      </c>
      <c r="J70" s="203">
        <f t="shared" si="144"/>
        <v>24.748999999999999</v>
      </c>
      <c r="K70" s="203">
        <f t="shared" si="144"/>
        <v>28.795000000000002</v>
      </c>
      <c r="L70" s="203">
        <f>SUM(F70:K70)</f>
        <v>655.82399999999996</v>
      </c>
      <c r="M70" s="203">
        <f>L70/6</f>
        <v>109.304</v>
      </c>
      <c r="N70" s="203">
        <f>N64+N63</f>
        <v>28.972000000000001</v>
      </c>
      <c r="O70" s="203">
        <f t="shared" ref="O70:R70" si="145">O64+O63</f>
        <v>28.971</v>
      </c>
      <c r="P70" s="203">
        <f t="shared" si="145"/>
        <v>24.748999999999999</v>
      </c>
      <c r="Q70" s="203">
        <f t="shared" si="145"/>
        <v>24.748999999999999</v>
      </c>
      <c r="R70" s="203">
        <f t="shared" si="145"/>
        <v>24.748999999999999</v>
      </c>
      <c r="S70" s="203">
        <f>S64+S63</f>
        <v>295.72399999999999</v>
      </c>
      <c r="T70" s="203">
        <f>SUM(N70:S70)</f>
        <v>427.91399999999999</v>
      </c>
      <c r="U70" s="204">
        <f>T70+L70</f>
        <v>1083.7380000000001</v>
      </c>
      <c r="V70" s="204">
        <f>V64+V63</f>
        <v>1083.7380000000001</v>
      </c>
      <c r="W70" s="204">
        <f>V70-U70</f>
        <v>0</v>
      </c>
    </row>
    <row r="71" spans="1:24" s="214" customFormat="1" ht="18" customHeight="1">
      <c r="A71" s="610"/>
      <c r="B71" s="576"/>
      <c r="C71" s="577"/>
      <c r="D71" s="202" t="str">
        <f>серпень!D71</f>
        <v xml:space="preserve">відхилення </v>
      </c>
      <c r="E71" s="203"/>
      <c r="F71" s="203">
        <f t="shared" ref="F71:K71" si="146">F67-F70</f>
        <v>0</v>
      </c>
      <c r="G71" s="203">
        <f t="shared" si="146"/>
        <v>-1E-3</v>
      </c>
      <c r="H71" s="203">
        <f t="shared" si="146"/>
        <v>1E-3</v>
      </c>
      <c r="I71" s="203">
        <f t="shared" si="146"/>
        <v>-1E-3</v>
      </c>
      <c r="J71" s="203">
        <f t="shared" si="146"/>
        <v>-0.17599999999999999</v>
      </c>
      <c r="K71" s="203">
        <f t="shared" si="146"/>
        <v>0.17599999999999999</v>
      </c>
      <c r="L71" s="203"/>
      <c r="M71" s="203"/>
      <c r="N71" s="203">
        <f>N67-N70</f>
        <v>-1E-3</v>
      </c>
      <c r="O71" s="203">
        <f t="shared" ref="O71:S71" si="147">O67-O70</f>
        <v>0</v>
      </c>
      <c r="P71" s="203">
        <f t="shared" si="147"/>
        <v>4.2220000000000004</v>
      </c>
      <c r="Q71" s="203">
        <f t="shared" si="147"/>
        <v>9.4E-2</v>
      </c>
      <c r="R71" s="203">
        <f t="shared" si="147"/>
        <v>9.4E-2</v>
      </c>
      <c r="S71" s="203">
        <f t="shared" si="147"/>
        <v>89.915999999999997</v>
      </c>
      <c r="T71" s="203"/>
      <c r="U71" s="203"/>
      <c r="V71" s="203"/>
      <c r="W71" s="203"/>
    </row>
    <row r="72" spans="1:24" s="214" customFormat="1" ht="18" customHeight="1">
      <c r="A72" s="610"/>
      <c r="B72" s="578"/>
      <c r="C72" s="579"/>
      <c r="D72" s="202" t="str">
        <f>серпень!D72</f>
        <v>відхилення з наростаючим</v>
      </c>
      <c r="E72" s="203"/>
      <c r="F72" s="203">
        <f>F71</f>
        <v>0</v>
      </c>
      <c r="G72" s="203">
        <f>G71+F72</f>
        <v>-1E-3</v>
      </c>
      <c r="H72" s="203">
        <f>H71+G72</f>
        <v>0</v>
      </c>
      <c r="I72" s="203">
        <f>I71+H72</f>
        <v>-1E-3</v>
      </c>
      <c r="J72" s="203">
        <f>J71+I72</f>
        <v>-0.17699999999999999</v>
      </c>
      <c r="K72" s="203">
        <f>K71+J72</f>
        <v>-1E-3</v>
      </c>
      <c r="L72" s="203"/>
      <c r="M72" s="203"/>
      <c r="N72" s="203">
        <f>N71+K72</f>
        <v>-2E-3</v>
      </c>
      <c r="O72" s="203">
        <f>O71+N72</f>
        <v>-2E-3</v>
      </c>
      <c r="P72" s="203">
        <f>P71+O72</f>
        <v>4.22</v>
      </c>
      <c r="Q72" s="203">
        <f>Q71+P72</f>
        <v>4.3140000000000001</v>
      </c>
      <c r="R72" s="203">
        <f>R71+Q72</f>
        <v>4.4080000000000004</v>
      </c>
      <c r="S72" s="203">
        <f>S71+R72</f>
        <v>94.323999999999998</v>
      </c>
      <c r="T72" s="203"/>
      <c r="U72" s="203"/>
      <c r="V72" s="203"/>
      <c r="W72" s="203"/>
    </row>
    <row r="73" spans="1:24" s="214" customFormat="1" ht="18" customHeight="1">
      <c r="A73" s="610"/>
      <c r="B73" s="582" t="s">
        <v>54</v>
      </c>
      <c r="C73" s="582" t="s">
        <v>98</v>
      </c>
      <c r="D73" s="178" t="str">
        <f>серпень!D73</f>
        <v>факт. нат.п-ки 2023</v>
      </c>
      <c r="E73" s="179"/>
      <c r="F73" s="399">
        <v>0.23780000000000001</v>
      </c>
      <c r="G73" s="399">
        <v>0.23780000000000001</v>
      </c>
      <c r="H73" s="342">
        <v>0.23780000000000001</v>
      </c>
      <c r="I73" s="342">
        <v>0.23780000000000001</v>
      </c>
      <c r="J73" s="342">
        <v>0.23780000000000001</v>
      </c>
      <c r="K73" s="342">
        <v>0.23780000000000001</v>
      </c>
      <c r="L73" s="400">
        <f>SUM(F73:K73)</f>
        <v>1.4268000000000001</v>
      </c>
      <c r="M73" s="400">
        <f>L73/6</f>
        <v>0.23780000000000001</v>
      </c>
      <c r="N73" s="342">
        <v>0.23780000000000001</v>
      </c>
      <c r="O73" s="342">
        <v>0.26519999999999999</v>
      </c>
      <c r="P73" s="342">
        <v>0.23780000000000001</v>
      </c>
      <c r="Q73" s="342">
        <v>0.23780000000000001</v>
      </c>
      <c r="R73" s="342">
        <v>0.23780000000000001</v>
      </c>
      <c r="S73" s="342">
        <v>0.23780000000000001</v>
      </c>
      <c r="T73" s="400">
        <f>SUM(N73:S73)</f>
        <v>1.4541999999999999</v>
      </c>
      <c r="U73" s="400">
        <f>T73+L73</f>
        <v>2.8809999999999998</v>
      </c>
      <c r="V73" s="342">
        <v>2.8809999999999998</v>
      </c>
      <c r="W73" s="183">
        <f>U73-V73</f>
        <v>0</v>
      </c>
    </row>
    <row r="74" spans="1:24" s="214" customFormat="1" ht="18" customHeight="1">
      <c r="A74" s="610"/>
      <c r="B74" s="583"/>
      <c r="C74" s="583"/>
      <c r="D74" s="178" t="str">
        <f>серпень!D74</f>
        <v>факт. нат.п-ки 2024</v>
      </c>
      <c r="E74" s="179"/>
      <c r="F74" s="342">
        <v>0.235238</v>
      </c>
      <c r="G74" s="342">
        <v>0.235238</v>
      </c>
      <c r="H74" s="342">
        <v>0.235238</v>
      </c>
      <c r="I74" s="342">
        <v>0.235238</v>
      </c>
      <c r="J74" s="342">
        <v>0.235238</v>
      </c>
      <c r="K74" s="342">
        <v>0.235238</v>
      </c>
      <c r="L74" s="400">
        <f>SUM(F74:K74)</f>
        <v>1.4114279999999999</v>
      </c>
      <c r="M74" s="400">
        <f>L74/6</f>
        <v>0.235238</v>
      </c>
      <c r="N74" s="342">
        <v>0.235238</v>
      </c>
      <c r="O74" s="342">
        <v>0.235238</v>
      </c>
      <c r="P74" s="342">
        <v>0.235238</v>
      </c>
      <c r="Q74" s="342">
        <v>0.235238</v>
      </c>
      <c r="R74" s="342">
        <v>0.235238</v>
      </c>
      <c r="S74" s="342">
        <v>0.235238</v>
      </c>
      <c r="T74" s="400">
        <f>SUM(N74:S74)</f>
        <v>1.4114279999999999</v>
      </c>
      <c r="U74" s="400">
        <f>T74+L74</f>
        <v>2.8228559999999998</v>
      </c>
      <c r="V74" s="342">
        <v>2.8228559999999998</v>
      </c>
      <c r="W74" s="183">
        <f>U74-V74</f>
        <v>0</v>
      </c>
    </row>
    <row r="75" spans="1:24" s="214" customFormat="1" ht="18" customHeight="1">
      <c r="A75" s="610"/>
      <c r="B75" s="583"/>
      <c r="C75" s="583"/>
      <c r="D75" s="178" t="str">
        <f>серпень!D75</f>
        <v>факт. нат.п-ки 2025</v>
      </c>
      <c r="E75" s="179"/>
      <c r="F75" s="342">
        <v>0.235238</v>
      </c>
      <c r="G75" s="342">
        <v>0.235238</v>
      </c>
      <c r="H75" s="342">
        <v>0.235238</v>
      </c>
      <c r="I75" s="342">
        <v>0.235238</v>
      </c>
      <c r="J75" s="342">
        <v>0.27734199999999998</v>
      </c>
      <c r="K75" s="342">
        <v>0.27734199999999998</v>
      </c>
      <c r="L75" s="333">
        <f>SUM(F75:K75)</f>
        <v>1.4956400000000001</v>
      </c>
      <c r="M75" s="333">
        <f>L75/6</f>
        <v>0.24926999999999999</v>
      </c>
      <c r="N75" s="342">
        <v>0.27734199999999998</v>
      </c>
      <c r="O75" s="342">
        <v>0.27734199999999998</v>
      </c>
      <c r="P75" s="342">
        <v>0.237819</v>
      </c>
      <c r="Q75" s="342">
        <v>0.237819</v>
      </c>
      <c r="R75" s="342">
        <v>0.237819</v>
      </c>
      <c r="S75" s="342">
        <v>0.237819</v>
      </c>
      <c r="T75" s="419">
        <f>SUM(N75:S75)</f>
        <v>1.50596</v>
      </c>
      <c r="U75" s="419">
        <f>T75+L75</f>
        <v>3.0015999999999998</v>
      </c>
      <c r="V75" s="288">
        <v>2.8538000000000001</v>
      </c>
      <c r="W75" s="184">
        <f>U75-V75</f>
        <v>0.1</v>
      </c>
    </row>
    <row r="76" spans="1:24" s="214" customFormat="1" ht="18" customHeight="1">
      <c r="A76" s="610"/>
      <c r="B76" s="583"/>
      <c r="C76" s="583"/>
      <c r="D76" s="187" t="str">
        <f>серпень!D76</f>
        <v>тариф, грн.</v>
      </c>
      <c r="E76" s="218" t="e">
        <f t="shared" ref="E76:K76" si="148">E77/E75*1000</f>
        <v>#DIV/0!</v>
      </c>
      <c r="F76" s="218">
        <f t="shared" si="148"/>
        <v>104064.819</v>
      </c>
      <c r="G76" s="218">
        <f t="shared" si="148"/>
        <v>104460.164</v>
      </c>
      <c r="H76" s="218">
        <f t="shared" si="148"/>
        <v>104460.164</v>
      </c>
      <c r="I76" s="218">
        <f t="shared" si="148"/>
        <v>104460.164</v>
      </c>
      <c r="J76" s="218">
        <f t="shared" si="148"/>
        <v>104459.476</v>
      </c>
      <c r="K76" s="218">
        <f t="shared" si="148"/>
        <v>104459.476</v>
      </c>
      <c r="L76" s="217">
        <f t="shared" ref="L76:O76" si="149">L77/L75*1000</f>
        <v>104397.45</v>
      </c>
      <c r="M76" s="217">
        <f t="shared" si="149"/>
        <v>104400.85</v>
      </c>
      <c r="N76" s="217">
        <f t="shared" si="149"/>
        <v>104459.48</v>
      </c>
      <c r="O76" s="217">
        <f t="shared" si="149"/>
        <v>104459.48</v>
      </c>
      <c r="P76" s="217">
        <v>104461.02</v>
      </c>
      <c r="Q76" s="217">
        <v>104461.02</v>
      </c>
      <c r="R76" s="217">
        <v>104461.02</v>
      </c>
      <c r="S76" s="217">
        <v>104461.02</v>
      </c>
      <c r="T76" s="217">
        <f>T77/T75*1000</f>
        <v>104460.94</v>
      </c>
      <c r="U76" s="217">
        <f>U77/U75*1000</f>
        <v>104429.3</v>
      </c>
      <c r="V76" s="218">
        <f>V77/V75*1000</f>
        <v>104067.55899999999</v>
      </c>
      <c r="W76" s="219">
        <f>W77/W75*1000</f>
        <v>-164670</v>
      </c>
    </row>
    <row r="77" spans="1:24" s="214" customFormat="1" ht="18" customHeight="1">
      <c r="A77" s="610"/>
      <c r="B77" s="583"/>
      <c r="C77" s="583"/>
      <c r="D77" s="191" t="str">
        <f>серпень!D77</f>
        <v>сума, тис.грн.</v>
      </c>
      <c r="E77" s="192"/>
      <c r="F77" s="192">
        <v>24.48</v>
      </c>
      <c r="G77" s="192">
        <v>24.573</v>
      </c>
      <c r="H77" s="192">
        <v>24.573</v>
      </c>
      <c r="I77" s="192">
        <v>24.573</v>
      </c>
      <c r="J77" s="192">
        <v>28.971</v>
      </c>
      <c r="K77" s="192">
        <v>28.971</v>
      </c>
      <c r="L77" s="194">
        <f>SUM(F77:K77)</f>
        <v>156.14099999999999</v>
      </c>
      <c r="M77" s="194">
        <f>L77/6</f>
        <v>26.024000000000001</v>
      </c>
      <c r="N77" s="192">
        <v>28.971</v>
      </c>
      <c r="O77" s="192">
        <v>28.971</v>
      </c>
      <c r="P77" s="192">
        <f t="shared" ref="P77" si="150">P75*P76/1000</f>
        <v>24.843</v>
      </c>
      <c r="Q77" s="192">
        <f t="shared" ref="Q77" si="151">Q75*Q76/1000</f>
        <v>24.843</v>
      </c>
      <c r="R77" s="192">
        <f t="shared" ref="R77" si="152">R75*R76/1000</f>
        <v>24.843</v>
      </c>
      <c r="S77" s="192">
        <f t="shared" ref="S77" si="153">S75*S76/1000</f>
        <v>24.843</v>
      </c>
      <c r="T77" s="194">
        <f>SUM(N77:S77)</f>
        <v>157.31399999999999</v>
      </c>
      <c r="U77" s="194">
        <f>T77+L77</f>
        <v>313.45499999999998</v>
      </c>
      <c r="V77" s="171">
        <f>V79</f>
        <v>296.988</v>
      </c>
      <c r="W77" s="192">
        <f>V77-U77</f>
        <v>-16.466999999999999</v>
      </c>
    </row>
    <row r="78" spans="1:24" s="214" customFormat="1" ht="18" customHeight="1">
      <c r="A78" s="610"/>
      <c r="B78" s="583"/>
      <c r="C78" s="583"/>
      <c r="D78" s="174" t="str">
        <f>серпень!D78</f>
        <v>дотація</v>
      </c>
      <c r="E78" s="210"/>
      <c r="F78" s="192"/>
      <c r="G78" s="192"/>
      <c r="H78" s="192"/>
      <c r="I78" s="192"/>
      <c r="J78" s="192"/>
      <c r="K78" s="192"/>
      <c r="L78" s="194">
        <f>SUM(F78:K78)</f>
        <v>0</v>
      </c>
      <c r="M78" s="194">
        <f>L78/6</f>
        <v>0</v>
      </c>
      <c r="N78" s="192"/>
      <c r="O78" s="192"/>
      <c r="P78" s="192"/>
      <c r="Q78" s="192"/>
      <c r="R78" s="192"/>
      <c r="S78" s="192"/>
      <c r="T78" s="194">
        <f>SUM(N78:S78)</f>
        <v>0</v>
      </c>
      <c r="U78" s="194">
        <f>T78+L78</f>
        <v>0</v>
      </c>
      <c r="V78" s="171"/>
      <c r="W78" s="192">
        <f>V78-U78</f>
        <v>0</v>
      </c>
    </row>
    <row r="79" spans="1:24" s="214" customFormat="1" ht="18" customHeight="1">
      <c r="A79" s="610"/>
      <c r="B79" s="583"/>
      <c r="C79" s="583"/>
      <c r="D79" s="174" t="str">
        <f>серпень!D79</f>
        <v>місцевий (план), тис.грн</v>
      </c>
      <c r="E79" s="210"/>
      <c r="F79" s="192">
        <f>17.232-17.232</f>
        <v>0</v>
      </c>
      <c r="G79" s="192">
        <v>24.748999999999999</v>
      </c>
      <c r="H79" s="192">
        <v>24.748999999999999</v>
      </c>
      <c r="I79" s="192">
        <v>24.748999999999999</v>
      </c>
      <c r="J79" s="192">
        <v>24.748999999999999</v>
      </c>
      <c r="K79" s="192">
        <v>28.795000000000002</v>
      </c>
      <c r="L79" s="194">
        <f>SUM(F79:K79)</f>
        <v>127.791</v>
      </c>
      <c r="M79" s="194">
        <f>L79/6</f>
        <v>21.298999999999999</v>
      </c>
      <c r="N79" s="192">
        <v>28.972000000000001</v>
      </c>
      <c r="O79" s="192">
        <v>28.971</v>
      </c>
      <c r="P79" s="192">
        <v>24.748999999999999</v>
      </c>
      <c r="Q79" s="192">
        <v>24.748999999999999</v>
      </c>
      <c r="R79" s="192">
        <v>24.748999999999999</v>
      </c>
      <c r="S79" s="192">
        <f>49.498-4.046-4.223-4.222</f>
        <v>37.006999999999998</v>
      </c>
      <c r="T79" s="194">
        <f>SUM(N79:S79)</f>
        <v>169.197</v>
      </c>
      <c r="U79" s="194">
        <f>T79+L79</f>
        <v>296.988</v>
      </c>
      <c r="V79" s="171">
        <v>296.988</v>
      </c>
      <c r="W79" s="192">
        <f>V79-U79</f>
        <v>0</v>
      </c>
    </row>
    <row r="80" spans="1:24" s="214" customFormat="1" ht="18" customHeight="1">
      <c r="A80" s="610"/>
      <c r="B80" s="583"/>
      <c r="C80" s="583"/>
      <c r="D80" s="178" t="str">
        <f>серпень!D80</f>
        <v>касові нат.п-ки 2025</v>
      </c>
      <c r="E80" s="179"/>
      <c r="F80" s="399">
        <v>0</v>
      </c>
      <c r="G80" s="342">
        <v>0.235238</v>
      </c>
      <c r="H80" s="342">
        <v>0.235238</v>
      </c>
      <c r="I80" s="342">
        <v>0.235238</v>
      </c>
      <c r="J80" s="342">
        <v>0.235238</v>
      </c>
      <c r="K80" s="399">
        <v>0.27734199999999998</v>
      </c>
      <c r="L80" s="400">
        <f>SUM(F80:K80)</f>
        <v>1.218294</v>
      </c>
      <c r="M80" s="400">
        <f>L80/6</f>
        <v>0.20304900000000001</v>
      </c>
      <c r="N80" s="342">
        <v>0.27734199999999998</v>
      </c>
      <c r="O80" s="342">
        <v>0.27734199999999998</v>
      </c>
      <c r="P80" s="342">
        <v>0.237819</v>
      </c>
      <c r="Q80" s="342">
        <v>0.237819</v>
      </c>
      <c r="R80" s="342">
        <v>0.237819</v>
      </c>
      <c r="S80" s="342">
        <f>R75+S75</f>
        <v>0.47563800000000001</v>
      </c>
      <c r="T80" s="400">
        <f>SUM(N80:S80)</f>
        <v>1.743779</v>
      </c>
      <c r="U80" s="400">
        <f>T80+L80</f>
        <v>2.9620730000000002</v>
      </c>
      <c r="V80" s="342">
        <f>V75</f>
        <v>2.8538000000000001</v>
      </c>
      <c r="W80" s="184">
        <f>V80-U80</f>
        <v>-0.1</v>
      </c>
      <c r="X80" s="315">
        <f>U75-U80</f>
        <v>0</v>
      </c>
    </row>
    <row r="81" spans="1:24" s="214" customFormat="1" ht="18" customHeight="1">
      <c r="A81" s="610"/>
      <c r="B81" s="583"/>
      <c r="C81" s="583"/>
      <c r="D81" s="187" t="str">
        <f>серпень!D81</f>
        <v>тариф, грн.</v>
      </c>
      <c r="E81" s="188" t="e">
        <f t="shared" ref="E81:K81" si="154">E82/E80*1000</f>
        <v>#DIV/0!</v>
      </c>
      <c r="F81" s="188" t="e">
        <f t="shared" si="154"/>
        <v>#DIV/0!</v>
      </c>
      <c r="G81" s="188">
        <f t="shared" si="154"/>
        <v>104064.819</v>
      </c>
      <c r="H81" s="188">
        <f t="shared" si="154"/>
        <v>104460.164</v>
      </c>
      <c r="I81" s="188">
        <f t="shared" si="154"/>
        <v>104460.164</v>
      </c>
      <c r="J81" s="188">
        <f t="shared" si="154"/>
        <v>104460.164</v>
      </c>
      <c r="K81" s="188">
        <f t="shared" si="154"/>
        <v>104459.476</v>
      </c>
      <c r="L81" s="218">
        <f t="shared" ref="L81:P81" si="155">L82/L80*1000</f>
        <v>104383.671</v>
      </c>
      <c r="M81" s="218">
        <f t="shared" si="155"/>
        <v>104383.671</v>
      </c>
      <c r="N81" s="218">
        <f t="shared" si="155"/>
        <v>104459.476</v>
      </c>
      <c r="O81" s="218">
        <f t="shared" si="155"/>
        <v>104459.476</v>
      </c>
      <c r="P81" s="218">
        <f t="shared" si="155"/>
        <v>121819.535</v>
      </c>
      <c r="Q81" s="218">
        <v>104461.02</v>
      </c>
      <c r="R81" s="218">
        <v>104461.02</v>
      </c>
      <c r="S81" s="218">
        <v>104461.02</v>
      </c>
      <c r="T81" s="217">
        <f>T82/T80*1000</f>
        <v>106828.33</v>
      </c>
      <c r="U81" s="217">
        <f>U82/U80*1000</f>
        <v>105822.85</v>
      </c>
      <c r="V81" s="218">
        <f>V82/V80*1000</f>
        <v>104067.55899999999</v>
      </c>
      <c r="W81" s="219">
        <f>W82/W80*1000</f>
        <v>164670</v>
      </c>
      <c r="X81" s="47"/>
    </row>
    <row r="82" spans="1:24" s="214" customFormat="1" ht="18" customHeight="1">
      <c r="A82" s="610"/>
      <c r="B82" s="583"/>
      <c r="C82" s="583"/>
      <c r="D82" s="198" t="str">
        <f>серпень!D82</f>
        <v>касові видатки, тис.грн.</v>
      </c>
      <c r="E82" s="220"/>
      <c r="F82" s="199">
        <v>0</v>
      </c>
      <c r="G82" s="199">
        <v>24.48</v>
      </c>
      <c r="H82" s="199">
        <v>24.573</v>
      </c>
      <c r="I82" s="199">
        <v>24.573</v>
      </c>
      <c r="J82" s="199">
        <v>24.573</v>
      </c>
      <c r="K82" s="199">
        <v>28.971</v>
      </c>
      <c r="L82" s="199">
        <f>SUM(F82:K82)</f>
        <v>127.17</v>
      </c>
      <c r="M82" s="199">
        <f>L82/6</f>
        <v>21.195</v>
      </c>
      <c r="N82" s="199">
        <v>28.971</v>
      </c>
      <c r="O82" s="199">
        <v>28.971</v>
      </c>
      <c r="P82" s="199">
        <v>28.971</v>
      </c>
      <c r="Q82" s="199">
        <f t="shared" ref="Q82" si="156">Q80*Q81/1000</f>
        <v>24.843</v>
      </c>
      <c r="R82" s="199">
        <f t="shared" ref="R82" si="157">R80*R81/1000</f>
        <v>24.843</v>
      </c>
      <c r="S82" s="199">
        <f t="shared" ref="S82" si="158">S80*S81/1000</f>
        <v>49.686</v>
      </c>
      <c r="T82" s="199">
        <f>SUM(N82:S82)</f>
        <v>186.285</v>
      </c>
      <c r="U82" s="199">
        <f>T82+L82</f>
        <v>313.45499999999998</v>
      </c>
      <c r="V82" s="199">
        <f>V77</f>
        <v>296.988</v>
      </c>
      <c r="W82" s="221">
        <f>V82-U82</f>
        <v>-16.466999999999999</v>
      </c>
      <c r="X82" s="63">
        <f>U77-U82</f>
        <v>0</v>
      </c>
    </row>
    <row r="83" spans="1:24" s="214" customFormat="1" ht="18" customHeight="1">
      <c r="A83" s="610"/>
      <c r="B83" s="583"/>
      <c r="C83" s="583"/>
      <c r="D83" s="201" t="str">
        <f>серпень!D83</f>
        <v>дотація</v>
      </c>
      <c r="E83" s="220"/>
      <c r="F83" s="98">
        <v>0</v>
      </c>
      <c r="G83" s="98">
        <v>0</v>
      </c>
      <c r="H83" s="98">
        <v>0</v>
      </c>
      <c r="I83" s="98">
        <v>0</v>
      </c>
      <c r="J83" s="98">
        <v>0</v>
      </c>
      <c r="K83" s="98">
        <v>0</v>
      </c>
      <c r="L83" s="199">
        <f>SUM(F83:K83)</f>
        <v>0</v>
      </c>
      <c r="M83" s="199">
        <f>L83/6</f>
        <v>0</v>
      </c>
      <c r="N83" s="98">
        <v>0</v>
      </c>
      <c r="O83" s="98">
        <v>0</v>
      </c>
      <c r="P83" s="98">
        <v>0</v>
      </c>
      <c r="Q83" s="98">
        <v>0</v>
      </c>
      <c r="R83" s="98">
        <v>0</v>
      </c>
      <c r="S83" s="98">
        <v>0</v>
      </c>
      <c r="T83" s="199">
        <f>SUM(N83:S83)</f>
        <v>0</v>
      </c>
      <c r="U83" s="199">
        <f>T83+L83</f>
        <v>0</v>
      </c>
      <c r="V83" s="199">
        <f>V78</f>
        <v>0</v>
      </c>
      <c r="W83" s="221">
        <f>V83-U83</f>
        <v>0</v>
      </c>
      <c r="X83" s="63">
        <f>U78-U83</f>
        <v>0</v>
      </c>
    </row>
    <row r="84" spans="1:24" s="214" customFormat="1" ht="18" customHeight="1">
      <c r="A84" s="610"/>
      <c r="B84" s="583"/>
      <c r="C84" s="583"/>
      <c r="D84" s="201" t="str">
        <f>серпень!D84</f>
        <v xml:space="preserve">місцевий </v>
      </c>
      <c r="E84" s="220"/>
      <c r="F84" s="98">
        <f t="shared" ref="F84:K84" si="159">F82-F83</f>
        <v>0</v>
      </c>
      <c r="G84" s="98">
        <f t="shared" si="159"/>
        <v>24.48</v>
      </c>
      <c r="H84" s="98">
        <f t="shared" si="159"/>
        <v>24.573</v>
      </c>
      <c r="I84" s="98">
        <f t="shared" si="159"/>
        <v>24.573</v>
      </c>
      <c r="J84" s="98">
        <f t="shared" si="159"/>
        <v>24.573</v>
      </c>
      <c r="K84" s="98">
        <f t="shared" si="159"/>
        <v>28.971</v>
      </c>
      <c r="L84" s="199">
        <f>SUM(F84:K84)</f>
        <v>127.17</v>
      </c>
      <c r="M84" s="199">
        <f>L84/6</f>
        <v>21.195</v>
      </c>
      <c r="N84" s="98">
        <f t="shared" ref="N84:S84" si="160">N82-N83</f>
        <v>28.971</v>
      </c>
      <c r="O84" s="98">
        <f t="shared" si="160"/>
        <v>28.971</v>
      </c>
      <c r="P84" s="98">
        <f t="shared" si="160"/>
        <v>28.971</v>
      </c>
      <c r="Q84" s="98">
        <f t="shared" si="160"/>
        <v>24.843</v>
      </c>
      <c r="R84" s="98">
        <f t="shared" si="160"/>
        <v>24.843</v>
      </c>
      <c r="S84" s="98">
        <f t="shared" si="160"/>
        <v>49.686</v>
      </c>
      <c r="T84" s="199">
        <f>SUM(N84:S84)</f>
        <v>186.285</v>
      </c>
      <c r="U84" s="199">
        <f>T84+L84</f>
        <v>313.45499999999998</v>
      </c>
      <c r="V84" s="199">
        <f>V79</f>
        <v>296.988</v>
      </c>
      <c r="W84" s="221">
        <f>V84-U84</f>
        <v>-16.466999999999999</v>
      </c>
      <c r="X84" s="63">
        <f>U79-U84</f>
        <v>-16.466999999999999</v>
      </c>
    </row>
    <row r="85" spans="1:24" s="214" customFormat="1" ht="18" customHeight="1">
      <c r="A85" s="610"/>
      <c r="B85" s="583"/>
      <c r="C85" s="583"/>
      <c r="D85" s="202" t="str">
        <f>серпень!D85</f>
        <v>план</v>
      </c>
      <c r="E85" s="203"/>
      <c r="F85" s="203">
        <f t="shared" ref="F85:K85" si="161">F78+F79</f>
        <v>0</v>
      </c>
      <c r="G85" s="203">
        <f t="shared" si="161"/>
        <v>24.748999999999999</v>
      </c>
      <c r="H85" s="203">
        <f t="shared" si="161"/>
        <v>24.748999999999999</v>
      </c>
      <c r="I85" s="203">
        <f t="shared" si="161"/>
        <v>24.748999999999999</v>
      </c>
      <c r="J85" s="203">
        <f t="shared" si="161"/>
        <v>24.748999999999999</v>
      </c>
      <c r="K85" s="203">
        <f t="shared" si="161"/>
        <v>28.795000000000002</v>
      </c>
      <c r="L85" s="203">
        <f>SUM(F85:K85)</f>
        <v>127.791</v>
      </c>
      <c r="M85" s="203">
        <f>L85/6</f>
        <v>21.298999999999999</v>
      </c>
      <c r="N85" s="203">
        <f t="shared" ref="N85:S85" si="162">N79+N78</f>
        <v>28.972000000000001</v>
      </c>
      <c r="O85" s="203">
        <f t="shared" si="162"/>
        <v>28.971</v>
      </c>
      <c r="P85" s="203">
        <f t="shared" si="162"/>
        <v>24.748999999999999</v>
      </c>
      <c r="Q85" s="203">
        <f t="shared" si="162"/>
        <v>24.748999999999999</v>
      </c>
      <c r="R85" s="203">
        <f t="shared" si="162"/>
        <v>24.748999999999999</v>
      </c>
      <c r="S85" s="203">
        <f t="shared" si="162"/>
        <v>37.006999999999998</v>
      </c>
      <c r="T85" s="203">
        <f>SUM(N85:S85)</f>
        <v>169.197</v>
      </c>
      <c r="U85" s="203">
        <f>T85+L85</f>
        <v>296.988</v>
      </c>
      <c r="V85" s="203">
        <f>V82</f>
        <v>296.988</v>
      </c>
      <c r="W85" s="203">
        <f>V85-U85</f>
        <v>0</v>
      </c>
    </row>
    <row r="86" spans="1:24" s="214" customFormat="1" ht="18" customHeight="1">
      <c r="A86" s="610"/>
      <c r="B86" s="583"/>
      <c r="C86" s="583"/>
      <c r="D86" s="202" t="str">
        <f>серпень!D86</f>
        <v xml:space="preserve">відхилення </v>
      </c>
      <c r="E86" s="203"/>
      <c r="F86" s="100">
        <f t="shared" ref="F86:K86" si="163">F82-F85</f>
        <v>0</v>
      </c>
      <c r="G86" s="100">
        <f>G82-G85</f>
        <v>-0.26900000000000002</v>
      </c>
      <c r="H86" s="100">
        <f t="shared" si="163"/>
        <v>-0.17599999999999999</v>
      </c>
      <c r="I86" s="100">
        <f t="shared" si="163"/>
        <v>-0.17599999999999999</v>
      </c>
      <c r="J86" s="100">
        <f t="shared" si="163"/>
        <v>-0.17599999999999999</v>
      </c>
      <c r="K86" s="100">
        <f t="shared" si="163"/>
        <v>0.17599999999999999</v>
      </c>
      <c r="L86" s="203"/>
      <c r="M86" s="203"/>
      <c r="N86" s="203">
        <f t="shared" ref="N86:S86" si="164">N82-N85</f>
        <v>-1E-3</v>
      </c>
      <c r="O86" s="203">
        <f t="shared" si="164"/>
        <v>0</v>
      </c>
      <c r="P86" s="203">
        <f t="shared" si="164"/>
        <v>4.2220000000000004</v>
      </c>
      <c r="Q86" s="203">
        <f t="shared" si="164"/>
        <v>9.4E-2</v>
      </c>
      <c r="R86" s="203">
        <f t="shared" si="164"/>
        <v>9.4E-2</v>
      </c>
      <c r="S86" s="203">
        <f t="shared" si="164"/>
        <v>12.679</v>
      </c>
      <c r="T86" s="203"/>
      <c r="U86" s="203"/>
      <c r="V86" s="203"/>
      <c r="W86" s="203"/>
    </row>
    <row r="87" spans="1:24" s="214" customFormat="1" ht="25.2" customHeight="1">
      <c r="A87" s="610"/>
      <c r="B87" s="583"/>
      <c r="C87" s="584"/>
      <c r="D87" s="202" t="str">
        <f>серпень!D87</f>
        <v>відхилення з наростаючим</v>
      </c>
      <c r="E87" s="203"/>
      <c r="F87" s="100">
        <f>F86</f>
        <v>0</v>
      </c>
      <c r="G87" s="100">
        <f>G86+F87</f>
        <v>-0.26900000000000002</v>
      </c>
      <c r="H87" s="100">
        <f>H86+G87</f>
        <v>-0.44500000000000001</v>
      </c>
      <c r="I87" s="100">
        <f>I86+H87</f>
        <v>-0.621</v>
      </c>
      <c r="J87" s="100">
        <f>J86+I87</f>
        <v>-0.79700000000000004</v>
      </c>
      <c r="K87" s="100">
        <f>K86+J87</f>
        <v>-0.621</v>
      </c>
      <c r="L87" s="203"/>
      <c r="M87" s="203"/>
      <c r="N87" s="203">
        <f>N86+K87</f>
        <v>-0.622</v>
      </c>
      <c r="O87" s="203">
        <f>O86+N87</f>
        <v>-0.622</v>
      </c>
      <c r="P87" s="203">
        <f>P86+O87</f>
        <v>3.6</v>
      </c>
      <c r="Q87" s="203">
        <f>Q86+P87</f>
        <v>3.694</v>
      </c>
      <c r="R87" s="203">
        <f>R86+Q87</f>
        <v>3.7879999999999998</v>
      </c>
      <c r="S87" s="203">
        <f>S86+R87</f>
        <v>16.466999999999999</v>
      </c>
      <c r="T87" s="203"/>
      <c r="U87" s="203"/>
      <c r="V87" s="203"/>
      <c r="W87" s="203"/>
    </row>
    <row r="88" spans="1:24" s="47" customFormat="1" ht="18" customHeight="1">
      <c r="A88" s="610"/>
      <c r="B88" s="583"/>
      <c r="C88" s="582" t="s">
        <v>99</v>
      </c>
      <c r="D88" s="178" t="str">
        <f>серпень!D88</f>
        <v>факт. нат.п-ки 2023</v>
      </c>
      <c r="E88" s="85"/>
      <c r="F88" s="88">
        <v>62.6</v>
      </c>
      <c r="G88" s="88">
        <v>60.1</v>
      </c>
      <c r="H88" s="85">
        <v>42.7</v>
      </c>
      <c r="I88" s="85">
        <v>0</v>
      </c>
      <c r="J88" s="85">
        <v>0</v>
      </c>
      <c r="K88" s="85">
        <v>0</v>
      </c>
      <c r="L88" s="140">
        <f>SUM(F88:K88)</f>
        <v>165.4</v>
      </c>
      <c r="M88" s="140">
        <f>L88/6</f>
        <v>27.6</v>
      </c>
      <c r="N88" s="85">
        <v>0</v>
      </c>
      <c r="O88" s="85">
        <v>0</v>
      </c>
      <c r="P88" s="85">
        <v>0</v>
      </c>
      <c r="Q88" s="85">
        <v>0</v>
      </c>
      <c r="R88" s="85">
        <v>32.700000000000003</v>
      </c>
      <c r="S88" s="85">
        <v>39.4</v>
      </c>
      <c r="T88" s="140">
        <f>SUM(N88:S88)</f>
        <v>72.099999999999994</v>
      </c>
      <c r="U88" s="140">
        <f>T88+L88</f>
        <v>237.5</v>
      </c>
      <c r="V88" s="85">
        <v>237.5</v>
      </c>
      <c r="W88" s="88"/>
    </row>
    <row r="89" spans="1:24" s="47" customFormat="1" ht="18" customHeight="1">
      <c r="A89" s="610"/>
      <c r="B89" s="583"/>
      <c r="C89" s="583"/>
      <c r="D89" s="178" t="str">
        <f>серпень!D89</f>
        <v>факт. нат.п-ки 2024</v>
      </c>
      <c r="E89" s="85"/>
      <c r="F89" s="88">
        <v>42.6</v>
      </c>
      <c r="G89" s="88">
        <v>55.5</v>
      </c>
      <c r="H89" s="85">
        <v>43.2</v>
      </c>
      <c r="I89" s="85">
        <v>0</v>
      </c>
      <c r="J89" s="85">
        <v>0</v>
      </c>
      <c r="K89" s="85">
        <v>0</v>
      </c>
      <c r="L89" s="140">
        <f>SUM(F89:K89)</f>
        <v>141.30000000000001</v>
      </c>
      <c r="M89" s="140">
        <f>L89/6</f>
        <v>23.6</v>
      </c>
      <c r="N89" s="85">
        <v>0</v>
      </c>
      <c r="O89" s="85">
        <v>0</v>
      </c>
      <c r="P89" s="85">
        <v>0</v>
      </c>
      <c r="Q89" s="85">
        <v>0</v>
      </c>
      <c r="R89" s="85">
        <v>32.700000000000003</v>
      </c>
      <c r="S89" s="85">
        <v>64.8</v>
      </c>
      <c r="T89" s="140">
        <f>SUM(N89:S89)</f>
        <v>97.5</v>
      </c>
      <c r="U89" s="140">
        <f>T89+L89</f>
        <v>238.8</v>
      </c>
      <c r="V89" s="85">
        <v>238.8</v>
      </c>
      <c r="W89" s="88"/>
    </row>
    <row r="90" spans="1:24" s="47" customFormat="1" ht="18" customHeight="1">
      <c r="A90" s="610"/>
      <c r="B90" s="583"/>
      <c r="C90" s="583"/>
      <c r="D90" s="178" t="str">
        <f>серпень!D90</f>
        <v>факт. нат.п-ки 2025</v>
      </c>
      <c r="E90" s="85"/>
      <c r="F90" s="88">
        <v>45.4</v>
      </c>
      <c r="G90" s="88">
        <v>65.599999999999994</v>
      </c>
      <c r="H90" s="85">
        <v>41.2</v>
      </c>
      <c r="I90" s="85">
        <v>0</v>
      </c>
      <c r="J90" s="85">
        <v>0</v>
      </c>
      <c r="K90" s="85">
        <v>0</v>
      </c>
      <c r="L90" s="140">
        <f>SUM(F90:K90)</f>
        <v>152.19999999999999</v>
      </c>
      <c r="M90" s="140">
        <f>L90/6</f>
        <v>25.4</v>
      </c>
      <c r="N90" s="85">
        <v>0</v>
      </c>
      <c r="O90" s="85">
        <v>0</v>
      </c>
      <c r="P90" s="85">
        <v>0</v>
      </c>
      <c r="Q90" s="85">
        <v>0</v>
      </c>
      <c r="R90" s="85">
        <v>32.700000000000003</v>
      </c>
      <c r="S90" s="85">
        <f>39.4+25.4-0.6</f>
        <v>64.2</v>
      </c>
      <c r="T90" s="140">
        <f>SUM(N90:S90)</f>
        <v>96.9</v>
      </c>
      <c r="U90" s="140">
        <f>T90+L90</f>
        <v>249.1</v>
      </c>
      <c r="V90" s="85">
        <v>238.2</v>
      </c>
      <c r="W90" s="88">
        <f>U90-V90</f>
        <v>10.9</v>
      </c>
    </row>
    <row r="91" spans="1:24" s="47" customFormat="1" ht="18" customHeight="1">
      <c r="A91" s="610"/>
      <c r="B91" s="583"/>
      <c r="C91" s="583"/>
      <c r="D91" s="187" t="str">
        <f>серпень!D91</f>
        <v>тариф, грн.</v>
      </c>
      <c r="E91" s="92" t="e">
        <f t="shared" ref="E91:K91" si="165">E92/E90*1000</f>
        <v>#DIV/0!</v>
      </c>
      <c r="F91" s="92">
        <f t="shared" si="165"/>
        <v>2923.4140000000002</v>
      </c>
      <c r="G91" s="92">
        <f t="shared" si="165"/>
        <v>3097.5459999999998</v>
      </c>
      <c r="H91" s="92">
        <f t="shared" si="165"/>
        <v>3096.4560000000001</v>
      </c>
      <c r="I91" s="92" t="e">
        <f t="shared" si="165"/>
        <v>#DIV/0!</v>
      </c>
      <c r="J91" s="92" t="e">
        <f t="shared" si="165"/>
        <v>#DIV/0!</v>
      </c>
      <c r="K91" s="92" t="e">
        <f t="shared" si="165"/>
        <v>#DIV/0!</v>
      </c>
      <c r="L91" s="217">
        <f t="shared" ref="L91:Q91" si="166">L92/L90*1000</f>
        <v>3045.31</v>
      </c>
      <c r="M91" s="217">
        <f t="shared" si="166"/>
        <v>3041.3</v>
      </c>
      <c r="N91" s="217" t="e">
        <f t="shared" si="166"/>
        <v>#DIV/0!</v>
      </c>
      <c r="O91" s="217" t="e">
        <f t="shared" si="166"/>
        <v>#DIV/0!</v>
      </c>
      <c r="P91" s="217" t="e">
        <f t="shared" si="166"/>
        <v>#DIV/0!</v>
      </c>
      <c r="Q91" s="217" t="e">
        <f t="shared" si="166"/>
        <v>#DIV/0!</v>
      </c>
      <c r="R91" s="217">
        <v>3096.37</v>
      </c>
      <c r="S91" s="217">
        <v>3096.37</v>
      </c>
      <c r="T91" s="142">
        <f>T92/T90*1000</f>
        <v>3096.38</v>
      </c>
      <c r="U91" s="142">
        <f>U92/U90*1000</f>
        <v>3065.17</v>
      </c>
      <c r="V91" s="105">
        <f>V92/V90*1000</f>
        <v>2926.3009999999999</v>
      </c>
      <c r="W91" s="87">
        <f>W92/W90*1000</f>
        <v>-6100</v>
      </c>
    </row>
    <row r="92" spans="1:24" s="47" customFormat="1" ht="18" customHeight="1">
      <c r="A92" s="610"/>
      <c r="B92" s="583"/>
      <c r="C92" s="583"/>
      <c r="D92" s="191" t="str">
        <f>серпень!D92</f>
        <v>сума, тис.грн.</v>
      </c>
      <c r="E92" s="93"/>
      <c r="F92" s="93">
        <v>132.72300000000001</v>
      </c>
      <c r="G92" s="93">
        <v>203.19900000000001</v>
      </c>
      <c r="H92" s="93">
        <v>127.574</v>
      </c>
      <c r="I92" s="93">
        <v>0</v>
      </c>
      <c r="J92" s="93">
        <v>0</v>
      </c>
      <c r="K92" s="93">
        <v>0</v>
      </c>
      <c r="L92" s="106">
        <f>SUM(F92:K92)</f>
        <v>463.49599999999998</v>
      </c>
      <c r="M92" s="106">
        <f>L92/6</f>
        <v>77.248999999999995</v>
      </c>
      <c r="N92" s="93">
        <v>0</v>
      </c>
      <c r="O92" s="93">
        <v>0</v>
      </c>
      <c r="P92" s="93">
        <v>0</v>
      </c>
      <c r="Q92" s="93">
        <v>0</v>
      </c>
      <c r="R92" s="93">
        <f t="shared" ref="R92" si="167">R90*R91/1000</f>
        <v>101.251</v>
      </c>
      <c r="S92" s="93">
        <f>S90*S91/1000+0.001</f>
        <v>198.78800000000001</v>
      </c>
      <c r="T92" s="106">
        <f>SUM(N92:S92)</f>
        <v>300.03899999999999</v>
      </c>
      <c r="U92" s="106">
        <f>T92+L92</f>
        <v>763.53499999999997</v>
      </c>
      <c r="V92" s="107">
        <f>V93+V94</f>
        <v>697.04499999999996</v>
      </c>
      <c r="W92" s="93">
        <f>V92-U92</f>
        <v>-66.489999999999995</v>
      </c>
    </row>
    <row r="93" spans="1:24" s="47" customFormat="1" ht="18" customHeight="1">
      <c r="A93" s="610"/>
      <c r="B93" s="583"/>
      <c r="C93" s="583"/>
      <c r="D93" s="174" t="str">
        <f>серпень!D93</f>
        <v>дотація</v>
      </c>
      <c r="E93" s="95"/>
      <c r="F93" s="93"/>
      <c r="G93" s="93"/>
      <c r="H93" s="93"/>
      <c r="I93" s="93"/>
      <c r="J93" s="93"/>
      <c r="K93" s="93"/>
      <c r="L93" s="106">
        <f>SUM(F93:K93)</f>
        <v>0</v>
      </c>
      <c r="M93" s="106">
        <f>L93/6</f>
        <v>0</v>
      </c>
      <c r="N93" s="93"/>
      <c r="O93" s="93"/>
      <c r="P93" s="93"/>
      <c r="Q93" s="93"/>
      <c r="R93" s="93"/>
      <c r="S93" s="93"/>
      <c r="T93" s="106">
        <f>SUM(N93:S93)</f>
        <v>0</v>
      </c>
      <c r="U93" s="106">
        <f>T93+L93</f>
        <v>0</v>
      </c>
      <c r="V93" s="107"/>
      <c r="W93" s="93">
        <f>V93-U93</f>
        <v>0</v>
      </c>
    </row>
    <row r="94" spans="1:24" s="47" customFormat="1" ht="18" customHeight="1">
      <c r="A94" s="610"/>
      <c r="B94" s="583"/>
      <c r="C94" s="583"/>
      <c r="D94" s="174" t="str">
        <f>серпень!D94</f>
        <v>місцевий (план), тис.грн</v>
      </c>
      <c r="E94" s="95"/>
      <c r="F94" s="93">
        <f>23.358-23.358</f>
        <v>0</v>
      </c>
      <c r="G94" s="93">
        <f>124.66+6.318</f>
        <v>130.97800000000001</v>
      </c>
      <c r="H94" s="93">
        <f>162.41+50.5-0.243</f>
        <v>212.667</v>
      </c>
      <c r="I94" s="93">
        <f>126.416+4.182</f>
        <v>130.59800000000001</v>
      </c>
      <c r="J94" s="93">
        <v>0</v>
      </c>
      <c r="K94" s="93">
        <v>0</v>
      </c>
      <c r="L94" s="106">
        <f>SUM(F94:K94)</f>
        <v>474.24299999999999</v>
      </c>
      <c r="M94" s="106">
        <f>L94/6</f>
        <v>79.040999999999997</v>
      </c>
      <c r="N94" s="93">
        <v>0</v>
      </c>
      <c r="O94" s="93">
        <v>0</v>
      </c>
      <c r="P94" s="93">
        <v>0</v>
      </c>
      <c r="Q94" s="93">
        <v>0</v>
      </c>
      <c r="R94" s="93">
        <v>0</v>
      </c>
      <c r="S94" s="93">
        <f>283.559-6.318-50.257-4.182</f>
        <v>222.80199999999999</v>
      </c>
      <c r="T94" s="106">
        <f>SUM(N94:S94)</f>
        <v>222.80199999999999</v>
      </c>
      <c r="U94" s="106">
        <f>T94+L94</f>
        <v>697.04499999999996</v>
      </c>
      <c r="V94" s="107">
        <v>697.04499999999996</v>
      </c>
      <c r="W94" s="93">
        <f>V94-U94</f>
        <v>0</v>
      </c>
    </row>
    <row r="95" spans="1:24" s="47" customFormat="1" ht="18" customHeight="1">
      <c r="A95" s="610"/>
      <c r="B95" s="583"/>
      <c r="C95" s="583"/>
      <c r="D95" s="178" t="str">
        <f>серпень!D95</f>
        <v>касові нат.п-ки 2025</v>
      </c>
      <c r="E95" s="85"/>
      <c r="F95" s="88">
        <v>0</v>
      </c>
      <c r="G95" s="88">
        <v>45.4</v>
      </c>
      <c r="H95" s="88">
        <v>65.599999999999994</v>
      </c>
      <c r="I95" s="88">
        <v>41.2</v>
      </c>
      <c r="J95" s="85">
        <v>0</v>
      </c>
      <c r="K95" s="85">
        <v>0</v>
      </c>
      <c r="L95" s="140">
        <f>SUM(F95:K95)</f>
        <v>152.19999999999999</v>
      </c>
      <c r="M95" s="140">
        <f>L95/6</f>
        <v>25.4</v>
      </c>
      <c r="N95" s="85"/>
      <c r="O95" s="85"/>
      <c r="P95" s="85"/>
      <c r="Q95" s="85"/>
      <c r="R95" s="85"/>
      <c r="S95" s="85">
        <f>R90+S90</f>
        <v>96.9</v>
      </c>
      <c r="T95" s="140">
        <f>SUM(N95:S95)</f>
        <v>96.9</v>
      </c>
      <c r="U95" s="140">
        <f>T95+L95</f>
        <v>249.1</v>
      </c>
      <c r="V95" s="85">
        <f>V90</f>
        <v>238.2</v>
      </c>
      <c r="W95" s="88">
        <f>V95-U95</f>
        <v>-10.9</v>
      </c>
      <c r="X95" s="47">
        <f>U90-U95</f>
        <v>0</v>
      </c>
    </row>
    <row r="96" spans="1:24" s="47" customFormat="1" ht="18" customHeight="1">
      <c r="A96" s="610"/>
      <c r="B96" s="583"/>
      <c r="C96" s="583"/>
      <c r="D96" s="187" t="str">
        <f>серпень!D96</f>
        <v>тариф, грн.</v>
      </c>
      <c r="E96" s="92" t="e">
        <f t="shared" ref="E96:J96" si="168">E97/E95*1000</f>
        <v>#DIV/0!</v>
      </c>
      <c r="F96" s="92" t="e">
        <f t="shared" si="168"/>
        <v>#DIV/0!</v>
      </c>
      <c r="G96" s="92">
        <f t="shared" si="168"/>
        <v>2923.4140000000002</v>
      </c>
      <c r="H96" s="92">
        <f t="shared" si="168"/>
        <v>3097.5459999999998</v>
      </c>
      <c r="I96" s="92">
        <f t="shared" si="168"/>
        <v>3096.4560000000001</v>
      </c>
      <c r="J96" s="92" t="e">
        <f t="shared" si="168"/>
        <v>#DIV/0!</v>
      </c>
      <c r="K96" s="92">
        <v>3096.37</v>
      </c>
      <c r="L96" s="217">
        <f t="shared" ref="L96:R96" si="169">L97/L95*1000</f>
        <v>3045.31</v>
      </c>
      <c r="M96" s="217">
        <f t="shared" si="169"/>
        <v>3041.3</v>
      </c>
      <c r="N96" s="217" t="e">
        <f t="shared" si="169"/>
        <v>#DIV/0!</v>
      </c>
      <c r="O96" s="217" t="e">
        <f t="shared" si="169"/>
        <v>#DIV/0!</v>
      </c>
      <c r="P96" s="217" t="e">
        <f t="shared" si="169"/>
        <v>#DIV/0!</v>
      </c>
      <c r="Q96" s="217" t="e">
        <f t="shared" si="169"/>
        <v>#DIV/0!</v>
      </c>
      <c r="R96" s="217" t="e">
        <f t="shared" si="169"/>
        <v>#DIV/0!</v>
      </c>
      <c r="S96" s="217">
        <v>3096.37</v>
      </c>
      <c r="T96" s="142">
        <f>T97/T95*1000</f>
        <v>3096.38</v>
      </c>
      <c r="U96" s="142">
        <f>U97/U95*1000</f>
        <v>3065.17</v>
      </c>
      <c r="V96" s="105">
        <f>V97/V95*1000</f>
        <v>2926.3009999999999</v>
      </c>
      <c r="W96" s="87">
        <f>W97/W95*1000</f>
        <v>6100</v>
      </c>
    </row>
    <row r="97" spans="1:24" s="63" customFormat="1" ht="18" customHeight="1">
      <c r="A97" s="610"/>
      <c r="B97" s="583"/>
      <c r="C97" s="583"/>
      <c r="D97" s="198" t="str">
        <f>серпень!D97</f>
        <v>касові видатки, тис.грн.</v>
      </c>
      <c r="E97" s="108"/>
      <c r="F97" s="98">
        <v>0</v>
      </c>
      <c r="G97" s="98">
        <v>132.72300000000001</v>
      </c>
      <c r="H97" s="98">
        <v>203.19900000000001</v>
      </c>
      <c r="I97" s="98">
        <v>127.574</v>
      </c>
      <c r="J97" s="98">
        <v>0</v>
      </c>
      <c r="K97" s="98">
        <v>0</v>
      </c>
      <c r="L97" s="98">
        <f>SUM(F97:K97)</f>
        <v>463.49599999999998</v>
      </c>
      <c r="M97" s="98">
        <f>L97/6</f>
        <v>77.248999999999995</v>
      </c>
      <c r="N97" s="98">
        <v>0</v>
      </c>
      <c r="O97" s="98">
        <v>0</v>
      </c>
      <c r="P97" s="98">
        <v>0</v>
      </c>
      <c r="Q97" s="98">
        <v>0</v>
      </c>
      <c r="R97" s="98">
        <v>0</v>
      </c>
      <c r="S97" s="98">
        <f>S95*S96/1000+0.001</f>
        <v>300.03899999999999</v>
      </c>
      <c r="T97" s="98">
        <f>SUM(N97:S97)</f>
        <v>300.03899999999999</v>
      </c>
      <c r="U97" s="98">
        <f>T97+L97</f>
        <v>763.53499999999997</v>
      </c>
      <c r="V97" s="98">
        <f>V92</f>
        <v>697.04499999999996</v>
      </c>
      <c r="W97" s="109">
        <f>V97-U97</f>
        <v>-66.489999999999995</v>
      </c>
      <c r="X97" s="63">
        <f>U92-U97</f>
        <v>0</v>
      </c>
    </row>
    <row r="98" spans="1:24" s="63" customFormat="1" ht="18" customHeight="1">
      <c r="A98" s="610"/>
      <c r="B98" s="583"/>
      <c r="C98" s="583"/>
      <c r="D98" s="201" t="str">
        <f>серпень!D98</f>
        <v>дотація</v>
      </c>
      <c r="E98" s="108"/>
      <c r="F98" s="98">
        <v>0</v>
      </c>
      <c r="G98" s="98">
        <v>0</v>
      </c>
      <c r="H98" s="98">
        <v>0</v>
      </c>
      <c r="I98" s="98">
        <v>0</v>
      </c>
      <c r="J98" s="98">
        <v>0</v>
      </c>
      <c r="K98" s="98">
        <v>0</v>
      </c>
      <c r="L98" s="98">
        <f>SUM(F98:K98)</f>
        <v>0</v>
      </c>
      <c r="M98" s="98">
        <f>L98/6</f>
        <v>0</v>
      </c>
      <c r="N98" s="98">
        <v>0</v>
      </c>
      <c r="O98" s="98">
        <v>0</v>
      </c>
      <c r="P98" s="98">
        <v>0</v>
      </c>
      <c r="Q98" s="98">
        <v>0</v>
      </c>
      <c r="R98" s="98">
        <v>0</v>
      </c>
      <c r="S98" s="98">
        <v>0</v>
      </c>
      <c r="T98" s="98">
        <f>SUM(N98:S98)</f>
        <v>0</v>
      </c>
      <c r="U98" s="98">
        <f>T98+L98</f>
        <v>0</v>
      </c>
      <c r="V98" s="98">
        <f>V93</f>
        <v>0</v>
      </c>
      <c r="W98" s="109">
        <f>V98-U98</f>
        <v>0</v>
      </c>
      <c r="X98" s="63">
        <f>U93-U98</f>
        <v>0</v>
      </c>
    </row>
    <row r="99" spans="1:24" s="63" customFormat="1" ht="18" customHeight="1">
      <c r="A99" s="610"/>
      <c r="B99" s="583"/>
      <c r="C99" s="583"/>
      <c r="D99" s="201" t="str">
        <f>серпень!D99</f>
        <v xml:space="preserve">місцевий </v>
      </c>
      <c r="E99" s="108"/>
      <c r="F99" s="98">
        <f t="shared" ref="F99:K99" si="170">F97-F98</f>
        <v>0</v>
      </c>
      <c r="G99" s="98">
        <f t="shared" si="170"/>
        <v>132.72300000000001</v>
      </c>
      <c r="H99" s="98">
        <f t="shared" si="170"/>
        <v>203.19900000000001</v>
      </c>
      <c r="I99" s="98">
        <f t="shared" si="170"/>
        <v>127.574</v>
      </c>
      <c r="J99" s="98">
        <f t="shared" si="170"/>
        <v>0</v>
      </c>
      <c r="K99" s="98">
        <f t="shared" si="170"/>
        <v>0</v>
      </c>
      <c r="L99" s="98">
        <f>SUM(F99:K99)</f>
        <v>463.49599999999998</v>
      </c>
      <c r="M99" s="98">
        <f>L99/6</f>
        <v>77.248999999999995</v>
      </c>
      <c r="N99" s="98">
        <f t="shared" ref="N99:S99" si="171">N97-N98</f>
        <v>0</v>
      </c>
      <c r="O99" s="98">
        <f t="shared" si="171"/>
        <v>0</v>
      </c>
      <c r="P99" s="98">
        <f t="shared" si="171"/>
        <v>0</v>
      </c>
      <c r="Q99" s="98">
        <f t="shared" si="171"/>
        <v>0</v>
      </c>
      <c r="R99" s="98">
        <f t="shared" si="171"/>
        <v>0</v>
      </c>
      <c r="S99" s="98">
        <f t="shared" si="171"/>
        <v>300.03899999999999</v>
      </c>
      <c r="T99" s="98">
        <f>SUM(N99:S99)</f>
        <v>300.03899999999999</v>
      </c>
      <c r="U99" s="98">
        <f>T99+L99</f>
        <v>763.53499999999997</v>
      </c>
      <c r="V99" s="98">
        <f>V94</f>
        <v>697.04499999999996</v>
      </c>
      <c r="W99" s="109">
        <f>V99-U99</f>
        <v>-66.489999999999995</v>
      </c>
      <c r="X99" s="63">
        <f>U94-U99</f>
        <v>-66.489999999999995</v>
      </c>
    </row>
    <row r="100" spans="1:24" s="43" customFormat="1" ht="18" customHeight="1">
      <c r="A100" s="610"/>
      <c r="B100" s="583"/>
      <c r="C100" s="583"/>
      <c r="D100" s="202" t="str">
        <f>серпень!D100</f>
        <v>план</v>
      </c>
      <c r="E100" s="100"/>
      <c r="F100" s="100">
        <f t="shared" ref="F100:K100" si="172">F93+F94</f>
        <v>0</v>
      </c>
      <c r="G100" s="100">
        <f>G93+G94</f>
        <v>130.97800000000001</v>
      </c>
      <c r="H100" s="100">
        <f t="shared" si="172"/>
        <v>212.667</v>
      </c>
      <c r="I100" s="100">
        <f t="shared" si="172"/>
        <v>130.59800000000001</v>
      </c>
      <c r="J100" s="100">
        <f t="shared" si="172"/>
        <v>0</v>
      </c>
      <c r="K100" s="100">
        <f t="shared" si="172"/>
        <v>0</v>
      </c>
      <c r="L100" s="100">
        <f>SUM(F100:K100)</f>
        <v>474.24299999999999</v>
      </c>
      <c r="M100" s="100">
        <f>L100/6</f>
        <v>79.040999999999997</v>
      </c>
      <c r="N100" s="100">
        <f t="shared" ref="N100:S100" si="173">N94+N93</f>
        <v>0</v>
      </c>
      <c r="O100" s="100">
        <f t="shared" si="173"/>
        <v>0</v>
      </c>
      <c r="P100" s="100">
        <f t="shared" si="173"/>
        <v>0</v>
      </c>
      <c r="Q100" s="100">
        <f t="shared" si="173"/>
        <v>0</v>
      </c>
      <c r="R100" s="100">
        <f t="shared" si="173"/>
        <v>0</v>
      </c>
      <c r="S100" s="100">
        <f t="shared" si="173"/>
        <v>222.80199999999999</v>
      </c>
      <c r="T100" s="100">
        <f>SUM(N100:S100)</f>
        <v>222.80199999999999</v>
      </c>
      <c r="U100" s="100">
        <f>T100+L100</f>
        <v>697.04499999999996</v>
      </c>
      <c r="V100" s="100">
        <f>V97</f>
        <v>697.04499999999996</v>
      </c>
      <c r="W100" s="100">
        <f>V100-U100</f>
        <v>0</v>
      </c>
    </row>
    <row r="101" spans="1:24" s="43" customFormat="1" ht="18" customHeight="1">
      <c r="A101" s="610"/>
      <c r="B101" s="583"/>
      <c r="C101" s="583"/>
      <c r="D101" s="202" t="str">
        <f>серпень!D101</f>
        <v xml:space="preserve">відхилення </v>
      </c>
      <c r="E101" s="100"/>
      <c r="F101" s="100">
        <f t="shared" ref="F101:K101" si="174">F97-F100</f>
        <v>0</v>
      </c>
      <c r="G101" s="100">
        <f t="shared" si="174"/>
        <v>1.7450000000000001</v>
      </c>
      <c r="H101" s="100">
        <f t="shared" si="174"/>
        <v>-9.468</v>
      </c>
      <c r="I101" s="100">
        <f t="shared" si="174"/>
        <v>-3.024</v>
      </c>
      <c r="J101" s="100">
        <f t="shared" si="174"/>
        <v>0</v>
      </c>
      <c r="K101" s="100">
        <f t="shared" si="174"/>
        <v>0</v>
      </c>
      <c r="L101" s="100"/>
      <c r="M101" s="100"/>
      <c r="N101" s="100">
        <f t="shared" ref="N101:S101" si="175">N97-N100</f>
        <v>0</v>
      </c>
      <c r="O101" s="100">
        <f t="shared" si="175"/>
        <v>0</v>
      </c>
      <c r="P101" s="100">
        <f t="shared" si="175"/>
        <v>0</v>
      </c>
      <c r="Q101" s="100">
        <f t="shared" si="175"/>
        <v>0</v>
      </c>
      <c r="R101" s="100">
        <f t="shared" si="175"/>
        <v>0</v>
      </c>
      <c r="S101" s="100">
        <f t="shared" si="175"/>
        <v>77.236999999999995</v>
      </c>
      <c r="T101" s="100"/>
      <c r="U101" s="100"/>
      <c r="V101" s="100"/>
      <c r="W101" s="100"/>
    </row>
    <row r="102" spans="1:24" s="43" customFormat="1" ht="18" customHeight="1">
      <c r="A102" s="610"/>
      <c r="B102" s="583"/>
      <c r="C102" s="584"/>
      <c r="D102" s="202" t="str">
        <f>серпень!D102</f>
        <v>відхилення з наростаючим</v>
      </c>
      <c r="E102" s="100"/>
      <c r="F102" s="100">
        <f>F101</f>
        <v>0</v>
      </c>
      <c r="G102" s="100">
        <f>G101+F102</f>
        <v>1.7450000000000001</v>
      </c>
      <c r="H102" s="100">
        <f>H101+G102</f>
        <v>-7.7229999999999999</v>
      </c>
      <c r="I102" s="100">
        <f>I101+H102</f>
        <v>-10.747</v>
      </c>
      <c r="J102" s="100">
        <f>J101+I102</f>
        <v>-10.747</v>
      </c>
      <c r="K102" s="100">
        <f>K101+J102</f>
        <v>-10.747</v>
      </c>
      <c r="L102" s="100"/>
      <c r="M102" s="100"/>
      <c r="N102" s="100">
        <f>N101+K102</f>
        <v>-10.747</v>
      </c>
      <c r="O102" s="100">
        <f>O101+N102</f>
        <v>-10.747</v>
      </c>
      <c r="P102" s="100">
        <f>P101+O102</f>
        <v>-10.747</v>
      </c>
      <c r="Q102" s="100">
        <f>Q101+P102</f>
        <v>-10.747</v>
      </c>
      <c r="R102" s="100">
        <f>R101+Q102</f>
        <v>-10.747</v>
      </c>
      <c r="S102" s="100">
        <f>S101+R102</f>
        <v>66.489999999999995</v>
      </c>
      <c r="T102" s="100"/>
      <c r="U102" s="100"/>
      <c r="V102" s="100"/>
      <c r="W102" s="100"/>
    </row>
    <row r="103" spans="1:24" s="43" customFormat="1" hidden="1">
      <c r="A103" s="610"/>
      <c r="B103" s="583"/>
      <c r="C103" s="582" t="s">
        <v>96</v>
      </c>
      <c r="D103" s="178" t="str">
        <f>серпень!D103</f>
        <v>факт. нат.п-ки 2023</v>
      </c>
      <c r="E103" s="179"/>
      <c r="F103" s="184"/>
      <c r="G103" s="184"/>
      <c r="H103" s="179"/>
      <c r="I103" s="179"/>
      <c r="J103" s="179"/>
      <c r="K103" s="179"/>
      <c r="L103" s="215">
        <f>SUM(F103:K103)</f>
        <v>0</v>
      </c>
      <c r="M103" s="215">
        <f>L103/6</f>
        <v>0</v>
      </c>
      <c r="N103" s="179"/>
      <c r="O103" s="179"/>
      <c r="P103" s="179"/>
      <c r="Q103" s="179"/>
      <c r="R103" s="179"/>
      <c r="S103" s="179"/>
      <c r="T103" s="215">
        <f>SUM(N103:S103)</f>
        <v>0</v>
      </c>
      <c r="U103" s="215">
        <f>T103+L103</f>
        <v>0</v>
      </c>
      <c r="V103" s="179"/>
      <c r="W103" s="184"/>
    </row>
    <row r="104" spans="1:24" s="43" customFormat="1" hidden="1">
      <c r="A104" s="610"/>
      <c r="B104" s="583"/>
      <c r="C104" s="583"/>
      <c r="D104" s="178" t="str">
        <f>серпень!D104</f>
        <v>факт. нат.п-ки 2024</v>
      </c>
      <c r="E104" s="179"/>
      <c r="F104" s="184"/>
      <c r="G104" s="184"/>
      <c r="H104" s="179"/>
      <c r="I104" s="179"/>
      <c r="J104" s="179"/>
      <c r="K104" s="179"/>
      <c r="L104" s="215">
        <f>SUM(F104:K104)</f>
        <v>0</v>
      </c>
      <c r="M104" s="215">
        <f>L104/6</f>
        <v>0</v>
      </c>
      <c r="N104" s="179"/>
      <c r="O104" s="179"/>
      <c r="P104" s="179"/>
      <c r="Q104" s="179"/>
      <c r="R104" s="179"/>
      <c r="S104" s="179"/>
      <c r="T104" s="215">
        <f>SUM(N104:S104)</f>
        <v>0</v>
      </c>
      <c r="U104" s="215">
        <f>T104+L104</f>
        <v>0</v>
      </c>
      <c r="V104" s="179"/>
      <c r="W104" s="184"/>
    </row>
    <row r="105" spans="1:24" s="43" customFormat="1" hidden="1">
      <c r="A105" s="610"/>
      <c r="B105" s="583"/>
      <c r="C105" s="583"/>
      <c r="D105" s="178" t="str">
        <f>серпень!D105</f>
        <v>факт. нат.п-ки 2025</v>
      </c>
      <c r="E105" s="179"/>
      <c r="F105" s="184"/>
      <c r="G105" s="184"/>
      <c r="H105" s="179"/>
      <c r="I105" s="216"/>
      <c r="J105" s="179">
        <v>0</v>
      </c>
      <c r="K105" s="179"/>
      <c r="L105" s="215">
        <f>SUM(F105:K105)</f>
        <v>0</v>
      </c>
      <c r="M105" s="215">
        <f>L105/6</f>
        <v>0</v>
      </c>
      <c r="N105" s="179"/>
      <c r="O105" s="179"/>
      <c r="P105" s="179"/>
      <c r="Q105" s="179"/>
      <c r="R105" s="179"/>
      <c r="S105" s="179"/>
      <c r="T105" s="215">
        <f>SUM(N105:S105)</f>
        <v>0</v>
      </c>
      <c r="U105" s="215">
        <f>T105+L105</f>
        <v>0</v>
      </c>
      <c r="V105" s="179"/>
      <c r="W105" s="184">
        <f>U105-V105</f>
        <v>0</v>
      </c>
    </row>
    <row r="106" spans="1:24" s="43" customFormat="1" hidden="1">
      <c r="A106" s="610"/>
      <c r="B106" s="583"/>
      <c r="C106" s="583"/>
      <c r="D106" s="187" t="str">
        <f>серпень!D106</f>
        <v>тариф, грн.</v>
      </c>
      <c r="E106" s="188"/>
      <c r="F106" s="188"/>
      <c r="G106" s="188"/>
      <c r="H106" s="188"/>
      <c r="I106" s="188"/>
      <c r="J106" s="188"/>
      <c r="K106" s="188"/>
      <c r="L106" s="217" t="e">
        <f>L107/L105*1000</f>
        <v>#DIV/0!</v>
      </c>
      <c r="M106" s="217" t="e">
        <f>M107/M105*1000</f>
        <v>#DIV/0!</v>
      </c>
      <c r="N106" s="188"/>
      <c r="O106" s="188"/>
      <c r="P106" s="218"/>
      <c r="Q106" s="218"/>
      <c r="R106" s="218"/>
      <c r="S106" s="218"/>
      <c r="T106" s="217" t="e">
        <f>T107/T105*1000</f>
        <v>#DIV/0!</v>
      </c>
      <c r="U106" s="217" t="e">
        <f>U107/U105*1000</f>
        <v>#DIV/0!</v>
      </c>
      <c r="V106" s="218" t="e">
        <f>V107/V105*1000</f>
        <v>#DIV/0!</v>
      </c>
      <c r="W106" s="219" t="e">
        <f>W107/W105*1000</f>
        <v>#DIV/0!</v>
      </c>
    </row>
    <row r="107" spans="1:24" s="205" customFormat="1" hidden="1">
      <c r="A107" s="610"/>
      <c r="B107" s="583"/>
      <c r="C107" s="583"/>
      <c r="D107" s="191" t="str">
        <f>серпень!D107</f>
        <v>сума, тис.грн.</v>
      </c>
      <c r="E107" s="192"/>
      <c r="F107" s="192"/>
      <c r="G107" s="192"/>
      <c r="H107" s="192"/>
      <c r="I107" s="192"/>
      <c r="J107" s="192">
        <v>0</v>
      </c>
      <c r="K107" s="192">
        <v>0</v>
      </c>
      <c r="L107" s="194">
        <f>SUM(F107:K107)</f>
        <v>0</v>
      </c>
      <c r="M107" s="194">
        <f>L107/6</f>
        <v>0</v>
      </c>
      <c r="N107" s="192"/>
      <c r="O107" s="192"/>
      <c r="P107" s="192"/>
      <c r="Q107" s="192"/>
      <c r="R107" s="192"/>
      <c r="S107" s="192"/>
      <c r="T107" s="194">
        <f>SUM(N107:S107)</f>
        <v>0</v>
      </c>
      <c r="U107" s="194">
        <f>T107+L107</f>
        <v>0</v>
      </c>
      <c r="V107" s="171">
        <f>V108+V109</f>
        <v>0</v>
      </c>
      <c r="W107" s="192">
        <f>V107-U107</f>
        <v>0</v>
      </c>
    </row>
    <row r="108" spans="1:24" s="205" customFormat="1" ht="0.8" hidden="1" customHeight="1">
      <c r="A108" s="610"/>
      <c r="B108" s="583"/>
      <c r="C108" s="583"/>
      <c r="D108" s="174" t="str">
        <f>серпень!D108</f>
        <v>дотація</v>
      </c>
      <c r="E108" s="210"/>
      <c r="F108" s="192"/>
      <c r="G108" s="192"/>
      <c r="H108" s="192"/>
      <c r="I108" s="192"/>
      <c r="J108" s="192"/>
      <c r="K108" s="192"/>
      <c r="L108" s="194">
        <f>SUM(F108:K108)</f>
        <v>0</v>
      </c>
      <c r="M108" s="194">
        <f>L108/6</f>
        <v>0</v>
      </c>
      <c r="N108" s="192"/>
      <c r="O108" s="192"/>
      <c r="P108" s="192"/>
      <c r="Q108" s="192"/>
      <c r="R108" s="192"/>
      <c r="S108" s="192"/>
      <c r="T108" s="194">
        <f>SUM(N108:S108)</f>
        <v>0</v>
      </c>
      <c r="U108" s="194">
        <f>T108+L108</f>
        <v>0</v>
      </c>
      <c r="V108" s="171"/>
      <c r="W108" s="192">
        <f>V108-U108</f>
        <v>0</v>
      </c>
    </row>
    <row r="109" spans="1:24" s="205" customFormat="1" ht="0.8" hidden="1" customHeight="1">
      <c r="A109" s="610"/>
      <c r="B109" s="583"/>
      <c r="C109" s="583"/>
      <c r="D109" s="174" t="str">
        <f>серпень!D109</f>
        <v>місцевий (план), тис.грн</v>
      </c>
      <c r="E109" s="210"/>
      <c r="F109" s="192"/>
      <c r="G109" s="192"/>
      <c r="H109" s="192"/>
      <c r="I109" s="192"/>
      <c r="J109" s="192"/>
      <c r="K109" s="192"/>
      <c r="L109" s="194">
        <f>SUM(F109:K109)</f>
        <v>0</v>
      </c>
      <c r="M109" s="194">
        <f>L109/6</f>
        <v>0</v>
      </c>
      <c r="N109" s="192"/>
      <c r="O109" s="192"/>
      <c r="P109" s="192"/>
      <c r="Q109" s="192"/>
      <c r="R109" s="192"/>
      <c r="S109" s="192"/>
      <c r="T109" s="194">
        <f>SUM(N109:S109)</f>
        <v>0</v>
      </c>
      <c r="U109" s="194">
        <f>T109+L109</f>
        <v>0</v>
      </c>
      <c r="V109" s="171"/>
      <c r="W109" s="192">
        <f>V109-U109</f>
        <v>0</v>
      </c>
    </row>
    <row r="110" spans="1:24" s="205" customFormat="1" ht="0.8" hidden="1" customHeight="1">
      <c r="A110" s="610"/>
      <c r="B110" s="583"/>
      <c r="C110" s="583"/>
      <c r="D110" s="178" t="str">
        <f>серпень!D110</f>
        <v>касові нат.п-ки 2025</v>
      </c>
      <c r="E110" s="179"/>
      <c r="F110" s="184"/>
      <c r="G110" s="184"/>
      <c r="H110" s="179"/>
      <c r="I110" s="179"/>
      <c r="J110" s="216"/>
      <c r="K110" s="179">
        <v>0</v>
      </c>
      <c r="L110" s="215">
        <f>SUM(F110:K110)</f>
        <v>0</v>
      </c>
      <c r="M110" s="215">
        <f>L110/6</f>
        <v>0</v>
      </c>
      <c r="N110" s="179"/>
      <c r="O110" s="179"/>
      <c r="P110" s="179"/>
      <c r="Q110" s="179"/>
      <c r="R110" s="179"/>
      <c r="S110" s="179"/>
      <c r="T110" s="215">
        <f>SUM(N110:S110)</f>
        <v>0</v>
      </c>
      <c r="U110" s="215">
        <f>T110+L110</f>
        <v>0</v>
      </c>
      <c r="V110" s="179">
        <f>V105</f>
        <v>0</v>
      </c>
      <c r="W110" s="184">
        <f>V110-U110</f>
        <v>0</v>
      </c>
      <c r="X110" s="185">
        <f>U105-U110</f>
        <v>0</v>
      </c>
    </row>
    <row r="111" spans="1:24" s="205" customFormat="1" ht="0.8" hidden="1" customHeight="1">
      <c r="A111" s="610"/>
      <c r="B111" s="583"/>
      <c r="C111" s="583"/>
      <c r="D111" s="187" t="str">
        <f>серпень!D111</f>
        <v>тариф, грн.</v>
      </c>
      <c r="E111" s="188" t="e">
        <f t="shared" ref="E111" si="176">E112/E110*1000</f>
        <v>#DIV/0!</v>
      </c>
      <c r="F111" s="188"/>
      <c r="G111" s="188"/>
      <c r="H111" s="188"/>
      <c r="I111" s="188"/>
      <c r="J111" s="188"/>
      <c r="K111" s="188"/>
      <c r="L111" s="217" t="e">
        <f>L112/L110*1000</f>
        <v>#DIV/0!</v>
      </c>
      <c r="M111" s="217" t="e">
        <f>M112/M110*1000</f>
        <v>#DIV/0!</v>
      </c>
      <c r="N111" s="188"/>
      <c r="O111" s="188"/>
      <c r="P111" s="188"/>
      <c r="Q111" s="218"/>
      <c r="R111" s="218"/>
      <c r="S111" s="218"/>
      <c r="T111" s="217" t="e">
        <f>T112/T110*1000</f>
        <v>#DIV/0!</v>
      </c>
      <c r="U111" s="217" t="e">
        <f>U112/U110*1000</f>
        <v>#DIV/0!</v>
      </c>
      <c r="V111" s="218" t="e">
        <f>V112/V110*1000</f>
        <v>#DIV/0!</v>
      </c>
      <c r="W111" s="219" t="e">
        <f>W112/W110*1000</f>
        <v>#DIV/0!</v>
      </c>
      <c r="X111" s="185"/>
    </row>
    <row r="112" spans="1:24" s="205" customFormat="1" ht="0.8" hidden="1" customHeight="1">
      <c r="A112" s="610"/>
      <c r="B112" s="583"/>
      <c r="C112" s="583"/>
      <c r="D112" s="198" t="str">
        <f>серпень!D112</f>
        <v>касові видатки, тис.грн.</v>
      </c>
      <c r="E112" s="220"/>
      <c r="F112" s="199"/>
      <c r="G112" s="199"/>
      <c r="H112" s="199"/>
      <c r="I112" s="199"/>
      <c r="J112" s="199"/>
      <c r="K112" s="199">
        <v>0</v>
      </c>
      <c r="L112" s="199">
        <f>SUM(F112:K112)</f>
        <v>0</v>
      </c>
      <c r="M112" s="199">
        <f>L112/6</f>
        <v>0</v>
      </c>
      <c r="N112" s="199"/>
      <c r="O112" s="199"/>
      <c r="P112" s="199"/>
      <c r="Q112" s="199"/>
      <c r="R112" s="199"/>
      <c r="S112" s="199"/>
      <c r="T112" s="199">
        <f>SUM(N112:S112)</f>
        <v>0</v>
      </c>
      <c r="U112" s="199">
        <f>T112+L112</f>
        <v>0</v>
      </c>
      <c r="V112" s="199">
        <f>V107</f>
        <v>0</v>
      </c>
      <c r="W112" s="221">
        <f>V112-U112</f>
        <v>0</v>
      </c>
      <c r="X112" s="176">
        <f>U107-U112</f>
        <v>0</v>
      </c>
    </row>
    <row r="113" spans="1:24" s="205" customFormat="1" ht="0.8" hidden="1" customHeight="1">
      <c r="A113" s="610"/>
      <c r="B113" s="583"/>
      <c r="C113" s="583"/>
      <c r="D113" s="201" t="str">
        <f>серпень!D113</f>
        <v>дотація</v>
      </c>
      <c r="E113" s="220"/>
      <c r="F113" s="199">
        <v>0</v>
      </c>
      <c r="G113" s="199">
        <v>0</v>
      </c>
      <c r="H113" s="199">
        <v>0</v>
      </c>
      <c r="I113" s="199">
        <v>0</v>
      </c>
      <c r="J113" s="199">
        <v>0</v>
      </c>
      <c r="K113" s="199">
        <v>0</v>
      </c>
      <c r="L113" s="199">
        <f>SUM(F113:K113)</f>
        <v>0</v>
      </c>
      <c r="M113" s="199">
        <f>L113/6</f>
        <v>0</v>
      </c>
      <c r="N113" s="199">
        <v>0</v>
      </c>
      <c r="O113" s="199">
        <v>0</v>
      </c>
      <c r="P113" s="199">
        <v>0</v>
      </c>
      <c r="Q113" s="199">
        <v>0</v>
      </c>
      <c r="R113" s="199">
        <v>0</v>
      </c>
      <c r="S113" s="199">
        <v>0</v>
      </c>
      <c r="T113" s="199">
        <f>SUM(N113:S113)</f>
        <v>0</v>
      </c>
      <c r="U113" s="199">
        <f>T113+L113</f>
        <v>0</v>
      </c>
      <c r="V113" s="199">
        <f>V108</f>
        <v>0</v>
      </c>
      <c r="W113" s="221">
        <f>V113-U113</f>
        <v>0</v>
      </c>
      <c r="X113" s="176">
        <f>U108-U113</f>
        <v>0</v>
      </c>
    </row>
    <row r="114" spans="1:24" s="205" customFormat="1" ht="0.8" hidden="1" customHeight="1">
      <c r="A114" s="610"/>
      <c r="B114" s="583"/>
      <c r="C114" s="583"/>
      <c r="D114" s="201" t="str">
        <f>серпень!D114</f>
        <v xml:space="preserve">місцевий </v>
      </c>
      <c r="E114" s="220"/>
      <c r="F114" s="199">
        <f t="shared" ref="F114:K114" si="177">F112-F113</f>
        <v>0</v>
      </c>
      <c r="G114" s="199">
        <f t="shared" si="177"/>
        <v>0</v>
      </c>
      <c r="H114" s="199">
        <f t="shared" si="177"/>
        <v>0</v>
      </c>
      <c r="I114" s="199">
        <f t="shared" si="177"/>
        <v>0</v>
      </c>
      <c r="J114" s="199">
        <f t="shared" si="177"/>
        <v>0</v>
      </c>
      <c r="K114" s="199">
        <f t="shared" si="177"/>
        <v>0</v>
      </c>
      <c r="L114" s="199">
        <f>SUM(F114:K114)</f>
        <v>0</v>
      </c>
      <c r="M114" s="199">
        <f>L114/6</f>
        <v>0</v>
      </c>
      <c r="N114" s="199">
        <f t="shared" ref="N114:S114" si="178">N112-N113</f>
        <v>0</v>
      </c>
      <c r="O114" s="199">
        <f t="shared" si="178"/>
        <v>0</v>
      </c>
      <c r="P114" s="199">
        <f t="shared" si="178"/>
        <v>0</v>
      </c>
      <c r="Q114" s="199">
        <f t="shared" si="178"/>
        <v>0</v>
      </c>
      <c r="R114" s="199">
        <f t="shared" si="178"/>
        <v>0</v>
      </c>
      <c r="S114" s="199">
        <f t="shared" si="178"/>
        <v>0</v>
      </c>
      <c r="T114" s="199">
        <f>SUM(N114:S114)</f>
        <v>0</v>
      </c>
      <c r="U114" s="199">
        <f>T114+L114</f>
        <v>0</v>
      </c>
      <c r="V114" s="199">
        <f>V109</f>
        <v>0</v>
      </c>
      <c r="W114" s="221">
        <f>V114-U114</f>
        <v>0</v>
      </c>
      <c r="X114" s="176">
        <f>U109-U114</f>
        <v>0</v>
      </c>
    </row>
    <row r="115" spans="1:24" s="43" customFormat="1" ht="0.8" hidden="1" customHeight="1">
      <c r="A115" s="610"/>
      <c r="B115" s="583"/>
      <c r="C115" s="583"/>
      <c r="D115" s="202" t="str">
        <f>серпень!D115</f>
        <v>план</v>
      </c>
      <c r="E115" s="203"/>
      <c r="F115" s="203">
        <f t="shared" ref="F115:K115" si="179">F108+F109</f>
        <v>0</v>
      </c>
      <c r="G115" s="203">
        <f t="shared" si="179"/>
        <v>0</v>
      </c>
      <c r="H115" s="203">
        <f t="shared" si="179"/>
        <v>0</v>
      </c>
      <c r="I115" s="203">
        <f t="shared" si="179"/>
        <v>0</v>
      </c>
      <c r="J115" s="203">
        <f t="shared" si="179"/>
        <v>0</v>
      </c>
      <c r="K115" s="203">
        <f t="shared" si="179"/>
        <v>0</v>
      </c>
      <c r="L115" s="203">
        <f>SUM(F115:K115)</f>
        <v>0</v>
      </c>
      <c r="M115" s="203">
        <f>L115/6</f>
        <v>0</v>
      </c>
      <c r="N115" s="203">
        <f t="shared" ref="N115:S115" si="180">N109+N108</f>
        <v>0</v>
      </c>
      <c r="O115" s="203">
        <f t="shared" si="180"/>
        <v>0</v>
      </c>
      <c r="P115" s="203">
        <f t="shared" si="180"/>
        <v>0</v>
      </c>
      <c r="Q115" s="203">
        <f t="shared" si="180"/>
        <v>0</v>
      </c>
      <c r="R115" s="203">
        <f t="shared" si="180"/>
        <v>0</v>
      </c>
      <c r="S115" s="203">
        <f t="shared" si="180"/>
        <v>0</v>
      </c>
      <c r="T115" s="203">
        <f>SUM(N115:S115)</f>
        <v>0</v>
      </c>
      <c r="U115" s="203">
        <f>T115+L115</f>
        <v>0</v>
      </c>
      <c r="V115" s="203">
        <f>V112</f>
        <v>0</v>
      </c>
      <c r="W115" s="203">
        <f>V115-U115</f>
        <v>0</v>
      </c>
    </row>
    <row r="116" spans="1:24" s="43" customFormat="1" ht="0.8" hidden="1" customHeight="1">
      <c r="A116" s="610"/>
      <c r="B116" s="583"/>
      <c r="C116" s="583"/>
      <c r="D116" s="202" t="str">
        <f>серпень!D116</f>
        <v xml:space="preserve">відхилення </v>
      </c>
      <c r="E116" s="203"/>
      <c r="F116" s="203">
        <f t="shared" ref="F116:K116" si="181">F112-F115</f>
        <v>0</v>
      </c>
      <c r="G116" s="203">
        <f t="shared" si="181"/>
        <v>0</v>
      </c>
      <c r="H116" s="203">
        <f t="shared" si="181"/>
        <v>0</v>
      </c>
      <c r="I116" s="203">
        <f t="shared" si="181"/>
        <v>0</v>
      </c>
      <c r="J116" s="203">
        <f t="shared" si="181"/>
        <v>0</v>
      </c>
      <c r="K116" s="203">
        <f t="shared" si="181"/>
        <v>0</v>
      </c>
      <c r="L116" s="203"/>
      <c r="M116" s="203"/>
      <c r="N116" s="203">
        <f t="shared" ref="N116:S116" si="182">N112-N115</f>
        <v>0</v>
      </c>
      <c r="O116" s="203">
        <f t="shared" si="182"/>
        <v>0</v>
      </c>
      <c r="P116" s="203">
        <f t="shared" si="182"/>
        <v>0</v>
      </c>
      <c r="Q116" s="203">
        <f t="shared" si="182"/>
        <v>0</v>
      </c>
      <c r="R116" s="203">
        <f t="shared" si="182"/>
        <v>0</v>
      </c>
      <c r="S116" s="203">
        <f t="shared" si="182"/>
        <v>0</v>
      </c>
      <c r="T116" s="203"/>
      <c r="U116" s="203"/>
      <c r="V116" s="203"/>
      <c r="W116" s="203"/>
    </row>
    <row r="117" spans="1:24" s="43" customFormat="1" ht="0.8" hidden="1" customHeight="1">
      <c r="A117" s="610"/>
      <c r="B117" s="583"/>
      <c r="C117" s="584"/>
      <c r="D117" s="202" t="str">
        <f>серпень!D117</f>
        <v>відхилення з наростаючим</v>
      </c>
      <c r="E117" s="203"/>
      <c r="F117" s="203">
        <f>F116</f>
        <v>0</v>
      </c>
      <c r="G117" s="203">
        <f>G116+F117</f>
        <v>0</v>
      </c>
      <c r="H117" s="203">
        <f>H116+G117</f>
        <v>0</v>
      </c>
      <c r="I117" s="203">
        <f>I116+H117</f>
        <v>0</v>
      </c>
      <c r="J117" s="203">
        <f>J116+I117</f>
        <v>0</v>
      </c>
      <c r="K117" s="203">
        <f>K116+J117</f>
        <v>0</v>
      </c>
      <c r="L117" s="203"/>
      <c r="M117" s="203"/>
      <c r="N117" s="203">
        <f>N116+K117</f>
        <v>0</v>
      </c>
      <c r="O117" s="203">
        <f>O116+N117</f>
        <v>0</v>
      </c>
      <c r="P117" s="203">
        <f>P116+O117</f>
        <v>0</v>
      </c>
      <c r="Q117" s="203">
        <f>Q116+P117</f>
        <v>0</v>
      </c>
      <c r="R117" s="203">
        <f>R116+Q117</f>
        <v>0</v>
      </c>
      <c r="S117" s="203">
        <f>S116+R117</f>
        <v>0</v>
      </c>
      <c r="T117" s="203"/>
      <c r="U117" s="203"/>
      <c r="V117" s="203"/>
      <c r="W117" s="203"/>
    </row>
    <row r="118" spans="1:24" s="43" customFormat="1" ht="0.8" hidden="1" customHeight="1">
      <c r="A118" s="610"/>
      <c r="B118" s="581" t="s">
        <v>57</v>
      </c>
      <c r="C118" s="582" t="s">
        <v>98</v>
      </c>
      <c r="D118" s="178" t="str">
        <f>серпень!D118</f>
        <v>факт. нат.п-ки 2023</v>
      </c>
      <c r="E118" s="179"/>
      <c r="F118" s="184"/>
      <c r="G118" s="184"/>
      <c r="H118" s="179"/>
      <c r="I118" s="179"/>
      <c r="J118" s="179"/>
      <c r="K118" s="179"/>
      <c r="L118" s="215">
        <f>SUM(F118:K118)</f>
        <v>0</v>
      </c>
      <c r="M118" s="215">
        <f>L118/6</f>
        <v>0</v>
      </c>
      <c r="N118" s="179"/>
      <c r="O118" s="179"/>
      <c r="P118" s="179"/>
      <c r="Q118" s="179"/>
      <c r="R118" s="179"/>
      <c r="S118" s="179"/>
      <c r="T118" s="215">
        <f>SUM(N118:S118)</f>
        <v>0</v>
      </c>
      <c r="U118" s="215">
        <f>T118+L118</f>
        <v>0</v>
      </c>
      <c r="V118" s="179"/>
      <c r="W118" s="184"/>
    </row>
    <row r="119" spans="1:24" s="43" customFormat="1" ht="0.8" hidden="1" customHeight="1">
      <c r="A119" s="610"/>
      <c r="B119" s="581"/>
      <c r="C119" s="583"/>
      <c r="D119" s="178" t="str">
        <f>серпень!D119</f>
        <v>факт. нат.п-ки 2024</v>
      </c>
      <c r="E119" s="179"/>
      <c r="F119" s="184"/>
      <c r="G119" s="184"/>
      <c r="H119" s="179"/>
      <c r="I119" s="179"/>
      <c r="J119" s="179"/>
      <c r="K119" s="179"/>
      <c r="L119" s="215">
        <f>SUM(F119:K119)</f>
        <v>0</v>
      </c>
      <c r="M119" s="215">
        <f>L119/6</f>
        <v>0</v>
      </c>
      <c r="N119" s="179"/>
      <c r="O119" s="179"/>
      <c r="P119" s="179"/>
      <c r="Q119" s="179"/>
      <c r="R119" s="179"/>
      <c r="S119" s="179"/>
      <c r="T119" s="215">
        <f>SUM(N119:S119)</f>
        <v>0</v>
      </c>
      <c r="U119" s="215">
        <f>T119+L119</f>
        <v>0</v>
      </c>
      <c r="V119" s="179"/>
      <c r="W119" s="184"/>
    </row>
    <row r="120" spans="1:24" s="43" customFormat="1" ht="0.8" hidden="1" customHeight="1">
      <c r="A120" s="610"/>
      <c r="B120" s="581"/>
      <c r="C120" s="583"/>
      <c r="D120" s="178" t="str">
        <f>серпень!D120</f>
        <v>факт. нат.п-ки 2025</v>
      </c>
      <c r="E120" s="179"/>
      <c r="F120" s="184"/>
      <c r="G120" s="184"/>
      <c r="H120" s="179"/>
      <c r="I120" s="216"/>
      <c r="J120" s="179"/>
      <c r="K120" s="179"/>
      <c r="L120" s="215">
        <f>SUM(F120:K120)</f>
        <v>0</v>
      </c>
      <c r="M120" s="215">
        <f>L120/6</f>
        <v>0</v>
      </c>
      <c r="N120" s="179"/>
      <c r="O120" s="179"/>
      <c r="P120" s="179"/>
      <c r="Q120" s="179"/>
      <c r="R120" s="179"/>
      <c r="S120" s="179"/>
      <c r="T120" s="215">
        <f>SUM(N120:S120)</f>
        <v>0</v>
      </c>
      <c r="U120" s="215">
        <f>T120+L120</f>
        <v>0</v>
      </c>
      <c r="V120" s="179"/>
      <c r="W120" s="184">
        <f>U120-V120</f>
        <v>0</v>
      </c>
    </row>
    <row r="121" spans="1:24" s="43" customFormat="1" ht="0.8" hidden="1" customHeight="1">
      <c r="A121" s="610"/>
      <c r="B121" s="581"/>
      <c r="C121" s="583"/>
      <c r="D121" s="187" t="str">
        <f>серпень!D121</f>
        <v>тариф, грн.</v>
      </c>
      <c r="E121" s="188"/>
      <c r="F121" s="188"/>
      <c r="G121" s="188"/>
      <c r="H121" s="188"/>
      <c r="I121" s="188"/>
      <c r="J121" s="188"/>
      <c r="K121" s="188"/>
      <c r="L121" s="217" t="e">
        <f>L122/L120*1000</f>
        <v>#DIV/0!</v>
      </c>
      <c r="M121" s="217" t="e">
        <f>M122/M120*1000</f>
        <v>#DIV/0!</v>
      </c>
      <c r="N121" s="188"/>
      <c r="O121" s="188"/>
      <c r="P121" s="188"/>
      <c r="Q121" s="188"/>
      <c r="R121" s="188"/>
      <c r="S121" s="188"/>
      <c r="T121" s="217" t="e">
        <f>T122/T120*1000</f>
        <v>#DIV/0!</v>
      </c>
      <c r="U121" s="217" t="e">
        <f>U122/U120*1000</f>
        <v>#DIV/0!</v>
      </c>
      <c r="V121" s="218" t="e">
        <f>V122/V120*1000</f>
        <v>#DIV/0!</v>
      </c>
      <c r="W121" s="219" t="e">
        <f>W122/W120*1000</f>
        <v>#DIV/0!</v>
      </c>
    </row>
    <row r="122" spans="1:24" s="43" customFormat="1" ht="0.8" hidden="1" customHeight="1">
      <c r="A122" s="610"/>
      <c r="B122" s="581"/>
      <c r="C122" s="583"/>
      <c r="D122" s="191" t="str">
        <f>серпень!D122</f>
        <v>сума, тис.грн.</v>
      </c>
      <c r="E122" s="192"/>
      <c r="F122" s="192"/>
      <c r="G122" s="192"/>
      <c r="H122" s="192"/>
      <c r="I122" s="192"/>
      <c r="J122" s="192"/>
      <c r="K122" s="192"/>
      <c r="L122" s="194">
        <f>SUM(F122:K122)</f>
        <v>0</v>
      </c>
      <c r="M122" s="194">
        <f>L122/6</f>
        <v>0</v>
      </c>
      <c r="N122" s="192"/>
      <c r="O122" s="192"/>
      <c r="P122" s="192"/>
      <c r="Q122" s="192"/>
      <c r="R122" s="192"/>
      <c r="S122" s="192"/>
      <c r="T122" s="194">
        <f>SUM(N122:S122)</f>
        <v>0</v>
      </c>
      <c r="U122" s="194">
        <f>T122+L122</f>
        <v>0</v>
      </c>
      <c r="V122" s="171">
        <f>V123+V124</f>
        <v>0</v>
      </c>
      <c r="W122" s="192">
        <f>V122-U122</f>
        <v>0</v>
      </c>
    </row>
    <row r="123" spans="1:24" s="43" customFormat="1" ht="0.8" hidden="1" customHeight="1">
      <c r="A123" s="610"/>
      <c r="B123" s="581"/>
      <c r="C123" s="583"/>
      <c r="D123" s="174" t="str">
        <f>серпень!D123</f>
        <v>дотація</v>
      </c>
      <c r="E123" s="210"/>
      <c r="F123" s="192"/>
      <c r="G123" s="192"/>
      <c r="H123" s="192"/>
      <c r="I123" s="192"/>
      <c r="J123" s="192"/>
      <c r="K123" s="192"/>
      <c r="L123" s="194">
        <f>SUM(F123:K123)</f>
        <v>0</v>
      </c>
      <c r="M123" s="194">
        <f>L123/6</f>
        <v>0</v>
      </c>
      <c r="N123" s="192"/>
      <c r="O123" s="192"/>
      <c r="P123" s="192"/>
      <c r="Q123" s="192"/>
      <c r="R123" s="192"/>
      <c r="S123" s="192"/>
      <c r="T123" s="194">
        <f>SUM(N123:S123)</f>
        <v>0</v>
      </c>
      <c r="U123" s="194">
        <f>T123+L123</f>
        <v>0</v>
      </c>
      <c r="V123" s="171"/>
      <c r="W123" s="192">
        <f>V123-U123</f>
        <v>0</v>
      </c>
    </row>
    <row r="124" spans="1:24" s="43" customFormat="1" ht="0.8" hidden="1" customHeight="1">
      <c r="A124" s="610"/>
      <c r="B124" s="581"/>
      <c r="C124" s="583"/>
      <c r="D124" s="174" t="str">
        <f>серпень!D124</f>
        <v>місцевий (план), тис.грн</v>
      </c>
      <c r="E124" s="210"/>
      <c r="F124" s="192"/>
      <c r="G124" s="192"/>
      <c r="H124" s="192"/>
      <c r="I124" s="192"/>
      <c r="J124" s="192"/>
      <c r="K124" s="192"/>
      <c r="L124" s="194">
        <f>SUM(F124:K124)</f>
        <v>0</v>
      </c>
      <c r="M124" s="194">
        <f>L124/6</f>
        <v>0</v>
      </c>
      <c r="N124" s="192"/>
      <c r="O124" s="192"/>
      <c r="P124" s="192"/>
      <c r="Q124" s="192"/>
      <c r="R124" s="192"/>
      <c r="S124" s="192"/>
      <c r="T124" s="194">
        <f>SUM(N124:S124)</f>
        <v>0</v>
      </c>
      <c r="U124" s="194">
        <f>T124+L124</f>
        <v>0</v>
      </c>
      <c r="V124" s="171"/>
      <c r="W124" s="192">
        <f>V124-U124</f>
        <v>0</v>
      </c>
    </row>
    <row r="125" spans="1:24" s="43" customFormat="1" ht="0.8" hidden="1" customHeight="1">
      <c r="A125" s="610"/>
      <c r="B125" s="581"/>
      <c r="C125" s="583"/>
      <c r="D125" s="178" t="str">
        <f>серпень!D125</f>
        <v>касові нат.п-ки 2025</v>
      </c>
      <c r="E125" s="179"/>
      <c r="F125" s="184"/>
      <c r="G125" s="184"/>
      <c r="H125" s="179"/>
      <c r="I125" s="179"/>
      <c r="J125" s="216"/>
      <c r="K125" s="179"/>
      <c r="L125" s="215">
        <f>SUM(F125:K125)</f>
        <v>0</v>
      </c>
      <c r="M125" s="215">
        <f>L125/6</f>
        <v>0</v>
      </c>
      <c r="N125" s="179"/>
      <c r="O125" s="179"/>
      <c r="P125" s="179"/>
      <c r="Q125" s="179"/>
      <c r="R125" s="179"/>
      <c r="S125" s="179"/>
      <c r="T125" s="215">
        <f>SUM(N125:S125)</f>
        <v>0</v>
      </c>
      <c r="U125" s="215">
        <f>T125+L125</f>
        <v>0</v>
      </c>
      <c r="V125" s="179">
        <f>V120</f>
        <v>0</v>
      </c>
      <c r="W125" s="184">
        <f>V125-U125</f>
        <v>0</v>
      </c>
      <c r="X125" s="47">
        <f>U120-U125</f>
        <v>0</v>
      </c>
    </row>
    <row r="126" spans="1:24" s="43" customFormat="1" ht="0.8" hidden="1" customHeight="1">
      <c r="A126" s="610"/>
      <c r="B126" s="581"/>
      <c r="C126" s="583"/>
      <c r="D126" s="187" t="str">
        <f>серпень!D126</f>
        <v>тариф, грн.</v>
      </c>
      <c r="E126" s="188" t="e">
        <f t="shared" ref="E126" si="183">E127/E125*1000</f>
        <v>#DIV/0!</v>
      </c>
      <c r="F126" s="188"/>
      <c r="G126" s="188"/>
      <c r="H126" s="188"/>
      <c r="I126" s="188"/>
      <c r="J126" s="188"/>
      <c r="K126" s="188"/>
      <c r="L126" s="217" t="e">
        <f>L127/L125*1000</f>
        <v>#DIV/0!</v>
      </c>
      <c r="M126" s="217" t="e">
        <f>M127/M125*1000</f>
        <v>#DIV/0!</v>
      </c>
      <c r="N126" s="188"/>
      <c r="O126" s="188"/>
      <c r="P126" s="188"/>
      <c r="Q126" s="188"/>
      <c r="R126" s="188"/>
      <c r="S126" s="188"/>
      <c r="T126" s="217" t="e">
        <f>T127/T125*1000</f>
        <v>#DIV/0!</v>
      </c>
      <c r="U126" s="217" t="e">
        <f>U127/U125*1000</f>
        <v>#DIV/0!</v>
      </c>
      <c r="V126" s="218" t="e">
        <f>V127/V125*1000</f>
        <v>#DIV/0!</v>
      </c>
      <c r="W126" s="219" t="e">
        <f>W127/W125*1000</f>
        <v>#DIV/0!</v>
      </c>
      <c r="X126" s="47"/>
    </row>
    <row r="127" spans="1:24" s="43" customFormat="1" ht="0.8" hidden="1" customHeight="1">
      <c r="A127" s="610"/>
      <c r="B127" s="581"/>
      <c r="C127" s="583"/>
      <c r="D127" s="198" t="str">
        <f>серпень!D127</f>
        <v>касові видатки, тис.грн.</v>
      </c>
      <c r="E127" s="220"/>
      <c r="F127" s="199"/>
      <c r="G127" s="199"/>
      <c r="H127" s="199"/>
      <c r="I127" s="199"/>
      <c r="J127" s="199"/>
      <c r="K127" s="199"/>
      <c r="L127" s="199">
        <f>SUM(F127:K127)</f>
        <v>0</v>
      </c>
      <c r="M127" s="199">
        <f>L127/6</f>
        <v>0</v>
      </c>
      <c r="N127" s="199"/>
      <c r="O127" s="199"/>
      <c r="P127" s="199"/>
      <c r="Q127" s="199"/>
      <c r="R127" s="199"/>
      <c r="S127" s="199"/>
      <c r="T127" s="199">
        <f>SUM(N127:S127)</f>
        <v>0</v>
      </c>
      <c r="U127" s="199">
        <f>T127+L127</f>
        <v>0</v>
      </c>
      <c r="V127" s="199">
        <f>V122</f>
        <v>0</v>
      </c>
      <c r="W127" s="221">
        <f>V127-U127</f>
        <v>0</v>
      </c>
      <c r="X127" s="63">
        <f>U122-U127</f>
        <v>0</v>
      </c>
    </row>
    <row r="128" spans="1:24" s="43" customFormat="1" ht="0.8" hidden="1" customHeight="1">
      <c r="A128" s="610"/>
      <c r="B128" s="581"/>
      <c r="C128" s="583"/>
      <c r="D128" s="201" t="str">
        <f>серпень!D128</f>
        <v>дотація</v>
      </c>
      <c r="E128" s="220"/>
      <c r="F128" s="199"/>
      <c r="G128" s="199"/>
      <c r="H128" s="199"/>
      <c r="I128" s="199"/>
      <c r="J128" s="199"/>
      <c r="K128" s="199"/>
      <c r="L128" s="199">
        <f>SUM(F128:K128)</f>
        <v>0</v>
      </c>
      <c r="M128" s="199">
        <f>L128/6</f>
        <v>0</v>
      </c>
      <c r="N128" s="199"/>
      <c r="O128" s="199"/>
      <c r="P128" s="199"/>
      <c r="Q128" s="199"/>
      <c r="R128" s="199"/>
      <c r="S128" s="199"/>
      <c r="T128" s="199">
        <f>SUM(N128:S128)</f>
        <v>0</v>
      </c>
      <c r="U128" s="199">
        <f>T128+L128</f>
        <v>0</v>
      </c>
      <c r="V128" s="199">
        <f>V123</f>
        <v>0</v>
      </c>
      <c r="W128" s="221">
        <f>V128-U128</f>
        <v>0</v>
      </c>
      <c r="X128" s="63">
        <f>U123-U128</f>
        <v>0</v>
      </c>
    </row>
    <row r="129" spans="1:24" s="43" customFormat="1" ht="0.8" hidden="1" customHeight="1">
      <c r="A129" s="610"/>
      <c r="B129" s="581"/>
      <c r="C129" s="583"/>
      <c r="D129" s="201" t="str">
        <f>серпень!D129</f>
        <v xml:space="preserve">місцевий </v>
      </c>
      <c r="E129" s="220"/>
      <c r="F129" s="199"/>
      <c r="G129" s="199"/>
      <c r="H129" s="199"/>
      <c r="I129" s="199"/>
      <c r="J129" s="199"/>
      <c r="K129" s="199"/>
      <c r="L129" s="199">
        <f>SUM(F129:K129)</f>
        <v>0</v>
      </c>
      <c r="M129" s="199">
        <f>L129/6</f>
        <v>0</v>
      </c>
      <c r="N129" s="199"/>
      <c r="O129" s="199"/>
      <c r="P129" s="199"/>
      <c r="Q129" s="199"/>
      <c r="R129" s="199"/>
      <c r="S129" s="199"/>
      <c r="T129" s="199">
        <f>SUM(N129:S129)</f>
        <v>0</v>
      </c>
      <c r="U129" s="199">
        <f>T129+L129</f>
        <v>0</v>
      </c>
      <c r="V129" s="199">
        <f>V124</f>
        <v>0</v>
      </c>
      <c r="W129" s="221">
        <f>V129-U129</f>
        <v>0</v>
      </c>
      <c r="X129" s="63">
        <f>U124-U129</f>
        <v>0</v>
      </c>
    </row>
    <row r="130" spans="1:24" s="43" customFormat="1" ht="0.8" hidden="1" customHeight="1">
      <c r="A130" s="610"/>
      <c r="B130" s="581"/>
      <c r="C130" s="583"/>
      <c r="D130" s="202" t="str">
        <f>серпень!D130</f>
        <v>план</v>
      </c>
      <c r="E130" s="203"/>
      <c r="F130" s="203">
        <f t="shared" ref="F130:K130" si="184">F123+F124</f>
        <v>0</v>
      </c>
      <c r="G130" s="203">
        <f t="shared" si="184"/>
        <v>0</v>
      </c>
      <c r="H130" s="203">
        <f t="shared" si="184"/>
        <v>0</v>
      </c>
      <c r="I130" s="203">
        <f t="shared" si="184"/>
        <v>0</v>
      </c>
      <c r="J130" s="203">
        <f t="shared" si="184"/>
        <v>0</v>
      </c>
      <c r="K130" s="203">
        <f t="shared" si="184"/>
        <v>0</v>
      </c>
      <c r="L130" s="203">
        <f>SUM(F130:K130)</f>
        <v>0</v>
      </c>
      <c r="M130" s="203">
        <f>L130/6</f>
        <v>0</v>
      </c>
      <c r="N130" s="203">
        <f t="shared" ref="N130:S130" si="185">N124+N123</f>
        <v>0</v>
      </c>
      <c r="O130" s="203">
        <f t="shared" si="185"/>
        <v>0</v>
      </c>
      <c r="P130" s="203">
        <f t="shared" si="185"/>
        <v>0</v>
      </c>
      <c r="Q130" s="203">
        <f t="shared" si="185"/>
        <v>0</v>
      </c>
      <c r="R130" s="203">
        <f t="shared" si="185"/>
        <v>0</v>
      </c>
      <c r="S130" s="203">
        <f t="shared" si="185"/>
        <v>0</v>
      </c>
      <c r="T130" s="203">
        <f>SUM(N130:S130)</f>
        <v>0</v>
      </c>
      <c r="U130" s="203">
        <f>T130+L130</f>
        <v>0</v>
      </c>
      <c r="V130" s="203">
        <f>V127</f>
        <v>0</v>
      </c>
      <c r="W130" s="203">
        <f>V130-U130</f>
        <v>0</v>
      </c>
    </row>
    <row r="131" spans="1:24" s="43" customFormat="1" ht="0.8" hidden="1" customHeight="1">
      <c r="A131" s="610"/>
      <c r="B131" s="581"/>
      <c r="C131" s="583"/>
      <c r="D131" s="202" t="str">
        <f>серпень!D131</f>
        <v xml:space="preserve">відхилення </v>
      </c>
      <c r="E131" s="203"/>
      <c r="F131" s="203">
        <f t="shared" ref="F131:K131" si="186">F127-F130</f>
        <v>0</v>
      </c>
      <c r="G131" s="203">
        <f t="shared" si="186"/>
        <v>0</v>
      </c>
      <c r="H131" s="203">
        <f t="shared" si="186"/>
        <v>0</v>
      </c>
      <c r="I131" s="203">
        <f t="shared" si="186"/>
        <v>0</v>
      </c>
      <c r="J131" s="203">
        <f t="shared" si="186"/>
        <v>0</v>
      </c>
      <c r="K131" s="203">
        <f t="shared" si="186"/>
        <v>0</v>
      </c>
      <c r="L131" s="203"/>
      <c r="M131" s="203"/>
      <c r="N131" s="203">
        <f t="shared" ref="N131:S131" si="187">N127-N130</f>
        <v>0</v>
      </c>
      <c r="O131" s="203">
        <f t="shared" si="187"/>
        <v>0</v>
      </c>
      <c r="P131" s="203">
        <f t="shared" si="187"/>
        <v>0</v>
      </c>
      <c r="Q131" s="203">
        <f t="shared" si="187"/>
        <v>0</v>
      </c>
      <c r="R131" s="203">
        <f t="shared" si="187"/>
        <v>0</v>
      </c>
      <c r="S131" s="203">
        <f t="shared" si="187"/>
        <v>0</v>
      </c>
      <c r="T131" s="203"/>
      <c r="U131" s="203"/>
      <c r="V131" s="203"/>
      <c r="W131" s="203"/>
    </row>
    <row r="132" spans="1:24" s="43" customFormat="1" hidden="1">
      <c r="A132" s="610"/>
      <c r="B132" s="581"/>
      <c r="C132" s="584"/>
      <c r="D132" s="202" t="str">
        <f>серпень!D132</f>
        <v>відхилення з наростаючим</v>
      </c>
      <c r="E132" s="203"/>
      <c r="F132" s="203">
        <f>F131</f>
        <v>0</v>
      </c>
      <c r="G132" s="203">
        <f>G131+F132</f>
        <v>0</v>
      </c>
      <c r="H132" s="203">
        <f>H131+G132</f>
        <v>0</v>
      </c>
      <c r="I132" s="203">
        <f>I131+H132</f>
        <v>0</v>
      </c>
      <c r="J132" s="203">
        <f>J131+I132</f>
        <v>0</v>
      </c>
      <c r="K132" s="203">
        <f>K131+J132</f>
        <v>0</v>
      </c>
      <c r="L132" s="203"/>
      <c r="M132" s="203"/>
      <c r="N132" s="203">
        <f>N131+K132</f>
        <v>0</v>
      </c>
      <c r="O132" s="203">
        <f>O131+N132</f>
        <v>0</v>
      </c>
      <c r="P132" s="203">
        <f>P131+O132</f>
        <v>0</v>
      </c>
      <c r="Q132" s="203">
        <f>Q131+P132</f>
        <v>0</v>
      </c>
      <c r="R132" s="203">
        <f>R131+Q132</f>
        <v>0</v>
      </c>
      <c r="S132" s="203">
        <f>S131+R132</f>
        <v>0</v>
      </c>
      <c r="T132" s="203"/>
      <c r="U132" s="203"/>
      <c r="V132" s="203"/>
      <c r="W132" s="203"/>
    </row>
    <row r="133" spans="1:24" s="47" customFormat="1" ht="18" customHeight="1">
      <c r="A133" s="610"/>
      <c r="B133" s="581"/>
      <c r="C133" s="582" t="s">
        <v>99</v>
      </c>
      <c r="D133" s="178" t="str">
        <f>серпень!D133</f>
        <v>факт. нат.п-ки 2023</v>
      </c>
      <c r="E133" s="85"/>
      <c r="F133" s="88">
        <v>0</v>
      </c>
      <c r="G133" s="88">
        <v>0</v>
      </c>
      <c r="H133" s="85">
        <v>0</v>
      </c>
      <c r="I133" s="85">
        <v>0</v>
      </c>
      <c r="J133" s="85">
        <v>0</v>
      </c>
      <c r="K133" s="85">
        <v>0</v>
      </c>
      <c r="L133" s="140">
        <f>SUM(F133:K133)</f>
        <v>0</v>
      </c>
      <c r="M133" s="140">
        <f>L133/6</f>
        <v>0</v>
      </c>
      <c r="N133" s="85">
        <v>0</v>
      </c>
      <c r="O133" s="85">
        <v>0</v>
      </c>
      <c r="P133" s="85">
        <v>0</v>
      </c>
      <c r="Q133" s="85">
        <v>0</v>
      </c>
      <c r="R133" s="85">
        <v>7.2</v>
      </c>
      <c r="S133" s="85">
        <v>30.2</v>
      </c>
      <c r="T133" s="140">
        <f>SUM(N133:S133)</f>
        <v>37.4</v>
      </c>
      <c r="U133" s="140">
        <f>T133+L133</f>
        <v>37.4</v>
      </c>
      <c r="V133" s="85">
        <v>37.4</v>
      </c>
      <c r="W133" s="88"/>
    </row>
    <row r="134" spans="1:24" s="47" customFormat="1" ht="18" customHeight="1">
      <c r="A134" s="610"/>
      <c r="B134" s="581"/>
      <c r="C134" s="583"/>
      <c r="D134" s="178" t="str">
        <f>серпень!D134</f>
        <v>факт. нат.п-ки 2024</v>
      </c>
      <c r="E134" s="85"/>
      <c r="F134" s="88">
        <v>13.6</v>
      </c>
      <c r="G134" s="88">
        <v>11.3</v>
      </c>
      <c r="H134" s="85">
        <v>7.6</v>
      </c>
      <c r="I134" s="85">
        <v>0</v>
      </c>
      <c r="J134" s="85">
        <v>0</v>
      </c>
      <c r="K134" s="85">
        <v>0</v>
      </c>
      <c r="L134" s="140">
        <f>SUM(F134:K134)</f>
        <v>32.5</v>
      </c>
      <c r="M134" s="140">
        <v>8.6</v>
      </c>
      <c r="N134" s="85">
        <v>0</v>
      </c>
      <c r="O134" s="85">
        <v>0</v>
      </c>
      <c r="P134" s="85">
        <v>0</v>
      </c>
      <c r="Q134" s="85">
        <v>0</v>
      </c>
      <c r="R134" s="85">
        <v>8.3000000000000007</v>
      </c>
      <c r="S134" s="85">
        <v>30.2</v>
      </c>
      <c r="T134" s="140">
        <f>SUM(N134:S134)</f>
        <v>38.5</v>
      </c>
      <c r="U134" s="140">
        <f>T134+L134</f>
        <v>71</v>
      </c>
      <c r="V134" s="85">
        <v>71</v>
      </c>
      <c r="W134" s="88"/>
    </row>
    <row r="135" spans="1:24" s="47" customFormat="1" ht="18" customHeight="1">
      <c r="A135" s="610"/>
      <c r="B135" s="581"/>
      <c r="C135" s="583"/>
      <c r="D135" s="178" t="str">
        <f>серпень!D135</f>
        <v>факт. нат.п-ки 2025</v>
      </c>
      <c r="E135" s="85"/>
      <c r="F135" s="146">
        <v>12.71</v>
      </c>
      <c r="G135" s="88">
        <v>17.100000000000001</v>
      </c>
      <c r="H135" s="85">
        <v>9.5</v>
      </c>
      <c r="I135" s="85">
        <v>0</v>
      </c>
      <c r="J135" s="85">
        <v>0</v>
      </c>
      <c r="K135" s="85">
        <v>0</v>
      </c>
      <c r="L135" s="140">
        <f>SUM(F135:K135)</f>
        <v>39.299999999999997</v>
      </c>
      <c r="M135" s="140">
        <f>L135/6</f>
        <v>6.6</v>
      </c>
      <c r="N135" s="85">
        <v>0</v>
      </c>
      <c r="O135" s="85">
        <v>0</v>
      </c>
      <c r="P135" s="85">
        <v>0</v>
      </c>
      <c r="Q135" s="85">
        <v>0</v>
      </c>
      <c r="R135" s="85">
        <v>8.3000000000000007</v>
      </c>
      <c r="S135" s="85">
        <v>13.4</v>
      </c>
      <c r="T135" s="140">
        <f>SUM(N135:S135)</f>
        <v>21.7</v>
      </c>
      <c r="U135" s="140">
        <f>T135+L135</f>
        <v>61</v>
      </c>
      <c r="V135" s="85">
        <v>54.2</v>
      </c>
      <c r="W135" s="88">
        <f>V135-U135</f>
        <v>-6.8</v>
      </c>
    </row>
    <row r="136" spans="1:24" s="47" customFormat="1" ht="18" customHeight="1">
      <c r="A136" s="610"/>
      <c r="B136" s="581"/>
      <c r="C136" s="583"/>
      <c r="D136" s="187" t="str">
        <f>серпень!D136</f>
        <v>тариф, грн.</v>
      </c>
      <c r="E136" s="92" t="e">
        <f t="shared" ref="E136:K136" si="188">E137/E135*1000</f>
        <v>#DIV/0!</v>
      </c>
      <c r="F136" s="92">
        <f t="shared" si="188"/>
        <v>1654.76</v>
      </c>
      <c r="G136" s="92">
        <f t="shared" si="188"/>
        <v>1657.7190000000001</v>
      </c>
      <c r="H136" s="92">
        <f t="shared" si="188"/>
        <v>1660.8420000000001</v>
      </c>
      <c r="I136" s="92" t="e">
        <f t="shared" si="188"/>
        <v>#DIV/0!</v>
      </c>
      <c r="J136" s="92" t="e">
        <f t="shared" si="188"/>
        <v>#DIV/0!</v>
      </c>
      <c r="K136" s="92" t="e">
        <f t="shared" si="188"/>
        <v>#DIV/0!</v>
      </c>
      <c r="L136" s="49">
        <f t="shared" ref="L136" si="189">L137/L135*1000</f>
        <v>1657.9390000000001</v>
      </c>
      <c r="M136" s="121">
        <f>M137/M135*1000</f>
        <v>1645.45</v>
      </c>
      <c r="N136" s="121" t="e">
        <f t="shared" ref="N136:Q136" si="190">N137/N135*1000</f>
        <v>#DIV/0!</v>
      </c>
      <c r="O136" s="121" t="e">
        <f t="shared" si="190"/>
        <v>#DIV/0!</v>
      </c>
      <c r="P136" s="121" t="e">
        <f t="shared" si="190"/>
        <v>#DIV/0!</v>
      </c>
      <c r="Q136" s="121" t="e">
        <f t="shared" si="190"/>
        <v>#DIV/0!</v>
      </c>
      <c r="R136" s="49">
        <v>1655.08</v>
      </c>
      <c r="S136" s="49">
        <v>1655.08</v>
      </c>
      <c r="T136" s="142">
        <f>T137/T135*1000</f>
        <v>1655.07</v>
      </c>
      <c r="U136" s="142">
        <f>U137/U135*1000</f>
        <v>1656.92</v>
      </c>
      <c r="V136" s="105">
        <f>V137/V135*1000</f>
        <v>1655.0740000000001</v>
      </c>
      <c r="W136" s="87">
        <f>W137/W135*1000</f>
        <v>1671.6179999999999</v>
      </c>
    </row>
    <row r="137" spans="1:24" s="47" customFormat="1" ht="18" customHeight="1">
      <c r="A137" s="610"/>
      <c r="B137" s="581"/>
      <c r="C137" s="583"/>
      <c r="D137" s="191" t="str">
        <f>серпень!D137</f>
        <v>сума, тис.грн.</v>
      </c>
      <c r="E137" s="93"/>
      <c r="F137" s="93">
        <v>21.032</v>
      </c>
      <c r="G137" s="93">
        <v>28.347000000000001</v>
      </c>
      <c r="H137" s="93">
        <v>15.778</v>
      </c>
      <c r="I137" s="93">
        <v>0</v>
      </c>
      <c r="J137" s="93">
        <v>0</v>
      </c>
      <c r="K137" s="93">
        <v>0</v>
      </c>
      <c r="L137" s="106">
        <f>SUM(F137:K137)</f>
        <v>65.156999999999996</v>
      </c>
      <c r="M137" s="106">
        <f>L137/6</f>
        <v>10.86</v>
      </c>
      <c r="N137" s="93">
        <v>0</v>
      </c>
      <c r="O137" s="93">
        <v>0</v>
      </c>
      <c r="P137" s="93">
        <v>0</v>
      </c>
      <c r="Q137" s="93">
        <v>0</v>
      </c>
      <c r="R137" s="93">
        <f t="shared" ref="R137" si="191">R135*R136/1000</f>
        <v>13.737</v>
      </c>
      <c r="S137" s="93">
        <f t="shared" ref="S137" si="192">S135*S136/1000</f>
        <v>22.178000000000001</v>
      </c>
      <c r="T137" s="106">
        <f>SUM(N137:S137)</f>
        <v>35.914999999999999</v>
      </c>
      <c r="U137" s="106">
        <f>T137+L137</f>
        <v>101.072</v>
      </c>
      <c r="V137" s="107">
        <f>V139</f>
        <v>89.704999999999998</v>
      </c>
      <c r="W137" s="93">
        <f>V137-U137</f>
        <v>-11.367000000000001</v>
      </c>
    </row>
    <row r="138" spans="1:24" s="47" customFormat="1" ht="18" customHeight="1">
      <c r="A138" s="610"/>
      <c r="B138" s="581"/>
      <c r="C138" s="583"/>
      <c r="D138" s="174" t="str">
        <f>серпень!D138</f>
        <v>дотація</v>
      </c>
      <c r="E138" s="95"/>
      <c r="F138" s="93"/>
      <c r="G138" s="93"/>
      <c r="H138" s="93"/>
      <c r="I138" s="93"/>
      <c r="J138" s="93"/>
      <c r="K138" s="93"/>
      <c r="L138" s="106">
        <f>SUM(F138:K138)</f>
        <v>0</v>
      </c>
      <c r="M138" s="106">
        <f>L138/6</f>
        <v>0</v>
      </c>
      <c r="N138" s="93"/>
      <c r="O138" s="93"/>
      <c r="P138" s="93"/>
      <c r="Q138" s="93"/>
      <c r="R138" s="93"/>
      <c r="S138" s="93"/>
      <c r="T138" s="106">
        <f>SUM(N138:S138)</f>
        <v>0</v>
      </c>
      <c r="U138" s="106">
        <f>T138+L138</f>
        <v>0</v>
      </c>
      <c r="V138" s="107"/>
      <c r="W138" s="93">
        <f>V138-U138</f>
        <v>0</v>
      </c>
    </row>
    <row r="139" spans="1:24" s="47" customFormat="1" ht="18" customHeight="1">
      <c r="A139" s="610"/>
      <c r="B139" s="581"/>
      <c r="C139" s="583"/>
      <c r="D139" s="174" t="str">
        <f>серпень!D139</f>
        <v>місцевий (план), тис.грн</v>
      </c>
      <c r="E139" s="95"/>
      <c r="F139" s="93">
        <v>0</v>
      </c>
      <c r="G139" s="93">
        <v>22.509</v>
      </c>
      <c r="H139" s="93">
        <v>18.702000000000002</v>
      </c>
      <c r="I139" s="93">
        <v>12.579000000000001</v>
      </c>
      <c r="J139" s="93">
        <v>0</v>
      </c>
      <c r="K139" s="93">
        <v>0</v>
      </c>
      <c r="L139" s="106">
        <f>SUM(F139:K139)</f>
        <v>53.79</v>
      </c>
      <c r="M139" s="106">
        <f>L139/6</f>
        <v>8.9649999999999999</v>
      </c>
      <c r="N139" s="93">
        <v>0</v>
      </c>
      <c r="O139" s="93">
        <v>0</v>
      </c>
      <c r="P139" s="93">
        <v>0</v>
      </c>
      <c r="Q139" s="93">
        <v>0</v>
      </c>
      <c r="R139" s="93">
        <v>0</v>
      </c>
      <c r="S139" s="93">
        <v>35.914999999999999</v>
      </c>
      <c r="T139" s="106">
        <f>SUM(N139:S139)</f>
        <v>35.914999999999999</v>
      </c>
      <c r="U139" s="106">
        <f>T139+L139</f>
        <v>89.704999999999998</v>
      </c>
      <c r="V139" s="107">
        <v>89.704999999999998</v>
      </c>
      <c r="W139" s="93">
        <f>V139-U139</f>
        <v>0</v>
      </c>
    </row>
    <row r="140" spans="1:24" s="47" customFormat="1" ht="18" customHeight="1">
      <c r="A140" s="610"/>
      <c r="B140" s="581"/>
      <c r="C140" s="583"/>
      <c r="D140" s="178" t="str">
        <f>серпень!D140</f>
        <v>касові нат.п-ки 2025</v>
      </c>
      <c r="E140" s="85"/>
      <c r="F140" s="88">
        <v>0</v>
      </c>
      <c r="G140" s="146">
        <v>12.71</v>
      </c>
      <c r="H140" s="85">
        <v>17.100000000000001</v>
      </c>
      <c r="I140" s="85">
        <v>9.5</v>
      </c>
      <c r="J140" s="85">
        <v>0</v>
      </c>
      <c r="K140" s="85"/>
      <c r="L140" s="140">
        <f>SUM(F140:K140)</f>
        <v>39.299999999999997</v>
      </c>
      <c r="M140" s="140">
        <f>L140/6</f>
        <v>6.6</v>
      </c>
      <c r="N140" s="85"/>
      <c r="O140" s="85"/>
      <c r="P140" s="85"/>
      <c r="Q140" s="85"/>
      <c r="R140" s="85"/>
      <c r="S140" s="85">
        <f>R135+S135</f>
        <v>21.7</v>
      </c>
      <c r="T140" s="140">
        <f>SUM(N140:S140)</f>
        <v>21.7</v>
      </c>
      <c r="U140" s="140">
        <f>T140+L140</f>
        <v>61</v>
      </c>
      <c r="V140" s="85">
        <f>V135</f>
        <v>54.2</v>
      </c>
      <c r="W140" s="88">
        <f>V140-U140</f>
        <v>-6.8</v>
      </c>
      <c r="X140" s="47">
        <v>0</v>
      </c>
    </row>
    <row r="141" spans="1:24" s="47" customFormat="1" ht="18" customHeight="1">
      <c r="A141" s="610"/>
      <c r="B141" s="581"/>
      <c r="C141" s="583"/>
      <c r="D141" s="187" t="str">
        <f>серпень!D141</f>
        <v>тариф, грн.</v>
      </c>
      <c r="E141" s="92" t="e">
        <f t="shared" ref="E141:J141" si="193">E142/E140*1000</f>
        <v>#DIV/0!</v>
      </c>
      <c r="F141" s="92" t="e">
        <f t="shared" si="193"/>
        <v>#DIV/0!</v>
      </c>
      <c r="G141" s="92">
        <f t="shared" si="193"/>
        <v>1654.76</v>
      </c>
      <c r="H141" s="92">
        <f t="shared" si="193"/>
        <v>1657.7190000000001</v>
      </c>
      <c r="I141" s="92">
        <f t="shared" si="193"/>
        <v>1660.8420000000001</v>
      </c>
      <c r="J141" s="92" t="e">
        <f t="shared" si="193"/>
        <v>#DIV/0!</v>
      </c>
      <c r="K141" s="92">
        <v>1655.08</v>
      </c>
      <c r="L141" s="49">
        <f t="shared" ref="L141" si="194">L142/L140*1000</f>
        <v>1657.9390000000001</v>
      </c>
      <c r="M141" s="121">
        <f>M142/M140*1000</f>
        <v>1645.45</v>
      </c>
      <c r="N141" s="121" t="e">
        <f t="shared" ref="N141:R141" si="195">N142/N140*1000</f>
        <v>#DIV/0!</v>
      </c>
      <c r="O141" s="121" t="e">
        <f t="shared" si="195"/>
        <v>#DIV/0!</v>
      </c>
      <c r="P141" s="121" t="e">
        <f t="shared" si="195"/>
        <v>#DIV/0!</v>
      </c>
      <c r="Q141" s="121" t="e">
        <f t="shared" si="195"/>
        <v>#DIV/0!</v>
      </c>
      <c r="R141" s="121" t="e">
        <f t="shared" si="195"/>
        <v>#DIV/0!</v>
      </c>
      <c r="S141" s="49">
        <v>1655.08</v>
      </c>
      <c r="T141" s="142">
        <f>T142/T140*1000</f>
        <v>1655.07</v>
      </c>
      <c r="U141" s="142">
        <f>U142/U140*1000</f>
        <v>1656.92</v>
      </c>
      <c r="V141" s="105">
        <f>V142/V140*1000</f>
        <v>1655.0740000000001</v>
      </c>
      <c r="W141" s="87">
        <f>W142/W140*1000</f>
        <v>1671.6179999999999</v>
      </c>
    </row>
    <row r="142" spans="1:24" s="63" customFormat="1" ht="18" customHeight="1">
      <c r="A142" s="610"/>
      <c r="B142" s="581"/>
      <c r="C142" s="583"/>
      <c r="D142" s="198" t="str">
        <f>серпень!D142</f>
        <v>касові видатки, тис.грн.</v>
      </c>
      <c r="E142" s="108"/>
      <c r="F142" s="98">
        <v>0</v>
      </c>
      <c r="G142" s="98">
        <v>21.032</v>
      </c>
      <c r="H142" s="98">
        <v>28.347000000000001</v>
      </c>
      <c r="I142" s="98">
        <v>15.778</v>
      </c>
      <c r="J142" s="98">
        <v>0</v>
      </c>
      <c r="K142" s="98">
        <v>0</v>
      </c>
      <c r="L142" s="98">
        <f>SUM(F142:K142)</f>
        <v>65.156999999999996</v>
      </c>
      <c r="M142" s="98">
        <f>L142/6</f>
        <v>10.86</v>
      </c>
      <c r="N142" s="98">
        <v>0</v>
      </c>
      <c r="O142" s="98">
        <v>0</v>
      </c>
      <c r="P142" s="98">
        <v>0</v>
      </c>
      <c r="Q142" s="98">
        <v>0</v>
      </c>
      <c r="R142" s="98">
        <v>0</v>
      </c>
      <c r="S142" s="98">
        <f t="shared" ref="S142" si="196">S140*S141/1000</f>
        <v>35.914999999999999</v>
      </c>
      <c r="T142" s="98">
        <f>SUM(N142:S142)</f>
        <v>35.914999999999999</v>
      </c>
      <c r="U142" s="98">
        <f>T142+L142</f>
        <v>101.072</v>
      </c>
      <c r="V142" s="98">
        <f>V137</f>
        <v>89.704999999999998</v>
      </c>
      <c r="W142" s="109">
        <f>V142-U142</f>
        <v>-11.367000000000001</v>
      </c>
      <c r="X142" s="63">
        <f>U137-U142</f>
        <v>0</v>
      </c>
    </row>
    <row r="143" spans="1:24" s="63" customFormat="1" ht="18" customHeight="1">
      <c r="A143" s="610"/>
      <c r="B143" s="581"/>
      <c r="C143" s="583"/>
      <c r="D143" s="201" t="str">
        <f>серпень!D143</f>
        <v>дотація</v>
      </c>
      <c r="E143" s="108"/>
      <c r="F143" s="98">
        <v>0</v>
      </c>
      <c r="G143" s="98">
        <v>0</v>
      </c>
      <c r="H143" s="98">
        <v>0</v>
      </c>
      <c r="I143" s="98">
        <v>0</v>
      </c>
      <c r="J143" s="98">
        <v>0</v>
      </c>
      <c r="K143" s="98">
        <v>0</v>
      </c>
      <c r="L143" s="98">
        <f>SUM(F143:K143)</f>
        <v>0</v>
      </c>
      <c r="M143" s="98">
        <f>L143/6</f>
        <v>0</v>
      </c>
      <c r="N143" s="98">
        <v>0</v>
      </c>
      <c r="O143" s="98">
        <v>0</v>
      </c>
      <c r="P143" s="98">
        <v>0</v>
      </c>
      <c r="Q143" s="98">
        <v>0</v>
      </c>
      <c r="R143" s="98">
        <v>0</v>
      </c>
      <c r="S143" s="98">
        <v>0</v>
      </c>
      <c r="T143" s="98">
        <f>SUM(N143:S143)</f>
        <v>0</v>
      </c>
      <c r="U143" s="98">
        <f>T143+L143</f>
        <v>0</v>
      </c>
      <c r="V143" s="98">
        <f>V138</f>
        <v>0</v>
      </c>
      <c r="W143" s="109">
        <f>V143-U143</f>
        <v>0</v>
      </c>
      <c r="X143" s="63">
        <f>U138-U143</f>
        <v>0</v>
      </c>
    </row>
    <row r="144" spans="1:24" s="63" customFormat="1" ht="18" customHeight="1">
      <c r="A144" s="610"/>
      <c r="B144" s="581"/>
      <c r="C144" s="583"/>
      <c r="D144" s="201" t="str">
        <f>серпень!D144</f>
        <v xml:space="preserve">місцевий </v>
      </c>
      <c r="E144" s="108"/>
      <c r="F144" s="98">
        <f t="shared" ref="F144:K144" si="197">F142-F143</f>
        <v>0</v>
      </c>
      <c r="G144" s="98">
        <f t="shared" si="197"/>
        <v>21.032</v>
      </c>
      <c r="H144" s="98">
        <f t="shared" si="197"/>
        <v>28.347000000000001</v>
      </c>
      <c r="I144" s="98">
        <f t="shared" si="197"/>
        <v>15.778</v>
      </c>
      <c r="J144" s="98">
        <f t="shared" si="197"/>
        <v>0</v>
      </c>
      <c r="K144" s="98">
        <f t="shared" si="197"/>
        <v>0</v>
      </c>
      <c r="L144" s="98">
        <f>SUM(F144:K144)</f>
        <v>65.156999999999996</v>
      </c>
      <c r="M144" s="98">
        <f>L144/6</f>
        <v>10.86</v>
      </c>
      <c r="N144" s="98">
        <f t="shared" ref="N144:S144" si="198">N142-N143</f>
        <v>0</v>
      </c>
      <c r="O144" s="98">
        <f t="shared" si="198"/>
        <v>0</v>
      </c>
      <c r="P144" s="98">
        <f t="shared" si="198"/>
        <v>0</v>
      </c>
      <c r="Q144" s="98">
        <f t="shared" si="198"/>
        <v>0</v>
      </c>
      <c r="R144" s="98">
        <f t="shared" si="198"/>
        <v>0</v>
      </c>
      <c r="S144" s="98">
        <f t="shared" si="198"/>
        <v>35.914999999999999</v>
      </c>
      <c r="T144" s="98">
        <f>SUM(N144:S144)</f>
        <v>35.914999999999999</v>
      </c>
      <c r="U144" s="98">
        <f>T144+L144</f>
        <v>101.072</v>
      </c>
      <c r="V144" s="98">
        <f>V139</f>
        <v>89.704999999999998</v>
      </c>
      <c r="W144" s="109">
        <f>V144-U144</f>
        <v>-11.367000000000001</v>
      </c>
      <c r="X144" s="63">
        <f>U139-U144</f>
        <v>-11.367000000000001</v>
      </c>
    </row>
    <row r="145" spans="1:24" s="43" customFormat="1" ht="18" customHeight="1">
      <c r="A145" s="610"/>
      <c r="B145" s="581"/>
      <c r="C145" s="583"/>
      <c r="D145" s="202" t="str">
        <f>серпень!D145</f>
        <v>план</v>
      </c>
      <c r="E145" s="100"/>
      <c r="F145" s="100">
        <f t="shared" ref="F145:K145" si="199">F139</f>
        <v>0</v>
      </c>
      <c r="G145" s="100">
        <f t="shared" si="199"/>
        <v>22.509</v>
      </c>
      <c r="H145" s="100">
        <f t="shared" si="199"/>
        <v>18.702000000000002</v>
      </c>
      <c r="I145" s="100">
        <f t="shared" si="199"/>
        <v>12.579000000000001</v>
      </c>
      <c r="J145" s="100">
        <f t="shared" si="199"/>
        <v>0</v>
      </c>
      <c r="K145" s="100">
        <f t="shared" si="199"/>
        <v>0</v>
      </c>
      <c r="L145" s="100">
        <f>SUM(F145:K145)</f>
        <v>53.79</v>
      </c>
      <c r="M145" s="100">
        <f>L145/6</f>
        <v>8.9649999999999999</v>
      </c>
      <c r="N145" s="100">
        <f t="shared" ref="N145:Q145" si="200">N139+N138</f>
        <v>0</v>
      </c>
      <c r="O145" s="100">
        <f t="shared" si="200"/>
        <v>0</v>
      </c>
      <c r="P145" s="100">
        <f t="shared" si="200"/>
        <v>0</v>
      </c>
      <c r="Q145" s="100">
        <f t="shared" si="200"/>
        <v>0</v>
      </c>
      <c r="R145" s="100">
        <f>R139+R138</f>
        <v>0</v>
      </c>
      <c r="S145" s="100">
        <f>S139+S138</f>
        <v>35.914999999999999</v>
      </c>
      <c r="T145" s="100">
        <f>SUM(N145:S145)</f>
        <v>35.914999999999999</v>
      </c>
      <c r="U145" s="100">
        <f>T145+L145</f>
        <v>89.704999999999998</v>
      </c>
      <c r="V145" s="100">
        <f>V142</f>
        <v>89.704999999999998</v>
      </c>
      <c r="W145" s="100">
        <f>V145-U145</f>
        <v>0</v>
      </c>
    </row>
    <row r="146" spans="1:24" s="43" customFormat="1" ht="17.55" customHeight="1">
      <c r="A146" s="610"/>
      <c r="B146" s="581"/>
      <c r="C146" s="583"/>
      <c r="D146" s="202" t="str">
        <f>серпень!D146</f>
        <v xml:space="preserve">відхилення </v>
      </c>
      <c r="E146" s="100"/>
      <c r="F146" s="100">
        <f t="shared" ref="F146:K146" si="201">F142-F145</f>
        <v>0</v>
      </c>
      <c r="G146" s="100">
        <f t="shared" si="201"/>
        <v>-1.4770000000000001</v>
      </c>
      <c r="H146" s="100">
        <f t="shared" si="201"/>
        <v>9.6449999999999996</v>
      </c>
      <c r="I146" s="100">
        <f t="shared" si="201"/>
        <v>3.1989999999999998</v>
      </c>
      <c r="J146" s="100">
        <f t="shared" si="201"/>
        <v>0</v>
      </c>
      <c r="K146" s="100">
        <f t="shared" si="201"/>
        <v>0</v>
      </c>
      <c r="L146" s="100"/>
      <c r="M146" s="100"/>
      <c r="N146" s="100">
        <f t="shared" ref="N146:S146" si="202">N142-N145</f>
        <v>0</v>
      </c>
      <c r="O146" s="100">
        <f t="shared" si="202"/>
        <v>0</v>
      </c>
      <c r="P146" s="100">
        <f t="shared" si="202"/>
        <v>0</v>
      </c>
      <c r="Q146" s="100">
        <f t="shared" si="202"/>
        <v>0</v>
      </c>
      <c r="R146" s="100">
        <f t="shared" si="202"/>
        <v>0</v>
      </c>
      <c r="S146" s="100">
        <f t="shared" si="202"/>
        <v>0</v>
      </c>
      <c r="T146" s="100"/>
      <c r="U146" s="100"/>
      <c r="V146" s="100"/>
      <c r="W146" s="100"/>
    </row>
    <row r="147" spans="1:24" s="43" customFormat="1" ht="20.7" customHeight="1">
      <c r="A147" s="610"/>
      <c r="B147" s="581"/>
      <c r="C147" s="584"/>
      <c r="D147" s="202" t="str">
        <f>серпень!D147</f>
        <v>відхилення з наростаючим</v>
      </c>
      <c r="E147" s="100"/>
      <c r="F147" s="100">
        <f>F146</f>
        <v>0</v>
      </c>
      <c r="G147" s="100">
        <f>G146+F147</f>
        <v>-1.4770000000000001</v>
      </c>
      <c r="H147" s="100">
        <f>H146+G147</f>
        <v>8.1679999999999993</v>
      </c>
      <c r="I147" s="100">
        <f>I146+H147</f>
        <v>11.367000000000001</v>
      </c>
      <c r="J147" s="100">
        <f>J146+I147</f>
        <v>11.367000000000001</v>
      </c>
      <c r="K147" s="100">
        <f>K146+J147</f>
        <v>11.367000000000001</v>
      </c>
      <c r="L147" s="100"/>
      <c r="M147" s="100"/>
      <c r="N147" s="100">
        <f>N146+K147</f>
        <v>11.367000000000001</v>
      </c>
      <c r="O147" s="100">
        <f>O146+N147</f>
        <v>11.367000000000001</v>
      </c>
      <c r="P147" s="100">
        <f>P146+O147</f>
        <v>11.367000000000001</v>
      </c>
      <c r="Q147" s="100">
        <f>Q146+P147</f>
        <v>11.367000000000001</v>
      </c>
      <c r="R147" s="100">
        <f>R146+Q147</f>
        <v>11.367000000000001</v>
      </c>
      <c r="S147" s="100">
        <f>S146+R147</f>
        <v>11.367000000000001</v>
      </c>
      <c r="T147" s="100"/>
      <c r="U147" s="100"/>
      <c r="V147" s="100"/>
      <c r="W147" s="100"/>
    </row>
    <row r="148" spans="1:24" s="43" customFormat="1" hidden="1">
      <c r="A148" s="610"/>
      <c r="B148" s="581"/>
      <c r="C148" s="582" t="s">
        <v>96</v>
      </c>
      <c r="D148" s="178" t="str">
        <f>серпень!D148</f>
        <v>факт. нат.п-ки 2023</v>
      </c>
      <c r="E148" s="179"/>
      <c r="F148" s="184"/>
      <c r="G148" s="184"/>
      <c r="H148" s="179"/>
      <c r="I148" s="179"/>
      <c r="J148" s="179"/>
      <c r="K148" s="179"/>
      <c r="L148" s="215">
        <f>SUM(F148:K148)</f>
        <v>0</v>
      </c>
      <c r="M148" s="215">
        <f>L148/6</f>
        <v>0</v>
      </c>
      <c r="N148" s="179"/>
      <c r="O148" s="179"/>
      <c r="P148" s="179"/>
      <c r="Q148" s="179"/>
      <c r="R148" s="179"/>
      <c r="S148" s="179"/>
      <c r="T148" s="215">
        <f>SUM(N148:S148)</f>
        <v>0</v>
      </c>
      <c r="U148" s="215">
        <f>T148+L148</f>
        <v>0</v>
      </c>
      <c r="V148" s="179"/>
      <c r="W148" s="184"/>
    </row>
    <row r="149" spans="1:24" s="43" customFormat="1" hidden="1">
      <c r="A149" s="610"/>
      <c r="B149" s="581"/>
      <c r="C149" s="583"/>
      <c r="D149" s="178" t="str">
        <f>серпень!D149</f>
        <v>факт. нат.п-ки 2024</v>
      </c>
      <c r="E149" s="179"/>
      <c r="F149" s="184"/>
      <c r="G149" s="184"/>
      <c r="H149" s="179"/>
      <c r="I149" s="179"/>
      <c r="J149" s="179"/>
      <c r="K149" s="179"/>
      <c r="L149" s="215">
        <f>SUM(F149:K149)</f>
        <v>0</v>
      </c>
      <c r="M149" s="215">
        <f>L149/6</f>
        <v>0</v>
      </c>
      <c r="N149" s="179"/>
      <c r="O149" s="179"/>
      <c r="P149" s="179"/>
      <c r="Q149" s="179"/>
      <c r="R149" s="179"/>
      <c r="S149" s="179"/>
      <c r="T149" s="215">
        <f>SUM(N149:S149)</f>
        <v>0</v>
      </c>
      <c r="U149" s="215">
        <f>T149+L149</f>
        <v>0</v>
      </c>
      <c r="V149" s="179"/>
      <c r="W149" s="184"/>
    </row>
    <row r="150" spans="1:24" s="205" customFormat="1" ht="0.8" hidden="1" customHeight="1">
      <c r="A150" s="610"/>
      <c r="B150" s="581"/>
      <c r="C150" s="583"/>
      <c r="D150" s="178" t="str">
        <f>серпень!D150</f>
        <v>факт. нат.п-ки 2025</v>
      </c>
      <c r="E150" s="179"/>
      <c r="F150" s="184"/>
      <c r="G150" s="184"/>
      <c r="H150" s="179"/>
      <c r="I150" s="216"/>
      <c r="J150" s="179">
        <v>0</v>
      </c>
      <c r="K150" s="179">
        <v>0</v>
      </c>
      <c r="L150" s="215">
        <f>SUM(F150:K150)</f>
        <v>0</v>
      </c>
      <c r="M150" s="215">
        <f>L150/6</f>
        <v>0</v>
      </c>
      <c r="N150" s="179">
        <v>0</v>
      </c>
      <c r="O150" s="179">
        <v>0</v>
      </c>
      <c r="P150" s="179">
        <v>0</v>
      </c>
      <c r="Q150" s="179"/>
      <c r="R150" s="179"/>
      <c r="S150" s="179"/>
      <c r="T150" s="215">
        <f>SUM(N150:S150)</f>
        <v>0</v>
      </c>
      <c r="U150" s="215">
        <f>T150+L150</f>
        <v>0</v>
      </c>
      <c r="V150" s="179"/>
      <c r="W150" s="184">
        <f>U150-V150</f>
        <v>0</v>
      </c>
    </row>
    <row r="151" spans="1:24" s="205" customFormat="1" hidden="1">
      <c r="A151" s="610"/>
      <c r="B151" s="581"/>
      <c r="C151" s="583"/>
      <c r="D151" s="187" t="str">
        <f>серпень!D151</f>
        <v>тариф, грн.</v>
      </c>
      <c r="E151" s="188"/>
      <c r="F151" s="188"/>
      <c r="G151" s="188"/>
      <c r="H151" s="188"/>
      <c r="I151" s="188"/>
      <c r="J151" s="188" t="e">
        <f t="shared" ref="J151:K151" si="203">J152/J150*1000</f>
        <v>#DIV/0!</v>
      </c>
      <c r="K151" s="188" t="e">
        <f t="shared" si="203"/>
        <v>#DIV/0!</v>
      </c>
      <c r="L151" s="217" t="e">
        <f>L152/L150*1000</f>
        <v>#DIV/0!</v>
      </c>
      <c r="M151" s="217" t="e">
        <f>M152/M150*1000</f>
        <v>#DIV/0!</v>
      </c>
      <c r="N151" s="217" t="e">
        <f>N152/N150*1000</f>
        <v>#DIV/0!</v>
      </c>
      <c r="O151" s="217" t="e">
        <f>O152/O150*1000</f>
        <v>#DIV/0!</v>
      </c>
      <c r="P151" s="217" t="e">
        <f>P152/P150*1000</f>
        <v>#DIV/0!</v>
      </c>
      <c r="Q151" s="218"/>
      <c r="R151" s="218"/>
      <c r="S151" s="218"/>
      <c r="T151" s="217" t="e">
        <f>T152/T150*1000</f>
        <v>#DIV/0!</v>
      </c>
      <c r="U151" s="217" t="e">
        <f>U152/U150*1000</f>
        <v>#DIV/0!</v>
      </c>
      <c r="V151" s="218" t="e">
        <f>V152/V150*1000</f>
        <v>#DIV/0!</v>
      </c>
      <c r="W151" s="219" t="e">
        <f>W152/W150*1000</f>
        <v>#DIV/0!</v>
      </c>
    </row>
    <row r="152" spans="1:24" s="205" customFormat="1" hidden="1">
      <c r="A152" s="610"/>
      <c r="B152" s="581"/>
      <c r="C152" s="583"/>
      <c r="D152" s="191" t="str">
        <f>серпень!D152</f>
        <v>сума, тис.грн.</v>
      </c>
      <c r="E152" s="192"/>
      <c r="F152" s="192"/>
      <c r="G152" s="192"/>
      <c r="H152" s="192"/>
      <c r="I152" s="192"/>
      <c r="J152" s="192">
        <v>0</v>
      </c>
      <c r="K152" s="192">
        <v>0</v>
      </c>
      <c r="L152" s="194">
        <f>SUM(F152:K152)</f>
        <v>0</v>
      </c>
      <c r="M152" s="194">
        <f>L152/6</f>
        <v>0</v>
      </c>
      <c r="N152" s="192">
        <v>0</v>
      </c>
      <c r="O152" s="192">
        <v>0</v>
      </c>
      <c r="P152" s="192">
        <v>0</v>
      </c>
      <c r="Q152" s="192"/>
      <c r="R152" s="192"/>
      <c r="S152" s="192"/>
      <c r="T152" s="194">
        <f>SUM(N152:S152)</f>
        <v>0</v>
      </c>
      <c r="U152" s="194">
        <f>T152+L152</f>
        <v>0</v>
      </c>
      <c r="V152" s="171">
        <f>V153+V154</f>
        <v>0</v>
      </c>
      <c r="W152" s="192">
        <f>V152-U152</f>
        <v>0</v>
      </c>
    </row>
    <row r="153" spans="1:24" s="205" customFormat="1" hidden="1">
      <c r="A153" s="610"/>
      <c r="B153" s="581"/>
      <c r="C153" s="583"/>
      <c r="D153" s="174" t="str">
        <f>серпень!D153</f>
        <v>дотація</v>
      </c>
      <c r="E153" s="210"/>
      <c r="F153" s="192"/>
      <c r="G153" s="192"/>
      <c r="H153" s="192"/>
      <c r="I153" s="192"/>
      <c r="J153" s="192"/>
      <c r="K153" s="192"/>
      <c r="L153" s="194">
        <f>SUM(F153:K153)</f>
        <v>0</v>
      </c>
      <c r="M153" s="194">
        <f>L153/6</f>
        <v>0</v>
      </c>
      <c r="N153" s="192"/>
      <c r="O153" s="192"/>
      <c r="P153" s="192"/>
      <c r="Q153" s="192"/>
      <c r="R153" s="192"/>
      <c r="S153" s="192"/>
      <c r="T153" s="194">
        <f>SUM(N153:S153)</f>
        <v>0</v>
      </c>
      <c r="U153" s="194">
        <f>T153+L153</f>
        <v>0</v>
      </c>
      <c r="V153" s="171"/>
      <c r="W153" s="192">
        <f>V153-U153</f>
        <v>0</v>
      </c>
    </row>
    <row r="154" spans="1:24" s="205" customFormat="1" hidden="1">
      <c r="A154" s="610"/>
      <c r="B154" s="581"/>
      <c r="C154" s="583"/>
      <c r="D154" s="174" t="str">
        <f>серпень!D154</f>
        <v>місцевий (план), тис.грн</v>
      </c>
      <c r="E154" s="210"/>
      <c r="F154" s="192"/>
      <c r="G154" s="192"/>
      <c r="H154" s="192"/>
      <c r="I154" s="192"/>
      <c r="J154" s="192"/>
      <c r="K154" s="192"/>
      <c r="L154" s="194">
        <f>SUM(F154:K154)</f>
        <v>0</v>
      </c>
      <c r="M154" s="194">
        <f>L154/6</f>
        <v>0</v>
      </c>
      <c r="N154" s="192"/>
      <c r="O154" s="192"/>
      <c r="P154" s="192"/>
      <c r="Q154" s="192"/>
      <c r="R154" s="192"/>
      <c r="S154" s="192"/>
      <c r="T154" s="194">
        <f>SUM(N154:S154)</f>
        <v>0</v>
      </c>
      <c r="U154" s="194">
        <f>T154+L154</f>
        <v>0</v>
      </c>
      <c r="V154" s="171"/>
      <c r="W154" s="192">
        <f>V154-U154</f>
        <v>0</v>
      </c>
    </row>
    <row r="155" spans="1:24" s="205" customFormat="1" hidden="1">
      <c r="A155" s="610"/>
      <c r="B155" s="581"/>
      <c r="C155" s="583"/>
      <c r="D155" s="178" t="str">
        <f>серпень!D155</f>
        <v>касові нат.п-ки 2025</v>
      </c>
      <c r="E155" s="179"/>
      <c r="F155" s="184"/>
      <c r="G155" s="184"/>
      <c r="H155" s="179"/>
      <c r="I155" s="179"/>
      <c r="J155" s="216"/>
      <c r="K155" s="179">
        <v>0</v>
      </c>
      <c r="L155" s="215">
        <f>SUM(F155:K155)</f>
        <v>0</v>
      </c>
      <c r="M155" s="215">
        <f>L155/6</f>
        <v>0</v>
      </c>
      <c r="N155" s="179">
        <v>0</v>
      </c>
      <c r="O155" s="179">
        <v>0</v>
      </c>
      <c r="P155" s="179">
        <v>0</v>
      </c>
      <c r="Q155" s="179">
        <v>0</v>
      </c>
      <c r="R155" s="179"/>
      <c r="S155" s="179"/>
      <c r="T155" s="215">
        <f>SUM(N155:S155)</f>
        <v>0</v>
      </c>
      <c r="U155" s="215">
        <f>T155+L155</f>
        <v>0</v>
      </c>
      <c r="V155" s="179">
        <f>V150</f>
        <v>0</v>
      </c>
      <c r="W155" s="184">
        <f>V155-U155</f>
        <v>0</v>
      </c>
      <c r="X155" s="185">
        <f>U150-U155</f>
        <v>0</v>
      </c>
    </row>
    <row r="156" spans="1:24" s="205" customFormat="1" hidden="1">
      <c r="A156" s="610"/>
      <c r="B156" s="581"/>
      <c r="C156" s="583"/>
      <c r="D156" s="187" t="str">
        <f>серпень!D156</f>
        <v>тариф, грн.</v>
      </c>
      <c r="E156" s="188" t="e">
        <f t="shared" ref="E156" si="204">E157/E155*1000</f>
        <v>#DIV/0!</v>
      </c>
      <c r="F156" s="188"/>
      <c r="G156" s="188"/>
      <c r="H156" s="188"/>
      <c r="I156" s="188"/>
      <c r="J156" s="188"/>
      <c r="K156" s="188" t="e">
        <f t="shared" ref="K156" si="205">K157/K155*1000</f>
        <v>#DIV/0!</v>
      </c>
      <c r="L156" s="217" t="e">
        <f>L157/L155*1000</f>
        <v>#DIV/0!</v>
      </c>
      <c r="M156" s="217" t="e">
        <f>M157/M155*1000</f>
        <v>#DIV/0!</v>
      </c>
      <c r="N156" s="217" t="e">
        <f t="shared" ref="N156:O156" si="206">N157/N155*1000</f>
        <v>#DIV/0!</v>
      </c>
      <c r="O156" s="217" t="e">
        <f t="shared" si="206"/>
        <v>#DIV/0!</v>
      </c>
      <c r="P156" s="217" t="e">
        <f t="shared" ref="P156:Q156" si="207">P157/P155*1000</f>
        <v>#DIV/0!</v>
      </c>
      <c r="Q156" s="217" t="e">
        <f t="shared" si="207"/>
        <v>#DIV/0!</v>
      </c>
      <c r="R156" s="218"/>
      <c r="S156" s="218"/>
      <c r="T156" s="217" t="e">
        <f>T157/T155*1000</f>
        <v>#DIV/0!</v>
      </c>
      <c r="U156" s="217" t="e">
        <f>U157/U155*1000</f>
        <v>#DIV/0!</v>
      </c>
      <c r="V156" s="218" t="e">
        <f>V157/V155*1000</f>
        <v>#DIV/0!</v>
      </c>
      <c r="W156" s="219" t="e">
        <f>W157/W155*1000</f>
        <v>#DIV/0!</v>
      </c>
      <c r="X156" s="185"/>
    </row>
    <row r="157" spans="1:24" s="205" customFormat="1" ht="0.8" hidden="1" customHeight="1">
      <c r="A157" s="610"/>
      <c r="B157" s="581"/>
      <c r="C157" s="583"/>
      <c r="D157" s="198" t="str">
        <f>серпень!D157</f>
        <v>касові видатки, тис.грн.</v>
      </c>
      <c r="E157" s="220"/>
      <c r="F157" s="199"/>
      <c r="G157" s="199"/>
      <c r="H157" s="199"/>
      <c r="I157" s="199"/>
      <c r="J157" s="199"/>
      <c r="K157" s="199">
        <v>0</v>
      </c>
      <c r="L157" s="199">
        <f>SUM(F157:K157)</f>
        <v>0</v>
      </c>
      <c r="M157" s="199">
        <f>L157/6</f>
        <v>0</v>
      </c>
      <c r="N157" s="199">
        <v>0</v>
      </c>
      <c r="O157" s="199">
        <v>0</v>
      </c>
      <c r="P157" s="199">
        <v>0</v>
      </c>
      <c r="Q157" s="199">
        <v>0</v>
      </c>
      <c r="R157" s="199"/>
      <c r="S157" s="199"/>
      <c r="T157" s="199">
        <f>SUM(N157:S157)</f>
        <v>0</v>
      </c>
      <c r="U157" s="199">
        <f>T157+L157</f>
        <v>0</v>
      </c>
      <c r="V157" s="199">
        <f>V152</f>
        <v>0</v>
      </c>
      <c r="W157" s="221">
        <f>V157-U157</f>
        <v>0</v>
      </c>
      <c r="X157" s="176">
        <f>U152-U157</f>
        <v>0</v>
      </c>
    </row>
    <row r="158" spans="1:24" s="205" customFormat="1" ht="0.8" hidden="1" customHeight="1">
      <c r="A158" s="610"/>
      <c r="B158" s="581"/>
      <c r="C158" s="583"/>
      <c r="D158" s="201" t="str">
        <f>серпень!D158</f>
        <v>дотація</v>
      </c>
      <c r="E158" s="220"/>
      <c r="F158" s="199">
        <v>0</v>
      </c>
      <c r="G158" s="199">
        <v>0</v>
      </c>
      <c r="H158" s="199">
        <v>0</v>
      </c>
      <c r="I158" s="199">
        <v>0</v>
      </c>
      <c r="J158" s="199">
        <v>0</v>
      </c>
      <c r="K158" s="199">
        <v>0</v>
      </c>
      <c r="L158" s="199">
        <f>SUM(F158:K158)</f>
        <v>0</v>
      </c>
      <c r="M158" s="199">
        <f>L158/6</f>
        <v>0</v>
      </c>
      <c r="N158" s="199">
        <v>0</v>
      </c>
      <c r="O158" s="199">
        <v>0</v>
      </c>
      <c r="P158" s="199">
        <v>0</v>
      </c>
      <c r="Q158" s="199">
        <v>0</v>
      </c>
      <c r="R158" s="199">
        <v>0</v>
      </c>
      <c r="S158" s="199">
        <v>0</v>
      </c>
      <c r="T158" s="199">
        <f>SUM(N158:S158)</f>
        <v>0</v>
      </c>
      <c r="U158" s="199">
        <f>T158+L158</f>
        <v>0</v>
      </c>
      <c r="V158" s="199">
        <f>V153</f>
        <v>0</v>
      </c>
      <c r="W158" s="221">
        <f>V158-U158</f>
        <v>0</v>
      </c>
      <c r="X158" s="176">
        <f>U153-U158</f>
        <v>0</v>
      </c>
    </row>
    <row r="159" spans="1:24" s="205" customFormat="1" ht="0.8" hidden="1" customHeight="1">
      <c r="A159" s="610"/>
      <c r="B159" s="581"/>
      <c r="C159" s="583"/>
      <c r="D159" s="201" t="str">
        <f>серпень!D159</f>
        <v xml:space="preserve">місцевий </v>
      </c>
      <c r="E159" s="220"/>
      <c r="F159" s="199">
        <f t="shared" ref="F159:K159" si="208">F157-F158</f>
        <v>0</v>
      </c>
      <c r="G159" s="199">
        <f t="shared" si="208"/>
        <v>0</v>
      </c>
      <c r="H159" s="199">
        <f t="shared" si="208"/>
        <v>0</v>
      </c>
      <c r="I159" s="199">
        <f t="shared" si="208"/>
        <v>0</v>
      </c>
      <c r="J159" s="199">
        <f t="shared" si="208"/>
        <v>0</v>
      </c>
      <c r="K159" s="199">
        <f t="shared" si="208"/>
        <v>0</v>
      </c>
      <c r="L159" s="199">
        <f>SUM(F159:K159)</f>
        <v>0</v>
      </c>
      <c r="M159" s="199">
        <f>L159/6</f>
        <v>0</v>
      </c>
      <c r="N159" s="199">
        <f t="shared" ref="N159:S159" si="209">N157-N158</f>
        <v>0</v>
      </c>
      <c r="O159" s="199">
        <f t="shared" si="209"/>
        <v>0</v>
      </c>
      <c r="P159" s="199">
        <f t="shared" si="209"/>
        <v>0</v>
      </c>
      <c r="Q159" s="199">
        <f t="shared" si="209"/>
        <v>0</v>
      </c>
      <c r="R159" s="199">
        <f t="shared" si="209"/>
        <v>0</v>
      </c>
      <c r="S159" s="199">
        <f t="shared" si="209"/>
        <v>0</v>
      </c>
      <c r="T159" s="199">
        <f>SUM(N159:S159)</f>
        <v>0</v>
      </c>
      <c r="U159" s="199">
        <f>T159+L159</f>
        <v>0</v>
      </c>
      <c r="V159" s="199">
        <f>V154</f>
        <v>0</v>
      </c>
      <c r="W159" s="221">
        <f>V159-U159</f>
        <v>0</v>
      </c>
      <c r="X159" s="176">
        <f>U154-U159</f>
        <v>0</v>
      </c>
    </row>
    <row r="160" spans="1:24" s="43" customFormat="1" ht="0.8" hidden="1" customHeight="1">
      <c r="A160" s="610"/>
      <c r="B160" s="581"/>
      <c r="C160" s="583"/>
      <c r="D160" s="202" t="str">
        <f>серпень!D160</f>
        <v>план</v>
      </c>
      <c r="E160" s="203"/>
      <c r="F160" s="203">
        <f t="shared" ref="F160:K160" si="210">F153+F154</f>
        <v>0</v>
      </c>
      <c r="G160" s="203">
        <f t="shared" si="210"/>
        <v>0</v>
      </c>
      <c r="H160" s="203">
        <f t="shared" si="210"/>
        <v>0</v>
      </c>
      <c r="I160" s="203">
        <f t="shared" si="210"/>
        <v>0</v>
      </c>
      <c r="J160" s="203">
        <f t="shared" si="210"/>
        <v>0</v>
      </c>
      <c r="K160" s="203">
        <f t="shared" si="210"/>
        <v>0</v>
      </c>
      <c r="L160" s="203">
        <f>SUM(F160:K160)</f>
        <v>0</v>
      </c>
      <c r="M160" s="203">
        <f>L160/6</f>
        <v>0</v>
      </c>
      <c r="N160" s="203">
        <f t="shared" ref="N160:S160" si="211">N154+N153</f>
        <v>0</v>
      </c>
      <c r="O160" s="203">
        <f t="shared" si="211"/>
        <v>0</v>
      </c>
      <c r="P160" s="203">
        <f t="shared" si="211"/>
        <v>0</v>
      </c>
      <c r="Q160" s="203">
        <f t="shared" si="211"/>
        <v>0</v>
      </c>
      <c r="R160" s="203">
        <f t="shared" si="211"/>
        <v>0</v>
      </c>
      <c r="S160" s="203">
        <f t="shared" si="211"/>
        <v>0</v>
      </c>
      <c r="T160" s="203">
        <f>SUM(N160:S160)</f>
        <v>0</v>
      </c>
      <c r="U160" s="203">
        <f>T160+L160</f>
        <v>0</v>
      </c>
      <c r="V160" s="203">
        <f>V157</f>
        <v>0</v>
      </c>
      <c r="W160" s="203">
        <f>V160-U160</f>
        <v>0</v>
      </c>
    </row>
    <row r="161" spans="1:24" s="43" customFormat="1" ht="0.8" hidden="1" customHeight="1">
      <c r="A161" s="610"/>
      <c r="B161" s="581"/>
      <c r="C161" s="583"/>
      <c r="D161" s="202" t="str">
        <f>серпень!D161</f>
        <v xml:space="preserve">відхилення </v>
      </c>
      <c r="E161" s="203"/>
      <c r="F161" s="203">
        <f t="shared" ref="F161:K161" si="212">F157-F160</f>
        <v>0</v>
      </c>
      <c r="G161" s="203">
        <f t="shared" si="212"/>
        <v>0</v>
      </c>
      <c r="H161" s="203">
        <f t="shared" si="212"/>
        <v>0</v>
      </c>
      <c r="I161" s="203">
        <f t="shared" si="212"/>
        <v>0</v>
      </c>
      <c r="J161" s="203">
        <f t="shared" si="212"/>
        <v>0</v>
      </c>
      <c r="K161" s="203">
        <f t="shared" si="212"/>
        <v>0</v>
      </c>
      <c r="L161" s="203"/>
      <c r="M161" s="203"/>
      <c r="N161" s="203">
        <f t="shared" ref="N161:S161" si="213">N157-N160</f>
        <v>0</v>
      </c>
      <c r="O161" s="203">
        <f t="shared" si="213"/>
        <v>0</v>
      </c>
      <c r="P161" s="203">
        <f t="shared" si="213"/>
        <v>0</v>
      </c>
      <c r="Q161" s="203">
        <f t="shared" si="213"/>
        <v>0</v>
      </c>
      <c r="R161" s="203">
        <f t="shared" si="213"/>
        <v>0</v>
      </c>
      <c r="S161" s="203">
        <f t="shared" si="213"/>
        <v>0</v>
      </c>
      <c r="T161" s="203"/>
      <c r="U161" s="203"/>
      <c r="V161" s="203"/>
      <c r="W161" s="203"/>
    </row>
    <row r="162" spans="1:24" s="43" customFormat="1" ht="0.8" hidden="1" customHeight="1">
      <c r="A162" s="610"/>
      <c r="B162" s="581"/>
      <c r="C162" s="584"/>
      <c r="D162" s="202" t="str">
        <f>серпень!D162</f>
        <v>відхилення з наростаючим</v>
      </c>
      <c r="E162" s="203"/>
      <c r="F162" s="203">
        <f>F161</f>
        <v>0</v>
      </c>
      <c r="G162" s="203">
        <f>G161+F162</f>
        <v>0</v>
      </c>
      <c r="H162" s="203">
        <f>H161+G162</f>
        <v>0</v>
      </c>
      <c r="I162" s="203">
        <f>I161+H162</f>
        <v>0</v>
      </c>
      <c r="J162" s="203">
        <f>J161+I162</f>
        <v>0</v>
      </c>
      <c r="K162" s="203">
        <f>K161+J162</f>
        <v>0</v>
      </c>
      <c r="L162" s="203"/>
      <c r="M162" s="203"/>
      <c r="N162" s="203">
        <f>N161+K162</f>
        <v>0</v>
      </c>
      <c r="O162" s="203">
        <f>O161+N162</f>
        <v>0</v>
      </c>
      <c r="P162" s="203">
        <f>P161+O162</f>
        <v>0</v>
      </c>
      <c r="Q162" s="203">
        <f>Q161+P162</f>
        <v>0</v>
      </c>
      <c r="R162" s="203">
        <f>R161+Q162</f>
        <v>0</v>
      </c>
      <c r="S162" s="203">
        <f>S161+R162</f>
        <v>0</v>
      </c>
      <c r="T162" s="203"/>
      <c r="U162" s="203"/>
      <c r="V162" s="203"/>
      <c r="W162" s="203"/>
    </row>
    <row r="163" spans="1:24" s="48" customFormat="1" hidden="1">
      <c r="A163" s="610"/>
      <c r="B163" s="576" t="s">
        <v>61</v>
      </c>
      <c r="C163" s="577"/>
      <c r="D163" s="178" t="str">
        <f>серпень!D163</f>
        <v>факт. нат.п-ки 2023</v>
      </c>
      <c r="E163" s="85"/>
      <c r="F163" s="12">
        <f t="shared" ref="F163:K165" si="214">F178+F193</f>
        <v>0</v>
      </c>
      <c r="G163" s="12">
        <f t="shared" si="214"/>
        <v>0</v>
      </c>
      <c r="H163" s="12">
        <f t="shared" si="214"/>
        <v>0</v>
      </c>
      <c r="I163" s="12">
        <f t="shared" si="214"/>
        <v>0</v>
      </c>
      <c r="J163" s="12">
        <f t="shared" si="214"/>
        <v>0</v>
      </c>
      <c r="K163" s="12">
        <f t="shared" si="214"/>
        <v>0</v>
      </c>
      <c r="L163" s="89">
        <f>SUM(F163:K163)</f>
        <v>0</v>
      </c>
      <c r="M163" s="89">
        <f>L163/6</f>
        <v>0</v>
      </c>
      <c r="N163" s="12">
        <f t="shared" ref="N163:S165" si="215">N178+N193</f>
        <v>0</v>
      </c>
      <c r="O163" s="12">
        <f t="shared" si="215"/>
        <v>0</v>
      </c>
      <c r="P163" s="12">
        <f t="shared" si="215"/>
        <v>0</v>
      </c>
      <c r="Q163" s="12">
        <f t="shared" si="215"/>
        <v>0</v>
      </c>
      <c r="R163" s="12">
        <f t="shared" si="215"/>
        <v>0</v>
      </c>
      <c r="S163" s="12">
        <f t="shared" si="215"/>
        <v>0</v>
      </c>
      <c r="T163" s="89">
        <f>SUM(N163:S163)</f>
        <v>0</v>
      </c>
      <c r="U163" s="90">
        <f>T163+L163</f>
        <v>0</v>
      </c>
      <c r="V163" s="91">
        <f>V178+V193</f>
        <v>0</v>
      </c>
      <c r="W163" s="88">
        <f>V163-U163</f>
        <v>0</v>
      </c>
      <c r="X163" s="47"/>
    </row>
    <row r="164" spans="1:24" s="48" customFormat="1" ht="0.8" hidden="1" customHeight="1">
      <c r="A164" s="610"/>
      <c r="B164" s="576"/>
      <c r="C164" s="577"/>
      <c r="D164" s="178" t="str">
        <f>серпень!D164</f>
        <v>факт. нат.п-ки 2024</v>
      </c>
      <c r="E164" s="85"/>
      <c r="F164" s="12">
        <f t="shared" si="214"/>
        <v>0</v>
      </c>
      <c r="G164" s="12">
        <f t="shared" si="214"/>
        <v>0</v>
      </c>
      <c r="H164" s="12">
        <f t="shared" si="214"/>
        <v>0</v>
      </c>
      <c r="I164" s="12">
        <f t="shared" si="214"/>
        <v>0</v>
      </c>
      <c r="J164" s="12">
        <f t="shared" si="214"/>
        <v>0</v>
      </c>
      <c r="K164" s="12">
        <f t="shared" si="214"/>
        <v>0</v>
      </c>
      <c r="L164" s="89">
        <f>SUM(F164:K164)</f>
        <v>0</v>
      </c>
      <c r="M164" s="89">
        <f>L164/6</f>
        <v>0</v>
      </c>
      <c r="N164" s="85">
        <f t="shared" si="215"/>
        <v>0</v>
      </c>
      <c r="O164" s="85">
        <f t="shared" si="215"/>
        <v>0</v>
      </c>
      <c r="P164" s="85">
        <f t="shared" si="215"/>
        <v>0</v>
      </c>
      <c r="Q164" s="85">
        <f t="shared" si="215"/>
        <v>0</v>
      </c>
      <c r="R164" s="85">
        <f t="shared" si="215"/>
        <v>0</v>
      </c>
      <c r="S164" s="85">
        <f t="shared" si="215"/>
        <v>0</v>
      </c>
      <c r="T164" s="89">
        <f>SUM(N164:S164)</f>
        <v>0</v>
      </c>
      <c r="U164" s="90">
        <f>T164+L164</f>
        <v>0</v>
      </c>
      <c r="V164" s="91">
        <f>V179+V194</f>
        <v>0</v>
      </c>
      <c r="W164" s="88">
        <f>V164-U164</f>
        <v>0</v>
      </c>
      <c r="X164" s="47"/>
    </row>
    <row r="165" spans="1:24" s="48" customFormat="1" ht="0.8" hidden="1" customHeight="1">
      <c r="A165" s="610"/>
      <c r="B165" s="576"/>
      <c r="C165" s="577"/>
      <c r="D165" s="178" t="str">
        <f>серпень!D165</f>
        <v>факт. нат.п-ки 2025</v>
      </c>
      <c r="E165" s="85"/>
      <c r="F165" s="12">
        <f t="shared" si="214"/>
        <v>0</v>
      </c>
      <c r="G165" s="12">
        <f t="shared" si="214"/>
        <v>0</v>
      </c>
      <c r="H165" s="12">
        <f t="shared" si="214"/>
        <v>0</v>
      </c>
      <c r="I165" s="12">
        <f t="shared" si="214"/>
        <v>0</v>
      </c>
      <c r="J165" s="12">
        <f t="shared" si="214"/>
        <v>0</v>
      </c>
      <c r="K165" s="12">
        <f t="shared" si="214"/>
        <v>0</v>
      </c>
      <c r="L165" s="89">
        <f>SUM(F165:K165)</f>
        <v>0</v>
      </c>
      <c r="M165" s="89">
        <f>L165/6</f>
        <v>0</v>
      </c>
      <c r="N165" s="12">
        <f t="shared" si="215"/>
        <v>0</v>
      </c>
      <c r="O165" s="12">
        <f t="shared" si="215"/>
        <v>0</v>
      </c>
      <c r="P165" s="12">
        <f t="shared" si="215"/>
        <v>0</v>
      </c>
      <c r="Q165" s="12">
        <f t="shared" si="215"/>
        <v>0</v>
      </c>
      <c r="R165" s="12">
        <f t="shared" si="215"/>
        <v>0</v>
      </c>
      <c r="S165" s="12">
        <f t="shared" si="215"/>
        <v>0</v>
      </c>
      <c r="T165" s="89">
        <f>SUM(N165:S165)</f>
        <v>0</v>
      </c>
      <c r="U165" s="90">
        <f>T165+L165</f>
        <v>0</v>
      </c>
      <c r="V165" s="91">
        <f>V180+V195</f>
        <v>0</v>
      </c>
      <c r="W165" s="88">
        <f>V165-U165</f>
        <v>0</v>
      </c>
      <c r="X165" s="47"/>
    </row>
    <row r="166" spans="1:24" s="51" customFormat="1" ht="0.8" hidden="1" customHeight="1">
      <c r="A166" s="610"/>
      <c r="B166" s="576"/>
      <c r="C166" s="577"/>
      <c r="D166" s="187" t="str">
        <f>серпень!D166</f>
        <v>тариф, грн.</v>
      </c>
      <c r="E166" s="92"/>
      <c r="F166" s="92" t="e">
        <f>F167/F165*1000</f>
        <v>#DIV/0!</v>
      </c>
      <c r="G166" s="92" t="e">
        <f>G167/G165*1000</f>
        <v>#DIV/0!</v>
      </c>
      <c r="H166" s="92" t="e">
        <f>H167/H165*1000</f>
        <v>#DIV/0!</v>
      </c>
      <c r="I166" s="92" t="e">
        <f>I167/I165*1000</f>
        <v>#DIV/0!</v>
      </c>
      <c r="J166" s="92" t="e">
        <f>J167/J165*1000</f>
        <v>#DIV/0!</v>
      </c>
      <c r="K166" s="92" t="e">
        <f t="shared" ref="K166:S166" si="216">K167/K165*1000</f>
        <v>#DIV/0!</v>
      </c>
      <c r="L166" s="92" t="e">
        <f t="shared" si="216"/>
        <v>#DIV/0!</v>
      </c>
      <c r="M166" s="92" t="e">
        <f t="shared" si="216"/>
        <v>#DIV/0!</v>
      </c>
      <c r="N166" s="92" t="e">
        <f t="shared" si="216"/>
        <v>#DIV/0!</v>
      </c>
      <c r="O166" s="92" t="e">
        <f t="shared" si="216"/>
        <v>#DIV/0!</v>
      </c>
      <c r="P166" s="92" t="e">
        <f t="shared" si="216"/>
        <v>#DIV/0!</v>
      </c>
      <c r="Q166" s="92" t="e">
        <f t="shared" si="216"/>
        <v>#DIV/0!</v>
      </c>
      <c r="R166" s="92" t="e">
        <f t="shared" si="216"/>
        <v>#DIV/0!</v>
      </c>
      <c r="S166" s="92" t="e">
        <f t="shared" si="216"/>
        <v>#DIV/0!</v>
      </c>
      <c r="T166" s="92" t="e">
        <f>T167/T165*1000</f>
        <v>#DIV/0!</v>
      </c>
      <c r="U166" s="92" t="e">
        <f>U167/U165*1000</f>
        <v>#DIV/0!</v>
      </c>
      <c r="V166" s="92" t="e">
        <f>V167/V165*1000</f>
        <v>#DIV/0!</v>
      </c>
      <c r="W166" s="86" t="e">
        <f>W167/W165*1000</f>
        <v>#DIV/0!</v>
      </c>
      <c r="X166" s="50"/>
    </row>
    <row r="167" spans="1:24" s="55" customFormat="1" ht="0.8" hidden="1" customHeight="1">
      <c r="A167" s="610"/>
      <c r="B167" s="576"/>
      <c r="C167" s="577"/>
      <c r="D167" s="191" t="str">
        <f>серпень!D167</f>
        <v>сума, тис.грн.</v>
      </c>
      <c r="E167" s="93"/>
      <c r="F167" s="93">
        <f t="shared" ref="F167:K170" si="217">F182+F197</f>
        <v>0</v>
      </c>
      <c r="G167" s="93">
        <f t="shared" si="217"/>
        <v>0</v>
      </c>
      <c r="H167" s="93">
        <f t="shared" si="217"/>
        <v>0</v>
      </c>
      <c r="I167" s="93">
        <f t="shared" si="217"/>
        <v>0</v>
      </c>
      <c r="J167" s="93">
        <f t="shared" si="217"/>
        <v>0</v>
      </c>
      <c r="K167" s="93">
        <f t="shared" si="217"/>
        <v>0</v>
      </c>
      <c r="L167" s="93">
        <f>SUM(F167:K167)</f>
        <v>0</v>
      </c>
      <c r="M167" s="93">
        <f>L167/6</f>
        <v>0</v>
      </c>
      <c r="N167" s="93">
        <f t="shared" ref="N167:S170" si="218">N182+N197</f>
        <v>0</v>
      </c>
      <c r="O167" s="93">
        <f t="shared" si="218"/>
        <v>0</v>
      </c>
      <c r="P167" s="93">
        <f t="shared" si="218"/>
        <v>0</v>
      </c>
      <c r="Q167" s="93">
        <f t="shared" si="218"/>
        <v>0</v>
      </c>
      <c r="R167" s="93">
        <f t="shared" si="218"/>
        <v>0</v>
      </c>
      <c r="S167" s="93">
        <f t="shared" si="218"/>
        <v>0</v>
      </c>
      <c r="T167" s="93">
        <f>SUM(N167:S167)</f>
        <v>0</v>
      </c>
      <c r="U167" s="93">
        <f>T167+L167</f>
        <v>0</v>
      </c>
      <c r="V167" s="94">
        <f>V182+V197</f>
        <v>0</v>
      </c>
      <c r="W167" s="94">
        <f>V167-U167</f>
        <v>0</v>
      </c>
      <c r="X167" s="54">
        <f>9891253.845/1000</f>
        <v>9891.2540000000008</v>
      </c>
    </row>
    <row r="168" spans="1:24" s="55" customFormat="1" ht="0.8" hidden="1" customHeight="1">
      <c r="A168" s="610"/>
      <c r="B168" s="576"/>
      <c r="C168" s="577"/>
      <c r="D168" s="174" t="str">
        <f>серпень!D168</f>
        <v>дотація</v>
      </c>
      <c r="E168" s="95"/>
      <c r="F168" s="93">
        <f t="shared" si="217"/>
        <v>0</v>
      </c>
      <c r="G168" s="93">
        <f t="shared" si="217"/>
        <v>0</v>
      </c>
      <c r="H168" s="93">
        <f t="shared" si="217"/>
        <v>0</v>
      </c>
      <c r="I168" s="93">
        <f t="shared" si="217"/>
        <v>0</v>
      </c>
      <c r="J168" s="93">
        <f t="shared" si="217"/>
        <v>0</v>
      </c>
      <c r="K168" s="93">
        <f t="shared" si="217"/>
        <v>0</v>
      </c>
      <c r="L168" s="93">
        <f>SUM(F168:K168)</f>
        <v>0</v>
      </c>
      <c r="M168" s="93">
        <f>L168/6</f>
        <v>0</v>
      </c>
      <c r="N168" s="93">
        <f t="shared" si="218"/>
        <v>0</v>
      </c>
      <c r="O168" s="93">
        <f t="shared" si="218"/>
        <v>0</v>
      </c>
      <c r="P168" s="93">
        <f t="shared" si="218"/>
        <v>0</v>
      </c>
      <c r="Q168" s="93">
        <f t="shared" si="218"/>
        <v>0</v>
      </c>
      <c r="R168" s="93">
        <f t="shared" si="218"/>
        <v>0</v>
      </c>
      <c r="S168" s="93">
        <f t="shared" si="218"/>
        <v>0</v>
      </c>
      <c r="T168" s="93">
        <f>SUM(N168:S168)</f>
        <v>0</v>
      </c>
      <c r="U168" s="93">
        <f>T168+L168</f>
        <v>0</v>
      </c>
      <c r="V168" s="94">
        <f>V183+V198</f>
        <v>0</v>
      </c>
      <c r="W168" s="96">
        <f>V168-U168</f>
        <v>0</v>
      </c>
      <c r="X168" s="58"/>
    </row>
    <row r="169" spans="1:24" s="55" customFormat="1" ht="0.8" hidden="1" customHeight="1">
      <c r="A169" s="610"/>
      <c r="B169" s="576"/>
      <c r="C169" s="577"/>
      <c r="D169" s="174" t="str">
        <f>серпень!D169</f>
        <v>місцевий (план), тис.грн</v>
      </c>
      <c r="E169" s="95"/>
      <c r="F169" s="93">
        <f t="shared" si="217"/>
        <v>0</v>
      </c>
      <c r="G169" s="93">
        <f t="shared" si="217"/>
        <v>0</v>
      </c>
      <c r="H169" s="93">
        <f t="shared" si="217"/>
        <v>0</v>
      </c>
      <c r="I169" s="93">
        <f t="shared" si="217"/>
        <v>0</v>
      </c>
      <c r="J169" s="93">
        <f t="shared" si="217"/>
        <v>0</v>
      </c>
      <c r="K169" s="93">
        <f t="shared" si="217"/>
        <v>0</v>
      </c>
      <c r="L169" s="93">
        <f>SUM(F169:K169)</f>
        <v>0</v>
      </c>
      <c r="M169" s="93">
        <f>L169/6</f>
        <v>0</v>
      </c>
      <c r="N169" s="93">
        <f t="shared" si="218"/>
        <v>0</v>
      </c>
      <c r="O169" s="93">
        <f t="shared" si="218"/>
        <v>0</v>
      </c>
      <c r="P169" s="93">
        <f t="shared" si="218"/>
        <v>0</v>
      </c>
      <c r="Q169" s="93">
        <f t="shared" si="218"/>
        <v>0</v>
      </c>
      <c r="R169" s="93">
        <f t="shared" si="218"/>
        <v>0</v>
      </c>
      <c r="S169" s="93">
        <f t="shared" si="218"/>
        <v>0</v>
      </c>
      <c r="T169" s="93">
        <f>SUM(N169:S169)</f>
        <v>0</v>
      </c>
      <c r="U169" s="93">
        <f>T169+L169</f>
        <v>0</v>
      </c>
      <c r="V169" s="94">
        <f>V184+V199</f>
        <v>0</v>
      </c>
      <c r="W169" s="94">
        <f>V169-U169</f>
        <v>0</v>
      </c>
      <c r="X169" s="58"/>
    </row>
    <row r="170" spans="1:24" s="48" customFormat="1" ht="0.8" hidden="1" customHeight="1">
      <c r="A170" s="610"/>
      <c r="B170" s="576"/>
      <c r="C170" s="577"/>
      <c r="D170" s="178" t="str">
        <f>серпень!D170</f>
        <v>касові нат.п-ки 2025</v>
      </c>
      <c r="E170" s="85">
        <f>E185+E200</f>
        <v>0</v>
      </c>
      <c r="F170" s="85">
        <f t="shared" si="217"/>
        <v>0</v>
      </c>
      <c r="G170" s="85">
        <f t="shared" si="217"/>
        <v>0</v>
      </c>
      <c r="H170" s="85">
        <f t="shared" si="217"/>
        <v>0</v>
      </c>
      <c r="I170" s="85">
        <f t="shared" si="217"/>
        <v>0</v>
      </c>
      <c r="J170" s="85">
        <f t="shared" si="217"/>
        <v>0</v>
      </c>
      <c r="K170" s="85">
        <f t="shared" si="217"/>
        <v>0</v>
      </c>
      <c r="L170" s="89">
        <f>SUM(F170:K170)</f>
        <v>0</v>
      </c>
      <c r="M170" s="89">
        <f>L170/6</f>
        <v>0</v>
      </c>
      <c r="N170" s="85">
        <f t="shared" si="218"/>
        <v>0</v>
      </c>
      <c r="O170" s="85">
        <f t="shared" si="218"/>
        <v>0</v>
      </c>
      <c r="P170" s="85">
        <f t="shared" si="218"/>
        <v>0</v>
      </c>
      <c r="Q170" s="85">
        <f t="shared" si="218"/>
        <v>0</v>
      </c>
      <c r="R170" s="85">
        <f t="shared" si="218"/>
        <v>0</v>
      </c>
      <c r="S170" s="85">
        <f t="shared" si="218"/>
        <v>0</v>
      </c>
      <c r="T170" s="89">
        <f>SUM(N170:S170)</f>
        <v>0</v>
      </c>
      <c r="U170" s="89">
        <f>T170+L170</f>
        <v>0</v>
      </c>
      <c r="V170" s="88">
        <f>V185+V200</f>
        <v>0</v>
      </c>
      <c r="W170" s="88">
        <f>V170-U170</f>
        <v>0</v>
      </c>
      <c r="X170" s="47">
        <f>U165-U170</f>
        <v>0</v>
      </c>
    </row>
    <row r="171" spans="1:24" s="51" customFormat="1" ht="0.8" hidden="1" customHeight="1">
      <c r="A171" s="610"/>
      <c r="B171" s="576"/>
      <c r="C171" s="577"/>
      <c r="D171" s="187" t="str">
        <f>серпень!D171</f>
        <v>тариф, грн.</v>
      </c>
      <c r="E171" s="92" t="e">
        <f t="shared" ref="E171:S171" si="219">E172/E170*1000</f>
        <v>#DIV/0!</v>
      </c>
      <c r="F171" s="92" t="e">
        <f t="shared" si="219"/>
        <v>#DIV/0!</v>
      </c>
      <c r="G171" s="92" t="e">
        <f t="shared" si="219"/>
        <v>#DIV/0!</v>
      </c>
      <c r="H171" s="92" t="e">
        <f t="shared" si="219"/>
        <v>#DIV/0!</v>
      </c>
      <c r="I171" s="92" t="e">
        <f t="shared" si="219"/>
        <v>#DIV/0!</v>
      </c>
      <c r="J171" s="92" t="e">
        <f t="shared" si="219"/>
        <v>#DIV/0!</v>
      </c>
      <c r="K171" s="92" t="e">
        <f t="shared" si="219"/>
        <v>#DIV/0!</v>
      </c>
      <c r="L171" s="92" t="e">
        <f t="shared" si="219"/>
        <v>#DIV/0!</v>
      </c>
      <c r="M171" s="92" t="e">
        <f t="shared" si="219"/>
        <v>#DIV/0!</v>
      </c>
      <c r="N171" s="92" t="e">
        <f t="shared" si="219"/>
        <v>#DIV/0!</v>
      </c>
      <c r="O171" s="92" t="e">
        <f t="shared" si="219"/>
        <v>#DIV/0!</v>
      </c>
      <c r="P171" s="92" t="e">
        <f t="shared" si="219"/>
        <v>#DIV/0!</v>
      </c>
      <c r="Q171" s="92" t="e">
        <f t="shared" si="219"/>
        <v>#DIV/0!</v>
      </c>
      <c r="R171" s="92" t="e">
        <f t="shared" si="219"/>
        <v>#DIV/0!</v>
      </c>
      <c r="S171" s="92" t="e">
        <f t="shared" si="219"/>
        <v>#DIV/0!</v>
      </c>
      <c r="T171" s="92" t="e">
        <f>T172/T170*1000</f>
        <v>#DIV/0!</v>
      </c>
      <c r="U171" s="92" t="e">
        <f>U172/U170*1000</f>
        <v>#DIV/0!</v>
      </c>
      <c r="V171" s="92" t="e">
        <f>V172/V170*1000</f>
        <v>#DIV/0!</v>
      </c>
      <c r="W171" s="86" t="e">
        <f>W172/W170*1000</f>
        <v>#DIV/0!</v>
      </c>
      <c r="X171" s="59"/>
    </row>
    <row r="172" spans="1:24" s="63" customFormat="1" hidden="1">
      <c r="A172" s="610"/>
      <c r="B172" s="576"/>
      <c r="C172" s="577"/>
      <c r="D172" s="198" t="str">
        <f>серпень!D172</f>
        <v>касові видатки, тис.грн.</v>
      </c>
      <c r="E172" s="97">
        <f t="shared" ref="E172:K174" si="220">E187+E202</f>
        <v>0</v>
      </c>
      <c r="F172" s="98">
        <f t="shared" si="220"/>
        <v>0</v>
      </c>
      <c r="G172" s="98">
        <f t="shared" si="220"/>
        <v>0</v>
      </c>
      <c r="H172" s="98">
        <f t="shared" si="220"/>
        <v>0</v>
      </c>
      <c r="I172" s="98">
        <f t="shared" si="220"/>
        <v>0</v>
      </c>
      <c r="J172" s="98">
        <f t="shared" si="220"/>
        <v>0</v>
      </c>
      <c r="K172" s="98">
        <f t="shared" si="220"/>
        <v>0</v>
      </c>
      <c r="L172" s="98">
        <f>SUM(F172:K172)</f>
        <v>0</v>
      </c>
      <c r="M172" s="98">
        <f>L172/6</f>
        <v>0</v>
      </c>
      <c r="N172" s="98">
        <f t="shared" ref="N172:S174" si="221">N187+N202</f>
        <v>0</v>
      </c>
      <c r="O172" s="98">
        <f t="shared" si="221"/>
        <v>0</v>
      </c>
      <c r="P172" s="98">
        <f t="shared" si="221"/>
        <v>0</v>
      </c>
      <c r="Q172" s="98">
        <f t="shared" si="221"/>
        <v>0</v>
      </c>
      <c r="R172" s="98">
        <f t="shared" si="221"/>
        <v>0</v>
      </c>
      <c r="S172" s="98">
        <f t="shared" si="221"/>
        <v>0</v>
      </c>
      <c r="T172" s="98">
        <f>SUM(N172:S172)</f>
        <v>0</v>
      </c>
      <c r="U172" s="98">
        <f>T172+L172</f>
        <v>0</v>
      </c>
      <c r="V172" s="99">
        <f>V187+V202</f>
        <v>0</v>
      </c>
      <c r="W172" s="99">
        <f>V172-U172</f>
        <v>0</v>
      </c>
      <c r="X172" s="63">
        <f>U167-U172</f>
        <v>0</v>
      </c>
    </row>
    <row r="173" spans="1:24" s="63" customFormat="1" ht="0.8" hidden="1" customHeight="1">
      <c r="A173" s="610"/>
      <c r="B173" s="576"/>
      <c r="C173" s="577"/>
      <c r="D173" s="201" t="str">
        <f>серпень!D173</f>
        <v>дотація</v>
      </c>
      <c r="E173" s="97"/>
      <c r="F173" s="98">
        <f t="shared" si="220"/>
        <v>0</v>
      </c>
      <c r="G173" s="98">
        <f t="shared" si="220"/>
        <v>0</v>
      </c>
      <c r="H173" s="98">
        <f t="shared" si="220"/>
        <v>0</v>
      </c>
      <c r="I173" s="98">
        <f t="shared" si="220"/>
        <v>0</v>
      </c>
      <c r="J173" s="98">
        <f>J188+J203</f>
        <v>0</v>
      </c>
      <c r="K173" s="98">
        <f t="shared" si="220"/>
        <v>0</v>
      </c>
      <c r="L173" s="98">
        <f>SUM(F173:K173)</f>
        <v>0</v>
      </c>
      <c r="M173" s="98">
        <f>L173/6</f>
        <v>0</v>
      </c>
      <c r="N173" s="98">
        <f t="shared" si="221"/>
        <v>0</v>
      </c>
      <c r="O173" s="98">
        <f t="shared" si="221"/>
        <v>0</v>
      </c>
      <c r="P173" s="98">
        <f t="shared" si="221"/>
        <v>0</v>
      </c>
      <c r="Q173" s="98">
        <f t="shared" si="221"/>
        <v>0</v>
      </c>
      <c r="R173" s="98">
        <f t="shared" si="221"/>
        <v>0</v>
      </c>
      <c r="S173" s="98">
        <f t="shared" si="221"/>
        <v>0</v>
      </c>
      <c r="T173" s="98">
        <f>SUM(N173:S173)</f>
        <v>0</v>
      </c>
      <c r="U173" s="98">
        <f>T173+L173</f>
        <v>0</v>
      </c>
      <c r="V173" s="99">
        <f>V188+V203</f>
        <v>0</v>
      </c>
      <c r="W173" s="99">
        <f>V173-U173</f>
        <v>0</v>
      </c>
      <c r="X173" s="63">
        <f>U168-U173</f>
        <v>0</v>
      </c>
    </row>
    <row r="174" spans="1:24" s="63" customFormat="1" hidden="1">
      <c r="A174" s="610"/>
      <c r="B174" s="576"/>
      <c r="C174" s="577"/>
      <c r="D174" s="201" t="str">
        <f>серпень!D174</f>
        <v xml:space="preserve">місцевий </v>
      </c>
      <c r="E174" s="97"/>
      <c r="F174" s="98">
        <f t="shared" si="220"/>
        <v>0</v>
      </c>
      <c r="G174" s="98">
        <f t="shared" si="220"/>
        <v>0</v>
      </c>
      <c r="H174" s="98">
        <f t="shared" si="220"/>
        <v>0</v>
      </c>
      <c r="I174" s="98">
        <f t="shared" si="220"/>
        <v>0</v>
      </c>
      <c r="J174" s="98">
        <f>J189+J204</f>
        <v>0</v>
      </c>
      <c r="K174" s="98">
        <f t="shared" si="220"/>
        <v>0</v>
      </c>
      <c r="L174" s="98">
        <f>SUM(F174:K174)</f>
        <v>0</v>
      </c>
      <c r="M174" s="98">
        <f>L174/6</f>
        <v>0</v>
      </c>
      <c r="N174" s="98">
        <f t="shared" si="221"/>
        <v>0</v>
      </c>
      <c r="O174" s="98">
        <f t="shared" si="221"/>
        <v>0</v>
      </c>
      <c r="P174" s="98">
        <f t="shared" si="221"/>
        <v>0</v>
      </c>
      <c r="Q174" s="98">
        <f t="shared" si="221"/>
        <v>0</v>
      </c>
      <c r="R174" s="98">
        <f t="shared" si="221"/>
        <v>0</v>
      </c>
      <c r="S174" s="98">
        <f t="shared" si="221"/>
        <v>0</v>
      </c>
      <c r="T174" s="98">
        <f>SUM(N174:S174)</f>
        <v>0</v>
      </c>
      <c r="U174" s="98">
        <f>T174+L174</f>
        <v>0</v>
      </c>
      <c r="V174" s="99">
        <f>V189+V204</f>
        <v>0</v>
      </c>
      <c r="W174" s="99">
        <f>V174-U174</f>
        <v>0</v>
      </c>
      <c r="X174" s="63">
        <f>U169-U174</f>
        <v>0</v>
      </c>
    </row>
    <row r="175" spans="1:24" s="43" customFormat="1" ht="6.3" hidden="1" customHeight="1">
      <c r="A175" s="610"/>
      <c r="B175" s="576"/>
      <c r="C175" s="577"/>
      <c r="D175" s="202" t="str">
        <f>серпень!D175</f>
        <v>план</v>
      </c>
      <c r="E175" s="100"/>
      <c r="F175" s="100">
        <f t="shared" ref="F175:K175" si="222">F169</f>
        <v>0</v>
      </c>
      <c r="G175" s="100">
        <f t="shared" si="222"/>
        <v>0</v>
      </c>
      <c r="H175" s="100">
        <f t="shared" si="222"/>
        <v>0</v>
      </c>
      <c r="I175" s="100">
        <f t="shared" si="222"/>
        <v>0</v>
      </c>
      <c r="J175" s="100">
        <f t="shared" si="222"/>
        <v>0</v>
      </c>
      <c r="K175" s="100">
        <f t="shared" si="222"/>
        <v>0</v>
      </c>
      <c r="L175" s="100">
        <f>SUM(F175:K175)</f>
        <v>0</v>
      </c>
      <c r="M175" s="100">
        <f>L175/6</f>
        <v>0</v>
      </c>
      <c r="N175" s="100">
        <f t="shared" ref="N175:S175" si="223">N169+N168</f>
        <v>0</v>
      </c>
      <c r="O175" s="100">
        <f t="shared" si="223"/>
        <v>0</v>
      </c>
      <c r="P175" s="100">
        <f t="shared" si="223"/>
        <v>0</v>
      </c>
      <c r="Q175" s="100">
        <f t="shared" si="223"/>
        <v>0</v>
      </c>
      <c r="R175" s="100">
        <f t="shared" si="223"/>
        <v>0</v>
      </c>
      <c r="S175" s="100">
        <f t="shared" si="223"/>
        <v>0</v>
      </c>
      <c r="T175" s="100">
        <f>SUM(N175:S175)</f>
        <v>0</v>
      </c>
      <c r="U175" s="100">
        <f>T175+L175</f>
        <v>0</v>
      </c>
      <c r="V175" s="101">
        <f>V190+V205</f>
        <v>0</v>
      </c>
      <c r="W175" s="101">
        <f>V175-U175</f>
        <v>0</v>
      </c>
    </row>
    <row r="176" spans="1:24" s="43" customFormat="1" ht="0.8" hidden="1" customHeight="1">
      <c r="A176" s="610"/>
      <c r="B176" s="576"/>
      <c r="C176" s="577"/>
      <c r="D176" s="202" t="str">
        <f>серпень!D176</f>
        <v xml:space="preserve">відхилення </v>
      </c>
      <c r="E176" s="100"/>
      <c r="F176" s="100">
        <f t="shared" ref="F176:K176" si="224">F172-F175</f>
        <v>0</v>
      </c>
      <c r="G176" s="100">
        <f t="shared" si="224"/>
        <v>0</v>
      </c>
      <c r="H176" s="100">
        <f t="shared" si="224"/>
        <v>0</v>
      </c>
      <c r="I176" s="100">
        <f t="shared" si="224"/>
        <v>0</v>
      </c>
      <c r="J176" s="100">
        <f t="shared" si="224"/>
        <v>0</v>
      </c>
      <c r="K176" s="100">
        <f t="shared" si="224"/>
        <v>0</v>
      </c>
      <c r="L176" s="100"/>
      <c r="M176" s="100"/>
      <c r="N176" s="100">
        <f t="shared" ref="N176:S176" si="225">N172-N175</f>
        <v>0</v>
      </c>
      <c r="O176" s="100">
        <f t="shared" si="225"/>
        <v>0</v>
      </c>
      <c r="P176" s="100">
        <f t="shared" si="225"/>
        <v>0</v>
      </c>
      <c r="Q176" s="100">
        <f t="shared" si="225"/>
        <v>0</v>
      </c>
      <c r="R176" s="100">
        <f t="shared" si="225"/>
        <v>0</v>
      </c>
      <c r="S176" s="100">
        <f t="shared" si="225"/>
        <v>0</v>
      </c>
      <c r="T176" s="100"/>
      <c r="U176" s="100"/>
      <c r="V176" s="100"/>
      <c r="W176" s="100"/>
    </row>
    <row r="177" spans="1:24" s="43" customFormat="1" ht="0.8" hidden="1" customHeight="1">
      <c r="A177" s="610"/>
      <c r="B177" s="576"/>
      <c r="C177" s="577"/>
      <c r="D177" s="202" t="str">
        <f>серпень!D177</f>
        <v>відхилення з наростаючим</v>
      </c>
      <c r="E177" s="100"/>
      <c r="F177" s="100">
        <f>F176</f>
        <v>0</v>
      </c>
      <c r="G177" s="100">
        <f>G176+F177</f>
        <v>0</v>
      </c>
      <c r="H177" s="100">
        <f>H176+G177</f>
        <v>0</v>
      </c>
      <c r="I177" s="100">
        <f>I176+H177</f>
        <v>0</v>
      </c>
      <c r="J177" s="100">
        <f>J176+I177</f>
        <v>0</v>
      </c>
      <c r="K177" s="100">
        <f>K176+J177</f>
        <v>0</v>
      </c>
      <c r="L177" s="100"/>
      <c r="M177" s="100"/>
      <c r="N177" s="100">
        <f>N176+K177</f>
        <v>0</v>
      </c>
      <c r="O177" s="100">
        <f>O176+N177</f>
        <v>0</v>
      </c>
      <c r="P177" s="100">
        <f>P176+O177</f>
        <v>0</v>
      </c>
      <c r="Q177" s="100">
        <f>Q176+P177</f>
        <v>0</v>
      </c>
      <c r="R177" s="100">
        <f>R176+Q177</f>
        <v>0</v>
      </c>
      <c r="S177" s="100">
        <f>S176+R177</f>
        <v>0</v>
      </c>
      <c r="T177" s="100"/>
      <c r="U177" s="100"/>
      <c r="V177" s="100"/>
      <c r="W177" s="100"/>
    </row>
    <row r="178" spans="1:24" s="47" customFormat="1" ht="0.8" hidden="1" customHeight="1">
      <c r="A178" s="610"/>
      <c r="B178" s="581" t="s">
        <v>89</v>
      </c>
      <c r="C178" s="581"/>
      <c r="D178" s="178" t="str">
        <f>серпень!D178</f>
        <v>факт. нат.п-ки 2023</v>
      </c>
      <c r="E178" s="85"/>
      <c r="F178" s="12"/>
      <c r="G178" s="12"/>
      <c r="H178" s="12"/>
      <c r="I178" s="12"/>
      <c r="J178" s="12"/>
      <c r="K178" s="12"/>
      <c r="L178" s="140">
        <f>SUM(F178:K178)</f>
        <v>0</v>
      </c>
      <c r="M178" s="140">
        <f>L178/6</f>
        <v>0</v>
      </c>
      <c r="N178" s="12"/>
      <c r="O178" s="12"/>
      <c r="P178" s="12"/>
      <c r="Q178" s="12"/>
      <c r="R178" s="12"/>
      <c r="S178" s="12"/>
      <c r="T178" s="140">
        <f>SUM(N178:S178)</f>
        <v>0</v>
      </c>
      <c r="U178" s="103">
        <f>T178+L178</f>
        <v>0</v>
      </c>
      <c r="V178" s="104"/>
      <c r="W178" s="88">
        <f>V178-U178</f>
        <v>0</v>
      </c>
    </row>
    <row r="179" spans="1:24" s="47" customFormat="1" ht="0.8" hidden="1" customHeight="1">
      <c r="A179" s="610"/>
      <c r="B179" s="581"/>
      <c r="C179" s="581"/>
      <c r="D179" s="178" t="str">
        <f>серпень!D179</f>
        <v>факт. нат.п-ки 2024</v>
      </c>
      <c r="E179" s="85"/>
      <c r="F179" s="12"/>
      <c r="G179" s="12"/>
      <c r="H179" s="12"/>
      <c r="I179" s="12"/>
      <c r="J179" s="12"/>
      <c r="K179" s="12"/>
      <c r="L179" s="140">
        <f>SUM(F179:K179)</f>
        <v>0</v>
      </c>
      <c r="M179" s="140">
        <f>L179/6</f>
        <v>0</v>
      </c>
      <c r="N179" s="85"/>
      <c r="O179" s="85"/>
      <c r="P179" s="85"/>
      <c r="Q179" s="85"/>
      <c r="R179" s="85"/>
      <c r="S179" s="85"/>
      <c r="T179" s="140">
        <f>SUM(N179:S179)</f>
        <v>0</v>
      </c>
      <c r="U179" s="103">
        <f>T179+L179</f>
        <v>0</v>
      </c>
      <c r="V179" s="104"/>
      <c r="W179" s="88">
        <f>V179-U179</f>
        <v>0</v>
      </c>
    </row>
    <row r="180" spans="1:24" s="47" customFormat="1" ht="0.8" hidden="1" customHeight="1">
      <c r="A180" s="610"/>
      <c r="B180" s="581"/>
      <c r="C180" s="581"/>
      <c r="D180" s="178" t="str">
        <f>серпень!D180</f>
        <v>факт. нат.п-ки 2025</v>
      </c>
      <c r="E180" s="85"/>
      <c r="F180" s="12"/>
      <c r="G180" s="12"/>
      <c r="H180" s="12"/>
      <c r="I180" s="12"/>
      <c r="J180" s="12"/>
      <c r="K180" s="12"/>
      <c r="L180" s="140">
        <f>SUM(F180:K180)</f>
        <v>0</v>
      </c>
      <c r="M180" s="140">
        <f>L180/6</f>
        <v>0</v>
      </c>
      <c r="N180" s="12"/>
      <c r="O180" s="12"/>
      <c r="P180" s="12"/>
      <c r="Q180" s="12"/>
      <c r="R180" s="12"/>
      <c r="S180" s="85"/>
      <c r="T180" s="140">
        <f>SUM(N180:S180)</f>
        <v>0</v>
      </c>
      <c r="U180" s="103">
        <f>T180+L180</f>
        <v>0</v>
      </c>
      <c r="V180" s="85"/>
      <c r="W180" s="88">
        <f>V180-U180</f>
        <v>0</v>
      </c>
    </row>
    <row r="181" spans="1:24" s="47" customFormat="1" ht="0.8" hidden="1" customHeight="1">
      <c r="A181" s="610"/>
      <c r="B181" s="581"/>
      <c r="C181" s="581"/>
      <c r="D181" s="187" t="str">
        <f>серпень!D181</f>
        <v>тариф, грн.</v>
      </c>
      <c r="E181" s="92"/>
      <c r="F181" s="92">
        <v>2665.4160000000002</v>
      </c>
      <c r="G181" s="92">
        <v>2665.4160000000002</v>
      </c>
      <c r="H181" s="92">
        <v>2665.4160000000002</v>
      </c>
      <c r="I181" s="92">
        <v>2665.4160000000002</v>
      </c>
      <c r="J181" s="92">
        <v>2665.4160000000002</v>
      </c>
      <c r="K181" s="92">
        <v>2665.4160000000002</v>
      </c>
      <c r="L181" s="92" t="e">
        <f>L182/L180*1000</f>
        <v>#DIV/0!</v>
      </c>
      <c r="M181" s="92" t="e">
        <f>M182/M180*1000</f>
        <v>#DIV/0!</v>
      </c>
      <c r="N181" s="92">
        <v>2665.4160000000002</v>
      </c>
      <c r="O181" s="92">
        <v>2665.4160000000002</v>
      </c>
      <c r="P181" s="92">
        <v>2665.4160000000002</v>
      </c>
      <c r="Q181" s="92">
        <v>2665.4160000000002</v>
      </c>
      <c r="R181" s="92">
        <v>2665.4160000000002</v>
      </c>
      <c r="S181" s="92">
        <v>2665.4160000000002</v>
      </c>
      <c r="T181" s="92" t="e">
        <f>T182/T180*1000</f>
        <v>#DIV/0!</v>
      </c>
      <c r="U181" s="92" t="e">
        <f>U182/U180*1000</f>
        <v>#DIV/0!</v>
      </c>
      <c r="V181" s="105" t="e">
        <f>V182/V180*1000</f>
        <v>#DIV/0!</v>
      </c>
      <c r="W181" s="86" t="e">
        <f>W182/W180*1000</f>
        <v>#DIV/0!</v>
      </c>
    </row>
    <row r="182" spans="1:24" s="47" customFormat="1" ht="0.8" hidden="1" customHeight="1">
      <c r="A182" s="610"/>
      <c r="B182" s="581"/>
      <c r="C182" s="581"/>
      <c r="D182" s="191" t="str">
        <f>серпень!D182</f>
        <v>сума, тис.грн.</v>
      </c>
      <c r="E182" s="93"/>
      <c r="F182" s="93">
        <f t="shared" ref="F182:K182" si="226">F180*F181/1000</f>
        <v>0</v>
      </c>
      <c r="G182" s="93">
        <f t="shared" si="226"/>
        <v>0</v>
      </c>
      <c r="H182" s="93">
        <f t="shared" si="226"/>
        <v>0</v>
      </c>
      <c r="I182" s="93">
        <f t="shared" si="226"/>
        <v>0</v>
      </c>
      <c r="J182" s="93">
        <f t="shared" si="226"/>
        <v>0</v>
      </c>
      <c r="K182" s="93">
        <f t="shared" si="226"/>
        <v>0</v>
      </c>
      <c r="L182" s="106">
        <f>SUM(F182:K182)</f>
        <v>0</v>
      </c>
      <c r="M182" s="106">
        <f>L182/6</f>
        <v>0</v>
      </c>
      <c r="N182" s="93">
        <f t="shared" ref="N182:S182" si="227">N180*N181/1000</f>
        <v>0</v>
      </c>
      <c r="O182" s="93">
        <f t="shared" si="227"/>
        <v>0</v>
      </c>
      <c r="P182" s="93">
        <f t="shared" si="227"/>
        <v>0</v>
      </c>
      <c r="Q182" s="93">
        <f t="shared" si="227"/>
        <v>0</v>
      </c>
      <c r="R182" s="93">
        <f t="shared" si="227"/>
        <v>0</v>
      </c>
      <c r="S182" s="93">
        <f t="shared" si="227"/>
        <v>0</v>
      </c>
      <c r="T182" s="106">
        <f>SUM(N182:S182)</f>
        <v>0</v>
      </c>
      <c r="U182" s="106">
        <f>T182+L182</f>
        <v>0</v>
      </c>
      <c r="V182" s="107">
        <f>V183+V184</f>
        <v>0</v>
      </c>
      <c r="W182" s="94">
        <f>V182-U182</f>
        <v>0</v>
      </c>
    </row>
    <row r="183" spans="1:24" s="47" customFormat="1" ht="0.8" hidden="1" customHeight="1">
      <c r="A183" s="610"/>
      <c r="B183" s="581"/>
      <c r="C183" s="581"/>
      <c r="D183" s="174" t="str">
        <f>серпень!D183</f>
        <v>дотація</v>
      </c>
      <c r="E183" s="95"/>
      <c r="F183" s="93"/>
      <c r="G183" s="93"/>
      <c r="H183" s="93"/>
      <c r="I183" s="93"/>
      <c r="J183" s="93"/>
      <c r="K183" s="93"/>
      <c r="L183" s="106">
        <f>SUM(F183:K183)</f>
        <v>0</v>
      </c>
      <c r="M183" s="106">
        <f>L183/6</f>
        <v>0</v>
      </c>
      <c r="N183" s="93"/>
      <c r="O183" s="93"/>
      <c r="P183" s="93"/>
      <c r="Q183" s="93"/>
      <c r="R183" s="93"/>
      <c r="S183" s="93"/>
      <c r="T183" s="106">
        <f>SUM(N183:S183)</f>
        <v>0</v>
      </c>
      <c r="U183" s="106">
        <f>T183+L183</f>
        <v>0</v>
      </c>
      <c r="V183" s="107"/>
      <c r="W183" s="94">
        <f>V183-U183</f>
        <v>0</v>
      </c>
    </row>
    <row r="184" spans="1:24" s="47" customFormat="1" ht="0.8" hidden="1" customHeight="1">
      <c r="A184" s="610"/>
      <c r="B184" s="581"/>
      <c r="C184" s="581"/>
      <c r="D184" s="174" t="str">
        <f>серпень!D184</f>
        <v>місцевий (план), тис.грн</v>
      </c>
      <c r="E184" s="95"/>
      <c r="F184" s="93"/>
      <c r="G184" s="93"/>
      <c r="H184" s="93"/>
      <c r="I184" s="93"/>
      <c r="J184" s="93"/>
      <c r="K184" s="93"/>
      <c r="L184" s="106">
        <f>SUM(F184:K184)</f>
        <v>0</v>
      </c>
      <c r="M184" s="106">
        <f>L184/6</f>
        <v>0</v>
      </c>
      <c r="N184" s="93"/>
      <c r="O184" s="93"/>
      <c r="P184" s="93"/>
      <c r="Q184" s="93"/>
      <c r="R184" s="93"/>
      <c r="S184" s="93"/>
      <c r="T184" s="106">
        <f>SUM(N184:S184)</f>
        <v>0</v>
      </c>
      <c r="U184" s="106">
        <f>T184+L184</f>
        <v>0</v>
      </c>
      <c r="V184" s="107"/>
      <c r="W184" s="94">
        <f>V184-U184</f>
        <v>0</v>
      </c>
    </row>
    <row r="185" spans="1:24" s="47" customFormat="1" ht="0.8" hidden="1" customHeight="1">
      <c r="A185" s="610"/>
      <c r="B185" s="581"/>
      <c r="C185" s="581"/>
      <c r="D185" s="178" t="str">
        <f>серпень!D185</f>
        <v>касові нат.п-ки 2025</v>
      </c>
      <c r="E185" s="85"/>
      <c r="F185" s="85"/>
      <c r="G185" s="85"/>
      <c r="H185" s="85"/>
      <c r="I185" s="85"/>
      <c r="J185" s="85"/>
      <c r="K185" s="85"/>
      <c r="L185" s="140">
        <f>SUM(F185:K185)</f>
        <v>0</v>
      </c>
      <c r="M185" s="140">
        <f>L185/6</f>
        <v>0</v>
      </c>
      <c r="N185" s="85"/>
      <c r="O185" s="85"/>
      <c r="P185" s="85"/>
      <c r="Q185" s="85"/>
      <c r="R185" s="85"/>
      <c r="S185" s="85">
        <f>S180+R180</f>
        <v>0</v>
      </c>
      <c r="T185" s="140">
        <f>SUM(N185:S185)</f>
        <v>0</v>
      </c>
      <c r="U185" s="140">
        <f>T185+L185</f>
        <v>0</v>
      </c>
      <c r="V185" s="85">
        <f>V180</f>
        <v>0</v>
      </c>
      <c r="W185" s="88">
        <f>V185-U185</f>
        <v>0</v>
      </c>
      <c r="X185" s="47">
        <f>U180-U185</f>
        <v>0</v>
      </c>
    </row>
    <row r="186" spans="1:24" s="47" customFormat="1" ht="0.8" hidden="1" customHeight="1">
      <c r="A186" s="610"/>
      <c r="B186" s="581"/>
      <c r="C186" s="581"/>
      <c r="D186" s="187" t="str">
        <f>серпень!D186</f>
        <v>тариф, грн.</v>
      </c>
      <c r="E186" s="92" t="e">
        <f>E187/E185*1000</f>
        <v>#DIV/0!</v>
      </c>
      <c r="F186" s="92">
        <v>2665.4160000000002</v>
      </c>
      <c r="G186" s="92">
        <v>2665.4160000000002</v>
      </c>
      <c r="H186" s="92">
        <v>2665.4160000000002</v>
      </c>
      <c r="I186" s="92">
        <v>2665.4160000000002</v>
      </c>
      <c r="J186" s="92">
        <v>2665.4160000000002</v>
      </c>
      <c r="K186" s="92">
        <v>2665.4160000000002</v>
      </c>
      <c r="L186" s="92" t="e">
        <f>L187/L185*1000</f>
        <v>#DIV/0!</v>
      </c>
      <c r="M186" s="92" t="e">
        <f>M187/M185*1000</f>
        <v>#DIV/0!</v>
      </c>
      <c r="N186" s="92">
        <v>2665.4160000000002</v>
      </c>
      <c r="O186" s="92">
        <v>2665.4160000000002</v>
      </c>
      <c r="P186" s="92">
        <v>2665.4160000000002</v>
      </c>
      <c r="Q186" s="92">
        <v>2665.4160000000002</v>
      </c>
      <c r="R186" s="92">
        <v>2665.4160000000002</v>
      </c>
      <c r="S186" s="92">
        <v>2665.4160000000002</v>
      </c>
      <c r="T186" s="92" t="e">
        <f>T187/T185*1000</f>
        <v>#DIV/0!</v>
      </c>
      <c r="U186" s="92" t="e">
        <f>U187/U185*1000</f>
        <v>#DIV/0!</v>
      </c>
      <c r="V186" s="105" t="e">
        <f>V187/V185*1000</f>
        <v>#DIV/0!</v>
      </c>
      <c r="W186" s="86" t="e">
        <f>W187/W185*1000</f>
        <v>#DIV/0!</v>
      </c>
    </row>
    <row r="187" spans="1:24" s="63" customFormat="1" ht="0.8" hidden="1" customHeight="1">
      <c r="A187" s="610"/>
      <c r="B187" s="581"/>
      <c r="C187" s="581"/>
      <c r="D187" s="198" t="str">
        <f>серпень!D187</f>
        <v>касові видатки, тис.грн.</v>
      </c>
      <c r="E187" s="108"/>
      <c r="F187" s="98">
        <f t="shared" ref="F187:K187" si="228">F185*F186/1000</f>
        <v>0</v>
      </c>
      <c r="G187" s="98">
        <f t="shared" si="228"/>
        <v>0</v>
      </c>
      <c r="H187" s="98">
        <f t="shared" si="228"/>
        <v>0</v>
      </c>
      <c r="I187" s="98">
        <f t="shared" si="228"/>
        <v>0</v>
      </c>
      <c r="J187" s="98">
        <f t="shared" si="228"/>
        <v>0</v>
      </c>
      <c r="K187" s="98">
        <f t="shared" si="228"/>
        <v>0</v>
      </c>
      <c r="L187" s="98">
        <f>SUM(F187:K187)</f>
        <v>0</v>
      </c>
      <c r="M187" s="98">
        <f>L187/6</f>
        <v>0</v>
      </c>
      <c r="N187" s="98">
        <f t="shared" ref="N187:S187" si="229">N185*N186/1000</f>
        <v>0</v>
      </c>
      <c r="O187" s="98">
        <f t="shared" si="229"/>
        <v>0</v>
      </c>
      <c r="P187" s="98">
        <f t="shared" si="229"/>
        <v>0</v>
      </c>
      <c r="Q187" s="98">
        <f t="shared" si="229"/>
        <v>0</v>
      </c>
      <c r="R187" s="98">
        <f t="shared" si="229"/>
        <v>0</v>
      </c>
      <c r="S187" s="98">
        <f t="shared" si="229"/>
        <v>0</v>
      </c>
      <c r="T187" s="98">
        <f>SUM(N187:S187)</f>
        <v>0</v>
      </c>
      <c r="U187" s="98">
        <f>T187+L187</f>
        <v>0</v>
      </c>
      <c r="V187" s="98">
        <f>V182</f>
        <v>0</v>
      </c>
      <c r="W187" s="109">
        <f>V187-U187</f>
        <v>0</v>
      </c>
      <c r="X187" s="63">
        <f>U182-U187</f>
        <v>0</v>
      </c>
    </row>
    <row r="188" spans="1:24" s="63" customFormat="1" ht="0.8" hidden="1" customHeight="1">
      <c r="A188" s="610"/>
      <c r="B188" s="581"/>
      <c r="C188" s="581"/>
      <c r="D188" s="201" t="str">
        <f>серпень!D188</f>
        <v>дотація</v>
      </c>
      <c r="E188" s="108"/>
      <c r="F188" s="98"/>
      <c r="G188" s="98"/>
      <c r="H188" s="98"/>
      <c r="I188" s="98"/>
      <c r="J188" s="98"/>
      <c r="K188" s="98"/>
      <c r="L188" s="98">
        <f>SUM(F188:K188)</f>
        <v>0</v>
      </c>
      <c r="M188" s="98">
        <f>L188/6</f>
        <v>0</v>
      </c>
      <c r="N188" s="98"/>
      <c r="O188" s="98"/>
      <c r="P188" s="98"/>
      <c r="Q188" s="98"/>
      <c r="R188" s="98"/>
      <c r="S188" s="98"/>
      <c r="T188" s="98">
        <f>SUM(N188:S188)</f>
        <v>0</v>
      </c>
      <c r="U188" s="98">
        <f>T188+L188</f>
        <v>0</v>
      </c>
      <c r="V188" s="98">
        <f>V183</f>
        <v>0</v>
      </c>
      <c r="W188" s="109">
        <f>V188-U188</f>
        <v>0</v>
      </c>
      <c r="X188" s="63">
        <f>U183-U188</f>
        <v>0</v>
      </c>
    </row>
    <row r="189" spans="1:24" s="63" customFormat="1" ht="0.8" hidden="1" customHeight="1">
      <c r="A189" s="610"/>
      <c r="B189" s="581"/>
      <c r="C189" s="581"/>
      <c r="D189" s="201" t="str">
        <f>серпень!D189</f>
        <v xml:space="preserve">місцевий </v>
      </c>
      <c r="E189" s="108"/>
      <c r="F189" s="98">
        <f t="shared" ref="F189:K189" si="230">F187-F188</f>
        <v>0</v>
      </c>
      <c r="G189" s="98">
        <f t="shared" si="230"/>
        <v>0</v>
      </c>
      <c r="H189" s="98">
        <f t="shared" si="230"/>
        <v>0</v>
      </c>
      <c r="I189" s="98">
        <f t="shared" si="230"/>
        <v>0</v>
      </c>
      <c r="J189" s="98">
        <f t="shared" si="230"/>
        <v>0</v>
      </c>
      <c r="K189" s="98">
        <f t="shared" si="230"/>
        <v>0</v>
      </c>
      <c r="L189" s="98">
        <f>SUM(F189:K189)</f>
        <v>0</v>
      </c>
      <c r="M189" s="98">
        <f>L189/6</f>
        <v>0</v>
      </c>
      <c r="N189" s="98">
        <f t="shared" ref="N189:S189" si="231">N187-N188</f>
        <v>0</v>
      </c>
      <c r="O189" s="98">
        <f t="shared" si="231"/>
        <v>0</v>
      </c>
      <c r="P189" s="98">
        <f t="shared" si="231"/>
        <v>0</v>
      </c>
      <c r="Q189" s="98">
        <f t="shared" si="231"/>
        <v>0</v>
      </c>
      <c r="R189" s="98">
        <f t="shared" si="231"/>
        <v>0</v>
      </c>
      <c r="S189" s="98">
        <f t="shared" si="231"/>
        <v>0</v>
      </c>
      <c r="T189" s="98">
        <f>SUM(N189:S189)</f>
        <v>0</v>
      </c>
      <c r="U189" s="98">
        <f>T189+L189</f>
        <v>0</v>
      </c>
      <c r="V189" s="98">
        <f>V184</f>
        <v>0</v>
      </c>
      <c r="W189" s="109">
        <f>V189-U189</f>
        <v>0</v>
      </c>
      <c r="X189" s="63">
        <f>U184-U189</f>
        <v>0</v>
      </c>
    </row>
    <row r="190" spans="1:24" s="43" customFormat="1" hidden="1">
      <c r="A190" s="610"/>
      <c r="B190" s="581"/>
      <c r="C190" s="581"/>
      <c r="D190" s="202" t="str">
        <f>серпень!D190</f>
        <v>план</v>
      </c>
      <c r="E190" s="100"/>
      <c r="F190" s="100">
        <f t="shared" ref="F190:K190" si="232">F184</f>
        <v>0</v>
      </c>
      <c r="G190" s="100">
        <f t="shared" si="232"/>
        <v>0</v>
      </c>
      <c r="H190" s="100">
        <f t="shared" si="232"/>
        <v>0</v>
      </c>
      <c r="I190" s="100">
        <f t="shared" si="232"/>
        <v>0</v>
      </c>
      <c r="J190" s="100">
        <f t="shared" si="232"/>
        <v>0</v>
      </c>
      <c r="K190" s="100">
        <f t="shared" si="232"/>
        <v>0</v>
      </c>
      <c r="L190" s="100">
        <f>SUM(F190:K190)</f>
        <v>0</v>
      </c>
      <c r="M190" s="100">
        <f>L190/6</f>
        <v>0</v>
      </c>
      <c r="N190" s="100">
        <f t="shared" ref="N190:S190" si="233">N184+N183</f>
        <v>0</v>
      </c>
      <c r="O190" s="100">
        <f t="shared" si="233"/>
        <v>0</v>
      </c>
      <c r="P190" s="100">
        <f t="shared" si="233"/>
        <v>0</v>
      </c>
      <c r="Q190" s="100">
        <f t="shared" si="233"/>
        <v>0</v>
      </c>
      <c r="R190" s="100">
        <f t="shared" si="233"/>
        <v>0</v>
      </c>
      <c r="S190" s="100">
        <f t="shared" si="233"/>
        <v>0</v>
      </c>
      <c r="T190" s="100">
        <f>SUM(N190:S190)</f>
        <v>0</v>
      </c>
      <c r="U190" s="100">
        <f>T190+L190</f>
        <v>0</v>
      </c>
      <c r="V190" s="100">
        <f>V187</f>
        <v>0</v>
      </c>
      <c r="W190" s="100">
        <f>V190-U190</f>
        <v>0</v>
      </c>
    </row>
    <row r="191" spans="1:24" s="43" customFormat="1" ht="0.8" hidden="1" customHeight="1">
      <c r="A191" s="610"/>
      <c r="B191" s="581"/>
      <c r="C191" s="581"/>
      <c r="D191" s="202" t="str">
        <f>серпень!D191</f>
        <v xml:space="preserve">відхилення </v>
      </c>
      <c r="E191" s="100"/>
      <c r="F191" s="100">
        <f t="shared" ref="F191:K191" si="234">F187-F190</f>
        <v>0</v>
      </c>
      <c r="G191" s="100">
        <f t="shared" si="234"/>
        <v>0</v>
      </c>
      <c r="H191" s="100">
        <f t="shared" si="234"/>
        <v>0</v>
      </c>
      <c r="I191" s="100">
        <f t="shared" si="234"/>
        <v>0</v>
      </c>
      <c r="J191" s="100">
        <f t="shared" si="234"/>
        <v>0</v>
      </c>
      <c r="K191" s="100">
        <f t="shared" si="234"/>
        <v>0</v>
      </c>
      <c r="L191" s="100"/>
      <c r="M191" s="100"/>
      <c r="N191" s="100">
        <f t="shared" ref="N191:S191" si="235">N187-N190</f>
        <v>0</v>
      </c>
      <c r="O191" s="100">
        <f t="shared" si="235"/>
        <v>0</v>
      </c>
      <c r="P191" s="100">
        <f t="shared" si="235"/>
        <v>0</v>
      </c>
      <c r="Q191" s="100">
        <f t="shared" si="235"/>
        <v>0</v>
      </c>
      <c r="R191" s="100">
        <f t="shared" si="235"/>
        <v>0</v>
      </c>
      <c r="S191" s="100">
        <f t="shared" si="235"/>
        <v>0</v>
      </c>
      <c r="T191" s="100"/>
      <c r="U191" s="100"/>
      <c r="V191" s="100"/>
      <c r="W191" s="100"/>
    </row>
    <row r="192" spans="1:24" s="43" customFormat="1" ht="0.8" hidden="1" customHeight="1">
      <c r="A192" s="610"/>
      <c r="B192" s="581"/>
      <c r="C192" s="581"/>
      <c r="D192" s="202" t="str">
        <f>серпень!D192</f>
        <v>відхилення з наростаючим</v>
      </c>
      <c r="E192" s="100"/>
      <c r="F192" s="100">
        <f>F191</f>
        <v>0</v>
      </c>
      <c r="G192" s="100">
        <f>G191+F192</f>
        <v>0</v>
      </c>
      <c r="H192" s="100">
        <f>H191+G192</f>
        <v>0</v>
      </c>
      <c r="I192" s="100">
        <f>I191+H192</f>
        <v>0</v>
      </c>
      <c r="J192" s="100">
        <f>J191+I192</f>
        <v>0</v>
      </c>
      <c r="K192" s="100">
        <f>K191+J192</f>
        <v>0</v>
      </c>
      <c r="L192" s="100"/>
      <c r="M192" s="100"/>
      <c r="N192" s="100">
        <f>N191+K192</f>
        <v>0</v>
      </c>
      <c r="O192" s="100">
        <f>O191+N192</f>
        <v>0</v>
      </c>
      <c r="P192" s="100">
        <f>P191+O192</f>
        <v>0</v>
      </c>
      <c r="Q192" s="100">
        <f>Q191+P192</f>
        <v>0</v>
      </c>
      <c r="R192" s="100">
        <f>R191+Q192</f>
        <v>0</v>
      </c>
      <c r="S192" s="100">
        <f>S191+R192</f>
        <v>0</v>
      </c>
      <c r="T192" s="100"/>
      <c r="U192" s="100"/>
      <c r="V192" s="100"/>
      <c r="W192" s="100"/>
    </row>
    <row r="193" spans="1:24" s="48" customFormat="1" ht="0.8" hidden="1" customHeight="1">
      <c r="A193" s="610"/>
      <c r="B193" s="576" t="s">
        <v>69</v>
      </c>
      <c r="C193" s="577"/>
      <c r="D193" s="178" t="str">
        <f>серпень!D193</f>
        <v>факт. нат.п-ки 2023</v>
      </c>
      <c r="E193" s="85"/>
      <c r="F193" s="12"/>
      <c r="G193" s="12"/>
      <c r="H193" s="12"/>
      <c r="I193" s="12"/>
      <c r="J193" s="12"/>
      <c r="K193" s="12"/>
      <c r="L193" s="140">
        <f>SUM(F193:K193)</f>
        <v>0</v>
      </c>
      <c r="M193" s="140">
        <f>L193/6</f>
        <v>0</v>
      </c>
      <c r="N193" s="12"/>
      <c r="O193" s="12"/>
      <c r="P193" s="12"/>
      <c r="Q193" s="12"/>
      <c r="R193" s="12"/>
      <c r="S193" s="12"/>
      <c r="T193" s="140">
        <f>SUM(N193:S193)</f>
        <v>0</v>
      </c>
      <c r="U193" s="103">
        <f>T193+L193</f>
        <v>0</v>
      </c>
      <c r="V193" s="104"/>
      <c r="W193" s="88">
        <f>V193-U193</f>
        <v>0</v>
      </c>
      <c r="X193" s="47"/>
    </row>
    <row r="194" spans="1:24" s="48" customFormat="1" ht="0.8" hidden="1" customHeight="1">
      <c r="A194" s="610"/>
      <c r="B194" s="576"/>
      <c r="C194" s="577"/>
      <c r="D194" s="178" t="str">
        <f>серпень!D194</f>
        <v>факт. нат.п-ки 2024</v>
      </c>
      <c r="E194" s="85"/>
      <c r="F194" s="12"/>
      <c r="G194" s="12"/>
      <c r="H194" s="12"/>
      <c r="I194" s="12"/>
      <c r="J194" s="12"/>
      <c r="K194" s="12"/>
      <c r="L194" s="140">
        <f>SUM(F194:K194)</f>
        <v>0</v>
      </c>
      <c r="M194" s="140">
        <f>L194/6</f>
        <v>0</v>
      </c>
      <c r="N194" s="85"/>
      <c r="O194" s="85"/>
      <c r="P194" s="85"/>
      <c r="Q194" s="85"/>
      <c r="R194" s="85"/>
      <c r="S194" s="85"/>
      <c r="T194" s="140">
        <f>SUM(N194:S194)</f>
        <v>0</v>
      </c>
      <c r="U194" s="103">
        <f>T194+L194</f>
        <v>0</v>
      </c>
      <c r="V194" s="104"/>
      <c r="W194" s="88">
        <f>V194-U194</f>
        <v>0</v>
      </c>
      <c r="X194" s="47"/>
    </row>
    <row r="195" spans="1:24" s="48" customFormat="1" ht="0.8" hidden="1" customHeight="1">
      <c r="A195" s="610"/>
      <c r="B195" s="576"/>
      <c r="C195" s="577"/>
      <c r="D195" s="178" t="str">
        <f>серпень!D195</f>
        <v>факт. нат.п-ки 2025</v>
      </c>
      <c r="E195" s="85"/>
      <c r="F195" s="12"/>
      <c r="G195" s="12"/>
      <c r="H195" s="12"/>
      <c r="I195" s="12"/>
      <c r="J195" s="12"/>
      <c r="K195" s="12"/>
      <c r="L195" s="140">
        <f>SUM(F195:K195)</f>
        <v>0</v>
      </c>
      <c r="M195" s="140">
        <f>L195/6</f>
        <v>0</v>
      </c>
      <c r="N195" s="12"/>
      <c r="O195" s="12"/>
      <c r="P195" s="12"/>
      <c r="Q195" s="12"/>
      <c r="R195" s="12"/>
      <c r="S195" s="85"/>
      <c r="T195" s="140">
        <f>SUM(N195:S195)</f>
        <v>0</v>
      </c>
      <c r="U195" s="103">
        <f>T195+L195</f>
        <v>0</v>
      </c>
      <c r="V195" s="85"/>
      <c r="W195" s="88">
        <f>V195-U195</f>
        <v>0</v>
      </c>
      <c r="X195" s="47"/>
    </row>
    <row r="196" spans="1:24" s="51" customFormat="1" ht="0.8" hidden="1" customHeight="1">
      <c r="A196" s="610"/>
      <c r="B196" s="576"/>
      <c r="C196" s="577"/>
      <c r="D196" s="187" t="str">
        <f>серпень!D196</f>
        <v>тариф, грн.</v>
      </c>
      <c r="E196" s="92"/>
      <c r="F196" s="92">
        <v>1441.6559999999999</v>
      </c>
      <c r="G196" s="92">
        <v>1441.6559999999999</v>
      </c>
      <c r="H196" s="92">
        <v>1441.6559999999999</v>
      </c>
      <c r="I196" s="92">
        <v>1441.6559999999999</v>
      </c>
      <c r="J196" s="92">
        <v>1441.6559999999999</v>
      </c>
      <c r="K196" s="92">
        <v>1441.6559999999999</v>
      </c>
      <c r="L196" s="92" t="e">
        <f>L197/L195*1000</f>
        <v>#DIV/0!</v>
      </c>
      <c r="M196" s="92" t="e">
        <f>M197/M195*1000</f>
        <v>#DIV/0!</v>
      </c>
      <c r="N196" s="92">
        <v>1441.6559999999999</v>
      </c>
      <c r="O196" s="92">
        <v>1441.6559999999999</v>
      </c>
      <c r="P196" s="92">
        <v>1441.6559999999999</v>
      </c>
      <c r="Q196" s="92">
        <v>1441.6559999999999</v>
      </c>
      <c r="R196" s="92">
        <v>1441.6559999999999</v>
      </c>
      <c r="S196" s="92">
        <v>1441.6559999999999</v>
      </c>
      <c r="T196" s="92" t="e">
        <f>T197/T195*1000</f>
        <v>#DIV/0!</v>
      </c>
      <c r="U196" s="92" t="e">
        <f>U197/U195*1000</f>
        <v>#DIV/0!</v>
      </c>
      <c r="V196" s="105" t="e">
        <f>V197/V195*1000</f>
        <v>#DIV/0!</v>
      </c>
      <c r="W196" s="86" t="e">
        <f>W197/W195*1000</f>
        <v>#DIV/0!</v>
      </c>
      <c r="X196" s="59"/>
    </row>
    <row r="197" spans="1:24" s="55" customFormat="1" ht="0.8" hidden="1" customHeight="1">
      <c r="A197" s="610"/>
      <c r="B197" s="576"/>
      <c r="C197" s="577"/>
      <c r="D197" s="191" t="str">
        <f>серпень!D197</f>
        <v>сума, тис.грн.</v>
      </c>
      <c r="E197" s="93"/>
      <c r="F197" s="93">
        <f t="shared" ref="F197:K197" si="236">F195*F196/1000</f>
        <v>0</v>
      </c>
      <c r="G197" s="93">
        <f t="shared" si="236"/>
        <v>0</v>
      </c>
      <c r="H197" s="93">
        <f t="shared" si="236"/>
        <v>0</v>
      </c>
      <c r="I197" s="93">
        <f t="shared" si="236"/>
        <v>0</v>
      </c>
      <c r="J197" s="93">
        <f t="shared" si="236"/>
        <v>0</v>
      </c>
      <c r="K197" s="93">
        <f t="shared" si="236"/>
        <v>0</v>
      </c>
      <c r="L197" s="106">
        <f>SUM(F197:K197)</f>
        <v>0</v>
      </c>
      <c r="M197" s="106">
        <f>L197/6</f>
        <v>0</v>
      </c>
      <c r="N197" s="93">
        <f t="shared" ref="N197:S197" si="237">N195*N196/1000</f>
        <v>0</v>
      </c>
      <c r="O197" s="93">
        <f t="shared" si="237"/>
        <v>0</v>
      </c>
      <c r="P197" s="93">
        <f t="shared" si="237"/>
        <v>0</v>
      </c>
      <c r="Q197" s="93">
        <f t="shared" si="237"/>
        <v>0</v>
      </c>
      <c r="R197" s="93">
        <f t="shared" si="237"/>
        <v>0</v>
      </c>
      <c r="S197" s="93">
        <f t="shared" si="237"/>
        <v>0</v>
      </c>
      <c r="T197" s="106">
        <f>SUM(N197:S197)</f>
        <v>0</v>
      </c>
      <c r="U197" s="106">
        <f>T197+L197</f>
        <v>0</v>
      </c>
      <c r="V197" s="107">
        <f>V198+V199</f>
        <v>0</v>
      </c>
      <c r="W197" s="94">
        <f>V197-U197</f>
        <v>0</v>
      </c>
      <c r="X197" s="54">
        <f>2726951.723/1000</f>
        <v>2726.9520000000002</v>
      </c>
    </row>
    <row r="198" spans="1:24" s="55" customFormat="1" ht="0.8" hidden="1" customHeight="1">
      <c r="A198" s="610"/>
      <c r="B198" s="576"/>
      <c r="C198" s="577"/>
      <c r="D198" s="174" t="str">
        <f>серпень!D198</f>
        <v>дотація</v>
      </c>
      <c r="E198" s="95"/>
      <c r="F198" s="93"/>
      <c r="G198" s="93"/>
      <c r="H198" s="93"/>
      <c r="I198" s="93"/>
      <c r="J198" s="93"/>
      <c r="K198" s="93"/>
      <c r="L198" s="106">
        <f>SUM(F198:K198)</f>
        <v>0</v>
      </c>
      <c r="M198" s="106">
        <f>L198/6</f>
        <v>0</v>
      </c>
      <c r="N198" s="93"/>
      <c r="O198" s="93"/>
      <c r="P198" s="93"/>
      <c r="Q198" s="93"/>
      <c r="R198" s="93"/>
      <c r="S198" s="93"/>
      <c r="T198" s="106">
        <f>SUM(N198:S198)</f>
        <v>0</v>
      </c>
      <c r="U198" s="106">
        <f>T198+L198</f>
        <v>0</v>
      </c>
      <c r="V198" s="107">
        <v>0</v>
      </c>
      <c r="W198" s="94">
        <f>V198-U198</f>
        <v>0</v>
      </c>
      <c r="X198" s="58"/>
    </row>
    <row r="199" spans="1:24" s="55" customFormat="1" ht="0.8" hidden="1" customHeight="1">
      <c r="A199" s="610"/>
      <c r="B199" s="576"/>
      <c r="C199" s="577"/>
      <c r="D199" s="174" t="str">
        <f>серпень!D199</f>
        <v>місцевий (план), тис.грн</v>
      </c>
      <c r="E199" s="95"/>
      <c r="F199" s="93"/>
      <c r="G199" s="93"/>
      <c r="H199" s="93"/>
      <c r="I199" s="93"/>
      <c r="J199" s="93"/>
      <c r="K199" s="93"/>
      <c r="L199" s="106">
        <f>SUM(F199:K199)</f>
        <v>0</v>
      </c>
      <c r="M199" s="106">
        <f>L199/6</f>
        <v>0</v>
      </c>
      <c r="N199" s="93"/>
      <c r="O199" s="93"/>
      <c r="P199" s="93"/>
      <c r="Q199" s="93"/>
      <c r="R199" s="93"/>
      <c r="S199" s="93"/>
      <c r="T199" s="106">
        <f>SUM(N199:S199)</f>
        <v>0</v>
      </c>
      <c r="U199" s="106">
        <f>T199+L199</f>
        <v>0</v>
      </c>
      <c r="V199" s="107"/>
      <c r="W199" s="94">
        <f>V199-U199</f>
        <v>0</v>
      </c>
      <c r="X199" s="58"/>
    </row>
    <row r="200" spans="1:24" s="48" customFormat="1" hidden="1">
      <c r="A200" s="610"/>
      <c r="B200" s="576"/>
      <c r="C200" s="577"/>
      <c r="D200" s="178" t="str">
        <f>серпень!D200</f>
        <v>касові нат.п-ки 2025</v>
      </c>
      <c r="E200" s="85"/>
      <c r="F200" s="85"/>
      <c r="G200" s="85"/>
      <c r="H200" s="85"/>
      <c r="I200" s="85"/>
      <c r="J200" s="85"/>
      <c r="K200" s="85"/>
      <c r="L200" s="140">
        <f>SUM(F200:K200)</f>
        <v>0</v>
      </c>
      <c r="M200" s="140">
        <f>L200/6</f>
        <v>0</v>
      </c>
      <c r="N200" s="85"/>
      <c r="O200" s="85"/>
      <c r="P200" s="85"/>
      <c r="Q200" s="85"/>
      <c r="R200" s="85"/>
      <c r="S200" s="85">
        <f>S195+R195</f>
        <v>0</v>
      </c>
      <c r="T200" s="140">
        <f>SUM(N200:S200)</f>
        <v>0</v>
      </c>
      <c r="U200" s="140">
        <f>T200+L200</f>
        <v>0</v>
      </c>
      <c r="V200" s="85">
        <f>V195</f>
        <v>0</v>
      </c>
      <c r="W200" s="88">
        <f>V200-U200</f>
        <v>0</v>
      </c>
      <c r="X200" s="47">
        <f>U195-U200</f>
        <v>0</v>
      </c>
    </row>
    <row r="201" spans="1:24" s="51" customFormat="1" ht="0.8" hidden="1" customHeight="1">
      <c r="A201" s="610"/>
      <c r="B201" s="576"/>
      <c r="C201" s="577"/>
      <c r="D201" s="187" t="str">
        <f>серпень!D201</f>
        <v>тариф, грн.</v>
      </c>
      <c r="E201" s="92" t="e">
        <f>E202/E200*1000</f>
        <v>#DIV/0!</v>
      </c>
      <c r="F201" s="92">
        <v>1441.6559999999999</v>
      </c>
      <c r="G201" s="92">
        <v>1441.6559999999999</v>
      </c>
      <c r="H201" s="92">
        <v>1441.6559999999999</v>
      </c>
      <c r="I201" s="92">
        <v>1441.6559999999999</v>
      </c>
      <c r="J201" s="92">
        <v>1441.6559999999999</v>
      </c>
      <c r="K201" s="92">
        <v>1441.6559999999999</v>
      </c>
      <c r="L201" s="92" t="e">
        <f>L202/L200*1000</f>
        <v>#DIV/0!</v>
      </c>
      <c r="M201" s="92" t="e">
        <f>M202/M200*1000</f>
        <v>#DIV/0!</v>
      </c>
      <c r="N201" s="92">
        <v>1441.6559999999999</v>
      </c>
      <c r="O201" s="92">
        <v>1441.6559999999999</v>
      </c>
      <c r="P201" s="92">
        <v>1441.6559999999999</v>
      </c>
      <c r="Q201" s="92">
        <v>1441.6559999999999</v>
      </c>
      <c r="R201" s="92">
        <v>1441.6559999999999</v>
      </c>
      <c r="S201" s="92">
        <v>1441.6559999999999</v>
      </c>
      <c r="T201" s="92" t="e">
        <f>T202/T200*1000</f>
        <v>#DIV/0!</v>
      </c>
      <c r="U201" s="92" t="e">
        <f>U202/U200*1000</f>
        <v>#DIV/0!</v>
      </c>
      <c r="V201" s="105" t="e">
        <f>V202/V200*1000</f>
        <v>#DIV/0!</v>
      </c>
      <c r="W201" s="86" t="e">
        <f>W202/W200*1000</f>
        <v>#DIV/0!</v>
      </c>
      <c r="X201" s="59"/>
    </row>
    <row r="202" spans="1:24" s="63" customFormat="1" ht="0.8" hidden="1" customHeight="1">
      <c r="A202" s="610"/>
      <c r="B202" s="576"/>
      <c r="C202" s="577"/>
      <c r="D202" s="198" t="str">
        <f>серпень!D202</f>
        <v>касові видатки, тис.грн.</v>
      </c>
      <c r="E202" s="108"/>
      <c r="F202" s="98">
        <f t="shared" ref="F202:K202" si="238">F200*F201/1000</f>
        <v>0</v>
      </c>
      <c r="G202" s="98">
        <f t="shared" si="238"/>
        <v>0</v>
      </c>
      <c r="H202" s="98">
        <f t="shared" si="238"/>
        <v>0</v>
      </c>
      <c r="I202" s="98">
        <f t="shared" si="238"/>
        <v>0</v>
      </c>
      <c r="J202" s="98">
        <f t="shared" si="238"/>
        <v>0</v>
      </c>
      <c r="K202" s="98">
        <f t="shared" si="238"/>
        <v>0</v>
      </c>
      <c r="L202" s="98">
        <f>SUM(F202:K202)</f>
        <v>0</v>
      </c>
      <c r="M202" s="98">
        <f>L202/6</f>
        <v>0</v>
      </c>
      <c r="N202" s="98">
        <f t="shared" ref="N202:S202" si="239">N200*N201/1000</f>
        <v>0</v>
      </c>
      <c r="O202" s="98">
        <f t="shared" si="239"/>
        <v>0</v>
      </c>
      <c r="P202" s="98">
        <f t="shared" si="239"/>
        <v>0</v>
      </c>
      <c r="Q202" s="98">
        <f t="shared" si="239"/>
        <v>0</v>
      </c>
      <c r="R202" s="98">
        <f t="shared" si="239"/>
        <v>0</v>
      </c>
      <c r="S202" s="98">
        <f t="shared" si="239"/>
        <v>0</v>
      </c>
      <c r="T202" s="98">
        <f>SUM(N202:S202)</f>
        <v>0</v>
      </c>
      <c r="U202" s="98">
        <f>T202+L202</f>
        <v>0</v>
      </c>
      <c r="V202" s="98">
        <f>V197</f>
        <v>0</v>
      </c>
      <c r="W202" s="109">
        <f>V202-U202</f>
        <v>0</v>
      </c>
      <c r="X202" s="63">
        <f>U197-U202</f>
        <v>0</v>
      </c>
    </row>
    <row r="203" spans="1:24" s="63" customFormat="1" ht="0.8" hidden="1" customHeight="1">
      <c r="A203" s="610"/>
      <c r="B203" s="576"/>
      <c r="C203" s="577"/>
      <c r="D203" s="201" t="str">
        <f>серпень!D203</f>
        <v>дотація</v>
      </c>
      <c r="E203" s="108"/>
      <c r="F203" s="98"/>
      <c r="G203" s="98"/>
      <c r="H203" s="98"/>
      <c r="I203" s="98"/>
      <c r="J203" s="98"/>
      <c r="K203" s="98"/>
      <c r="L203" s="98">
        <f>SUM(F203:K203)</f>
        <v>0</v>
      </c>
      <c r="M203" s="98">
        <f>L203/6</f>
        <v>0</v>
      </c>
      <c r="N203" s="98"/>
      <c r="O203" s="98"/>
      <c r="P203" s="98"/>
      <c r="Q203" s="98"/>
      <c r="R203" s="98"/>
      <c r="S203" s="98"/>
      <c r="T203" s="98">
        <f>SUM(N203:S203)</f>
        <v>0</v>
      </c>
      <c r="U203" s="98">
        <f>T203+L203</f>
        <v>0</v>
      </c>
      <c r="V203" s="98">
        <f>V198</f>
        <v>0</v>
      </c>
      <c r="W203" s="109">
        <f>V203-U203</f>
        <v>0</v>
      </c>
      <c r="X203" s="63">
        <f>U198-U203</f>
        <v>0</v>
      </c>
    </row>
    <row r="204" spans="1:24" s="63" customFormat="1" ht="0.8" hidden="1" customHeight="1">
      <c r="A204" s="610"/>
      <c r="B204" s="576"/>
      <c r="C204" s="577"/>
      <c r="D204" s="201" t="str">
        <f>серпень!D204</f>
        <v xml:space="preserve">місцевий </v>
      </c>
      <c r="E204" s="108"/>
      <c r="F204" s="98">
        <f t="shared" ref="F204:K204" si="240">F202-F203</f>
        <v>0</v>
      </c>
      <c r="G204" s="98">
        <f t="shared" si="240"/>
        <v>0</v>
      </c>
      <c r="H204" s="98">
        <f t="shared" si="240"/>
        <v>0</v>
      </c>
      <c r="I204" s="98">
        <f t="shared" si="240"/>
        <v>0</v>
      </c>
      <c r="J204" s="98">
        <f t="shared" si="240"/>
        <v>0</v>
      </c>
      <c r="K204" s="98">
        <f t="shared" si="240"/>
        <v>0</v>
      </c>
      <c r="L204" s="98">
        <f>SUM(F204:K204)</f>
        <v>0</v>
      </c>
      <c r="M204" s="98">
        <f>L204/6</f>
        <v>0</v>
      </c>
      <c r="N204" s="98">
        <f t="shared" ref="N204:S204" si="241">N202-N203</f>
        <v>0</v>
      </c>
      <c r="O204" s="98">
        <f t="shared" si="241"/>
        <v>0</v>
      </c>
      <c r="P204" s="98">
        <f t="shared" si="241"/>
        <v>0</v>
      </c>
      <c r="Q204" s="98">
        <f t="shared" si="241"/>
        <v>0</v>
      </c>
      <c r="R204" s="98">
        <f t="shared" si="241"/>
        <v>0</v>
      </c>
      <c r="S204" s="98">
        <f t="shared" si="241"/>
        <v>0</v>
      </c>
      <c r="T204" s="98">
        <f>SUM(N204:S204)</f>
        <v>0</v>
      </c>
      <c r="U204" s="98">
        <f>T204+L204</f>
        <v>0</v>
      </c>
      <c r="V204" s="98">
        <f>V199</f>
        <v>0</v>
      </c>
      <c r="W204" s="109">
        <f>V204-U204</f>
        <v>0</v>
      </c>
      <c r="X204" s="63">
        <f>U199-U204</f>
        <v>0</v>
      </c>
    </row>
    <row r="205" spans="1:24" s="43" customFormat="1" ht="0.8" hidden="1" customHeight="1">
      <c r="A205" s="610"/>
      <c r="B205" s="576"/>
      <c r="C205" s="577"/>
      <c r="D205" s="202" t="str">
        <f>серпень!D205</f>
        <v>план</v>
      </c>
      <c r="E205" s="100"/>
      <c r="F205" s="100">
        <f t="shared" ref="F205:K205" si="242">F199</f>
        <v>0</v>
      </c>
      <c r="G205" s="100">
        <f t="shared" si="242"/>
        <v>0</v>
      </c>
      <c r="H205" s="100">
        <f t="shared" si="242"/>
        <v>0</v>
      </c>
      <c r="I205" s="100">
        <f t="shared" si="242"/>
        <v>0</v>
      </c>
      <c r="J205" s="100">
        <f t="shared" si="242"/>
        <v>0</v>
      </c>
      <c r="K205" s="100">
        <f t="shared" si="242"/>
        <v>0</v>
      </c>
      <c r="L205" s="100">
        <f>SUM(F205:K205)</f>
        <v>0</v>
      </c>
      <c r="M205" s="100">
        <f>L205/6</f>
        <v>0</v>
      </c>
      <c r="N205" s="100">
        <f t="shared" ref="N205:S205" si="243">N199+N198</f>
        <v>0</v>
      </c>
      <c r="O205" s="100">
        <f t="shared" si="243"/>
        <v>0</v>
      </c>
      <c r="P205" s="100">
        <f t="shared" si="243"/>
        <v>0</v>
      </c>
      <c r="Q205" s="100">
        <f t="shared" si="243"/>
        <v>0</v>
      </c>
      <c r="R205" s="100">
        <f t="shared" si="243"/>
        <v>0</v>
      </c>
      <c r="S205" s="100">
        <f t="shared" si="243"/>
        <v>0</v>
      </c>
      <c r="T205" s="100">
        <f>SUM(N205:S205)</f>
        <v>0</v>
      </c>
      <c r="U205" s="100">
        <f>T205+L205</f>
        <v>0</v>
      </c>
      <c r="V205" s="100">
        <f>V202</f>
        <v>0</v>
      </c>
      <c r="W205" s="100">
        <f>V205-U205</f>
        <v>0</v>
      </c>
    </row>
    <row r="206" spans="1:24" s="43" customFormat="1" ht="0.8" hidden="1" customHeight="1">
      <c r="A206" s="610"/>
      <c r="B206" s="576"/>
      <c r="C206" s="577"/>
      <c r="D206" s="202" t="str">
        <f>серпень!D206</f>
        <v xml:space="preserve">відхилення </v>
      </c>
      <c r="E206" s="100"/>
      <c r="F206" s="100">
        <f t="shared" ref="F206:K206" si="244">F202-F205</f>
        <v>0</v>
      </c>
      <c r="G206" s="100">
        <f t="shared" si="244"/>
        <v>0</v>
      </c>
      <c r="H206" s="100">
        <f t="shared" si="244"/>
        <v>0</v>
      </c>
      <c r="I206" s="100">
        <f t="shared" si="244"/>
        <v>0</v>
      </c>
      <c r="J206" s="100">
        <f t="shared" si="244"/>
        <v>0</v>
      </c>
      <c r="K206" s="100">
        <f t="shared" si="244"/>
        <v>0</v>
      </c>
      <c r="L206" s="100"/>
      <c r="M206" s="100"/>
      <c r="N206" s="100">
        <f t="shared" ref="N206:S206" si="245">N202-N205</f>
        <v>0</v>
      </c>
      <c r="O206" s="100">
        <f t="shared" si="245"/>
        <v>0</v>
      </c>
      <c r="P206" s="100">
        <f t="shared" si="245"/>
        <v>0</v>
      </c>
      <c r="Q206" s="100">
        <f t="shared" si="245"/>
        <v>0</v>
      </c>
      <c r="R206" s="100">
        <f t="shared" si="245"/>
        <v>0</v>
      </c>
      <c r="S206" s="100">
        <f t="shared" si="245"/>
        <v>0</v>
      </c>
      <c r="T206" s="100"/>
      <c r="U206" s="100"/>
      <c r="V206" s="100"/>
      <c r="W206" s="100"/>
    </row>
    <row r="207" spans="1:24" s="43" customFormat="1" ht="0.8" hidden="1" customHeight="1">
      <c r="A207" s="611"/>
      <c r="B207" s="578"/>
      <c r="C207" s="579"/>
      <c r="D207" s="202" t="str">
        <f>серпень!D207</f>
        <v>відхилення з наростаючим</v>
      </c>
      <c r="E207" s="100"/>
      <c r="F207" s="100">
        <f>F206</f>
        <v>0</v>
      </c>
      <c r="G207" s="100">
        <f>G206+F207</f>
        <v>0</v>
      </c>
      <c r="H207" s="100">
        <f>H206+G207</f>
        <v>0</v>
      </c>
      <c r="I207" s="100">
        <f>I206+H207</f>
        <v>0</v>
      </c>
      <c r="J207" s="100">
        <f>J206+I207</f>
        <v>0</v>
      </c>
      <c r="K207" s="100">
        <f>K206+J207</f>
        <v>0</v>
      </c>
      <c r="L207" s="100"/>
      <c r="M207" s="100"/>
      <c r="N207" s="100">
        <f>N206+K207</f>
        <v>0</v>
      </c>
      <c r="O207" s="100">
        <f>O206+N207</f>
        <v>0</v>
      </c>
      <c r="P207" s="100">
        <f>P206+O207</f>
        <v>0</v>
      </c>
      <c r="Q207" s="100">
        <f>Q206+P207</f>
        <v>0</v>
      </c>
      <c r="R207" s="100">
        <f>R206+Q207</f>
        <v>0</v>
      </c>
      <c r="S207" s="100">
        <f>S206+R207</f>
        <v>0</v>
      </c>
      <c r="T207" s="100"/>
      <c r="U207" s="100"/>
      <c r="V207" s="100"/>
      <c r="W207" s="100"/>
    </row>
    <row r="208" spans="1:24" s="47" customFormat="1" ht="0.8" hidden="1" customHeight="1">
      <c r="A208" s="609"/>
      <c r="B208" s="580" t="s">
        <v>92</v>
      </c>
      <c r="C208" s="575"/>
      <c r="D208" s="178" t="str">
        <f>серпень!D208</f>
        <v>факт. нат.п-ки 2023</v>
      </c>
      <c r="E208" s="85"/>
      <c r="F208" s="12">
        <f t="shared" ref="F208:K210" si="246">F223+F238</f>
        <v>0</v>
      </c>
      <c r="G208" s="12">
        <f t="shared" si="246"/>
        <v>0</v>
      </c>
      <c r="H208" s="12">
        <f t="shared" si="246"/>
        <v>0</v>
      </c>
      <c r="I208" s="12">
        <f t="shared" si="246"/>
        <v>0</v>
      </c>
      <c r="J208" s="12">
        <f t="shared" si="246"/>
        <v>0</v>
      </c>
      <c r="K208" s="12">
        <f t="shared" si="246"/>
        <v>0</v>
      </c>
      <c r="L208" s="89">
        <f>SUM(F208:K208)</f>
        <v>0</v>
      </c>
      <c r="M208" s="89">
        <f>L208/6</f>
        <v>0</v>
      </c>
      <c r="N208" s="12">
        <f t="shared" ref="N208:S210" si="247">N223+N238</f>
        <v>0</v>
      </c>
      <c r="O208" s="12">
        <f t="shared" si="247"/>
        <v>0</v>
      </c>
      <c r="P208" s="12">
        <f t="shared" si="247"/>
        <v>0</v>
      </c>
      <c r="Q208" s="12">
        <f t="shared" si="247"/>
        <v>0</v>
      </c>
      <c r="R208" s="12">
        <f t="shared" si="247"/>
        <v>0</v>
      </c>
      <c r="S208" s="12">
        <f t="shared" si="247"/>
        <v>0</v>
      </c>
      <c r="T208" s="89">
        <f>SUM(N208:S208)</f>
        <v>0</v>
      </c>
      <c r="U208" s="90">
        <f>T208+L208</f>
        <v>0</v>
      </c>
      <c r="V208" s="91">
        <f>V223+V238</f>
        <v>0</v>
      </c>
      <c r="W208" s="88">
        <f>V208-U208</f>
        <v>0</v>
      </c>
    </row>
    <row r="209" spans="1:24" s="47" customFormat="1" ht="0.8" hidden="1" customHeight="1">
      <c r="A209" s="610"/>
      <c r="B209" s="576"/>
      <c r="C209" s="577"/>
      <c r="D209" s="178" t="str">
        <f>серпень!D209</f>
        <v>факт. нат.п-ки 2024</v>
      </c>
      <c r="E209" s="85"/>
      <c r="F209" s="12">
        <f t="shared" si="246"/>
        <v>0</v>
      </c>
      <c r="G209" s="12">
        <f t="shared" si="246"/>
        <v>0</v>
      </c>
      <c r="H209" s="12">
        <f t="shared" si="246"/>
        <v>0</v>
      </c>
      <c r="I209" s="12">
        <f t="shared" si="246"/>
        <v>0</v>
      </c>
      <c r="J209" s="12">
        <f>J224+J239</f>
        <v>0</v>
      </c>
      <c r="K209" s="12">
        <f t="shared" si="246"/>
        <v>0</v>
      </c>
      <c r="L209" s="89">
        <f>SUM(F209:K209)</f>
        <v>0</v>
      </c>
      <c r="M209" s="89">
        <f>L209/6</f>
        <v>0</v>
      </c>
      <c r="N209" s="85">
        <f t="shared" si="247"/>
        <v>0</v>
      </c>
      <c r="O209" s="85">
        <f t="shared" si="247"/>
        <v>0</v>
      </c>
      <c r="P209" s="85">
        <f t="shared" si="247"/>
        <v>0</v>
      </c>
      <c r="Q209" s="85">
        <f t="shared" si="247"/>
        <v>0</v>
      </c>
      <c r="R209" s="85">
        <f t="shared" si="247"/>
        <v>0</v>
      </c>
      <c r="S209" s="85">
        <f t="shared" si="247"/>
        <v>0</v>
      </c>
      <c r="T209" s="89">
        <f>SUM(N209:S209)</f>
        <v>0</v>
      </c>
      <c r="U209" s="90">
        <f>T209+L209</f>
        <v>0</v>
      </c>
      <c r="V209" s="91">
        <f>V224+V239</f>
        <v>0</v>
      </c>
      <c r="W209" s="88">
        <f>V209-U209</f>
        <v>0</v>
      </c>
    </row>
    <row r="210" spans="1:24" s="47" customFormat="1" ht="0.8" hidden="1" customHeight="1">
      <c r="A210" s="610"/>
      <c r="B210" s="576"/>
      <c r="C210" s="577"/>
      <c r="D210" s="178" t="str">
        <f>серпень!D210</f>
        <v>факт. нат.п-ки 2025</v>
      </c>
      <c r="E210" s="85"/>
      <c r="F210" s="12">
        <f t="shared" si="246"/>
        <v>0</v>
      </c>
      <c r="G210" s="12">
        <f t="shared" si="246"/>
        <v>0</v>
      </c>
      <c r="H210" s="12">
        <f t="shared" si="246"/>
        <v>0</v>
      </c>
      <c r="I210" s="12">
        <f t="shared" si="246"/>
        <v>0</v>
      </c>
      <c r="J210" s="12">
        <f>J225+J240</f>
        <v>0</v>
      </c>
      <c r="K210" s="12">
        <f t="shared" si="246"/>
        <v>0</v>
      </c>
      <c r="L210" s="89">
        <f>SUM(F210:K210)</f>
        <v>0</v>
      </c>
      <c r="M210" s="89">
        <f>L210/6</f>
        <v>0</v>
      </c>
      <c r="N210" s="12">
        <f t="shared" si="247"/>
        <v>0</v>
      </c>
      <c r="O210" s="12">
        <f t="shared" si="247"/>
        <v>0</v>
      </c>
      <c r="P210" s="12">
        <f t="shared" si="247"/>
        <v>0</v>
      </c>
      <c r="Q210" s="12">
        <f t="shared" si="247"/>
        <v>0</v>
      </c>
      <c r="R210" s="12">
        <f t="shared" si="247"/>
        <v>0</v>
      </c>
      <c r="S210" s="12">
        <f t="shared" si="247"/>
        <v>0</v>
      </c>
      <c r="T210" s="89">
        <f>SUM(N210:S210)</f>
        <v>0</v>
      </c>
      <c r="U210" s="90">
        <f>T210+L210</f>
        <v>0</v>
      </c>
      <c r="V210" s="91">
        <f>V225+V240</f>
        <v>0</v>
      </c>
      <c r="W210" s="88">
        <f>V210-U210</f>
        <v>0</v>
      </c>
    </row>
    <row r="211" spans="1:24" s="47" customFormat="1" ht="0.8" hidden="1" customHeight="1">
      <c r="A211" s="610"/>
      <c r="B211" s="576"/>
      <c r="C211" s="577"/>
      <c r="D211" s="187" t="str">
        <f>серпень!D211</f>
        <v>тариф, грн.</v>
      </c>
      <c r="E211" s="92"/>
      <c r="F211" s="92" t="e">
        <f>F212/F210*1000</f>
        <v>#DIV/0!</v>
      </c>
      <c r="G211" s="92" t="e">
        <f>G212/G210*1000</f>
        <v>#DIV/0!</v>
      </c>
      <c r="H211" s="92" t="e">
        <f>H212/H210*1000</f>
        <v>#DIV/0!</v>
      </c>
      <c r="I211" s="92" t="e">
        <f>I212/I210*1000</f>
        <v>#DIV/0!</v>
      </c>
      <c r="J211" s="92" t="e">
        <f>J212/J210*1000</f>
        <v>#DIV/0!</v>
      </c>
      <c r="K211" s="92" t="e">
        <f t="shared" ref="K211:S211" si="248">K212/K210*1000</f>
        <v>#DIV/0!</v>
      </c>
      <c r="L211" s="92" t="e">
        <f t="shared" si="248"/>
        <v>#DIV/0!</v>
      </c>
      <c r="M211" s="92" t="e">
        <f t="shared" si="248"/>
        <v>#DIV/0!</v>
      </c>
      <c r="N211" s="92" t="e">
        <f t="shared" si="248"/>
        <v>#DIV/0!</v>
      </c>
      <c r="O211" s="92" t="e">
        <f t="shared" si="248"/>
        <v>#DIV/0!</v>
      </c>
      <c r="P211" s="92" t="e">
        <f t="shared" si="248"/>
        <v>#DIV/0!</v>
      </c>
      <c r="Q211" s="92" t="e">
        <f t="shared" si="248"/>
        <v>#DIV/0!</v>
      </c>
      <c r="R211" s="92" t="e">
        <f t="shared" si="248"/>
        <v>#DIV/0!</v>
      </c>
      <c r="S211" s="92" t="e">
        <f t="shared" si="248"/>
        <v>#DIV/0!</v>
      </c>
      <c r="T211" s="92" t="e">
        <f>T212/T210*1000</f>
        <v>#DIV/0!</v>
      </c>
      <c r="U211" s="92" t="e">
        <f>U212/U210*1000</f>
        <v>#DIV/0!</v>
      </c>
      <c r="V211" s="92" t="e">
        <f>V212/V210*1000</f>
        <v>#DIV/0!</v>
      </c>
      <c r="W211" s="86" t="e">
        <f>W212/W210*1000</f>
        <v>#DIV/0!</v>
      </c>
    </row>
    <row r="212" spans="1:24" s="47" customFormat="1" ht="0.8" hidden="1" customHeight="1">
      <c r="A212" s="610"/>
      <c r="B212" s="576"/>
      <c r="C212" s="577"/>
      <c r="D212" s="191" t="str">
        <f>серпень!D212</f>
        <v>сума, тис.грн.</v>
      </c>
      <c r="E212" s="93"/>
      <c r="F212" s="93">
        <f t="shared" ref="F212:K215" si="249">F227+F242</f>
        <v>0</v>
      </c>
      <c r="G212" s="93">
        <f t="shared" si="249"/>
        <v>0</v>
      </c>
      <c r="H212" s="93">
        <f t="shared" si="249"/>
        <v>0</v>
      </c>
      <c r="I212" s="93">
        <f t="shared" si="249"/>
        <v>0</v>
      </c>
      <c r="J212" s="93">
        <f t="shared" si="249"/>
        <v>0</v>
      </c>
      <c r="K212" s="93">
        <f t="shared" si="249"/>
        <v>0</v>
      </c>
      <c r="L212" s="93">
        <f>SUM(F212:K212)</f>
        <v>0</v>
      </c>
      <c r="M212" s="93">
        <f>L212/6</f>
        <v>0</v>
      </c>
      <c r="N212" s="93">
        <f t="shared" ref="N212:S215" si="250">N227+N242</f>
        <v>0</v>
      </c>
      <c r="O212" s="93">
        <f t="shared" si="250"/>
        <v>0</v>
      </c>
      <c r="P212" s="93">
        <f t="shared" si="250"/>
        <v>0</v>
      </c>
      <c r="Q212" s="93">
        <f t="shared" si="250"/>
        <v>0</v>
      </c>
      <c r="R212" s="93">
        <f t="shared" si="250"/>
        <v>0</v>
      </c>
      <c r="S212" s="93">
        <f t="shared" si="250"/>
        <v>0</v>
      </c>
      <c r="T212" s="93">
        <f>SUM(N212:S212)</f>
        <v>0</v>
      </c>
      <c r="U212" s="93">
        <f>T212+L212</f>
        <v>0</v>
      </c>
      <c r="V212" s="94">
        <f>V227+V242</f>
        <v>0</v>
      </c>
      <c r="W212" s="94">
        <f>V212-U212</f>
        <v>0</v>
      </c>
    </row>
    <row r="213" spans="1:24" s="47" customFormat="1" ht="0.8" hidden="1" customHeight="1">
      <c r="A213" s="610"/>
      <c r="B213" s="576"/>
      <c r="C213" s="577"/>
      <c r="D213" s="174" t="str">
        <f>серпень!D213</f>
        <v>дотація</v>
      </c>
      <c r="E213" s="95"/>
      <c r="F213" s="93">
        <f t="shared" si="249"/>
        <v>0</v>
      </c>
      <c r="G213" s="93">
        <f t="shared" si="249"/>
        <v>0</v>
      </c>
      <c r="H213" s="93">
        <f t="shared" si="249"/>
        <v>0</v>
      </c>
      <c r="I213" s="93">
        <f t="shared" si="249"/>
        <v>0</v>
      </c>
      <c r="J213" s="93">
        <f>J228+J243</f>
        <v>0</v>
      </c>
      <c r="K213" s="93">
        <f t="shared" si="249"/>
        <v>0</v>
      </c>
      <c r="L213" s="93">
        <f>SUM(F213:K213)</f>
        <v>0</v>
      </c>
      <c r="M213" s="93">
        <f>L213/6</f>
        <v>0</v>
      </c>
      <c r="N213" s="93">
        <f t="shared" si="250"/>
        <v>0</v>
      </c>
      <c r="O213" s="93">
        <f t="shared" si="250"/>
        <v>0</v>
      </c>
      <c r="P213" s="93">
        <f t="shared" si="250"/>
        <v>0</v>
      </c>
      <c r="Q213" s="93">
        <f t="shared" si="250"/>
        <v>0</v>
      </c>
      <c r="R213" s="93">
        <f t="shared" si="250"/>
        <v>0</v>
      </c>
      <c r="S213" s="93">
        <f t="shared" si="250"/>
        <v>0</v>
      </c>
      <c r="T213" s="93">
        <f>SUM(N213:S213)</f>
        <v>0</v>
      </c>
      <c r="U213" s="93">
        <f>T213+L213</f>
        <v>0</v>
      </c>
      <c r="V213" s="94">
        <f>V228+V243</f>
        <v>0</v>
      </c>
      <c r="W213" s="96">
        <f>V213-U213</f>
        <v>0</v>
      </c>
    </row>
    <row r="214" spans="1:24" s="47" customFormat="1" ht="0.8" hidden="1" customHeight="1">
      <c r="A214" s="610"/>
      <c r="B214" s="576"/>
      <c r="C214" s="577"/>
      <c r="D214" s="174" t="str">
        <f>серпень!D214</f>
        <v>місцевий (план), тис.грн</v>
      </c>
      <c r="E214" s="95"/>
      <c r="F214" s="93">
        <f t="shared" si="249"/>
        <v>0</v>
      </c>
      <c r="G214" s="93">
        <f t="shared" si="249"/>
        <v>0</v>
      </c>
      <c r="H214" s="93">
        <f t="shared" si="249"/>
        <v>0</v>
      </c>
      <c r="I214" s="93">
        <f t="shared" si="249"/>
        <v>0</v>
      </c>
      <c r="J214" s="93">
        <f>J229+J244</f>
        <v>0</v>
      </c>
      <c r="K214" s="93">
        <f t="shared" si="249"/>
        <v>0</v>
      </c>
      <c r="L214" s="93">
        <f>SUM(F214:K214)</f>
        <v>0</v>
      </c>
      <c r="M214" s="93">
        <f>L214/6</f>
        <v>0</v>
      </c>
      <c r="N214" s="93">
        <f t="shared" si="250"/>
        <v>0</v>
      </c>
      <c r="O214" s="93">
        <f t="shared" si="250"/>
        <v>0</v>
      </c>
      <c r="P214" s="93">
        <f t="shared" si="250"/>
        <v>0</v>
      </c>
      <c r="Q214" s="93">
        <f t="shared" si="250"/>
        <v>0</v>
      </c>
      <c r="R214" s="93">
        <f t="shared" si="250"/>
        <v>0</v>
      </c>
      <c r="S214" s="93">
        <f t="shared" si="250"/>
        <v>0</v>
      </c>
      <c r="T214" s="93">
        <f>SUM(N214:S214)</f>
        <v>0</v>
      </c>
      <c r="U214" s="93">
        <f>T214+L214</f>
        <v>0</v>
      </c>
      <c r="V214" s="94">
        <f>V229+V244</f>
        <v>0</v>
      </c>
      <c r="W214" s="94">
        <f>V214-U214</f>
        <v>0</v>
      </c>
    </row>
    <row r="215" spans="1:24" s="47" customFormat="1" ht="0.8" hidden="1" customHeight="1">
      <c r="A215" s="610"/>
      <c r="B215" s="576"/>
      <c r="C215" s="577"/>
      <c r="D215" s="178" t="str">
        <f>серпень!D215</f>
        <v>касові нат.п-ки 2025</v>
      </c>
      <c r="E215" s="85">
        <f>E230+E245</f>
        <v>0</v>
      </c>
      <c r="F215" s="85">
        <f t="shared" si="249"/>
        <v>0</v>
      </c>
      <c r="G215" s="85">
        <f t="shared" si="249"/>
        <v>0</v>
      </c>
      <c r="H215" s="85">
        <f t="shared" si="249"/>
        <v>0</v>
      </c>
      <c r="I215" s="85">
        <f t="shared" si="249"/>
        <v>0</v>
      </c>
      <c r="J215" s="85">
        <f>J230+J245</f>
        <v>0</v>
      </c>
      <c r="K215" s="85">
        <f t="shared" si="249"/>
        <v>0</v>
      </c>
      <c r="L215" s="89">
        <f>SUM(F215:K215)</f>
        <v>0</v>
      </c>
      <c r="M215" s="89">
        <f>L215/6</f>
        <v>0</v>
      </c>
      <c r="N215" s="85">
        <f t="shared" si="250"/>
        <v>0</v>
      </c>
      <c r="O215" s="85">
        <f t="shared" si="250"/>
        <v>0</v>
      </c>
      <c r="P215" s="85">
        <f t="shared" si="250"/>
        <v>0</v>
      </c>
      <c r="Q215" s="85">
        <f t="shared" si="250"/>
        <v>0</v>
      </c>
      <c r="R215" s="85">
        <f t="shared" si="250"/>
        <v>0</v>
      </c>
      <c r="S215" s="85">
        <f t="shared" si="250"/>
        <v>0</v>
      </c>
      <c r="T215" s="89">
        <f>SUM(N215:S215)</f>
        <v>0</v>
      </c>
      <c r="U215" s="89">
        <f>T215+L215</f>
        <v>0</v>
      </c>
      <c r="V215" s="88">
        <f>V230+V245</f>
        <v>0</v>
      </c>
      <c r="W215" s="88">
        <f>V215-U215</f>
        <v>0</v>
      </c>
      <c r="X215" s="47">
        <f>U210-U215</f>
        <v>0</v>
      </c>
    </row>
    <row r="216" spans="1:24" s="47" customFormat="1" ht="3.15" hidden="1" customHeight="1">
      <c r="A216" s="610"/>
      <c r="B216" s="576"/>
      <c r="C216" s="577"/>
      <c r="D216" s="187" t="str">
        <f>серпень!D216</f>
        <v>тариф, грн.</v>
      </c>
      <c r="E216" s="92" t="e">
        <f t="shared" ref="E216:S216" si="251">E217/E215*1000</f>
        <v>#DIV/0!</v>
      </c>
      <c r="F216" s="92" t="e">
        <f t="shared" si="251"/>
        <v>#DIV/0!</v>
      </c>
      <c r="G216" s="92" t="e">
        <f t="shared" si="251"/>
        <v>#DIV/0!</v>
      </c>
      <c r="H216" s="92" t="e">
        <f t="shared" si="251"/>
        <v>#DIV/0!</v>
      </c>
      <c r="I216" s="92" t="e">
        <f t="shared" si="251"/>
        <v>#DIV/0!</v>
      </c>
      <c r="J216" s="92" t="e">
        <f t="shared" si="251"/>
        <v>#DIV/0!</v>
      </c>
      <c r="K216" s="92" t="e">
        <f t="shared" si="251"/>
        <v>#DIV/0!</v>
      </c>
      <c r="L216" s="92" t="e">
        <f t="shared" si="251"/>
        <v>#DIV/0!</v>
      </c>
      <c r="M216" s="92" t="e">
        <f t="shared" si="251"/>
        <v>#DIV/0!</v>
      </c>
      <c r="N216" s="92" t="e">
        <f t="shared" si="251"/>
        <v>#DIV/0!</v>
      </c>
      <c r="O216" s="92" t="e">
        <f t="shared" si="251"/>
        <v>#DIV/0!</v>
      </c>
      <c r="P216" s="92" t="e">
        <f t="shared" si="251"/>
        <v>#DIV/0!</v>
      </c>
      <c r="Q216" s="92" t="e">
        <f t="shared" si="251"/>
        <v>#DIV/0!</v>
      </c>
      <c r="R216" s="92" t="e">
        <f t="shared" si="251"/>
        <v>#DIV/0!</v>
      </c>
      <c r="S216" s="92" t="e">
        <f t="shared" si="251"/>
        <v>#DIV/0!</v>
      </c>
      <c r="T216" s="92" t="e">
        <f>T217/T215*1000</f>
        <v>#DIV/0!</v>
      </c>
      <c r="U216" s="92" t="e">
        <f>U217/U215*1000</f>
        <v>#DIV/0!</v>
      </c>
      <c r="V216" s="92" t="e">
        <f>V217/V215*1000</f>
        <v>#DIV/0!</v>
      </c>
      <c r="W216" s="86" t="e">
        <f>W217/W215*1000</f>
        <v>#DIV/0!</v>
      </c>
    </row>
    <row r="217" spans="1:24" s="63" customFormat="1" ht="0.8" hidden="1" customHeight="1">
      <c r="A217" s="610"/>
      <c r="B217" s="576"/>
      <c r="C217" s="577"/>
      <c r="D217" s="198" t="str">
        <f>серпень!D217</f>
        <v>касові видатки, тис.грн.</v>
      </c>
      <c r="E217" s="97">
        <f t="shared" ref="E217:K219" si="252">E232+E247</f>
        <v>0</v>
      </c>
      <c r="F217" s="98">
        <f t="shared" si="252"/>
        <v>0</v>
      </c>
      <c r="G217" s="98">
        <f t="shared" si="252"/>
        <v>0</v>
      </c>
      <c r="H217" s="98">
        <f t="shared" si="252"/>
        <v>0</v>
      </c>
      <c r="I217" s="98">
        <f t="shared" si="252"/>
        <v>0</v>
      </c>
      <c r="J217" s="98">
        <f t="shared" si="252"/>
        <v>0</v>
      </c>
      <c r="K217" s="98">
        <f t="shared" si="252"/>
        <v>0</v>
      </c>
      <c r="L217" s="98">
        <f>SUM(F217:K217)</f>
        <v>0</v>
      </c>
      <c r="M217" s="98">
        <f>L217/6</f>
        <v>0</v>
      </c>
      <c r="N217" s="98">
        <f t="shared" ref="N217:S219" si="253">N232+N247</f>
        <v>0</v>
      </c>
      <c r="O217" s="98">
        <f t="shared" si="253"/>
        <v>0</v>
      </c>
      <c r="P217" s="98">
        <f t="shared" si="253"/>
        <v>0</v>
      </c>
      <c r="Q217" s="98">
        <f t="shared" si="253"/>
        <v>0</v>
      </c>
      <c r="R217" s="98">
        <f t="shared" si="253"/>
        <v>0</v>
      </c>
      <c r="S217" s="98">
        <f t="shared" si="253"/>
        <v>0</v>
      </c>
      <c r="T217" s="98">
        <f>SUM(N217:S217)</f>
        <v>0</v>
      </c>
      <c r="U217" s="98">
        <f>T217+L217</f>
        <v>0</v>
      </c>
      <c r="V217" s="99">
        <f>V232+V247</f>
        <v>0</v>
      </c>
      <c r="W217" s="99">
        <f>V217-U217</f>
        <v>0</v>
      </c>
      <c r="X217" s="63">
        <f>U212-U217</f>
        <v>0</v>
      </c>
    </row>
    <row r="218" spans="1:24" s="63" customFormat="1" ht="0.8" hidden="1" customHeight="1">
      <c r="A218" s="610"/>
      <c r="B218" s="576"/>
      <c r="C218" s="577"/>
      <c r="D218" s="201" t="str">
        <f>серпень!D218</f>
        <v>дотація</v>
      </c>
      <c r="E218" s="97"/>
      <c r="F218" s="98">
        <f t="shared" si="252"/>
        <v>0</v>
      </c>
      <c r="G218" s="98">
        <f t="shared" si="252"/>
        <v>0</v>
      </c>
      <c r="H218" s="98">
        <f t="shared" si="252"/>
        <v>0</v>
      </c>
      <c r="I218" s="98">
        <f t="shared" si="252"/>
        <v>0</v>
      </c>
      <c r="J218" s="98">
        <f>J233+J248</f>
        <v>0</v>
      </c>
      <c r="K218" s="98">
        <f t="shared" si="252"/>
        <v>0</v>
      </c>
      <c r="L218" s="98">
        <f>SUM(F218:K218)</f>
        <v>0</v>
      </c>
      <c r="M218" s="98">
        <f>L218/6</f>
        <v>0</v>
      </c>
      <c r="N218" s="98">
        <f t="shared" si="253"/>
        <v>0</v>
      </c>
      <c r="O218" s="98">
        <f t="shared" si="253"/>
        <v>0</v>
      </c>
      <c r="P218" s="98">
        <f t="shared" si="253"/>
        <v>0</v>
      </c>
      <c r="Q218" s="98">
        <f t="shared" si="253"/>
        <v>0</v>
      </c>
      <c r="R218" s="98">
        <f t="shared" si="253"/>
        <v>0</v>
      </c>
      <c r="S218" s="98">
        <f t="shared" si="253"/>
        <v>0</v>
      </c>
      <c r="T218" s="98">
        <f>SUM(N218:S218)</f>
        <v>0</v>
      </c>
      <c r="U218" s="98">
        <f>T218+L218</f>
        <v>0</v>
      </c>
      <c r="V218" s="99">
        <f>V233+V248</f>
        <v>0</v>
      </c>
      <c r="W218" s="99">
        <f>V218-U218</f>
        <v>0</v>
      </c>
      <c r="X218" s="63">
        <f>U213-U218</f>
        <v>0</v>
      </c>
    </row>
    <row r="219" spans="1:24" s="63" customFormat="1" ht="0.8" hidden="1" customHeight="1">
      <c r="A219" s="610"/>
      <c r="B219" s="576"/>
      <c r="C219" s="577"/>
      <c r="D219" s="201" t="str">
        <f>серпень!D219</f>
        <v xml:space="preserve">місцевий </v>
      </c>
      <c r="E219" s="97"/>
      <c r="F219" s="98">
        <f t="shared" si="252"/>
        <v>0</v>
      </c>
      <c r="G219" s="98">
        <f t="shared" si="252"/>
        <v>0</v>
      </c>
      <c r="H219" s="98">
        <f t="shared" si="252"/>
        <v>0</v>
      </c>
      <c r="I219" s="98">
        <f t="shared" si="252"/>
        <v>0</v>
      </c>
      <c r="J219" s="98">
        <f>J234+J249</f>
        <v>0</v>
      </c>
      <c r="K219" s="98">
        <f t="shared" si="252"/>
        <v>0</v>
      </c>
      <c r="L219" s="98">
        <f>SUM(F219:K219)</f>
        <v>0</v>
      </c>
      <c r="M219" s="98">
        <f>L219/6</f>
        <v>0</v>
      </c>
      <c r="N219" s="98">
        <f t="shared" si="253"/>
        <v>0</v>
      </c>
      <c r="O219" s="98">
        <f t="shared" si="253"/>
        <v>0</v>
      </c>
      <c r="P219" s="98">
        <f t="shared" si="253"/>
        <v>0</v>
      </c>
      <c r="Q219" s="98">
        <f t="shared" si="253"/>
        <v>0</v>
      </c>
      <c r="R219" s="98">
        <f t="shared" si="253"/>
        <v>0</v>
      </c>
      <c r="S219" s="98">
        <f t="shared" si="253"/>
        <v>0</v>
      </c>
      <c r="T219" s="98">
        <f>SUM(N219:S219)</f>
        <v>0</v>
      </c>
      <c r="U219" s="98">
        <f>T219+L219</f>
        <v>0</v>
      </c>
      <c r="V219" s="99">
        <f>V234+V249</f>
        <v>0</v>
      </c>
      <c r="W219" s="99">
        <f>V219-U219</f>
        <v>0</v>
      </c>
      <c r="X219" s="63">
        <f>U214-U219</f>
        <v>0</v>
      </c>
    </row>
    <row r="220" spans="1:24" s="43" customFormat="1" ht="0.8" hidden="1" customHeight="1">
      <c r="A220" s="610"/>
      <c r="B220" s="576"/>
      <c r="C220" s="577"/>
      <c r="D220" s="202" t="str">
        <f>серпень!D220</f>
        <v>план</v>
      </c>
      <c r="E220" s="100"/>
      <c r="F220" s="100">
        <f t="shared" ref="F220:K220" si="254">F214</f>
        <v>0</v>
      </c>
      <c r="G220" s="100">
        <f t="shared" si="254"/>
        <v>0</v>
      </c>
      <c r="H220" s="100">
        <f t="shared" si="254"/>
        <v>0</v>
      </c>
      <c r="I220" s="100">
        <f t="shared" si="254"/>
        <v>0</v>
      </c>
      <c r="J220" s="100">
        <f t="shared" si="254"/>
        <v>0</v>
      </c>
      <c r="K220" s="100">
        <f t="shared" si="254"/>
        <v>0</v>
      </c>
      <c r="L220" s="100">
        <f>SUM(F220:K220)</f>
        <v>0</v>
      </c>
      <c r="M220" s="100">
        <f>L220/6</f>
        <v>0</v>
      </c>
      <c r="N220" s="100">
        <f t="shared" ref="N220:S220" si="255">N214+N213</f>
        <v>0</v>
      </c>
      <c r="O220" s="100">
        <f t="shared" si="255"/>
        <v>0</v>
      </c>
      <c r="P220" s="100">
        <f t="shared" si="255"/>
        <v>0</v>
      </c>
      <c r="Q220" s="100">
        <f t="shared" si="255"/>
        <v>0</v>
      </c>
      <c r="R220" s="100">
        <f t="shared" si="255"/>
        <v>0</v>
      </c>
      <c r="S220" s="100">
        <f t="shared" si="255"/>
        <v>0</v>
      </c>
      <c r="T220" s="100">
        <f>SUM(N220:S220)</f>
        <v>0</v>
      </c>
      <c r="U220" s="100">
        <f>T220+L220</f>
        <v>0</v>
      </c>
      <c r="V220" s="101">
        <f>V235+V250</f>
        <v>0</v>
      </c>
      <c r="W220" s="101">
        <f>V220-U220</f>
        <v>0</v>
      </c>
    </row>
    <row r="221" spans="1:24" s="43" customFormat="1" ht="3.15" hidden="1" customHeight="1">
      <c r="A221" s="610"/>
      <c r="B221" s="576"/>
      <c r="C221" s="577"/>
      <c r="D221" s="202" t="str">
        <f>серпень!D221</f>
        <v xml:space="preserve">відхилення </v>
      </c>
      <c r="E221" s="100"/>
      <c r="F221" s="100">
        <f t="shared" ref="F221:K221" si="256">F217-F220</f>
        <v>0</v>
      </c>
      <c r="G221" s="100">
        <f t="shared" si="256"/>
        <v>0</v>
      </c>
      <c r="H221" s="100">
        <f t="shared" si="256"/>
        <v>0</v>
      </c>
      <c r="I221" s="100">
        <f t="shared" si="256"/>
        <v>0</v>
      </c>
      <c r="J221" s="100">
        <f t="shared" si="256"/>
        <v>0</v>
      </c>
      <c r="K221" s="100">
        <f t="shared" si="256"/>
        <v>0</v>
      </c>
      <c r="L221" s="100"/>
      <c r="M221" s="100"/>
      <c r="N221" s="100">
        <f t="shared" ref="N221:S221" si="257">N217-N220</f>
        <v>0</v>
      </c>
      <c r="O221" s="100">
        <f t="shared" si="257"/>
        <v>0</v>
      </c>
      <c r="P221" s="100">
        <f t="shared" si="257"/>
        <v>0</v>
      </c>
      <c r="Q221" s="100">
        <f t="shared" si="257"/>
        <v>0</v>
      </c>
      <c r="R221" s="100">
        <f t="shared" si="257"/>
        <v>0</v>
      </c>
      <c r="S221" s="100">
        <f t="shared" si="257"/>
        <v>0</v>
      </c>
      <c r="T221" s="100"/>
      <c r="U221" s="100"/>
      <c r="V221" s="100"/>
      <c r="W221" s="100"/>
    </row>
    <row r="222" spans="1:24" s="43" customFormat="1" ht="0.8" hidden="1" customHeight="1">
      <c r="A222" s="610"/>
      <c r="B222" s="576"/>
      <c r="C222" s="577"/>
      <c r="D222" s="202" t="str">
        <f>серпень!D222</f>
        <v>відхилення з наростаючим</v>
      </c>
      <c r="E222" s="100"/>
      <c r="F222" s="100">
        <f>F221</f>
        <v>0</v>
      </c>
      <c r="G222" s="100">
        <f>G221+F222</f>
        <v>0</v>
      </c>
      <c r="H222" s="100">
        <f>H221+G222</f>
        <v>0</v>
      </c>
      <c r="I222" s="100">
        <f>I221+H222</f>
        <v>0</v>
      </c>
      <c r="J222" s="100">
        <f>J221+I222</f>
        <v>0</v>
      </c>
      <c r="K222" s="100">
        <f>K221+J222</f>
        <v>0</v>
      </c>
      <c r="L222" s="100"/>
      <c r="M222" s="100"/>
      <c r="N222" s="100">
        <f>N221+K222</f>
        <v>0</v>
      </c>
      <c r="O222" s="100">
        <f>O221+N222</f>
        <v>0</v>
      </c>
      <c r="P222" s="100">
        <f>P221+O222</f>
        <v>0</v>
      </c>
      <c r="Q222" s="100">
        <f>Q221+P222</f>
        <v>0</v>
      </c>
      <c r="R222" s="100">
        <f>R221+Q222</f>
        <v>0</v>
      </c>
      <c r="S222" s="100">
        <f>S221+R222</f>
        <v>0</v>
      </c>
      <c r="T222" s="100"/>
      <c r="U222" s="100"/>
      <c r="V222" s="100"/>
      <c r="W222" s="100"/>
    </row>
    <row r="223" spans="1:24" s="48" customFormat="1" ht="0.8" hidden="1" customHeight="1">
      <c r="A223" s="610"/>
      <c r="B223" s="581" t="s">
        <v>91</v>
      </c>
      <c r="C223" s="581"/>
      <c r="D223" s="178" t="str">
        <f>серпень!D223</f>
        <v>факт. нат.п-ки 2023</v>
      </c>
      <c r="E223" s="85"/>
      <c r="F223" s="12"/>
      <c r="G223" s="12"/>
      <c r="H223" s="12"/>
      <c r="I223" s="12"/>
      <c r="J223" s="12"/>
      <c r="K223" s="12"/>
      <c r="L223" s="102">
        <f>SUM(F223:K223)</f>
        <v>0</v>
      </c>
      <c r="M223" s="102">
        <f>L223/6</f>
        <v>0</v>
      </c>
      <c r="N223" s="12"/>
      <c r="O223" s="12"/>
      <c r="P223" s="12"/>
      <c r="Q223" s="12"/>
      <c r="R223" s="12"/>
      <c r="S223" s="12"/>
      <c r="T223" s="102">
        <f>SUM(N223:S223)</f>
        <v>0</v>
      </c>
      <c r="U223" s="103">
        <f>T223+L223</f>
        <v>0</v>
      </c>
      <c r="V223" s="104"/>
      <c r="W223" s="88">
        <f>V223-U223</f>
        <v>0</v>
      </c>
      <c r="X223" s="47"/>
    </row>
    <row r="224" spans="1:24" s="48" customFormat="1" ht="0.8" hidden="1" customHeight="1">
      <c r="A224" s="610"/>
      <c r="B224" s="581"/>
      <c r="C224" s="581"/>
      <c r="D224" s="178" t="str">
        <f>серпень!D224</f>
        <v>факт. нат.п-ки 2024</v>
      </c>
      <c r="E224" s="85"/>
      <c r="F224" s="12"/>
      <c r="G224" s="12"/>
      <c r="H224" s="12"/>
      <c r="I224" s="12"/>
      <c r="J224" s="12"/>
      <c r="K224" s="12"/>
      <c r="L224" s="102">
        <f>SUM(F224:K224)</f>
        <v>0</v>
      </c>
      <c r="M224" s="102">
        <f>L224/6</f>
        <v>0</v>
      </c>
      <c r="N224" s="85"/>
      <c r="O224" s="85"/>
      <c r="P224" s="85"/>
      <c r="Q224" s="85"/>
      <c r="R224" s="85"/>
      <c r="S224" s="85"/>
      <c r="T224" s="102">
        <f>SUM(N224:S224)</f>
        <v>0</v>
      </c>
      <c r="U224" s="103">
        <f>T224+L224</f>
        <v>0</v>
      </c>
      <c r="V224" s="104"/>
      <c r="W224" s="88">
        <f>V224-U224</f>
        <v>0</v>
      </c>
      <c r="X224" s="47"/>
    </row>
    <row r="225" spans="1:24" s="48" customFormat="1" ht="0.8" hidden="1" customHeight="1">
      <c r="A225" s="610"/>
      <c r="B225" s="581"/>
      <c r="C225" s="581"/>
      <c r="D225" s="178" t="str">
        <f>серпень!D225</f>
        <v>факт. нат.п-ки 2025</v>
      </c>
      <c r="E225" s="85"/>
      <c r="F225" s="12"/>
      <c r="G225" s="12"/>
      <c r="H225" s="12"/>
      <c r="I225" s="12"/>
      <c r="J225" s="12"/>
      <c r="K225" s="12"/>
      <c r="L225" s="102">
        <f>SUM(F225:K225)</f>
        <v>0</v>
      </c>
      <c r="M225" s="102">
        <f>L225/6</f>
        <v>0</v>
      </c>
      <c r="N225" s="12"/>
      <c r="O225" s="12"/>
      <c r="P225" s="12"/>
      <c r="Q225" s="12"/>
      <c r="R225" s="12"/>
      <c r="S225" s="85"/>
      <c r="T225" s="102">
        <f>SUM(N225:S225)</f>
        <v>0</v>
      </c>
      <c r="U225" s="103">
        <f>T225+L225</f>
        <v>0</v>
      </c>
      <c r="V225" s="85"/>
      <c r="W225" s="88">
        <f>V225-U225</f>
        <v>0</v>
      </c>
      <c r="X225" s="47"/>
    </row>
    <row r="226" spans="1:24" s="51" customFormat="1" ht="0.8" hidden="1" customHeight="1">
      <c r="A226" s="610"/>
      <c r="B226" s="581"/>
      <c r="C226" s="581"/>
      <c r="D226" s="187" t="str">
        <f>серпень!D226</f>
        <v>тариф, грн.</v>
      </c>
      <c r="E226" s="92"/>
      <c r="F226" s="92">
        <v>3501.96</v>
      </c>
      <c r="G226" s="92">
        <v>3501.96</v>
      </c>
      <c r="H226" s="92">
        <v>3501.96</v>
      </c>
      <c r="I226" s="92">
        <v>3501.96</v>
      </c>
      <c r="J226" s="92">
        <v>3501.96</v>
      </c>
      <c r="K226" s="92">
        <v>3501.96</v>
      </c>
      <c r="L226" s="92" t="e">
        <f>L227/L225*1000</f>
        <v>#DIV/0!</v>
      </c>
      <c r="M226" s="92" t="e">
        <f>M227/M225*1000</f>
        <v>#DIV/0!</v>
      </c>
      <c r="N226" s="92">
        <v>3501.96</v>
      </c>
      <c r="O226" s="92">
        <v>3501.96</v>
      </c>
      <c r="P226" s="92">
        <v>3501.96</v>
      </c>
      <c r="Q226" s="92">
        <v>3501.96</v>
      </c>
      <c r="R226" s="92">
        <v>3501.96</v>
      </c>
      <c r="S226" s="92">
        <v>3501.96</v>
      </c>
      <c r="T226" s="92" t="e">
        <f>T227/T225*1000</f>
        <v>#DIV/0!</v>
      </c>
      <c r="U226" s="92" t="e">
        <f>U227/U225*1000</f>
        <v>#DIV/0!</v>
      </c>
      <c r="V226" s="105" t="e">
        <f>V227/V225*1000</f>
        <v>#DIV/0!</v>
      </c>
      <c r="W226" s="86" t="e">
        <f>W227/W225*1000</f>
        <v>#DIV/0!</v>
      </c>
      <c r="X226" s="59"/>
    </row>
    <row r="227" spans="1:24" s="55" customFormat="1" ht="0.8" hidden="1" customHeight="1">
      <c r="A227" s="610"/>
      <c r="B227" s="581"/>
      <c r="C227" s="581"/>
      <c r="D227" s="191" t="str">
        <f>серпень!D227</f>
        <v>сума, тис.грн.</v>
      </c>
      <c r="E227" s="93"/>
      <c r="F227" s="93">
        <f t="shared" ref="F227:K227" si="258">F225*F226/1000</f>
        <v>0</v>
      </c>
      <c r="G227" s="93">
        <f t="shared" si="258"/>
        <v>0</v>
      </c>
      <c r="H227" s="93">
        <f t="shared" si="258"/>
        <v>0</v>
      </c>
      <c r="I227" s="93">
        <f t="shared" si="258"/>
        <v>0</v>
      </c>
      <c r="J227" s="93">
        <f t="shared" si="258"/>
        <v>0</v>
      </c>
      <c r="K227" s="93">
        <f t="shared" si="258"/>
        <v>0</v>
      </c>
      <c r="L227" s="106">
        <f>SUM(F227:K227)</f>
        <v>0</v>
      </c>
      <c r="M227" s="106">
        <f>L227/6</f>
        <v>0</v>
      </c>
      <c r="N227" s="93">
        <f t="shared" ref="N227:S227" si="259">N225*N226/1000</f>
        <v>0</v>
      </c>
      <c r="O227" s="93">
        <f t="shared" si="259"/>
        <v>0</v>
      </c>
      <c r="P227" s="93">
        <f t="shared" si="259"/>
        <v>0</v>
      </c>
      <c r="Q227" s="93">
        <f t="shared" si="259"/>
        <v>0</v>
      </c>
      <c r="R227" s="93">
        <f t="shared" si="259"/>
        <v>0</v>
      </c>
      <c r="S227" s="93">
        <f t="shared" si="259"/>
        <v>0</v>
      </c>
      <c r="T227" s="106">
        <f>SUM(N227:S227)</f>
        <v>0</v>
      </c>
      <c r="U227" s="106">
        <f>T227+L227</f>
        <v>0</v>
      </c>
      <c r="V227" s="107">
        <f>V228+V229</f>
        <v>0</v>
      </c>
      <c r="W227" s="94">
        <f>V227-U227</f>
        <v>0</v>
      </c>
      <c r="X227" s="54">
        <f>2726951.723/1000</f>
        <v>2726.9520000000002</v>
      </c>
    </row>
    <row r="228" spans="1:24" s="55" customFormat="1" ht="0.8" hidden="1" customHeight="1">
      <c r="A228" s="610"/>
      <c r="B228" s="581"/>
      <c r="C228" s="581"/>
      <c r="D228" s="174" t="str">
        <f>серпень!D228</f>
        <v>дотація</v>
      </c>
      <c r="E228" s="95"/>
      <c r="F228" s="93"/>
      <c r="G228" s="93"/>
      <c r="H228" s="93"/>
      <c r="I228" s="93"/>
      <c r="J228" s="93"/>
      <c r="K228" s="93"/>
      <c r="L228" s="106">
        <f>SUM(F228:K228)</f>
        <v>0</v>
      </c>
      <c r="M228" s="106">
        <f>L228/6</f>
        <v>0</v>
      </c>
      <c r="N228" s="93"/>
      <c r="O228" s="93"/>
      <c r="P228" s="93"/>
      <c r="Q228" s="93"/>
      <c r="R228" s="93"/>
      <c r="S228" s="93"/>
      <c r="T228" s="106">
        <f>SUM(N228:S228)</f>
        <v>0</v>
      </c>
      <c r="U228" s="106">
        <f>T228+L228</f>
        <v>0</v>
      </c>
      <c r="V228" s="107">
        <v>0</v>
      </c>
      <c r="W228" s="94">
        <f>V228-U228</f>
        <v>0</v>
      </c>
      <c r="X228" s="58"/>
    </row>
    <row r="229" spans="1:24" s="55" customFormat="1" ht="0.8" hidden="1" customHeight="1">
      <c r="A229" s="610"/>
      <c r="B229" s="581"/>
      <c r="C229" s="581"/>
      <c r="D229" s="174" t="str">
        <f>серпень!D229</f>
        <v>місцевий (план), тис.грн</v>
      </c>
      <c r="E229" s="95"/>
      <c r="F229" s="93"/>
      <c r="G229" s="93"/>
      <c r="H229" s="93"/>
      <c r="I229" s="93"/>
      <c r="J229" s="93"/>
      <c r="K229" s="93"/>
      <c r="L229" s="106">
        <f>SUM(F229:K229)</f>
        <v>0</v>
      </c>
      <c r="M229" s="106">
        <f>L229/6</f>
        <v>0</v>
      </c>
      <c r="N229" s="93"/>
      <c r="O229" s="93"/>
      <c r="P229" s="93"/>
      <c r="Q229" s="93"/>
      <c r="R229" s="93"/>
      <c r="S229" s="93"/>
      <c r="T229" s="106">
        <f>SUM(N229:S229)</f>
        <v>0</v>
      </c>
      <c r="U229" s="106">
        <f>T229+L229</f>
        <v>0</v>
      </c>
      <c r="V229" s="107"/>
      <c r="W229" s="94">
        <f>V229-U229</f>
        <v>0</v>
      </c>
      <c r="X229" s="58"/>
    </row>
    <row r="230" spans="1:24" s="48" customFormat="1" ht="3.8" hidden="1" customHeight="1">
      <c r="A230" s="610"/>
      <c r="B230" s="581"/>
      <c r="C230" s="581"/>
      <c r="D230" s="178" t="str">
        <f>серпень!D230</f>
        <v>касові нат.п-ки 2025</v>
      </c>
      <c r="E230" s="85"/>
      <c r="F230" s="85"/>
      <c r="G230" s="85"/>
      <c r="H230" s="85"/>
      <c r="I230" s="85"/>
      <c r="J230" s="85"/>
      <c r="K230" s="85"/>
      <c r="L230" s="102">
        <f>SUM(F230:K230)</f>
        <v>0</v>
      </c>
      <c r="M230" s="102">
        <f>L230/6</f>
        <v>0</v>
      </c>
      <c r="N230" s="85"/>
      <c r="O230" s="85"/>
      <c r="P230" s="85"/>
      <c r="Q230" s="85"/>
      <c r="R230" s="85"/>
      <c r="S230" s="85">
        <f>S225+R225</f>
        <v>0</v>
      </c>
      <c r="T230" s="102">
        <f>SUM(N230:S230)</f>
        <v>0</v>
      </c>
      <c r="U230" s="102">
        <f>T230+L230</f>
        <v>0</v>
      </c>
      <c r="V230" s="85">
        <f>V225</f>
        <v>0</v>
      </c>
      <c r="W230" s="88">
        <f>V230-U230</f>
        <v>0</v>
      </c>
      <c r="X230" s="47">
        <f>U225-U230</f>
        <v>0</v>
      </c>
    </row>
    <row r="231" spans="1:24" s="51" customFormat="1" ht="0.8" hidden="1" customHeight="1">
      <c r="A231" s="610"/>
      <c r="B231" s="581"/>
      <c r="C231" s="581"/>
      <c r="D231" s="187" t="str">
        <f>серпень!D231</f>
        <v>тариф, грн.</v>
      </c>
      <c r="E231" s="92" t="e">
        <f>E232/E230*1000</f>
        <v>#DIV/0!</v>
      </c>
      <c r="F231" s="92">
        <v>3501.96</v>
      </c>
      <c r="G231" s="92">
        <v>3501.96</v>
      </c>
      <c r="H231" s="92">
        <v>3501.96</v>
      </c>
      <c r="I231" s="92">
        <v>3501.96</v>
      </c>
      <c r="J231" s="92">
        <v>3501.96</v>
      </c>
      <c r="K231" s="92">
        <v>3501.96</v>
      </c>
      <c r="L231" s="92" t="e">
        <f>L232/L230*1000</f>
        <v>#DIV/0!</v>
      </c>
      <c r="M231" s="92" t="e">
        <f>M232/M230*1000</f>
        <v>#DIV/0!</v>
      </c>
      <c r="N231" s="92">
        <v>3501.96</v>
      </c>
      <c r="O231" s="92">
        <v>3501.96</v>
      </c>
      <c r="P231" s="92">
        <v>3501.96</v>
      </c>
      <c r="Q231" s="92">
        <v>3501.96</v>
      </c>
      <c r="R231" s="92">
        <v>3501.96</v>
      </c>
      <c r="S231" s="92">
        <v>3501.96</v>
      </c>
      <c r="T231" s="92" t="e">
        <f>T232/T230*1000</f>
        <v>#DIV/0!</v>
      </c>
      <c r="U231" s="92" t="e">
        <f>U232/U230*1000</f>
        <v>#DIV/0!</v>
      </c>
      <c r="V231" s="105" t="e">
        <f>V232/V230*1000</f>
        <v>#DIV/0!</v>
      </c>
      <c r="W231" s="86" t="e">
        <f>W232/W230*1000</f>
        <v>#DIV/0!</v>
      </c>
      <c r="X231" s="59"/>
    </row>
    <row r="232" spans="1:24" s="63" customFormat="1" ht="0.8" hidden="1" customHeight="1">
      <c r="A232" s="610"/>
      <c r="B232" s="581"/>
      <c r="C232" s="581"/>
      <c r="D232" s="198" t="str">
        <f>серпень!D232</f>
        <v>касові видатки, тис.грн.</v>
      </c>
      <c r="E232" s="108"/>
      <c r="F232" s="98">
        <f t="shared" ref="F232:K232" si="260">F230*F231/1000</f>
        <v>0</v>
      </c>
      <c r="G232" s="98">
        <f t="shared" si="260"/>
        <v>0</v>
      </c>
      <c r="H232" s="98">
        <f t="shared" si="260"/>
        <v>0</v>
      </c>
      <c r="I232" s="98">
        <f t="shared" si="260"/>
        <v>0</v>
      </c>
      <c r="J232" s="98">
        <f t="shared" si="260"/>
        <v>0</v>
      </c>
      <c r="K232" s="98">
        <f t="shared" si="260"/>
        <v>0</v>
      </c>
      <c r="L232" s="98">
        <f>SUM(F232:K232)</f>
        <v>0</v>
      </c>
      <c r="M232" s="98">
        <f>L232/6</f>
        <v>0</v>
      </c>
      <c r="N232" s="98">
        <f t="shared" ref="N232:S232" si="261">N230*N231/1000</f>
        <v>0</v>
      </c>
      <c r="O232" s="98">
        <f t="shared" si="261"/>
        <v>0</v>
      </c>
      <c r="P232" s="98">
        <f t="shared" si="261"/>
        <v>0</v>
      </c>
      <c r="Q232" s="98">
        <f t="shared" si="261"/>
        <v>0</v>
      </c>
      <c r="R232" s="98">
        <f t="shared" si="261"/>
        <v>0</v>
      </c>
      <c r="S232" s="98">
        <f t="shared" si="261"/>
        <v>0</v>
      </c>
      <c r="T232" s="98">
        <f>SUM(N232:S232)</f>
        <v>0</v>
      </c>
      <c r="U232" s="98">
        <f>T232+L232</f>
        <v>0</v>
      </c>
      <c r="V232" s="98">
        <f>V227</f>
        <v>0</v>
      </c>
      <c r="W232" s="109">
        <f>V232-U232</f>
        <v>0</v>
      </c>
      <c r="X232" s="63">
        <f>U227-U232</f>
        <v>0</v>
      </c>
    </row>
    <row r="233" spans="1:24" s="63" customFormat="1" ht="0.8" hidden="1" customHeight="1">
      <c r="A233" s="610"/>
      <c r="B233" s="581"/>
      <c r="C233" s="581"/>
      <c r="D233" s="201" t="str">
        <f>серпень!D233</f>
        <v>дотація</v>
      </c>
      <c r="E233" s="108"/>
      <c r="F233" s="98"/>
      <c r="G233" s="98"/>
      <c r="H233" s="98"/>
      <c r="I233" s="98"/>
      <c r="J233" s="98"/>
      <c r="K233" s="98"/>
      <c r="L233" s="98">
        <f>SUM(F233:K233)</f>
        <v>0</v>
      </c>
      <c r="M233" s="98">
        <f>L233/6</f>
        <v>0</v>
      </c>
      <c r="N233" s="98"/>
      <c r="O233" s="98"/>
      <c r="P233" s="98"/>
      <c r="Q233" s="98"/>
      <c r="R233" s="98"/>
      <c r="S233" s="98"/>
      <c r="T233" s="98">
        <f>SUM(N233:S233)</f>
        <v>0</v>
      </c>
      <c r="U233" s="98">
        <f>T233+L233</f>
        <v>0</v>
      </c>
      <c r="V233" s="98">
        <f>V228</f>
        <v>0</v>
      </c>
      <c r="W233" s="109">
        <f>V233-U233</f>
        <v>0</v>
      </c>
      <c r="X233" s="63">
        <f>U228-U233</f>
        <v>0</v>
      </c>
    </row>
    <row r="234" spans="1:24" s="63" customFormat="1" ht="0.8" hidden="1" customHeight="1">
      <c r="A234" s="610"/>
      <c r="B234" s="581"/>
      <c r="C234" s="581"/>
      <c r="D234" s="201" t="str">
        <f>серпень!D234</f>
        <v xml:space="preserve">місцевий </v>
      </c>
      <c r="E234" s="108"/>
      <c r="F234" s="98">
        <f t="shared" ref="F234:K234" si="262">F232-F233</f>
        <v>0</v>
      </c>
      <c r="G234" s="98">
        <f t="shared" si="262"/>
        <v>0</v>
      </c>
      <c r="H234" s="98">
        <f t="shared" si="262"/>
        <v>0</v>
      </c>
      <c r="I234" s="98">
        <f t="shared" si="262"/>
        <v>0</v>
      </c>
      <c r="J234" s="98">
        <f t="shared" si="262"/>
        <v>0</v>
      </c>
      <c r="K234" s="98">
        <f t="shared" si="262"/>
        <v>0</v>
      </c>
      <c r="L234" s="98">
        <f>SUM(F234:K234)</f>
        <v>0</v>
      </c>
      <c r="M234" s="98">
        <f>L234/6</f>
        <v>0</v>
      </c>
      <c r="N234" s="98">
        <f t="shared" ref="N234:S234" si="263">N232-N233</f>
        <v>0</v>
      </c>
      <c r="O234" s="98">
        <f t="shared" si="263"/>
        <v>0</v>
      </c>
      <c r="P234" s="98">
        <f t="shared" si="263"/>
        <v>0</v>
      </c>
      <c r="Q234" s="98">
        <f t="shared" si="263"/>
        <v>0</v>
      </c>
      <c r="R234" s="98">
        <f t="shared" si="263"/>
        <v>0</v>
      </c>
      <c r="S234" s="98">
        <f t="shared" si="263"/>
        <v>0</v>
      </c>
      <c r="T234" s="98">
        <f>SUM(N234:S234)</f>
        <v>0</v>
      </c>
      <c r="U234" s="98">
        <f>T234+L234</f>
        <v>0</v>
      </c>
      <c r="V234" s="98">
        <f>V229</f>
        <v>0</v>
      </c>
      <c r="W234" s="109">
        <f>V234-U234</f>
        <v>0</v>
      </c>
      <c r="X234" s="63">
        <f>U229-U234</f>
        <v>0</v>
      </c>
    </row>
    <row r="235" spans="1:24" s="43" customFormat="1" ht="0.8" hidden="1" customHeight="1">
      <c r="A235" s="610"/>
      <c r="B235" s="581"/>
      <c r="C235" s="581"/>
      <c r="D235" s="202" t="str">
        <f>серпень!D235</f>
        <v>план</v>
      </c>
      <c r="E235" s="100"/>
      <c r="F235" s="100">
        <f t="shared" ref="F235:K235" si="264">F229</f>
        <v>0</v>
      </c>
      <c r="G235" s="100">
        <f t="shared" si="264"/>
        <v>0</v>
      </c>
      <c r="H235" s="100">
        <f t="shared" si="264"/>
        <v>0</v>
      </c>
      <c r="I235" s="100">
        <f t="shared" si="264"/>
        <v>0</v>
      </c>
      <c r="J235" s="100">
        <f t="shared" si="264"/>
        <v>0</v>
      </c>
      <c r="K235" s="100">
        <f t="shared" si="264"/>
        <v>0</v>
      </c>
      <c r="L235" s="100">
        <f>SUM(F235:K235)</f>
        <v>0</v>
      </c>
      <c r="M235" s="100">
        <f>L235/6</f>
        <v>0</v>
      </c>
      <c r="N235" s="100">
        <f t="shared" ref="N235:S235" si="265">N229+N228</f>
        <v>0</v>
      </c>
      <c r="O235" s="100">
        <f t="shared" si="265"/>
        <v>0</v>
      </c>
      <c r="P235" s="100">
        <f t="shared" si="265"/>
        <v>0</v>
      </c>
      <c r="Q235" s="100">
        <f t="shared" si="265"/>
        <v>0</v>
      </c>
      <c r="R235" s="100">
        <f t="shared" si="265"/>
        <v>0</v>
      </c>
      <c r="S235" s="100">
        <f t="shared" si="265"/>
        <v>0</v>
      </c>
      <c r="T235" s="100">
        <f>SUM(N235:S235)</f>
        <v>0</v>
      </c>
      <c r="U235" s="100">
        <f>T235+L235</f>
        <v>0</v>
      </c>
      <c r="V235" s="100">
        <f>V232</f>
        <v>0</v>
      </c>
      <c r="W235" s="100">
        <f>V235-U235</f>
        <v>0</v>
      </c>
    </row>
    <row r="236" spans="1:24" s="43" customFormat="1" ht="0.8" hidden="1" customHeight="1">
      <c r="A236" s="610"/>
      <c r="B236" s="581"/>
      <c r="C236" s="581"/>
      <c r="D236" s="202" t="str">
        <f>серпень!D236</f>
        <v xml:space="preserve">відхилення </v>
      </c>
      <c r="E236" s="100"/>
      <c r="F236" s="100">
        <f t="shared" ref="F236:K236" si="266">F232-F235</f>
        <v>0</v>
      </c>
      <c r="G236" s="100">
        <f t="shared" si="266"/>
        <v>0</v>
      </c>
      <c r="H236" s="100">
        <f t="shared" si="266"/>
        <v>0</v>
      </c>
      <c r="I236" s="100">
        <f t="shared" si="266"/>
        <v>0</v>
      </c>
      <c r="J236" s="100">
        <f t="shared" si="266"/>
        <v>0</v>
      </c>
      <c r="K236" s="100">
        <f t="shared" si="266"/>
        <v>0</v>
      </c>
      <c r="L236" s="100"/>
      <c r="M236" s="100"/>
      <c r="N236" s="100">
        <f t="shared" ref="N236:S236" si="267">N232-N235</f>
        <v>0</v>
      </c>
      <c r="O236" s="100">
        <f t="shared" si="267"/>
        <v>0</v>
      </c>
      <c r="P236" s="100">
        <f t="shared" si="267"/>
        <v>0</v>
      </c>
      <c r="Q236" s="100">
        <f t="shared" si="267"/>
        <v>0</v>
      </c>
      <c r="R236" s="100">
        <f t="shared" si="267"/>
        <v>0</v>
      </c>
      <c r="S236" s="100">
        <f t="shared" si="267"/>
        <v>0</v>
      </c>
      <c r="T236" s="100"/>
      <c r="U236" s="100"/>
      <c r="V236" s="100"/>
      <c r="W236" s="100"/>
    </row>
    <row r="237" spans="1:24" s="43" customFormat="1" ht="0.8" hidden="1" customHeight="1">
      <c r="A237" s="610"/>
      <c r="B237" s="581"/>
      <c r="C237" s="581"/>
      <c r="D237" s="202" t="str">
        <f>серпень!D237</f>
        <v>відхилення з наростаючим</v>
      </c>
      <c r="E237" s="100"/>
      <c r="F237" s="100">
        <f>F236</f>
        <v>0</v>
      </c>
      <c r="G237" s="100">
        <f>G236+F237</f>
        <v>0</v>
      </c>
      <c r="H237" s="100">
        <f>H236+G237</f>
        <v>0</v>
      </c>
      <c r="I237" s="100">
        <f>I236+H237</f>
        <v>0</v>
      </c>
      <c r="J237" s="100">
        <f>J236+I237</f>
        <v>0</v>
      </c>
      <c r="K237" s="100">
        <f>K236+J237</f>
        <v>0</v>
      </c>
      <c r="L237" s="100"/>
      <c r="M237" s="100"/>
      <c r="N237" s="100">
        <f>N236+K237</f>
        <v>0</v>
      </c>
      <c r="O237" s="100">
        <f>O236+N237</f>
        <v>0</v>
      </c>
      <c r="P237" s="100">
        <f>P236+O237</f>
        <v>0</v>
      </c>
      <c r="Q237" s="100">
        <f>Q236+P237</f>
        <v>0</v>
      </c>
      <c r="R237" s="100">
        <f>R236+Q237</f>
        <v>0</v>
      </c>
      <c r="S237" s="100">
        <f>S236+R237</f>
        <v>0</v>
      </c>
      <c r="T237" s="100"/>
      <c r="U237" s="100"/>
      <c r="V237" s="100"/>
      <c r="W237" s="100"/>
    </row>
    <row r="238" spans="1:24" s="48" customFormat="1" ht="0.8" hidden="1" customHeight="1">
      <c r="A238" s="610"/>
      <c r="B238" s="576" t="s">
        <v>56</v>
      </c>
      <c r="C238" s="577"/>
      <c r="D238" s="178" t="str">
        <f>серпень!D238</f>
        <v>факт. нат.п-ки 2023</v>
      </c>
      <c r="E238" s="85"/>
      <c r="F238" s="12"/>
      <c r="G238" s="12"/>
      <c r="H238" s="12"/>
      <c r="I238" s="12"/>
      <c r="J238" s="12"/>
      <c r="K238" s="12"/>
      <c r="L238" s="140">
        <f>SUM(F238:K238)</f>
        <v>0</v>
      </c>
      <c r="M238" s="140">
        <f>L238/6</f>
        <v>0</v>
      </c>
      <c r="N238" s="12"/>
      <c r="O238" s="12"/>
      <c r="P238" s="12"/>
      <c r="Q238" s="12"/>
      <c r="R238" s="12"/>
      <c r="S238" s="12"/>
      <c r="T238" s="140">
        <f>SUM(N238:S238)</f>
        <v>0</v>
      </c>
      <c r="U238" s="103">
        <f>T238+L238</f>
        <v>0</v>
      </c>
      <c r="V238" s="104"/>
      <c r="W238" s="88">
        <f>V238-U238</f>
        <v>0</v>
      </c>
      <c r="X238" s="47"/>
    </row>
    <row r="239" spans="1:24" s="48" customFormat="1" ht="0.8" hidden="1" customHeight="1">
      <c r="A239" s="610"/>
      <c r="B239" s="576"/>
      <c r="C239" s="577"/>
      <c r="D239" s="178" t="str">
        <f>серпень!D239</f>
        <v>факт. нат.п-ки 2024</v>
      </c>
      <c r="E239" s="85"/>
      <c r="F239" s="12"/>
      <c r="G239" s="12"/>
      <c r="H239" s="12"/>
      <c r="I239" s="12"/>
      <c r="J239" s="12"/>
      <c r="K239" s="12"/>
      <c r="L239" s="140">
        <f>SUM(F239:K239)</f>
        <v>0</v>
      </c>
      <c r="M239" s="140">
        <f>L239/6</f>
        <v>0</v>
      </c>
      <c r="N239" s="85"/>
      <c r="O239" s="85"/>
      <c r="P239" s="85"/>
      <c r="Q239" s="85"/>
      <c r="R239" s="85"/>
      <c r="S239" s="85"/>
      <c r="T239" s="140">
        <f>SUM(N239:S239)</f>
        <v>0</v>
      </c>
      <c r="U239" s="103">
        <f>T239+L239</f>
        <v>0</v>
      </c>
      <c r="V239" s="104"/>
      <c r="W239" s="88">
        <f>V239-U239</f>
        <v>0</v>
      </c>
      <c r="X239" s="47"/>
    </row>
    <row r="240" spans="1:24" s="48" customFormat="1" ht="0.8" hidden="1" customHeight="1">
      <c r="A240" s="610"/>
      <c r="B240" s="576"/>
      <c r="C240" s="577"/>
      <c r="D240" s="178" t="str">
        <f>серпень!D240</f>
        <v>факт. нат.п-ки 2025</v>
      </c>
      <c r="E240" s="85"/>
      <c r="F240" s="12"/>
      <c r="G240" s="12"/>
      <c r="H240" s="12"/>
      <c r="I240" s="12"/>
      <c r="J240" s="12"/>
      <c r="K240" s="12"/>
      <c r="L240" s="140">
        <f>SUM(F240:K240)</f>
        <v>0</v>
      </c>
      <c r="M240" s="140">
        <f>L240/6</f>
        <v>0</v>
      </c>
      <c r="N240" s="12"/>
      <c r="O240" s="12"/>
      <c r="P240" s="12"/>
      <c r="Q240" s="12"/>
      <c r="R240" s="12"/>
      <c r="S240" s="85"/>
      <c r="T240" s="140">
        <f>SUM(N240:S240)</f>
        <v>0</v>
      </c>
      <c r="U240" s="103">
        <f>T240+L240</f>
        <v>0</v>
      </c>
      <c r="V240" s="85"/>
      <c r="W240" s="88">
        <f>V240-U240</f>
        <v>0</v>
      </c>
      <c r="X240" s="47"/>
    </row>
    <row r="241" spans="1:24" s="51" customFormat="1" ht="0.8" hidden="1" customHeight="1">
      <c r="A241" s="610"/>
      <c r="B241" s="576"/>
      <c r="C241" s="577"/>
      <c r="D241" s="187" t="str">
        <f>серпень!D241</f>
        <v>тариф, грн.</v>
      </c>
      <c r="E241" s="92"/>
      <c r="F241" s="92">
        <v>1655.08</v>
      </c>
      <c r="G241" s="92">
        <v>1655.08</v>
      </c>
      <c r="H241" s="92">
        <v>1655.08</v>
      </c>
      <c r="I241" s="92">
        <v>1655.08</v>
      </c>
      <c r="J241" s="92">
        <v>1655.08</v>
      </c>
      <c r="K241" s="92">
        <v>1655.08</v>
      </c>
      <c r="L241" s="92" t="e">
        <f>L242/L240*1000</f>
        <v>#DIV/0!</v>
      </c>
      <c r="M241" s="92" t="e">
        <f>M242/M240*1000</f>
        <v>#DIV/0!</v>
      </c>
      <c r="N241" s="92">
        <v>1655.08</v>
      </c>
      <c r="O241" s="92">
        <v>1655.08</v>
      </c>
      <c r="P241" s="92">
        <v>1655.08</v>
      </c>
      <c r="Q241" s="92">
        <v>1655.08</v>
      </c>
      <c r="R241" s="92">
        <v>1655.08</v>
      </c>
      <c r="S241" s="92">
        <v>1655.08</v>
      </c>
      <c r="T241" s="92" t="e">
        <f>T242/T240*1000</f>
        <v>#DIV/0!</v>
      </c>
      <c r="U241" s="92" t="e">
        <f>U242/U240*1000</f>
        <v>#DIV/0!</v>
      </c>
      <c r="V241" s="105" t="e">
        <f>V242/V240*1000</f>
        <v>#DIV/0!</v>
      </c>
      <c r="W241" s="86" t="e">
        <f>W242/W240*1000</f>
        <v>#DIV/0!</v>
      </c>
      <c r="X241" s="59"/>
    </row>
    <row r="242" spans="1:24" s="55" customFormat="1" ht="0.8" hidden="1" customHeight="1">
      <c r="A242" s="610"/>
      <c r="B242" s="576"/>
      <c r="C242" s="577"/>
      <c r="D242" s="191" t="str">
        <f>серпень!D242</f>
        <v>сума, тис.грн.</v>
      </c>
      <c r="E242" s="93"/>
      <c r="F242" s="93">
        <f t="shared" ref="F242:K242" si="268">F240*F241/1000</f>
        <v>0</v>
      </c>
      <c r="G242" s="93">
        <f t="shared" si="268"/>
        <v>0</v>
      </c>
      <c r="H242" s="93">
        <f t="shared" si="268"/>
        <v>0</v>
      </c>
      <c r="I242" s="93">
        <f t="shared" si="268"/>
        <v>0</v>
      </c>
      <c r="J242" s="93">
        <f t="shared" si="268"/>
        <v>0</v>
      </c>
      <c r="K242" s="93">
        <f t="shared" si="268"/>
        <v>0</v>
      </c>
      <c r="L242" s="106">
        <f>SUM(F242:K242)</f>
        <v>0</v>
      </c>
      <c r="M242" s="106">
        <f>L242/6</f>
        <v>0</v>
      </c>
      <c r="N242" s="93">
        <f t="shared" ref="N242:S242" si="269">N240*N241/1000</f>
        <v>0</v>
      </c>
      <c r="O242" s="93">
        <f t="shared" si="269"/>
        <v>0</v>
      </c>
      <c r="P242" s="93">
        <f t="shared" si="269"/>
        <v>0</v>
      </c>
      <c r="Q242" s="93">
        <f t="shared" si="269"/>
        <v>0</v>
      </c>
      <c r="R242" s="93">
        <f t="shared" si="269"/>
        <v>0</v>
      </c>
      <c r="S242" s="93">
        <f t="shared" si="269"/>
        <v>0</v>
      </c>
      <c r="T242" s="106">
        <f>SUM(N242:S242)</f>
        <v>0</v>
      </c>
      <c r="U242" s="106">
        <f>T242+L242</f>
        <v>0</v>
      </c>
      <c r="V242" s="107">
        <f>V243+V244</f>
        <v>0</v>
      </c>
      <c r="W242" s="94">
        <f>V242-U242</f>
        <v>0</v>
      </c>
      <c r="X242" s="54">
        <f>2726951.723/1000</f>
        <v>2726.9520000000002</v>
      </c>
    </row>
    <row r="243" spans="1:24" s="55" customFormat="1" ht="0.8" hidden="1" customHeight="1">
      <c r="A243" s="610"/>
      <c r="B243" s="576"/>
      <c r="C243" s="577"/>
      <c r="D243" s="174" t="str">
        <f>серпень!D243</f>
        <v>дотація</v>
      </c>
      <c r="E243" s="95"/>
      <c r="F243" s="93"/>
      <c r="G243" s="93"/>
      <c r="H243" s="93"/>
      <c r="I243" s="93"/>
      <c r="J243" s="93"/>
      <c r="K243" s="93"/>
      <c r="L243" s="106">
        <f>SUM(F243:K243)</f>
        <v>0</v>
      </c>
      <c r="M243" s="106">
        <f>L243/6</f>
        <v>0</v>
      </c>
      <c r="N243" s="93"/>
      <c r="O243" s="93"/>
      <c r="P243" s="93"/>
      <c r="Q243" s="93"/>
      <c r="R243" s="93"/>
      <c r="S243" s="93"/>
      <c r="T243" s="106">
        <f>SUM(N243:S243)</f>
        <v>0</v>
      </c>
      <c r="U243" s="106">
        <f>T243+L243</f>
        <v>0</v>
      </c>
      <c r="V243" s="107">
        <v>0</v>
      </c>
      <c r="W243" s="94">
        <f>V243-U243</f>
        <v>0</v>
      </c>
      <c r="X243" s="58"/>
    </row>
    <row r="244" spans="1:24" s="55" customFormat="1" ht="0.8" hidden="1" customHeight="1">
      <c r="A244" s="610"/>
      <c r="B244" s="576"/>
      <c r="C244" s="577"/>
      <c r="D244" s="174" t="str">
        <f>серпень!D244</f>
        <v>місцевий (план), тис.грн</v>
      </c>
      <c r="E244" s="95"/>
      <c r="F244" s="93"/>
      <c r="G244" s="93"/>
      <c r="H244" s="93"/>
      <c r="I244" s="93"/>
      <c r="J244" s="93"/>
      <c r="K244" s="93"/>
      <c r="L244" s="106">
        <f>SUM(F244:K244)</f>
        <v>0</v>
      </c>
      <c r="M244" s="106">
        <f>L244/6</f>
        <v>0</v>
      </c>
      <c r="N244" s="93"/>
      <c r="O244" s="93"/>
      <c r="P244" s="93"/>
      <c r="Q244" s="93"/>
      <c r="R244" s="93"/>
      <c r="S244" s="93"/>
      <c r="T244" s="106">
        <f>SUM(N244:S244)</f>
        <v>0</v>
      </c>
      <c r="U244" s="106">
        <f>T244+L244</f>
        <v>0</v>
      </c>
      <c r="V244" s="107"/>
      <c r="W244" s="94">
        <f>V244-U244</f>
        <v>0</v>
      </c>
      <c r="X244" s="58"/>
    </row>
    <row r="245" spans="1:24" s="48" customFormat="1" ht="0.8" hidden="1" customHeight="1">
      <c r="A245" s="610"/>
      <c r="B245" s="576"/>
      <c r="C245" s="577"/>
      <c r="D245" s="178" t="str">
        <f>серпень!D245</f>
        <v>касові нат.п-ки 2025</v>
      </c>
      <c r="E245" s="85"/>
      <c r="F245" s="85"/>
      <c r="G245" s="85"/>
      <c r="H245" s="85"/>
      <c r="I245" s="85"/>
      <c r="J245" s="85"/>
      <c r="K245" s="85"/>
      <c r="L245" s="140">
        <f>SUM(F245:K245)</f>
        <v>0</v>
      </c>
      <c r="M245" s="140">
        <f>L245/6</f>
        <v>0</v>
      </c>
      <c r="N245" s="85"/>
      <c r="O245" s="85"/>
      <c r="P245" s="85"/>
      <c r="Q245" s="85"/>
      <c r="R245" s="85"/>
      <c r="S245" s="85">
        <f>S240+R240</f>
        <v>0</v>
      </c>
      <c r="T245" s="140">
        <f>SUM(N245:S245)</f>
        <v>0</v>
      </c>
      <c r="U245" s="140">
        <f>T245+L245</f>
        <v>0</v>
      </c>
      <c r="V245" s="85">
        <f>V240</f>
        <v>0</v>
      </c>
      <c r="W245" s="88">
        <f>V245-U245</f>
        <v>0</v>
      </c>
      <c r="X245" s="47">
        <f>U240-U245</f>
        <v>0</v>
      </c>
    </row>
    <row r="246" spans="1:24" s="51" customFormat="1" ht="0.8" hidden="1" customHeight="1">
      <c r="A246" s="610"/>
      <c r="B246" s="576"/>
      <c r="C246" s="577"/>
      <c r="D246" s="187" t="str">
        <f>серпень!D246</f>
        <v>тариф, грн.</v>
      </c>
      <c r="E246" s="92" t="e">
        <f>E247/E245*1000</f>
        <v>#DIV/0!</v>
      </c>
      <c r="F246" s="92">
        <v>1655.08</v>
      </c>
      <c r="G246" s="92">
        <v>1655.08</v>
      </c>
      <c r="H246" s="92">
        <v>1655.08</v>
      </c>
      <c r="I246" s="92">
        <v>1655.08</v>
      </c>
      <c r="J246" s="92">
        <v>1655.08</v>
      </c>
      <c r="K246" s="92">
        <v>1655.08</v>
      </c>
      <c r="L246" s="92" t="e">
        <f>L247/L245*1000</f>
        <v>#DIV/0!</v>
      </c>
      <c r="M246" s="92" t="e">
        <f>M247/M245*1000</f>
        <v>#DIV/0!</v>
      </c>
      <c r="N246" s="92">
        <v>1655.08</v>
      </c>
      <c r="O246" s="92">
        <v>1655.08</v>
      </c>
      <c r="P246" s="92">
        <v>1655.08</v>
      </c>
      <c r="Q246" s="92">
        <v>1655.08</v>
      </c>
      <c r="R246" s="92">
        <v>1655.08</v>
      </c>
      <c r="S246" s="92">
        <v>1655.08</v>
      </c>
      <c r="T246" s="92" t="e">
        <f>T247/T245*1000</f>
        <v>#DIV/0!</v>
      </c>
      <c r="U246" s="92" t="e">
        <f>U247/U245*1000</f>
        <v>#DIV/0!</v>
      </c>
      <c r="V246" s="105" t="e">
        <f>V247/V245*1000</f>
        <v>#DIV/0!</v>
      </c>
      <c r="W246" s="86" t="e">
        <f>W247/W245*1000</f>
        <v>#DIV/0!</v>
      </c>
      <c r="X246" s="59"/>
    </row>
    <row r="247" spans="1:24" s="63" customFormat="1" ht="0.8" hidden="1" customHeight="1">
      <c r="A247" s="610"/>
      <c r="B247" s="576"/>
      <c r="C247" s="577"/>
      <c r="D247" s="198" t="str">
        <f>серпень!D247</f>
        <v>касові видатки, тис.грн.</v>
      </c>
      <c r="E247" s="108"/>
      <c r="F247" s="98">
        <f t="shared" ref="F247:K247" si="270">F245*F246/1000</f>
        <v>0</v>
      </c>
      <c r="G247" s="98">
        <f t="shared" si="270"/>
        <v>0</v>
      </c>
      <c r="H247" s="98">
        <f t="shared" si="270"/>
        <v>0</v>
      </c>
      <c r="I247" s="98">
        <f t="shared" si="270"/>
        <v>0</v>
      </c>
      <c r="J247" s="98">
        <f t="shared" si="270"/>
        <v>0</v>
      </c>
      <c r="K247" s="98">
        <f t="shared" si="270"/>
        <v>0</v>
      </c>
      <c r="L247" s="98">
        <f>SUM(F247:K247)</f>
        <v>0</v>
      </c>
      <c r="M247" s="98">
        <f>L247/6</f>
        <v>0</v>
      </c>
      <c r="N247" s="98">
        <f t="shared" ref="N247:S247" si="271">N245*N246/1000</f>
        <v>0</v>
      </c>
      <c r="O247" s="98">
        <f t="shared" si="271"/>
        <v>0</v>
      </c>
      <c r="P247" s="98">
        <f t="shared" si="271"/>
        <v>0</v>
      </c>
      <c r="Q247" s="98">
        <f t="shared" si="271"/>
        <v>0</v>
      </c>
      <c r="R247" s="98">
        <f t="shared" si="271"/>
        <v>0</v>
      </c>
      <c r="S247" s="98">
        <f t="shared" si="271"/>
        <v>0</v>
      </c>
      <c r="T247" s="98">
        <f>SUM(N247:S247)</f>
        <v>0</v>
      </c>
      <c r="U247" s="98">
        <f>T247+L247</f>
        <v>0</v>
      </c>
      <c r="V247" s="98">
        <f>V242</f>
        <v>0</v>
      </c>
      <c r="W247" s="109">
        <f>V247-U247</f>
        <v>0</v>
      </c>
      <c r="X247" s="63">
        <f>U242-U247</f>
        <v>0</v>
      </c>
    </row>
    <row r="248" spans="1:24" s="63" customFormat="1" ht="9.4" hidden="1" customHeight="1">
      <c r="A248" s="610"/>
      <c r="B248" s="576"/>
      <c r="C248" s="577"/>
      <c r="D248" s="201" t="str">
        <f>серпень!D248</f>
        <v>дотація</v>
      </c>
      <c r="E248" s="108"/>
      <c r="F248" s="98"/>
      <c r="G248" s="98"/>
      <c r="H248" s="98"/>
      <c r="I248" s="98"/>
      <c r="J248" s="98"/>
      <c r="K248" s="98"/>
      <c r="L248" s="98">
        <f>SUM(F248:K248)</f>
        <v>0</v>
      </c>
      <c r="M248" s="98">
        <f>L248/6</f>
        <v>0</v>
      </c>
      <c r="N248" s="98"/>
      <c r="O248" s="98"/>
      <c r="P248" s="98"/>
      <c r="Q248" s="98"/>
      <c r="R248" s="98"/>
      <c r="S248" s="98"/>
      <c r="T248" s="98">
        <f>SUM(N248:S248)</f>
        <v>0</v>
      </c>
      <c r="U248" s="98">
        <f>T248+L248</f>
        <v>0</v>
      </c>
      <c r="V248" s="98">
        <f>V243</f>
        <v>0</v>
      </c>
      <c r="W248" s="109">
        <f>V248-U248</f>
        <v>0</v>
      </c>
      <c r="X248" s="63">
        <f>U243-U248</f>
        <v>0</v>
      </c>
    </row>
    <row r="249" spans="1:24" s="63" customFormat="1" ht="0.8" hidden="1" customHeight="1">
      <c r="A249" s="610"/>
      <c r="B249" s="576"/>
      <c r="C249" s="577"/>
      <c r="D249" s="201" t="str">
        <f>серпень!D249</f>
        <v xml:space="preserve">місцевий </v>
      </c>
      <c r="E249" s="108"/>
      <c r="F249" s="98">
        <f t="shared" ref="F249:K249" si="272">F247-F248</f>
        <v>0</v>
      </c>
      <c r="G249" s="98">
        <f t="shared" si="272"/>
        <v>0</v>
      </c>
      <c r="H249" s="98">
        <f t="shared" si="272"/>
        <v>0</v>
      </c>
      <c r="I249" s="98">
        <f t="shared" si="272"/>
        <v>0</v>
      </c>
      <c r="J249" s="98">
        <f t="shared" si="272"/>
        <v>0</v>
      </c>
      <c r="K249" s="98">
        <f t="shared" si="272"/>
        <v>0</v>
      </c>
      <c r="L249" s="98">
        <f>SUM(F249:K249)</f>
        <v>0</v>
      </c>
      <c r="M249" s="98">
        <f>L249/6</f>
        <v>0</v>
      </c>
      <c r="N249" s="98">
        <f t="shared" ref="N249:S249" si="273">N247-N248</f>
        <v>0</v>
      </c>
      <c r="O249" s="98">
        <f t="shared" si="273"/>
        <v>0</v>
      </c>
      <c r="P249" s="98">
        <f t="shared" si="273"/>
        <v>0</v>
      </c>
      <c r="Q249" s="98">
        <f t="shared" si="273"/>
        <v>0</v>
      </c>
      <c r="R249" s="98">
        <f t="shared" si="273"/>
        <v>0</v>
      </c>
      <c r="S249" s="98">
        <f t="shared" si="273"/>
        <v>0</v>
      </c>
      <c r="T249" s="98">
        <f>SUM(N249:S249)</f>
        <v>0</v>
      </c>
      <c r="U249" s="98">
        <f>T249+L249</f>
        <v>0</v>
      </c>
      <c r="V249" s="98">
        <f>V244</f>
        <v>0</v>
      </c>
      <c r="W249" s="109">
        <f>V249-U249</f>
        <v>0</v>
      </c>
      <c r="X249" s="63">
        <f>U244-U249</f>
        <v>0</v>
      </c>
    </row>
    <row r="250" spans="1:24" s="43" customFormat="1" ht="0.8" hidden="1" customHeight="1">
      <c r="A250" s="610"/>
      <c r="B250" s="576"/>
      <c r="C250" s="577"/>
      <c r="D250" s="202" t="str">
        <f>серпень!D250</f>
        <v>план</v>
      </c>
      <c r="E250" s="100"/>
      <c r="F250" s="100">
        <f t="shared" ref="F250:K250" si="274">F244</f>
        <v>0</v>
      </c>
      <c r="G250" s="100">
        <f t="shared" si="274"/>
        <v>0</v>
      </c>
      <c r="H250" s="100">
        <f t="shared" si="274"/>
        <v>0</v>
      </c>
      <c r="I250" s="100">
        <f t="shared" si="274"/>
        <v>0</v>
      </c>
      <c r="J250" s="100">
        <f t="shared" si="274"/>
        <v>0</v>
      </c>
      <c r="K250" s="100">
        <f t="shared" si="274"/>
        <v>0</v>
      </c>
      <c r="L250" s="100">
        <f>SUM(F250:K250)</f>
        <v>0</v>
      </c>
      <c r="M250" s="100">
        <f>L250/6</f>
        <v>0</v>
      </c>
      <c r="N250" s="100">
        <f t="shared" ref="N250:S250" si="275">N244+N243</f>
        <v>0</v>
      </c>
      <c r="O250" s="100">
        <f t="shared" si="275"/>
        <v>0</v>
      </c>
      <c r="P250" s="100">
        <f t="shared" si="275"/>
        <v>0</v>
      </c>
      <c r="Q250" s="100">
        <f t="shared" si="275"/>
        <v>0</v>
      </c>
      <c r="R250" s="100">
        <f t="shared" si="275"/>
        <v>0</v>
      </c>
      <c r="S250" s="100">
        <f t="shared" si="275"/>
        <v>0</v>
      </c>
      <c r="T250" s="100">
        <f>SUM(N250:S250)</f>
        <v>0</v>
      </c>
      <c r="U250" s="100">
        <f>T250+L250</f>
        <v>0</v>
      </c>
      <c r="V250" s="100">
        <f>V247</f>
        <v>0</v>
      </c>
      <c r="W250" s="100">
        <f>V250-U250</f>
        <v>0</v>
      </c>
    </row>
    <row r="251" spans="1:24" s="43" customFormat="1" ht="0.8" hidden="1" customHeight="1">
      <c r="A251" s="610"/>
      <c r="B251" s="576"/>
      <c r="C251" s="577"/>
      <c r="D251" s="202" t="str">
        <f>серпень!D251</f>
        <v xml:space="preserve">відхилення </v>
      </c>
      <c r="E251" s="100"/>
      <c r="F251" s="100">
        <f t="shared" ref="F251:K251" si="276">F247-F250</f>
        <v>0</v>
      </c>
      <c r="G251" s="100">
        <f t="shared" si="276"/>
        <v>0</v>
      </c>
      <c r="H251" s="100">
        <f t="shared" si="276"/>
        <v>0</v>
      </c>
      <c r="I251" s="100">
        <f t="shared" si="276"/>
        <v>0</v>
      </c>
      <c r="J251" s="100">
        <f t="shared" si="276"/>
        <v>0</v>
      </c>
      <c r="K251" s="100">
        <f t="shared" si="276"/>
        <v>0</v>
      </c>
      <c r="L251" s="100"/>
      <c r="M251" s="100"/>
      <c r="N251" s="100">
        <f t="shared" ref="N251:S251" si="277">N247-N250</f>
        <v>0</v>
      </c>
      <c r="O251" s="100">
        <f t="shared" si="277"/>
        <v>0</v>
      </c>
      <c r="P251" s="100">
        <f t="shared" si="277"/>
        <v>0</v>
      </c>
      <c r="Q251" s="100">
        <f t="shared" si="277"/>
        <v>0</v>
      </c>
      <c r="R251" s="100">
        <f t="shared" si="277"/>
        <v>0</v>
      </c>
      <c r="S251" s="100">
        <f t="shared" si="277"/>
        <v>0</v>
      </c>
      <c r="T251" s="100"/>
      <c r="U251" s="100"/>
      <c r="V251" s="100"/>
      <c r="W251" s="100"/>
    </row>
    <row r="252" spans="1:24" s="43" customFormat="1" ht="0.8" hidden="1" customHeight="1">
      <c r="A252" s="611"/>
      <c r="B252" s="578"/>
      <c r="C252" s="579"/>
      <c r="D252" s="202" t="str">
        <f>серпень!D252</f>
        <v>відхилення з наростаючим</v>
      </c>
      <c r="E252" s="100"/>
      <c r="F252" s="100">
        <f>F251</f>
        <v>0</v>
      </c>
      <c r="G252" s="100">
        <f>G251+F252</f>
        <v>0</v>
      </c>
      <c r="H252" s="100">
        <f>H251+G252</f>
        <v>0</v>
      </c>
      <c r="I252" s="100">
        <f>I251+H252</f>
        <v>0</v>
      </c>
      <c r="J252" s="100">
        <f>J251+I252</f>
        <v>0</v>
      </c>
      <c r="K252" s="100">
        <f>K251+J252</f>
        <v>0</v>
      </c>
      <c r="L252" s="100"/>
      <c r="M252" s="100"/>
      <c r="N252" s="100">
        <f>N251+K252</f>
        <v>0</v>
      </c>
      <c r="O252" s="100">
        <f>O251+N252</f>
        <v>0</v>
      </c>
      <c r="P252" s="100">
        <f>P251+O252</f>
        <v>0</v>
      </c>
      <c r="Q252" s="100">
        <f>Q251+P252</f>
        <v>0</v>
      </c>
      <c r="R252" s="100">
        <f>R251+Q252</f>
        <v>0</v>
      </c>
      <c r="S252" s="100">
        <f>S251+R252</f>
        <v>0</v>
      </c>
      <c r="T252" s="100"/>
      <c r="U252" s="100"/>
      <c r="V252" s="100"/>
      <c r="W252" s="100"/>
    </row>
    <row r="253" spans="1:24" s="186" customFormat="1" ht="0.8" hidden="1" customHeight="1">
      <c r="A253" s="609" t="s">
        <v>58</v>
      </c>
      <c r="B253" s="659" t="s">
        <v>62</v>
      </c>
      <c r="C253" s="660"/>
      <c r="D253" s="178" t="str">
        <f>серпень!D253</f>
        <v>факт. нат.п-ки 2023</v>
      </c>
      <c r="E253" s="179"/>
      <c r="F253" s="180">
        <f t="shared" ref="F253:K255" si="278">F270+F300</f>
        <v>0</v>
      </c>
      <c r="G253" s="180">
        <f t="shared" si="278"/>
        <v>0</v>
      </c>
      <c r="H253" s="180">
        <f t="shared" si="278"/>
        <v>0</v>
      </c>
      <c r="I253" s="180">
        <f t="shared" si="278"/>
        <v>0</v>
      </c>
      <c r="J253" s="180">
        <f t="shared" si="278"/>
        <v>0</v>
      </c>
      <c r="K253" s="180">
        <f t="shared" si="278"/>
        <v>0</v>
      </c>
      <c r="L253" s="207">
        <f>SUM(F253:K253)</f>
        <v>0</v>
      </c>
      <c r="M253" s="207">
        <f>L253/6</f>
        <v>0</v>
      </c>
      <c r="N253" s="180">
        <f t="shared" ref="N253:S255" si="279">N270+N300</f>
        <v>0</v>
      </c>
      <c r="O253" s="180">
        <f t="shared" si="279"/>
        <v>0</v>
      </c>
      <c r="P253" s="180">
        <f t="shared" si="279"/>
        <v>0</v>
      </c>
      <c r="Q253" s="180">
        <f t="shared" si="279"/>
        <v>0</v>
      </c>
      <c r="R253" s="180">
        <f t="shared" si="279"/>
        <v>0</v>
      </c>
      <c r="S253" s="180">
        <f t="shared" si="279"/>
        <v>0</v>
      </c>
      <c r="T253" s="207">
        <f>SUM(N253:S253)</f>
        <v>0</v>
      </c>
      <c r="U253" s="222">
        <f>T253+L253</f>
        <v>0</v>
      </c>
      <c r="V253" s="183">
        <f>V270+V300</f>
        <v>0</v>
      </c>
      <c r="W253" s="184"/>
      <c r="X253" s="185"/>
    </row>
    <row r="254" spans="1:24" s="186" customFormat="1" ht="0.8" hidden="1" customHeight="1">
      <c r="A254" s="610"/>
      <c r="B254" s="661"/>
      <c r="C254" s="662"/>
      <c r="D254" s="178" t="str">
        <f>серпень!D254</f>
        <v>факт. нат.п-ки 2024</v>
      </c>
      <c r="E254" s="179"/>
      <c r="F254" s="180">
        <f t="shared" si="278"/>
        <v>0</v>
      </c>
      <c r="G254" s="180">
        <f t="shared" si="278"/>
        <v>0</v>
      </c>
      <c r="H254" s="180">
        <f t="shared" si="278"/>
        <v>0</v>
      </c>
      <c r="I254" s="180">
        <f t="shared" si="278"/>
        <v>0</v>
      </c>
      <c r="J254" s="180">
        <f t="shared" si="278"/>
        <v>0</v>
      </c>
      <c r="K254" s="180">
        <f t="shared" si="278"/>
        <v>0</v>
      </c>
      <c r="L254" s="207">
        <f>SUM(F254:K254)</f>
        <v>0</v>
      </c>
      <c r="M254" s="207">
        <f>L254/6</f>
        <v>0</v>
      </c>
      <c r="N254" s="179">
        <f t="shared" si="279"/>
        <v>0</v>
      </c>
      <c r="O254" s="179">
        <f t="shared" si="279"/>
        <v>0</v>
      </c>
      <c r="P254" s="179">
        <f t="shared" si="279"/>
        <v>0</v>
      </c>
      <c r="Q254" s="179">
        <f t="shared" si="279"/>
        <v>0</v>
      </c>
      <c r="R254" s="179">
        <f t="shared" si="279"/>
        <v>0</v>
      </c>
      <c r="S254" s="179">
        <f t="shared" si="279"/>
        <v>0</v>
      </c>
      <c r="T254" s="207">
        <f>SUM(N254:S254)</f>
        <v>0</v>
      </c>
      <c r="U254" s="222">
        <f>T254+L254</f>
        <v>0</v>
      </c>
      <c r="V254" s="183">
        <f>V271+V301</f>
        <v>0</v>
      </c>
      <c r="W254" s="184"/>
      <c r="X254" s="185"/>
    </row>
    <row r="255" spans="1:24" s="186" customFormat="1" ht="0.8" hidden="1" customHeight="1">
      <c r="A255" s="610"/>
      <c r="B255" s="661"/>
      <c r="C255" s="662"/>
      <c r="D255" s="178" t="str">
        <f>серпень!D255</f>
        <v>факт. нат.п-ки 2025</v>
      </c>
      <c r="E255" s="179"/>
      <c r="F255" s="180">
        <f>F272+F302</f>
        <v>0</v>
      </c>
      <c r="G255" s="180">
        <f t="shared" si="278"/>
        <v>0</v>
      </c>
      <c r="H255" s="180">
        <f t="shared" si="278"/>
        <v>0</v>
      </c>
      <c r="I255" s="180">
        <f t="shared" si="278"/>
        <v>0</v>
      </c>
      <c r="J255" s="180">
        <f t="shared" si="278"/>
        <v>0</v>
      </c>
      <c r="K255" s="180">
        <f t="shared" si="278"/>
        <v>0</v>
      </c>
      <c r="L255" s="207">
        <f>SUM(F255:K255)</f>
        <v>0</v>
      </c>
      <c r="M255" s="207">
        <f>L255/6</f>
        <v>0</v>
      </c>
      <c r="N255" s="180">
        <f>N272+N302</f>
        <v>0</v>
      </c>
      <c r="O255" s="180">
        <f t="shared" si="279"/>
        <v>0</v>
      </c>
      <c r="P255" s="180">
        <f t="shared" si="279"/>
        <v>0</v>
      </c>
      <c r="Q255" s="180">
        <f t="shared" si="279"/>
        <v>0</v>
      </c>
      <c r="R255" s="180">
        <f t="shared" si="279"/>
        <v>0</v>
      </c>
      <c r="S255" s="180">
        <f t="shared" si="279"/>
        <v>0</v>
      </c>
      <c r="T255" s="207">
        <f>SUM(N255:S255)</f>
        <v>0</v>
      </c>
      <c r="U255" s="222">
        <f>T255+L255</f>
        <v>0</v>
      </c>
      <c r="V255" s="183">
        <f>V272+V287+V302+V317</f>
        <v>0</v>
      </c>
      <c r="W255" s="184">
        <f>V255-U255</f>
        <v>0</v>
      </c>
      <c r="X255" s="185"/>
    </row>
    <row r="256" spans="1:24" s="190" customFormat="1" ht="0.8" hidden="1" customHeight="1">
      <c r="A256" s="610"/>
      <c r="B256" s="661"/>
      <c r="C256" s="662"/>
      <c r="D256" s="187" t="str">
        <f>серпень!D256</f>
        <v>тариф, грн.</v>
      </c>
      <c r="E256" s="188"/>
      <c r="F256" s="188" t="e">
        <f>F257/F255*1000</f>
        <v>#DIV/0!</v>
      </c>
      <c r="G256" s="188" t="e">
        <f>G257/G255*1000</f>
        <v>#DIV/0!</v>
      </c>
      <c r="H256" s="188" t="e">
        <f>H257/H255*1000</f>
        <v>#DIV/0!</v>
      </c>
      <c r="I256" s="188" t="e">
        <f>I257/I255*1000</f>
        <v>#DIV/0!</v>
      </c>
      <c r="J256" s="188" t="e">
        <f>J257/J255*1000</f>
        <v>#DIV/0!</v>
      </c>
      <c r="K256" s="188" t="e">
        <f t="shared" ref="K256:S256" si="280">K257/K255*1000</f>
        <v>#DIV/0!</v>
      </c>
      <c r="L256" s="188" t="e">
        <f t="shared" si="280"/>
        <v>#DIV/0!</v>
      </c>
      <c r="M256" s="188" t="e">
        <f t="shared" si="280"/>
        <v>#DIV/0!</v>
      </c>
      <c r="N256" s="188" t="e">
        <f t="shared" si="280"/>
        <v>#DIV/0!</v>
      </c>
      <c r="O256" s="188" t="e">
        <f t="shared" si="280"/>
        <v>#DIV/0!</v>
      </c>
      <c r="P256" s="188" t="e">
        <f t="shared" si="280"/>
        <v>#DIV/0!</v>
      </c>
      <c r="Q256" s="188" t="e">
        <f t="shared" si="280"/>
        <v>#DIV/0!</v>
      </c>
      <c r="R256" s="188" t="e">
        <f t="shared" si="280"/>
        <v>#DIV/0!</v>
      </c>
      <c r="S256" s="188" t="e">
        <f t="shared" si="280"/>
        <v>#DIV/0!</v>
      </c>
      <c r="T256" s="188" t="e">
        <f>T257/T255*1000</f>
        <v>#DIV/0!</v>
      </c>
      <c r="U256" s="188" t="e">
        <f>U257/U255*1000</f>
        <v>#DIV/0!</v>
      </c>
      <c r="V256" s="188" t="e">
        <f>V257/V255*1000</f>
        <v>#DIV/0!</v>
      </c>
      <c r="W256" s="189" t="e">
        <f>W257/W255*1000</f>
        <v>#DIV/0!</v>
      </c>
      <c r="X256" s="225"/>
    </row>
    <row r="257" spans="1:28" s="228" customFormat="1" ht="0.8" hidden="1" customHeight="1">
      <c r="A257" s="610"/>
      <c r="B257" s="661"/>
      <c r="C257" s="662"/>
      <c r="D257" s="191" t="str">
        <f>серпень!D257</f>
        <v>сума, тис.грн.</v>
      </c>
      <c r="E257" s="192"/>
      <c r="F257" s="192">
        <f>F274+F304</f>
        <v>0</v>
      </c>
      <c r="G257" s="192">
        <f t="shared" ref="G257:K257" si="281">G274+G304</f>
        <v>0</v>
      </c>
      <c r="H257" s="192">
        <f t="shared" si="281"/>
        <v>0</v>
      </c>
      <c r="I257" s="192">
        <f t="shared" si="281"/>
        <v>0</v>
      </c>
      <c r="J257" s="192">
        <f t="shared" si="281"/>
        <v>0</v>
      </c>
      <c r="K257" s="192">
        <f t="shared" si="281"/>
        <v>0</v>
      </c>
      <c r="L257" s="192">
        <f t="shared" ref="L257:L262" si="282">SUM(F257:K257)</f>
        <v>0</v>
      </c>
      <c r="M257" s="192">
        <f t="shared" ref="M257:M262" si="283">L257/6</f>
        <v>0</v>
      </c>
      <c r="N257" s="192">
        <f>N274+N304</f>
        <v>0</v>
      </c>
      <c r="O257" s="192">
        <f t="shared" ref="O257:S257" si="284">O274+O304</f>
        <v>0</v>
      </c>
      <c r="P257" s="192">
        <f t="shared" si="284"/>
        <v>0</v>
      </c>
      <c r="Q257" s="192">
        <f t="shared" si="284"/>
        <v>0</v>
      </c>
      <c r="R257" s="192">
        <f t="shared" si="284"/>
        <v>0</v>
      </c>
      <c r="S257" s="192">
        <f t="shared" si="284"/>
        <v>0</v>
      </c>
      <c r="T257" s="192">
        <f t="shared" ref="T257:T262" si="285">SUM(N257:S257)</f>
        <v>0</v>
      </c>
      <c r="U257" s="192">
        <f t="shared" ref="U257:U262" si="286">T257+L257</f>
        <v>0</v>
      </c>
      <c r="V257" s="193">
        <f>V274+V289+V304+V319</f>
        <v>0</v>
      </c>
      <c r="W257" s="193">
        <f t="shared" ref="W257:W262" si="287">V257-U257</f>
        <v>0</v>
      </c>
      <c r="X257" s="209"/>
      <c r="Y257" s="209"/>
      <c r="Z257" s="209"/>
      <c r="AA257" s="209"/>
      <c r="AB257" s="209"/>
    </row>
    <row r="258" spans="1:28" s="228" customFormat="1" ht="0.8" hidden="1" customHeight="1">
      <c r="A258" s="610"/>
      <c r="B258" s="661"/>
      <c r="C258" s="662"/>
      <c r="D258" s="174" t="str">
        <f>серпень!D258</f>
        <v>абоненська плата, тис.грн.</v>
      </c>
      <c r="E258" s="192"/>
      <c r="F258" s="192">
        <f>F289+F319</f>
        <v>0</v>
      </c>
      <c r="G258" s="192">
        <f t="shared" ref="G258:K258" si="288">G289+G319</f>
        <v>0</v>
      </c>
      <c r="H258" s="192">
        <f t="shared" si="288"/>
        <v>0</v>
      </c>
      <c r="I258" s="192">
        <f t="shared" si="288"/>
        <v>0</v>
      </c>
      <c r="J258" s="192">
        <f t="shared" si="288"/>
        <v>0</v>
      </c>
      <c r="K258" s="192">
        <f t="shared" si="288"/>
        <v>0</v>
      </c>
      <c r="L258" s="192">
        <f t="shared" si="282"/>
        <v>0</v>
      </c>
      <c r="M258" s="192">
        <f t="shared" si="283"/>
        <v>0</v>
      </c>
      <c r="N258" s="192">
        <f>N289+N319</f>
        <v>0</v>
      </c>
      <c r="O258" s="192">
        <f t="shared" ref="O258:S258" si="289">O289+O319</f>
        <v>0</v>
      </c>
      <c r="P258" s="192">
        <f t="shared" si="289"/>
        <v>0</v>
      </c>
      <c r="Q258" s="192">
        <f t="shared" si="289"/>
        <v>0</v>
      </c>
      <c r="R258" s="192">
        <f t="shared" si="289"/>
        <v>0</v>
      </c>
      <c r="S258" s="192">
        <f t="shared" si="289"/>
        <v>0</v>
      </c>
      <c r="T258" s="192">
        <f t="shared" si="285"/>
        <v>0</v>
      </c>
      <c r="U258" s="192">
        <f t="shared" si="286"/>
        <v>0</v>
      </c>
      <c r="V258" s="193">
        <f>V289+V319</f>
        <v>0</v>
      </c>
      <c r="W258" s="193">
        <f t="shared" si="287"/>
        <v>0</v>
      </c>
      <c r="X258" s="209"/>
      <c r="Y258" s="209"/>
      <c r="Z258" s="209"/>
      <c r="AA258" s="209"/>
      <c r="AB258" s="209"/>
    </row>
    <row r="259" spans="1:28" s="228" customFormat="1" ht="0.8" hidden="1" customHeight="1">
      <c r="A259" s="610"/>
      <c r="B259" s="661"/>
      <c r="C259" s="662"/>
      <c r="D259" s="174" t="str">
        <f>серпень!D259</f>
        <v>разом сума тис. грн+абонплата</v>
      </c>
      <c r="E259" s="192"/>
      <c r="F259" s="192">
        <f>F257+F258</f>
        <v>0</v>
      </c>
      <c r="G259" s="192">
        <f t="shared" ref="G259:K259" si="290">G257+G258</f>
        <v>0</v>
      </c>
      <c r="H259" s="192">
        <f t="shared" si="290"/>
        <v>0</v>
      </c>
      <c r="I259" s="192">
        <f t="shared" si="290"/>
        <v>0</v>
      </c>
      <c r="J259" s="192">
        <f t="shared" si="290"/>
        <v>0</v>
      </c>
      <c r="K259" s="192">
        <f t="shared" si="290"/>
        <v>0</v>
      </c>
      <c r="L259" s="192">
        <f t="shared" si="282"/>
        <v>0</v>
      </c>
      <c r="M259" s="192">
        <f t="shared" si="283"/>
        <v>0</v>
      </c>
      <c r="N259" s="192">
        <f>N257+N258</f>
        <v>0</v>
      </c>
      <c r="O259" s="192">
        <f t="shared" ref="O259:S259" si="291">O257+O258</f>
        <v>0</v>
      </c>
      <c r="P259" s="192">
        <f t="shared" si="291"/>
        <v>0</v>
      </c>
      <c r="Q259" s="192">
        <f t="shared" si="291"/>
        <v>0</v>
      </c>
      <c r="R259" s="192">
        <f t="shared" si="291"/>
        <v>0</v>
      </c>
      <c r="S259" s="192">
        <f t="shared" si="291"/>
        <v>0</v>
      </c>
      <c r="T259" s="192">
        <f t="shared" si="285"/>
        <v>0</v>
      </c>
      <c r="U259" s="192">
        <f t="shared" si="286"/>
        <v>0</v>
      </c>
      <c r="V259" s="193">
        <f>V290+V320</f>
        <v>0</v>
      </c>
      <c r="W259" s="193">
        <f t="shared" si="287"/>
        <v>0</v>
      </c>
      <c r="X259" s="209"/>
      <c r="Y259" s="209"/>
      <c r="Z259" s="209"/>
      <c r="AA259" s="209"/>
      <c r="AB259" s="209"/>
    </row>
    <row r="260" spans="1:28" s="228" customFormat="1" ht="0.8" hidden="1" customHeight="1">
      <c r="A260" s="610"/>
      <c r="B260" s="661"/>
      <c r="C260" s="662"/>
      <c r="D260" s="174" t="str">
        <f>серпень!D260</f>
        <v>дотація</v>
      </c>
      <c r="E260" s="210"/>
      <c r="F260" s="192">
        <f t="shared" ref="F260:K261" si="292">F275+F290+F305+F320</f>
        <v>0</v>
      </c>
      <c r="G260" s="192">
        <f t="shared" si="292"/>
        <v>0</v>
      </c>
      <c r="H260" s="192">
        <f t="shared" si="292"/>
        <v>0</v>
      </c>
      <c r="I260" s="192">
        <f t="shared" si="292"/>
        <v>0</v>
      </c>
      <c r="J260" s="192">
        <f t="shared" si="292"/>
        <v>0</v>
      </c>
      <c r="K260" s="192">
        <f t="shared" si="292"/>
        <v>0</v>
      </c>
      <c r="L260" s="192">
        <f t="shared" si="282"/>
        <v>0</v>
      </c>
      <c r="M260" s="192">
        <f t="shared" si="283"/>
        <v>0</v>
      </c>
      <c r="N260" s="192">
        <f t="shared" ref="N260:S262" si="293">N275+N290+N305+N320</f>
        <v>0</v>
      </c>
      <c r="O260" s="192">
        <f t="shared" si="293"/>
        <v>0</v>
      </c>
      <c r="P260" s="192">
        <f t="shared" si="293"/>
        <v>0</v>
      </c>
      <c r="Q260" s="192">
        <f t="shared" si="293"/>
        <v>0</v>
      </c>
      <c r="R260" s="192">
        <f t="shared" si="293"/>
        <v>0</v>
      </c>
      <c r="S260" s="192">
        <f t="shared" si="293"/>
        <v>0</v>
      </c>
      <c r="T260" s="192">
        <f t="shared" si="285"/>
        <v>0</v>
      </c>
      <c r="U260" s="192">
        <f t="shared" si="286"/>
        <v>0</v>
      </c>
      <c r="V260" s="193">
        <f t="shared" ref="V260:V262" si="294">V275+V290+V305+V320</f>
        <v>0</v>
      </c>
      <c r="W260" s="211">
        <f t="shared" si="287"/>
        <v>0</v>
      </c>
      <c r="X260" s="209"/>
      <c r="Y260" s="209"/>
      <c r="Z260" s="209"/>
      <c r="AA260" s="209"/>
      <c r="AB260" s="209"/>
    </row>
    <row r="261" spans="1:28" s="228" customFormat="1" ht="0.8" hidden="1" customHeight="1">
      <c r="A261" s="610"/>
      <c r="B261" s="661"/>
      <c r="C261" s="662"/>
      <c r="D261" s="174" t="str">
        <f>серпень!D261</f>
        <v>місцевий (план), тис.грн</v>
      </c>
      <c r="E261" s="210"/>
      <c r="F261" s="192">
        <f t="shared" si="292"/>
        <v>0</v>
      </c>
      <c r="G261" s="192">
        <f t="shared" si="292"/>
        <v>0</v>
      </c>
      <c r="H261" s="192">
        <f t="shared" si="292"/>
        <v>0</v>
      </c>
      <c r="I261" s="192">
        <f t="shared" si="292"/>
        <v>0</v>
      </c>
      <c r="J261" s="192">
        <f t="shared" si="292"/>
        <v>0</v>
      </c>
      <c r="K261" s="192">
        <f t="shared" si="292"/>
        <v>0</v>
      </c>
      <c r="L261" s="192">
        <f t="shared" si="282"/>
        <v>0</v>
      </c>
      <c r="M261" s="192">
        <f t="shared" si="283"/>
        <v>0</v>
      </c>
      <c r="N261" s="192">
        <f t="shared" si="293"/>
        <v>0</v>
      </c>
      <c r="O261" s="192">
        <f t="shared" si="293"/>
        <v>0</v>
      </c>
      <c r="P261" s="192">
        <f t="shared" si="293"/>
        <v>0</v>
      </c>
      <c r="Q261" s="192">
        <f t="shared" si="293"/>
        <v>0</v>
      </c>
      <c r="R261" s="192">
        <f t="shared" si="293"/>
        <v>0</v>
      </c>
      <c r="S261" s="192">
        <f t="shared" si="293"/>
        <v>0</v>
      </c>
      <c r="T261" s="192">
        <f t="shared" si="285"/>
        <v>0</v>
      </c>
      <c r="U261" s="192">
        <f t="shared" si="286"/>
        <v>0</v>
      </c>
      <c r="V261" s="193">
        <f t="shared" si="294"/>
        <v>0</v>
      </c>
      <c r="W261" s="193">
        <f t="shared" si="287"/>
        <v>0</v>
      </c>
      <c r="X261" s="209"/>
      <c r="Y261" s="209"/>
      <c r="Z261" s="209"/>
      <c r="AA261" s="209"/>
      <c r="AB261" s="209"/>
    </row>
    <row r="262" spans="1:28" s="186" customFormat="1" ht="0.8" hidden="1" customHeight="1">
      <c r="A262" s="610"/>
      <c r="B262" s="661"/>
      <c r="C262" s="662"/>
      <c r="D262" s="178" t="str">
        <f>серпень!D262</f>
        <v>касові нат.п-ки 2025</v>
      </c>
      <c r="E262" s="179">
        <f>E277+E307</f>
        <v>0</v>
      </c>
      <c r="F262" s="179">
        <f>F277+F307</f>
        <v>0</v>
      </c>
      <c r="G262" s="179">
        <f t="shared" ref="G262:K262" si="295">G277+G307</f>
        <v>0</v>
      </c>
      <c r="H262" s="179">
        <f t="shared" si="295"/>
        <v>0</v>
      </c>
      <c r="I262" s="179">
        <f t="shared" si="295"/>
        <v>0</v>
      </c>
      <c r="J262" s="179">
        <f t="shared" si="295"/>
        <v>0</v>
      </c>
      <c r="K262" s="179">
        <f t="shared" si="295"/>
        <v>0</v>
      </c>
      <c r="L262" s="207">
        <f t="shared" si="282"/>
        <v>0</v>
      </c>
      <c r="M262" s="207">
        <f t="shared" si="283"/>
        <v>0</v>
      </c>
      <c r="N262" s="179">
        <f t="shared" si="293"/>
        <v>0</v>
      </c>
      <c r="O262" s="179">
        <f t="shared" si="293"/>
        <v>0</v>
      </c>
      <c r="P262" s="179">
        <f t="shared" si="293"/>
        <v>0</v>
      </c>
      <c r="Q262" s="179">
        <f t="shared" si="293"/>
        <v>0</v>
      </c>
      <c r="R262" s="179">
        <f t="shared" si="293"/>
        <v>0</v>
      </c>
      <c r="S262" s="179">
        <f t="shared" si="293"/>
        <v>0</v>
      </c>
      <c r="T262" s="207">
        <f t="shared" si="285"/>
        <v>0</v>
      </c>
      <c r="U262" s="207">
        <f t="shared" si="286"/>
        <v>0</v>
      </c>
      <c r="V262" s="184">
        <f t="shared" si="294"/>
        <v>0</v>
      </c>
      <c r="W262" s="184">
        <f t="shared" si="287"/>
        <v>0</v>
      </c>
      <c r="X262" s="185">
        <f>U255-U262</f>
        <v>0</v>
      </c>
    </row>
    <row r="263" spans="1:28" s="190" customFormat="1" ht="0.8" hidden="1" customHeight="1">
      <c r="A263" s="610"/>
      <c r="B263" s="661"/>
      <c r="C263" s="662"/>
      <c r="D263" s="187" t="str">
        <f>серпень!D263</f>
        <v>тариф, грн.</v>
      </c>
      <c r="E263" s="188" t="e">
        <f t="shared" ref="E263:S263" si="296">E264/E262*1000</f>
        <v>#DIV/0!</v>
      </c>
      <c r="F263" s="188" t="e">
        <f t="shared" si="296"/>
        <v>#DIV/0!</v>
      </c>
      <c r="G263" s="188" t="e">
        <f t="shared" si="296"/>
        <v>#DIV/0!</v>
      </c>
      <c r="H263" s="188" t="e">
        <f t="shared" si="296"/>
        <v>#DIV/0!</v>
      </c>
      <c r="I263" s="188" t="e">
        <f t="shared" si="296"/>
        <v>#DIV/0!</v>
      </c>
      <c r="J263" s="188" t="e">
        <f t="shared" si="296"/>
        <v>#DIV/0!</v>
      </c>
      <c r="K263" s="188" t="e">
        <f t="shared" si="296"/>
        <v>#DIV/0!</v>
      </c>
      <c r="L263" s="188" t="e">
        <f t="shared" si="296"/>
        <v>#DIV/0!</v>
      </c>
      <c r="M263" s="188" t="e">
        <f t="shared" si="296"/>
        <v>#DIV/0!</v>
      </c>
      <c r="N263" s="188" t="e">
        <f t="shared" si="296"/>
        <v>#DIV/0!</v>
      </c>
      <c r="O263" s="188" t="e">
        <f t="shared" si="296"/>
        <v>#DIV/0!</v>
      </c>
      <c r="P263" s="188" t="e">
        <f t="shared" si="296"/>
        <v>#DIV/0!</v>
      </c>
      <c r="Q263" s="188" t="e">
        <f t="shared" si="296"/>
        <v>#DIV/0!</v>
      </c>
      <c r="R263" s="188" t="e">
        <f t="shared" si="296"/>
        <v>#DIV/0!</v>
      </c>
      <c r="S263" s="188" t="e">
        <f t="shared" si="296"/>
        <v>#DIV/0!</v>
      </c>
      <c r="T263" s="188" t="e">
        <f>T264/T262*1000</f>
        <v>#DIV/0!</v>
      </c>
      <c r="U263" s="188" t="e">
        <f>U264/U262*1000</f>
        <v>#DIV/0!</v>
      </c>
      <c r="V263" s="188" t="e">
        <f>V264/V262*1000</f>
        <v>#DIV/0!</v>
      </c>
      <c r="W263" s="189" t="e">
        <f>W264/W262*1000</f>
        <v>#DIV/0!</v>
      </c>
      <c r="X263" s="225"/>
    </row>
    <row r="264" spans="1:28" s="213" customFormat="1" ht="0.8" hidden="1" customHeight="1">
      <c r="A264" s="610"/>
      <c r="B264" s="661"/>
      <c r="C264" s="662"/>
      <c r="D264" s="198" t="str">
        <f>серпень!D264</f>
        <v>касові видатки, тис.грн.</v>
      </c>
      <c r="E264" s="212">
        <f>E279+E309</f>
        <v>0</v>
      </c>
      <c r="F264" s="199">
        <f>F279+F294+F309+F324</f>
        <v>0</v>
      </c>
      <c r="G264" s="199">
        <f t="shared" ref="G264:K264" si="297">G279+G294+G309+G324</f>
        <v>0</v>
      </c>
      <c r="H264" s="199">
        <f t="shared" si="297"/>
        <v>0</v>
      </c>
      <c r="I264" s="199">
        <f t="shared" si="297"/>
        <v>0</v>
      </c>
      <c r="J264" s="199">
        <f t="shared" si="297"/>
        <v>0</v>
      </c>
      <c r="K264" s="199">
        <f t="shared" si="297"/>
        <v>0</v>
      </c>
      <c r="L264" s="199">
        <f>SUM(F264:K264)</f>
        <v>0</v>
      </c>
      <c r="M264" s="199">
        <f>L264/6</f>
        <v>0</v>
      </c>
      <c r="N264" s="199">
        <f t="shared" ref="N264:S266" si="298">N279+N294+N309+N324</f>
        <v>0</v>
      </c>
      <c r="O264" s="199">
        <f t="shared" si="298"/>
        <v>0</v>
      </c>
      <c r="P264" s="199">
        <f t="shared" si="298"/>
        <v>0</v>
      </c>
      <c r="Q264" s="199">
        <f t="shared" si="298"/>
        <v>0</v>
      </c>
      <c r="R264" s="199">
        <f t="shared" si="298"/>
        <v>0</v>
      </c>
      <c r="S264" s="199">
        <f t="shared" si="298"/>
        <v>0</v>
      </c>
      <c r="T264" s="199">
        <f>SUM(N264:S264)</f>
        <v>0</v>
      </c>
      <c r="U264" s="199">
        <f>T264+L264</f>
        <v>0</v>
      </c>
      <c r="V264" s="175">
        <f t="shared" ref="V264:V267" si="299">V279+V294+V309+V324</f>
        <v>0</v>
      </c>
      <c r="W264" s="175">
        <f>V264-U264</f>
        <v>0</v>
      </c>
      <c r="X264" s="176">
        <f>U259-U264</f>
        <v>0</v>
      </c>
    </row>
    <row r="265" spans="1:28" s="213" customFormat="1" hidden="1">
      <c r="A265" s="610"/>
      <c r="B265" s="661"/>
      <c r="C265" s="662"/>
      <c r="D265" s="201" t="str">
        <f>серпень!D265</f>
        <v>дотація</v>
      </c>
      <c r="E265" s="212"/>
      <c r="F265" s="199">
        <f t="shared" ref="F265:K266" si="300">F280+F295+F310+F325</f>
        <v>0</v>
      </c>
      <c r="G265" s="199">
        <f t="shared" si="300"/>
        <v>0</v>
      </c>
      <c r="H265" s="199">
        <f t="shared" si="300"/>
        <v>0</v>
      </c>
      <c r="I265" s="199">
        <f t="shared" si="300"/>
        <v>0</v>
      </c>
      <c r="J265" s="199">
        <f t="shared" si="300"/>
        <v>0</v>
      </c>
      <c r="K265" s="199">
        <f t="shared" si="300"/>
        <v>0</v>
      </c>
      <c r="L265" s="199">
        <f>SUM(F265:K265)</f>
        <v>0</v>
      </c>
      <c r="M265" s="199">
        <f>L265/6</f>
        <v>0</v>
      </c>
      <c r="N265" s="199">
        <f t="shared" si="298"/>
        <v>0</v>
      </c>
      <c r="O265" s="199">
        <f t="shared" si="298"/>
        <v>0</v>
      </c>
      <c r="P265" s="199">
        <f t="shared" si="298"/>
        <v>0</v>
      </c>
      <c r="Q265" s="199">
        <f t="shared" si="298"/>
        <v>0</v>
      </c>
      <c r="R265" s="199">
        <f t="shared" si="298"/>
        <v>0</v>
      </c>
      <c r="S265" s="199">
        <f t="shared" si="298"/>
        <v>0</v>
      </c>
      <c r="T265" s="199">
        <f>SUM(N265:S265)</f>
        <v>0</v>
      </c>
      <c r="U265" s="199">
        <f>T265+L265</f>
        <v>0</v>
      </c>
      <c r="V265" s="175">
        <f t="shared" si="299"/>
        <v>0</v>
      </c>
      <c r="W265" s="175">
        <f>V265-U265</f>
        <v>0</v>
      </c>
      <c r="X265" s="176">
        <f>U260-U265</f>
        <v>0</v>
      </c>
    </row>
    <row r="266" spans="1:28" s="213" customFormat="1" ht="0.8" hidden="1" customHeight="1">
      <c r="A266" s="610"/>
      <c r="B266" s="661"/>
      <c r="C266" s="662"/>
      <c r="D266" s="201" t="str">
        <f>серпень!D266</f>
        <v xml:space="preserve">місцевий </v>
      </c>
      <c r="E266" s="212"/>
      <c r="F266" s="199">
        <f t="shared" si="300"/>
        <v>0</v>
      </c>
      <c r="G266" s="199">
        <f t="shared" si="300"/>
        <v>0</v>
      </c>
      <c r="H266" s="199">
        <f t="shared" si="300"/>
        <v>0</v>
      </c>
      <c r="I266" s="199">
        <f t="shared" si="300"/>
        <v>0</v>
      </c>
      <c r="J266" s="199">
        <f t="shared" si="300"/>
        <v>0</v>
      </c>
      <c r="K266" s="199">
        <f t="shared" si="300"/>
        <v>0</v>
      </c>
      <c r="L266" s="199">
        <f>SUM(F266:K266)</f>
        <v>0</v>
      </c>
      <c r="M266" s="199">
        <f>L266/6</f>
        <v>0</v>
      </c>
      <c r="N266" s="199">
        <f t="shared" si="298"/>
        <v>0</v>
      </c>
      <c r="O266" s="199">
        <f t="shared" si="298"/>
        <v>0</v>
      </c>
      <c r="P266" s="199">
        <f t="shared" si="298"/>
        <v>0</v>
      </c>
      <c r="Q266" s="199">
        <f t="shared" si="298"/>
        <v>0</v>
      </c>
      <c r="R266" s="199">
        <f t="shared" si="298"/>
        <v>0</v>
      </c>
      <c r="S266" s="199">
        <f t="shared" si="298"/>
        <v>0</v>
      </c>
      <c r="T266" s="199">
        <f>SUM(N266:S266)</f>
        <v>0</v>
      </c>
      <c r="U266" s="199">
        <f>T266+L266</f>
        <v>0</v>
      </c>
      <c r="V266" s="175">
        <f t="shared" si="299"/>
        <v>0</v>
      </c>
      <c r="W266" s="175">
        <f>V266-U266</f>
        <v>0</v>
      </c>
      <c r="X266" s="176">
        <f>U261-U266</f>
        <v>0</v>
      </c>
    </row>
    <row r="267" spans="1:28" s="205" customFormat="1" ht="0.8" hidden="1" customHeight="1">
      <c r="A267" s="610"/>
      <c r="B267" s="661"/>
      <c r="C267" s="662"/>
      <c r="D267" s="202" t="str">
        <f>серпень!D267</f>
        <v>план</v>
      </c>
      <c r="E267" s="203"/>
      <c r="F267" s="203">
        <f>F261</f>
        <v>0</v>
      </c>
      <c r="G267" s="203">
        <f t="shared" ref="G267:K267" si="301">G261</f>
        <v>0</v>
      </c>
      <c r="H267" s="203">
        <f t="shared" si="301"/>
        <v>0</v>
      </c>
      <c r="I267" s="203">
        <f t="shared" si="301"/>
        <v>0</v>
      </c>
      <c r="J267" s="203">
        <f t="shared" si="301"/>
        <v>0</v>
      </c>
      <c r="K267" s="203">
        <f t="shared" si="301"/>
        <v>0</v>
      </c>
      <c r="L267" s="203">
        <f>SUM(F267:K267)</f>
        <v>0</v>
      </c>
      <c r="M267" s="203">
        <f>L267/6</f>
        <v>0</v>
      </c>
      <c r="N267" s="203">
        <f t="shared" ref="N267:S267" si="302">N261+N260</f>
        <v>0</v>
      </c>
      <c r="O267" s="203">
        <f t="shared" si="302"/>
        <v>0</v>
      </c>
      <c r="P267" s="203">
        <f t="shared" si="302"/>
        <v>0</v>
      </c>
      <c r="Q267" s="203">
        <f t="shared" si="302"/>
        <v>0</v>
      </c>
      <c r="R267" s="203">
        <f t="shared" si="302"/>
        <v>0</v>
      </c>
      <c r="S267" s="203">
        <f t="shared" si="302"/>
        <v>0</v>
      </c>
      <c r="T267" s="203">
        <f>SUM(N267:S267)</f>
        <v>0</v>
      </c>
      <c r="U267" s="203">
        <f>T267+L267</f>
        <v>0</v>
      </c>
      <c r="V267" s="204">
        <f t="shared" si="299"/>
        <v>0</v>
      </c>
      <c r="W267" s="204">
        <f>V267-U267</f>
        <v>0</v>
      </c>
    </row>
    <row r="268" spans="1:28" s="205" customFormat="1" ht="0.8" hidden="1" customHeight="1">
      <c r="A268" s="610"/>
      <c r="B268" s="661"/>
      <c r="C268" s="662"/>
      <c r="D268" s="202" t="str">
        <f>серпень!D268</f>
        <v xml:space="preserve">відхилення </v>
      </c>
      <c r="E268" s="203"/>
      <c r="F268" s="203">
        <f t="shared" ref="F268:K268" si="303">F264-F267</f>
        <v>0</v>
      </c>
      <c r="G268" s="203">
        <f t="shared" si="303"/>
        <v>0</v>
      </c>
      <c r="H268" s="203">
        <f t="shared" si="303"/>
        <v>0</v>
      </c>
      <c r="I268" s="203">
        <f t="shared" si="303"/>
        <v>0</v>
      </c>
      <c r="J268" s="203">
        <f t="shared" si="303"/>
        <v>0</v>
      </c>
      <c r="K268" s="203">
        <f t="shared" si="303"/>
        <v>0</v>
      </c>
      <c r="L268" s="203"/>
      <c r="M268" s="203"/>
      <c r="N268" s="203">
        <f t="shared" ref="N268:S268" si="304">N264-N267</f>
        <v>0</v>
      </c>
      <c r="O268" s="203">
        <f t="shared" si="304"/>
        <v>0</v>
      </c>
      <c r="P268" s="203">
        <f t="shared" si="304"/>
        <v>0</v>
      </c>
      <c r="Q268" s="203">
        <f t="shared" si="304"/>
        <v>0</v>
      </c>
      <c r="R268" s="203">
        <f t="shared" si="304"/>
        <v>0</v>
      </c>
      <c r="S268" s="203">
        <f t="shared" si="304"/>
        <v>0</v>
      </c>
      <c r="T268" s="203"/>
      <c r="U268" s="203"/>
      <c r="V268" s="203"/>
      <c r="W268" s="203"/>
    </row>
    <row r="269" spans="1:28" s="205" customFormat="1" ht="0.8" hidden="1" customHeight="1">
      <c r="A269" s="610"/>
      <c r="B269" s="663"/>
      <c r="C269" s="664"/>
      <c r="D269" s="202" t="str">
        <f>серпень!D269</f>
        <v>відхилення з наростаючим</v>
      </c>
      <c r="E269" s="203"/>
      <c r="F269" s="203">
        <f>F268</f>
        <v>0</v>
      </c>
      <c r="G269" s="203">
        <f>G268+F269</f>
        <v>0</v>
      </c>
      <c r="H269" s="203">
        <f>H268+G269</f>
        <v>0</v>
      </c>
      <c r="I269" s="203">
        <f>I268+H269</f>
        <v>0</v>
      </c>
      <c r="J269" s="203">
        <f>J268+I269</f>
        <v>0</v>
      </c>
      <c r="K269" s="203">
        <f>K268+J269</f>
        <v>0</v>
      </c>
      <c r="L269" s="203"/>
      <c r="M269" s="203"/>
      <c r="N269" s="203">
        <f>N268+K269</f>
        <v>0</v>
      </c>
      <c r="O269" s="203">
        <f>O268+N269</f>
        <v>0</v>
      </c>
      <c r="P269" s="203">
        <f>P268+O269</f>
        <v>0</v>
      </c>
      <c r="Q269" s="203">
        <f>Q268+P269</f>
        <v>0</v>
      </c>
      <c r="R269" s="203">
        <f>R268+Q269</f>
        <v>0</v>
      </c>
      <c r="S269" s="203">
        <f>S268+R269</f>
        <v>0</v>
      </c>
      <c r="T269" s="203"/>
      <c r="U269" s="203"/>
      <c r="V269" s="203"/>
      <c r="W269" s="203"/>
    </row>
    <row r="270" spans="1:28" s="48" customFormat="1" ht="0.8" hidden="1" customHeight="1">
      <c r="A270" s="610"/>
      <c r="B270" s="582" t="s">
        <v>60</v>
      </c>
      <c r="C270" s="582" t="s">
        <v>97</v>
      </c>
      <c r="D270" s="178" t="str">
        <f>серпень!D270</f>
        <v>факт. нат.п-ки 2023</v>
      </c>
      <c r="E270" s="179"/>
      <c r="F270" s="180"/>
      <c r="G270" s="180"/>
      <c r="H270" s="180"/>
      <c r="I270" s="180"/>
      <c r="J270" s="180"/>
      <c r="K270" s="180"/>
      <c r="L270" s="215">
        <f>SUM(F270:K270)</f>
        <v>0</v>
      </c>
      <c r="M270" s="215">
        <f>L270/6</f>
        <v>0</v>
      </c>
      <c r="N270" s="180"/>
      <c r="O270" s="180"/>
      <c r="P270" s="180"/>
      <c r="Q270" s="180"/>
      <c r="R270" s="180"/>
      <c r="S270" s="180"/>
      <c r="T270" s="215">
        <f>SUM(N270:S270)</f>
        <v>0</v>
      </c>
      <c r="U270" s="226">
        <f>T270+L270</f>
        <v>0</v>
      </c>
      <c r="V270" s="227"/>
      <c r="W270" s="184">
        <f>V270-U270</f>
        <v>0</v>
      </c>
      <c r="X270" s="47"/>
    </row>
    <row r="271" spans="1:28" s="48" customFormat="1" ht="0.8" hidden="1" customHeight="1">
      <c r="A271" s="610"/>
      <c r="B271" s="583"/>
      <c r="C271" s="583"/>
      <c r="D271" s="178" t="str">
        <f>серпень!D271</f>
        <v>факт. нат.п-ки 2024</v>
      </c>
      <c r="E271" s="179"/>
      <c r="F271" s="180"/>
      <c r="G271" s="180"/>
      <c r="H271" s="180"/>
      <c r="I271" s="180"/>
      <c r="J271" s="180"/>
      <c r="K271" s="180"/>
      <c r="L271" s="215">
        <f>SUM(F271:K271)</f>
        <v>0</v>
      </c>
      <c r="M271" s="215">
        <f>L271/6</f>
        <v>0</v>
      </c>
      <c r="N271" s="179"/>
      <c r="O271" s="179"/>
      <c r="P271" s="179"/>
      <c r="Q271" s="179"/>
      <c r="R271" s="179"/>
      <c r="S271" s="179"/>
      <c r="T271" s="215">
        <f>SUM(N271:S271)</f>
        <v>0</v>
      </c>
      <c r="U271" s="226">
        <f>T271+L271</f>
        <v>0</v>
      </c>
      <c r="V271" s="227"/>
      <c r="W271" s="184">
        <f>V271-U271</f>
        <v>0</v>
      </c>
      <c r="X271" s="47"/>
    </row>
    <row r="272" spans="1:28" s="48" customFormat="1" ht="0.8" hidden="1" customHeight="1">
      <c r="A272" s="610"/>
      <c r="B272" s="583"/>
      <c r="C272" s="583"/>
      <c r="D272" s="178" t="str">
        <f>серпень!D272</f>
        <v>факт. нат.п-ки 2025</v>
      </c>
      <c r="E272" s="179"/>
      <c r="F272" s="180"/>
      <c r="G272" s="180"/>
      <c r="H272" s="180"/>
      <c r="I272" s="180"/>
      <c r="J272" s="180"/>
      <c r="K272" s="180"/>
      <c r="L272" s="215">
        <f>SUM(F272:K272)</f>
        <v>0</v>
      </c>
      <c r="M272" s="215">
        <f>L272/6</f>
        <v>0</v>
      </c>
      <c r="N272" s="180"/>
      <c r="O272" s="180"/>
      <c r="P272" s="180"/>
      <c r="Q272" s="180"/>
      <c r="R272" s="180"/>
      <c r="S272" s="179"/>
      <c r="T272" s="215">
        <f>SUM(N272:S272)</f>
        <v>0</v>
      </c>
      <c r="U272" s="226">
        <f>T272+L272</f>
        <v>0</v>
      </c>
      <c r="V272" s="179"/>
      <c r="W272" s="184">
        <f>V272-U272</f>
        <v>0</v>
      </c>
      <c r="X272" s="47"/>
    </row>
    <row r="273" spans="1:24" s="51" customFormat="1" ht="0.8" hidden="1" customHeight="1">
      <c r="A273" s="610"/>
      <c r="B273" s="583"/>
      <c r="C273" s="583"/>
      <c r="D273" s="187" t="str">
        <f>серпень!D273</f>
        <v>тариф, грн.</v>
      </c>
      <c r="E273" s="188"/>
      <c r="F273" s="188"/>
      <c r="G273" s="188"/>
      <c r="H273" s="188"/>
      <c r="I273" s="188"/>
      <c r="J273" s="188"/>
      <c r="K273" s="188"/>
      <c r="L273" s="188" t="e">
        <f>L274/L272*1000</f>
        <v>#DIV/0!</v>
      </c>
      <c r="M273" s="188" t="e">
        <f>M274/M272*1000</f>
        <v>#DIV/0!</v>
      </c>
      <c r="N273" s="188"/>
      <c r="O273" s="188"/>
      <c r="P273" s="188"/>
      <c r="Q273" s="188"/>
      <c r="R273" s="188"/>
      <c r="S273" s="188"/>
      <c r="T273" s="188" t="e">
        <f>T274/T272*1000</f>
        <v>#DIV/0!</v>
      </c>
      <c r="U273" s="188" t="e">
        <f>U274/U272*1000</f>
        <v>#DIV/0!</v>
      </c>
      <c r="V273" s="218" t="e">
        <f>V274/V272*1000</f>
        <v>#DIV/0!</v>
      </c>
      <c r="W273" s="189" t="e">
        <f>W274/W272*1000</f>
        <v>#DIV/0!</v>
      </c>
      <c r="X273" s="50"/>
    </row>
    <row r="274" spans="1:24" s="55" customFormat="1" ht="0.8" hidden="1" customHeight="1">
      <c r="A274" s="610"/>
      <c r="B274" s="583"/>
      <c r="C274" s="583"/>
      <c r="D274" s="191" t="str">
        <f>серпень!D274</f>
        <v>сума, тис.грн.</v>
      </c>
      <c r="E274" s="192"/>
      <c r="F274" s="192">
        <f t="shared" ref="F274:K274" si="305">F272*F273/1000</f>
        <v>0</v>
      </c>
      <c r="G274" s="192">
        <f t="shared" si="305"/>
        <v>0</v>
      </c>
      <c r="H274" s="192">
        <f t="shared" si="305"/>
        <v>0</v>
      </c>
      <c r="I274" s="192">
        <f t="shared" si="305"/>
        <v>0</v>
      </c>
      <c r="J274" s="192">
        <f t="shared" si="305"/>
        <v>0</v>
      </c>
      <c r="K274" s="192">
        <f t="shared" si="305"/>
        <v>0</v>
      </c>
      <c r="L274" s="194">
        <f>SUM(F274:K274)</f>
        <v>0</v>
      </c>
      <c r="M274" s="194">
        <f>L274/6</f>
        <v>0</v>
      </c>
      <c r="N274" s="192">
        <f t="shared" ref="N274:S274" si="306">N272*N273/1000</f>
        <v>0</v>
      </c>
      <c r="O274" s="192">
        <f t="shared" si="306"/>
        <v>0</v>
      </c>
      <c r="P274" s="192">
        <f t="shared" si="306"/>
        <v>0</v>
      </c>
      <c r="Q274" s="192">
        <f t="shared" si="306"/>
        <v>0</v>
      </c>
      <c r="R274" s="192">
        <f t="shared" si="306"/>
        <v>0</v>
      </c>
      <c r="S274" s="192">
        <f t="shared" si="306"/>
        <v>0</v>
      </c>
      <c r="T274" s="194">
        <f>SUM(N274:S274)</f>
        <v>0</v>
      </c>
      <c r="U274" s="194">
        <f>T274+L274</f>
        <v>0</v>
      </c>
      <c r="V274" s="171">
        <f>V275+V276</f>
        <v>0</v>
      </c>
      <c r="W274" s="193">
        <f>V274-U274</f>
        <v>0</v>
      </c>
      <c r="X274" s="54">
        <f>9891253.845/1000</f>
        <v>9891.2540000000008</v>
      </c>
    </row>
    <row r="275" spans="1:24" s="55" customFormat="1" ht="0.8" hidden="1" customHeight="1">
      <c r="A275" s="610"/>
      <c r="B275" s="583"/>
      <c r="C275" s="583"/>
      <c r="D275" s="174" t="str">
        <f>серпень!D275</f>
        <v>абоненська плата, тис.грн.</v>
      </c>
      <c r="E275" s="210"/>
      <c r="F275" s="192"/>
      <c r="G275" s="192"/>
      <c r="H275" s="192"/>
      <c r="I275" s="192"/>
      <c r="J275" s="192"/>
      <c r="K275" s="192"/>
      <c r="L275" s="194">
        <f>SUM(F275:K275)</f>
        <v>0</v>
      </c>
      <c r="M275" s="194">
        <f>L275/6</f>
        <v>0</v>
      </c>
      <c r="N275" s="192"/>
      <c r="O275" s="192"/>
      <c r="P275" s="192"/>
      <c r="Q275" s="192"/>
      <c r="R275" s="192"/>
      <c r="S275" s="192"/>
      <c r="T275" s="194">
        <f>SUM(N275:S275)</f>
        <v>0</v>
      </c>
      <c r="U275" s="194">
        <f>T275+L275</f>
        <v>0</v>
      </c>
      <c r="V275" s="171"/>
      <c r="W275" s="193">
        <f>V275-U275</f>
        <v>0</v>
      </c>
      <c r="X275" s="58"/>
    </row>
    <row r="276" spans="1:24" s="55" customFormat="1" ht="0.8" hidden="1" customHeight="1">
      <c r="A276" s="610"/>
      <c r="B276" s="583"/>
      <c r="C276" s="583"/>
      <c r="D276" s="174" t="str">
        <f>серпень!D276</f>
        <v>разом сума тис. грн+абонплата</v>
      </c>
      <c r="E276" s="210"/>
      <c r="F276" s="192"/>
      <c r="G276" s="192"/>
      <c r="H276" s="192"/>
      <c r="I276" s="192"/>
      <c r="J276" s="192"/>
      <c r="K276" s="192"/>
      <c r="L276" s="194">
        <f>SUM(F276:K276)</f>
        <v>0</v>
      </c>
      <c r="M276" s="194">
        <f>L276/6</f>
        <v>0</v>
      </c>
      <c r="N276" s="192"/>
      <c r="O276" s="192"/>
      <c r="P276" s="192"/>
      <c r="Q276" s="192"/>
      <c r="R276" s="192"/>
      <c r="S276" s="192"/>
      <c r="T276" s="194">
        <f>SUM(N276:S276)</f>
        <v>0</v>
      </c>
      <c r="U276" s="194">
        <f>T276+L276</f>
        <v>0</v>
      </c>
      <c r="V276" s="171"/>
      <c r="W276" s="193">
        <f>V276-U276</f>
        <v>0</v>
      </c>
      <c r="X276" s="58"/>
    </row>
    <row r="277" spans="1:24" s="48" customFormat="1" ht="0.8" hidden="1" customHeight="1">
      <c r="A277" s="610"/>
      <c r="B277" s="583"/>
      <c r="C277" s="583"/>
      <c r="D277" s="178" t="str">
        <f>серпень!D277</f>
        <v>дотація</v>
      </c>
      <c r="E277" s="179"/>
      <c r="F277" s="179"/>
      <c r="G277" s="179"/>
      <c r="H277" s="179"/>
      <c r="I277" s="179"/>
      <c r="J277" s="179"/>
      <c r="K277" s="179"/>
      <c r="L277" s="215">
        <f>SUM(F277:K277)</f>
        <v>0</v>
      </c>
      <c r="M277" s="215">
        <f>L277/6</f>
        <v>0</v>
      </c>
      <c r="N277" s="179"/>
      <c r="O277" s="179"/>
      <c r="P277" s="179"/>
      <c r="Q277" s="179"/>
      <c r="R277" s="179"/>
      <c r="S277" s="179">
        <f>S272+R272</f>
        <v>0</v>
      </c>
      <c r="T277" s="215">
        <f>SUM(N277:S277)</f>
        <v>0</v>
      </c>
      <c r="U277" s="215">
        <f>T277+L277</f>
        <v>0</v>
      </c>
      <c r="V277" s="179">
        <f>V272</f>
        <v>0</v>
      </c>
      <c r="W277" s="184">
        <f>V277-U277</f>
        <v>0</v>
      </c>
      <c r="X277" s="47">
        <f>U272-U277</f>
        <v>0</v>
      </c>
    </row>
    <row r="278" spans="1:24" s="51" customFormat="1" ht="0.8" hidden="1" customHeight="1">
      <c r="A278" s="610"/>
      <c r="B278" s="583"/>
      <c r="C278" s="583"/>
      <c r="D278" s="187" t="str">
        <f>серпень!D278</f>
        <v>місцевий (план), тис.грн</v>
      </c>
      <c r="E278" s="188" t="e">
        <f>E279/E277*1000</f>
        <v>#DIV/0!</v>
      </c>
      <c r="F278" s="188"/>
      <c r="G278" s="188"/>
      <c r="H278" s="188"/>
      <c r="I278" s="188"/>
      <c r="J278" s="188"/>
      <c r="K278" s="188"/>
      <c r="L278" s="188" t="e">
        <f>L279/L277*1000</f>
        <v>#DIV/0!</v>
      </c>
      <c r="M278" s="188" t="e">
        <f>M279/M277*1000</f>
        <v>#DIV/0!</v>
      </c>
      <c r="N278" s="188"/>
      <c r="O278" s="188"/>
      <c r="P278" s="188"/>
      <c r="Q278" s="188"/>
      <c r="R278" s="188"/>
      <c r="S278" s="188"/>
      <c r="T278" s="188" t="e">
        <f>T279/T277*1000</f>
        <v>#DIV/0!</v>
      </c>
      <c r="U278" s="188" t="e">
        <f>U279/U277*1000</f>
        <v>#DIV/0!</v>
      </c>
      <c r="V278" s="218" t="e">
        <f>V279/V277*1000</f>
        <v>#DIV/0!</v>
      </c>
      <c r="W278" s="189" t="e">
        <f>W279/W277*1000</f>
        <v>#DIV/0!</v>
      </c>
      <c r="X278" s="59"/>
    </row>
    <row r="279" spans="1:24" s="63" customFormat="1" ht="0.8" hidden="1" customHeight="1">
      <c r="A279" s="610"/>
      <c r="B279" s="583"/>
      <c r="C279" s="583"/>
      <c r="D279" s="198" t="str">
        <f>серпень!D279</f>
        <v>касові нат.п-ки 2025</v>
      </c>
      <c r="E279" s="220"/>
      <c r="F279" s="199">
        <f t="shared" ref="F279:K279" si="307">F277*F278/1000</f>
        <v>0</v>
      </c>
      <c r="G279" s="199">
        <f t="shared" si="307"/>
        <v>0</v>
      </c>
      <c r="H279" s="199">
        <f t="shared" si="307"/>
        <v>0</v>
      </c>
      <c r="I279" s="199">
        <f t="shared" si="307"/>
        <v>0</v>
      </c>
      <c r="J279" s="199">
        <f t="shared" si="307"/>
        <v>0</v>
      </c>
      <c r="K279" s="199">
        <f t="shared" si="307"/>
        <v>0</v>
      </c>
      <c r="L279" s="199">
        <f>SUM(F279:K279)</f>
        <v>0</v>
      </c>
      <c r="M279" s="199">
        <f>L279/6</f>
        <v>0</v>
      </c>
      <c r="N279" s="199">
        <f t="shared" ref="N279:S279" si="308">N277*N278/1000</f>
        <v>0</v>
      </c>
      <c r="O279" s="199">
        <f t="shared" si="308"/>
        <v>0</v>
      </c>
      <c r="P279" s="199">
        <f t="shared" si="308"/>
        <v>0</v>
      </c>
      <c r="Q279" s="199">
        <f t="shared" si="308"/>
        <v>0</v>
      </c>
      <c r="R279" s="199">
        <f t="shared" si="308"/>
        <v>0</v>
      </c>
      <c r="S279" s="199">
        <f t="shared" si="308"/>
        <v>0</v>
      </c>
      <c r="T279" s="199">
        <f>SUM(N279:S279)</f>
        <v>0</v>
      </c>
      <c r="U279" s="199">
        <f>T279+L279</f>
        <v>0</v>
      </c>
      <c r="V279" s="199">
        <f>V274</f>
        <v>0</v>
      </c>
      <c r="W279" s="221">
        <f>V279-U279</f>
        <v>0</v>
      </c>
      <c r="X279" s="63">
        <f>U274-U279</f>
        <v>0</v>
      </c>
    </row>
    <row r="280" spans="1:24" s="63" customFormat="1" ht="0.8" hidden="1" customHeight="1">
      <c r="A280" s="610"/>
      <c r="B280" s="583"/>
      <c r="C280" s="583"/>
      <c r="D280" s="201" t="str">
        <f>серпень!D280</f>
        <v>тариф, грн.</v>
      </c>
      <c r="E280" s="220"/>
      <c r="F280" s="199"/>
      <c r="G280" s="199"/>
      <c r="H280" s="199"/>
      <c r="I280" s="199"/>
      <c r="J280" s="199"/>
      <c r="K280" s="199"/>
      <c r="L280" s="199">
        <f>SUM(F280:K280)</f>
        <v>0</v>
      </c>
      <c r="M280" s="199">
        <f>L280/6</f>
        <v>0</v>
      </c>
      <c r="N280" s="199"/>
      <c r="O280" s="199"/>
      <c r="P280" s="199"/>
      <c r="Q280" s="199"/>
      <c r="R280" s="199"/>
      <c r="S280" s="199"/>
      <c r="T280" s="199">
        <f>SUM(N280:S280)</f>
        <v>0</v>
      </c>
      <c r="U280" s="199">
        <f>T280+L280</f>
        <v>0</v>
      </c>
      <c r="V280" s="199">
        <f>V275</f>
        <v>0</v>
      </c>
      <c r="W280" s="221">
        <f>V280-U280</f>
        <v>0</v>
      </c>
      <c r="X280" s="63">
        <f>U275-U280</f>
        <v>0</v>
      </c>
    </row>
    <row r="281" spans="1:24" s="63" customFormat="1" ht="0.8" hidden="1" customHeight="1">
      <c r="A281" s="610"/>
      <c r="B281" s="583"/>
      <c r="C281" s="583"/>
      <c r="D281" s="201" t="str">
        <f>серпень!D281</f>
        <v>касові видатки, тис.грн.</v>
      </c>
      <c r="E281" s="220"/>
      <c r="F281" s="199">
        <f t="shared" ref="F281:K281" si="309">F279-F280</f>
        <v>0</v>
      </c>
      <c r="G281" s="199">
        <f t="shared" si="309"/>
        <v>0</v>
      </c>
      <c r="H281" s="199">
        <f t="shared" si="309"/>
        <v>0</v>
      </c>
      <c r="I281" s="199">
        <f t="shared" si="309"/>
        <v>0</v>
      </c>
      <c r="J281" s="199">
        <f t="shared" si="309"/>
        <v>0</v>
      </c>
      <c r="K281" s="199">
        <f t="shared" si="309"/>
        <v>0</v>
      </c>
      <c r="L281" s="199">
        <f>SUM(F281:K281)</f>
        <v>0</v>
      </c>
      <c r="M281" s="199">
        <f>L281/6</f>
        <v>0</v>
      </c>
      <c r="N281" s="199">
        <f t="shared" ref="N281:S281" si="310">N279-N280</f>
        <v>0</v>
      </c>
      <c r="O281" s="199">
        <f t="shared" si="310"/>
        <v>0</v>
      </c>
      <c r="P281" s="199">
        <f t="shared" si="310"/>
        <v>0</v>
      </c>
      <c r="Q281" s="199">
        <f t="shared" si="310"/>
        <v>0</v>
      </c>
      <c r="R281" s="199">
        <f t="shared" si="310"/>
        <v>0</v>
      </c>
      <c r="S281" s="199">
        <f t="shared" si="310"/>
        <v>0</v>
      </c>
      <c r="T281" s="199">
        <f>SUM(N281:S281)</f>
        <v>0</v>
      </c>
      <c r="U281" s="199">
        <f>T281+L281</f>
        <v>0</v>
      </c>
      <c r="V281" s="199">
        <f>V276</f>
        <v>0</v>
      </c>
      <c r="W281" s="221">
        <f>V281-U281</f>
        <v>0</v>
      </c>
      <c r="X281" s="63">
        <f>U276-U281</f>
        <v>0</v>
      </c>
    </row>
    <row r="282" spans="1:24" s="43" customFormat="1" ht="0.8" hidden="1" customHeight="1">
      <c r="A282" s="610"/>
      <c r="B282" s="583"/>
      <c r="C282" s="583"/>
      <c r="D282" s="202" t="str">
        <f>серпень!D282</f>
        <v>дотація</v>
      </c>
      <c r="E282" s="203"/>
      <c r="F282" s="203">
        <f t="shared" ref="F282:K282" si="311">F276</f>
        <v>0</v>
      </c>
      <c r="G282" s="203">
        <f t="shared" si="311"/>
        <v>0</v>
      </c>
      <c r="H282" s="203">
        <f t="shared" si="311"/>
        <v>0</v>
      </c>
      <c r="I282" s="203">
        <f t="shared" si="311"/>
        <v>0</v>
      </c>
      <c r="J282" s="203">
        <f t="shared" si="311"/>
        <v>0</v>
      </c>
      <c r="K282" s="203">
        <f t="shared" si="311"/>
        <v>0</v>
      </c>
      <c r="L282" s="203">
        <f>SUM(F282:K282)</f>
        <v>0</v>
      </c>
      <c r="M282" s="203">
        <f>L282/6</f>
        <v>0</v>
      </c>
      <c r="N282" s="203">
        <f t="shared" ref="N282:S282" si="312">N276+N275</f>
        <v>0</v>
      </c>
      <c r="O282" s="203">
        <f t="shared" si="312"/>
        <v>0</v>
      </c>
      <c r="P282" s="203">
        <f t="shared" si="312"/>
        <v>0</v>
      </c>
      <c r="Q282" s="203">
        <f t="shared" si="312"/>
        <v>0</v>
      </c>
      <c r="R282" s="203">
        <f t="shared" si="312"/>
        <v>0</v>
      </c>
      <c r="S282" s="203">
        <f t="shared" si="312"/>
        <v>0</v>
      </c>
      <c r="T282" s="203">
        <f>SUM(N282:S282)</f>
        <v>0</v>
      </c>
      <c r="U282" s="203">
        <f>T282+L282</f>
        <v>0</v>
      </c>
      <c r="V282" s="203">
        <f>V279</f>
        <v>0</v>
      </c>
      <c r="W282" s="203">
        <f>V282-U282</f>
        <v>0</v>
      </c>
    </row>
    <row r="283" spans="1:24" s="43" customFormat="1" ht="0.8" hidden="1" customHeight="1">
      <c r="A283" s="610"/>
      <c r="B283" s="583"/>
      <c r="C283" s="583"/>
      <c r="D283" s="202" t="str">
        <f>серпень!D283</f>
        <v xml:space="preserve">місцевий </v>
      </c>
      <c r="E283" s="203"/>
      <c r="F283" s="203">
        <f t="shared" ref="F283:K283" si="313">F279-F282</f>
        <v>0</v>
      </c>
      <c r="G283" s="203">
        <f t="shared" si="313"/>
        <v>0</v>
      </c>
      <c r="H283" s="203">
        <f t="shared" si="313"/>
        <v>0</v>
      </c>
      <c r="I283" s="203">
        <f t="shared" si="313"/>
        <v>0</v>
      </c>
      <c r="J283" s="203">
        <f t="shared" si="313"/>
        <v>0</v>
      </c>
      <c r="K283" s="203">
        <f t="shared" si="313"/>
        <v>0</v>
      </c>
      <c r="L283" s="203"/>
      <c r="M283" s="203"/>
      <c r="N283" s="203">
        <f t="shared" ref="N283:S283" si="314">N279-N282</f>
        <v>0</v>
      </c>
      <c r="O283" s="203">
        <f t="shared" si="314"/>
        <v>0</v>
      </c>
      <c r="P283" s="203">
        <f t="shared" si="314"/>
        <v>0</v>
      </c>
      <c r="Q283" s="203">
        <f t="shared" si="314"/>
        <v>0</v>
      </c>
      <c r="R283" s="203">
        <f t="shared" si="314"/>
        <v>0</v>
      </c>
      <c r="S283" s="203">
        <f t="shared" si="314"/>
        <v>0</v>
      </c>
      <c r="T283" s="203"/>
      <c r="U283" s="203"/>
      <c r="V283" s="203"/>
      <c r="W283" s="203"/>
    </row>
    <row r="284" spans="1:24" s="43" customFormat="1" ht="0.8" hidden="1" customHeight="1">
      <c r="A284" s="610"/>
      <c r="B284" s="583"/>
      <c r="C284" s="584"/>
      <c r="D284" s="202" t="str">
        <f>серпень!D284</f>
        <v>план</v>
      </c>
      <c r="E284" s="203"/>
      <c r="F284" s="203">
        <f>F283</f>
        <v>0</v>
      </c>
      <c r="G284" s="203">
        <f>G283+F284</f>
        <v>0</v>
      </c>
      <c r="H284" s="203">
        <f>H283+G284</f>
        <v>0</v>
      </c>
      <c r="I284" s="203">
        <f>I283+H284</f>
        <v>0</v>
      </c>
      <c r="J284" s="203">
        <f>J283+I284</f>
        <v>0</v>
      </c>
      <c r="K284" s="203">
        <f>K283+J284</f>
        <v>0</v>
      </c>
      <c r="L284" s="203"/>
      <c r="M284" s="203"/>
      <c r="N284" s="203">
        <f>N283+K284</f>
        <v>0</v>
      </c>
      <c r="O284" s="203">
        <f>O283+N284</f>
        <v>0</v>
      </c>
      <c r="P284" s="203">
        <f>P283+O284</f>
        <v>0</v>
      </c>
      <c r="Q284" s="203">
        <f>Q283+P284</f>
        <v>0</v>
      </c>
      <c r="R284" s="203">
        <f>R283+Q284</f>
        <v>0</v>
      </c>
      <c r="S284" s="203">
        <f>S283+R284</f>
        <v>0</v>
      </c>
      <c r="T284" s="203"/>
      <c r="U284" s="203"/>
      <c r="V284" s="203"/>
      <c r="W284" s="203"/>
    </row>
    <row r="285" spans="1:24" s="43" customFormat="1" ht="0.8" hidden="1" customHeight="1">
      <c r="A285" s="610"/>
      <c r="B285" s="583"/>
      <c r="C285" s="582" t="s">
        <v>96</v>
      </c>
      <c r="D285" s="178" t="s">
        <v>93</v>
      </c>
      <c r="E285" s="179"/>
      <c r="F285" s="180"/>
      <c r="G285" s="180"/>
      <c r="H285" s="180"/>
      <c r="I285" s="180"/>
      <c r="J285" s="180"/>
      <c r="K285" s="180"/>
      <c r="L285" s="215">
        <f>SUM(F285:K285)</f>
        <v>0</v>
      </c>
      <c r="M285" s="215">
        <f>L285/6</f>
        <v>0</v>
      </c>
      <c r="N285" s="180"/>
      <c r="O285" s="180"/>
      <c r="P285" s="180"/>
      <c r="Q285" s="180"/>
      <c r="R285" s="180"/>
      <c r="S285" s="180"/>
      <c r="T285" s="215">
        <f>SUM(N285:S285)</f>
        <v>0</v>
      </c>
      <c r="U285" s="226">
        <f>T285+L285</f>
        <v>0</v>
      </c>
      <c r="V285" s="227"/>
      <c r="W285" s="184">
        <f>V285-U285</f>
        <v>0</v>
      </c>
    </row>
    <row r="286" spans="1:24" s="43" customFormat="1" ht="0.8" hidden="1" customHeight="1">
      <c r="A286" s="610"/>
      <c r="B286" s="583"/>
      <c r="C286" s="583"/>
      <c r="D286" s="178" t="s">
        <v>95</v>
      </c>
      <c r="E286" s="179"/>
      <c r="F286" s="180"/>
      <c r="G286" s="180"/>
      <c r="H286" s="180"/>
      <c r="I286" s="180"/>
      <c r="J286" s="180"/>
      <c r="K286" s="180"/>
      <c r="L286" s="215">
        <f>SUM(F286:K286)</f>
        <v>0</v>
      </c>
      <c r="M286" s="215">
        <f>L286/6</f>
        <v>0</v>
      </c>
      <c r="N286" s="179"/>
      <c r="O286" s="179"/>
      <c r="P286" s="179"/>
      <c r="Q286" s="179"/>
      <c r="R286" s="179"/>
      <c r="S286" s="179"/>
      <c r="T286" s="215">
        <f>SUM(N286:S286)</f>
        <v>0</v>
      </c>
      <c r="U286" s="226">
        <f>T286+L286</f>
        <v>0</v>
      </c>
      <c r="V286" s="227"/>
      <c r="W286" s="184">
        <f>V286-U286</f>
        <v>0</v>
      </c>
    </row>
    <row r="287" spans="1:24" s="43" customFormat="1" ht="0.8" hidden="1" customHeight="1">
      <c r="A287" s="610"/>
      <c r="B287" s="583"/>
      <c r="C287" s="583"/>
      <c r="D287" s="178" t="s">
        <v>105</v>
      </c>
      <c r="E287" s="179"/>
      <c r="F287" s="180"/>
      <c r="G287" s="180"/>
      <c r="H287" s="180"/>
      <c r="I287" s="180"/>
      <c r="J287" s="180"/>
      <c r="K287" s="180"/>
      <c r="L287" s="215">
        <f>SUM(F287:K287)</f>
        <v>0</v>
      </c>
      <c r="M287" s="215">
        <f>L287/6</f>
        <v>0</v>
      </c>
      <c r="N287" s="180"/>
      <c r="O287" s="180"/>
      <c r="P287" s="180"/>
      <c r="Q287" s="180"/>
      <c r="R287" s="180"/>
      <c r="S287" s="179"/>
      <c r="T287" s="215">
        <f>SUM(N287:S287)</f>
        <v>0</v>
      </c>
      <c r="U287" s="226">
        <f>T287+L287</f>
        <v>0</v>
      </c>
      <c r="V287" s="179"/>
      <c r="W287" s="184">
        <f>V287-U287</f>
        <v>0</v>
      </c>
    </row>
    <row r="288" spans="1:24" s="43" customFormat="1" ht="0.8" hidden="1" customHeight="1">
      <c r="A288" s="610"/>
      <c r="B288" s="583"/>
      <c r="C288" s="583"/>
      <c r="D288" s="187" t="s">
        <v>27</v>
      </c>
      <c r="E288" s="188"/>
      <c r="F288" s="188">
        <v>173.45</v>
      </c>
      <c r="G288" s="188">
        <v>173.45</v>
      </c>
      <c r="H288" s="188">
        <v>173.45</v>
      </c>
      <c r="I288" s="188">
        <v>173.45</v>
      </c>
      <c r="J288" s="188">
        <v>173.45</v>
      </c>
      <c r="K288" s="188">
        <v>173.45</v>
      </c>
      <c r="L288" s="188" t="e">
        <f>L289/L287*1000</f>
        <v>#DIV/0!</v>
      </c>
      <c r="M288" s="188" t="e">
        <f>M289/M287*1000</f>
        <v>#DIV/0!</v>
      </c>
      <c r="N288" s="188">
        <v>173.45</v>
      </c>
      <c r="O288" s="188">
        <v>173.45</v>
      </c>
      <c r="P288" s="188">
        <v>173.45</v>
      </c>
      <c r="Q288" s="188">
        <v>173.45</v>
      </c>
      <c r="R288" s="188">
        <v>173.45</v>
      </c>
      <c r="S288" s="188">
        <v>173.45</v>
      </c>
      <c r="T288" s="188" t="e">
        <f>T289/T287*1000</f>
        <v>#DIV/0!</v>
      </c>
      <c r="U288" s="188" t="e">
        <f>U289/U287*1000</f>
        <v>#DIV/0!</v>
      </c>
      <c r="V288" s="218" t="e">
        <f>V289/V287*1000</f>
        <v>#DIV/0!</v>
      </c>
      <c r="W288" s="189" t="e">
        <f>W289/W287*1000</f>
        <v>#DIV/0!</v>
      </c>
    </row>
    <row r="289" spans="1:23" s="43" customFormat="1" ht="0.8" hidden="1" customHeight="1">
      <c r="A289" s="610"/>
      <c r="B289" s="583"/>
      <c r="C289" s="583"/>
      <c r="D289" s="191" t="s">
        <v>0</v>
      </c>
      <c r="E289" s="192"/>
      <c r="F289" s="192">
        <f t="shared" ref="F289:K289" si="315">F287*F288/1000</f>
        <v>0</v>
      </c>
      <c r="G289" s="192">
        <f t="shared" si="315"/>
        <v>0</v>
      </c>
      <c r="H289" s="192">
        <f t="shared" si="315"/>
        <v>0</v>
      </c>
      <c r="I289" s="192">
        <f t="shared" si="315"/>
        <v>0</v>
      </c>
      <c r="J289" s="192">
        <f t="shared" si="315"/>
        <v>0</v>
      </c>
      <c r="K289" s="192">
        <f t="shared" si="315"/>
        <v>0</v>
      </c>
      <c r="L289" s="194">
        <f>SUM(F289:K289)</f>
        <v>0</v>
      </c>
      <c r="M289" s="194">
        <f>L289/6</f>
        <v>0</v>
      </c>
      <c r="N289" s="192">
        <f t="shared" ref="N289:S289" si="316">N287*N288/1000</f>
        <v>0</v>
      </c>
      <c r="O289" s="192">
        <f t="shared" si="316"/>
        <v>0</v>
      </c>
      <c r="P289" s="192">
        <f t="shared" si="316"/>
        <v>0</v>
      </c>
      <c r="Q289" s="192">
        <f t="shared" si="316"/>
        <v>0</v>
      </c>
      <c r="R289" s="192">
        <f t="shared" si="316"/>
        <v>0</v>
      </c>
      <c r="S289" s="192">
        <f t="shared" si="316"/>
        <v>0</v>
      </c>
      <c r="T289" s="194">
        <f>SUM(N289:S289)</f>
        <v>0</v>
      </c>
      <c r="U289" s="194">
        <f>T289+L289</f>
        <v>0</v>
      </c>
      <c r="V289" s="171">
        <f>V290+V291</f>
        <v>0</v>
      </c>
      <c r="W289" s="193">
        <f>V289-U289</f>
        <v>0</v>
      </c>
    </row>
    <row r="290" spans="1:23" s="43" customFormat="1" ht="0.8" hidden="1" customHeight="1">
      <c r="A290" s="610"/>
      <c r="B290" s="583"/>
      <c r="C290" s="583"/>
      <c r="D290" s="174" t="s">
        <v>55</v>
      </c>
      <c r="E290" s="210"/>
      <c r="F290" s="192"/>
      <c r="G290" s="192"/>
      <c r="H290" s="192"/>
      <c r="I290" s="192"/>
      <c r="J290" s="192"/>
      <c r="K290" s="192"/>
      <c r="L290" s="194">
        <f>SUM(F290:K290)</f>
        <v>0</v>
      </c>
      <c r="M290" s="194">
        <f>L290/6</f>
        <v>0</v>
      </c>
      <c r="N290" s="192"/>
      <c r="O290" s="192"/>
      <c r="P290" s="192"/>
      <c r="Q290" s="192"/>
      <c r="R290" s="192"/>
      <c r="S290" s="192"/>
      <c r="T290" s="194">
        <f>SUM(N290:S290)</f>
        <v>0</v>
      </c>
      <c r="U290" s="194">
        <f>T290+L290</f>
        <v>0</v>
      </c>
      <c r="V290" s="171"/>
      <c r="W290" s="193">
        <f>V290-U290</f>
        <v>0</v>
      </c>
    </row>
    <row r="291" spans="1:23" s="43" customFormat="1" ht="0.8" hidden="1" customHeight="1">
      <c r="A291" s="610"/>
      <c r="B291" s="583"/>
      <c r="C291" s="583"/>
      <c r="D291" s="174" t="s">
        <v>28</v>
      </c>
      <c r="E291" s="210"/>
      <c r="F291" s="192"/>
      <c r="G291" s="192"/>
      <c r="H291" s="192"/>
      <c r="I291" s="192"/>
      <c r="J291" s="192"/>
      <c r="K291" s="192"/>
      <c r="L291" s="194">
        <f>SUM(F291:K291)</f>
        <v>0</v>
      </c>
      <c r="M291" s="194">
        <f>L291/6</f>
        <v>0</v>
      </c>
      <c r="N291" s="192"/>
      <c r="O291" s="192"/>
      <c r="P291" s="192"/>
      <c r="Q291" s="192"/>
      <c r="R291" s="192"/>
      <c r="S291" s="192"/>
      <c r="T291" s="194">
        <f>SUM(N291:S291)</f>
        <v>0</v>
      </c>
      <c r="U291" s="194">
        <f>T291+L291</f>
        <v>0</v>
      </c>
      <c r="V291" s="171"/>
      <c r="W291" s="193">
        <f>V291-U291</f>
        <v>0</v>
      </c>
    </row>
    <row r="292" spans="1:23" s="43" customFormat="1" ht="0.8" hidden="1" customHeight="1">
      <c r="A292" s="610"/>
      <c r="B292" s="583"/>
      <c r="C292" s="583"/>
      <c r="D292" s="178" t="s">
        <v>106</v>
      </c>
      <c r="E292" s="179"/>
      <c r="F292" s="179"/>
      <c r="G292" s="179"/>
      <c r="H292" s="179"/>
      <c r="I292" s="179"/>
      <c r="J292" s="179"/>
      <c r="K292" s="179"/>
      <c r="L292" s="215">
        <f>SUM(F292:K292)</f>
        <v>0</v>
      </c>
      <c r="M292" s="215">
        <f>L292/6</f>
        <v>0</v>
      </c>
      <c r="N292" s="179"/>
      <c r="O292" s="179"/>
      <c r="P292" s="179"/>
      <c r="Q292" s="179"/>
      <c r="R292" s="179"/>
      <c r="S292" s="179">
        <f>S287+R287</f>
        <v>0</v>
      </c>
      <c r="T292" s="215">
        <f>SUM(N292:S292)</f>
        <v>0</v>
      </c>
      <c r="U292" s="215">
        <f>T292+L292</f>
        <v>0</v>
      </c>
      <c r="V292" s="179">
        <f>V287</f>
        <v>0</v>
      </c>
      <c r="W292" s="184">
        <f>V292-U292</f>
        <v>0</v>
      </c>
    </row>
    <row r="293" spans="1:23" s="43" customFormat="1" ht="0.8" hidden="1" customHeight="1">
      <c r="A293" s="610"/>
      <c r="B293" s="583"/>
      <c r="C293" s="583"/>
      <c r="D293" s="187" t="s">
        <v>27</v>
      </c>
      <c r="E293" s="188" t="e">
        <f>E294/E292*1000</f>
        <v>#DIV/0!</v>
      </c>
      <c r="F293" s="188">
        <v>173.45</v>
      </c>
      <c r="G293" s="188">
        <v>173.45</v>
      </c>
      <c r="H293" s="188">
        <v>173.45</v>
      </c>
      <c r="I293" s="188">
        <v>173.45</v>
      </c>
      <c r="J293" s="188">
        <v>173.45</v>
      </c>
      <c r="K293" s="188">
        <v>173.45</v>
      </c>
      <c r="L293" s="188" t="e">
        <f>L294/L292*1000</f>
        <v>#DIV/0!</v>
      </c>
      <c r="M293" s="188" t="e">
        <f>M294/M292*1000</f>
        <v>#DIV/0!</v>
      </c>
      <c r="N293" s="188">
        <v>173.45</v>
      </c>
      <c r="O293" s="188">
        <v>173.45</v>
      </c>
      <c r="P293" s="188">
        <v>173.45</v>
      </c>
      <c r="Q293" s="188">
        <v>173.45</v>
      </c>
      <c r="R293" s="188">
        <v>173.45</v>
      </c>
      <c r="S293" s="188">
        <v>173.45</v>
      </c>
      <c r="T293" s="188" t="e">
        <f>T294/T292*1000</f>
        <v>#DIV/0!</v>
      </c>
      <c r="U293" s="188" t="e">
        <f>U294/U292*1000</f>
        <v>#DIV/0!</v>
      </c>
      <c r="V293" s="218" t="e">
        <f>V294/V292*1000</f>
        <v>#DIV/0!</v>
      </c>
      <c r="W293" s="189" t="e">
        <f>W294/W292*1000</f>
        <v>#DIV/0!</v>
      </c>
    </row>
    <row r="294" spans="1:23" s="43" customFormat="1" ht="0.8" hidden="1" customHeight="1">
      <c r="A294" s="610"/>
      <c r="B294" s="583"/>
      <c r="C294" s="583"/>
      <c r="D294" s="198" t="s">
        <v>25</v>
      </c>
      <c r="E294" s="220"/>
      <c r="F294" s="199">
        <f t="shared" ref="F294:K294" si="317">F292*F293/1000</f>
        <v>0</v>
      </c>
      <c r="G294" s="199">
        <f t="shared" si="317"/>
        <v>0</v>
      </c>
      <c r="H294" s="199">
        <f t="shared" si="317"/>
        <v>0</v>
      </c>
      <c r="I294" s="199">
        <f t="shared" si="317"/>
        <v>0</v>
      </c>
      <c r="J294" s="199">
        <f t="shared" si="317"/>
        <v>0</v>
      </c>
      <c r="K294" s="199">
        <f t="shared" si="317"/>
        <v>0</v>
      </c>
      <c r="L294" s="199">
        <f>SUM(F294:K294)</f>
        <v>0</v>
      </c>
      <c r="M294" s="199">
        <f>L294/6</f>
        <v>0</v>
      </c>
      <c r="N294" s="199">
        <f t="shared" ref="N294:S294" si="318">N292*N293/1000</f>
        <v>0</v>
      </c>
      <c r="O294" s="199">
        <f t="shared" si="318"/>
        <v>0</v>
      </c>
      <c r="P294" s="199">
        <f t="shared" si="318"/>
        <v>0</v>
      </c>
      <c r="Q294" s="199">
        <f t="shared" si="318"/>
        <v>0</v>
      </c>
      <c r="R294" s="199">
        <f t="shared" si="318"/>
        <v>0</v>
      </c>
      <c r="S294" s="199">
        <f t="shared" si="318"/>
        <v>0</v>
      </c>
      <c r="T294" s="199">
        <f>SUM(N294:S294)</f>
        <v>0</v>
      </c>
      <c r="U294" s="199">
        <f>T294+L294</f>
        <v>0</v>
      </c>
      <c r="V294" s="199">
        <f>V289</f>
        <v>0</v>
      </c>
      <c r="W294" s="221">
        <f>V294-U294</f>
        <v>0</v>
      </c>
    </row>
    <row r="295" spans="1:23" s="43" customFormat="1" ht="0.8" hidden="1" customHeight="1">
      <c r="A295" s="610"/>
      <c r="B295" s="583"/>
      <c r="C295" s="583"/>
      <c r="D295" s="201" t="s">
        <v>55</v>
      </c>
      <c r="E295" s="220"/>
      <c r="F295" s="199"/>
      <c r="G295" s="199"/>
      <c r="H295" s="199"/>
      <c r="I295" s="199"/>
      <c r="J295" s="199"/>
      <c r="K295" s="199"/>
      <c r="L295" s="199">
        <f>SUM(F295:K295)</f>
        <v>0</v>
      </c>
      <c r="M295" s="199">
        <f>L295/6</f>
        <v>0</v>
      </c>
      <c r="N295" s="199"/>
      <c r="O295" s="199"/>
      <c r="P295" s="199"/>
      <c r="Q295" s="199"/>
      <c r="R295" s="199"/>
      <c r="S295" s="199"/>
      <c r="T295" s="199">
        <f>SUM(N295:S295)</f>
        <v>0</v>
      </c>
      <c r="U295" s="199">
        <f>T295+L295</f>
        <v>0</v>
      </c>
      <c r="V295" s="199">
        <f>V290</f>
        <v>0</v>
      </c>
      <c r="W295" s="221">
        <f>V295-U295</f>
        <v>0</v>
      </c>
    </row>
    <row r="296" spans="1:23" s="43" customFormat="1" ht="0.8" hidden="1" customHeight="1">
      <c r="A296" s="610"/>
      <c r="B296" s="583"/>
      <c r="C296" s="583"/>
      <c r="D296" s="201" t="s">
        <v>24</v>
      </c>
      <c r="E296" s="220"/>
      <c r="F296" s="199">
        <f t="shared" ref="F296:K296" si="319">F294-F295</f>
        <v>0</v>
      </c>
      <c r="G296" s="199">
        <f t="shared" si="319"/>
        <v>0</v>
      </c>
      <c r="H296" s="199">
        <f t="shared" si="319"/>
        <v>0</v>
      </c>
      <c r="I296" s="199">
        <f t="shared" si="319"/>
        <v>0</v>
      </c>
      <c r="J296" s="199">
        <f t="shared" si="319"/>
        <v>0</v>
      </c>
      <c r="K296" s="199">
        <f t="shared" si="319"/>
        <v>0</v>
      </c>
      <c r="L296" s="199">
        <f>SUM(F296:K296)</f>
        <v>0</v>
      </c>
      <c r="M296" s="199">
        <f>L296/6</f>
        <v>0</v>
      </c>
      <c r="N296" s="199">
        <f t="shared" ref="N296:S296" si="320">N294-N295</f>
        <v>0</v>
      </c>
      <c r="O296" s="199">
        <f t="shared" si="320"/>
        <v>0</v>
      </c>
      <c r="P296" s="199">
        <f t="shared" si="320"/>
        <v>0</v>
      </c>
      <c r="Q296" s="199">
        <f t="shared" si="320"/>
        <v>0</v>
      </c>
      <c r="R296" s="199">
        <f t="shared" si="320"/>
        <v>0</v>
      </c>
      <c r="S296" s="199">
        <f t="shared" si="320"/>
        <v>0</v>
      </c>
      <c r="T296" s="199">
        <f>SUM(N296:S296)</f>
        <v>0</v>
      </c>
      <c r="U296" s="199">
        <f>T296+L296</f>
        <v>0</v>
      </c>
      <c r="V296" s="199">
        <f>V291</f>
        <v>0</v>
      </c>
      <c r="W296" s="221">
        <f>V296-U296</f>
        <v>0</v>
      </c>
    </row>
    <row r="297" spans="1:23" s="43" customFormat="1" ht="0.8" hidden="1" customHeight="1">
      <c r="A297" s="610"/>
      <c r="B297" s="583"/>
      <c r="C297" s="583"/>
      <c r="D297" s="202" t="s">
        <v>29</v>
      </c>
      <c r="E297" s="203"/>
      <c r="F297" s="203">
        <f t="shared" ref="F297:K297" si="321">F291</f>
        <v>0</v>
      </c>
      <c r="G297" s="203">
        <f t="shared" si="321"/>
        <v>0</v>
      </c>
      <c r="H297" s="203">
        <f t="shared" si="321"/>
        <v>0</v>
      </c>
      <c r="I297" s="203">
        <f t="shared" si="321"/>
        <v>0</v>
      </c>
      <c r="J297" s="203">
        <f t="shared" si="321"/>
        <v>0</v>
      </c>
      <c r="K297" s="203">
        <f t="shared" si="321"/>
        <v>0</v>
      </c>
      <c r="L297" s="203">
        <f>SUM(F297:K297)</f>
        <v>0</v>
      </c>
      <c r="M297" s="203">
        <f>L297/6</f>
        <v>0</v>
      </c>
      <c r="N297" s="203">
        <f t="shared" ref="N297:S297" si="322">N291+N290</f>
        <v>0</v>
      </c>
      <c r="O297" s="203">
        <f t="shared" si="322"/>
        <v>0</v>
      </c>
      <c r="P297" s="203">
        <f t="shared" si="322"/>
        <v>0</v>
      </c>
      <c r="Q297" s="203">
        <f t="shared" si="322"/>
        <v>0</v>
      </c>
      <c r="R297" s="203">
        <f t="shared" si="322"/>
        <v>0</v>
      </c>
      <c r="S297" s="203">
        <f t="shared" si="322"/>
        <v>0</v>
      </c>
      <c r="T297" s="203">
        <f>SUM(N297:S297)</f>
        <v>0</v>
      </c>
      <c r="U297" s="203">
        <f>T297+L297</f>
        <v>0</v>
      </c>
      <c r="V297" s="203">
        <f>V294</f>
        <v>0</v>
      </c>
      <c r="W297" s="203">
        <f>V297-U297</f>
        <v>0</v>
      </c>
    </row>
    <row r="298" spans="1:23" s="43" customFormat="1" ht="0.8" hidden="1" customHeight="1">
      <c r="A298" s="610"/>
      <c r="B298" s="583"/>
      <c r="C298" s="583"/>
      <c r="D298" s="202" t="s">
        <v>30</v>
      </c>
      <c r="E298" s="203"/>
      <c r="F298" s="203">
        <f t="shared" ref="F298:K298" si="323">F294-F297</f>
        <v>0</v>
      </c>
      <c r="G298" s="203">
        <f t="shared" si="323"/>
        <v>0</v>
      </c>
      <c r="H298" s="203">
        <f t="shared" si="323"/>
        <v>0</v>
      </c>
      <c r="I298" s="203">
        <f t="shared" si="323"/>
        <v>0</v>
      </c>
      <c r="J298" s="203">
        <f t="shared" si="323"/>
        <v>0</v>
      </c>
      <c r="K298" s="203">
        <f t="shared" si="323"/>
        <v>0</v>
      </c>
      <c r="L298" s="203"/>
      <c r="M298" s="203"/>
      <c r="N298" s="203">
        <f t="shared" ref="N298:S298" si="324">N294-N297</f>
        <v>0</v>
      </c>
      <c r="O298" s="203">
        <f t="shared" si="324"/>
        <v>0</v>
      </c>
      <c r="P298" s="203">
        <f t="shared" si="324"/>
        <v>0</v>
      </c>
      <c r="Q298" s="203">
        <f t="shared" si="324"/>
        <v>0</v>
      </c>
      <c r="R298" s="203">
        <f t="shared" si="324"/>
        <v>0</v>
      </c>
      <c r="S298" s="203">
        <f t="shared" si="324"/>
        <v>0</v>
      </c>
      <c r="T298" s="203"/>
      <c r="U298" s="203"/>
      <c r="V298" s="203"/>
      <c r="W298" s="203"/>
    </row>
    <row r="299" spans="1:23" s="43" customFormat="1" ht="0.8" hidden="1" customHeight="1">
      <c r="A299" s="610"/>
      <c r="B299" s="583"/>
      <c r="C299" s="584"/>
      <c r="D299" s="202" t="s">
        <v>31</v>
      </c>
      <c r="E299" s="203"/>
      <c r="F299" s="203">
        <f>F298</f>
        <v>0</v>
      </c>
      <c r="G299" s="203">
        <f>G298+F299</f>
        <v>0</v>
      </c>
      <c r="H299" s="203">
        <f>H298+G299</f>
        <v>0</v>
      </c>
      <c r="I299" s="203">
        <f>I298+H299</f>
        <v>0</v>
      </c>
      <c r="J299" s="203">
        <f>J298+I299</f>
        <v>0</v>
      </c>
      <c r="K299" s="203">
        <f>K298+J299</f>
        <v>0</v>
      </c>
      <c r="L299" s="203"/>
      <c r="M299" s="203"/>
      <c r="N299" s="203">
        <f>N298+K299</f>
        <v>0</v>
      </c>
      <c r="O299" s="203">
        <f>O298+N299</f>
        <v>0</v>
      </c>
      <c r="P299" s="203">
        <f>P298+O299</f>
        <v>0</v>
      </c>
      <c r="Q299" s="203">
        <f>Q298+P299</f>
        <v>0</v>
      </c>
      <c r="R299" s="203">
        <f>R298+Q299</f>
        <v>0</v>
      </c>
      <c r="S299" s="203">
        <f>S298+R299</f>
        <v>0</v>
      </c>
      <c r="T299" s="203"/>
      <c r="U299" s="203"/>
      <c r="V299" s="203"/>
      <c r="W299" s="203"/>
    </row>
    <row r="300" spans="1:23" s="47" customFormat="1" ht="0.8" hidden="1" customHeight="1">
      <c r="A300" s="610"/>
      <c r="B300" s="581" t="s">
        <v>59</v>
      </c>
      <c r="C300" s="582" t="s">
        <v>97</v>
      </c>
      <c r="D300" s="178" t="s">
        <v>93</v>
      </c>
      <c r="E300" s="179"/>
      <c r="F300" s="180"/>
      <c r="G300" s="180"/>
      <c r="H300" s="180"/>
      <c r="I300" s="180"/>
      <c r="J300" s="180"/>
      <c r="K300" s="180"/>
      <c r="L300" s="215">
        <f>SUM(F300:K300)</f>
        <v>0</v>
      </c>
      <c r="M300" s="215">
        <f>L300/6</f>
        <v>0</v>
      </c>
      <c r="N300" s="180"/>
      <c r="O300" s="180"/>
      <c r="P300" s="180"/>
      <c r="Q300" s="180"/>
      <c r="R300" s="180"/>
      <c r="S300" s="180"/>
      <c r="T300" s="215">
        <f>SUM(N300:S300)</f>
        <v>0</v>
      </c>
      <c r="U300" s="226">
        <f>T300+L300</f>
        <v>0</v>
      </c>
      <c r="V300" s="227"/>
      <c r="W300" s="184">
        <f>V300-U300</f>
        <v>0</v>
      </c>
    </row>
    <row r="301" spans="1:23" s="47" customFormat="1" ht="0.8" hidden="1" customHeight="1">
      <c r="A301" s="610"/>
      <c r="B301" s="581"/>
      <c r="C301" s="583"/>
      <c r="D301" s="178" t="s">
        <v>95</v>
      </c>
      <c r="E301" s="179"/>
      <c r="F301" s="180"/>
      <c r="G301" s="180"/>
      <c r="H301" s="180"/>
      <c r="I301" s="180"/>
      <c r="J301" s="180"/>
      <c r="K301" s="180"/>
      <c r="L301" s="215">
        <f>SUM(F301:K301)</f>
        <v>0</v>
      </c>
      <c r="M301" s="215">
        <f>L301/6</f>
        <v>0</v>
      </c>
      <c r="N301" s="179"/>
      <c r="O301" s="179"/>
      <c r="P301" s="179"/>
      <c r="Q301" s="179"/>
      <c r="R301" s="179"/>
      <c r="S301" s="179"/>
      <c r="T301" s="215">
        <f>SUM(N301:S301)</f>
        <v>0</v>
      </c>
      <c r="U301" s="226">
        <f>T301+L301</f>
        <v>0</v>
      </c>
      <c r="V301" s="227"/>
      <c r="W301" s="184">
        <f>V301-U301</f>
        <v>0</v>
      </c>
    </row>
    <row r="302" spans="1:23" s="47" customFormat="1" hidden="1">
      <c r="A302" s="610"/>
      <c r="B302" s="581"/>
      <c r="C302" s="583"/>
      <c r="D302" s="178" t="s">
        <v>105</v>
      </c>
      <c r="E302" s="179"/>
      <c r="F302" s="180"/>
      <c r="G302" s="180"/>
      <c r="H302" s="180"/>
      <c r="I302" s="180"/>
      <c r="J302" s="180"/>
      <c r="K302" s="180"/>
      <c r="L302" s="215">
        <f>SUM(F302:K302)</f>
        <v>0</v>
      </c>
      <c r="M302" s="215">
        <f>L302/6</f>
        <v>0</v>
      </c>
      <c r="N302" s="180"/>
      <c r="O302" s="180"/>
      <c r="P302" s="180"/>
      <c r="Q302" s="180"/>
      <c r="R302" s="180"/>
      <c r="S302" s="179"/>
      <c r="T302" s="215">
        <f>SUM(N302:S302)</f>
        <v>0</v>
      </c>
      <c r="U302" s="226">
        <f>T302+L302</f>
        <v>0</v>
      </c>
      <c r="V302" s="179"/>
      <c r="W302" s="184">
        <f>V302-U302</f>
        <v>0</v>
      </c>
    </row>
    <row r="303" spans="1:23" s="47" customFormat="1" ht="0.8" hidden="1" customHeight="1">
      <c r="A303" s="610"/>
      <c r="B303" s="581"/>
      <c r="C303" s="583"/>
      <c r="D303" s="187" t="s">
        <v>27</v>
      </c>
      <c r="E303" s="188"/>
      <c r="F303" s="188"/>
      <c r="G303" s="188"/>
      <c r="H303" s="188"/>
      <c r="I303" s="188"/>
      <c r="J303" s="188"/>
      <c r="K303" s="188"/>
      <c r="L303" s="188" t="e">
        <f>L304/L302*1000</f>
        <v>#DIV/0!</v>
      </c>
      <c r="M303" s="188" t="e">
        <f>M304/M302*1000</f>
        <v>#DIV/0!</v>
      </c>
      <c r="N303" s="188"/>
      <c r="O303" s="188"/>
      <c r="P303" s="188"/>
      <c r="Q303" s="188"/>
      <c r="R303" s="188"/>
      <c r="S303" s="188"/>
      <c r="T303" s="188" t="e">
        <f>T304/T302*1000</f>
        <v>#DIV/0!</v>
      </c>
      <c r="U303" s="188" t="e">
        <f>U304/U302*1000</f>
        <v>#DIV/0!</v>
      </c>
      <c r="V303" s="218" t="e">
        <f>V304/V302*1000</f>
        <v>#DIV/0!</v>
      </c>
      <c r="W303" s="189" t="e">
        <f>W304/W302*1000</f>
        <v>#DIV/0!</v>
      </c>
    </row>
    <row r="304" spans="1:23" s="47" customFormat="1" ht="0.8" hidden="1" customHeight="1">
      <c r="A304" s="610"/>
      <c r="B304" s="581"/>
      <c r="C304" s="583"/>
      <c r="D304" s="191" t="s">
        <v>0</v>
      </c>
      <c r="E304" s="192"/>
      <c r="F304" s="192">
        <f t="shared" ref="F304:K304" si="325">F302*F303/1000</f>
        <v>0</v>
      </c>
      <c r="G304" s="192">
        <f t="shared" si="325"/>
        <v>0</v>
      </c>
      <c r="H304" s="192">
        <f t="shared" si="325"/>
        <v>0</v>
      </c>
      <c r="I304" s="192">
        <f t="shared" si="325"/>
        <v>0</v>
      </c>
      <c r="J304" s="192">
        <f t="shared" si="325"/>
        <v>0</v>
      </c>
      <c r="K304" s="192">
        <f t="shared" si="325"/>
        <v>0</v>
      </c>
      <c r="L304" s="194">
        <f>SUM(F304:K304)</f>
        <v>0</v>
      </c>
      <c r="M304" s="194">
        <f>L304/6</f>
        <v>0</v>
      </c>
      <c r="N304" s="192">
        <f t="shared" ref="N304:S304" si="326">N302*N303/1000</f>
        <v>0</v>
      </c>
      <c r="O304" s="192">
        <f t="shared" si="326"/>
        <v>0</v>
      </c>
      <c r="P304" s="192">
        <f t="shared" si="326"/>
        <v>0</v>
      </c>
      <c r="Q304" s="192">
        <f t="shared" si="326"/>
        <v>0</v>
      </c>
      <c r="R304" s="192">
        <f t="shared" si="326"/>
        <v>0</v>
      </c>
      <c r="S304" s="192">
        <f t="shared" si="326"/>
        <v>0</v>
      </c>
      <c r="T304" s="194">
        <f>SUM(N304:S304)</f>
        <v>0</v>
      </c>
      <c r="U304" s="194">
        <f>T304+L304</f>
        <v>0</v>
      </c>
      <c r="V304" s="171">
        <f>V305+V306</f>
        <v>0</v>
      </c>
      <c r="W304" s="193">
        <f>V304-U304</f>
        <v>0</v>
      </c>
    </row>
    <row r="305" spans="1:24" s="47" customFormat="1" ht="0.8" hidden="1" customHeight="1">
      <c r="A305" s="610"/>
      <c r="B305" s="581"/>
      <c r="C305" s="583"/>
      <c r="D305" s="174" t="s">
        <v>55</v>
      </c>
      <c r="E305" s="210"/>
      <c r="F305" s="192"/>
      <c r="G305" s="192"/>
      <c r="H305" s="192"/>
      <c r="I305" s="192"/>
      <c r="J305" s="192"/>
      <c r="K305" s="192"/>
      <c r="L305" s="194">
        <f>SUM(F305:K305)</f>
        <v>0</v>
      </c>
      <c r="M305" s="194">
        <f>L305/6</f>
        <v>0</v>
      </c>
      <c r="N305" s="192"/>
      <c r="O305" s="192"/>
      <c r="P305" s="192"/>
      <c r="Q305" s="192"/>
      <c r="R305" s="192"/>
      <c r="S305" s="192"/>
      <c r="T305" s="194">
        <f>SUM(N305:S305)</f>
        <v>0</v>
      </c>
      <c r="U305" s="194">
        <f>T305+L305</f>
        <v>0</v>
      </c>
      <c r="V305" s="171"/>
      <c r="W305" s="193">
        <f>V305-U305</f>
        <v>0</v>
      </c>
    </row>
    <row r="306" spans="1:24" s="47" customFormat="1" ht="0.8" hidden="1" customHeight="1">
      <c r="A306" s="610"/>
      <c r="B306" s="581"/>
      <c r="C306" s="583"/>
      <c r="D306" s="174" t="s">
        <v>28</v>
      </c>
      <c r="E306" s="210"/>
      <c r="F306" s="192"/>
      <c r="G306" s="192"/>
      <c r="H306" s="192"/>
      <c r="I306" s="192"/>
      <c r="J306" s="192"/>
      <c r="K306" s="192"/>
      <c r="L306" s="194">
        <f>SUM(F306:K306)</f>
        <v>0</v>
      </c>
      <c r="M306" s="194">
        <f>L306/6</f>
        <v>0</v>
      </c>
      <c r="N306" s="192"/>
      <c r="O306" s="192"/>
      <c r="P306" s="192"/>
      <c r="Q306" s="192"/>
      <c r="R306" s="192"/>
      <c r="S306" s="192"/>
      <c r="T306" s="194">
        <f>SUM(N306:S306)</f>
        <v>0</v>
      </c>
      <c r="U306" s="194">
        <f>T306+L306</f>
        <v>0</v>
      </c>
      <c r="V306" s="171"/>
      <c r="W306" s="193">
        <f>V306-U306</f>
        <v>0</v>
      </c>
    </row>
    <row r="307" spans="1:24" s="47" customFormat="1" ht="0.8" hidden="1" customHeight="1">
      <c r="A307" s="610"/>
      <c r="B307" s="581"/>
      <c r="C307" s="583"/>
      <c r="D307" s="178" t="s">
        <v>106</v>
      </c>
      <c r="E307" s="179"/>
      <c r="F307" s="179"/>
      <c r="G307" s="179"/>
      <c r="H307" s="179"/>
      <c r="I307" s="179"/>
      <c r="J307" s="179"/>
      <c r="K307" s="179"/>
      <c r="L307" s="215">
        <f>SUM(F307:K307)</f>
        <v>0</v>
      </c>
      <c r="M307" s="215">
        <f>L307/6</f>
        <v>0</v>
      </c>
      <c r="N307" s="179"/>
      <c r="O307" s="179"/>
      <c r="P307" s="179"/>
      <c r="Q307" s="179"/>
      <c r="R307" s="179"/>
      <c r="S307" s="179">
        <f>S302+R302</f>
        <v>0</v>
      </c>
      <c r="T307" s="215">
        <f>SUM(N307:S307)</f>
        <v>0</v>
      </c>
      <c r="U307" s="215">
        <f>T307+L307</f>
        <v>0</v>
      </c>
      <c r="V307" s="179">
        <f>V302</f>
        <v>0</v>
      </c>
      <c r="W307" s="184">
        <f>V307-U307</f>
        <v>0</v>
      </c>
      <c r="X307" s="47">
        <f>U302-U307</f>
        <v>0</v>
      </c>
    </row>
    <row r="308" spans="1:24" s="47" customFormat="1" ht="0.8" hidden="1" customHeight="1">
      <c r="A308" s="610"/>
      <c r="B308" s="581"/>
      <c r="C308" s="583"/>
      <c r="D308" s="187" t="s">
        <v>27</v>
      </c>
      <c r="E308" s="188" t="e">
        <f>E309/E307*1000</f>
        <v>#DIV/0!</v>
      </c>
      <c r="F308" s="188"/>
      <c r="G308" s="188"/>
      <c r="H308" s="188"/>
      <c r="I308" s="188"/>
      <c r="J308" s="188"/>
      <c r="K308" s="188"/>
      <c r="L308" s="188" t="e">
        <f>L309/L307*1000</f>
        <v>#DIV/0!</v>
      </c>
      <c r="M308" s="188" t="e">
        <f>M309/M307*1000</f>
        <v>#DIV/0!</v>
      </c>
      <c r="N308" s="188"/>
      <c r="O308" s="188"/>
      <c r="P308" s="188"/>
      <c r="Q308" s="188"/>
      <c r="R308" s="188"/>
      <c r="S308" s="188"/>
      <c r="T308" s="188" t="e">
        <f>T309/T307*1000</f>
        <v>#DIV/0!</v>
      </c>
      <c r="U308" s="188" t="e">
        <f>U309/U307*1000</f>
        <v>#DIV/0!</v>
      </c>
      <c r="V308" s="218" t="e">
        <f>V309/V307*1000</f>
        <v>#DIV/0!</v>
      </c>
      <c r="W308" s="189" t="e">
        <f>W309/W307*1000</f>
        <v>#DIV/0!</v>
      </c>
    </row>
    <row r="309" spans="1:24" s="63" customFormat="1" ht="0.8" hidden="1" customHeight="1">
      <c r="A309" s="610"/>
      <c r="B309" s="581"/>
      <c r="C309" s="583"/>
      <c r="D309" s="198" t="s">
        <v>25</v>
      </c>
      <c r="E309" s="220"/>
      <c r="F309" s="199">
        <f t="shared" ref="F309:K309" si="327">F307*F308/1000</f>
        <v>0</v>
      </c>
      <c r="G309" s="199">
        <f t="shared" si="327"/>
        <v>0</v>
      </c>
      <c r="H309" s="199">
        <f t="shared" si="327"/>
        <v>0</v>
      </c>
      <c r="I309" s="199">
        <f t="shared" si="327"/>
        <v>0</v>
      </c>
      <c r="J309" s="199">
        <f t="shared" si="327"/>
        <v>0</v>
      </c>
      <c r="K309" s="199">
        <f t="shared" si="327"/>
        <v>0</v>
      </c>
      <c r="L309" s="199">
        <f>SUM(F309:K309)</f>
        <v>0</v>
      </c>
      <c r="M309" s="199">
        <f>L309/6</f>
        <v>0</v>
      </c>
      <c r="N309" s="199">
        <f t="shared" ref="N309:S309" si="328">N307*N308/1000</f>
        <v>0</v>
      </c>
      <c r="O309" s="199">
        <f t="shared" si="328"/>
        <v>0</v>
      </c>
      <c r="P309" s="199">
        <f t="shared" si="328"/>
        <v>0</v>
      </c>
      <c r="Q309" s="199">
        <f t="shared" si="328"/>
        <v>0</v>
      </c>
      <c r="R309" s="199">
        <f t="shared" si="328"/>
        <v>0</v>
      </c>
      <c r="S309" s="199">
        <f t="shared" si="328"/>
        <v>0</v>
      </c>
      <c r="T309" s="199">
        <f>SUM(N309:S309)</f>
        <v>0</v>
      </c>
      <c r="U309" s="199">
        <f>T309+L309</f>
        <v>0</v>
      </c>
      <c r="V309" s="199">
        <f>V304</f>
        <v>0</v>
      </c>
      <c r="W309" s="221">
        <f>V309-U309</f>
        <v>0</v>
      </c>
      <c r="X309" s="63">
        <f>U304-U309</f>
        <v>0</v>
      </c>
    </row>
    <row r="310" spans="1:24" s="63" customFormat="1" ht="0.8" hidden="1" customHeight="1">
      <c r="A310" s="610"/>
      <c r="B310" s="581"/>
      <c r="C310" s="583"/>
      <c r="D310" s="201" t="s">
        <v>55</v>
      </c>
      <c r="E310" s="220"/>
      <c r="F310" s="199"/>
      <c r="G310" s="199"/>
      <c r="H310" s="199"/>
      <c r="I310" s="199"/>
      <c r="J310" s="199"/>
      <c r="K310" s="199"/>
      <c r="L310" s="199">
        <f>SUM(F310:K310)</f>
        <v>0</v>
      </c>
      <c r="M310" s="199">
        <f>L310/6</f>
        <v>0</v>
      </c>
      <c r="N310" s="199"/>
      <c r="O310" s="199"/>
      <c r="P310" s="199"/>
      <c r="Q310" s="199"/>
      <c r="R310" s="199"/>
      <c r="S310" s="199"/>
      <c r="T310" s="199">
        <f>SUM(N310:S310)</f>
        <v>0</v>
      </c>
      <c r="U310" s="199">
        <f>T310+L310</f>
        <v>0</v>
      </c>
      <c r="V310" s="199">
        <f>V305</f>
        <v>0</v>
      </c>
      <c r="W310" s="221">
        <f>V310-U310</f>
        <v>0</v>
      </c>
      <c r="X310" s="63">
        <f>U305-U310</f>
        <v>0</v>
      </c>
    </row>
    <row r="311" spans="1:24" s="63" customFormat="1" ht="0.8" hidden="1" customHeight="1">
      <c r="A311" s="610"/>
      <c r="B311" s="581"/>
      <c r="C311" s="583"/>
      <c r="D311" s="201" t="s">
        <v>24</v>
      </c>
      <c r="E311" s="220"/>
      <c r="F311" s="199">
        <f t="shared" ref="F311:K311" si="329">F309-F310</f>
        <v>0</v>
      </c>
      <c r="G311" s="199">
        <f t="shared" si="329"/>
        <v>0</v>
      </c>
      <c r="H311" s="199">
        <f t="shared" si="329"/>
        <v>0</v>
      </c>
      <c r="I311" s="199">
        <f t="shared" si="329"/>
        <v>0</v>
      </c>
      <c r="J311" s="199">
        <f t="shared" si="329"/>
        <v>0</v>
      </c>
      <c r="K311" s="199">
        <f t="shared" si="329"/>
        <v>0</v>
      </c>
      <c r="L311" s="199">
        <f>SUM(F311:K311)</f>
        <v>0</v>
      </c>
      <c r="M311" s="199">
        <f>L311/6</f>
        <v>0</v>
      </c>
      <c r="N311" s="199">
        <f t="shared" ref="N311:S311" si="330">N309-N310</f>
        <v>0</v>
      </c>
      <c r="O311" s="199">
        <f t="shared" si="330"/>
        <v>0</v>
      </c>
      <c r="P311" s="199">
        <f t="shared" si="330"/>
        <v>0</v>
      </c>
      <c r="Q311" s="199">
        <f t="shared" si="330"/>
        <v>0</v>
      </c>
      <c r="R311" s="199">
        <f t="shared" si="330"/>
        <v>0</v>
      </c>
      <c r="S311" s="199">
        <f t="shared" si="330"/>
        <v>0</v>
      </c>
      <c r="T311" s="199">
        <f>SUM(N311:S311)</f>
        <v>0</v>
      </c>
      <c r="U311" s="199">
        <f>T311+L311</f>
        <v>0</v>
      </c>
      <c r="V311" s="199">
        <f>V306</f>
        <v>0</v>
      </c>
      <c r="W311" s="221">
        <f>V311-U311</f>
        <v>0</v>
      </c>
      <c r="X311" s="63">
        <f>U306-U311</f>
        <v>0</v>
      </c>
    </row>
    <row r="312" spans="1:24" s="43" customFormat="1" ht="0.8" hidden="1" customHeight="1">
      <c r="A312" s="610"/>
      <c r="B312" s="581"/>
      <c r="C312" s="583"/>
      <c r="D312" s="202" t="s">
        <v>29</v>
      </c>
      <c r="E312" s="203"/>
      <c r="F312" s="203">
        <f t="shared" ref="F312:K312" si="331">F306</f>
        <v>0</v>
      </c>
      <c r="G312" s="203">
        <f t="shared" si="331"/>
        <v>0</v>
      </c>
      <c r="H312" s="203">
        <f t="shared" si="331"/>
        <v>0</v>
      </c>
      <c r="I312" s="203">
        <f t="shared" si="331"/>
        <v>0</v>
      </c>
      <c r="J312" s="203">
        <f t="shared" si="331"/>
        <v>0</v>
      </c>
      <c r="K312" s="203">
        <f t="shared" si="331"/>
        <v>0</v>
      </c>
      <c r="L312" s="203">
        <f>SUM(F312:K312)</f>
        <v>0</v>
      </c>
      <c r="M312" s="203">
        <f>L312/6</f>
        <v>0</v>
      </c>
      <c r="N312" s="203">
        <f t="shared" ref="N312:S312" si="332">N306+N305</f>
        <v>0</v>
      </c>
      <c r="O312" s="203">
        <f t="shared" si="332"/>
        <v>0</v>
      </c>
      <c r="P312" s="203">
        <f t="shared" si="332"/>
        <v>0</v>
      </c>
      <c r="Q312" s="203">
        <f t="shared" si="332"/>
        <v>0</v>
      </c>
      <c r="R312" s="203">
        <f t="shared" si="332"/>
        <v>0</v>
      </c>
      <c r="S312" s="203">
        <f t="shared" si="332"/>
        <v>0</v>
      </c>
      <c r="T312" s="203">
        <f>SUM(N312:S312)</f>
        <v>0</v>
      </c>
      <c r="U312" s="203">
        <f>T312+L312</f>
        <v>0</v>
      </c>
      <c r="V312" s="203">
        <f>V309</f>
        <v>0</v>
      </c>
      <c r="W312" s="203">
        <f>V312-U312</f>
        <v>0</v>
      </c>
    </row>
    <row r="313" spans="1:24" s="43" customFormat="1" ht="0.8" hidden="1" customHeight="1">
      <c r="A313" s="610"/>
      <c r="B313" s="581"/>
      <c r="C313" s="583"/>
      <c r="D313" s="202" t="s">
        <v>30</v>
      </c>
      <c r="E313" s="203"/>
      <c r="F313" s="203">
        <f t="shared" ref="F313:K313" si="333">F309-F312</f>
        <v>0</v>
      </c>
      <c r="G313" s="203">
        <f t="shared" si="333"/>
        <v>0</v>
      </c>
      <c r="H313" s="203">
        <f t="shared" si="333"/>
        <v>0</v>
      </c>
      <c r="I313" s="203">
        <f t="shared" si="333"/>
        <v>0</v>
      </c>
      <c r="J313" s="203">
        <f t="shared" si="333"/>
        <v>0</v>
      </c>
      <c r="K313" s="203">
        <f t="shared" si="333"/>
        <v>0</v>
      </c>
      <c r="L313" s="203"/>
      <c r="M313" s="203"/>
      <c r="N313" s="203">
        <f t="shared" ref="N313:S313" si="334">N309-N312</f>
        <v>0</v>
      </c>
      <c r="O313" s="203">
        <f t="shared" si="334"/>
        <v>0</v>
      </c>
      <c r="P313" s="203">
        <f t="shared" si="334"/>
        <v>0</v>
      </c>
      <c r="Q313" s="203">
        <f t="shared" si="334"/>
        <v>0</v>
      </c>
      <c r="R313" s="203">
        <f t="shared" si="334"/>
        <v>0</v>
      </c>
      <c r="S313" s="203">
        <f t="shared" si="334"/>
        <v>0</v>
      </c>
      <c r="T313" s="203"/>
      <c r="U313" s="203"/>
      <c r="V313" s="203"/>
      <c r="W313" s="203"/>
    </row>
    <row r="314" spans="1:24" s="43" customFormat="1" hidden="1">
      <c r="A314" s="610"/>
      <c r="B314" s="581"/>
      <c r="C314" s="584"/>
      <c r="D314" s="202" t="s">
        <v>31</v>
      </c>
      <c r="E314" s="203"/>
      <c r="F314" s="203">
        <f>F313</f>
        <v>0</v>
      </c>
      <c r="G314" s="203">
        <f>G313+F314</f>
        <v>0</v>
      </c>
      <c r="H314" s="203">
        <f>H313+G314</f>
        <v>0</v>
      </c>
      <c r="I314" s="203">
        <f>I313+H314</f>
        <v>0</v>
      </c>
      <c r="J314" s="203">
        <f>J313+I314</f>
        <v>0</v>
      </c>
      <c r="K314" s="203">
        <f>K313+J314</f>
        <v>0</v>
      </c>
      <c r="L314" s="203"/>
      <c r="M314" s="203"/>
      <c r="N314" s="203">
        <f>N313+K314</f>
        <v>0</v>
      </c>
      <c r="O314" s="203">
        <f>O313+N314</f>
        <v>0</v>
      </c>
      <c r="P314" s="203">
        <f>P313+O314</f>
        <v>0</v>
      </c>
      <c r="Q314" s="203">
        <f>Q313+P314</f>
        <v>0</v>
      </c>
      <c r="R314" s="203">
        <f>R313+Q314</f>
        <v>0</v>
      </c>
      <c r="S314" s="203">
        <f>S313+R314</f>
        <v>0</v>
      </c>
      <c r="T314" s="203"/>
      <c r="U314" s="203"/>
      <c r="V314" s="203"/>
      <c r="W314" s="203"/>
    </row>
    <row r="315" spans="1:24" s="43" customFormat="1" ht="0.8" hidden="1" customHeight="1">
      <c r="A315" s="610"/>
      <c r="B315" s="581"/>
      <c r="C315" s="582" t="s">
        <v>96</v>
      </c>
      <c r="D315" s="178" t="s">
        <v>93</v>
      </c>
      <c r="E315" s="179"/>
      <c r="F315" s="180"/>
      <c r="G315" s="180"/>
      <c r="H315" s="180"/>
      <c r="I315" s="180"/>
      <c r="J315" s="180"/>
      <c r="K315" s="180"/>
      <c r="L315" s="215">
        <f>SUM(F315:K315)</f>
        <v>0</v>
      </c>
      <c r="M315" s="215">
        <f>L315/6</f>
        <v>0</v>
      </c>
      <c r="N315" s="180"/>
      <c r="O315" s="180"/>
      <c r="P315" s="180"/>
      <c r="Q315" s="180"/>
      <c r="R315" s="180"/>
      <c r="S315" s="180"/>
      <c r="T315" s="215">
        <f>SUM(N315:S315)</f>
        <v>0</v>
      </c>
      <c r="U315" s="226">
        <f>T315+L315</f>
        <v>0</v>
      </c>
      <c r="V315" s="227"/>
      <c r="W315" s="184">
        <f>V315-U315</f>
        <v>0</v>
      </c>
    </row>
    <row r="316" spans="1:24" s="43" customFormat="1" ht="0.8" hidden="1" customHeight="1">
      <c r="A316" s="610"/>
      <c r="B316" s="581"/>
      <c r="C316" s="583"/>
      <c r="D316" s="178" t="s">
        <v>95</v>
      </c>
      <c r="E316" s="179"/>
      <c r="F316" s="180"/>
      <c r="G316" s="180"/>
      <c r="H316" s="180"/>
      <c r="I316" s="180"/>
      <c r="J316" s="180"/>
      <c r="K316" s="180"/>
      <c r="L316" s="215">
        <f>SUM(F316:K316)</f>
        <v>0</v>
      </c>
      <c r="M316" s="215">
        <f>L316/6</f>
        <v>0</v>
      </c>
      <c r="N316" s="179"/>
      <c r="O316" s="179"/>
      <c r="P316" s="179"/>
      <c r="Q316" s="179"/>
      <c r="R316" s="179"/>
      <c r="S316" s="179"/>
      <c r="T316" s="215">
        <f>SUM(N316:S316)</f>
        <v>0</v>
      </c>
      <c r="U316" s="226">
        <f>T316+L316</f>
        <v>0</v>
      </c>
      <c r="V316" s="227"/>
      <c r="W316" s="184">
        <f>V316-U316</f>
        <v>0</v>
      </c>
    </row>
    <row r="317" spans="1:24" s="43" customFormat="1" ht="0.8" hidden="1" customHeight="1">
      <c r="A317" s="610"/>
      <c r="B317" s="581"/>
      <c r="C317" s="583"/>
      <c r="D317" s="178" t="s">
        <v>105</v>
      </c>
      <c r="E317" s="179"/>
      <c r="F317" s="180"/>
      <c r="G317" s="180"/>
      <c r="H317" s="180"/>
      <c r="I317" s="180"/>
      <c r="J317" s="180"/>
      <c r="K317" s="180"/>
      <c r="L317" s="215">
        <f>SUM(F317:K317)</f>
        <v>0</v>
      </c>
      <c r="M317" s="215">
        <f>L317/6</f>
        <v>0</v>
      </c>
      <c r="N317" s="180"/>
      <c r="O317" s="180"/>
      <c r="P317" s="180"/>
      <c r="Q317" s="180"/>
      <c r="R317" s="180"/>
      <c r="S317" s="179"/>
      <c r="T317" s="215">
        <f>SUM(N317:S317)</f>
        <v>0</v>
      </c>
      <c r="U317" s="226">
        <f>T317+L317</f>
        <v>0</v>
      </c>
      <c r="V317" s="179"/>
      <c r="W317" s="184">
        <f>V317-U317</f>
        <v>0</v>
      </c>
    </row>
    <row r="318" spans="1:24" s="43" customFormat="1" ht="0.8" hidden="1" customHeight="1">
      <c r="A318" s="610"/>
      <c r="B318" s="581"/>
      <c r="C318" s="583"/>
      <c r="D318" s="187" t="s">
        <v>27</v>
      </c>
      <c r="E318" s="188"/>
      <c r="F318" s="188">
        <v>173.45</v>
      </c>
      <c r="G318" s="188">
        <v>173.45</v>
      </c>
      <c r="H318" s="188">
        <v>173.45</v>
      </c>
      <c r="I318" s="188">
        <v>173.45</v>
      </c>
      <c r="J318" s="188">
        <v>173.45</v>
      </c>
      <c r="K318" s="188">
        <v>173.45</v>
      </c>
      <c r="L318" s="188" t="e">
        <f>L319/L317*1000</f>
        <v>#DIV/0!</v>
      </c>
      <c r="M318" s="188" t="e">
        <f>M319/M317*1000</f>
        <v>#DIV/0!</v>
      </c>
      <c r="N318" s="188">
        <v>173.45</v>
      </c>
      <c r="O318" s="188">
        <v>173.45</v>
      </c>
      <c r="P318" s="188">
        <v>173.45</v>
      </c>
      <c r="Q318" s="188">
        <v>173.45</v>
      </c>
      <c r="R318" s="188">
        <v>173.45</v>
      </c>
      <c r="S318" s="188">
        <v>173.45</v>
      </c>
      <c r="T318" s="188" t="e">
        <f>T319/T317*1000</f>
        <v>#DIV/0!</v>
      </c>
      <c r="U318" s="188" t="e">
        <f>U319/U317*1000</f>
        <v>#DIV/0!</v>
      </c>
      <c r="V318" s="218" t="e">
        <f>V319/V317*1000</f>
        <v>#DIV/0!</v>
      </c>
      <c r="W318" s="189" t="e">
        <f>W319/W317*1000</f>
        <v>#DIV/0!</v>
      </c>
    </row>
    <row r="319" spans="1:24" s="43" customFormat="1" ht="0.8" hidden="1" customHeight="1">
      <c r="A319" s="610"/>
      <c r="B319" s="581"/>
      <c r="C319" s="583"/>
      <c r="D319" s="191" t="s">
        <v>0</v>
      </c>
      <c r="E319" s="192"/>
      <c r="F319" s="192">
        <f t="shared" ref="F319:K319" si="335">F317*F318/1000</f>
        <v>0</v>
      </c>
      <c r="G319" s="192">
        <f t="shared" si="335"/>
        <v>0</v>
      </c>
      <c r="H319" s="192">
        <f t="shared" si="335"/>
        <v>0</v>
      </c>
      <c r="I319" s="192">
        <f t="shared" si="335"/>
        <v>0</v>
      </c>
      <c r="J319" s="192">
        <f t="shared" si="335"/>
        <v>0</v>
      </c>
      <c r="K319" s="192">
        <f t="shared" si="335"/>
        <v>0</v>
      </c>
      <c r="L319" s="194">
        <f>SUM(F319:K319)</f>
        <v>0</v>
      </c>
      <c r="M319" s="194">
        <f>L319/6</f>
        <v>0</v>
      </c>
      <c r="N319" s="192">
        <f t="shared" ref="N319:S319" si="336">N317*N318/1000</f>
        <v>0</v>
      </c>
      <c r="O319" s="192">
        <f t="shared" si="336"/>
        <v>0</v>
      </c>
      <c r="P319" s="192">
        <f t="shared" si="336"/>
        <v>0</v>
      </c>
      <c r="Q319" s="192">
        <f t="shared" si="336"/>
        <v>0</v>
      </c>
      <c r="R319" s="192">
        <f t="shared" si="336"/>
        <v>0</v>
      </c>
      <c r="S319" s="192">
        <f t="shared" si="336"/>
        <v>0</v>
      </c>
      <c r="T319" s="194">
        <f>SUM(N319:S319)</f>
        <v>0</v>
      </c>
      <c r="U319" s="194">
        <f>T319+L319</f>
        <v>0</v>
      </c>
      <c r="V319" s="171">
        <f>V320+V321</f>
        <v>0</v>
      </c>
      <c r="W319" s="193">
        <f>V319-U319</f>
        <v>0</v>
      </c>
    </row>
    <row r="320" spans="1:24" s="43" customFormat="1" ht="0.8" hidden="1" customHeight="1">
      <c r="A320" s="610"/>
      <c r="B320" s="581"/>
      <c r="C320" s="583"/>
      <c r="D320" s="174" t="s">
        <v>55</v>
      </c>
      <c r="E320" s="210"/>
      <c r="F320" s="192"/>
      <c r="G320" s="192"/>
      <c r="H320" s="192"/>
      <c r="I320" s="192"/>
      <c r="J320" s="192"/>
      <c r="K320" s="192"/>
      <c r="L320" s="194">
        <f>SUM(F320:K320)</f>
        <v>0</v>
      </c>
      <c r="M320" s="194">
        <f>L320/6</f>
        <v>0</v>
      </c>
      <c r="N320" s="192"/>
      <c r="O320" s="192"/>
      <c r="P320" s="192"/>
      <c r="Q320" s="192"/>
      <c r="R320" s="192"/>
      <c r="S320" s="192"/>
      <c r="T320" s="194">
        <f>SUM(N320:S320)</f>
        <v>0</v>
      </c>
      <c r="U320" s="194">
        <f>T320+L320</f>
        <v>0</v>
      </c>
      <c r="V320" s="171"/>
      <c r="W320" s="193">
        <f>V320-U320</f>
        <v>0</v>
      </c>
    </row>
    <row r="321" spans="1:24" s="43" customFormat="1" ht="0.8" hidden="1" customHeight="1">
      <c r="A321" s="610"/>
      <c r="B321" s="581"/>
      <c r="C321" s="583"/>
      <c r="D321" s="174" t="s">
        <v>28</v>
      </c>
      <c r="E321" s="210"/>
      <c r="F321" s="192"/>
      <c r="G321" s="192"/>
      <c r="H321" s="192"/>
      <c r="I321" s="192"/>
      <c r="J321" s="192"/>
      <c r="K321" s="192"/>
      <c r="L321" s="194">
        <f>SUM(F321:K321)</f>
        <v>0</v>
      </c>
      <c r="M321" s="194">
        <f>L321/6</f>
        <v>0</v>
      </c>
      <c r="N321" s="192"/>
      <c r="O321" s="192"/>
      <c r="P321" s="192"/>
      <c r="Q321" s="192"/>
      <c r="R321" s="192"/>
      <c r="S321" s="192"/>
      <c r="T321" s="194">
        <f>SUM(N321:S321)</f>
        <v>0</v>
      </c>
      <c r="U321" s="194">
        <f>T321+L321</f>
        <v>0</v>
      </c>
      <c r="V321" s="171"/>
      <c r="W321" s="193">
        <f>V321-U321</f>
        <v>0</v>
      </c>
    </row>
    <row r="322" spans="1:24" s="43" customFormat="1" ht="0.8" hidden="1" customHeight="1">
      <c r="A322" s="610"/>
      <c r="B322" s="581"/>
      <c r="C322" s="583"/>
      <c r="D322" s="178" t="s">
        <v>106</v>
      </c>
      <c r="E322" s="179"/>
      <c r="F322" s="179"/>
      <c r="G322" s="179"/>
      <c r="H322" s="179"/>
      <c r="I322" s="179"/>
      <c r="J322" s="179"/>
      <c r="K322" s="179"/>
      <c r="L322" s="215">
        <f>SUM(F322:K322)</f>
        <v>0</v>
      </c>
      <c r="M322" s="215">
        <f>L322/6</f>
        <v>0</v>
      </c>
      <c r="N322" s="179"/>
      <c r="O322" s="179"/>
      <c r="P322" s="179"/>
      <c r="Q322" s="179"/>
      <c r="R322" s="179"/>
      <c r="S322" s="179">
        <f>S317+R317</f>
        <v>0</v>
      </c>
      <c r="T322" s="215">
        <f>SUM(N322:S322)</f>
        <v>0</v>
      </c>
      <c r="U322" s="215">
        <f>T322+L322</f>
        <v>0</v>
      </c>
      <c r="V322" s="179">
        <f>V317</f>
        <v>0</v>
      </c>
      <c r="W322" s="184">
        <f>V322-U322</f>
        <v>0</v>
      </c>
    </row>
    <row r="323" spans="1:24" s="43" customFormat="1" ht="0.8" hidden="1" customHeight="1">
      <c r="A323" s="610"/>
      <c r="B323" s="581"/>
      <c r="C323" s="583"/>
      <c r="D323" s="187" t="s">
        <v>27</v>
      </c>
      <c r="E323" s="188" t="e">
        <f>E324/E322*1000</f>
        <v>#DIV/0!</v>
      </c>
      <c r="F323" s="188">
        <v>173.45</v>
      </c>
      <c r="G323" s="188">
        <v>173.45</v>
      </c>
      <c r="H323" s="188">
        <v>173.45</v>
      </c>
      <c r="I323" s="188">
        <v>173.45</v>
      </c>
      <c r="J323" s="188">
        <v>173.45</v>
      </c>
      <c r="K323" s="188">
        <v>173.45</v>
      </c>
      <c r="L323" s="188" t="e">
        <f>L324/L322*1000</f>
        <v>#DIV/0!</v>
      </c>
      <c r="M323" s="188" t="e">
        <f>M324/M322*1000</f>
        <v>#DIV/0!</v>
      </c>
      <c r="N323" s="188">
        <v>173.45</v>
      </c>
      <c r="O323" s="188">
        <v>173.45</v>
      </c>
      <c r="P323" s="188">
        <v>173.45</v>
      </c>
      <c r="Q323" s="188">
        <v>173.45</v>
      </c>
      <c r="R323" s="188">
        <v>173.45</v>
      </c>
      <c r="S323" s="188">
        <v>173.45</v>
      </c>
      <c r="T323" s="188" t="e">
        <f>T324/T322*1000</f>
        <v>#DIV/0!</v>
      </c>
      <c r="U323" s="188" t="e">
        <f>U324/U322*1000</f>
        <v>#DIV/0!</v>
      </c>
      <c r="V323" s="218" t="e">
        <f>V324/V322*1000</f>
        <v>#DIV/0!</v>
      </c>
      <c r="W323" s="189" t="e">
        <f>W324/W322*1000</f>
        <v>#DIV/0!</v>
      </c>
    </row>
    <row r="324" spans="1:24" s="43" customFormat="1" ht="0.8" hidden="1" customHeight="1">
      <c r="A324" s="610"/>
      <c r="B324" s="581"/>
      <c r="C324" s="583"/>
      <c r="D324" s="198" t="s">
        <v>25</v>
      </c>
      <c r="E324" s="220"/>
      <c r="F324" s="199">
        <f t="shared" ref="F324:K324" si="337">F322*F323/1000</f>
        <v>0</v>
      </c>
      <c r="G324" s="199">
        <f t="shared" si="337"/>
        <v>0</v>
      </c>
      <c r="H324" s="199">
        <f t="shared" si="337"/>
        <v>0</v>
      </c>
      <c r="I324" s="199">
        <f t="shared" si="337"/>
        <v>0</v>
      </c>
      <c r="J324" s="199">
        <f t="shared" si="337"/>
        <v>0</v>
      </c>
      <c r="K324" s="199">
        <f t="shared" si="337"/>
        <v>0</v>
      </c>
      <c r="L324" s="199">
        <f>SUM(F324:K324)</f>
        <v>0</v>
      </c>
      <c r="M324" s="199">
        <f>L324/6</f>
        <v>0</v>
      </c>
      <c r="N324" s="199">
        <f t="shared" ref="N324:S324" si="338">N322*N323/1000</f>
        <v>0</v>
      </c>
      <c r="O324" s="199">
        <f t="shared" si="338"/>
        <v>0</v>
      </c>
      <c r="P324" s="199">
        <f t="shared" si="338"/>
        <v>0</v>
      </c>
      <c r="Q324" s="199">
        <f t="shared" si="338"/>
        <v>0</v>
      </c>
      <c r="R324" s="199">
        <f t="shared" si="338"/>
        <v>0</v>
      </c>
      <c r="S324" s="199">
        <f t="shared" si="338"/>
        <v>0</v>
      </c>
      <c r="T324" s="199">
        <f>SUM(N324:S324)</f>
        <v>0</v>
      </c>
      <c r="U324" s="199">
        <f>T324+L324</f>
        <v>0</v>
      </c>
      <c r="V324" s="199">
        <f>V319</f>
        <v>0</v>
      </c>
      <c r="W324" s="221">
        <f>V324-U324</f>
        <v>0</v>
      </c>
    </row>
    <row r="325" spans="1:24" s="43" customFormat="1" ht="0.8" hidden="1" customHeight="1">
      <c r="A325" s="610"/>
      <c r="B325" s="581"/>
      <c r="C325" s="583"/>
      <c r="D325" s="201" t="s">
        <v>55</v>
      </c>
      <c r="E325" s="220"/>
      <c r="F325" s="199"/>
      <c r="G325" s="199"/>
      <c r="H325" s="199"/>
      <c r="I325" s="199"/>
      <c r="J325" s="199"/>
      <c r="K325" s="199"/>
      <c r="L325" s="199">
        <f>SUM(F325:K325)</f>
        <v>0</v>
      </c>
      <c r="M325" s="199">
        <f>L325/6</f>
        <v>0</v>
      </c>
      <c r="N325" s="199"/>
      <c r="O325" s="199"/>
      <c r="P325" s="199"/>
      <c r="Q325" s="199"/>
      <c r="R325" s="199"/>
      <c r="S325" s="199"/>
      <c r="T325" s="199">
        <f>SUM(N325:S325)</f>
        <v>0</v>
      </c>
      <c r="U325" s="199">
        <f>T325+L325</f>
        <v>0</v>
      </c>
      <c r="V325" s="199">
        <f>V320</f>
        <v>0</v>
      </c>
      <c r="W325" s="221">
        <f>V325-U325</f>
        <v>0</v>
      </c>
    </row>
    <row r="326" spans="1:24" s="43" customFormat="1" ht="0.8" hidden="1" customHeight="1">
      <c r="A326" s="610"/>
      <c r="B326" s="581"/>
      <c r="C326" s="583"/>
      <c r="D326" s="201" t="s">
        <v>24</v>
      </c>
      <c r="E326" s="220"/>
      <c r="F326" s="199">
        <f t="shared" ref="F326:K326" si="339">F324-F325</f>
        <v>0</v>
      </c>
      <c r="G326" s="199">
        <f t="shared" si="339"/>
        <v>0</v>
      </c>
      <c r="H326" s="199">
        <f t="shared" si="339"/>
        <v>0</v>
      </c>
      <c r="I326" s="199">
        <f t="shared" si="339"/>
        <v>0</v>
      </c>
      <c r="J326" s="199">
        <f t="shared" si="339"/>
        <v>0</v>
      </c>
      <c r="K326" s="199">
        <f t="shared" si="339"/>
        <v>0</v>
      </c>
      <c r="L326" s="199">
        <f>SUM(F326:K326)</f>
        <v>0</v>
      </c>
      <c r="M326" s="199">
        <f>L326/6</f>
        <v>0</v>
      </c>
      <c r="N326" s="199">
        <f t="shared" ref="N326:S326" si="340">N324-N325</f>
        <v>0</v>
      </c>
      <c r="O326" s="199">
        <f t="shared" si="340"/>
        <v>0</v>
      </c>
      <c r="P326" s="199">
        <f t="shared" si="340"/>
        <v>0</v>
      </c>
      <c r="Q326" s="199">
        <f t="shared" si="340"/>
        <v>0</v>
      </c>
      <c r="R326" s="199">
        <f t="shared" si="340"/>
        <v>0</v>
      </c>
      <c r="S326" s="199">
        <f t="shared" si="340"/>
        <v>0</v>
      </c>
      <c r="T326" s="199">
        <f>SUM(N326:S326)</f>
        <v>0</v>
      </c>
      <c r="U326" s="199">
        <f>T326+L326</f>
        <v>0</v>
      </c>
      <c r="V326" s="199">
        <f>V321</f>
        <v>0</v>
      </c>
      <c r="W326" s="221">
        <f>V326-U326</f>
        <v>0</v>
      </c>
    </row>
    <row r="327" spans="1:24" s="43" customFormat="1" ht="0.8" hidden="1" customHeight="1">
      <c r="A327" s="610"/>
      <c r="B327" s="581"/>
      <c r="C327" s="583"/>
      <c r="D327" s="202" t="s">
        <v>29</v>
      </c>
      <c r="E327" s="203"/>
      <c r="F327" s="203">
        <f t="shared" ref="F327:K327" si="341">F321</f>
        <v>0</v>
      </c>
      <c r="G327" s="203">
        <f t="shared" si="341"/>
        <v>0</v>
      </c>
      <c r="H327" s="203">
        <f t="shared" si="341"/>
        <v>0</v>
      </c>
      <c r="I327" s="203">
        <f t="shared" si="341"/>
        <v>0</v>
      </c>
      <c r="J327" s="203">
        <f t="shared" si="341"/>
        <v>0</v>
      </c>
      <c r="K327" s="203">
        <f t="shared" si="341"/>
        <v>0</v>
      </c>
      <c r="L327" s="203">
        <f>SUM(F327:K327)</f>
        <v>0</v>
      </c>
      <c r="M327" s="203">
        <f>L327/6</f>
        <v>0</v>
      </c>
      <c r="N327" s="203">
        <f t="shared" ref="N327:S327" si="342">N321+N320</f>
        <v>0</v>
      </c>
      <c r="O327" s="203">
        <f t="shared" si="342"/>
        <v>0</v>
      </c>
      <c r="P327" s="203">
        <f t="shared" si="342"/>
        <v>0</v>
      </c>
      <c r="Q327" s="203">
        <f t="shared" si="342"/>
        <v>0</v>
      </c>
      <c r="R327" s="203">
        <f t="shared" si="342"/>
        <v>0</v>
      </c>
      <c r="S327" s="203">
        <f t="shared" si="342"/>
        <v>0</v>
      </c>
      <c r="T327" s="203">
        <f>SUM(N327:S327)</f>
        <v>0</v>
      </c>
      <c r="U327" s="203">
        <f>T327+L327</f>
        <v>0</v>
      </c>
      <c r="V327" s="203">
        <f>V324</f>
        <v>0</v>
      </c>
      <c r="W327" s="203">
        <f>V327-U327</f>
        <v>0</v>
      </c>
    </row>
    <row r="328" spans="1:24" s="43" customFormat="1" ht="0.8" hidden="1" customHeight="1">
      <c r="A328" s="610"/>
      <c r="B328" s="581"/>
      <c r="C328" s="583"/>
      <c r="D328" s="202" t="s">
        <v>30</v>
      </c>
      <c r="E328" s="203"/>
      <c r="F328" s="203">
        <f t="shared" ref="F328:K328" si="343">F324-F327</f>
        <v>0</v>
      </c>
      <c r="G328" s="203">
        <f t="shared" si="343"/>
        <v>0</v>
      </c>
      <c r="H328" s="203">
        <f t="shared" si="343"/>
        <v>0</v>
      </c>
      <c r="I328" s="203">
        <f t="shared" si="343"/>
        <v>0</v>
      </c>
      <c r="J328" s="203">
        <f t="shared" si="343"/>
        <v>0</v>
      </c>
      <c r="K328" s="203">
        <f t="shared" si="343"/>
        <v>0</v>
      </c>
      <c r="L328" s="203"/>
      <c r="M328" s="203"/>
      <c r="N328" s="203">
        <f t="shared" ref="N328:S328" si="344">N324-N327</f>
        <v>0</v>
      </c>
      <c r="O328" s="203">
        <f t="shared" si="344"/>
        <v>0</v>
      </c>
      <c r="P328" s="203">
        <f t="shared" si="344"/>
        <v>0</v>
      </c>
      <c r="Q328" s="203">
        <f t="shared" si="344"/>
        <v>0</v>
      </c>
      <c r="R328" s="203">
        <f t="shared" si="344"/>
        <v>0</v>
      </c>
      <c r="S328" s="203">
        <f t="shared" si="344"/>
        <v>0</v>
      </c>
      <c r="T328" s="203"/>
      <c r="U328" s="203"/>
      <c r="V328" s="203"/>
      <c r="W328" s="203"/>
    </row>
    <row r="329" spans="1:24" s="43" customFormat="1" hidden="1">
      <c r="A329" s="611"/>
      <c r="B329" s="581"/>
      <c r="C329" s="584"/>
      <c r="D329" s="202" t="s">
        <v>31</v>
      </c>
      <c r="E329" s="203"/>
      <c r="F329" s="203">
        <f>F328</f>
        <v>0</v>
      </c>
      <c r="G329" s="203">
        <f>G328+F329</f>
        <v>0</v>
      </c>
      <c r="H329" s="203">
        <f>H328+G329</f>
        <v>0</v>
      </c>
      <c r="I329" s="203">
        <f>I328+H329</f>
        <v>0</v>
      </c>
      <c r="J329" s="203">
        <f>J328+I329</f>
        <v>0</v>
      </c>
      <c r="K329" s="203">
        <f>K328+J329</f>
        <v>0</v>
      </c>
      <c r="L329" s="203"/>
      <c r="M329" s="203"/>
      <c r="N329" s="203">
        <f>N328+K329</f>
        <v>0</v>
      </c>
      <c r="O329" s="203">
        <f>O328+N329</f>
        <v>0</v>
      </c>
      <c r="P329" s="203">
        <f>P328+O329</f>
        <v>0</v>
      </c>
      <c r="Q329" s="203">
        <f>Q328+P329</f>
        <v>0</v>
      </c>
      <c r="R329" s="203">
        <f>R328+Q329</f>
        <v>0</v>
      </c>
      <c r="S329" s="203">
        <f>S328+R329</f>
        <v>0</v>
      </c>
      <c r="T329" s="203"/>
      <c r="U329" s="203"/>
      <c r="V329" s="203"/>
      <c r="W329" s="203"/>
    </row>
    <row r="330" spans="1:24" s="48" customFormat="1" ht="18" customHeight="1">
      <c r="A330" s="591">
        <v>2272</v>
      </c>
      <c r="B330" s="659" t="s">
        <v>34</v>
      </c>
      <c r="C330" s="660"/>
      <c r="D330" s="178" t="str">
        <f>серпень!D253</f>
        <v>факт. нат.п-ки 2023</v>
      </c>
      <c r="E330" s="85"/>
      <c r="F330" s="12">
        <f t="shared" ref="F330:K332" si="345">F347+F409</f>
        <v>66</v>
      </c>
      <c r="G330" s="12">
        <f t="shared" si="345"/>
        <v>44</v>
      </c>
      <c r="H330" s="12">
        <f t="shared" si="345"/>
        <v>36</v>
      </c>
      <c r="I330" s="12">
        <f t="shared" si="345"/>
        <v>26</v>
      </c>
      <c r="J330" s="12">
        <f t="shared" si="345"/>
        <v>16</v>
      </c>
      <c r="K330" s="12">
        <f t="shared" si="345"/>
        <v>34</v>
      </c>
      <c r="L330" s="140">
        <f>SUM(F330:K330)</f>
        <v>222</v>
      </c>
      <c r="M330" s="140">
        <f>L330/6</f>
        <v>37</v>
      </c>
      <c r="N330" s="12">
        <f t="shared" ref="N330:S332" si="346">N347+N409</f>
        <v>70</v>
      </c>
      <c r="O330" s="12">
        <f t="shared" si="346"/>
        <v>10</v>
      </c>
      <c r="P330" s="85">
        <f t="shared" si="346"/>
        <v>92</v>
      </c>
      <c r="Q330" s="12">
        <f t="shared" si="346"/>
        <v>132</v>
      </c>
      <c r="R330" s="12">
        <f t="shared" si="346"/>
        <v>64</v>
      </c>
      <c r="S330" s="12">
        <f t="shared" si="346"/>
        <v>92</v>
      </c>
      <c r="T330" s="140">
        <f>SUM(N330:S330)</f>
        <v>460</v>
      </c>
      <c r="U330" s="140">
        <f>T330+L330</f>
        <v>682</v>
      </c>
      <c r="V330" s="143">
        <f>V347+V409</f>
        <v>682</v>
      </c>
      <c r="W330" s="88"/>
      <c r="X330" s="47"/>
    </row>
    <row r="331" spans="1:24" s="48" customFormat="1" ht="18" customHeight="1">
      <c r="A331" s="592"/>
      <c r="B331" s="661"/>
      <c r="C331" s="662"/>
      <c r="D331" s="178" t="str">
        <f>серпень!D254</f>
        <v>факт. нат.п-ки 2024</v>
      </c>
      <c r="E331" s="85"/>
      <c r="F331" s="12">
        <f t="shared" si="345"/>
        <v>110</v>
      </c>
      <c r="G331" s="12">
        <f t="shared" si="345"/>
        <v>82</v>
      </c>
      <c r="H331" s="12">
        <f t="shared" si="345"/>
        <v>78</v>
      </c>
      <c r="I331" s="12">
        <f t="shared" si="345"/>
        <v>88</v>
      </c>
      <c r="J331" s="12">
        <f t="shared" si="345"/>
        <v>126</v>
      </c>
      <c r="K331" s="12">
        <f t="shared" si="345"/>
        <v>94</v>
      </c>
      <c r="L331" s="140">
        <f>SUM(F331:K331)</f>
        <v>578</v>
      </c>
      <c r="M331" s="140">
        <f>L331/6</f>
        <v>96.3</v>
      </c>
      <c r="N331" s="12">
        <f t="shared" si="346"/>
        <v>100</v>
      </c>
      <c r="O331" s="12">
        <f t="shared" si="346"/>
        <v>102</v>
      </c>
      <c r="P331" s="85">
        <f t="shared" si="346"/>
        <v>118</v>
      </c>
      <c r="Q331" s="12">
        <f t="shared" si="346"/>
        <v>144</v>
      </c>
      <c r="R331" s="12">
        <f t="shared" si="346"/>
        <v>173.2</v>
      </c>
      <c r="S331" s="12">
        <f t="shared" si="346"/>
        <v>141.19999999999999</v>
      </c>
      <c r="T331" s="140">
        <f>SUM(N331:S331)</f>
        <v>778.4</v>
      </c>
      <c r="U331" s="140">
        <f>T331+L331</f>
        <v>1356.4</v>
      </c>
      <c r="V331" s="143">
        <f>V348+V410</f>
        <v>1356.4</v>
      </c>
      <c r="W331" s="88"/>
      <c r="X331" s="47"/>
    </row>
    <row r="332" spans="1:24" s="48" customFormat="1" ht="18" customHeight="1">
      <c r="A332" s="592"/>
      <c r="B332" s="661"/>
      <c r="C332" s="662"/>
      <c r="D332" s="178" t="str">
        <f>серпень!D255</f>
        <v>факт. нат.п-ки 2025</v>
      </c>
      <c r="E332" s="85"/>
      <c r="F332" s="12">
        <f t="shared" si="345"/>
        <v>222</v>
      </c>
      <c r="G332" s="12">
        <f t="shared" si="345"/>
        <v>212</v>
      </c>
      <c r="H332" s="12">
        <f t="shared" si="345"/>
        <v>0</v>
      </c>
      <c r="I332" s="12">
        <f t="shared" si="345"/>
        <v>154</v>
      </c>
      <c r="J332" s="12">
        <f t="shared" si="345"/>
        <v>300</v>
      </c>
      <c r="K332" s="12">
        <f t="shared" si="345"/>
        <v>214</v>
      </c>
      <c r="L332" s="144">
        <f>SUM(F332:K332)</f>
        <v>1102</v>
      </c>
      <c r="M332" s="140">
        <f>L332/6</f>
        <v>183.7</v>
      </c>
      <c r="N332" s="12">
        <f t="shared" si="346"/>
        <v>116</v>
      </c>
      <c r="O332" s="12">
        <f t="shared" si="346"/>
        <v>96</v>
      </c>
      <c r="P332" s="12">
        <f t="shared" si="346"/>
        <v>318</v>
      </c>
      <c r="Q332" s="12">
        <f t="shared" si="346"/>
        <v>244</v>
      </c>
      <c r="R332" s="12">
        <f t="shared" si="346"/>
        <v>273.2</v>
      </c>
      <c r="S332" s="12">
        <f t="shared" si="346"/>
        <v>355.2</v>
      </c>
      <c r="T332" s="140">
        <f>SUM(N332:S332)</f>
        <v>1402.4</v>
      </c>
      <c r="U332" s="141">
        <f>T332+L332</f>
        <v>2504.4</v>
      </c>
      <c r="V332" s="143">
        <f>V349+V411</f>
        <v>2210.4</v>
      </c>
      <c r="W332" s="88">
        <f>V332-U332</f>
        <v>-294</v>
      </c>
      <c r="X332" s="47"/>
    </row>
    <row r="333" spans="1:24" s="51" customFormat="1" ht="18" customHeight="1">
      <c r="A333" s="592"/>
      <c r="B333" s="661"/>
      <c r="C333" s="662"/>
      <c r="D333" s="187" t="str">
        <f>серпень!D256</f>
        <v>тариф, грн.</v>
      </c>
      <c r="E333" s="92"/>
      <c r="F333" s="92">
        <f t="shared" ref="F333:S333" si="347">F334/F332*1000</f>
        <v>18.824000000000002</v>
      </c>
      <c r="G333" s="92">
        <f t="shared" si="347"/>
        <v>19.608000000000001</v>
      </c>
      <c r="H333" s="92" t="e">
        <f t="shared" si="347"/>
        <v>#DIV/0!</v>
      </c>
      <c r="I333" s="92">
        <f t="shared" si="347"/>
        <v>18.539000000000001</v>
      </c>
      <c r="J333" s="92">
        <f t="shared" si="347"/>
        <v>19.452999999999999</v>
      </c>
      <c r="K333" s="92">
        <f t="shared" si="347"/>
        <v>20.004999999999999</v>
      </c>
      <c r="L333" s="92">
        <f t="shared" si="347"/>
        <v>19.335999999999999</v>
      </c>
      <c r="M333" s="92">
        <f t="shared" si="347"/>
        <v>19.329999999999998</v>
      </c>
      <c r="N333" s="92">
        <f t="shared" si="347"/>
        <v>23.266999999999999</v>
      </c>
      <c r="O333" s="92">
        <f t="shared" si="347"/>
        <v>19.677</v>
      </c>
      <c r="P333" s="92">
        <f t="shared" si="347"/>
        <v>26.16</v>
      </c>
      <c r="Q333" s="92">
        <f t="shared" si="347"/>
        <v>26.16</v>
      </c>
      <c r="R333" s="92">
        <f t="shared" si="347"/>
        <v>26.16</v>
      </c>
      <c r="S333" s="92">
        <f t="shared" si="347"/>
        <v>26.16</v>
      </c>
      <c r="T333" s="92">
        <f>T334/T332*1000</f>
        <v>25.477</v>
      </c>
      <c r="U333" s="92">
        <f>U334/U332*1000</f>
        <v>22.774999999999999</v>
      </c>
      <c r="V333" s="92">
        <f>V334/V332*1000</f>
        <v>23.658000000000001</v>
      </c>
      <c r="W333" s="86">
        <f>W334/W332*1000</f>
        <v>16.132999999999999</v>
      </c>
      <c r="X333" s="59"/>
    </row>
    <row r="334" spans="1:24" s="113" customFormat="1" ht="18" customHeight="1">
      <c r="A334" s="670"/>
      <c r="B334" s="661"/>
      <c r="C334" s="662"/>
      <c r="D334" s="191" t="str">
        <f>серпень!D257</f>
        <v>сума, тис.грн.</v>
      </c>
      <c r="E334" s="52"/>
      <c r="F334" s="52">
        <f t="shared" ref="F334:K335" si="348">F351+F413</f>
        <v>4.1790000000000003</v>
      </c>
      <c r="G334" s="52">
        <f t="shared" si="348"/>
        <v>4.157</v>
      </c>
      <c r="H334" s="52">
        <f t="shared" si="348"/>
        <v>0</v>
      </c>
      <c r="I334" s="52">
        <f t="shared" si="348"/>
        <v>2.855</v>
      </c>
      <c r="J334" s="52">
        <f t="shared" si="348"/>
        <v>5.8360000000000003</v>
      </c>
      <c r="K334" s="52">
        <f t="shared" si="348"/>
        <v>4.2809999999999997</v>
      </c>
      <c r="L334" s="69">
        <f>SUM(F334:K334)</f>
        <v>21.308</v>
      </c>
      <c r="M334" s="69">
        <f>L334/6</f>
        <v>3.5510000000000002</v>
      </c>
      <c r="N334" s="52">
        <f t="shared" ref="N334:S335" si="349">N351+N413</f>
        <v>2.6989999999999998</v>
      </c>
      <c r="O334" s="52">
        <f t="shared" si="349"/>
        <v>1.889</v>
      </c>
      <c r="P334" s="52">
        <f t="shared" si="349"/>
        <v>8.3190000000000008</v>
      </c>
      <c r="Q334" s="52">
        <f t="shared" si="349"/>
        <v>6.383</v>
      </c>
      <c r="R334" s="52">
        <f t="shared" si="349"/>
        <v>7.1470000000000002</v>
      </c>
      <c r="S334" s="52">
        <f t="shared" si="349"/>
        <v>9.2919999999999998</v>
      </c>
      <c r="T334" s="69">
        <f t="shared" ref="T334:T339" si="350">SUM(N334:S334)</f>
        <v>35.728999999999999</v>
      </c>
      <c r="U334" s="69">
        <f t="shared" ref="U334:U339" si="351">T334+L334</f>
        <v>57.036999999999999</v>
      </c>
      <c r="V334" s="69">
        <f>V351+V413</f>
        <v>52.293999999999997</v>
      </c>
      <c r="W334" s="52">
        <f>V334-U334</f>
        <v>-4.7430000000000003</v>
      </c>
    </row>
    <row r="335" spans="1:24" s="113" customFormat="1" ht="18" customHeight="1">
      <c r="A335" s="670"/>
      <c r="B335" s="661"/>
      <c r="C335" s="662"/>
      <c r="D335" s="174" t="str">
        <f>серпень!D258</f>
        <v>абоненська плата, тис.грн.</v>
      </c>
      <c r="E335" s="52"/>
      <c r="F335" s="52">
        <f>F352+F414</f>
        <v>0</v>
      </c>
      <c r="G335" s="52">
        <f t="shared" si="348"/>
        <v>0</v>
      </c>
      <c r="H335" s="52">
        <f t="shared" si="348"/>
        <v>0</v>
      </c>
      <c r="I335" s="52">
        <f t="shared" si="348"/>
        <v>0</v>
      </c>
      <c r="J335" s="52">
        <f t="shared" si="348"/>
        <v>0</v>
      </c>
      <c r="K335" s="52">
        <f t="shared" si="348"/>
        <v>0</v>
      </c>
      <c r="L335" s="69">
        <f t="shared" ref="L335:L337" si="352">SUM(F335:K335)</f>
        <v>0</v>
      </c>
      <c r="M335" s="69">
        <f t="shared" ref="M335:M337" si="353">L335/6</f>
        <v>0</v>
      </c>
      <c r="N335" s="52">
        <f t="shared" si="349"/>
        <v>0</v>
      </c>
      <c r="O335" s="52">
        <f t="shared" si="349"/>
        <v>0</v>
      </c>
      <c r="P335" s="52">
        <f t="shared" si="349"/>
        <v>0</v>
      </c>
      <c r="Q335" s="52">
        <f t="shared" si="349"/>
        <v>0</v>
      </c>
      <c r="R335" s="52">
        <f t="shared" si="349"/>
        <v>0</v>
      </c>
      <c r="S335" s="52">
        <f t="shared" si="349"/>
        <v>0</v>
      </c>
      <c r="T335" s="69">
        <f t="shared" si="350"/>
        <v>0</v>
      </c>
      <c r="U335" s="69">
        <f t="shared" si="351"/>
        <v>0</v>
      </c>
      <c r="V335" s="69">
        <f t="shared" ref="V335:V337" si="354">V352+V414</f>
        <v>0</v>
      </c>
      <c r="W335" s="52">
        <f t="shared" ref="W335:W337" si="355">V335-U335</f>
        <v>0</v>
      </c>
    </row>
    <row r="336" spans="1:24" s="113" customFormat="1" ht="18" customHeight="1">
      <c r="A336" s="670"/>
      <c r="B336" s="661"/>
      <c r="C336" s="662"/>
      <c r="D336" s="174" t="str">
        <f>серпень!D259</f>
        <v>разом сума тис. грн+абонплата</v>
      </c>
      <c r="E336" s="52"/>
      <c r="F336" s="52">
        <f>F334+F335</f>
        <v>4.1790000000000003</v>
      </c>
      <c r="G336" s="52">
        <f t="shared" ref="G336:K336" si="356">G334+G335</f>
        <v>4.157</v>
      </c>
      <c r="H336" s="52">
        <f t="shared" si="356"/>
        <v>0</v>
      </c>
      <c r="I336" s="52">
        <f t="shared" si="356"/>
        <v>2.855</v>
      </c>
      <c r="J336" s="52">
        <f t="shared" si="356"/>
        <v>5.8360000000000003</v>
      </c>
      <c r="K336" s="52">
        <f t="shared" si="356"/>
        <v>4.2809999999999997</v>
      </c>
      <c r="L336" s="69">
        <f t="shared" si="352"/>
        <v>21.308</v>
      </c>
      <c r="M336" s="69">
        <f t="shared" si="353"/>
        <v>3.5510000000000002</v>
      </c>
      <c r="N336" s="52">
        <f>N334+N335</f>
        <v>2.6989999999999998</v>
      </c>
      <c r="O336" s="52">
        <f t="shared" ref="O336:S336" si="357">O334+O335</f>
        <v>1.889</v>
      </c>
      <c r="P336" s="52">
        <f t="shared" si="357"/>
        <v>8.3190000000000008</v>
      </c>
      <c r="Q336" s="52">
        <f t="shared" si="357"/>
        <v>6.383</v>
      </c>
      <c r="R336" s="52">
        <f t="shared" si="357"/>
        <v>7.1470000000000002</v>
      </c>
      <c r="S336" s="52">
        <f t="shared" si="357"/>
        <v>9.2919999999999998</v>
      </c>
      <c r="T336" s="69">
        <f t="shared" si="350"/>
        <v>35.728999999999999</v>
      </c>
      <c r="U336" s="69">
        <f t="shared" si="351"/>
        <v>57.036999999999999</v>
      </c>
      <c r="V336" s="69">
        <f t="shared" si="354"/>
        <v>47.784999999999997</v>
      </c>
      <c r="W336" s="52">
        <f t="shared" si="355"/>
        <v>-9.2520000000000007</v>
      </c>
    </row>
    <row r="337" spans="1:24" s="113" customFormat="1" ht="18" customHeight="1">
      <c r="A337" s="670"/>
      <c r="B337" s="661"/>
      <c r="C337" s="662"/>
      <c r="D337" s="174" t="str">
        <f>серпень!D260</f>
        <v>дотація</v>
      </c>
      <c r="E337" s="52"/>
      <c r="F337" s="52">
        <f t="shared" ref="F337:K338" si="358">F354+F416</f>
        <v>0</v>
      </c>
      <c r="G337" s="52">
        <f t="shared" si="358"/>
        <v>0</v>
      </c>
      <c r="H337" s="52">
        <f t="shared" si="358"/>
        <v>0</v>
      </c>
      <c r="I337" s="52">
        <f t="shared" si="358"/>
        <v>0</v>
      </c>
      <c r="J337" s="52">
        <f t="shared" si="358"/>
        <v>0</v>
      </c>
      <c r="K337" s="52">
        <f t="shared" si="358"/>
        <v>0</v>
      </c>
      <c r="L337" s="69">
        <f t="shared" si="352"/>
        <v>0</v>
      </c>
      <c r="M337" s="69">
        <f t="shared" si="353"/>
        <v>0</v>
      </c>
      <c r="N337" s="52">
        <f t="shared" ref="N337:S339" si="359">N354+N416</f>
        <v>0</v>
      </c>
      <c r="O337" s="52">
        <f t="shared" si="359"/>
        <v>0</v>
      </c>
      <c r="P337" s="52">
        <f t="shared" si="359"/>
        <v>0</v>
      </c>
      <c r="Q337" s="52">
        <f t="shared" si="359"/>
        <v>0</v>
      </c>
      <c r="R337" s="52">
        <f t="shared" si="359"/>
        <v>0</v>
      </c>
      <c r="S337" s="52">
        <f t="shared" si="359"/>
        <v>0</v>
      </c>
      <c r="T337" s="69">
        <f t="shared" si="350"/>
        <v>0</v>
      </c>
      <c r="U337" s="69">
        <f t="shared" si="351"/>
        <v>0</v>
      </c>
      <c r="V337" s="69">
        <f t="shared" si="354"/>
        <v>0</v>
      </c>
      <c r="W337" s="52">
        <f t="shared" si="355"/>
        <v>0</v>
      </c>
    </row>
    <row r="338" spans="1:24" s="113" customFormat="1" ht="18" customHeight="1">
      <c r="A338" s="670"/>
      <c r="B338" s="661"/>
      <c r="C338" s="662"/>
      <c r="D338" s="174" t="str">
        <f>серпень!D261</f>
        <v>місцевий (план), тис.грн</v>
      </c>
      <c r="E338" s="52"/>
      <c r="F338" s="52">
        <f t="shared" si="358"/>
        <v>2.6019999999999999</v>
      </c>
      <c r="G338" s="52">
        <f t="shared" si="358"/>
        <v>1.577</v>
      </c>
      <c r="H338" s="52">
        <f t="shared" si="358"/>
        <v>4.157</v>
      </c>
      <c r="I338" s="52">
        <f t="shared" si="358"/>
        <v>2.855</v>
      </c>
      <c r="J338" s="52">
        <f t="shared" si="358"/>
        <v>5.8360000000000003</v>
      </c>
      <c r="K338" s="52">
        <f t="shared" si="358"/>
        <v>4.2809999999999997</v>
      </c>
      <c r="L338" s="69">
        <f>SUM(F338:K338)</f>
        <v>21.308</v>
      </c>
      <c r="M338" s="69">
        <f>L338/6</f>
        <v>3.5510000000000002</v>
      </c>
      <c r="N338" s="52">
        <f t="shared" si="359"/>
        <v>3.5489999999999999</v>
      </c>
      <c r="O338" s="52">
        <f t="shared" si="359"/>
        <v>1.1220000000000001</v>
      </c>
      <c r="P338" s="52">
        <f t="shared" si="359"/>
        <v>4.6120000000000001</v>
      </c>
      <c r="Q338" s="52">
        <f t="shared" si="359"/>
        <v>6.9</v>
      </c>
      <c r="R338" s="52">
        <f t="shared" si="359"/>
        <v>6.4</v>
      </c>
      <c r="S338" s="52">
        <f t="shared" si="359"/>
        <v>8.4030000000000005</v>
      </c>
      <c r="T338" s="69">
        <f t="shared" si="350"/>
        <v>30.986000000000001</v>
      </c>
      <c r="U338" s="69">
        <f t="shared" si="351"/>
        <v>52.293999999999997</v>
      </c>
      <c r="V338" s="69">
        <f>V355+V417</f>
        <v>52.293999999999997</v>
      </c>
      <c r="W338" s="52">
        <f>V338-U338</f>
        <v>0</v>
      </c>
    </row>
    <row r="339" spans="1:24" s="48" customFormat="1" ht="18" customHeight="1">
      <c r="A339" s="592"/>
      <c r="B339" s="661"/>
      <c r="C339" s="662"/>
      <c r="D339" s="178" t="str">
        <f>серпень!D262</f>
        <v>касові нат.п-ки 2025</v>
      </c>
      <c r="E339" s="85">
        <f>E371</f>
        <v>0</v>
      </c>
      <c r="F339" s="85">
        <f t="shared" ref="F339:K339" si="360">F356+F418</f>
        <v>0</v>
      </c>
      <c r="G339" s="85">
        <f t="shared" si="360"/>
        <v>222</v>
      </c>
      <c r="H339" s="85">
        <f t="shared" si="360"/>
        <v>212</v>
      </c>
      <c r="I339" s="85">
        <f t="shared" si="360"/>
        <v>154</v>
      </c>
      <c r="J339" s="85">
        <f t="shared" si="360"/>
        <v>300</v>
      </c>
      <c r="K339" s="85">
        <f t="shared" si="360"/>
        <v>214</v>
      </c>
      <c r="L339" s="145">
        <f>SUM(F339:K339)</f>
        <v>1102</v>
      </c>
      <c r="M339" s="140">
        <f>L339/6</f>
        <v>183.7</v>
      </c>
      <c r="N339" s="85">
        <f t="shared" ref="N339:S339" si="361">N356+N418</f>
        <v>116</v>
      </c>
      <c r="O339" s="85">
        <f t="shared" si="361"/>
        <v>96</v>
      </c>
      <c r="P339" s="85">
        <f t="shared" si="361"/>
        <v>318</v>
      </c>
      <c r="Q339" s="85">
        <f t="shared" si="359"/>
        <v>244</v>
      </c>
      <c r="R339" s="85">
        <f t="shared" si="361"/>
        <v>273.2</v>
      </c>
      <c r="S339" s="85">
        <f t="shared" si="361"/>
        <v>355.2</v>
      </c>
      <c r="T339" s="140">
        <f t="shared" si="350"/>
        <v>1402.4</v>
      </c>
      <c r="U339" s="140">
        <f t="shared" si="351"/>
        <v>2504.4</v>
      </c>
      <c r="V339" s="146">
        <f>V356+V418</f>
        <v>2210.4</v>
      </c>
      <c r="W339" s="146">
        <f>V339-U339</f>
        <v>-294</v>
      </c>
      <c r="X339" s="47">
        <f>U332-U339</f>
        <v>0</v>
      </c>
    </row>
    <row r="340" spans="1:24" s="51" customFormat="1" ht="18" customHeight="1">
      <c r="A340" s="592"/>
      <c r="B340" s="661"/>
      <c r="C340" s="662"/>
      <c r="D340" s="187" t="str">
        <f>серпень!D263</f>
        <v>тариф, грн.</v>
      </c>
      <c r="E340" s="92" t="e">
        <f t="shared" ref="E340:S340" si="362">E341/E339*1000</f>
        <v>#DIV/0!</v>
      </c>
      <c r="F340" s="92" t="e">
        <f t="shared" si="362"/>
        <v>#DIV/0!</v>
      </c>
      <c r="G340" s="92">
        <f t="shared" si="362"/>
        <v>18.824000000000002</v>
      </c>
      <c r="H340" s="92">
        <f t="shared" si="362"/>
        <v>19.608000000000001</v>
      </c>
      <c r="I340" s="92">
        <f t="shared" si="362"/>
        <v>18.539000000000001</v>
      </c>
      <c r="J340" s="92">
        <f t="shared" si="362"/>
        <v>19.452999999999999</v>
      </c>
      <c r="K340" s="92">
        <f t="shared" si="362"/>
        <v>20.004999999999999</v>
      </c>
      <c r="L340" s="92">
        <f t="shared" si="362"/>
        <v>19.335999999999999</v>
      </c>
      <c r="M340" s="92">
        <f t="shared" si="362"/>
        <v>19.329999999999998</v>
      </c>
      <c r="N340" s="92">
        <f t="shared" si="362"/>
        <v>23.266999999999999</v>
      </c>
      <c r="O340" s="92">
        <f t="shared" si="362"/>
        <v>19.677</v>
      </c>
      <c r="P340" s="92">
        <f t="shared" si="362"/>
        <v>26.16</v>
      </c>
      <c r="Q340" s="92">
        <f t="shared" si="362"/>
        <v>26.16</v>
      </c>
      <c r="R340" s="92">
        <f t="shared" si="362"/>
        <v>26.16</v>
      </c>
      <c r="S340" s="92">
        <f t="shared" si="362"/>
        <v>26.16</v>
      </c>
      <c r="T340" s="92">
        <f>T341/T339*1000</f>
        <v>25.477</v>
      </c>
      <c r="U340" s="92">
        <f>U341/U339*1000</f>
        <v>22.774999999999999</v>
      </c>
      <c r="V340" s="92">
        <f>V341/V339*1000</f>
        <v>23.658000000000001</v>
      </c>
      <c r="W340" s="86">
        <f>W341/W339*1000</f>
        <v>16.132999999999999</v>
      </c>
      <c r="X340" s="47"/>
    </row>
    <row r="341" spans="1:24" s="74" customFormat="1" ht="18" customHeight="1">
      <c r="A341" s="592"/>
      <c r="B341" s="661"/>
      <c r="C341" s="662"/>
      <c r="D341" s="198" t="str">
        <f>серпень!D264</f>
        <v>касові видатки, тис.грн.</v>
      </c>
      <c r="E341" s="108">
        <f t="shared" ref="E341:K341" si="363">E358+E420</f>
        <v>0</v>
      </c>
      <c r="F341" s="98">
        <f t="shared" si="363"/>
        <v>0</v>
      </c>
      <c r="G341" s="98">
        <f t="shared" si="363"/>
        <v>4.1790000000000003</v>
      </c>
      <c r="H341" s="98">
        <f t="shared" si="363"/>
        <v>4.157</v>
      </c>
      <c r="I341" s="98">
        <f t="shared" si="363"/>
        <v>2.855</v>
      </c>
      <c r="J341" s="98">
        <f t="shared" si="363"/>
        <v>5.8360000000000003</v>
      </c>
      <c r="K341" s="98">
        <f t="shared" si="363"/>
        <v>4.2809999999999997</v>
      </c>
      <c r="L341" s="98">
        <f>SUM(F341:K341)</f>
        <v>21.308</v>
      </c>
      <c r="M341" s="98">
        <f>L341/6</f>
        <v>3.5510000000000002</v>
      </c>
      <c r="N341" s="98">
        <f t="shared" ref="N341:S343" si="364">N358+N420</f>
        <v>2.6989999999999998</v>
      </c>
      <c r="O341" s="98">
        <f t="shared" si="364"/>
        <v>1.889</v>
      </c>
      <c r="P341" s="98">
        <f t="shared" si="364"/>
        <v>8.3190000000000008</v>
      </c>
      <c r="Q341" s="98">
        <f t="shared" si="364"/>
        <v>6.383</v>
      </c>
      <c r="R341" s="98">
        <f t="shared" si="364"/>
        <v>7.1470000000000002</v>
      </c>
      <c r="S341" s="98">
        <f t="shared" si="364"/>
        <v>9.2919999999999998</v>
      </c>
      <c r="T341" s="98">
        <f>SUM(N341:S341)</f>
        <v>35.728999999999999</v>
      </c>
      <c r="U341" s="98">
        <f>T341+L341</f>
        <v>57.036999999999999</v>
      </c>
      <c r="V341" s="98">
        <f>V358+V420</f>
        <v>52.293999999999997</v>
      </c>
      <c r="W341" s="109">
        <f>V341-U341</f>
        <v>-4.7430000000000003</v>
      </c>
      <c r="X341" s="63">
        <f>U334-U341</f>
        <v>0</v>
      </c>
    </row>
    <row r="342" spans="1:24" s="74" customFormat="1" ht="18" customHeight="1">
      <c r="A342" s="592"/>
      <c r="B342" s="661"/>
      <c r="C342" s="662"/>
      <c r="D342" s="201" t="str">
        <f>серпень!D265</f>
        <v>дотація</v>
      </c>
      <c r="E342" s="108"/>
      <c r="F342" s="98">
        <f t="shared" ref="F342:K343" si="365">F359+F421</f>
        <v>0</v>
      </c>
      <c r="G342" s="98">
        <f t="shared" si="365"/>
        <v>0</v>
      </c>
      <c r="H342" s="98">
        <f t="shared" si="365"/>
        <v>0</v>
      </c>
      <c r="I342" s="98">
        <f t="shared" si="365"/>
        <v>0</v>
      </c>
      <c r="J342" s="98">
        <f t="shared" si="365"/>
        <v>0</v>
      </c>
      <c r="K342" s="98">
        <f t="shared" si="365"/>
        <v>0</v>
      </c>
      <c r="L342" s="98">
        <f>SUM(F342:K342)</f>
        <v>0</v>
      </c>
      <c r="M342" s="98">
        <f>L342/6</f>
        <v>0</v>
      </c>
      <c r="N342" s="98">
        <f t="shared" si="364"/>
        <v>0</v>
      </c>
      <c r="O342" s="98">
        <f t="shared" si="364"/>
        <v>0</v>
      </c>
      <c r="P342" s="98">
        <f t="shared" si="364"/>
        <v>0</v>
      </c>
      <c r="Q342" s="98">
        <f t="shared" si="364"/>
        <v>0</v>
      </c>
      <c r="R342" s="98">
        <f t="shared" si="364"/>
        <v>0</v>
      </c>
      <c r="S342" s="98">
        <f t="shared" si="364"/>
        <v>0</v>
      </c>
      <c r="T342" s="98">
        <f>SUM(N342:S342)</f>
        <v>0</v>
      </c>
      <c r="U342" s="98">
        <f>T342+L342</f>
        <v>0</v>
      </c>
      <c r="V342" s="98">
        <f>V359+V421</f>
        <v>0</v>
      </c>
      <c r="W342" s="109">
        <f>V342-U342</f>
        <v>0</v>
      </c>
      <c r="X342" s="63">
        <f>U337-U342</f>
        <v>0</v>
      </c>
    </row>
    <row r="343" spans="1:24" s="74" customFormat="1" ht="18" customHeight="1">
      <c r="A343" s="592"/>
      <c r="B343" s="661"/>
      <c r="C343" s="662"/>
      <c r="D343" s="201" t="str">
        <f>серпень!D266</f>
        <v xml:space="preserve">місцевий </v>
      </c>
      <c r="E343" s="98"/>
      <c r="F343" s="98">
        <f t="shared" si="365"/>
        <v>0</v>
      </c>
      <c r="G343" s="98">
        <f t="shared" si="365"/>
        <v>4.1790000000000003</v>
      </c>
      <c r="H343" s="98">
        <f t="shared" si="365"/>
        <v>4.157</v>
      </c>
      <c r="I343" s="98">
        <f t="shared" si="365"/>
        <v>2.855</v>
      </c>
      <c r="J343" s="98">
        <f t="shared" si="365"/>
        <v>5.8360000000000003</v>
      </c>
      <c r="K343" s="98">
        <f t="shared" si="365"/>
        <v>4.2809999999999997</v>
      </c>
      <c r="L343" s="98">
        <f>SUM(F343:K343)</f>
        <v>21.308</v>
      </c>
      <c r="M343" s="98">
        <f>L343/6</f>
        <v>3.5510000000000002</v>
      </c>
      <c r="N343" s="98">
        <f t="shared" si="364"/>
        <v>2.6989999999999998</v>
      </c>
      <c r="O343" s="98">
        <f t="shared" si="364"/>
        <v>1.889</v>
      </c>
      <c r="P343" s="98">
        <f t="shared" si="364"/>
        <v>8.3190000000000008</v>
      </c>
      <c r="Q343" s="98">
        <f t="shared" si="364"/>
        <v>6.383</v>
      </c>
      <c r="R343" s="98">
        <f t="shared" si="364"/>
        <v>7.1470000000000002</v>
      </c>
      <c r="S343" s="98">
        <f t="shared" si="364"/>
        <v>9.2919999999999998</v>
      </c>
      <c r="T343" s="98">
        <f>SUM(N343:S343)</f>
        <v>35.728999999999999</v>
      </c>
      <c r="U343" s="98">
        <f>T343+L343</f>
        <v>57.036999999999999</v>
      </c>
      <c r="V343" s="98">
        <f>V360+V422</f>
        <v>52.293999999999997</v>
      </c>
      <c r="W343" s="109">
        <f>V343-U343</f>
        <v>-4.7430000000000003</v>
      </c>
      <c r="X343" s="63">
        <f>U338-U343</f>
        <v>-4.7430000000000003</v>
      </c>
    </row>
    <row r="344" spans="1:24" s="43" customFormat="1" ht="18" customHeight="1">
      <c r="A344" s="592"/>
      <c r="B344" s="661"/>
      <c r="C344" s="662"/>
      <c r="D344" s="202" t="str">
        <f>серпень!D267</f>
        <v>план</v>
      </c>
      <c r="E344" s="100"/>
      <c r="F344" s="100">
        <f t="shared" ref="F344:K344" si="366">F338</f>
        <v>2.6019999999999999</v>
      </c>
      <c r="G344" s="100">
        <f t="shared" si="366"/>
        <v>1.577</v>
      </c>
      <c r="H344" s="100">
        <f t="shared" si="366"/>
        <v>4.157</v>
      </c>
      <c r="I344" s="100">
        <f t="shared" si="366"/>
        <v>2.855</v>
      </c>
      <c r="J344" s="100">
        <f t="shared" si="366"/>
        <v>5.8360000000000003</v>
      </c>
      <c r="K344" s="100">
        <f t="shared" si="366"/>
        <v>4.2809999999999997</v>
      </c>
      <c r="L344" s="100">
        <f>SUM(F344:K344)</f>
        <v>21.308</v>
      </c>
      <c r="M344" s="100">
        <f>L344/6</f>
        <v>3.5510000000000002</v>
      </c>
      <c r="N344" s="100">
        <f t="shared" ref="N344:S344" si="367">N338+N337</f>
        <v>3.5489999999999999</v>
      </c>
      <c r="O344" s="100">
        <f t="shared" si="367"/>
        <v>1.1220000000000001</v>
      </c>
      <c r="P344" s="100">
        <f t="shared" si="367"/>
        <v>4.6120000000000001</v>
      </c>
      <c r="Q344" s="100">
        <f t="shared" si="367"/>
        <v>6.9</v>
      </c>
      <c r="R344" s="100">
        <f t="shared" si="367"/>
        <v>6.4</v>
      </c>
      <c r="S344" s="100">
        <f t="shared" si="367"/>
        <v>8.4030000000000005</v>
      </c>
      <c r="T344" s="100">
        <f>SUM(N344:S344)</f>
        <v>30.986000000000001</v>
      </c>
      <c r="U344" s="100">
        <f>T344+L344</f>
        <v>52.293999999999997</v>
      </c>
      <c r="V344" s="100">
        <f>V338+V337</f>
        <v>52.293999999999997</v>
      </c>
      <c r="W344" s="100">
        <f>V344-U344</f>
        <v>0</v>
      </c>
    </row>
    <row r="345" spans="1:24" s="43" customFormat="1" ht="18" customHeight="1">
      <c r="A345" s="592"/>
      <c r="B345" s="661"/>
      <c r="C345" s="662"/>
      <c r="D345" s="202" t="str">
        <f>серпень!D268</f>
        <v xml:space="preserve">відхилення </v>
      </c>
      <c r="E345" s="100"/>
      <c r="F345" s="100">
        <f t="shared" ref="F345:K345" si="368">F341-F344</f>
        <v>-2.6019999999999999</v>
      </c>
      <c r="G345" s="100">
        <f t="shared" si="368"/>
        <v>2.6019999999999999</v>
      </c>
      <c r="H345" s="100">
        <f t="shared" si="368"/>
        <v>0</v>
      </c>
      <c r="I345" s="100">
        <f t="shared" si="368"/>
        <v>0</v>
      </c>
      <c r="J345" s="100">
        <f t="shared" si="368"/>
        <v>0</v>
      </c>
      <c r="K345" s="100">
        <f t="shared" si="368"/>
        <v>0</v>
      </c>
      <c r="L345" s="100"/>
      <c r="M345" s="100"/>
      <c r="N345" s="100">
        <f t="shared" ref="N345:S345" si="369">N341-N344</f>
        <v>-0.85</v>
      </c>
      <c r="O345" s="100">
        <f t="shared" si="369"/>
        <v>0.76700000000000002</v>
      </c>
      <c r="P345" s="100">
        <f t="shared" si="369"/>
        <v>3.7069999999999999</v>
      </c>
      <c r="Q345" s="100">
        <f t="shared" si="369"/>
        <v>-0.51700000000000002</v>
      </c>
      <c r="R345" s="100">
        <f t="shared" si="369"/>
        <v>0.747</v>
      </c>
      <c r="S345" s="100">
        <f t="shared" si="369"/>
        <v>0.88900000000000001</v>
      </c>
      <c r="T345" s="100"/>
      <c r="U345" s="100"/>
      <c r="V345" s="100"/>
      <c r="W345" s="100"/>
    </row>
    <row r="346" spans="1:24" s="43" customFormat="1" ht="18" customHeight="1">
      <c r="A346" s="593"/>
      <c r="B346" s="663"/>
      <c r="C346" s="664"/>
      <c r="D346" s="202" t="str">
        <f>серпень!D269</f>
        <v>відхилення з наростаючим</v>
      </c>
      <c r="E346" s="100"/>
      <c r="F346" s="100">
        <f>F345</f>
        <v>-2.6019999999999999</v>
      </c>
      <c r="G346" s="100">
        <f>G345+F346</f>
        <v>0</v>
      </c>
      <c r="H346" s="100">
        <f>H345+G346</f>
        <v>0</v>
      </c>
      <c r="I346" s="100">
        <f>I345+H346</f>
        <v>0</v>
      </c>
      <c r="J346" s="100">
        <f>J345+I346</f>
        <v>0</v>
      </c>
      <c r="K346" s="100">
        <f>K345+J346</f>
        <v>0</v>
      </c>
      <c r="L346" s="100"/>
      <c r="M346" s="100"/>
      <c r="N346" s="100">
        <f>N345+K346</f>
        <v>-0.85</v>
      </c>
      <c r="O346" s="100">
        <f>O345+N346</f>
        <v>-8.3000000000000004E-2</v>
      </c>
      <c r="P346" s="100">
        <f>P345+O346</f>
        <v>3.6240000000000001</v>
      </c>
      <c r="Q346" s="100">
        <f>Q345+P346</f>
        <v>3.1070000000000002</v>
      </c>
      <c r="R346" s="100">
        <f>R345+Q346</f>
        <v>3.8540000000000001</v>
      </c>
      <c r="S346" s="100">
        <f>S345+R346</f>
        <v>4.7430000000000003</v>
      </c>
      <c r="T346" s="100"/>
      <c r="U346" s="100"/>
      <c r="V346" s="100"/>
      <c r="W346" s="100"/>
    </row>
    <row r="347" spans="1:24" s="186" customFormat="1" ht="18" customHeight="1">
      <c r="A347" s="595" t="s">
        <v>35</v>
      </c>
      <c r="B347" s="665" t="s">
        <v>36</v>
      </c>
      <c r="C347" s="665"/>
      <c r="D347" s="178" t="str">
        <f>серпень!D270</f>
        <v>факт. нат.п-ки 2023</v>
      </c>
      <c r="E347" s="179"/>
      <c r="F347" s="180">
        <f t="shared" ref="F347:K349" si="370">F364+F379+F394</f>
        <v>66</v>
      </c>
      <c r="G347" s="180">
        <f t="shared" si="370"/>
        <v>44</v>
      </c>
      <c r="H347" s="180">
        <f t="shared" si="370"/>
        <v>36</v>
      </c>
      <c r="I347" s="180">
        <f t="shared" si="370"/>
        <v>26</v>
      </c>
      <c r="J347" s="180">
        <f t="shared" si="370"/>
        <v>16</v>
      </c>
      <c r="K347" s="180">
        <f t="shared" si="370"/>
        <v>34</v>
      </c>
      <c r="L347" s="215">
        <f>SUM(F347:K347)</f>
        <v>222</v>
      </c>
      <c r="M347" s="215">
        <f>L347/6</f>
        <v>37</v>
      </c>
      <c r="N347" s="180">
        <f t="shared" ref="N347:S349" si="371">N364+N379+N394</f>
        <v>70</v>
      </c>
      <c r="O347" s="180">
        <f t="shared" si="371"/>
        <v>10</v>
      </c>
      <c r="P347" s="180">
        <f t="shared" si="371"/>
        <v>92</v>
      </c>
      <c r="Q347" s="180">
        <f t="shared" si="371"/>
        <v>132</v>
      </c>
      <c r="R347" s="180">
        <f t="shared" si="371"/>
        <v>64</v>
      </c>
      <c r="S347" s="180">
        <f t="shared" si="371"/>
        <v>92</v>
      </c>
      <c r="T347" s="215">
        <f>SUM(N347:S347)</f>
        <v>460</v>
      </c>
      <c r="U347" s="215">
        <f>T347+L347</f>
        <v>682</v>
      </c>
      <c r="V347" s="233">
        <f>V364+V394</f>
        <v>682</v>
      </c>
      <c r="W347" s="184"/>
      <c r="X347" s="185"/>
    </row>
    <row r="348" spans="1:24" s="186" customFormat="1" ht="18" customHeight="1">
      <c r="A348" s="595"/>
      <c r="B348" s="665"/>
      <c r="C348" s="665"/>
      <c r="D348" s="178" t="str">
        <f>серпень!D271</f>
        <v>факт. нат.п-ки 2024</v>
      </c>
      <c r="E348" s="179"/>
      <c r="F348" s="180">
        <f t="shared" si="370"/>
        <v>110</v>
      </c>
      <c r="G348" s="180">
        <f t="shared" si="370"/>
        <v>82</v>
      </c>
      <c r="H348" s="180">
        <f t="shared" si="370"/>
        <v>78</v>
      </c>
      <c r="I348" s="180">
        <f t="shared" si="370"/>
        <v>88</v>
      </c>
      <c r="J348" s="180">
        <f t="shared" si="370"/>
        <v>126</v>
      </c>
      <c r="K348" s="180">
        <f t="shared" si="370"/>
        <v>94</v>
      </c>
      <c r="L348" s="215">
        <f>SUM(F348:K348)</f>
        <v>578</v>
      </c>
      <c r="M348" s="215">
        <f>L348/6</f>
        <v>96.3</v>
      </c>
      <c r="N348" s="180">
        <f t="shared" si="371"/>
        <v>100</v>
      </c>
      <c r="O348" s="180">
        <f t="shared" si="371"/>
        <v>102</v>
      </c>
      <c r="P348" s="180">
        <f t="shared" si="371"/>
        <v>118</v>
      </c>
      <c r="Q348" s="180">
        <f t="shared" si="371"/>
        <v>144</v>
      </c>
      <c r="R348" s="180">
        <f t="shared" si="371"/>
        <v>173.2</v>
      </c>
      <c r="S348" s="180">
        <f t="shared" si="371"/>
        <v>141.19999999999999</v>
      </c>
      <c r="T348" s="215">
        <f>SUM(N348:S348)</f>
        <v>778.4</v>
      </c>
      <c r="U348" s="215">
        <f>T348+L348</f>
        <v>1356.4</v>
      </c>
      <c r="V348" s="233">
        <f>V365+V395</f>
        <v>1356.4</v>
      </c>
      <c r="W348" s="184"/>
      <c r="X348" s="185"/>
    </row>
    <row r="349" spans="1:24" s="186" customFormat="1" ht="18" customHeight="1">
      <c r="A349" s="595"/>
      <c r="B349" s="665"/>
      <c r="C349" s="665"/>
      <c r="D349" s="178" t="str">
        <f>серпень!D272</f>
        <v>факт. нат.п-ки 2025</v>
      </c>
      <c r="E349" s="179"/>
      <c r="F349" s="180">
        <f>F366+F381+F396</f>
        <v>96</v>
      </c>
      <c r="G349" s="180">
        <f t="shared" si="370"/>
        <v>96</v>
      </c>
      <c r="H349" s="180">
        <f t="shared" si="370"/>
        <v>0</v>
      </c>
      <c r="I349" s="180">
        <f t="shared" si="370"/>
        <v>56</v>
      </c>
      <c r="J349" s="180">
        <f t="shared" si="370"/>
        <v>132</v>
      </c>
      <c r="K349" s="180">
        <f t="shared" si="370"/>
        <v>104</v>
      </c>
      <c r="L349" s="234">
        <f>SUM(F349:K349)</f>
        <v>484</v>
      </c>
      <c r="M349" s="215">
        <f>L349/6</f>
        <v>80.7</v>
      </c>
      <c r="N349" s="180">
        <f t="shared" si="371"/>
        <v>88</v>
      </c>
      <c r="O349" s="180">
        <f t="shared" si="371"/>
        <v>44</v>
      </c>
      <c r="P349" s="180">
        <f t="shared" si="371"/>
        <v>318</v>
      </c>
      <c r="Q349" s="180">
        <f t="shared" si="371"/>
        <v>244</v>
      </c>
      <c r="R349" s="180">
        <f t="shared" si="371"/>
        <v>273.2</v>
      </c>
      <c r="S349" s="180">
        <f t="shared" si="371"/>
        <v>355.2</v>
      </c>
      <c r="T349" s="215">
        <f>SUM(N349:S349)</f>
        <v>1322.4</v>
      </c>
      <c r="U349" s="215">
        <f>T349+L349</f>
        <v>1806.4</v>
      </c>
      <c r="V349" s="233">
        <f>V366+V381+V396</f>
        <v>2084.4</v>
      </c>
      <c r="W349" s="184">
        <f>V349-U349</f>
        <v>278</v>
      </c>
      <c r="X349" s="185"/>
    </row>
    <row r="350" spans="1:24" s="190" customFormat="1" ht="18" customHeight="1">
      <c r="A350" s="595"/>
      <c r="B350" s="665"/>
      <c r="C350" s="665"/>
      <c r="D350" s="187" t="str">
        <f>серпень!D273</f>
        <v>тариф, грн.</v>
      </c>
      <c r="E350" s="188"/>
      <c r="F350" s="188">
        <f t="shared" ref="F350:S350" si="372">F351/F349*1000</f>
        <v>24.917000000000002</v>
      </c>
      <c r="G350" s="188">
        <f t="shared" si="372"/>
        <v>26.167000000000002</v>
      </c>
      <c r="H350" s="188" t="e">
        <f t="shared" si="372"/>
        <v>#DIV/0!</v>
      </c>
      <c r="I350" s="188">
        <f t="shared" si="372"/>
        <v>26.161000000000001</v>
      </c>
      <c r="J350" s="188">
        <f t="shared" si="372"/>
        <v>26.158999999999999</v>
      </c>
      <c r="K350" s="188">
        <f t="shared" si="372"/>
        <v>26.163</v>
      </c>
      <c r="L350" s="188">
        <f t="shared" si="372"/>
        <v>25.914999999999999</v>
      </c>
      <c r="M350" s="188">
        <f t="shared" si="372"/>
        <v>25.911000000000001</v>
      </c>
      <c r="N350" s="188">
        <f t="shared" si="372"/>
        <v>26.158999999999999</v>
      </c>
      <c r="O350" s="188">
        <f t="shared" si="372"/>
        <v>26.158999999999999</v>
      </c>
      <c r="P350" s="188">
        <f t="shared" si="372"/>
        <v>26.16</v>
      </c>
      <c r="Q350" s="188">
        <f t="shared" si="372"/>
        <v>26.16</v>
      </c>
      <c r="R350" s="188">
        <f t="shared" si="372"/>
        <v>26.16</v>
      </c>
      <c r="S350" s="188">
        <f t="shared" si="372"/>
        <v>26.16</v>
      </c>
      <c r="T350" s="188">
        <f>T351/T349*1000</f>
        <v>26.16</v>
      </c>
      <c r="U350" s="188">
        <f>U351/U349*1000</f>
        <v>26.094000000000001</v>
      </c>
      <c r="V350" s="188">
        <f>V351/V349*1000</f>
        <v>22.925000000000001</v>
      </c>
      <c r="W350" s="189">
        <f>W351/W349*1000</f>
        <v>2.331</v>
      </c>
      <c r="X350" s="225"/>
    </row>
    <row r="351" spans="1:24" s="172" customFormat="1" ht="18" customHeight="1">
      <c r="A351" s="671"/>
      <c r="B351" s="665"/>
      <c r="C351" s="665"/>
      <c r="D351" s="191" t="str">
        <f>серпень!D274</f>
        <v>сума, тис.грн.</v>
      </c>
      <c r="E351" s="192"/>
      <c r="F351" s="192">
        <f t="shared" ref="F351:K351" si="373">F368+F383+F398</f>
        <v>2.3919999999999999</v>
      </c>
      <c r="G351" s="192">
        <f t="shared" si="373"/>
        <v>2.512</v>
      </c>
      <c r="H351" s="192">
        <f t="shared" si="373"/>
        <v>0</v>
      </c>
      <c r="I351" s="192">
        <f t="shared" si="373"/>
        <v>1.4650000000000001</v>
      </c>
      <c r="J351" s="192">
        <f t="shared" si="373"/>
        <v>3.4529999999999998</v>
      </c>
      <c r="K351" s="192">
        <f t="shared" si="373"/>
        <v>2.7210000000000001</v>
      </c>
      <c r="L351" s="194">
        <f t="shared" ref="L351:L356" si="374">SUM(F351:K351)</f>
        <v>12.542999999999999</v>
      </c>
      <c r="M351" s="194">
        <f t="shared" ref="M351:M356" si="375">L351/6</f>
        <v>2.0910000000000002</v>
      </c>
      <c r="N351" s="192">
        <f t="shared" ref="N351:S351" si="376">N368+N383+N398</f>
        <v>2.302</v>
      </c>
      <c r="O351" s="192">
        <f t="shared" si="376"/>
        <v>1.151</v>
      </c>
      <c r="P351" s="192">
        <f t="shared" si="376"/>
        <v>8.3190000000000008</v>
      </c>
      <c r="Q351" s="192">
        <f t="shared" si="376"/>
        <v>6.383</v>
      </c>
      <c r="R351" s="192">
        <f t="shared" si="376"/>
        <v>7.1470000000000002</v>
      </c>
      <c r="S351" s="192">
        <f t="shared" si="376"/>
        <v>9.2919999999999998</v>
      </c>
      <c r="T351" s="194">
        <f t="shared" ref="T351:T356" si="377">SUM(N351:S351)</f>
        <v>34.594000000000001</v>
      </c>
      <c r="U351" s="194">
        <f t="shared" ref="U351:U356" si="378">T351+L351</f>
        <v>47.137</v>
      </c>
      <c r="V351" s="192">
        <f t="shared" ref="V351" si="379">V368+V383+V398</f>
        <v>47.784999999999997</v>
      </c>
      <c r="W351" s="192">
        <f>V351-U351</f>
        <v>0.64800000000000002</v>
      </c>
    </row>
    <row r="352" spans="1:24" s="172" customFormat="1" ht="18" customHeight="1">
      <c r="A352" s="671"/>
      <c r="B352" s="665"/>
      <c r="C352" s="665"/>
      <c r="D352" s="174" t="str">
        <f>серпень!D275</f>
        <v>абоненська плата, тис.грн.</v>
      </c>
      <c r="E352" s="192"/>
      <c r="F352" s="192">
        <f>F383</f>
        <v>0</v>
      </c>
      <c r="G352" s="192">
        <f t="shared" ref="G352:K352" si="380">G383</f>
        <v>0</v>
      </c>
      <c r="H352" s="192">
        <f t="shared" si="380"/>
        <v>0</v>
      </c>
      <c r="I352" s="192">
        <f t="shared" si="380"/>
        <v>0</v>
      </c>
      <c r="J352" s="192">
        <f t="shared" si="380"/>
        <v>0</v>
      </c>
      <c r="K352" s="192">
        <f t="shared" si="380"/>
        <v>0</v>
      </c>
      <c r="L352" s="194">
        <f t="shared" si="374"/>
        <v>0</v>
      </c>
      <c r="M352" s="194">
        <f t="shared" si="375"/>
        <v>0</v>
      </c>
      <c r="N352" s="192">
        <f>N383</f>
        <v>0</v>
      </c>
      <c r="O352" s="192">
        <f t="shared" ref="O352:S352" si="381">O383</f>
        <v>0</v>
      </c>
      <c r="P352" s="192">
        <f t="shared" si="381"/>
        <v>0</v>
      </c>
      <c r="Q352" s="192">
        <f t="shared" si="381"/>
        <v>0</v>
      </c>
      <c r="R352" s="192">
        <f t="shared" si="381"/>
        <v>0</v>
      </c>
      <c r="S352" s="192">
        <f t="shared" si="381"/>
        <v>0</v>
      </c>
      <c r="T352" s="194">
        <f t="shared" si="377"/>
        <v>0</v>
      </c>
      <c r="U352" s="194">
        <f t="shared" si="378"/>
        <v>0</v>
      </c>
      <c r="V352" s="192">
        <f t="shared" ref="V352" si="382">V383</f>
        <v>0</v>
      </c>
      <c r="W352" s="192">
        <f t="shared" ref="W352:W353" si="383">V352-U352</f>
        <v>0</v>
      </c>
    </row>
    <row r="353" spans="1:28" s="172" customFormat="1" ht="18" customHeight="1">
      <c r="A353" s="671"/>
      <c r="B353" s="665"/>
      <c r="C353" s="665"/>
      <c r="D353" s="174" t="str">
        <f>серпень!D276</f>
        <v>разом сума тис. грн+абонплата</v>
      </c>
      <c r="E353" s="192"/>
      <c r="F353" s="192">
        <f>F351+F352</f>
        <v>2.3919999999999999</v>
      </c>
      <c r="G353" s="192">
        <f t="shared" ref="G353:K353" si="384">G351+G352</f>
        <v>2.512</v>
      </c>
      <c r="H353" s="192">
        <f t="shared" si="384"/>
        <v>0</v>
      </c>
      <c r="I353" s="192">
        <f t="shared" si="384"/>
        <v>1.4650000000000001</v>
      </c>
      <c r="J353" s="192">
        <f t="shared" si="384"/>
        <v>3.4529999999999998</v>
      </c>
      <c r="K353" s="192">
        <f t="shared" si="384"/>
        <v>2.7210000000000001</v>
      </c>
      <c r="L353" s="194">
        <f t="shared" si="374"/>
        <v>12.542999999999999</v>
      </c>
      <c r="M353" s="194">
        <f t="shared" si="375"/>
        <v>2.0910000000000002</v>
      </c>
      <c r="N353" s="192">
        <f>N351+N352</f>
        <v>2.302</v>
      </c>
      <c r="O353" s="192">
        <f t="shared" ref="O353:S353" si="385">O351+O352</f>
        <v>1.151</v>
      </c>
      <c r="P353" s="192">
        <f t="shared" si="385"/>
        <v>8.3190000000000008</v>
      </c>
      <c r="Q353" s="192">
        <f t="shared" si="385"/>
        <v>6.383</v>
      </c>
      <c r="R353" s="192">
        <f t="shared" si="385"/>
        <v>7.1470000000000002</v>
      </c>
      <c r="S353" s="192">
        <f t="shared" si="385"/>
        <v>9.2919999999999998</v>
      </c>
      <c r="T353" s="194">
        <f t="shared" si="377"/>
        <v>34.594000000000001</v>
      </c>
      <c r="U353" s="194">
        <f t="shared" si="378"/>
        <v>47.137</v>
      </c>
      <c r="V353" s="192">
        <f t="shared" ref="V353" si="386">V351+V352</f>
        <v>47.784999999999997</v>
      </c>
      <c r="W353" s="192">
        <f t="shared" si="383"/>
        <v>0.64800000000000002</v>
      </c>
    </row>
    <row r="354" spans="1:28" s="172" customFormat="1" ht="18" customHeight="1">
      <c r="A354" s="671"/>
      <c r="B354" s="665"/>
      <c r="C354" s="665"/>
      <c r="D354" s="174" t="str">
        <f>серпень!D277</f>
        <v>дотація</v>
      </c>
      <c r="E354" s="192"/>
      <c r="F354" s="192">
        <f t="shared" ref="F354:K355" si="387">F369+F384+F399</f>
        <v>0</v>
      </c>
      <c r="G354" s="192">
        <f t="shared" si="387"/>
        <v>0</v>
      </c>
      <c r="H354" s="192">
        <f t="shared" si="387"/>
        <v>0</v>
      </c>
      <c r="I354" s="192">
        <f t="shared" si="387"/>
        <v>0</v>
      </c>
      <c r="J354" s="192">
        <f t="shared" si="387"/>
        <v>0</v>
      </c>
      <c r="K354" s="192">
        <f t="shared" si="387"/>
        <v>0</v>
      </c>
      <c r="L354" s="194">
        <f t="shared" si="374"/>
        <v>0</v>
      </c>
      <c r="M354" s="194">
        <f t="shared" si="375"/>
        <v>0</v>
      </c>
      <c r="N354" s="192">
        <f t="shared" ref="N354:S356" si="388">N369+N384+N399</f>
        <v>0</v>
      </c>
      <c r="O354" s="192">
        <f t="shared" si="388"/>
        <v>0</v>
      </c>
      <c r="P354" s="192">
        <f t="shared" si="388"/>
        <v>0</v>
      </c>
      <c r="Q354" s="192">
        <f t="shared" si="388"/>
        <v>0</v>
      </c>
      <c r="R354" s="192">
        <f t="shared" si="388"/>
        <v>0</v>
      </c>
      <c r="S354" s="192">
        <f t="shared" si="388"/>
        <v>0</v>
      </c>
      <c r="T354" s="194">
        <f t="shared" si="377"/>
        <v>0</v>
      </c>
      <c r="U354" s="194">
        <f t="shared" si="378"/>
        <v>0</v>
      </c>
      <c r="V354" s="192">
        <f t="shared" ref="V354:V355" si="389">V369+V384+V399</f>
        <v>0</v>
      </c>
      <c r="W354" s="192">
        <f>V354-U354</f>
        <v>0</v>
      </c>
    </row>
    <row r="355" spans="1:28" s="172" customFormat="1" ht="18" customHeight="1">
      <c r="A355" s="671"/>
      <c r="B355" s="665"/>
      <c r="C355" s="665"/>
      <c r="D355" s="174" t="str">
        <f>серпень!D278</f>
        <v>місцевий (план), тис.грн</v>
      </c>
      <c r="E355" s="192"/>
      <c r="F355" s="192">
        <f t="shared" si="387"/>
        <v>1.5289999999999999</v>
      </c>
      <c r="G355" s="192">
        <f t="shared" si="387"/>
        <v>0.86299999999999999</v>
      </c>
      <c r="H355" s="192">
        <f t="shared" si="387"/>
        <v>2.508</v>
      </c>
      <c r="I355" s="192">
        <f t="shared" si="387"/>
        <v>2.855</v>
      </c>
      <c r="J355" s="192">
        <f t="shared" si="387"/>
        <v>4.7629999999999999</v>
      </c>
      <c r="K355" s="192">
        <f t="shared" si="387"/>
        <v>4.2809999999999997</v>
      </c>
      <c r="L355" s="194">
        <f t="shared" si="374"/>
        <v>16.798999999999999</v>
      </c>
      <c r="M355" s="194">
        <f t="shared" si="375"/>
        <v>2.8</v>
      </c>
      <c r="N355" s="192">
        <f t="shared" si="388"/>
        <v>3.5489999999999999</v>
      </c>
      <c r="O355" s="192">
        <f t="shared" si="388"/>
        <v>1.1220000000000001</v>
      </c>
      <c r="P355" s="192">
        <f t="shared" si="388"/>
        <v>4.6120000000000001</v>
      </c>
      <c r="Q355" s="192">
        <f t="shared" si="388"/>
        <v>6.9</v>
      </c>
      <c r="R355" s="192">
        <f t="shared" si="388"/>
        <v>6.4</v>
      </c>
      <c r="S355" s="192">
        <f t="shared" si="388"/>
        <v>8.4030000000000005</v>
      </c>
      <c r="T355" s="194">
        <f t="shared" si="377"/>
        <v>30.986000000000001</v>
      </c>
      <c r="U355" s="194">
        <f t="shared" si="378"/>
        <v>47.784999999999997</v>
      </c>
      <c r="V355" s="192">
        <f t="shared" si="389"/>
        <v>47.784999999999997</v>
      </c>
      <c r="W355" s="192">
        <f>V355-U355</f>
        <v>0</v>
      </c>
    </row>
    <row r="356" spans="1:28" s="186" customFormat="1" ht="18" customHeight="1">
      <c r="A356" s="595"/>
      <c r="B356" s="665"/>
      <c r="C356" s="665"/>
      <c r="D356" s="178" t="str">
        <f>серпень!D279</f>
        <v>касові нат.п-ки 2025</v>
      </c>
      <c r="E356" s="179">
        <f>E371</f>
        <v>0</v>
      </c>
      <c r="F356" s="179">
        <f t="shared" ref="F356:K356" si="390">F371+F386+F401</f>
        <v>0</v>
      </c>
      <c r="G356" s="179">
        <f t="shared" si="390"/>
        <v>96</v>
      </c>
      <c r="H356" s="179">
        <f t="shared" si="390"/>
        <v>96</v>
      </c>
      <c r="I356" s="179">
        <f t="shared" si="390"/>
        <v>56</v>
      </c>
      <c r="J356" s="179">
        <f t="shared" si="390"/>
        <v>132</v>
      </c>
      <c r="K356" s="179">
        <f t="shared" si="390"/>
        <v>104</v>
      </c>
      <c r="L356" s="215">
        <f t="shared" si="374"/>
        <v>484</v>
      </c>
      <c r="M356" s="215">
        <f t="shared" si="375"/>
        <v>80.7</v>
      </c>
      <c r="N356" s="179">
        <f t="shared" ref="N356:S356" si="391">N371+N386+N401</f>
        <v>88</v>
      </c>
      <c r="O356" s="179">
        <f t="shared" si="391"/>
        <v>44</v>
      </c>
      <c r="P356" s="179">
        <f t="shared" si="391"/>
        <v>318</v>
      </c>
      <c r="Q356" s="179">
        <f t="shared" si="388"/>
        <v>244</v>
      </c>
      <c r="R356" s="179">
        <f t="shared" si="391"/>
        <v>273.2</v>
      </c>
      <c r="S356" s="179">
        <f t="shared" si="391"/>
        <v>355.2</v>
      </c>
      <c r="T356" s="215">
        <f t="shared" si="377"/>
        <v>1322.4</v>
      </c>
      <c r="U356" s="215">
        <f t="shared" si="378"/>
        <v>1806.4</v>
      </c>
      <c r="V356" s="179">
        <f>V371+V401</f>
        <v>2084.4</v>
      </c>
      <c r="W356" s="184">
        <f>V356-U356</f>
        <v>278</v>
      </c>
      <c r="X356" s="185">
        <f>U349-U356</f>
        <v>0</v>
      </c>
    </row>
    <row r="357" spans="1:28" s="190" customFormat="1" ht="18" customHeight="1">
      <c r="A357" s="595"/>
      <c r="B357" s="665"/>
      <c r="C357" s="665"/>
      <c r="D357" s="187" t="str">
        <f>серпень!D280</f>
        <v>тариф, грн.</v>
      </c>
      <c r="E357" s="188" t="e">
        <f t="shared" ref="E357:S357" si="392">E358/E356*1000</f>
        <v>#DIV/0!</v>
      </c>
      <c r="F357" s="188" t="e">
        <f t="shared" si="392"/>
        <v>#DIV/0!</v>
      </c>
      <c r="G357" s="188">
        <f t="shared" si="392"/>
        <v>24.917000000000002</v>
      </c>
      <c r="H357" s="188">
        <f t="shared" si="392"/>
        <v>26.167000000000002</v>
      </c>
      <c r="I357" s="188">
        <f t="shared" si="392"/>
        <v>26.161000000000001</v>
      </c>
      <c r="J357" s="188">
        <f t="shared" si="392"/>
        <v>26.158999999999999</v>
      </c>
      <c r="K357" s="188">
        <f t="shared" si="392"/>
        <v>26.163</v>
      </c>
      <c r="L357" s="188">
        <f t="shared" si="392"/>
        <v>25.914999999999999</v>
      </c>
      <c r="M357" s="188">
        <f t="shared" si="392"/>
        <v>25.911000000000001</v>
      </c>
      <c r="N357" s="188">
        <f t="shared" si="392"/>
        <v>26.158999999999999</v>
      </c>
      <c r="O357" s="188">
        <f t="shared" si="392"/>
        <v>26.158999999999999</v>
      </c>
      <c r="P357" s="188">
        <f t="shared" si="392"/>
        <v>26.16</v>
      </c>
      <c r="Q357" s="188">
        <f t="shared" si="392"/>
        <v>26.16</v>
      </c>
      <c r="R357" s="188">
        <f t="shared" si="392"/>
        <v>26.16</v>
      </c>
      <c r="S357" s="188">
        <f t="shared" si="392"/>
        <v>26.16</v>
      </c>
      <c r="T357" s="188">
        <f>T358/T356*1000</f>
        <v>26.16</v>
      </c>
      <c r="U357" s="188">
        <f>U358/U356*1000</f>
        <v>26.094000000000001</v>
      </c>
      <c r="V357" s="188">
        <f>V358/V356*1000</f>
        <v>22.925000000000001</v>
      </c>
      <c r="W357" s="189">
        <f>W358/W356*1000</f>
        <v>2.331</v>
      </c>
      <c r="X357" s="225"/>
    </row>
    <row r="358" spans="1:28" s="213" customFormat="1" ht="18" customHeight="1">
      <c r="A358" s="595"/>
      <c r="B358" s="665"/>
      <c r="C358" s="665"/>
      <c r="D358" s="198" t="str">
        <f>серпень!D281</f>
        <v>касові видатки, тис.грн.</v>
      </c>
      <c r="E358" s="220">
        <f>E373+E403</f>
        <v>0</v>
      </c>
      <c r="F358" s="199">
        <f t="shared" ref="F358:K360" si="393">F373+F388+F403</f>
        <v>0</v>
      </c>
      <c r="G358" s="199">
        <f t="shared" si="393"/>
        <v>2.3919999999999999</v>
      </c>
      <c r="H358" s="199">
        <f t="shared" si="393"/>
        <v>2.512</v>
      </c>
      <c r="I358" s="199">
        <f t="shared" si="393"/>
        <v>1.4650000000000001</v>
      </c>
      <c r="J358" s="199">
        <f t="shared" si="393"/>
        <v>3.4529999999999998</v>
      </c>
      <c r="K358" s="199">
        <f t="shared" si="393"/>
        <v>2.7210000000000001</v>
      </c>
      <c r="L358" s="199">
        <f>SUM(F358:K358)</f>
        <v>12.542999999999999</v>
      </c>
      <c r="M358" s="199">
        <f>L358/6</f>
        <v>2.0910000000000002</v>
      </c>
      <c r="N358" s="199">
        <f t="shared" ref="N358:S360" si="394">N373+N388+N403</f>
        <v>2.302</v>
      </c>
      <c r="O358" s="199">
        <f t="shared" si="394"/>
        <v>1.151</v>
      </c>
      <c r="P358" s="199">
        <f t="shared" si="394"/>
        <v>8.3190000000000008</v>
      </c>
      <c r="Q358" s="199">
        <f t="shared" si="394"/>
        <v>6.383</v>
      </c>
      <c r="R358" s="199">
        <f t="shared" si="394"/>
        <v>7.1470000000000002</v>
      </c>
      <c r="S358" s="199">
        <f t="shared" si="394"/>
        <v>9.2919999999999998</v>
      </c>
      <c r="T358" s="199">
        <f>SUM(N358:S358)</f>
        <v>34.594000000000001</v>
      </c>
      <c r="U358" s="199">
        <f>T358+L358</f>
        <v>47.137</v>
      </c>
      <c r="V358" s="199">
        <f>V373+V403</f>
        <v>47.784999999999997</v>
      </c>
      <c r="W358" s="221">
        <f>V358-U358</f>
        <v>0.64800000000000002</v>
      </c>
      <c r="X358" s="176">
        <f>U351-U358</f>
        <v>0</v>
      </c>
    </row>
    <row r="359" spans="1:28" s="213" customFormat="1" ht="18" customHeight="1">
      <c r="A359" s="595"/>
      <c r="B359" s="665"/>
      <c r="C359" s="665"/>
      <c r="D359" s="201" t="str">
        <f>серпень!D282</f>
        <v>дотація</v>
      </c>
      <c r="E359" s="220"/>
      <c r="F359" s="199">
        <f t="shared" si="393"/>
        <v>0</v>
      </c>
      <c r="G359" s="199">
        <f t="shared" si="393"/>
        <v>0</v>
      </c>
      <c r="H359" s="199">
        <f t="shared" si="393"/>
        <v>0</v>
      </c>
      <c r="I359" s="199">
        <f t="shared" si="393"/>
        <v>0</v>
      </c>
      <c r="J359" s="199">
        <f t="shared" si="393"/>
        <v>0</v>
      </c>
      <c r="K359" s="199">
        <f t="shared" si="393"/>
        <v>0</v>
      </c>
      <c r="L359" s="199">
        <f>SUM(F359:K359)</f>
        <v>0</v>
      </c>
      <c r="M359" s="199">
        <f>L359/6</f>
        <v>0</v>
      </c>
      <c r="N359" s="199">
        <f t="shared" si="394"/>
        <v>0</v>
      </c>
      <c r="O359" s="199">
        <f t="shared" si="394"/>
        <v>0</v>
      </c>
      <c r="P359" s="199">
        <f t="shared" si="394"/>
        <v>0</v>
      </c>
      <c r="Q359" s="199">
        <f t="shared" si="394"/>
        <v>0</v>
      </c>
      <c r="R359" s="199">
        <f t="shared" si="394"/>
        <v>0</v>
      </c>
      <c r="S359" s="199">
        <f t="shared" si="394"/>
        <v>0</v>
      </c>
      <c r="T359" s="199">
        <f>SUM(N359:S359)</f>
        <v>0</v>
      </c>
      <c r="U359" s="199">
        <f>T359+L359</f>
        <v>0</v>
      </c>
      <c r="V359" s="199">
        <f>V374+V404</f>
        <v>0</v>
      </c>
      <c r="W359" s="221">
        <f>V359-U359</f>
        <v>0</v>
      </c>
      <c r="X359" s="176">
        <f>U354-U359</f>
        <v>0</v>
      </c>
    </row>
    <row r="360" spans="1:28" s="213" customFormat="1" ht="18" customHeight="1">
      <c r="A360" s="595"/>
      <c r="B360" s="665"/>
      <c r="C360" s="665"/>
      <c r="D360" s="201" t="str">
        <f>серпень!D283</f>
        <v xml:space="preserve">місцевий </v>
      </c>
      <c r="E360" s="220"/>
      <c r="F360" s="199">
        <f t="shared" si="393"/>
        <v>0</v>
      </c>
      <c r="G360" s="199">
        <f t="shared" si="393"/>
        <v>2.3919999999999999</v>
      </c>
      <c r="H360" s="199">
        <f t="shared" si="393"/>
        <v>2.512</v>
      </c>
      <c r="I360" s="199">
        <f t="shared" si="393"/>
        <v>1.4650000000000001</v>
      </c>
      <c r="J360" s="199">
        <f t="shared" si="393"/>
        <v>3.4529999999999998</v>
      </c>
      <c r="K360" s="199">
        <f t="shared" si="393"/>
        <v>2.7210000000000001</v>
      </c>
      <c r="L360" s="199">
        <f>SUM(F360:K360)</f>
        <v>12.542999999999999</v>
      </c>
      <c r="M360" s="199">
        <f>L360/6</f>
        <v>2.0910000000000002</v>
      </c>
      <c r="N360" s="199">
        <f t="shared" si="394"/>
        <v>2.302</v>
      </c>
      <c r="O360" s="199">
        <f t="shared" si="394"/>
        <v>1.151</v>
      </c>
      <c r="P360" s="199">
        <f t="shared" si="394"/>
        <v>8.3190000000000008</v>
      </c>
      <c r="Q360" s="199">
        <f t="shared" si="394"/>
        <v>6.383</v>
      </c>
      <c r="R360" s="199">
        <f t="shared" si="394"/>
        <v>7.1470000000000002</v>
      </c>
      <c r="S360" s="199">
        <f t="shared" si="394"/>
        <v>9.2919999999999998</v>
      </c>
      <c r="T360" s="199">
        <f>SUM(N360:S360)</f>
        <v>34.594000000000001</v>
      </c>
      <c r="U360" s="199">
        <f>T360+L360</f>
        <v>47.137</v>
      </c>
      <c r="V360" s="199">
        <f>V375+V405</f>
        <v>47.784999999999997</v>
      </c>
      <c r="W360" s="221">
        <f>V360-U360</f>
        <v>0.64800000000000002</v>
      </c>
      <c r="X360" s="176">
        <f>U355-U360</f>
        <v>0.64800000000000002</v>
      </c>
    </row>
    <row r="361" spans="1:28" s="205" customFormat="1" ht="18" customHeight="1">
      <c r="A361" s="595"/>
      <c r="B361" s="665"/>
      <c r="C361" s="665"/>
      <c r="D361" s="202" t="str">
        <f>серпень!D284</f>
        <v>план</v>
      </c>
      <c r="E361" s="203"/>
      <c r="F361" s="203">
        <f t="shared" ref="F361:K361" si="395">F355</f>
        <v>1.5289999999999999</v>
      </c>
      <c r="G361" s="203">
        <f t="shared" si="395"/>
        <v>0.86299999999999999</v>
      </c>
      <c r="H361" s="203">
        <f t="shared" si="395"/>
        <v>2.508</v>
      </c>
      <c r="I361" s="203">
        <f t="shared" si="395"/>
        <v>2.855</v>
      </c>
      <c r="J361" s="203">
        <f t="shared" si="395"/>
        <v>4.7629999999999999</v>
      </c>
      <c r="K361" s="203">
        <f t="shared" si="395"/>
        <v>4.2809999999999997</v>
      </c>
      <c r="L361" s="203">
        <f>SUM(F361:K361)</f>
        <v>16.798999999999999</v>
      </c>
      <c r="M361" s="203">
        <f>L361/6</f>
        <v>2.8</v>
      </c>
      <c r="N361" s="203">
        <f t="shared" ref="N361:S361" si="396">N376+N406</f>
        <v>3.5489999999999999</v>
      </c>
      <c r="O361" s="203">
        <f t="shared" si="396"/>
        <v>1.1220000000000001</v>
      </c>
      <c r="P361" s="203">
        <f t="shared" si="396"/>
        <v>4.6120000000000001</v>
      </c>
      <c r="Q361" s="203">
        <f t="shared" si="396"/>
        <v>6.9</v>
      </c>
      <c r="R361" s="203">
        <f t="shared" si="396"/>
        <v>6.4</v>
      </c>
      <c r="S361" s="203">
        <f t="shared" si="396"/>
        <v>8.4030000000000005</v>
      </c>
      <c r="T361" s="203">
        <f>SUM(N361:S361)</f>
        <v>30.986000000000001</v>
      </c>
      <c r="U361" s="203">
        <f>T361+L361</f>
        <v>47.784999999999997</v>
      </c>
      <c r="V361" s="203">
        <f>V355+V354</f>
        <v>47.784999999999997</v>
      </c>
      <c r="W361" s="203">
        <f>V361-U361</f>
        <v>0</v>
      </c>
    </row>
    <row r="362" spans="1:28" s="205" customFormat="1" ht="18" customHeight="1">
      <c r="A362" s="595"/>
      <c r="B362" s="665"/>
      <c r="C362" s="665"/>
      <c r="D362" s="202" t="str">
        <f>серпень!D285</f>
        <v xml:space="preserve">відхилення </v>
      </c>
      <c r="E362" s="203"/>
      <c r="F362" s="203">
        <f t="shared" ref="F362:K362" si="397">F358-F361</f>
        <v>-1.5289999999999999</v>
      </c>
      <c r="G362" s="203">
        <f t="shared" si="397"/>
        <v>1.5289999999999999</v>
      </c>
      <c r="H362" s="203">
        <f t="shared" si="397"/>
        <v>4.0000000000000001E-3</v>
      </c>
      <c r="I362" s="203">
        <f t="shared" si="397"/>
        <v>-1.39</v>
      </c>
      <c r="J362" s="203">
        <f t="shared" si="397"/>
        <v>-1.31</v>
      </c>
      <c r="K362" s="203">
        <f t="shared" si="397"/>
        <v>-1.56</v>
      </c>
      <c r="L362" s="203"/>
      <c r="M362" s="203"/>
      <c r="N362" s="203">
        <f t="shared" ref="N362:S362" si="398">N358-N361</f>
        <v>-1.2470000000000001</v>
      </c>
      <c r="O362" s="203">
        <f t="shared" si="398"/>
        <v>2.9000000000000001E-2</v>
      </c>
      <c r="P362" s="203">
        <f t="shared" si="398"/>
        <v>3.7069999999999999</v>
      </c>
      <c r="Q362" s="203">
        <f t="shared" si="398"/>
        <v>-0.51700000000000002</v>
      </c>
      <c r="R362" s="203">
        <f t="shared" si="398"/>
        <v>0.747</v>
      </c>
      <c r="S362" s="203">
        <f t="shared" si="398"/>
        <v>0.88900000000000001</v>
      </c>
      <c r="T362" s="203"/>
      <c r="U362" s="203"/>
      <c r="V362" s="203"/>
      <c r="W362" s="203"/>
    </row>
    <row r="363" spans="1:28" s="205" customFormat="1" ht="23.5" customHeight="1">
      <c r="A363" s="595"/>
      <c r="B363" s="665"/>
      <c r="C363" s="665"/>
      <c r="D363" s="202" t="str">
        <f>серпень!D286</f>
        <v>відхилення з наростаючим</v>
      </c>
      <c r="E363" s="203"/>
      <c r="F363" s="203">
        <f>F362</f>
        <v>-1.5289999999999999</v>
      </c>
      <c r="G363" s="203">
        <f>G362+F363</f>
        <v>0</v>
      </c>
      <c r="H363" s="203">
        <f>H362+G363</f>
        <v>4.0000000000000001E-3</v>
      </c>
      <c r="I363" s="203">
        <f>I362+H363</f>
        <v>-1.3859999999999999</v>
      </c>
      <c r="J363" s="203">
        <f>J362+I363</f>
        <v>-2.6960000000000002</v>
      </c>
      <c r="K363" s="203">
        <f>K362+J363</f>
        <v>-4.2560000000000002</v>
      </c>
      <c r="L363" s="203"/>
      <c r="M363" s="203"/>
      <c r="N363" s="203">
        <f>N362+K363</f>
        <v>-5.5030000000000001</v>
      </c>
      <c r="O363" s="203">
        <f>O362+N363</f>
        <v>-5.4740000000000002</v>
      </c>
      <c r="P363" s="203">
        <f>P362+O363</f>
        <v>-1.7669999999999999</v>
      </c>
      <c r="Q363" s="203">
        <f>Q362+P363</f>
        <v>-2.2839999999999998</v>
      </c>
      <c r="R363" s="203">
        <f>R362+Q363</f>
        <v>-1.5369999999999999</v>
      </c>
      <c r="S363" s="203">
        <f>S362+R363</f>
        <v>-0.64800000000000002</v>
      </c>
      <c r="T363" s="203"/>
      <c r="U363" s="203"/>
      <c r="V363" s="203"/>
      <c r="W363" s="203"/>
    </row>
    <row r="364" spans="1:28" s="10" customFormat="1" ht="18" customHeight="1">
      <c r="A364" s="595"/>
      <c r="B364" s="580" t="s">
        <v>37</v>
      </c>
      <c r="C364" s="575"/>
      <c r="D364" s="178" t="str">
        <f>серпень!D287</f>
        <v>факт. нат.п-ки 2023</v>
      </c>
      <c r="E364" s="85"/>
      <c r="F364" s="88">
        <v>66</v>
      </c>
      <c r="G364" s="88">
        <v>44</v>
      </c>
      <c r="H364" s="85">
        <v>36</v>
      </c>
      <c r="I364" s="85">
        <v>26</v>
      </c>
      <c r="J364" s="85">
        <v>16</v>
      </c>
      <c r="K364" s="85">
        <v>34</v>
      </c>
      <c r="L364" s="140">
        <f>SUM(F364:K364)</f>
        <v>222</v>
      </c>
      <c r="M364" s="140">
        <f>L364/6</f>
        <v>37</v>
      </c>
      <c r="N364" s="85">
        <v>70</v>
      </c>
      <c r="O364" s="85">
        <v>10</v>
      </c>
      <c r="P364" s="85">
        <v>92</v>
      </c>
      <c r="Q364" s="85">
        <v>132</v>
      </c>
      <c r="R364" s="85">
        <v>64</v>
      </c>
      <c r="S364" s="85">
        <v>92</v>
      </c>
      <c r="T364" s="140">
        <f>SUM(N364:S364)</f>
        <v>460</v>
      </c>
      <c r="U364" s="140">
        <f>T364+L364</f>
        <v>682</v>
      </c>
      <c r="V364" s="85">
        <v>682</v>
      </c>
      <c r="W364" s="88"/>
      <c r="X364" s="36"/>
    </row>
    <row r="365" spans="1:28" s="48" customFormat="1" ht="18" customHeight="1">
      <c r="A365" s="595"/>
      <c r="B365" s="576"/>
      <c r="C365" s="577"/>
      <c r="D365" s="178" t="str">
        <f>серпень!D288</f>
        <v>факт. нат.п-ки 2024</v>
      </c>
      <c r="E365" s="85"/>
      <c r="F365" s="88">
        <v>110</v>
      </c>
      <c r="G365" s="88">
        <v>82</v>
      </c>
      <c r="H365" s="85">
        <v>78</v>
      </c>
      <c r="I365" s="85">
        <v>88</v>
      </c>
      <c r="J365" s="85">
        <v>126</v>
      </c>
      <c r="K365" s="85">
        <v>94</v>
      </c>
      <c r="L365" s="140">
        <f>SUM(F365:K365)</f>
        <v>578</v>
      </c>
      <c r="M365" s="140">
        <f>L365/6</f>
        <v>96.3</v>
      </c>
      <c r="N365" s="85">
        <v>100</v>
      </c>
      <c r="O365" s="85">
        <v>102</v>
      </c>
      <c r="P365" s="85">
        <v>118</v>
      </c>
      <c r="Q365" s="85">
        <v>144</v>
      </c>
      <c r="R365" s="85">
        <v>173.2</v>
      </c>
      <c r="S365" s="85">
        <v>141.19999999999999</v>
      </c>
      <c r="T365" s="140">
        <f>SUM(N365:S365)</f>
        <v>778.4</v>
      </c>
      <c r="U365" s="140">
        <f>T365+L365</f>
        <v>1356.4</v>
      </c>
      <c r="V365" s="85">
        <v>1356.4</v>
      </c>
      <c r="W365" s="88"/>
      <c r="X365" s="47"/>
    </row>
    <row r="366" spans="1:28" s="10" customFormat="1" ht="18" customHeight="1">
      <c r="A366" s="595"/>
      <c r="B366" s="576"/>
      <c r="C366" s="577"/>
      <c r="D366" s="178" t="str">
        <f>серпень!D289</f>
        <v>факт. нат.п-ки 2025</v>
      </c>
      <c r="E366" s="85"/>
      <c r="F366" s="88">
        <v>96</v>
      </c>
      <c r="G366" s="88">
        <v>96</v>
      </c>
      <c r="H366" s="85">
        <v>0</v>
      </c>
      <c r="I366" s="85">
        <v>56</v>
      </c>
      <c r="J366" s="85">
        <v>132</v>
      </c>
      <c r="K366" s="85">
        <v>104</v>
      </c>
      <c r="L366" s="140">
        <f>SUM(F366:K366)</f>
        <v>484</v>
      </c>
      <c r="M366" s="140">
        <f>L366/6</f>
        <v>80.7</v>
      </c>
      <c r="N366" s="85">
        <v>88</v>
      </c>
      <c r="O366" s="85">
        <v>44</v>
      </c>
      <c r="P366" s="85">
        <f>118+200</f>
        <v>318</v>
      </c>
      <c r="Q366" s="85">
        <f>144+100</f>
        <v>244</v>
      </c>
      <c r="R366" s="85">
        <f>64+149.2-40+100</f>
        <v>273.2</v>
      </c>
      <c r="S366" s="85">
        <v>355.2</v>
      </c>
      <c r="T366" s="140">
        <f>SUM(N366:S366)</f>
        <v>1322.4</v>
      </c>
      <c r="U366" s="140">
        <f>T366+L366</f>
        <v>1806.4</v>
      </c>
      <c r="V366" s="85">
        <f>2210.4-126</f>
        <v>2084.4</v>
      </c>
      <c r="W366" s="88">
        <f>V366-U366</f>
        <v>278</v>
      </c>
      <c r="X366" s="36"/>
      <c r="Y366" s="3"/>
      <c r="Z366" s="3"/>
      <c r="AA366" s="3"/>
      <c r="AB366" s="3"/>
    </row>
    <row r="367" spans="1:28" s="114" customFormat="1" ht="18" customHeight="1">
      <c r="A367" s="595"/>
      <c r="B367" s="576"/>
      <c r="C367" s="577"/>
      <c r="D367" s="187" t="str">
        <f>серпень!D290</f>
        <v>тариф, грн.</v>
      </c>
      <c r="E367" s="92" t="e">
        <f>E368/E366*1000</f>
        <v>#DIV/0!</v>
      </c>
      <c r="F367" s="92">
        <f t="shared" ref="F367:K367" si="399">F368/F366*1000</f>
        <v>24.917000000000002</v>
      </c>
      <c r="G367" s="92">
        <f t="shared" si="399"/>
        <v>26.167000000000002</v>
      </c>
      <c r="H367" s="92" t="e">
        <f t="shared" si="399"/>
        <v>#DIV/0!</v>
      </c>
      <c r="I367" s="92">
        <f t="shared" si="399"/>
        <v>26.161000000000001</v>
      </c>
      <c r="J367" s="92">
        <f t="shared" si="399"/>
        <v>26.158999999999999</v>
      </c>
      <c r="K367" s="92">
        <f t="shared" si="399"/>
        <v>26.163</v>
      </c>
      <c r="L367" s="105">
        <f>L368/L366*1000</f>
        <v>25.914999999999999</v>
      </c>
      <c r="M367" s="105">
        <f>M368/M366*1000</f>
        <v>25.911000000000001</v>
      </c>
      <c r="N367" s="105">
        <f t="shared" ref="N367:O367" si="400">N368/N366*1000</f>
        <v>26.158999999999999</v>
      </c>
      <c r="O367" s="105">
        <f t="shared" si="400"/>
        <v>26.158999999999999</v>
      </c>
      <c r="P367" s="105">
        <v>26.16</v>
      </c>
      <c r="Q367" s="105">
        <v>26.16</v>
      </c>
      <c r="R367" s="92">
        <v>26.16</v>
      </c>
      <c r="S367" s="92">
        <v>26.16</v>
      </c>
      <c r="T367" s="105">
        <f>T368/T366*1000</f>
        <v>26.16</v>
      </c>
      <c r="U367" s="105">
        <f>U368/U366*1000</f>
        <v>26.094000000000001</v>
      </c>
      <c r="V367" s="105">
        <f>V368/V366*1000</f>
        <v>22.925000000000001</v>
      </c>
      <c r="W367" s="105">
        <f>W368/W366*1000</f>
        <v>2.331</v>
      </c>
      <c r="X367" s="36"/>
      <c r="Y367" s="3"/>
      <c r="Z367" s="3"/>
      <c r="AA367" s="3"/>
      <c r="AB367" s="3"/>
    </row>
    <row r="368" spans="1:28" s="114" customFormat="1" ht="18" customHeight="1">
      <c r="A368" s="595"/>
      <c r="B368" s="576"/>
      <c r="C368" s="577"/>
      <c r="D368" s="191" t="str">
        <f>серпень!D291</f>
        <v>сума, тис.грн.</v>
      </c>
      <c r="E368" s="93"/>
      <c r="F368" s="93">
        <v>2.3919999999999999</v>
      </c>
      <c r="G368" s="93">
        <v>2.512</v>
      </c>
      <c r="H368" s="93">
        <v>0</v>
      </c>
      <c r="I368" s="93">
        <v>1.4650000000000001</v>
      </c>
      <c r="J368" s="93">
        <v>3.4529999999999998</v>
      </c>
      <c r="K368" s="93">
        <v>2.7210000000000001</v>
      </c>
      <c r="L368" s="106">
        <f>SUM(F368:K368)</f>
        <v>12.542999999999999</v>
      </c>
      <c r="M368" s="106">
        <f>L368/6</f>
        <v>2.0910000000000002</v>
      </c>
      <c r="N368" s="93">
        <v>2.302</v>
      </c>
      <c r="O368" s="93">
        <v>1.151</v>
      </c>
      <c r="P368" s="93">
        <f t="shared" ref="P368" si="401">P366*P367/1000</f>
        <v>8.3190000000000008</v>
      </c>
      <c r="Q368" s="93">
        <f t="shared" ref="Q368" si="402">Q366*Q367/1000</f>
        <v>6.383</v>
      </c>
      <c r="R368" s="93">
        <f t="shared" ref="R368" si="403">R366*R367/1000</f>
        <v>7.1470000000000002</v>
      </c>
      <c r="S368" s="93">
        <f t="shared" ref="S368" si="404">S366*S367/1000</f>
        <v>9.2919999999999998</v>
      </c>
      <c r="T368" s="106">
        <f>SUM(N368:S368)</f>
        <v>34.594000000000001</v>
      </c>
      <c r="U368" s="106">
        <f>T368+L368</f>
        <v>47.137</v>
      </c>
      <c r="V368" s="107">
        <f>V369+V370</f>
        <v>47.784999999999997</v>
      </c>
      <c r="W368" s="93">
        <f>V368-U368</f>
        <v>0.64800000000000002</v>
      </c>
      <c r="X368" s="113"/>
    </row>
    <row r="369" spans="1:28" s="114" customFormat="1" ht="18" customHeight="1">
      <c r="A369" s="595"/>
      <c r="B369" s="576"/>
      <c r="C369" s="577"/>
      <c r="D369" s="174" t="str">
        <f>серпень!D292</f>
        <v>дотація</v>
      </c>
      <c r="E369" s="95"/>
      <c r="F369" s="93"/>
      <c r="G369" s="93"/>
      <c r="H369" s="93"/>
      <c r="I369" s="93"/>
      <c r="J369" s="93"/>
      <c r="K369" s="93"/>
      <c r="L369" s="106">
        <f>SUM(F369:K369)</f>
        <v>0</v>
      </c>
      <c r="M369" s="106">
        <f>L369/6</f>
        <v>0</v>
      </c>
      <c r="N369" s="93"/>
      <c r="O369" s="93"/>
      <c r="P369" s="93"/>
      <c r="Q369" s="93"/>
      <c r="R369" s="93"/>
      <c r="S369" s="93"/>
      <c r="T369" s="106">
        <f>SUM(N369:S369)</f>
        <v>0</v>
      </c>
      <c r="U369" s="106">
        <f>T369+L369</f>
        <v>0</v>
      </c>
      <c r="V369" s="107">
        <v>0</v>
      </c>
      <c r="W369" s="93">
        <f>V369-U369</f>
        <v>0</v>
      </c>
      <c r="X369" s="113"/>
    </row>
    <row r="370" spans="1:28" s="114" customFormat="1" ht="18" customHeight="1">
      <c r="A370" s="595"/>
      <c r="B370" s="576"/>
      <c r="C370" s="577"/>
      <c r="D370" s="174" t="str">
        <f>серпень!D293</f>
        <v>місцевий (план), тис.грн</v>
      </c>
      <c r="E370" s="95"/>
      <c r="F370" s="93">
        <f>2.602-1.073</f>
        <v>1.5289999999999999</v>
      </c>
      <c r="G370" s="93">
        <f>2.65-1.787</f>
        <v>0.86299999999999999</v>
      </c>
      <c r="H370" s="93">
        <f>3.028-1.649+1.129</f>
        <v>2.508</v>
      </c>
      <c r="I370" s="93">
        <f>2.792+0.063</f>
        <v>2.855</v>
      </c>
      <c r="J370" s="93">
        <f>2.981-1.129+2.911</f>
        <v>4.7629999999999999</v>
      </c>
      <c r="K370" s="93">
        <f>2.934+1.223+0.124</f>
        <v>4.2809999999999997</v>
      </c>
      <c r="L370" s="106">
        <f>SUM(F370:K370)</f>
        <v>16.798999999999999</v>
      </c>
      <c r="M370" s="106">
        <f>L370/6</f>
        <v>2.8</v>
      </c>
      <c r="N370" s="93">
        <f>3.549</f>
        <v>3.5489999999999999</v>
      </c>
      <c r="O370" s="93">
        <f>3.596-0.674-1.8</f>
        <v>1.1220000000000001</v>
      </c>
      <c r="P370" s="93">
        <f>7.523-2.911</f>
        <v>4.6120000000000001</v>
      </c>
      <c r="Q370" s="93">
        <f>5.773-0.673+1.8</f>
        <v>6.9</v>
      </c>
      <c r="R370" s="93">
        <f>6.463-0.063</f>
        <v>6.4</v>
      </c>
      <c r="S370" s="93">
        <f>8.403</f>
        <v>8.4030000000000005</v>
      </c>
      <c r="T370" s="106">
        <f>SUM(N370:S370)</f>
        <v>30.986000000000001</v>
      </c>
      <c r="U370" s="106">
        <f>T370+L370</f>
        <v>47.784999999999997</v>
      </c>
      <c r="V370" s="107">
        <f>52.294-1.787-1.649-1.073</f>
        <v>47.784999999999997</v>
      </c>
      <c r="W370" s="93">
        <f>V370-U370</f>
        <v>0</v>
      </c>
      <c r="X370" s="113"/>
    </row>
    <row r="371" spans="1:28" s="3" customFormat="1" ht="18" customHeight="1">
      <c r="A371" s="595"/>
      <c r="B371" s="576"/>
      <c r="C371" s="577"/>
      <c r="D371" s="178" t="str">
        <f>серпень!D294</f>
        <v>касові нат.п-ки 2025</v>
      </c>
      <c r="E371" s="85"/>
      <c r="F371" s="88">
        <v>0</v>
      </c>
      <c r="G371" s="88">
        <v>96</v>
      </c>
      <c r="H371" s="85">
        <v>96</v>
      </c>
      <c r="I371" s="85">
        <v>56</v>
      </c>
      <c r="J371" s="85">
        <v>132</v>
      </c>
      <c r="K371" s="85">
        <v>104</v>
      </c>
      <c r="L371" s="140">
        <f>SUM(F371:K371)</f>
        <v>484</v>
      </c>
      <c r="M371" s="140">
        <f>L371/6</f>
        <v>80.7</v>
      </c>
      <c r="N371" s="85">
        <v>88</v>
      </c>
      <c r="O371" s="85">
        <v>44</v>
      </c>
      <c r="P371" s="85">
        <v>318</v>
      </c>
      <c r="Q371" s="85">
        <v>244</v>
      </c>
      <c r="R371" s="85">
        <v>273.2</v>
      </c>
      <c r="S371" s="85">
        <v>355.2</v>
      </c>
      <c r="T371" s="140">
        <f>SUM(N371:S371)</f>
        <v>1322.4</v>
      </c>
      <c r="U371" s="140">
        <f>T371+L371</f>
        <v>1806.4</v>
      </c>
      <c r="V371" s="85">
        <f>V366</f>
        <v>2084.4</v>
      </c>
      <c r="W371" s="88">
        <f>V371-U371</f>
        <v>278</v>
      </c>
      <c r="X371" s="47">
        <f>U366-U371</f>
        <v>0</v>
      </c>
    </row>
    <row r="372" spans="1:28" s="73" customFormat="1" ht="18" customHeight="1">
      <c r="A372" s="595"/>
      <c r="B372" s="576"/>
      <c r="C372" s="577"/>
      <c r="D372" s="187" t="str">
        <f>серпень!D295</f>
        <v>тариф, грн.</v>
      </c>
      <c r="E372" s="92" t="e">
        <f t="shared" ref="E372:J372" si="405">E373/E371*1000</f>
        <v>#DIV/0!</v>
      </c>
      <c r="F372" s="92" t="e">
        <f t="shared" si="405"/>
        <v>#DIV/0!</v>
      </c>
      <c r="G372" s="92">
        <f t="shared" si="405"/>
        <v>24.917000000000002</v>
      </c>
      <c r="H372" s="92">
        <f t="shared" si="405"/>
        <v>26.167000000000002</v>
      </c>
      <c r="I372" s="92">
        <f t="shared" si="405"/>
        <v>26.161000000000001</v>
      </c>
      <c r="J372" s="92">
        <f t="shared" si="405"/>
        <v>26.158999999999999</v>
      </c>
      <c r="K372" s="92">
        <v>26.16</v>
      </c>
      <c r="L372" s="105">
        <f>L373/L371*1000</f>
        <v>25.914999999999999</v>
      </c>
      <c r="M372" s="105">
        <f>M373/M371*1000</f>
        <v>25.911000000000001</v>
      </c>
      <c r="N372" s="105">
        <f t="shared" ref="N372:P372" si="406">N373/N371*1000</f>
        <v>26.158999999999999</v>
      </c>
      <c r="O372" s="105">
        <f t="shared" si="406"/>
        <v>26.158999999999999</v>
      </c>
      <c r="P372" s="105">
        <f t="shared" si="406"/>
        <v>26.16</v>
      </c>
      <c r="Q372" s="105">
        <v>26.16</v>
      </c>
      <c r="R372" s="105">
        <v>26.16</v>
      </c>
      <c r="S372" s="105">
        <v>26.16</v>
      </c>
      <c r="T372" s="105">
        <f>T373/T371*1000</f>
        <v>26.16</v>
      </c>
      <c r="U372" s="105">
        <f>U373/U371*1000</f>
        <v>26.094000000000001</v>
      </c>
      <c r="V372" s="105">
        <f>V373/V371*1000</f>
        <v>22.925000000000001</v>
      </c>
      <c r="W372" s="105">
        <f>W373/W371*1000</f>
        <v>2.331</v>
      </c>
      <c r="X372" s="59"/>
      <c r="Y372" s="36"/>
      <c r="Z372" s="36"/>
      <c r="AA372" s="36"/>
      <c r="AB372" s="36"/>
    </row>
    <row r="373" spans="1:28" s="126" customFormat="1" ht="18" customHeight="1">
      <c r="A373" s="595"/>
      <c r="B373" s="576"/>
      <c r="C373" s="577"/>
      <c r="D373" s="198" t="str">
        <f>серпень!D296</f>
        <v>касові видатки, тис.грн.</v>
      </c>
      <c r="E373" s="108"/>
      <c r="F373" s="98">
        <v>0</v>
      </c>
      <c r="G373" s="98">
        <v>2.3919999999999999</v>
      </c>
      <c r="H373" s="98">
        <v>2.512</v>
      </c>
      <c r="I373" s="98">
        <v>1.4650000000000001</v>
      </c>
      <c r="J373" s="98">
        <v>3.4529999999999998</v>
      </c>
      <c r="K373" s="98">
        <v>2.7210000000000001</v>
      </c>
      <c r="L373" s="98">
        <f>SUM(F373:K373)</f>
        <v>12.542999999999999</v>
      </c>
      <c r="M373" s="98">
        <f>L373/6</f>
        <v>2.0910000000000002</v>
      </c>
      <c r="N373" s="98">
        <v>2.302</v>
      </c>
      <c r="O373" s="98">
        <v>1.151</v>
      </c>
      <c r="P373" s="98">
        <v>8.3190000000000008</v>
      </c>
      <c r="Q373" s="98">
        <f t="shared" ref="Q373" si="407">Q371*Q372/1000</f>
        <v>6.383</v>
      </c>
      <c r="R373" s="98">
        <f t="shared" ref="R373" si="408">R371*R372/1000</f>
        <v>7.1470000000000002</v>
      </c>
      <c r="S373" s="98">
        <f t="shared" ref="S373" si="409">S371*S372/1000</f>
        <v>9.2919999999999998</v>
      </c>
      <c r="T373" s="98">
        <f>SUM(N373:S373)</f>
        <v>34.594000000000001</v>
      </c>
      <c r="U373" s="98">
        <f>T373+L373</f>
        <v>47.137</v>
      </c>
      <c r="V373" s="98">
        <f>V368</f>
        <v>47.784999999999997</v>
      </c>
      <c r="W373" s="109">
        <f>V373-U373</f>
        <v>0.64800000000000002</v>
      </c>
      <c r="X373" s="63">
        <f>U368-U373</f>
        <v>0</v>
      </c>
    </row>
    <row r="374" spans="1:28" s="126" customFormat="1" ht="18" customHeight="1">
      <c r="A374" s="595"/>
      <c r="B374" s="576"/>
      <c r="C374" s="577"/>
      <c r="D374" s="201" t="str">
        <f>серпень!D297</f>
        <v>дотація</v>
      </c>
      <c r="E374" s="108"/>
      <c r="F374" s="98">
        <v>0</v>
      </c>
      <c r="G374" s="98">
        <v>0</v>
      </c>
      <c r="H374" s="98">
        <v>0</v>
      </c>
      <c r="I374" s="98">
        <v>0</v>
      </c>
      <c r="J374" s="98">
        <v>0</v>
      </c>
      <c r="K374" s="98">
        <v>0</v>
      </c>
      <c r="L374" s="98">
        <f>SUM(F374:K374)</f>
        <v>0</v>
      </c>
      <c r="M374" s="98">
        <f>L374/6</f>
        <v>0</v>
      </c>
      <c r="N374" s="98">
        <v>0</v>
      </c>
      <c r="O374" s="98">
        <v>0</v>
      </c>
      <c r="P374" s="98">
        <v>0</v>
      </c>
      <c r="Q374" s="98">
        <v>0</v>
      </c>
      <c r="R374" s="98">
        <v>0</v>
      </c>
      <c r="S374" s="98">
        <v>0</v>
      </c>
      <c r="T374" s="98">
        <f>SUM(N374:S374)</f>
        <v>0</v>
      </c>
      <c r="U374" s="98">
        <f>T374+L374</f>
        <v>0</v>
      </c>
      <c r="V374" s="98">
        <f>V369</f>
        <v>0</v>
      </c>
      <c r="W374" s="109">
        <f>V374-U374</f>
        <v>0</v>
      </c>
      <c r="X374" s="63">
        <f>U369-U374</f>
        <v>0</v>
      </c>
    </row>
    <row r="375" spans="1:28" s="126" customFormat="1" ht="18" customHeight="1">
      <c r="A375" s="595"/>
      <c r="B375" s="576"/>
      <c r="C375" s="577"/>
      <c r="D375" s="201" t="str">
        <f>серпень!D298</f>
        <v xml:space="preserve">місцевий </v>
      </c>
      <c r="E375" s="108"/>
      <c r="F375" s="98">
        <f t="shared" ref="F375:K375" si="410">F373-F374</f>
        <v>0</v>
      </c>
      <c r="G375" s="98">
        <f t="shared" si="410"/>
        <v>2.3919999999999999</v>
      </c>
      <c r="H375" s="98">
        <f t="shared" si="410"/>
        <v>2.512</v>
      </c>
      <c r="I375" s="98">
        <f t="shared" si="410"/>
        <v>1.4650000000000001</v>
      </c>
      <c r="J375" s="98">
        <f t="shared" si="410"/>
        <v>3.4529999999999998</v>
      </c>
      <c r="K375" s="98">
        <f t="shared" si="410"/>
        <v>2.7210000000000001</v>
      </c>
      <c r="L375" s="98">
        <f>SUM(F375:K375)</f>
        <v>12.542999999999999</v>
      </c>
      <c r="M375" s="98">
        <f>L375/6</f>
        <v>2.0910000000000002</v>
      </c>
      <c r="N375" s="98">
        <f t="shared" ref="N375:S375" si="411">N373-N374</f>
        <v>2.302</v>
      </c>
      <c r="O375" s="98">
        <f t="shared" si="411"/>
        <v>1.151</v>
      </c>
      <c r="P375" s="98">
        <f t="shared" si="411"/>
        <v>8.3190000000000008</v>
      </c>
      <c r="Q375" s="98">
        <f t="shared" si="411"/>
        <v>6.383</v>
      </c>
      <c r="R375" s="98">
        <f t="shared" si="411"/>
        <v>7.1470000000000002</v>
      </c>
      <c r="S375" s="98">
        <f t="shared" si="411"/>
        <v>9.2919999999999998</v>
      </c>
      <c r="T375" s="98">
        <f>SUM(N375:S375)</f>
        <v>34.594000000000001</v>
      </c>
      <c r="U375" s="98">
        <f>T375+L375</f>
        <v>47.137</v>
      </c>
      <c r="V375" s="98">
        <f>V370</f>
        <v>47.784999999999997</v>
      </c>
      <c r="W375" s="109">
        <f>V375-U375</f>
        <v>0.64800000000000002</v>
      </c>
      <c r="X375" s="63">
        <f>U370-U375</f>
        <v>0.64800000000000002</v>
      </c>
    </row>
    <row r="376" spans="1:28" s="43" customFormat="1" ht="18" customHeight="1">
      <c r="A376" s="595"/>
      <c r="B376" s="576"/>
      <c r="C376" s="577"/>
      <c r="D376" s="202" t="str">
        <f>серпень!D299</f>
        <v>план</v>
      </c>
      <c r="E376" s="100"/>
      <c r="F376" s="100">
        <f t="shared" ref="F376:K376" si="412">F369+F370</f>
        <v>1.5289999999999999</v>
      </c>
      <c r="G376" s="100">
        <f t="shared" si="412"/>
        <v>0.86299999999999999</v>
      </c>
      <c r="H376" s="100">
        <f t="shared" si="412"/>
        <v>2.508</v>
      </c>
      <c r="I376" s="100">
        <f t="shared" si="412"/>
        <v>2.855</v>
      </c>
      <c r="J376" s="100">
        <f t="shared" si="412"/>
        <v>4.7629999999999999</v>
      </c>
      <c r="K376" s="100">
        <f t="shared" si="412"/>
        <v>4.2809999999999997</v>
      </c>
      <c r="L376" s="100">
        <f>SUM(F376:K376)</f>
        <v>16.798999999999999</v>
      </c>
      <c r="M376" s="100">
        <f>L376/6</f>
        <v>2.8</v>
      </c>
      <c r="N376" s="100">
        <f t="shared" ref="N376:S376" si="413">N370+N369</f>
        <v>3.5489999999999999</v>
      </c>
      <c r="O376" s="100">
        <f t="shared" si="413"/>
        <v>1.1220000000000001</v>
      </c>
      <c r="P376" s="100">
        <f t="shared" si="413"/>
        <v>4.6120000000000001</v>
      </c>
      <c r="Q376" s="100">
        <f t="shared" si="413"/>
        <v>6.9</v>
      </c>
      <c r="R376" s="100">
        <f t="shared" si="413"/>
        <v>6.4</v>
      </c>
      <c r="S376" s="100">
        <f t="shared" si="413"/>
        <v>8.4030000000000005</v>
      </c>
      <c r="T376" s="100">
        <f>SUM(N376:S376)</f>
        <v>30.986000000000001</v>
      </c>
      <c r="U376" s="100">
        <f>T376+L376</f>
        <v>47.784999999999997</v>
      </c>
      <c r="V376" s="100">
        <f>V373</f>
        <v>47.784999999999997</v>
      </c>
      <c r="W376" s="100">
        <f>V376-U376</f>
        <v>0</v>
      </c>
    </row>
    <row r="377" spans="1:28" s="43" customFormat="1" ht="18.2" customHeight="1">
      <c r="A377" s="595"/>
      <c r="B377" s="576"/>
      <c r="C377" s="577"/>
      <c r="D377" s="202" t="str">
        <f>серпень!D300</f>
        <v xml:space="preserve">відхилення </v>
      </c>
      <c r="E377" s="100"/>
      <c r="F377" s="100">
        <f t="shared" ref="F377:K377" si="414">F373-F376</f>
        <v>-1.5289999999999999</v>
      </c>
      <c r="G377" s="100">
        <f t="shared" si="414"/>
        <v>1.5289999999999999</v>
      </c>
      <c r="H377" s="100">
        <f t="shared" si="414"/>
        <v>4.0000000000000001E-3</v>
      </c>
      <c r="I377" s="100">
        <f t="shared" si="414"/>
        <v>-1.39</v>
      </c>
      <c r="J377" s="100">
        <f t="shared" si="414"/>
        <v>-1.31</v>
      </c>
      <c r="K377" s="100">
        <f t="shared" si="414"/>
        <v>-1.56</v>
      </c>
      <c r="L377" s="100"/>
      <c r="M377" s="100"/>
      <c r="N377" s="100">
        <f t="shared" ref="N377:S377" si="415">N373-N376</f>
        <v>-1.2470000000000001</v>
      </c>
      <c r="O377" s="100">
        <f t="shared" si="415"/>
        <v>2.9000000000000001E-2</v>
      </c>
      <c r="P377" s="100">
        <f t="shared" si="415"/>
        <v>3.7069999999999999</v>
      </c>
      <c r="Q377" s="100">
        <f t="shared" si="415"/>
        <v>-0.51700000000000002</v>
      </c>
      <c r="R377" s="100">
        <f t="shared" si="415"/>
        <v>0.747</v>
      </c>
      <c r="S377" s="100">
        <f t="shared" si="415"/>
        <v>0.88900000000000001</v>
      </c>
      <c r="T377" s="100"/>
      <c r="U377" s="100"/>
      <c r="V377" s="100"/>
      <c r="W377" s="100"/>
    </row>
    <row r="378" spans="1:28" s="43" customFormat="1">
      <c r="A378" s="595"/>
      <c r="B378" s="576"/>
      <c r="C378" s="577"/>
      <c r="D378" s="202" t="str">
        <f>серпень!D301</f>
        <v>відхилення з наростаючим</v>
      </c>
      <c r="E378" s="100"/>
      <c r="F378" s="100">
        <f>F377</f>
        <v>-1.5289999999999999</v>
      </c>
      <c r="G378" s="100">
        <f>G377+F378</f>
        <v>0</v>
      </c>
      <c r="H378" s="100">
        <f>H377+G378</f>
        <v>4.0000000000000001E-3</v>
      </c>
      <c r="I378" s="100">
        <f>I377+H378</f>
        <v>-1.3859999999999999</v>
      </c>
      <c r="J378" s="100">
        <f>J377+I378</f>
        <v>-2.6960000000000002</v>
      </c>
      <c r="K378" s="100">
        <f>K377+J378</f>
        <v>-4.2560000000000002</v>
      </c>
      <c r="L378" s="100"/>
      <c r="M378" s="100"/>
      <c r="N378" s="100">
        <f>N377+K378</f>
        <v>-5.5030000000000001</v>
      </c>
      <c r="O378" s="100">
        <f>O377+N378</f>
        <v>-5.4740000000000002</v>
      </c>
      <c r="P378" s="100">
        <f>P377+O378</f>
        <v>-1.7669999999999999</v>
      </c>
      <c r="Q378" s="100">
        <f>Q377+P378</f>
        <v>-2.2839999999999998</v>
      </c>
      <c r="R378" s="100">
        <f>R377+Q378</f>
        <v>-1.5369999999999999</v>
      </c>
      <c r="S378" s="100">
        <f>S377+R378</f>
        <v>-0.64800000000000002</v>
      </c>
      <c r="T378" s="100"/>
      <c r="U378" s="100"/>
      <c r="V378" s="100"/>
      <c r="W378" s="100"/>
    </row>
    <row r="379" spans="1:28" s="43" customFormat="1" hidden="1">
      <c r="A379" s="595"/>
      <c r="B379" s="580" t="s">
        <v>96</v>
      </c>
      <c r="C379" s="575"/>
      <c r="D379" s="178" t="str">
        <f>серпень!D302</f>
        <v>факт. нат.п-ки 2023</v>
      </c>
      <c r="E379" s="179"/>
      <c r="F379" s="180"/>
      <c r="G379" s="180"/>
      <c r="H379" s="180"/>
      <c r="I379" s="180"/>
      <c r="J379" s="180"/>
      <c r="K379" s="180"/>
      <c r="L379" s="215">
        <f>SUM(F379:K379)</f>
        <v>0</v>
      </c>
      <c r="M379" s="215">
        <f>L379/6</f>
        <v>0</v>
      </c>
      <c r="N379" s="180"/>
      <c r="O379" s="180"/>
      <c r="P379" s="180"/>
      <c r="Q379" s="180"/>
      <c r="R379" s="180"/>
      <c r="S379" s="180"/>
      <c r="T379" s="215">
        <f>SUM(N379:S379)</f>
        <v>0</v>
      </c>
      <c r="U379" s="226">
        <f>T379+L379</f>
        <v>0</v>
      </c>
      <c r="V379" s="227"/>
      <c r="W379" s="184">
        <f>V379-U379</f>
        <v>0</v>
      </c>
    </row>
    <row r="380" spans="1:28" s="43" customFormat="1" hidden="1">
      <c r="A380" s="595"/>
      <c r="B380" s="576"/>
      <c r="C380" s="577"/>
      <c r="D380" s="178" t="str">
        <f>серпень!D303</f>
        <v>факт. нат.п-ки 2024</v>
      </c>
      <c r="E380" s="179"/>
      <c r="F380" s="180"/>
      <c r="G380" s="180"/>
      <c r="H380" s="180"/>
      <c r="I380" s="180"/>
      <c r="J380" s="180"/>
      <c r="K380" s="180"/>
      <c r="L380" s="215">
        <f>SUM(F380:K380)</f>
        <v>0</v>
      </c>
      <c r="M380" s="215">
        <f>L380/6</f>
        <v>0</v>
      </c>
      <c r="N380" s="179"/>
      <c r="O380" s="179"/>
      <c r="P380" s="179"/>
      <c r="Q380" s="179"/>
      <c r="R380" s="179"/>
      <c r="S380" s="179"/>
      <c r="T380" s="215">
        <f>SUM(N380:S380)</f>
        <v>0</v>
      </c>
      <c r="U380" s="226">
        <f>T380+L380</f>
        <v>0</v>
      </c>
      <c r="V380" s="227"/>
      <c r="W380" s="184">
        <f>V380-U380</f>
        <v>0</v>
      </c>
    </row>
    <row r="381" spans="1:28" s="43" customFormat="1" hidden="1">
      <c r="A381" s="595"/>
      <c r="B381" s="576"/>
      <c r="C381" s="577"/>
      <c r="D381" s="178" t="str">
        <f>серпень!D304</f>
        <v>факт. нат.п-ки 2025</v>
      </c>
      <c r="E381" s="179"/>
      <c r="F381" s="180"/>
      <c r="G381" s="180"/>
      <c r="H381" s="180"/>
      <c r="I381" s="180"/>
      <c r="J381" s="180"/>
      <c r="K381" s="180"/>
      <c r="L381" s="215">
        <f>SUM(F381:K381)</f>
        <v>0</v>
      </c>
      <c r="M381" s="215">
        <f>L381/6</f>
        <v>0</v>
      </c>
      <c r="N381" s="180"/>
      <c r="O381" s="180"/>
      <c r="P381" s="180"/>
      <c r="Q381" s="180"/>
      <c r="R381" s="180"/>
      <c r="S381" s="179"/>
      <c r="T381" s="215">
        <f>SUM(N381:S381)</f>
        <v>0</v>
      </c>
      <c r="U381" s="226">
        <f>T381+L381</f>
        <v>0</v>
      </c>
      <c r="V381" s="179"/>
      <c r="W381" s="184">
        <f>V381-U381</f>
        <v>0</v>
      </c>
    </row>
    <row r="382" spans="1:28" s="43" customFormat="1" hidden="1">
      <c r="A382" s="595"/>
      <c r="B382" s="576"/>
      <c r="C382" s="577"/>
      <c r="D382" s="187" t="str">
        <f>серпень!D305</f>
        <v>тариф, грн.</v>
      </c>
      <c r="E382" s="188"/>
      <c r="F382" s="188"/>
      <c r="G382" s="188"/>
      <c r="H382" s="188"/>
      <c r="I382" s="188"/>
      <c r="J382" s="188"/>
      <c r="K382" s="188"/>
      <c r="L382" s="188" t="e">
        <f>L383/L381*1000</f>
        <v>#DIV/0!</v>
      </c>
      <c r="M382" s="188" t="e">
        <f>M383/M381*1000</f>
        <v>#DIV/0!</v>
      </c>
      <c r="N382" s="188"/>
      <c r="O382" s="188"/>
      <c r="P382" s="188"/>
      <c r="Q382" s="188"/>
      <c r="R382" s="188"/>
      <c r="S382" s="188"/>
      <c r="T382" s="188" t="e">
        <f>T383/T381*1000</f>
        <v>#DIV/0!</v>
      </c>
      <c r="U382" s="188" t="e">
        <f>U383/U381*1000</f>
        <v>#DIV/0!</v>
      </c>
      <c r="V382" s="218" t="e">
        <f>V383/V381*1000</f>
        <v>#DIV/0!</v>
      </c>
      <c r="W382" s="189" t="e">
        <f>W383/W381*1000</f>
        <v>#DIV/0!</v>
      </c>
    </row>
    <row r="383" spans="1:28" s="43" customFormat="1" hidden="1">
      <c r="A383" s="595"/>
      <c r="B383" s="576"/>
      <c r="C383" s="577"/>
      <c r="D383" s="191" t="str">
        <f>серпень!D306</f>
        <v>сума, тис.грн.</v>
      </c>
      <c r="E383" s="192"/>
      <c r="F383" s="192">
        <f t="shared" ref="F383:K383" si="416">F381*F382/1000</f>
        <v>0</v>
      </c>
      <c r="G383" s="192">
        <f t="shared" si="416"/>
        <v>0</v>
      </c>
      <c r="H383" s="192">
        <f t="shared" si="416"/>
        <v>0</v>
      </c>
      <c r="I383" s="192">
        <f t="shared" si="416"/>
        <v>0</v>
      </c>
      <c r="J383" s="192">
        <f t="shared" si="416"/>
        <v>0</v>
      </c>
      <c r="K383" s="192">
        <f t="shared" si="416"/>
        <v>0</v>
      </c>
      <c r="L383" s="194">
        <f>SUM(F383:K383)</f>
        <v>0</v>
      </c>
      <c r="M383" s="194">
        <f>L383/6</f>
        <v>0</v>
      </c>
      <c r="N383" s="192">
        <f t="shared" ref="N383:S383" si="417">N381*N382/1000</f>
        <v>0</v>
      </c>
      <c r="O383" s="192">
        <f t="shared" si="417"/>
        <v>0</v>
      </c>
      <c r="P383" s="192">
        <f t="shared" si="417"/>
        <v>0</v>
      </c>
      <c r="Q383" s="192">
        <f t="shared" si="417"/>
        <v>0</v>
      </c>
      <c r="R383" s="192">
        <f t="shared" si="417"/>
        <v>0</v>
      </c>
      <c r="S383" s="192">
        <f t="shared" si="417"/>
        <v>0</v>
      </c>
      <c r="T383" s="194">
        <f>SUM(N383:S383)</f>
        <v>0</v>
      </c>
      <c r="U383" s="194">
        <f>T383+L383</f>
        <v>0</v>
      </c>
      <c r="V383" s="171">
        <f>V384+V385</f>
        <v>0</v>
      </c>
      <c r="W383" s="193">
        <f>V383-U383</f>
        <v>0</v>
      </c>
    </row>
    <row r="384" spans="1:28" s="43" customFormat="1" hidden="1">
      <c r="A384" s="595"/>
      <c r="B384" s="576"/>
      <c r="C384" s="577"/>
      <c r="D384" s="174" t="str">
        <f>серпень!D307</f>
        <v>дотація</v>
      </c>
      <c r="E384" s="210"/>
      <c r="F384" s="192"/>
      <c r="G384" s="192"/>
      <c r="H384" s="192"/>
      <c r="I384" s="192"/>
      <c r="J384" s="192"/>
      <c r="K384" s="192"/>
      <c r="L384" s="194">
        <f>SUM(F384:K384)</f>
        <v>0</v>
      </c>
      <c r="M384" s="194">
        <f>L384/6</f>
        <v>0</v>
      </c>
      <c r="N384" s="192"/>
      <c r="O384" s="192"/>
      <c r="P384" s="192"/>
      <c r="Q384" s="192"/>
      <c r="R384" s="192"/>
      <c r="S384" s="192"/>
      <c r="T384" s="194">
        <f>SUM(N384:S384)</f>
        <v>0</v>
      </c>
      <c r="U384" s="194">
        <f>T384+L384</f>
        <v>0</v>
      </c>
      <c r="V384" s="171"/>
      <c r="W384" s="193">
        <f>V384-U384</f>
        <v>0</v>
      </c>
    </row>
    <row r="385" spans="1:28" s="43" customFormat="1" hidden="1">
      <c r="A385" s="595"/>
      <c r="B385" s="576"/>
      <c r="C385" s="577"/>
      <c r="D385" s="174" t="str">
        <f>серпень!D308</f>
        <v>місцевий (план), тис.грн</v>
      </c>
      <c r="E385" s="210"/>
      <c r="F385" s="192"/>
      <c r="G385" s="192"/>
      <c r="H385" s="192"/>
      <c r="I385" s="192"/>
      <c r="J385" s="192"/>
      <c r="K385" s="192"/>
      <c r="L385" s="194">
        <f>SUM(F385:K385)</f>
        <v>0</v>
      </c>
      <c r="M385" s="194">
        <f>L385/6</f>
        <v>0</v>
      </c>
      <c r="N385" s="192"/>
      <c r="O385" s="192"/>
      <c r="P385" s="192"/>
      <c r="Q385" s="192"/>
      <c r="R385" s="192"/>
      <c r="S385" s="192"/>
      <c r="T385" s="194">
        <f>SUM(N385:S385)</f>
        <v>0</v>
      </c>
      <c r="U385" s="194">
        <f>T385+L385</f>
        <v>0</v>
      </c>
      <c r="V385" s="171"/>
      <c r="W385" s="193">
        <f>V385-U385</f>
        <v>0</v>
      </c>
    </row>
    <row r="386" spans="1:28" s="43" customFormat="1" hidden="1">
      <c r="A386" s="595"/>
      <c r="B386" s="576"/>
      <c r="C386" s="577"/>
      <c r="D386" s="178" t="str">
        <f>серпень!D309</f>
        <v>касові нат.п-ки 2025</v>
      </c>
      <c r="E386" s="179"/>
      <c r="F386" s="179"/>
      <c r="G386" s="179"/>
      <c r="H386" s="179"/>
      <c r="I386" s="179"/>
      <c r="J386" s="179"/>
      <c r="K386" s="179"/>
      <c r="L386" s="215">
        <f>SUM(F386:K386)</f>
        <v>0</v>
      </c>
      <c r="M386" s="215">
        <f>L386/6</f>
        <v>0</v>
      </c>
      <c r="N386" s="179"/>
      <c r="O386" s="179"/>
      <c r="P386" s="179"/>
      <c r="Q386" s="179"/>
      <c r="R386" s="179"/>
      <c r="S386" s="179">
        <f>S381+R381</f>
        <v>0</v>
      </c>
      <c r="T386" s="215">
        <f>SUM(N386:S386)</f>
        <v>0</v>
      </c>
      <c r="U386" s="215">
        <f>T386+L386</f>
        <v>0</v>
      </c>
      <c r="V386" s="179">
        <f>V381</f>
        <v>0</v>
      </c>
      <c r="W386" s="184">
        <f>V386-U386</f>
        <v>0</v>
      </c>
    </row>
    <row r="387" spans="1:28" s="43" customFormat="1" hidden="1">
      <c r="A387" s="595"/>
      <c r="B387" s="576"/>
      <c r="C387" s="577"/>
      <c r="D387" s="187" t="str">
        <f>серпень!D310</f>
        <v>тариф, грн.</v>
      </c>
      <c r="E387" s="188" t="e">
        <f>E388/E386*1000</f>
        <v>#DIV/0!</v>
      </c>
      <c r="F387" s="188"/>
      <c r="G387" s="188"/>
      <c r="H387" s="188"/>
      <c r="I387" s="188"/>
      <c r="J387" s="188"/>
      <c r="K387" s="188"/>
      <c r="L387" s="188" t="e">
        <f>L388/L386*1000</f>
        <v>#DIV/0!</v>
      </c>
      <c r="M387" s="188" t="e">
        <f>M388/M386*1000</f>
        <v>#DIV/0!</v>
      </c>
      <c r="N387" s="188"/>
      <c r="O387" s="188"/>
      <c r="P387" s="188"/>
      <c r="Q387" s="188"/>
      <c r="R387" s="188"/>
      <c r="S387" s="188"/>
      <c r="T387" s="188" t="e">
        <f>T388/T386*1000</f>
        <v>#DIV/0!</v>
      </c>
      <c r="U387" s="188" t="e">
        <f>U388/U386*1000</f>
        <v>#DIV/0!</v>
      </c>
      <c r="V387" s="218" t="e">
        <f>V388/V386*1000</f>
        <v>#DIV/0!</v>
      </c>
      <c r="W387" s="189" t="e">
        <f>W388/W386*1000</f>
        <v>#DIV/0!</v>
      </c>
    </row>
    <row r="388" spans="1:28" s="43" customFormat="1" hidden="1">
      <c r="A388" s="595"/>
      <c r="B388" s="576"/>
      <c r="C388" s="577"/>
      <c r="D388" s="198" t="str">
        <f>серпень!D311</f>
        <v>касові видатки, тис.грн.</v>
      </c>
      <c r="E388" s="220"/>
      <c r="F388" s="199">
        <f t="shared" ref="F388:K388" si="418">F386*F387/1000</f>
        <v>0</v>
      </c>
      <c r="G388" s="199">
        <f t="shared" si="418"/>
        <v>0</v>
      </c>
      <c r="H388" s="199">
        <f t="shared" si="418"/>
        <v>0</v>
      </c>
      <c r="I388" s="199">
        <f t="shared" si="418"/>
        <v>0</v>
      </c>
      <c r="J388" s="199">
        <f t="shared" si="418"/>
        <v>0</v>
      </c>
      <c r="K388" s="199">
        <f t="shared" si="418"/>
        <v>0</v>
      </c>
      <c r="L388" s="199">
        <f>SUM(F388:K388)</f>
        <v>0</v>
      </c>
      <c r="M388" s="199">
        <f>L388/6</f>
        <v>0</v>
      </c>
      <c r="N388" s="199">
        <f t="shared" ref="N388:S388" si="419">N386*N387/1000</f>
        <v>0</v>
      </c>
      <c r="O388" s="199">
        <f t="shared" si="419"/>
        <v>0</v>
      </c>
      <c r="P388" s="199">
        <f t="shared" si="419"/>
        <v>0</v>
      </c>
      <c r="Q388" s="199">
        <f t="shared" si="419"/>
        <v>0</v>
      </c>
      <c r="R388" s="199">
        <f t="shared" si="419"/>
        <v>0</v>
      </c>
      <c r="S388" s="199">
        <f t="shared" si="419"/>
        <v>0</v>
      </c>
      <c r="T388" s="199">
        <f>SUM(N388:S388)</f>
        <v>0</v>
      </c>
      <c r="U388" s="199">
        <f>T388+L388</f>
        <v>0</v>
      </c>
      <c r="V388" s="199">
        <f>V383</f>
        <v>0</v>
      </c>
      <c r="W388" s="221">
        <f>V388-U388</f>
        <v>0</v>
      </c>
    </row>
    <row r="389" spans="1:28" s="43" customFormat="1" hidden="1">
      <c r="A389" s="595"/>
      <c r="B389" s="576"/>
      <c r="C389" s="577"/>
      <c r="D389" s="201" t="str">
        <f>серпень!D312</f>
        <v>дотація</v>
      </c>
      <c r="E389" s="220"/>
      <c r="F389" s="199"/>
      <c r="G389" s="199"/>
      <c r="H389" s="199"/>
      <c r="I389" s="199"/>
      <c r="J389" s="199"/>
      <c r="K389" s="199"/>
      <c r="L389" s="199">
        <f>SUM(F389:K389)</f>
        <v>0</v>
      </c>
      <c r="M389" s="199">
        <f>L389/6</f>
        <v>0</v>
      </c>
      <c r="N389" s="199"/>
      <c r="O389" s="199"/>
      <c r="P389" s="199"/>
      <c r="Q389" s="199"/>
      <c r="R389" s="199"/>
      <c r="S389" s="199"/>
      <c r="T389" s="199">
        <f>SUM(N389:S389)</f>
        <v>0</v>
      </c>
      <c r="U389" s="199">
        <f>T389+L389</f>
        <v>0</v>
      </c>
      <c r="V389" s="199">
        <f>V384</f>
        <v>0</v>
      </c>
      <c r="W389" s="221">
        <f>V389-U389</f>
        <v>0</v>
      </c>
    </row>
    <row r="390" spans="1:28" s="43" customFormat="1" hidden="1">
      <c r="A390" s="595"/>
      <c r="B390" s="576"/>
      <c r="C390" s="577"/>
      <c r="D390" s="201" t="str">
        <f>серпень!D313</f>
        <v xml:space="preserve">місцевий </v>
      </c>
      <c r="E390" s="220"/>
      <c r="F390" s="199">
        <f t="shared" ref="F390:K390" si="420">F388-F389</f>
        <v>0</v>
      </c>
      <c r="G390" s="199">
        <f t="shared" si="420"/>
        <v>0</v>
      </c>
      <c r="H390" s="199">
        <f t="shared" si="420"/>
        <v>0</v>
      </c>
      <c r="I390" s="199">
        <f t="shared" si="420"/>
        <v>0</v>
      </c>
      <c r="J390" s="199">
        <f t="shared" si="420"/>
        <v>0</v>
      </c>
      <c r="K390" s="199">
        <f t="shared" si="420"/>
        <v>0</v>
      </c>
      <c r="L390" s="199">
        <f>SUM(F390:K390)</f>
        <v>0</v>
      </c>
      <c r="M390" s="199">
        <f>L390/6</f>
        <v>0</v>
      </c>
      <c r="N390" s="199">
        <f t="shared" ref="N390:S390" si="421">N388-N389</f>
        <v>0</v>
      </c>
      <c r="O390" s="199">
        <f t="shared" si="421"/>
        <v>0</v>
      </c>
      <c r="P390" s="199">
        <f t="shared" si="421"/>
        <v>0</v>
      </c>
      <c r="Q390" s="199">
        <f t="shared" si="421"/>
        <v>0</v>
      </c>
      <c r="R390" s="199">
        <f t="shared" si="421"/>
        <v>0</v>
      </c>
      <c r="S390" s="199">
        <f t="shared" si="421"/>
        <v>0</v>
      </c>
      <c r="T390" s="199">
        <f>SUM(N390:S390)</f>
        <v>0</v>
      </c>
      <c r="U390" s="199">
        <f>T390+L390</f>
        <v>0</v>
      </c>
      <c r="V390" s="199">
        <f>V385</f>
        <v>0</v>
      </c>
      <c r="W390" s="221">
        <f>V390-U390</f>
        <v>0</v>
      </c>
    </row>
    <row r="391" spans="1:28" s="43" customFormat="1" hidden="1">
      <c r="A391" s="595"/>
      <c r="B391" s="576"/>
      <c r="C391" s="577"/>
      <c r="D391" s="202" t="str">
        <f>серпень!D314</f>
        <v>план</v>
      </c>
      <c r="E391" s="203"/>
      <c r="F391" s="203">
        <f t="shared" ref="F391:K391" si="422">F385</f>
        <v>0</v>
      </c>
      <c r="G391" s="203">
        <f t="shared" si="422"/>
        <v>0</v>
      </c>
      <c r="H391" s="203">
        <f t="shared" si="422"/>
        <v>0</v>
      </c>
      <c r="I391" s="203">
        <f t="shared" si="422"/>
        <v>0</v>
      </c>
      <c r="J391" s="203">
        <f t="shared" si="422"/>
        <v>0</v>
      </c>
      <c r="K391" s="203">
        <f t="shared" si="422"/>
        <v>0</v>
      </c>
      <c r="L391" s="203">
        <f>SUM(F391:K391)</f>
        <v>0</v>
      </c>
      <c r="M391" s="203">
        <f>L391/6</f>
        <v>0</v>
      </c>
      <c r="N391" s="203">
        <f t="shared" ref="N391:S391" si="423">N385+N384</f>
        <v>0</v>
      </c>
      <c r="O391" s="203">
        <f t="shared" si="423"/>
        <v>0</v>
      </c>
      <c r="P391" s="203">
        <f t="shared" si="423"/>
        <v>0</v>
      </c>
      <c r="Q391" s="203">
        <f t="shared" si="423"/>
        <v>0</v>
      </c>
      <c r="R391" s="203">
        <f t="shared" si="423"/>
        <v>0</v>
      </c>
      <c r="S391" s="203">
        <f t="shared" si="423"/>
        <v>0</v>
      </c>
      <c r="T391" s="203">
        <f>SUM(N391:S391)</f>
        <v>0</v>
      </c>
      <c r="U391" s="203">
        <f>T391+L391</f>
        <v>0</v>
      </c>
      <c r="V391" s="203">
        <f>V388</f>
        <v>0</v>
      </c>
      <c r="W391" s="203">
        <f>V391-U391</f>
        <v>0</v>
      </c>
    </row>
    <row r="392" spans="1:28" s="43" customFormat="1" hidden="1">
      <c r="A392" s="595"/>
      <c r="B392" s="576"/>
      <c r="C392" s="577"/>
      <c r="D392" s="202" t="str">
        <f>серпень!D315</f>
        <v xml:space="preserve">відхилення </v>
      </c>
      <c r="E392" s="203"/>
      <c r="F392" s="203">
        <f t="shared" ref="F392:K392" si="424">F388-F391</f>
        <v>0</v>
      </c>
      <c r="G392" s="203">
        <f t="shared" si="424"/>
        <v>0</v>
      </c>
      <c r="H392" s="203">
        <f t="shared" si="424"/>
        <v>0</v>
      </c>
      <c r="I392" s="203">
        <f t="shared" si="424"/>
        <v>0</v>
      </c>
      <c r="J392" s="203">
        <f t="shared" si="424"/>
        <v>0</v>
      </c>
      <c r="K392" s="203">
        <f t="shared" si="424"/>
        <v>0</v>
      </c>
      <c r="L392" s="203"/>
      <c r="M392" s="203"/>
      <c r="N392" s="203">
        <f t="shared" ref="N392:S392" si="425">N388-N391</f>
        <v>0</v>
      </c>
      <c r="O392" s="203">
        <f t="shared" si="425"/>
        <v>0</v>
      </c>
      <c r="P392" s="203">
        <f t="shared" si="425"/>
        <v>0</v>
      </c>
      <c r="Q392" s="203">
        <f t="shared" si="425"/>
        <v>0</v>
      </c>
      <c r="R392" s="203">
        <f t="shared" si="425"/>
        <v>0</v>
      </c>
      <c r="S392" s="203">
        <f t="shared" si="425"/>
        <v>0</v>
      </c>
      <c r="T392" s="203"/>
      <c r="U392" s="203"/>
      <c r="V392" s="203"/>
      <c r="W392" s="203"/>
    </row>
    <row r="393" spans="1:28" s="43" customFormat="1" hidden="1">
      <c r="A393" s="595"/>
      <c r="B393" s="578"/>
      <c r="C393" s="579"/>
      <c r="D393" s="202" t="str">
        <f>серпень!D316</f>
        <v>відхилення з наростаючим</v>
      </c>
      <c r="E393" s="203"/>
      <c r="F393" s="203">
        <f>F392</f>
        <v>0</v>
      </c>
      <c r="G393" s="203">
        <f>G392+F393</f>
        <v>0</v>
      </c>
      <c r="H393" s="203">
        <f>H392+G393</f>
        <v>0</v>
      </c>
      <c r="I393" s="203">
        <f>I392+H393</f>
        <v>0</v>
      </c>
      <c r="J393" s="203">
        <f>J392+I393</f>
        <v>0</v>
      </c>
      <c r="K393" s="203">
        <f>K392+J393</f>
        <v>0</v>
      </c>
      <c r="L393" s="203"/>
      <c r="M393" s="203"/>
      <c r="N393" s="203">
        <f>N392+K393</f>
        <v>0</v>
      </c>
      <c r="O393" s="203">
        <f>O392+N393</f>
        <v>0</v>
      </c>
      <c r="P393" s="203">
        <f>P392+O393</f>
        <v>0</v>
      </c>
      <c r="Q393" s="203">
        <f>Q392+P393</f>
        <v>0</v>
      </c>
      <c r="R393" s="203">
        <f>R392+Q393</f>
        <v>0</v>
      </c>
      <c r="S393" s="203">
        <f>S392+R393</f>
        <v>0</v>
      </c>
      <c r="T393" s="203"/>
      <c r="U393" s="203"/>
      <c r="V393" s="203"/>
      <c r="W393" s="203"/>
    </row>
    <row r="394" spans="1:28" s="10" customFormat="1" hidden="1">
      <c r="A394" s="595"/>
      <c r="B394" s="580" t="s">
        <v>38</v>
      </c>
      <c r="C394" s="575"/>
      <c r="D394" s="178" t="str">
        <f>серпень!D317</f>
        <v>факт. нат.п-ки 2023</v>
      </c>
      <c r="E394" s="85"/>
      <c r="F394" s="12"/>
      <c r="G394" s="12"/>
      <c r="H394" s="12"/>
      <c r="I394" s="12"/>
      <c r="J394" s="12"/>
      <c r="K394" s="12"/>
      <c r="L394" s="140">
        <f>SUM(F394:K394)</f>
        <v>0</v>
      </c>
      <c r="M394" s="140">
        <f>L394/6</f>
        <v>0</v>
      </c>
      <c r="N394" s="12"/>
      <c r="O394" s="12"/>
      <c r="P394" s="12"/>
      <c r="Q394" s="12"/>
      <c r="R394" s="12"/>
      <c r="S394" s="12"/>
      <c r="T394" s="140">
        <f>SUM(N394:S394)</f>
        <v>0</v>
      </c>
      <c r="U394" s="141">
        <f>T394+L394</f>
        <v>0</v>
      </c>
      <c r="V394" s="104"/>
      <c r="W394" s="88">
        <f>V394-U394</f>
        <v>0</v>
      </c>
      <c r="X394" s="36"/>
      <c r="Y394" s="3"/>
      <c r="Z394" s="3"/>
      <c r="AA394" s="3"/>
      <c r="AB394" s="3"/>
    </row>
    <row r="395" spans="1:28" s="48" customFormat="1" hidden="1">
      <c r="A395" s="595"/>
      <c r="B395" s="576"/>
      <c r="C395" s="577"/>
      <c r="D395" s="178" t="str">
        <f>серпень!D318</f>
        <v>факт. нат.п-ки 2024</v>
      </c>
      <c r="E395" s="85"/>
      <c r="F395" s="12"/>
      <c r="G395" s="12"/>
      <c r="H395" s="12"/>
      <c r="I395" s="12"/>
      <c r="J395" s="12"/>
      <c r="K395" s="12"/>
      <c r="L395" s="140">
        <f>SUM(F395:K395)</f>
        <v>0</v>
      </c>
      <c r="M395" s="140">
        <f>L395/6</f>
        <v>0</v>
      </c>
      <c r="N395" s="85"/>
      <c r="O395" s="85"/>
      <c r="P395" s="85"/>
      <c r="Q395" s="85"/>
      <c r="R395" s="85"/>
      <c r="S395" s="85"/>
      <c r="T395" s="140">
        <f>SUM(N395:S395)</f>
        <v>0</v>
      </c>
      <c r="U395" s="141">
        <f>T395+L395</f>
        <v>0</v>
      </c>
      <c r="V395" s="104"/>
      <c r="W395" s="88">
        <f>V395-U395</f>
        <v>0</v>
      </c>
      <c r="X395" s="47"/>
    </row>
    <row r="396" spans="1:28" s="10" customFormat="1" hidden="1">
      <c r="A396" s="595"/>
      <c r="B396" s="576"/>
      <c r="C396" s="577"/>
      <c r="D396" s="178" t="str">
        <f>серпень!D319</f>
        <v>факт. нат.п-ки 2025</v>
      </c>
      <c r="E396" s="85"/>
      <c r="F396" s="12"/>
      <c r="G396" s="12"/>
      <c r="H396" s="12"/>
      <c r="I396" s="12"/>
      <c r="J396" s="12"/>
      <c r="K396" s="12"/>
      <c r="L396" s="140">
        <f>SUM(F396:K396)</f>
        <v>0</v>
      </c>
      <c r="M396" s="140">
        <f>L396/6</f>
        <v>0</v>
      </c>
      <c r="N396" s="12"/>
      <c r="O396" s="12"/>
      <c r="P396" s="12"/>
      <c r="Q396" s="12"/>
      <c r="R396" s="12"/>
      <c r="S396" s="85"/>
      <c r="T396" s="140">
        <f>SUM(N396:S396)</f>
        <v>0</v>
      </c>
      <c r="U396" s="141">
        <f>T396+L396</f>
        <v>0</v>
      </c>
      <c r="V396" s="85"/>
      <c r="W396" s="88">
        <f>V396-U396</f>
        <v>0</v>
      </c>
      <c r="X396" s="36"/>
      <c r="Y396" s="3"/>
      <c r="Z396" s="3"/>
      <c r="AA396" s="3"/>
      <c r="AB396" s="3"/>
    </row>
    <row r="397" spans="1:28" s="114" customFormat="1" hidden="1">
      <c r="A397" s="595"/>
      <c r="B397" s="576"/>
      <c r="C397" s="577"/>
      <c r="D397" s="187" t="str">
        <f>серпень!D320</f>
        <v>тариф, грн.</v>
      </c>
      <c r="E397" s="92"/>
      <c r="F397" s="92">
        <v>10.56</v>
      </c>
      <c r="G397" s="92">
        <v>10.56</v>
      </c>
      <c r="H397" s="92">
        <v>10.56</v>
      </c>
      <c r="I397" s="92">
        <v>10.56</v>
      </c>
      <c r="J397" s="92">
        <v>10.56</v>
      </c>
      <c r="K397" s="92">
        <v>10.56</v>
      </c>
      <c r="L397" s="92" t="e">
        <f>L398/L396*1000</f>
        <v>#DIV/0!</v>
      </c>
      <c r="M397" s="92" t="e">
        <f>M398/M396*1000</f>
        <v>#DIV/0!</v>
      </c>
      <c r="N397" s="92">
        <v>10.56</v>
      </c>
      <c r="O397" s="92">
        <v>10.56</v>
      </c>
      <c r="P397" s="92">
        <v>10.56</v>
      </c>
      <c r="Q397" s="92">
        <v>10.56</v>
      </c>
      <c r="R397" s="92">
        <v>10.56</v>
      </c>
      <c r="S397" s="92">
        <v>10.56</v>
      </c>
      <c r="T397" s="92" t="e">
        <f>T398/T396*1000</f>
        <v>#DIV/0!</v>
      </c>
      <c r="U397" s="92" t="e">
        <f>U398/U396*1000</f>
        <v>#DIV/0!</v>
      </c>
      <c r="V397" s="105" t="e">
        <f>V398/V396*1000</f>
        <v>#DIV/0!</v>
      </c>
      <c r="W397" s="86" t="e">
        <f>W398/W396*1000</f>
        <v>#DIV/0!</v>
      </c>
      <c r="X397" s="47"/>
      <c r="Y397" s="3"/>
      <c r="Z397" s="3"/>
      <c r="AA397" s="3"/>
      <c r="AB397" s="3"/>
    </row>
    <row r="398" spans="1:28" s="114" customFormat="1" hidden="1">
      <c r="A398" s="595"/>
      <c r="B398" s="576"/>
      <c r="C398" s="577"/>
      <c r="D398" s="191" t="str">
        <f>серпень!D321</f>
        <v>сума, тис.грн.</v>
      </c>
      <c r="E398" s="93"/>
      <c r="F398" s="93">
        <f t="shared" ref="F398:K398" si="426">F396*F397/1000</f>
        <v>0</v>
      </c>
      <c r="G398" s="93">
        <f t="shared" si="426"/>
        <v>0</v>
      </c>
      <c r="H398" s="93">
        <f t="shared" si="426"/>
        <v>0</v>
      </c>
      <c r="I398" s="93">
        <f t="shared" si="426"/>
        <v>0</v>
      </c>
      <c r="J398" s="93">
        <f t="shared" si="426"/>
        <v>0</v>
      </c>
      <c r="K398" s="93">
        <f t="shared" si="426"/>
        <v>0</v>
      </c>
      <c r="L398" s="106">
        <f>SUM(F398:K398)</f>
        <v>0</v>
      </c>
      <c r="M398" s="106">
        <f>L398/6</f>
        <v>0</v>
      </c>
      <c r="N398" s="93">
        <f t="shared" ref="N398:S398" si="427">N396*N397/1000</f>
        <v>0</v>
      </c>
      <c r="O398" s="93">
        <f t="shared" si="427"/>
        <v>0</v>
      </c>
      <c r="P398" s="93">
        <f t="shared" si="427"/>
        <v>0</v>
      </c>
      <c r="Q398" s="93">
        <f t="shared" si="427"/>
        <v>0</v>
      </c>
      <c r="R398" s="93">
        <f t="shared" si="427"/>
        <v>0</v>
      </c>
      <c r="S398" s="93">
        <f t="shared" si="427"/>
        <v>0</v>
      </c>
      <c r="T398" s="106">
        <f>SUM(N398:S398)</f>
        <v>0</v>
      </c>
      <c r="U398" s="106">
        <f>T398+L398</f>
        <v>0</v>
      </c>
      <c r="V398" s="107">
        <f>V399+V400</f>
        <v>0</v>
      </c>
      <c r="W398" s="94">
        <f>V398-U398</f>
        <v>0</v>
      </c>
      <c r="X398" s="113"/>
    </row>
    <row r="399" spans="1:28" s="114" customFormat="1" hidden="1">
      <c r="A399" s="595"/>
      <c r="B399" s="576"/>
      <c r="C399" s="577"/>
      <c r="D399" s="174" t="str">
        <f>серпень!D322</f>
        <v>дотація</v>
      </c>
      <c r="E399" s="95"/>
      <c r="F399" s="93"/>
      <c r="G399" s="93"/>
      <c r="H399" s="93"/>
      <c r="I399" s="93"/>
      <c r="J399" s="93"/>
      <c r="K399" s="93"/>
      <c r="L399" s="106">
        <f>SUM(F399:K399)</f>
        <v>0</v>
      </c>
      <c r="M399" s="106">
        <f>L399/6</f>
        <v>0</v>
      </c>
      <c r="N399" s="93"/>
      <c r="O399" s="93"/>
      <c r="P399" s="93"/>
      <c r="Q399" s="93"/>
      <c r="R399" s="93"/>
      <c r="S399" s="93"/>
      <c r="T399" s="106">
        <f>SUM(N399:S399)</f>
        <v>0</v>
      </c>
      <c r="U399" s="106">
        <f>T399+L399</f>
        <v>0</v>
      </c>
      <c r="V399" s="107">
        <v>0</v>
      </c>
      <c r="W399" s="94">
        <f>V399-U399</f>
        <v>0</v>
      </c>
      <c r="X399" s="113"/>
    </row>
    <row r="400" spans="1:28" s="114" customFormat="1" hidden="1">
      <c r="A400" s="595"/>
      <c r="B400" s="576"/>
      <c r="C400" s="577"/>
      <c r="D400" s="174" t="str">
        <f>серпень!D323</f>
        <v>місцевий (план), тис.грн</v>
      </c>
      <c r="E400" s="95"/>
      <c r="F400" s="93"/>
      <c r="G400" s="93"/>
      <c r="H400" s="93"/>
      <c r="I400" s="93"/>
      <c r="J400" s="93"/>
      <c r="K400" s="93"/>
      <c r="L400" s="106">
        <f>SUM(F400:K400)</f>
        <v>0</v>
      </c>
      <c r="M400" s="106">
        <f>L400/6</f>
        <v>0</v>
      </c>
      <c r="N400" s="93"/>
      <c r="O400" s="93"/>
      <c r="P400" s="93"/>
      <c r="Q400" s="93"/>
      <c r="R400" s="93"/>
      <c r="S400" s="93"/>
      <c r="T400" s="106">
        <f>SUM(N400:S400)</f>
        <v>0</v>
      </c>
      <c r="U400" s="106">
        <f>T400+L400</f>
        <v>0</v>
      </c>
      <c r="V400" s="107"/>
      <c r="W400" s="94">
        <f>V400-U400</f>
        <v>0</v>
      </c>
      <c r="X400" s="113"/>
    </row>
    <row r="401" spans="1:28" s="3" customFormat="1" hidden="1">
      <c r="A401" s="595"/>
      <c r="B401" s="576"/>
      <c r="C401" s="577"/>
      <c r="D401" s="178" t="str">
        <f>серпень!D324</f>
        <v>касові нат.п-ки 2025</v>
      </c>
      <c r="E401" s="85"/>
      <c r="F401" s="85"/>
      <c r="G401" s="85"/>
      <c r="H401" s="85"/>
      <c r="I401" s="85"/>
      <c r="J401" s="85"/>
      <c r="K401" s="85"/>
      <c r="L401" s="140">
        <f>SUM(F401:K401)</f>
        <v>0</v>
      </c>
      <c r="M401" s="140">
        <f>L401/6</f>
        <v>0</v>
      </c>
      <c r="N401" s="85"/>
      <c r="O401" s="85"/>
      <c r="P401" s="85"/>
      <c r="Q401" s="85"/>
      <c r="R401" s="85"/>
      <c r="S401" s="85"/>
      <c r="T401" s="140">
        <f>SUM(N401:S401)</f>
        <v>0</v>
      </c>
      <c r="U401" s="140">
        <f>T401+L401</f>
        <v>0</v>
      </c>
      <c r="V401" s="85">
        <f>V396</f>
        <v>0</v>
      </c>
      <c r="W401" s="88">
        <f>V401-U401</f>
        <v>0</v>
      </c>
      <c r="X401" s="47">
        <f>U396-U401</f>
        <v>0</v>
      </c>
    </row>
    <row r="402" spans="1:28" s="73" customFormat="1" hidden="1">
      <c r="A402" s="595"/>
      <c r="B402" s="576"/>
      <c r="C402" s="577"/>
      <c r="D402" s="187" t="str">
        <f>серпень!D325</f>
        <v>тариф, грн.</v>
      </c>
      <c r="E402" s="92" t="e">
        <f>E403/E401*1000</f>
        <v>#DIV/0!</v>
      </c>
      <c r="F402" s="92">
        <v>10.56</v>
      </c>
      <c r="G402" s="92">
        <v>10.56</v>
      </c>
      <c r="H402" s="92">
        <v>10.56</v>
      </c>
      <c r="I402" s="92">
        <v>10.56</v>
      </c>
      <c r="J402" s="92">
        <v>10.56</v>
      </c>
      <c r="K402" s="92">
        <v>10.56</v>
      </c>
      <c r="L402" s="92" t="e">
        <f>L403/L401*1000</f>
        <v>#DIV/0!</v>
      </c>
      <c r="M402" s="92" t="e">
        <f>M403/M401*1000</f>
        <v>#DIV/0!</v>
      </c>
      <c r="N402" s="92">
        <v>10.56</v>
      </c>
      <c r="O402" s="92">
        <v>10.56</v>
      </c>
      <c r="P402" s="92">
        <v>10.56</v>
      </c>
      <c r="Q402" s="92">
        <v>10.56</v>
      </c>
      <c r="R402" s="92">
        <v>10.56</v>
      </c>
      <c r="S402" s="92">
        <v>10.56</v>
      </c>
      <c r="T402" s="92" t="e">
        <f>T403/T401*1000</f>
        <v>#DIV/0!</v>
      </c>
      <c r="U402" s="92" t="e">
        <f>U403/U401*1000</f>
        <v>#DIV/0!</v>
      </c>
      <c r="V402" s="105" t="e">
        <f>V403/V401*1000</f>
        <v>#DIV/0!</v>
      </c>
      <c r="W402" s="86" t="e">
        <f>W403/W401*1000</f>
        <v>#DIV/0!</v>
      </c>
      <c r="X402" s="59"/>
      <c r="Y402" s="36"/>
      <c r="Z402" s="36"/>
      <c r="AA402" s="36"/>
      <c r="AB402" s="36"/>
    </row>
    <row r="403" spans="1:28" s="126" customFormat="1" hidden="1">
      <c r="A403" s="595"/>
      <c r="B403" s="576"/>
      <c r="C403" s="577"/>
      <c r="D403" s="198" t="str">
        <f>серпень!D326</f>
        <v>касові видатки, тис.грн.</v>
      </c>
      <c r="E403" s="108"/>
      <c r="F403" s="98">
        <f t="shared" ref="F403:K403" si="428">F401*F402/1000</f>
        <v>0</v>
      </c>
      <c r="G403" s="98">
        <f t="shared" si="428"/>
        <v>0</v>
      </c>
      <c r="H403" s="98">
        <f t="shared" si="428"/>
        <v>0</v>
      </c>
      <c r="I403" s="98">
        <f t="shared" si="428"/>
        <v>0</v>
      </c>
      <c r="J403" s="98">
        <f t="shared" si="428"/>
        <v>0</v>
      </c>
      <c r="K403" s="98">
        <f t="shared" si="428"/>
        <v>0</v>
      </c>
      <c r="L403" s="98">
        <f>SUM(F403:K403)</f>
        <v>0</v>
      </c>
      <c r="M403" s="98">
        <f>L403/6</f>
        <v>0</v>
      </c>
      <c r="N403" s="98">
        <f t="shared" ref="N403:S403" si="429">N401*N402/1000</f>
        <v>0</v>
      </c>
      <c r="O403" s="98">
        <f t="shared" si="429"/>
        <v>0</v>
      </c>
      <c r="P403" s="98">
        <f t="shared" si="429"/>
        <v>0</v>
      </c>
      <c r="Q403" s="98">
        <f t="shared" si="429"/>
        <v>0</v>
      </c>
      <c r="R403" s="98">
        <f t="shared" si="429"/>
        <v>0</v>
      </c>
      <c r="S403" s="98">
        <f t="shared" si="429"/>
        <v>0</v>
      </c>
      <c r="T403" s="98">
        <f>SUM(N403:S403)</f>
        <v>0</v>
      </c>
      <c r="U403" s="98">
        <f>T403+L403</f>
        <v>0</v>
      </c>
      <c r="V403" s="98">
        <f>V398</f>
        <v>0</v>
      </c>
      <c r="W403" s="109">
        <f>V403-U403</f>
        <v>0</v>
      </c>
      <c r="X403" s="63">
        <f>U398-U403</f>
        <v>0</v>
      </c>
    </row>
    <row r="404" spans="1:28" s="126" customFormat="1" hidden="1">
      <c r="A404" s="595"/>
      <c r="B404" s="576"/>
      <c r="C404" s="577"/>
      <c r="D404" s="201" t="str">
        <f>серпень!D327</f>
        <v>дотація</v>
      </c>
      <c r="E404" s="108"/>
      <c r="F404" s="98"/>
      <c r="G404" s="98"/>
      <c r="H404" s="98"/>
      <c r="I404" s="98"/>
      <c r="J404" s="98"/>
      <c r="K404" s="98"/>
      <c r="L404" s="98">
        <f>SUM(F404:K404)</f>
        <v>0</v>
      </c>
      <c r="M404" s="98">
        <f>L404/6</f>
        <v>0</v>
      </c>
      <c r="N404" s="98"/>
      <c r="O404" s="98"/>
      <c r="P404" s="98"/>
      <c r="Q404" s="98"/>
      <c r="R404" s="98"/>
      <c r="S404" s="98"/>
      <c r="T404" s="98">
        <f>SUM(N404:S404)</f>
        <v>0</v>
      </c>
      <c r="U404" s="98">
        <f>T404+L404</f>
        <v>0</v>
      </c>
      <c r="V404" s="98">
        <f>V399</f>
        <v>0</v>
      </c>
      <c r="W404" s="109">
        <f>V404-U404</f>
        <v>0</v>
      </c>
      <c r="X404" s="63">
        <f>U399-U404</f>
        <v>0</v>
      </c>
    </row>
    <row r="405" spans="1:28" s="126" customFormat="1" hidden="1">
      <c r="A405" s="595"/>
      <c r="B405" s="576"/>
      <c r="C405" s="577"/>
      <c r="D405" s="201" t="str">
        <f>серпень!D328</f>
        <v xml:space="preserve">місцевий </v>
      </c>
      <c r="E405" s="108"/>
      <c r="F405" s="98">
        <f t="shared" ref="F405:K405" si="430">F403-F404</f>
        <v>0</v>
      </c>
      <c r="G405" s="98">
        <f t="shared" si="430"/>
        <v>0</v>
      </c>
      <c r="H405" s="98">
        <f t="shared" si="430"/>
        <v>0</v>
      </c>
      <c r="I405" s="98">
        <f t="shared" si="430"/>
        <v>0</v>
      </c>
      <c r="J405" s="98">
        <f t="shared" si="430"/>
        <v>0</v>
      </c>
      <c r="K405" s="98">
        <f t="shared" si="430"/>
        <v>0</v>
      </c>
      <c r="L405" s="98">
        <f>SUM(F405:K405)</f>
        <v>0</v>
      </c>
      <c r="M405" s="98">
        <f>L405/6</f>
        <v>0</v>
      </c>
      <c r="N405" s="98">
        <f t="shared" ref="N405:S405" si="431">N403-N404</f>
        <v>0</v>
      </c>
      <c r="O405" s="98">
        <f t="shared" si="431"/>
        <v>0</v>
      </c>
      <c r="P405" s="98">
        <f t="shared" si="431"/>
        <v>0</v>
      </c>
      <c r="Q405" s="98">
        <f t="shared" si="431"/>
        <v>0</v>
      </c>
      <c r="R405" s="98">
        <f t="shared" si="431"/>
        <v>0</v>
      </c>
      <c r="S405" s="98">
        <f t="shared" si="431"/>
        <v>0</v>
      </c>
      <c r="T405" s="98">
        <f>SUM(N405:S405)</f>
        <v>0</v>
      </c>
      <c r="U405" s="98">
        <f>T405+L405</f>
        <v>0</v>
      </c>
      <c r="V405" s="98">
        <f>V400</f>
        <v>0</v>
      </c>
      <c r="W405" s="109">
        <f>V405-U405</f>
        <v>0</v>
      </c>
      <c r="X405" s="63">
        <f>U400-U405</f>
        <v>0</v>
      </c>
    </row>
    <row r="406" spans="1:28" s="43" customFormat="1" hidden="1">
      <c r="A406" s="595"/>
      <c r="B406" s="576"/>
      <c r="C406" s="577"/>
      <c r="D406" s="202" t="str">
        <f>серпень!D329</f>
        <v>план</v>
      </c>
      <c r="E406" s="100"/>
      <c r="F406" s="100">
        <f t="shared" ref="F406:K406" si="432">F400</f>
        <v>0</v>
      </c>
      <c r="G406" s="100">
        <f t="shared" si="432"/>
        <v>0</v>
      </c>
      <c r="H406" s="100">
        <f t="shared" si="432"/>
        <v>0</v>
      </c>
      <c r="I406" s="100">
        <f t="shared" si="432"/>
        <v>0</v>
      </c>
      <c r="J406" s="100">
        <f t="shared" si="432"/>
        <v>0</v>
      </c>
      <c r="K406" s="100">
        <f t="shared" si="432"/>
        <v>0</v>
      </c>
      <c r="L406" s="100">
        <f>SUM(F406:K406)</f>
        <v>0</v>
      </c>
      <c r="M406" s="100">
        <f>L406/6</f>
        <v>0</v>
      </c>
      <c r="N406" s="100">
        <f t="shared" ref="N406:S406" si="433">N400+N399</f>
        <v>0</v>
      </c>
      <c r="O406" s="100">
        <f t="shared" si="433"/>
        <v>0</v>
      </c>
      <c r="P406" s="100">
        <f t="shared" si="433"/>
        <v>0</v>
      </c>
      <c r="Q406" s="100">
        <f t="shared" si="433"/>
        <v>0</v>
      </c>
      <c r="R406" s="100">
        <f t="shared" si="433"/>
        <v>0</v>
      </c>
      <c r="S406" s="100">
        <f t="shared" si="433"/>
        <v>0</v>
      </c>
      <c r="T406" s="100">
        <f>SUM(N406:S406)</f>
        <v>0</v>
      </c>
      <c r="U406" s="100">
        <f>T406+L406</f>
        <v>0</v>
      </c>
      <c r="V406" s="100">
        <f>V403</f>
        <v>0</v>
      </c>
      <c r="W406" s="100">
        <f>V406-U406</f>
        <v>0</v>
      </c>
    </row>
    <row r="407" spans="1:28" s="43" customFormat="1" hidden="1">
      <c r="A407" s="595"/>
      <c r="B407" s="576"/>
      <c r="C407" s="577"/>
      <c r="D407" s="202" t="str">
        <f>серпень!D330</f>
        <v xml:space="preserve">відхилення </v>
      </c>
      <c r="E407" s="100"/>
      <c r="F407" s="100">
        <f t="shared" ref="F407:K407" si="434">F403-F406</f>
        <v>0</v>
      </c>
      <c r="G407" s="100">
        <f t="shared" si="434"/>
        <v>0</v>
      </c>
      <c r="H407" s="100">
        <f t="shared" si="434"/>
        <v>0</v>
      </c>
      <c r="I407" s="100">
        <f t="shared" si="434"/>
        <v>0</v>
      </c>
      <c r="J407" s="100">
        <f t="shared" si="434"/>
        <v>0</v>
      </c>
      <c r="K407" s="100">
        <f t="shared" si="434"/>
        <v>0</v>
      </c>
      <c r="L407" s="100"/>
      <c r="M407" s="100"/>
      <c r="N407" s="100">
        <f t="shared" ref="N407:S407" si="435">N403-N406</f>
        <v>0</v>
      </c>
      <c r="O407" s="100">
        <f t="shared" si="435"/>
        <v>0</v>
      </c>
      <c r="P407" s="100">
        <f t="shared" si="435"/>
        <v>0</v>
      </c>
      <c r="Q407" s="100">
        <f t="shared" si="435"/>
        <v>0</v>
      </c>
      <c r="R407" s="100">
        <f t="shared" si="435"/>
        <v>0</v>
      </c>
      <c r="S407" s="100">
        <f t="shared" si="435"/>
        <v>0</v>
      </c>
      <c r="T407" s="100"/>
      <c r="U407" s="100"/>
      <c r="V407" s="100"/>
      <c r="W407" s="100"/>
    </row>
    <row r="408" spans="1:28" s="43" customFormat="1" hidden="1">
      <c r="A408" s="596"/>
      <c r="B408" s="578"/>
      <c r="C408" s="579"/>
      <c r="D408" s="202" t="str">
        <f>серпень!D331</f>
        <v>відхилення з наростаючим</v>
      </c>
      <c r="E408" s="100"/>
      <c r="F408" s="100">
        <f>F407</f>
        <v>0</v>
      </c>
      <c r="G408" s="100">
        <f>G407+F408</f>
        <v>0</v>
      </c>
      <c r="H408" s="100">
        <f>H407+G408</f>
        <v>0</v>
      </c>
      <c r="I408" s="100">
        <f>I407+H408</f>
        <v>0</v>
      </c>
      <c r="J408" s="100">
        <f>J407+I408</f>
        <v>0</v>
      </c>
      <c r="K408" s="100">
        <f>K407+J408</f>
        <v>0</v>
      </c>
      <c r="L408" s="100"/>
      <c r="M408" s="100"/>
      <c r="N408" s="100">
        <f>N407+K408</f>
        <v>0</v>
      </c>
      <c r="O408" s="100">
        <f>O407+N408</f>
        <v>0</v>
      </c>
      <c r="P408" s="100">
        <f>P407+O408</f>
        <v>0</v>
      </c>
      <c r="Q408" s="100">
        <f>Q407+P408</f>
        <v>0</v>
      </c>
      <c r="R408" s="100">
        <f>R407+Q408</f>
        <v>0</v>
      </c>
      <c r="S408" s="100">
        <f>S407+R408</f>
        <v>0</v>
      </c>
      <c r="T408" s="100"/>
      <c r="U408" s="100"/>
      <c r="V408" s="100"/>
      <c r="W408" s="100"/>
    </row>
    <row r="409" spans="1:28" s="157" customFormat="1" ht="18.350000000000001" customHeight="1">
      <c r="A409" s="582" t="s">
        <v>39</v>
      </c>
      <c r="B409" s="655" t="s">
        <v>40</v>
      </c>
      <c r="C409" s="656"/>
      <c r="D409" s="178" t="str">
        <f>серпень!D332</f>
        <v>факт. нат.п-ки 2023</v>
      </c>
      <c r="E409" s="179"/>
      <c r="F409" s="180">
        <f t="shared" ref="F409:K411" si="436">F426+F441+F456</f>
        <v>0</v>
      </c>
      <c r="G409" s="180">
        <f t="shared" si="436"/>
        <v>0</v>
      </c>
      <c r="H409" s="180">
        <f t="shared" si="436"/>
        <v>0</v>
      </c>
      <c r="I409" s="180">
        <f t="shared" si="436"/>
        <v>0</v>
      </c>
      <c r="J409" s="180">
        <f t="shared" si="436"/>
        <v>0</v>
      </c>
      <c r="K409" s="180">
        <f t="shared" si="436"/>
        <v>0</v>
      </c>
      <c r="L409" s="215">
        <f>SUM(F409:K409)</f>
        <v>0</v>
      </c>
      <c r="M409" s="215">
        <f>L409/6</f>
        <v>0</v>
      </c>
      <c r="N409" s="180">
        <f t="shared" ref="N409:S411" si="437">N426+N441+N456</f>
        <v>0</v>
      </c>
      <c r="O409" s="180">
        <f t="shared" si="437"/>
        <v>0</v>
      </c>
      <c r="P409" s="180">
        <f t="shared" si="437"/>
        <v>0</v>
      </c>
      <c r="Q409" s="180">
        <f t="shared" si="437"/>
        <v>0</v>
      </c>
      <c r="R409" s="180">
        <f t="shared" si="437"/>
        <v>0</v>
      </c>
      <c r="S409" s="180">
        <f t="shared" si="437"/>
        <v>0</v>
      </c>
      <c r="T409" s="215">
        <f>SUM(N409:S409)</f>
        <v>0</v>
      </c>
      <c r="U409" s="215">
        <f>T409+L409</f>
        <v>0</v>
      </c>
      <c r="V409" s="233">
        <f>V426+V456</f>
        <v>0</v>
      </c>
      <c r="W409" s="184"/>
      <c r="X409" s="209"/>
    </row>
    <row r="410" spans="1:28" s="157" customFormat="1" ht="18.350000000000001" customHeight="1">
      <c r="A410" s="583"/>
      <c r="B410" s="657"/>
      <c r="C410" s="658"/>
      <c r="D410" s="178" t="str">
        <f>серпень!D333</f>
        <v>факт. нат.п-ки 2024</v>
      </c>
      <c r="E410" s="179"/>
      <c r="F410" s="180">
        <f t="shared" si="436"/>
        <v>0</v>
      </c>
      <c r="G410" s="180">
        <f t="shared" si="436"/>
        <v>0</v>
      </c>
      <c r="H410" s="180">
        <f t="shared" si="436"/>
        <v>0</v>
      </c>
      <c r="I410" s="180">
        <f t="shared" si="436"/>
        <v>0</v>
      </c>
      <c r="J410" s="180">
        <f t="shared" si="436"/>
        <v>0</v>
      </c>
      <c r="K410" s="180">
        <f t="shared" si="436"/>
        <v>0</v>
      </c>
      <c r="L410" s="215">
        <f>SUM(F410:K410)</f>
        <v>0</v>
      </c>
      <c r="M410" s="215">
        <f>L410/6</f>
        <v>0</v>
      </c>
      <c r="N410" s="180">
        <f t="shared" si="437"/>
        <v>0</v>
      </c>
      <c r="O410" s="180">
        <f t="shared" si="437"/>
        <v>0</v>
      </c>
      <c r="P410" s="180">
        <f t="shared" si="437"/>
        <v>0</v>
      </c>
      <c r="Q410" s="180">
        <f t="shared" si="437"/>
        <v>0</v>
      </c>
      <c r="R410" s="180">
        <f t="shared" si="437"/>
        <v>0</v>
      </c>
      <c r="S410" s="180">
        <f t="shared" si="437"/>
        <v>0</v>
      </c>
      <c r="T410" s="215">
        <f>SUM(N410:S410)</f>
        <v>0</v>
      </c>
      <c r="U410" s="215">
        <f>T410+L410</f>
        <v>0</v>
      </c>
      <c r="V410" s="233">
        <f>V427+V457</f>
        <v>0</v>
      </c>
      <c r="W410" s="184"/>
      <c r="X410" s="209"/>
    </row>
    <row r="411" spans="1:28" s="157" customFormat="1" ht="18.350000000000001" customHeight="1">
      <c r="A411" s="583"/>
      <c r="B411" s="657"/>
      <c r="C411" s="658"/>
      <c r="D411" s="178" t="str">
        <f>серпень!D334</f>
        <v>факт. нат.п-ки 2025</v>
      </c>
      <c r="E411" s="179"/>
      <c r="F411" s="180">
        <f>F428+F443+F458</f>
        <v>126</v>
      </c>
      <c r="G411" s="180">
        <f t="shared" si="436"/>
        <v>116</v>
      </c>
      <c r="H411" s="180">
        <f t="shared" si="436"/>
        <v>0</v>
      </c>
      <c r="I411" s="180">
        <f t="shared" si="436"/>
        <v>98</v>
      </c>
      <c r="J411" s="180">
        <f t="shared" si="436"/>
        <v>168</v>
      </c>
      <c r="K411" s="180">
        <f t="shared" si="436"/>
        <v>110</v>
      </c>
      <c r="L411" s="234">
        <f>SUM(F411:K411)</f>
        <v>618</v>
      </c>
      <c r="M411" s="215">
        <f>L411/6</f>
        <v>103</v>
      </c>
      <c r="N411" s="180">
        <f t="shared" si="437"/>
        <v>28</v>
      </c>
      <c r="O411" s="180">
        <f t="shared" si="437"/>
        <v>52</v>
      </c>
      <c r="P411" s="180">
        <f t="shared" si="437"/>
        <v>0</v>
      </c>
      <c r="Q411" s="180">
        <f t="shared" si="437"/>
        <v>0</v>
      </c>
      <c r="R411" s="180">
        <f t="shared" si="437"/>
        <v>0</v>
      </c>
      <c r="S411" s="180">
        <f t="shared" si="437"/>
        <v>0</v>
      </c>
      <c r="T411" s="215">
        <f>SUM(N411:S411)</f>
        <v>80</v>
      </c>
      <c r="U411" s="215">
        <f>T411+L411</f>
        <v>698</v>
      </c>
      <c r="V411" s="233">
        <f>V428+V443+V458</f>
        <v>126</v>
      </c>
      <c r="W411" s="184">
        <f>V411-U411</f>
        <v>-572</v>
      </c>
      <c r="X411" s="209"/>
    </row>
    <row r="412" spans="1:28" s="241" customFormat="1" ht="18.350000000000001" customHeight="1">
      <c r="A412" s="583"/>
      <c r="B412" s="657"/>
      <c r="C412" s="658"/>
      <c r="D412" s="187" t="str">
        <f>серпень!D335</f>
        <v>тариф, грн.</v>
      </c>
      <c r="E412" s="188"/>
      <c r="F412" s="188">
        <f t="shared" ref="F412:S412" si="438">F413/F411*1000</f>
        <v>14.183</v>
      </c>
      <c r="G412" s="188">
        <f t="shared" si="438"/>
        <v>14.180999999999999</v>
      </c>
      <c r="H412" s="188" t="e">
        <f t="shared" si="438"/>
        <v>#DIV/0!</v>
      </c>
      <c r="I412" s="188">
        <f t="shared" si="438"/>
        <v>14.183999999999999</v>
      </c>
      <c r="J412" s="188">
        <f t="shared" si="438"/>
        <v>14.185</v>
      </c>
      <c r="K412" s="188">
        <f t="shared" si="438"/>
        <v>14.182</v>
      </c>
      <c r="L412" s="188">
        <f t="shared" si="438"/>
        <v>14.183</v>
      </c>
      <c r="M412" s="188">
        <f t="shared" si="438"/>
        <v>14.183999999999999</v>
      </c>
      <c r="N412" s="188">
        <f t="shared" si="438"/>
        <v>14.179</v>
      </c>
      <c r="O412" s="188">
        <f t="shared" si="438"/>
        <v>14.192</v>
      </c>
      <c r="P412" s="188" t="e">
        <f t="shared" si="438"/>
        <v>#DIV/0!</v>
      </c>
      <c r="Q412" s="188" t="e">
        <f t="shared" si="438"/>
        <v>#DIV/0!</v>
      </c>
      <c r="R412" s="188" t="e">
        <f t="shared" si="438"/>
        <v>#DIV/0!</v>
      </c>
      <c r="S412" s="188" t="e">
        <f t="shared" si="438"/>
        <v>#DIV/0!</v>
      </c>
      <c r="T412" s="188">
        <f>T413/T411*1000</f>
        <v>14.188000000000001</v>
      </c>
      <c r="U412" s="188">
        <f>U413/U411*1000</f>
        <v>14.183</v>
      </c>
      <c r="V412" s="188">
        <f>V413/V411*1000</f>
        <v>35.786000000000001</v>
      </c>
      <c r="W412" s="189">
        <f>W413/W411*1000</f>
        <v>9.4250000000000007</v>
      </c>
      <c r="X412" s="240"/>
    </row>
    <row r="413" spans="1:28" s="172" customFormat="1" ht="18.350000000000001" customHeight="1">
      <c r="A413" s="583"/>
      <c r="B413" s="657"/>
      <c r="C413" s="658"/>
      <c r="D413" s="191" t="str">
        <f>серпень!D336</f>
        <v>сума, тис.грн.</v>
      </c>
      <c r="E413" s="192"/>
      <c r="F413" s="192">
        <f t="shared" ref="F413:K413" si="439">F430+F445+F460</f>
        <v>1.7869999999999999</v>
      </c>
      <c r="G413" s="192">
        <f t="shared" si="439"/>
        <v>1.645</v>
      </c>
      <c r="H413" s="192">
        <f t="shared" si="439"/>
        <v>0</v>
      </c>
      <c r="I413" s="192">
        <f t="shared" si="439"/>
        <v>1.39</v>
      </c>
      <c r="J413" s="192">
        <f t="shared" si="439"/>
        <v>2.383</v>
      </c>
      <c r="K413" s="192">
        <f t="shared" si="439"/>
        <v>1.56</v>
      </c>
      <c r="L413" s="194">
        <f t="shared" ref="L413:L418" si="440">SUM(F413:K413)</f>
        <v>8.7650000000000006</v>
      </c>
      <c r="M413" s="194">
        <f t="shared" ref="M413:M418" si="441">L413/6</f>
        <v>1.4610000000000001</v>
      </c>
      <c r="N413" s="192">
        <f t="shared" ref="N413:S413" si="442">N430+N445+N460</f>
        <v>0.39700000000000002</v>
      </c>
      <c r="O413" s="192">
        <f t="shared" si="442"/>
        <v>0.73799999999999999</v>
      </c>
      <c r="P413" s="192">
        <f t="shared" si="442"/>
        <v>0</v>
      </c>
      <c r="Q413" s="192">
        <f t="shared" si="442"/>
        <v>0</v>
      </c>
      <c r="R413" s="192">
        <f t="shared" si="442"/>
        <v>0</v>
      </c>
      <c r="S413" s="192">
        <f t="shared" si="442"/>
        <v>0</v>
      </c>
      <c r="T413" s="194">
        <f t="shared" ref="T413:T418" si="443">SUM(N413:S413)</f>
        <v>1.135</v>
      </c>
      <c r="U413" s="194">
        <f t="shared" ref="U413:U418" si="444">T413+L413</f>
        <v>9.9</v>
      </c>
      <c r="V413" s="192">
        <f>V430+V460</f>
        <v>4.5090000000000003</v>
      </c>
      <c r="W413" s="192">
        <f>V413-U413</f>
        <v>-5.391</v>
      </c>
    </row>
    <row r="414" spans="1:28" s="172" customFormat="1" ht="18.350000000000001" customHeight="1">
      <c r="A414" s="583"/>
      <c r="B414" s="657"/>
      <c r="C414" s="658"/>
      <c r="D414" s="174" t="str">
        <f>серпень!D337</f>
        <v>абоненська плата, тис.грн.</v>
      </c>
      <c r="E414" s="192"/>
      <c r="F414" s="192">
        <f>F445</f>
        <v>0</v>
      </c>
      <c r="G414" s="192">
        <f t="shared" ref="G414:K414" si="445">G445</f>
        <v>0</v>
      </c>
      <c r="H414" s="192">
        <f t="shared" si="445"/>
        <v>0</v>
      </c>
      <c r="I414" s="192">
        <f t="shared" si="445"/>
        <v>0</v>
      </c>
      <c r="J414" s="192">
        <f t="shared" si="445"/>
        <v>0</v>
      </c>
      <c r="K414" s="192">
        <f t="shared" si="445"/>
        <v>0</v>
      </c>
      <c r="L414" s="194">
        <f t="shared" si="440"/>
        <v>0</v>
      </c>
      <c r="M414" s="194">
        <f t="shared" si="441"/>
        <v>0</v>
      </c>
      <c r="N414" s="192">
        <f>N445</f>
        <v>0</v>
      </c>
      <c r="O414" s="192">
        <f t="shared" ref="O414:S414" si="446">O445</f>
        <v>0</v>
      </c>
      <c r="P414" s="192">
        <f t="shared" si="446"/>
        <v>0</v>
      </c>
      <c r="Q414" s="192">
        <f t="shared" si="446"/>
        <v>0</v>
      </c>
      <c r="R414" s="192">
        <f t="shared" si="446"/>
        <v>0</v>
      </c>
      <c r="S414" s="192">
        <f t="shared" si="446"/>
        <v>0</v>
      </c>
      <c r="T414" s="194">
        <f t="shared" si="443"/>
        <v>0</v>
      </c>
      <c r="U414" s="194">
        <f t="shared" si="444"/>
        <v>0</v>
      </c>
      <c r="V414" s="192">
        <f t="shared" ref="V414:V415" si="447">V445</f>
        <v>0</v>
      </c>
      <c r="W414" s="192"/>
    </row>
    <row r="415" spans="1:28" s="172" customFormat="1" ht="18.350000000000001" customHeight="1">
      <c r="A415" s="583"/>
      <c r="B415" s="657"/>
      <c r="C415" s="658"/>
      <c r="D415" s="174" t="str">
        <f>серпень!D338</f>
        <v>разом сума тис. грн+абонплата</v>
      </c>
      <c r="E415" s="192"/>
      <c r="F415" s="192">
        <f>F413+F414</f>
        <v>1.7869999999999999</v>
      </c>
      <c r="G415" s="192">
        <f t="shared" ref="G415:K415" si="448">G413+G414</f>
        <v>1.645</v>
      </c>
      <c r="H415" s="192">
        <f t="shared" si="448"/>
        <v>0</v>
      </c>
      <c r="I415" s="192">
        <f t="shared" si="448"/>
        <v>1.39</v>
      </c>
      <c r="J415" s="192">
        <f t="shared" si="448"/>
        <v>2.383</v>
      </c>
      <c r="K415" s="192">
        <f t="shared" si="448"/>
        <v>1.56</v>
      </c>
      <c r="L415" s="194">
        <f t="shared" si="440"/>
        <v>8.7650000000000006</v>
      </c>
      <c r="M415" s="194">
        <f t="shared" si="441"/>
        <v>1.4610000000000001</v>
      </c>
      <c r="N415" s="192">
        <f>N413+N414</f>
        <v>0.39700000000000002</v>
      </c>
      <c r="O415" s="192">
        <f t="shared" ref="O415:S415" si="449">O413+O414</f>
        <v>0.73799999999999999</v>
      </c>
      <c r="P415" s="192">
        <f t="shared" si="449"/>
        <v>0</v>
      </c>
      <c r="Q415" s="192">
        <f t="shared" si="449"/>
        <v>0</v>
      </c>
      <c r="R415" s="192">
        <f t="shared" si="449"/>
        <v>0</v>
      </c>
      <c r="S415" s="192">
        <f t="shared" si="449"/>
        <v>0</v>
      </c>
      <c r="T415" s="194">
        <f t="shared" si="443"/>
        <v>1.135</v>
      </c>
      <c r="U415" s="194">
        <f t="shared" si="444"/>
        <v>9.9</v>
      </c>
      <c r="V415" s="192">
        <f t="shared" si="447"/>
        <v>0</v>
      </c>
      <c r="W415" s="192"/>
    </row>
    <row r="416" spans="1:28" s="172" customFormat="1" ht="18.350000000000001" customHeight="1">
      <c r="A416" s="583"/>
      <c r="B416" s="657"/>
      <c r="C416" s="658"/>
      <c r="D416" s="174" t="str">
        <f>серпень!D339</f>
        <v>дотація</v>
      </c>
      <c r="E416" s="192"/>
      <c r="F416" s="192">
        <f t="shared" ref="F416:K417" si="450">F431+F446+F461</f>
        <v>0</v>
      </c>
      <c r="G416" s="192">
        <f t="shared" si="450"/>
        <v>0</v>
      </c>
      <c r="H416" s="192">
        <f t="shared" si="450"/>
        <v>0</v>
      </c>
      <c r="I416" s="192">
        <f t="shared" si="450"/>
        <v>0</v>
      </c>
      <c r="J416" s="192">
        <f t="shared" si="450"/>
        <v>0</v>
      </c>
      <c r="K416" s="192">
        <f t="shared" si="450"/>
        <v>0</v>
      </c>
      <c r="L416" s="194">
        <f t="shared" si="440"/>
        <v>0</v>
      </c>
      <c r="M416" s="194">
        <f t="shared" si="441"/>
        <v>0</v>
      </c>
      <c r="N416" s="192">
        <f t="shared" ref="N416:S418" si="451">N431+N446+N461</f>
        <v>0</v>
      </c>
      <c r="O416" s="192">
        <f t="shared" si="451"/>
        <v>0</v>
      </c>
      <c r="P416" s="192">
        <f t="shared" si="451"/>
        <v>0</v>
      </c>
      <c r="Q416" s="192">
        <f t="shared" si="451"/>
        <v>0</v>
      </c>
      <c r="R416" s="192">
        <f t="shared" si="451"/>
        <v>0</v>
      </c>
      <c r="S416" s="192">
        <f t="shared" si="451"/>
        <v>0</v>
      </c>
      <c r="T416" s="194">
        <f t="shared" si="443"/>
        <v>0</v>
      </c>
      <c r="U416" s="194">
        <f t="shared" si="444"/>
        <v>0</v>
      </c>
      <c r="V416" s="192">
        <f>V431+V461</f>
        <v>0</v>
      </c>
      <c r="W416" s="192">
        <f>V416-U416</f>
        <v>0</v>
      </c>
    </row>
    <row r="417" spans="1:28" s="172" customFormat="1" ht="18.350000000000001" customHeight="1">
      <c r="A417" s="583"/>
      <c r="B417" s="657"/>
      <c r="C417" s="658"/>
      <c r="D417" s="174" t="str">
        <f>серпень!D340</f>
        <v>місцевий (план), тис.грн</v>
      </c>
      <c r="E417" s="192"/>
      <c r="F417" s="192">
        <f t="shared" si="450"/>
        <v>1.073</v>
      </c>
      <c r="G417" s="192">
        <f t="shared" si="450"/>
        <v>0.71399999999999997</v>
      </c>
      <c r="H417" s="192">
        <f t="shared" si="450"/>
        <v>1.649</v>
      </c>
      <c r="I417" s="192">
        <f t="shared" si="450"/>
        <v>0</v>
      </c>
      <c r="J417" s="192">
        <f t="shared" si="450"/>
        <v>1.073</v>
      </c>
      <c r="K417" s="192">
        <f t="shared" si="450"/>
        <v>0</v>
      </c>
      <c r="L417" s="194">
        <f t="shared" si="440"/>
        <v>4.5090000000000003</v>
      </c>
      <c r="M417" s="194">
        <f t="shared" si="441"/>
        <v>0.752</v>
      </c>
      <c r="N417" s="192">
        <f t="shared" si="451"/>
        <v>0</v>
      </c>
      <c r="O417" s="192">
        <f t="shared" si="451"/>
        <v>0</v>
      </c>
      <c r="P417" s="192">
        <f t="shared" si="451"/>
        <v>0</v>
      </c>
      <c r="Q417" s="192">
        <f t="shared" si="451"/>
        <v>0</v>
      </c>
      <c r="R417" s="192">
        <f t="shared" si="451"/>
        <v>0</v>
      </c>
      <c r="S417" s="192">
        <f t="shared" si="451"/>
        <v>0</v>
      </c>
      <c r="T417" s="194">
        <f t="shared" si="443"/>
        <v>0</v>
      </c>
      <c r="U417" s="194">
        <f t="shared" si="444"/>
        <v>4.5090000000000003</v>
      </c>
      <c r="V417" s="192">
        <f>V432+V462</f>
        <v>4.5090000000000003</v>
      </c>
      <c r="W417" s="192">
        <f>V417-U417</f>
        <v>0</v>
      </c>
    </row>
    <row r="418" spans="1:28" s="157" customFormat="1" ht="18.350000000000001" customHeight="1">
      <c r="A418" s="583"/>
      <c r="B418" s="657"/>
      <c r="C418" s="658"/>
      <c r="D418" s="178" t="str">
        <f>серпень!D341</f>
        <v>касові нат.п-ки 2025</v>
      </c>
      <c r="E418" s="179">
        <f>E433</f>
        <v>0</v>
      </c>
      <c r="F418" s="179">
        <f t="shared" ref="F418:K418" si="452">F433+F448+F463</f>
        <v>0</v>
      </c>
      <c r="G418" s="179">
        <f t="shared" si="452"/>
        <v>126</v>
      </c>
      <c r="H418" s="179">
        <f t="shared" si="452"/>
        <v>116</v>
      </c>
      <c r="I418" s="179">
        <f t="shared" si="452"/>
        <v>98</v>
      </c>
      <c r="J418" s="179">
        <f t="shared" si="452"/>
        <v>168</v>
      </c>
      <c r="K418" s="179">
        <f t="shared" si="452"/>
        <v>110</v>
      </c>
      <c r="L418" s="215">
        <f t="shared" si="440"/>
        <v>618</v>
      </c>
      <c r="M418" s="215">
        <f t="shared" si="441"/>
        <v>103</v>
      </c>
      <c r="N418" s="179">
        <f t="shared" ref="N418:S418" si="453">N433+N448+N463</f>
        <v>28</v>
      </c>
      <c r="O418" s="179">
        <f t="shared" si="453"/>
        <v>52</v>
      </c>
      <c r="P418" s="179">
        <f t="shared" si="453"/>
        <v>0</v>
      </c>
      <c r="Q418" s="179">
        <f t="shared" si="451"/>
        <v>0</v>
      </c>
      <c r="R418" s="179">
        <f t="shared" si="453"/>
        <v>0</v>
      </c>
      <c r="S418" s="179">
        <f t="shared" si="453"/>
        <v>0</v>
      </c>
      <c r="T418" s="215">
        <f t="shared" si="443"/>
        <v>80</v>
      </c>
      <c r="U418" s="215">
        <f t="shared" si="444"/>
        <v>698</v>
      </c>
      <c r="V418" s="179">
        <f>V433+V463</f>
        <v>126</v>
      </c>
      <c r="W418" s="184">
        <f>V418-U418</f>
        <v>-572</v>
      </c>
      <c r="X418" s="209">
        <f>U411-U418</f>
        <v>0</v>
      </c>
    </row>
    <row r="419" spans="1:28" s="241" customFormat="1" ht="18.350000000000001" customHeight="1">
      <c r="A419" s="583"/>
      <c r="B419" s="657"/>
      <c r="C419" s="658"/>
      <c r="D419" s="187" t="str">
        <f>серпень!D342</f>
        <v>тариф, грн.</v>
      </c>
      <c r="E419" s="188" t="e">
        <f t="shared" ref="E419:S419" si="454">E420/E418*1000</f>
        <v>#DIV/0!</v>
      </c>
      <c r="F419" s="188" t="e">
        <f t="shared" si="454"/>
        <v>#DIV/0!</v>
      </c>
      <c r="G419" s="188">
        <f t="shared" si="454"/>
        <v>14.183</v>
      </c>
      <c r="H419" s="188">
        <f t="shared" si="454"/>
        <v>14.180999999999999</v>
      </c>
      <c r="I419" s="188">
        <f t="shared" si="454"/>
        <v>14.183999999999999</v>
      </c>
      <c r="J419" s="188">
        <f t="shared" si="454"/>
        <v>14.185</v>
      </c>
      <c r="K419" s="188">
        <f t="shared" si="454"/>
        <v>14.182</v>
      </c>
      <c r="L419" s="188">
        <f t="shared" si="454"/>
        <v>14.183</v>
      </c>
      <c r="M419" s="188">
        <f t="shared" si="454"/>
        <v>14.183999999999999</v>
      </c>
      <c r="N419" s="188">
        <f t="shared" si="454"/>
        <v>14.179</v>
      </c>
      <c r="O419" s="188">
        <f t="shared" si="454"/>
        <v>14.192</v>
      </c>
      <c r="P419" s="188" t="e">
        <f t="shared" si="454"/>
        <v>#DIV/0!</v>
      </c>
      <c r="Q419" s="188" t="e">
        <f t="shared" si="454"/>
        <v>#DIV/0!</v>
      </c>
      <c r="R419" s="188" t="e">
        <f t="shared" si="454"/>
        <v>#DIV/0!</v>
      </c>
      <c r="S419" s="188" t="e">
        <f t="shared" si="454"/>
        <v>#DIV/0!</v>
      </c>
      <c r="T419" s="188">
        <f>T420/T418*1000</f>
        <v>14.188000000000001</v>
      </c>
      <c r="U419" s="188">
        <f>U420/U418*1000</f>
        <v>14.183</v>
      </c>
      <c r="V419" s="188">
        <f>V420/V418*1000</f>
        <v>35.786000000000001</v>
      </c>
      <c r="W419" s="189">
        <f>W420/W418*1000</f>
        <v>9.4250000000000007</v>
      </c>
      <c r="X419" s="240"/>
    </row>
    <row r="420" spans="1:28" s="213" customFormat="1" ht="18.350000000000001" customHeight="1">
      <c r="A420" s="583"/>
      <c r="B420" s="657"/>
      <c r="C420" s="658"/>
      <c r="D420" s="198" t="str">
        <f>серпень!D343</f>
        <v>касові видатки, тис.грн.</v>
      </c>
      <c r="E420" s="220">
        <f>E435+E465</f>
        <v>0</v>
      </c>
      <c r="F420" s="199">
        <f t="shared" ref="F420:K422" si="455">F435+F450+F465</f>
        <v>0</v>
      </c>
      <c r="G420" s="199">
        <f t="shared" si="455"/>
        <v>1.7869999999999999</v>
      </c>
      <c r="H420" s="199">
        <f t="shared" si="455"/>
        <v>1.645</v>
      </c>
      <c r="I420" s="199">
        <f t="shared" si="455"/>
        <v>1.39</v>
      </c>
      <c r="J420" s="199">
        <f t="shared" si="455"/>
        <v>2.383</v>
      </c>
      <c r="K420" s="199">
        <f t="shared" si="455"/>
        <v>1.56</v>
      </c>
      <c r="L420" s="199">
        <f>SUM(F420:K420)</f>
        <v>8.7650000000000006</v>
      </c>
      <c r="M420" s="199">
        <f>L420/6</f>
        <v>1.4610000000000001</v>
      </c>
      <c r="N420" s="199">
        <f t="shared" ref="N420:S422" si="456">N435+N450+N465</f>
        <v>0.39700000000000002</v>
      </c>
      <c r="O420" s="199">
        <f t="shared" si="456"/>
        <v>0.73799999999999999</v>
      </c>
      <c r="P420" s="199">
        <f t="shared" si="456"/>
        <v>0</v>
      </c>
      <c r="Q420" s="199">
        <f t="shared" si="456"/>
        <v>0</v>
      </c>
      <c r="R420" s="199">
        <f t="shared" si="456"/>
        <v>0</v>
      </c>
      <c r="S420" s="199">
        <f t="shared" si="456"/>
        <v>0</v>
      </c>
      <c r="T420" s="199">
        <f>SUM(N420:S420)</f>
        <v>1.135</v>
      </c>
      <c r="U420" s="199">
        <f>T420+L420</f>
        <v>9.9</v>
      </c>
      <c r="V420" s="199">
        <f>V435+V465</f>
        <v>4.5090000000000003</v>
      </c>
      <c r="W420" s="221">
        <f>V420-U420</f>
        <v>-5.391</v>
      </c>
      <c r="X420" s="213">
        <f>U413-U420</f>
        <v>0</v>
      </c>
    </row>
    <row r="421" spans="1:28" s="213" customFormat="1" ht="18.350000000000001" customHeight="1">
      <c r="A421" s="583"/>
      <c r="B421" s="657"/>
      <c r="C421" s="658"/>
      <c r="D421" s="201" t="str">
        <f>серпень!D344</f>
        <v>дотація</v>
      </c>
      <c r="E421" s="220"/>
      <c r="F421" s="199">
        <f t="shared" si="455"/>
        <v>0</v>
      </c>
      <c r="G421" s="199">
        <f t="shared" si="455"/>
        <v>0</v>
      </c>
      <c r="H421" s="199">
        <f t="shared" si="455"/>
        <v>0</v>
      </c>
      <c r="I421" s="199">
        <f t="shared" si="455"/>
        <v>0</v>
      </c>
      <c r="J421" s="199">
        <f t="shared" si="455"/>
        <v>0</v>
      </c>
      <c r="K421" s="199">
        <f t="shared" si="455"/>
        <v>0</v>
      </c>
      <c r="L421" s="199">
        <f>SUM(F421:K421)</f>
        <v>0</v>
      </c>
      <c r="M421" s="199">
        <f>L421/6</f>
        <v>0</v>
      </c>
      <c r="N421" s="199">
        <f t="shared" si="456"/>
        <v>0</v>
      </c>
      <c r="O421" s="199">
        <f t="shared" si="456"/>
        <v>0</v>
      </c>
      <c r="P421" s="199">
        <f t="shared" si="456"/>
        <v>0</v>
      </c>
      <c r="Q421" s="199">
        <f t="shared" si="456"/>
        <v>0</v>
      </c>
      <c r="R421" s="199">
        <f t="shared" si="456"/>
        <v>0</v>
      </c>
      <c r="S421" s="199">
        <f t="shared" si="456"/>
        <v>0</v>
      </c>
      <c r="T421" s="199">
        <f>SUM(N421:S421)</f>
        <v>0</v>
      </c>
      <c r="U421" s="199">
        <f>T421+L421</f>
        <v>0</v>
      </c>
      <c r="V421" s="199">
        <f>V436+V466</f>
        <v>0</v>
      </c>
      <c r="W421" s="221">
        <f>V421-U421</f>
        <v>0</v>
      </c>
      <c r="X421" s="213">
        <f>U416-U421</f>
        <v>0</v>
      </c>
    </row>
    <row r="422" spans="1:28" s="213" customFormat="1" ht="18.350000000000001" customHeight="1">
      <c r="A422" s="583"/>
      <c r="B422" s="657"/>
      <c r="C422" s="658"/>
      <c r="D422" s="201" t="str">
        <f>серпень!D345</f>
        <v xml:space="preserve">місцевий </v>
      </c>
      <c r="E422" s="220"/>
      <c r="F422" s="199">
        <f t="shared" si="455"/>
        <v>0</v>
      </c>
      <c r="G422" s="199">
        <f t="shared" si="455"/>
        <v>1.7869999999999999</v>
      </c>
      <c r="H422" s="199">
        <f t="shared" si="455"/>
        <v>1.645</v>
      </c>
      <c r="I422" s="199">
        <f t="shared" si="455"/>
        <v>1.39</v>
      </c>
      <c r="J422" s="199">
        <f t="shared" si="455"/>
        <v>2.383</v>
      </c>
      <c r="K422" s="199">
        <f t="shared" si="455"/>
        <v>1.56</v>
      </c>
      <c r="L422" s="199">
        <f>SUM(F422:K422)</f>
        <v>8.7650000000000006</v>
      </c>
      <c r="M422" s="199">
        <f>L422/6</f>
        <v>1.4610000000000001</v>
      </c>
      <c r="N422" s="199">
        <f t="shared" si="456"/>
        <v>0.39700000000000002</v>
      </c>
      <c r="O422" s="199">
        <f t="shared" si="456"/>
        <v>0.73799999999999999</v>
      </c>
      <c r="P422" s="199">
        <f t="shared" si="456"/>
        <v>0</v>
      </c>
      <c r="Q422" s="199">
        <f t="shared" si="456"/>
        <v>0</v>
      </c>
      <c r="R422" s="199">
        <f t="shared" si="456"/>
        <v>0</v>
      </c>
      <c r="S422" s="199">
        <f t="shared" si="456"/>
        <v>0</v>
      </c>
      <c r="T422" s="199">
        <f>SUM(N422:S422)</f>
        <v>1.135</v>
      </c>
      <c r="U422" s="199">
        <f>T422+L422</f>
        <v>9.9</v>
      </c>
      <c r="V422" s="199">
        <f>V437+V467</f>
        <v>4.5090000000000003</v>
      </c>
      <c r="W422" s="221">
        <f>V422-U422</f>
        <v>-5.391</v>
      </c>
      <c r="X422" s="213">
        <f>U417-U422</f>
        <v>-5.391</v>
      </c>
    </row>
    <row r="423" spans="1:28" s="214" customFormat="1">
      <c r="A423" s="583"/>
      <c r="B423" s="657"/>
      <c r="C423" s="658"/>
      <c r="D423" s="202" t="str">
        <f>серпень!D346</f>
        <v>план</v>
      </c>
      <c r="E423" s="203"/>
      <c r="F423" s="203">
        <f t="shared" ref="F423:K423" si="457">F417</f>
        <v>1.073</v>
      </c>
      <c r="G423" s="203">
        <f t="shared" si="457"/>
        <v>0.71399999999999997</v>
      </c>
      <c r="H423" s="203">
        <f t="shared" si="457"/>
        <v>1.649</v>
      </c>
      <c r="I423" s="203">
        <f t="shared" si="457"/>
        <v>0</v>
      </c>
      <c r="J423" s="203">
        <f t="shared" si="457"/>
        <v>1.073</v>
      </c>
      <c r="K423" s="203">
        <f t="shared" si="457"/>
        <v>0</v>
      </c>
      <c r="L423" s="203">
        <f>SUM(F423:K423)</f>
        <v>4.5090000000000003</v>
      </c>
      <c r="M423" s="203">
        <f>L423/6</f>
        <v>0.752</v>
      </c>
      <c r="N423" s="203">
        <f t="shared" ref="N423:S423" si="458">N438+N468</f>
        <v>0</v>
      </c>
      <c r="O423" s="203">
        <f t="shared" si="458"/>
        <v>0</v>
      </c>
      <c r="P423" s="203">
        <f t="shared" si="458"/>
        <v>0</v>
      </c>
      <c r="Q423" s="203">
        <f t="shared" si="458"/>
        <v>0</v>
      </c>
      <c r="R423" s="203">
        <f t="shared" si="458"/>
        <v>0</v>
      </c>
      <c r="S423" s="203">
        <f t="shared" si="458"/>
        <v>0</v>
      </c>
      <c r="T423" s="203">
        <f>SUM(N423:S423)</f>
        <v>0</v>
      </c>
      <c r="U423" s="203">
        <f>T423+L423</f>
        <v>4.5090000000000003</v>
      </c>
      <c r="V423" s="203">
        <f>V417+V416</f>
        <v>4.5090000000000003</v>
      </c>
      <c r="W423" s="203">
        <f>V423-U423</f>
        <v>0</v>
      </c>
    </row>
    <row r="424" spans="1:28" s="214" customFormat="1">
      <c r="A424" s="583"/>
      <c r="B424" s="657"/>
      <c r="C424" s="658"/>
      <c r="D424" s="202" t="str">
        <f>серпень!D347</f>
        <v xml:space="preserve">відхилення </v>
      </c>
      <c r="E424" s="203"/>
      <c r="F424" s="203">
        <f t="shared" ref="F424:K424" si="459">F420-F423</f>
        <v>-1.073</v>
      </c>
      <c r="G424" s="203">
        <f t="shared" si="459"/>
        <v>1.073</v>
      </c>
      <c r="H424" s="203">
        <f t="shared" si="459"/>
        <v>-4.0000000000000001E-3</v>
      </c>
      <c r="I424" s="203">
        <f t="shared" si="459"/>
        <v>1.39</v>
      </c>
      <c r="J424" s="203">
        <f t="shared" si="459"/>
        <v>1.31</v>
      </c>
      <c r="K424" s="203">
        <f t="shared" si="459"/>
        <v>1.56</v>
      </c>
      <c r="L424" s="203"/>
      <c r="M424" s="203"/>
      <c r="N424" s="203">
        <f t="shared" ref="N424:S424" si="460">N420-N423</f>
        <v>0.39700000000000002</v>
      </c>
      <c r="O424" s="203">
        <f t="shared" si="460"/>
        <v>0.73799999999999999</v>
      </c>
      <c r="P424" s="203">
        <f t="shared" si="460"/>
        <v>0</v>
      </c>
      <c r="Q424" s="203">
        <f t="shared" si="460"/>
        <v>0</v>
      </c>
      <c r="R424" s="203">
        <f t="shared" si="460"/>
        <v>0</v>
      </c>
      <c r="S424" s="203">
        <f t="shared" si="460"/>
        <v>0</v>
      </c>
      <c r="T424" s="203"/>
      <c r="U424" s="203"/>
      <c r="V424" s="203"/>
      <c r="W424" s="203"/>
    </row>
    <row r="425" spans="1:28" s="214" customFormat="1">
      <c r="A425" s="583"/>
      <c r="B425" s="657"/>
      <c r="C425" s="658"/>
      <c r="D425" s="202" t="str">
        <f>серпень!D348</f>
        <v>відхилення з наростаючим</v>
      </c>
      <c r="E425" s="203"/>
      <c r="F425" s="203">
        <f>F424</f>
        <v>-1.073</v>
      </c>
      <c r="G425" s="203">
        <f>G424+F425</f>
        <v>0</v>
      </c>
      <c r="H425" s="203">
        <f>H424+G425</f>
        <v>-4.0000000000000001E-3</v>
      </c>
      <c r="I425" s="203">
        <f>I424+H425</f>
        <v>1.3859999999999999</v>
      </c>
      <c r="J425" s="203">
        <f>J424+I425</f>
        <v>2.6960000000000002</v>
      </c>
      <c r="K425" s="203">
        <f>K424+J425</f>
        <v>4.2560000000000002</v>
      </c>
      <c r="L425" s="203"/>
      <c r="M425" s="203"/>
      <c r="N425" s="203">
        <f>N424+K425</f>
        <v>4.6529999999999996</v>
      </c>
      <c r="O425" s="203">
        <f>O424+N425</f>
        <v>5.391</v>
      </c>
      <c r="P425" s="203">
        <f>P424+O425</f>
        <v>5.391</v>
      </c>
      <c r="Q425" s="203">
        <f>Q424+P425</f>
        <v>5.391</v>
      </c>
      <c r="R425" s="203">
        <f>R424+Q425</f>
        <v>5.391</v>
      </c>
      <c r="S425" s="203">
        <f>S424+R425</f>
        <v>5.391</v>
      </c>
      <c r="T425" s="203"/>
      <c r="U425" s="203"/>
      <c r="V425" s="203"/>
      <c r="W425" s="203"/>
    </row>
    <row r="426" spans="1:28" s="10" customFormat="1" ht="22.55" customHeight="1">
      <c r="A426" s="583"/>
      <c r="B426" s="581" t="s">
        <v>37</v>
      </c>
      <c r="C426" s="581"/>
      <c r="D426" s="178" t="str">
        <f>серпень!D349</f>
        <v>факт. нат.п-ки 2023</v>
      </c>
      <c r="E426" s="85"/>
      <c r="F426" s="12"/>
      <c r="G426" s="12"/>
      <c r="H426" s="12"/>
      <c r="I426" s="12"/>
      <c r="J426" s="12"/>
      <c r="K426" s="12"/>
      <c r="L426" s="140">
        <f>SUM(F426:K426)</f>
        <v>0</v>
      </c>
      <c r="M426" s="140">
        <f>L426/6</f>
        <v>0</v>
      </c>
      <c r="N426" s="12"/>
      <c r="O426" s="12"/>
      <c r="P426" s="12"/>
      <c r="Q426" s="12"/>
      <c r="R426" s="12"/>
      <c r="S426" s="12"/>
      <c r="T426" s="140">
        <f>SUM(N426:S426)</f>
        <v>0</v>
      </c>
      <c r="U426" s="140">
        <f>T426+L426</f>
        <v>0</v>
      </c>
      <c r="V426" s="104"/>
      <c r="W426" s="88"/>
      <c r="X426" s="36"/>
    </row>
    <row r="427" spans="1:28" s="48" customFormat="1" ht="17.100000000000001" customHeight="1">
      <c r="A427" s="583"/>
      <c r="B427" s="581"/>
      <c r="C427" s="581"/>
      <c r="D427" s="178" t="str">
        <f>серпень!D350</f>
        <v>факт. нат.п-ки 2024</v>
      </c>
      <c r="E427" s="85"/>
      <c r="F427" s="12"/>
      <c r="G427" s="12"/>
      <c r="H427" s="12"/>
      <c r="I427" s="12"/>
      <c r="J427" s="12"/>
      <c r="K427" s="12"/>
      <c r="L427" s="140">
        <f>SUM(F427:K427)</f>
        <v>0</v>
      </c>
      <c r="M427" s="140">
        <f>L427/6</f>
        <v>0</v>
      </c>
      <c r="N427" s="85"/>
      <c r="O427" s="85"/>
      <c r="P427" s="85"/>
      <c r="Q427" s="85"/>
      <c r="R427" s="85"/>
      <c r="S427" s="85"/>
      <c r="T427" s="140">
        <f>SUM(N427:S427)</f>
        <v>0</v>
      </c>
      <c r="U427" s="140">
        <f>T427+L427</f>
        <v>0</v>
      </c>
      <c r="V427" s="104"/>
      <c r="W427" s="88"/>
      <c r="X427" s="47"/>
    </row>
    <row r="428" spans="1:28" s="10" customFormat="1" ht="17.100000000000001" customHeight="1">
      <c r="A428" s="583"/>
      <c r="B428" s="581"/>
      <c r="C428" s="581"/>
      <c r="D428" s="178" t="str">
        <f>серпень!D351</f>
        <v>факт. нат.п-ки 2025</v>
      </c>
      <c r="E428" s="85"/>
      <c r="F428" s="12">
        <v>126</v>
      </c>
      <c r="G428" s="12">
        <v>116</v>
      </c>
      <c r="H428" s="12">
        <v>0</v>
      </c>
      <c r="I428" s="12">
        <v>98</v>
      </c>
      <c r="J428" s="12">
        <v>168</v>
      </c>
      <c r="K428" s="12">
        <v>110</v>
      </c>
      <c r="L428" s="140">
        <f>SUM(F428:K428)</f>
        <v>618</v>
      </c>
      <c r="M428" s="140">
        <f>L428/6</f>
        <v>103</v>
      </c>
      <c r="N428" s="12">
        <v>28</v>
      </c>
      <c r="O428" s="12">
        <v>52</v>
      </c>
      <c r="P428" s="12"/>
      <c r="Q428" s="12"/>
      <c r="R428" s="12"/>
      <c r="S428" s="85"/>
      <c r="T428" s="140">
        <f>SUM(N428:S428)</f>
        <v>80</v>
      </c>
      <c r="U428" s="140">
        <f>T428+L428</f>
        <v>698</v>
      </c>
      <c r="V428" s="85">
        <v>126</v>
      </c>
      <c r="W428" s="88">
        <f>V428-U428</f>
        <v>-572</v>
      </c>
      <c r="X428" s="36"/>
      <c r="Y428" s="3"/>
      <c r="Z428" s="3"/>
      <c r="AA428" s="3"/>
      <c r="AB428" s="3"/>
    </row>
    <row r="429" spans="1:28" s="114" customFormat="1" ht="17.100000000000001" customHeight="1">
      <c r="A429" s="583"/>
      <c r="B429" s="581"/>
      <c r="C429" s="581"/>
      <c r="D429" s="187" t="str">
        <f>серпень!D352</f>
        <v>тариф, грн.</v>
      </c>
      <c r="E429" s="92" t="e">
        <f>E430/E428*1000</f>
        <v>#DIV/0!</v>
      </c>
      <c r="F429" s="92">
        <f t="shared" ref="F429:K429" si="461">F430/F428*1000</f>
        <v>14.183</v>
      </c>
      <c r="G429" s="92">
        <f t="shared" si="461"/>
        <v>14.180999999999999</v>
      </c>
      <c r="H429" s="92" t="e">
        <f t="shared" si="461"/>
        <v>#DIV/0!</v>
      </c>
      <c r="I429" s="92">
        <f t="shared" si="461"/>
        <v>14.183999999999999</v>
      </c>
      <c r="J429" s="92">
        <f t="shared" si="461"/>
        <v>14.185</v>
      </c>
      <c r="K429" s="92">
        <f t="shared" si="461"/>
        <v>14.182</v>
      </c>
      <c r="L429" s="105">
        <f>L430/L428*1000</f>
        <v>14.183</v>
      </c>
      <c r="M429" s="105">
        <f>M430/M428*1000</f>
        <v>14.183999999999999</v>
      </c>
      <c r="N429" s="105">
        <f t="shared" ref="N429:O429" si="462">N430/N428*1000</f>
        <v>14.179</v>
      </c>
      <c r="O429" s="105">
        <f t="shared" si="462"/>
        <v>14.192</v>
      </c>
      <c r="P429" s="92">
        <v>14.183999999999999</v>
      </c>
      <c r="Q429" s="92">
        <v>14.183999999999999</v>
      </c>
      <c r="R429" s="92">
        <v>14.183999999999999</v>
      </c>
      <c r="S429" s="92">
        <v>14.183999999999999</v>
      </c>
      <c r="T429" s="105">
        <f>T430/T428*1000</f>
        <v>14.188000000000001</v>
      </c>
      <c r="U429" s="105">
        <f>U430/U428*1000</f>
        <v>14.183</v>
      </c>
      <c r="V429" s="105">
        <f>V430/V428*1000</f>
        <v>35.786000000000001</v>
      </c>
      <c r="W429" s="86">
        <f>W430/W428*1000</f>
        <v>9.4250000000000007</v>
      </c>
      <c r="X429" s="36"/>
      <c r="Y429" s="3"/>
      <c r="Z429" s="3"/>
      <c r="AA429" s="3"/>
      <c r="AB429" s="3"/>
    </row>
    <row r="430" spans="1:28" s="114" customFormat="1" ht="17.100000000000001" customHeight="1">
      <c r="A430" s="583"/>
      <c r="B430" s="581"/>
      <c r="C430" s="581"/>
      <c r="D430" s="191" t="str">
        <f>серпень!D353</f>
        <v>сума, тис.грн.</v>
      </c>
      <c r="E430" s="93"/>
      <c r="F430" s="93">
        <v>1.7869999999999999</v>
      </c>
      <c r="G430" s="93">
        <v>1.645</v>
      </c>
      <c r="H430" s="93">
        <v>0</v>
      </c>
      <c r="I430" s="93">
        <v>1.39</v>
      </c>
      <c r="J430" s="93">
        <v>2.383</v>
      </c>
      <c r="K430" s="93">
        <v>1.56</v>
      </c>
      <c r="L430" s="106">
        <f>SUM(F430:K430)</f>
        <v>8.7650000000000006</v>
      </c>
      <c r="M430" s="106">
        <f>L430/6</f>
        <v>1.4610000000000001</v>
      </c>
      <c r="N430" s="93">
        <v>0.39700000000000002</v>
      </c>
      <c r="O430" s="93">
        <v>0.73799999999999999</v>
      </c>
      <c r="P430" s="93">
        <f t="shared" ref="P430:S430" si="463">P428*P429/1000</f>
        <v>0</v>
      </c>
      <c r="Q430" s="93">
        <f t="shared" si="463"/>
        <v>0</v>
      </c>
      <c r="R430" s="93">
        <f t="shared" si="463"/>
        <v>0</v>
      </c>
      <c r="S430" s="93">
        <f t="shared" si="463"/>
        <v>0</v>
      </c>
      <c r="T430" s="106">
        <f>SUM(N430:S430)</f>
        <v>1.135</v>
      </c>
      <c r="U430" s="106">
        <f>T430+L430</f>
        <v>9.9</v>
      </c>
      <c r="V430" s="107">
        <f>V432+V431</f>
        <v>4.5090000000000003</v>
      </c>
      <c r="W430" s="94">
        <f>V430-U430</f>
        <v>-5.391</v>
      </c>
      <c r="X430" s="113"/>
    </row>
    <row r="431" spans="1:28" s="114" customFormat="1" ht="17.100000000000001" customHeight="1">
      <c r="A431" s="583"/>
      <c r="B431" s="581"/>
      <c r="C431" s="581"/>
      <c r="D431" s="174" t="str">
        <f>серпень!D354</f>
        <v>дотація</v>
      </c>
      <c r="E431" s="95"/>
      <c r="F431" s="93"/>
      <c r="G431" s="93"/>
      <c r="H431" s="93"/>
      <c r="I431" s="93"/>
      <c r="J431" s="93"/>
      <c r="K431" s="93"/>
      <c r="L431" s="106">
        <f>SUM(F431:K431)</f>
        <v>0</v>
      </c>
      <c r="M431" s="106">
        <f>L431/6</f>
        <v>0</v>
      </c>
      <c r="N431" s="93"/>
      <c r="O431" s="93"/>
      <c r="P431" s="93"/>
      <c r="Q431" s="93"/>
      <c r="R431" s="93"/>
      <c r="S431" s="93"/>
      <c r="T431" s="106">
        <f>SUM(N431:S431)</f>
        <v>0</v>
      </c>
      <c r="U431" s="106">
        <f>T431+L431</f>
        <v>0</v>
      </c>
      <c r="V431" s="107">
        <v>0</v>
      </c>
      <c r="W431" s="94">
        <f>V431-U431</f>
        <v>0</v>
      </c>
      <c r="X431" s="113"/>
    </row>
    <row r="432" spans="1:28" s="114" customFormat="1" ht="17.100000000000001" customHeight="1">
      <c r="A432" s="583"/>
      <c r="B432" s="581"/>
      <c r="C432" s="581"/>
      <c r="D432" s="174" t="str">
        <f>серпень!D355</f>
        <v>місцевий (план), тис.грн</v>
      </c>
      <c r="E432" s="95"/>
      <c r="F432" s="93">
        <v>1.073</v>
      </c>
      <c r="G432" s="93">
        <f>1.787-1.073</f>
        <v>0.71399999999999997</v>
      </c>
      <c r="H432" s="93">
        <v>1.649</v>
      </c>
      <c r="I432" s="93">
        <v>0</v>
      </c>
      <c r="J432" s="93">
        <v>1.073</v>
      </c>
      <c r="K432" s="93"/>
      <c r="L432" s="106">
        <f>SUM(F432:K432)</f>
        <v>4.5090000000000003</v>
      </c>
      <c r="M432" s="106">
        <f>L432/6</f>
        <v>0.752</v>
      </c>
      <c r="N432" s="93"/>
      <c r="O432" s="93"/>
      <c r="P432" s="93"/>
      <c r="Q432" s="93"/>
      <c r="R432" s="93"/>
      <c r="S432" s="93"/>
      <c r="T432" s="106">
        <f>SUM(N432:S432)</f>
        <v>0</v>
      </c>
      <c r="U432" s="106">
        <f>T432+L432</f>
        <v>4.5090000000000003</v>
      </c>
      <c r="V432" s="107">
        <f>1.787+1.649+1.073</f>
        <v>4.5090000000000003</v>
      </c>
      <c r="W432" s="94">
        <f>V432-U432</f>
        <v>0</v>
      </c>
      <c r="X432" s="113"/>
    </row>
    <row r="433" spans="1:28" s="3" customFormat="1" ht="17.100000000000001" customHeight="1">
      <c r="A433" s="583"/>
      <c r="B433" s="581"/>
      <c r="C433" s="581"/>
      <c r="D433" s="178" t="str">
        <f>серпень!D356</f>
        <v>касові нат.п-ки 2025</v>
      </c>
      <c r="E433" s="85"/>
      <c r="F433" s="85"/>
      <c r="G433" s="85">
        <v>126</v>
      </c>
      <c r="H433" s="85">
        <v>116</v>
      </c>
      <c r="I433" s="85">
        <v>98</v>
      </c>
      <c r="J433" s="85">
        <v>168</v>
      </c>
      <c r="K433" s="85">
        <v>110</v>
      </c>
      <c r="L433" s="140">
        <f>SUM(F433:K433)</f>
        <v>618</v>
      </c>
      <c r="M433" s="140">
        <f>L433/6</f>
        <v>103</v>
      </c>
      <c r="N433" s="85">
        <v>28</v>
      </c>
      <c r="O433" s="85">
        <v>52</v>
      </c>
      <c r="P433" s="85"/>
      <c r="Q433" s="85"/>
      <c r="R433" s="85"/>
      <c r="S433" s="85"/>
      <c r="T433" s="140">
        <f>SUM(N433:S433)</f>
        <v>80</v>
      </c>
      <c r="U433" s="140">
        <f>T433+L433</f>
        <v>698</v>
      </c>
      <c r="V433" s="85">
        <f>V428</f>
        <v>126</v>
      </c>
      <c r="W433" s="88">
        <f>V433-U433</f>
        <v>-572</v>
      </c>
      <c r="X433" s="47">
        <f>U428-U433</f>
        <v>0</v>
      </c>
    </row>
    <row r="434" spans="1:28" s="73" customFormat="1" ht="17.100000000000001" customHeight="1">
      <c r="A434" s="583"/>
      <c r="B434" s="581"/>
      <c r="C434" s="581"/>
      <c r="D434" s="187" t="str">
        <f>серпень!D357</f>
        <v>тариф, грн.</v>
      </c>
      <c r="E434" s="92" t="e">
        <f>E435/E433*1000</f>
        <v>#DIV/0!</v>
      </c>
      <c r="F434" s="92" t="e">
        <f t="shared" ref="F434:K434" si="464">F435/F433*1000</f>
        <v>#DIV/0!</v>
      </c>
      <c r="G434" s="92">
        <f t="shared" si="464"/>
        <v>14.183</v>
      </c>
      <c r="H434" s="92">
        <f t="shared" si="464"/>
        <v>14.180999999999999</v>
      </c>
      <c r="I434" s="92">
        <f t="shared" si="464"/>
        <v>14.183999999999999</v>
      </c>
      <c r="J434" s="92">
        <f t="shared" si="464"/>
        <v>14.185</v>
      </c>
      <c r="K434" s="92">
        <f t="shared" si="464"/>
        <v>14.182</v>
      </c>
      <c r="L434" s="92">
        <f>L435/L433*1000</f>
        <v>14.183</v>
      </c>
      <c r="M434" s="105">
        <f>M435/M433*1000</f>
        <v>14.183999999999999</v>
      </c>
      <c r="N434" s="105">
        <f t="shared" ref="N434:O434" si="465">N435/N433*1000</f>
        <v>14.179</v>
      </c>
      <c r="O434" s="105">
        <f t="shared" si="465"/>
        <v>14.192</v>
      </c>
      <c r="P434" s="92">
        <v>14.183999999999999</v>
      </c>
      <c r="Q434" s="92">
        <v>14.183999999999999</v>
      </c>
      <c r="R434" s="92">
        <v>14.183999999999999</v>
      </c>
      <c r="S434" s="92">
        <v>14.183999999999999</v>
      </c>
      <c r="T434" s="105">
        <f>T435/T433*1000</f>
        <v>14.188000000000001</v>
      </c>
      <c r="U434" s="105">
        <f>U435/U433*1000</f>
        <v>14.183</v>
      </c>
      <c r="V434" s="105">
        <f>V435/V433*1000</f>
        <v>35.786000000000001</v>
      </c>
      <c r="W434" s="86">
        <f>W435/W433*1000</f>
        <v>9.4250000000000007</v>
      </c>
      <c r="X434" s="59"/>
      <c r="Y434" s="36"/>
      <c r="Z434" s="36"/>
      <c r="AA434" s="36"/>
      <c r="AB434" s="36"/>
    </row>
    <row r="435" spans="1:28" s="126" customFormat="1" ht="17.100000000000001" customHeight="1">
      <c r="A435" s="583"/>
      <c r="B435" s="581"/>
      <c r="C435" s="581"/>
      <c r="D435" s="198" t="str">
        <f>серпень!D358</f>
        <v>касові видатки, тис.грн.</v>
      </c>
      <c r="E435" s="108"/>
      <c r="F435" s="98">
        <v>0</v>
      </c>
      <c r="G435" s="98">
        <v>1.7869999999999999</v>
      </c>
      <c r="H435" s="98">
        <v>1.645</v>
      </c>
      <c r="I435" s="98">
        <v>1.39</v>
      </c>
      <c r="J435" s="98">
        <v>2.383</v>
      </c>
      <c r="K435" s="98">
        <v>1.56</v>
      </c>
      <c r="L435" s="98">
        <f>SUM(F435:K435)</f>
        <v>8.7650000000000006</v>
      </c>
      <c r="M435" s="98">
        <f>L435/6</f>
        <v>1.4610000000000001</v>
      </c>
      <c r="N435" s="98">
        <v>0.39700000000000002</v>
      </c>
      <c r="O435" s="98">
        <v>0.73799999999999999</v>
      </c>
      <c r="P435" s="98">
        <f t="shared" ref="P435:S435" si="466">P433*P434/1000</f>
        <v>0</v>
      </c>
      <c r="Q435" s="98">
        <f t="shared" si="466"/>
        <v>0</v>
      </c>
      <c r="R435" s="98">
        <f t="shared" si="466"/>
        <v>0</v>
      </c>
      <c r="S435" s="98">
        <f t="shared" si="466"/>
        <v>0</v>
      </c>
      <c r="T435" s="98">
        <f>SUM(N435:S435)</f>
        <v>1.135</v>
      </c>
      <c r="U435" s="98">
        <f>T435+L435</f>
        <v>9.9</v>
      </c>
      <c r="V435" s="98">
        <f>V430</f>
        <v>4.5090000000000003</v>
      </c>
      <c r="W435" s="109">
        <f>V435-U435</f>
        <v>-5.391</v>
      </c>
      <c r="X435" s="63">
        <f>U430-U435</f>
        <v>0</v>
      </c>
    </row>
    <row r="436" spans="1:28" s="126" customFormat="1" ht="17.100000000000001" customHeight="1">
      <c r="A436" s="583"/>
      <c r="B436" s="581"/>
      <c r="C436" s="581"/>
      <c r="D436" s="201" t="str">
        <f>серпень!D359</f>
        <v>дотація</v>
      </c>
      <c r="E436" s="108"/>
      <c r="F436" s="98">
        <v>0</v>
      </c>
      <c r="G436" s="98">
        <v>0</v>
      </c>
      <c r="H436" s="98">
        <v>0</v>
      </c>
      <c r="I436" s="98">
        <v>0</v>
      </c>
      <c r="J436" s="98">
        <v>0</v>
      </c>
      <c r="K436" s="98">
        <v>0</v>
      </c>
      <c r="L436" s="98">
        <f>SUM(F436:K436)</f>
        <v>0</v>
      </c>
      <c r="M436" s="98">
        <f>L436/6</f>
        <v>0</v>
      </c>
      <c r="N436" s="98">
        <v>0</v>
      </c>
      <c r="O436" s="98">
        <v>0</v>
      </c>
      <c r="P436" s="98">
        <v>0</v>
      </c>
      <c r="Q436" s="98">
        <v>0</v>
      </c>
      <c r="R436" s="98">
        <v>0</v>
      </c>
      <c r="S436" s="98">
        <v>0</v>
      </c>
      <c r="T436" s="98">
        <f>SUM(N436:S436)</f>
        <v>0</v>
      </c>
      <c r="U436" s="98">
        <f>T436+L436</f>
        <v>0</v>
      </c>
      <c r="V436" s="98">
        <f>V431</f>
        <v>0</v>
      </c>
      <c r="W436" s="109">
        <f>V436-U436</f>
        <v>0</v>
      </c>
      <c r="X436" s="63">
        <f>U431-U436</f>
        <v>0</v>
      </c>
    </row>
    <row r="437" spans="1:28" s="126" customFormat="1" ht="17.100000000000001" customHeight="1">
      <c r="A437" s="583"/>
      <c r="B437" s="581"/>
      <c r="C437" s="581"/>
      <c r="D437" s="201" t="str">
        <f>серпень!D360</f>
        <v xml:space="preserve">місцевий </v>
      </c>
      <c r="E437" s="108"/>
      <c r="F437" s="98">
        <f t="shared" ref="F437:K437" si="467">F435-F436</f>
        <v>0</v>
      </c>
      <c r="G437" s="98">
        <f t="shared" si="467"/>
        <v>1.7869999999999999</v>
      </c>
      <c r="H437" s="98">
        <f t="shared" si="467"/>
        <v>1.645</v>
      </c>
      <c r="I437" s="98">
        <f t="shared" si="467"/>
        <v>1.39</v>
      </c>
      <c r="J437" s="98">
        <f t="shared" si="467"/>
        <v>2.383</v>
      </c>
      <c r="K437" s="98">
        <f t="shared" si="467"/>
        <v>1.56</v>
      </c>
      <c r="L437" s="98">
        <f>SUM(F437:K437)</f>
        <v>8.7650000000000006</v>
      </c>
      <c r="M437" s="98">
        <f>L437/6</f>
        <v>1.4610000000000001</v>
      </c>
      <c r="N437" s="98">
        <f t="shared" ref="N437:S437" si="468">N435-N436</f>
        <v>0.39700000000000002</v>
      </c>
      <c r="O437" s="98">
        <f t="shared" si="468"/>
        <v>0.73799999999999999</v>
      </c>
      <c r="P437" s="98">
        <f t="shared" si="468"/>
        <v>0</v>
      </c>
      <c r="Q437" s="98">
        <f t="shared" si="468"/>
        <v>0</v>
      </c>
      <c r="R437" s="98">
        <f t="shared" si="468"/>
        <v>0</v>
      </c>
      <c r="S437" s="98">
        <f t="shared" si="468"/>
        <v>0</v>
      </c>
      <c r="T437" s="98">
        <f>SUM(N437:S437)</f>
        <v>1.135</v>
      </c>
      <c r="U437" s="98">
        <f>T437+L437</f>
        <v>9.9</v>
      </c>
      <c r="V437" s="98">
        <f>V432</f>
        <v>4.5090000000000003</v>
      </c>
      <c r="W437" s="109">
        <f>V437-U437</f>
        <v>-5.391</v>
      </c>
      <c r="X437" s="63">
        <f>U432-U437</f>
        <v>-5.391</v>
      </c>
    </row>
    <row r="438" spans="1:28" s="43" customFormat="1" ht="17.100000000000001" customHeight="1">
      <c r="A438" s="583"/>
      <c r="B438" s="581"/>
      <c r="C438" s="581"/>
      <c r="D438" s="202" t="str">
        <f>серпень!D361</f>
        <v>план</v>
      </c>
      <c r="E438" s="100"/>
      <c r="F438" s="100">
        <f t="shared" ref="F438:K438" si="469">F431+F432</f>
        <v>1.073</v>
      </c>
      <c r="G438" s="100">
        <f t="shared" si="469"/>
        <v>0.71399999999999997</v>
      </c>
      <c r="H438" s="100">
        <f t="shared" si="469"/>
        <v>1.649</v>
      </c>
      <c r="I438" s="100">
        <f t="shared" si="469"/>
        <v>0</v>
      </c>
      <c r="J438" s="100">
        <f t="shared" si="469"/>
        <v>1.073</v>
      </c>
      <c r="K438" s="100">
        <f t="shared" si="469"/>
        <v>0</v>
      </c>
      <c r="L438" s="100">
        <f>SUM(F438:K438)</f>
        <v>4.5090000000000003</v>
      </c>
      <c r="M438" s="100">
        <f>L438/6</f>
        <v>0.752</v>
      </c>
      <c r="N438" s="100">
        <f t="shared" ref="N438:S438" si="470">N432+N431</f>
        <v>0</v>
      </c>
      <c r="O438" s="100">
        <f t="shared" si="470"/>
        <v>0</v>
      </c>
      <c r="P438" s="100">
        <f t="shared" si="470"/>
        <v>0</v>
      </c>
      <c r="Q438" s="100">
        <f t="shared" si="470"/>
        <v>0</v>
      </c>
      <c r="R438" s="100">
        <f t="shared" si="470"/>
        <v>0</v>
      </c>
      <c r="S438" s="100">
        <f t="shared" si="470"/>
        <v>0</v>
      </c>
      <c r="T438" s="100">
        <f>SUM(N438:S438)</f>
        <v>0</v>
      </c>
      <c r="U438" s="100">
        <f>T438+L438</f>
        <v>4.5090000000000003</v>
      </c>
      <c r="V438" s="100">
        <f>V435</f>
        <v>4.5090000000000003</v>
      </c>
      <c r="W438" s="100">
        <f>V438-U438</f>
        <v>0</v>
      </c>
    </row>
    <row r="439" spans="1:28" s="43" customFormat="1" ht="17.100000000000001" customHeight="1">
      <c r="A439" s="583"/>
      <c r="B439" s="581"/>
      <c r="C439" s="581"/>
      <c r="D439" s="202" t="str">
        <f>серпень!D362</f>
        <v xml:space="preserve">відхилення </v>
      </c>
      <c r="E439" s="100"/>
      <c r="F439" s="100">
        <f t="shared" ref="F439:K439" si="471">F435-F438</f>
        <v>-1.073</v>
      </c>
      <c r="G439" s="100">
        <f t="shared" si="471"/>
        <v>1.073</v>
      </c>
      <c r="H439" s="100">
        <f t="shared" si="471"/>
        <v>-4.0000000000000001E-3</v>
      </c>
      <c r="I439" s="100">
        <f t="shared" si="471"/>
        <v>1.39</v>
      </c>
      <c r="J439" s="100">
        <f t="shared" si="471"/>
        <v>1.31</v>
      </c>
      <c r="K439" s="100">
        <f t="shared" si="471"/>
        <v>1.56</v>
      </c>
      <c r="L439" s="100"/>
      <c r="M439" s="100"/>
      <c r="N439" s="100">
        <f t="shared" ref="N439:S439" si="472">N435-N438</f>
        <v>0.39700000000000002</v>
      </c>
      <c r="O439" s="100">
        <f t="shared" si="472"/>
        <v>0.73799999999999999</v>
      </c>
      <c r="P439" s="100">
        <f t="shared" si="472"/>
        <v>0</v>
      </c>
      <c r="Q439" s="100">
        <f t="shared" si="472"/>
        <v>0</v>
      </c>
      <c r="R439" s="100">
        <f t="shared" si="472"/>
        <v>0</v>
      </c>
      <c r="S439" s="100">
        <f t="shared" si="472"/>
        <v>0</v>
      </c>
      <c r="T439" s="100"/>
      <c r="U439" s="100"/>
      <c r="V439" s="100"/>
      <c r="W439" s="100"/>
    </row>
    <row r="440" spans="1:28" s="43" customFormat="1" ht="17.100000000000001" customHeight="1">
      <c r="A440" s="583"/>
      <c r="B440" s="581"/>
      <c r="C440" s="581"/>
      <c r="D440" s="202" t="str">
        <f>серпень!D363</f>
        <v>відхилення з наростаючим</v>
      </c>
      <c r="E440" s="100"/>
      <c r="F440" s="100">
        <f>F439</f>
        <v>-1.073</v>
      </c>
      <c r="G440" s="100">
        <f>G439+F440</f>
        <v>0</v>
      </c>
      <c r="H440" s="100">
        <f>H439+G440</f>
        <v>-4.0000000000000001E-3</v>
      </c>
      <c r="I440" s="100">
        <f>I439+H440</f>
        <v>1.3859999999999999</v>
      </c>
      <c r="J440" s="100">
        <f>J439+I440</f>
        <v>2.6960000000000002</v>
      </c>
      <c r="K440" s="100">
        <f>K439+J440</f>
        <v>4.2560000000000002</v>
      </c>
      <c r="L440" s="100"/>
      <c r="M440" s="100"/>
      <c r="N440" s="100">
        <f>N439+K440</f>
        <v>4.6529999999999996</v>
      </c>
      <c r="O440" s="100">
        <f>O439+N440</f>
        <v>5.391</v>
      </c>
      <c r="P440" s="100">
        <f>P439+O440</f>
        <v>5.391</v>
      </c>
      <c r="Q440" s="100">
        <f>Q439+P440</f>
        <v>5.391</v>
      </c>
      <c r="R440" s="100">
        <f>R439+Q440</f>
        <v>5.391</v>
      </c>
      <c r="S440" s="100">
        <f>S439+R440</f>
        <v>5.391</v>
      </c>
      <c r="T440" s="100"/>
      <c r="U440" s="100"/>
      <c r="V440" s="100"/>
      <c r="W440" s="100"/>
    </row>
    <row r="441" spans="1:28" s="43" customFormat="1" hidden="1">
      <c r="A441" s="583"/>
      <c r="B441" s="580" t="s">
        <v>96</v>
      </c>
      <c r="C441" s="575"/>
      <c r="D441" s="178" t="str">
        <f>серпень!D364</f>
        <v>факт. нат.п-ки 2023</v>
      </c>
      <c r="E441" s="179"/>
      <c r="F441" s="180"/>
      <c r="G441" s="180"/>
      <c r="H441" s="180"/>
      <c r="I441" s="180"/>
      <c r="J441" s="180"/>
      <c r="K441" s="180"/>
      <c r="L441" s="215">
        <f>SUM(F441:K441)</f>
        <v>0</v>
      </c>
      <c r="M441" s="215">
        <f>L441/6</f>
        <v>0</v>
      </c>
      <c r="N441" s="180"/>
      <c r="O441" s="180"/>
      <c r="P441" s="180"/>
      <c r="Q441" s="180"/>
      <c r="R441" s="180"/>
      <c r="S441" s="180"/>
      <c r="T441" s="215">
        <f>SUM(N441:S441)</f>
        <v>0</v>
      </c>
      <c r="U441" s="226">
        <f>T441+L441</f>
        <v>0</v>
      </c>
      <c r="V441" s="227"/>
      <c r="W441" s="184">
        <f>V441-U441</f>
        <v>0</v>
      </c>
    </row>
    <row r="442" spans="1:28" s="43" customFormat="1" hidden="1">
      <c r="A442" s="583"/>
      <c r="B442" s="576"/>
      <c r="C442" s="577"/>
      <c r="D442" s="178" t="str">
        <f>серпень!D365</f>
        <v>факт. нат.п-ки 2024</v>
      </c>
      <c r="E442" s="179"/>
      <c r="F442" s="180"/>
      <c r="G442" s="180"/>
      <c r="H442" s="180"/>
      <c r="I442" s="180"/>
      <c r="J442" s="180"/>
      <c r="K442" s="180"/>
      <c r="L442" s="215">
        <f>SUM(F442:K442)</f>
        <v>0</v>
      </c>
      <c r="M442" s="215">
        <f>L442/6</f>
        <v>0</v>
      </c>
      <c r="N442" s="179"/>
      <c r="O442" s="179"/>
      <c r="P442" s="179"/>
      <c r="Q442" s="179"/>
      <c r="R442" s="179"/>
      <c r="S442" s="179"/>
      <c r="T442" s="215">
        <f>SUM(N442:S442)</f>
        <v>0</v>
      </c>
      <c r="U442" s="226">
        <f>T442+L442</f>
        <v>0</v>
      </c>
      <c r="V442" s="227"/>
      <c r="W442" s="184">
        <f>V442-U442</f>
        <v>0</v>
      </c>
    </row>
    <row r="443" spans="1:28" s="43" customFormat="1" hidden="1">
      <c r="A443" s="583"/>
      <c r="B443" s="576"/>
      <c r="C443" s="577"/>
      <c r="D443" s="178" t="str">
        <f>серпень!D366</f>
        <v>факт. нат.п-ки 2025</v>
      </c>
      <c r="E443" s="179"/>
      <c r="F443" s="180"/>
      <c r="G443" s="180"/>
      <c r="H443" s="180"/>
      <c r="I443" s="180"/>
      <c r="J443" s="180"/>
      <c r="K443" s="180"/>
      <c r="L443" s="215">
        <f>SUM(F443:K443)</f>
        <v>0</v>
      </c>
      <c r="M443" s="215">
        <f>L443/6</f>
        <v>0</v>
      </c>
      <c r="N443" s="180"/>
      <c r="O443" s="180"/>
      <c r="P443" s="180"/>
      <c r="Q443" s="180"/>
      <c r="R443" s="180"/>
      <c r="S443" s="179"/>
      <c r="T443" s="215">
        <f>SUM(N443:S443)</f>
        <v>0</v>
      </c>
      <c r="U443" s="226">
        <f>T443+L443</f>
        <v>0</v>
      </c>
      <c r="V443" s="179"/>
      <c r="W443" s="184">
        <f>V443-U443</f>
        <v>0</v>
      </c>
    </row>
    <row r="444" spans="1:28" s="43" customFormat="1" hidden="1">
      <c r="A444" s="583"/>
      <c r="B444" s="576"/>
      <c r="C444" s="577"/>
      <c r="D444" s="187" t="str">
        <f>серпень!D367</f>
        <v>тариф, грн.</v>
      </c>
      <c r="E444" s="188"/>
      <c r="F444" s="188"/>
      <c r="G444" s="188"/>
      <c r="H444" s="188"/>
      <c r="I444" s="188"/>
      <c r="J444" s="188"/>
      <c r="K444" s="188"/>
      <c r="L444" s="188" t="e">
        <f>L445/L443*1000</f>
        <v>#DIV/0!</v>
      </c>
      <c r="M444" s="188" t="e">
        <f>M445/M443*1000</f>
        <v>#DIV/0!</v>
      </c>
      <c r="N444" s="188"/>
      <c r="O444" s="188"/>
      <c r="P444" s="188"/>
      <c r="Q444" s="188"/>
      <c r="R444" s="188"/>
      <c r="S444" s="188"/>
      <c r="T444" s="188" t="e">
        <f>T445/T443*1000</f>
        <v>#DIV/0!</v>
      </c>
      <c r="U444" s="188" t="e">
        <f>U445/U443*1000</f>
        <v>#DIV/0!</v>
      </c>
      <c r="V444" s="218" t="e">
        <f>V445/V443*1000</f>
        <v>#DIV/0!</v>
      </c>
      <c r="W444" s="189" t="e">
        <f>W445/W443*1000</f>
        <v>#DIV/0!</v>
      </c>
    </row>
    <row r="445" spans="1:28" s="43" customFormat="1" hidden="1">
      <c r="A445" s="583"/>
      <c r="B445" s="576"/>
      <c r="C445" s="577"/>
      <c r="D445" s="191" t="str">
        <f>серпень!D368</f>
        <v>сума, тис.грн.</v>
      </c>
      <c r="E445" s="192"/>
      <c r="F445" s="192">
        <f t="shared" ref="F445:K445" si="473">F443*F444/1000</f>
        <v>0</v>
      </c>
      <c r="G445" s="192">
        <f t="shared" si="473"/>
        <v>0</v>
      </c>
      <c r="H445" s="192">
        <f t="shared" si="473"/>
        <v>0</v>
      </c>
      <c r="I445" s="192">
        <f t="shared" si="473"/>
        <v>0</v>
      </c>
      <c r="J445" s="192">
        <f t="shared" si="473"/>
        <v>0</v>
      </c>
      <c r="K445" s="192">
        <f t="shared" si="473"/>
        <v>0</v>
      </c>
      <c r="L445" s="194">
        <f>SUM(F445:K445)</f>
        <v>0</v>
      </c>
      <c r="M445" s="194">
        <f>L445/6</f>
        <v>0</v>
      </c>
      <c r="N445" s="192">
        <f t="shared" ref="N445:S445" si="474">N443*N444/1000</f>
        <v>0</v>
      </c>
      <c r="O445" s="192">
        <f t="shared" si="474"/>
        <v>0</v>
      </c>
      <c r="P445" s="192">
        <f t="shared" si="474"/>
        <v>0</v>
      </c>
      <c r="Q445" s="192">
        <f t="shared" si="474"/>
        <v>0</v>
      </c>
      <c r="R445" s="192">
        <f t="shared" si="474"/>
        <v>0</v>
      </c>
      <c r="S445" s="192">
        <f t="shared" si="474"/>
        <v>0</v>
      </c>
      <c r="T445" s="194">
        <f>SUM(N445:S445)</f>
        <v>0</v>
      </c>
      <c r="U445" s="194">
        <f>T445+L445</f>
        <v>0</v>
      </c>
      <c r="V445" s="171">
        <f>V446+V447</f>
        <v>0</v>
      </c>
      <c r="W445" s="193">
        <f>V445-U445</f>
        <v>0</v>
      </c>
    </row>
    <row r="446" spans="1:28" s="43" customFormat="1" hidden="1">
      <c r="A446" s="583"/>
      <c r="B446" s="576"/>
      <c r="C446" s="577"/>
      <c r="D446" s="174" t="str">
        <f>серпень!D369</f>
        <v>дотація</v>
      </c>
      <c r="E446" s="210"/>
      <c r="F446" s="192"/>
      <c r="G446" s="192"/>
      <c r="H446" s="192"/>
      <c r="I446" s="192"/>
      <c r="J446" s="192"/>
      <c r="K446" s="192"/>
      <c r="L446" s="194">
        <f>SUM(F446:K446)</f>
        <v>0</v>
      </c>
      <c r="M446" s="194">
        <f>L446/6</f>
        <v>0</v>
      </c>
      <c r="N446" s="192"/>
      <c r="O446" s="192"/>
      <c r="P446" s="192"/>
      <c r="Q446" s="192"/>
      <c r="R446" s="192"/>
      <c r="S446" s="192"/>
      <c r="T446" s="194">
        <f>SUM(N446:S446)</f>
        <v>0</v>
      </c>
      <c r="U446" s="194">
        <f>T446+L446</f>
        <v>0</v>
      </c>
      <c r="V446" s="171"/>
      <c r="W446" s="193">
        <f>V446-U446</f>
        <v>0</v>
      </c>
    </row>
    <row r="447" spans="1:28" s="43" customFormat="1" hidden="1">
      <c r="A447" s="583"/>
      <c r="B447" s="576"/>
      <c r="C447" s="577"/>
      <c r="D447" s="174" t="str">
        <f>серпень!D370</f>
        <v>місцевий (план), тис.грн</v>
      </c>
      <c r="E447" s="210"/>
      <c r="F447" s="192"/>
      <c r="G447" s="192"/>
      <c r="H447" s="192"/>
      <c r="I447" s="192"/>
      <c r="J447" s="192"/>
      <c r="K447" s="192"/>
      <c r="L447" s="194">
        <f>SUM(F447:K447)</f>
        <v>0</v>
      </c>
      <c r="M447" s="194">
        <f>L447/6</f>
        <v>0</v>
      </c>
      <c r="N447" s="192"/>
      <c r="O447" s="192"/>
      <c r="P447" s="192"/>
      <c r="Q447" s="192"/>
      <c r="R447" s="192"/>
      <c r="S447" s="192"/>
      <c r="T447" s="194">
        <f>SUM(N447:S447)</f>
        <v>0</v>
      </c>
      <c r="U447" s="194">
        <f>T447+L447</f>
        <v>0</v>
      </c>
      <c r="V447" s="171"/>
      <c r="W447" s="193">
        <f>V447-U447</f>
        <v>0</v>
      </c>
    </row>
    <row r="448" spans="1:28" s="43" customFormat="1" hidden="1">
      <c r="A448" s="583"/>
      <c r="B448" s="576"/>
      <c r="C448" s="577"/>
      <c r="D448" s="178" t="str">
        <f>серпень!D371</f>
        <v>касові нат.п-ки 2025</v>
      </c>
      <c r="E448" s="179"/>
      <c r="F448" s="179"/>
      <c r="G448" s="179"/>
      <c r="H448" s="179"/>
      <c r="I448" s="179"/>
      <c r="J448" s="179"/>
      <c r="K448" s="179"/>
      <c r="L448" s="215">
        <f>SUM(F448:K448)</f>
        <v>0</v>
      </c>
      <c r="M448" s="215">
        <f>L448/6</f>
        <v>0</v>
      </c>
      <c r="N448" s="179"/>
      <c r="O448" s="179"/>
      <c r="P448" s="179"/>
      <c r="Q448" s="179"/>
      <c r="R448" s="179"/>
      <c r="S448" s="179">
        <f>S443+R443</f>
        <v>0</v>
      </c>
      <c r="T448" s="215">
        <f>SUM(N448:S448)</f>
        <v>0</v>
      </c>
      <c r="U448" s="215">
        <f>T448+L448</f>
        <v>0</v>
      </c>
      <c r="V448" s="179">
        <f>V443</f>
        <v>0</v>
      </c>
      <c r="W448" s="184">
        <f>V448-U448</f>
        <v>0</v>
      </c>
    </row>
    <row r="449" spans="1:28" s="43" customFormat="1" hidden="1">
      <c r="A449" s="583"/>
      <c r="B449" s="576"/>
      <c r="C449" s="577"/>
      <c r="D449" s="187" t="str">
        <f>серпень!D372</f>
        <v>тариф, грн.</v>
      </c>
      <c r="E449" s="188" t="e">
        <f>E450/E448*1000</f>
        <v>#DIV/0!</v>
      </c>
      <c r="F449" s="188"/>
      <c r="G449" s="188"/>
      <c r="H449" s="188"/>
      <c r="I449" s="188"/>
      <c r="J449" s="188"/>
      <c r="K449" s="188"/>
      <c r="L449" s="188" t="e">
        <f>L450/L448*1000</f>
        <v>#DIV/0!</v>
      </c>
      <c r="M449" s="188" t="e">
        <f>M450/M448*1000</f>
        <v>#DIV/0!</v>
      </c>
      <c r="N449" s="188"/>
      <c r="O449" s="188"/>
      <c r="P449" s="188"/>
      <c r="Q449" s="188"/>
      <c r="R449" s="188"/>
      <c r="S449" s="188"/>
      <c r="T449" s="188" t="e">
        <f>T450/T448*1000</f>
        <v>#DIV/0!</v>
      </c>
      <c r="U449" s="188" t="e">
        <f>U450/U448*1000</f>
        <v>#DIV/0!</v>
      </c>
      <c r="V449" s="218" t="e">
        <f>V450/V448*1000</f>
        <v>#DIV/0!</v>
      </c>
      <c r="W449" s="189" t="e">
        <f>W450/W448*1000</f>
        <v>#DIV/0!</v>
      </c>
    </row>
    <row r="450" spans="1:28" s="43" customFormat="1" hidden="1">
      <c r="A450" s="583"/>
      <c r="B450" s="576"/>
      <c r="C450" s="577"/>
      <c r="D450" s="198" t="str">
        <f>серпень!D373</f>
        <v>касові видатки, тис.грн.</v>
      </c>
      <c r="E450" s="220"/>
      <c r="F450" s="199">
        <f t="shared" ref="F450:K450" si="475">F448*F449/1000</f>
        <v>0</v>
      </c>
      <c r="G450" s="199">
        <f t="shared" si="475"/>
        <v>0</v>
      </c>
      <c r="H450" s="199">
        <f t="shared" si="475"/>
        <v>0</v>
      </c>
      <c r="I450" s="199">
        <f t="shared" si="475"/>
        <v>0</v>
      </c>
      <c r="J450" s="199">
        <f t="shared" si="475"/>
        <v>0</v>
      </c>
      <c r="K450" s="199">
        <f t="shared" si="475"/>
        <v>0</v>
      </c>
      <c r="L450" s="199">
        <f>SUM(F450:K450)</f>
        <v>0</v>
      </c>
      <c r="M450" s="199">
        <f>L450/6</f>
        <v>0</v>
      </c>
      <c r="N450" s="199">
        <f t="shared" ref="N450:S450" si="476">N448*N449/1000</f>
        <v>0</v>
      </c>
      <c r="O450" s="199">
        <f t="shared" si="476"/>
        <v>0</v>
      </c>
      <c r="P450" s="199">
        <f t="shared" si="476"/>
        <v>0</v>
      </c>
      <c r="Q450" s="199">
        <f t="shared" si="476"/>
        <v>0</v>
      </c>
      <c r="R450" s="199">
        <f t="shared" si="476"/>
        <v>0</v>
      </c>
      <c r="S450" s="199">
        <f t="shared" si="476"/>
        <v>0</v>
      </c>
      <c r="T450" s="199">
        <f>SUM(N450:S450)</f>
        <v>0</v>
      </c>
      <c r="U450" s="199">
        <f>T450+L450</f>
        <v>0</v>
      </c>
      <c r="V450" s="199">
        <f>V445</f>
        <v>0</v>
      </c>
      <c r="W450" s="221">
        <f>V450-U450</f>
        <v>0</v>
      </c>
    </row>
    <row r="451" spans="1:28" s="43" customFormat="1" hidden="1">
      <c r="A451" s="583"/>
      <c r="B451" s="576"/>
      <c r="C451" s="577"/>
      <c r="D451" s="201" t="str">
        <f>серпень!D374</f>
        <v>дотація</v>
      </c>
      <c r="E451" s="220"/>
      <c r="F451" s="199"/>
      <c r="G451" s="199"/>
      <c r="H451" s="199"/>
      <c r="I451" s="199"/>
      <c r="J451" s="199"/>
      <c r="K451" s="199"/>
      <c r="L451" s="199">
        <f>SUM(F451:K451)</f>
        <v>0</v>
      </c>
      <c r="M451" s="199">
        <f>L451/6</f>
        <v>0</v>
      </c>
      <c r="N451" s="199"/>
      <c r="O451" s="199"/>
      <c r="P451" s="199"/>
      <c r="Q451" s="199"/>
      <c r="R451" s="199"/>
      <c r="S451" s="199"/>
      <c r="T451" s="199">
        <f>SUM(N451:S451)</f>
        <v>0</v>
      </c>
      <c r="U451" s="199">
        <f>T451+L451</f>
        <v>0</v>
      </c>
      <c r="V451" s="199">
        <f>V446</f>
        <v>0</v>
      </c>
      <c r="W451" s="221">
        <f>V451-U451</f>
        <v>0</v>
      </c>
    </row>
    <row r="452" spans="1:28" s="43" customFormat="1" hidden="1">
      <c r="A452" s="583"/>
      <c r="B452" s="576"/>
      <c r="C452" s="577"/>
      <c r="D452" s="201" t="str">
        <f>серпень!D375</f>
        <v xml:space="preserve">місцевий </v>
      </c>
      <c r="E452" s="220"/>
      <c r="F452" s="199">
        <f t="shared" ref="F452:K452" si="477">F450-F451</f>
        <v>0</v>
      </c>
      <c r="G452" s="199">
        <f t="shared" si="477"/>
        <v>0</v>
      </c>
      <c r="H452" s="199">
        <f t="shared" si="477"/>
        <v>0</v>
      </c>
      <c r="I452" s="199">
        <f t="shared" si="477"/>
        <v>0</v>
      </c>
      <c r="J452" s="199">
        <f t="shared" si="477"/>
        <v>0</v>
      </c>
      <c r="K452" s="199">
        <f t="shared" si="477"/>
        <v>0</v>
      </c>
      <c r="L452" s="199">
        <f>SUM(F452:K452)</f>
        <v>0</v>
      </c>
      <c r="M452" s="199">
        <f>L452/6</f>
        <v>0</v>
      </c>
      <c r="N452" s="199">
        <f t="shared" ref="N452:S452" si="478">N450-N451</f>
        <v>0</v>
      </c>
      <c r="O452" s="199">
        <f t="shared" si="478"/>
        <v>0</v>
      </c>
      <c r="P452" s="199">
        <f t="shared" si="478"/>
        <v>0</v>
      </c>
      <c r="Q452" s="199">
        <f t="shared" si="478"/>
        <v>0</v>
      </c>
      <c r="R452" s="199">
        <f t="shared" si="478"/>
        <v>0</v>
      </c>
      <c r="S452" s="199">
        <f t="shared" si="478"/>
        <v>0</v>
      </c>
      <c r="T452" s="199">
        <f>SUM(N452:S452)</f>
        <v>0</v>
      </c>
      <c r="U452" s="199">
        <f>T452+L452</f>
        <v>0</v>
      </c>
      <c r="V452" s="199">
        <f>V447</f>
        <v>0</v>
      </c>
      <c r="W452" s="221">
        <f>V452-U452</f>
        <v>0</v>
      </c>
    </row>
    <row r="453" spans="1:28" s="43" customFormat="1" hidden="1">
      <c r="A453" s="583"/>
      <c r="B453" s="576"/>
      <c r="C453" s="577"/>
      <c r="D453" s="202" t="str">
        <f>серпень!D376</f>
        <v>план</v>
      </c>
      <c r="E453" s="203"/>
      <c r="F453" s="203">
        <f t="shared" ref="F453:K453" si="479">F447</f>
        <v>0</v>
      </c>
      <c r="G453" s="203">
        <f t="shared" si="479"/>
        <v>0</v>
      </c>
      <c r="H453" s="203">
        <f t="shared" si="479"/>
        <v>0</v>
      </c>
      <c r="I453" s="203">
        <f t="shared" si="479"/>
        <v>0</v>
      </c>
      <c r="J453" s="203">
        <f t="shared" si="479"/>
        <v>0</v>
      </c>
      <c r="K453" s="203">
        <f t="shared" si="479"/>
        <v>0</v>
      </c>
      <c r="L453" s="203">
        <f>SUM(F453:K453)</f>
        <v>0</v>
      </c>
      <c r="M453" s="203">
        <f>L453/6</f>
        <v>0</v>
      </c>
      <c r="N453" s="203">
        <f t="shared" ref="N453:S453" si="480">N447+N446</f>
        <v>0</v>
      </c>
      <c r="O453" s="203">
        <f t="shared" si="480"/>
        <v>0</v>
      </c>
      <c r="P453" s="203">
        <f t="shared" si="480"/>
        <v>0</v>
      </c>
      <c r="Q453" s="203">
        <f t="shared" si="480"/>
        <v>0</v>
      </c>
      <c r="R453" s="203">
        <f t="shared" si="480"/>
        <v>0</v>
      </c>
      <c r="S453" s="203">
        <f t="shared" si="480"/>
        <v>0</v>
      </c>
      <c r="T453" s="203">
        <f>SUM(N453:S453)</f>
        <v>0</v>
      </c>
      <c r="U453" s="203">
        <f>T453+L453</f>
        <v>0</v>
      </c>
      <c r="V453" s="203">
        <f>V450</f>
        <v>0</v>
      </c>
      <c r="W453" s="203">
        <f>V453-U453</f>
        <v>0</v>
      </c>
    </row>
    <row r="454" spans="1:28" s="43" customFormat="1" hidden="1">
      <c r="A454" s="583"/>
      <c r="B454" s="576"/>
      <c r="C454" s="577"/>
      <c r="D454" s="202" t="str">
        <f>серпень!D377</f>
        <v xml:space="preserve">відхилення </v>
      </c>
      <c r="E454" s="203"/>
      <c r="F454" s="203">
        <f t="shared" ref="F454:K454" si="481">F450-F453</f>
        <v>0</v>
      </c>
      <c r="G454" s="203">
        <f t="shared" si="481"/>
        <v>0</v>
      </c>
      <c r="H454" s="203">
        <f t="shared" si="481"/>
        <v>0</v>
      </c>
      <c r="I454" s="203">
        <f t="shared" si="481"/>
        <v>0</v>
      </c>
      <c r="J454" s="203">
        <f t="shared" si="481"/>
        <v>0</v>
      </c>
      <c r="K454" s="203">
        <f t="shared" si="481"/>
        <v>0</v>
      </c>
      <c r="L454" s="203"/>
      <c r="M454" s="203"/>
      <c r="N454" s="203">
        <f t="shared" ref="N454:S454" si="482">N450-N453</f>
        <v>0</v>
      </c>
      <c r="O454" s="203">
        <f t="shared" si="482"/>
        <v>0</v>
      </c>
      <c r="P454" s="203">
        <f t="shared" si="482"/>
        <v>0</v>
      </c>
      <c r="Q454" s="203">
        <f t="shared" si="482"/>
        <v>0</v>
      </c>
      <c r="R454" s="203">
        <f t="shared" si="482"/>
        <v>0</v>
      </c>
      <c r="S454" s="203">
        <f t="shared" si="482"/>
        <v>0</v>
      </c>
      <c r="T454" s="203"/>
      <c r="U454" s="203"/>
      <c r="V454" s="203"/>
      <c r="W454" s="203"/>
    </row>
    <row r="455" spans="1:28" s="43" customFormat="1" hidden="1">
      <c r="A455" s="583"/>
      <c r="B455" s="578"/>
      <c r="C455" s="579"/>
      <c r="D455" s="202" t="str">
        <f>серпень!D378</f>
        <v>відхилення з наростаючим</v>
      </c>
      <c r="E455" s="203"/>
      <c r="F455" s="203">
        <f>F454</f>
        <v>0</v>
      </c>
      <c r="G455" s="203">
        <f>G454+F455</f>
        <v>0</v>
      </c>
      <c r="H455" s="203">
        <f>H454+G455</f>
        <v>0</v>
      </c>
      <c r="I455" s="203">
        <f>I454+H455</f>
        <v>0</v>
      </c>
      <c r="J455" s="203">
        <f>J454+I455</f>
        <v>0</v>
      </c>
      <c r="K455" s="203">
        <f>K454+J455</f>
        <v>0</v>
      </c>
      <c r="L455" s="203"/>
      <c r="M455" s="203"/>
      <c r="N455" s="203">
        <f>N454+K455</f>
        <v>0</v>
      </c>
      <c r="O455" s="203">
        <f>O454+N455</f>
        <v>0</v>
      </c>
      <c r="P455" s="203">
        <f>P454+O455</f>
        <v>0</v>
      </c>
      <c r="Q455" s="203">
        <f>Q454+P455</f>
        <v>0</v>
      </c>
      <c r="R455" s="203">
        <f>R454+Q455</f>
        <v>0</v>
      </c>
      <c r="S455" s="203">
        <f>S454+R455</f>
        <v>0</v>
      </c>
      <c r="T455" s="203"/>
      <c r="U455" s="203"/>
      <c r="V455" s="203"/>
      <c r="W455" s="203"/>
    </row>
    <row r="456" spans="1:28" s="10" customFormat="1" hidden="1">
      <c r="A456" s="583"/>
      <c r="B456" s="580" t="s">
        <v>38</v>
      </c>
      <c r="C456" s="575"/>
      <c r="D456" s="178" t="str">
        <f>серпень!D379</f>
        <v>факт. нат.п-ки 2023</v>
      </c>
      <c r="E456" s="85"/>
      <c r="F456" s="12"/>
      <c r="G456" s="12"/>
      <c r="H456" s="12"/>
      <c r="I456" s="12"/>
      <c r="J456" s="12"/>
      <c r="K456" s="12"/>
      <c r="L456" s="140">
        <f>SUM(F456:K456)</f>
        <v>0</v>
      </c>
      <c r="M456" s="140">
        <f>L456/6</f>
        <v>0</v>
      </c>
      <c r="N456" s="12"/>
      <c r="O456" s="12"/>
      <c r="P456" s="12"/>
      <c r="Q456" s="12"/>
      <c r="R456" s="12"/>
      <c r="S456" s="12"/>
      <c r="T456" s="140">
        <f>SUM(N456:S456)</f>
        <v>0</v>
      </c>
      <c r="U456" s="103">
        <f>T456+L456</f>
        <v>0</v>
      </c>
      <c r="V456" s="104"/>
      <c r="W456" s="88">
        <f>V456-U456</f>
        <v>0</v>
      </c>
      <c r="X456" s="36"/>
      <c r="Y456" s="3"/>
      <c r="Z456" s="3"/>
      <c r="AA456" s="3"/>
      <c r="AB456" s="3"/>
    </row>
    <row r="457" spans="1:28" s="48" customFormat="1" hidden="1">
      <c r="A457" s="583"/>
      <c r="B457" s="576"/>
      <c r="C457" s="577"/>
      <c r="D457" s="178" t="str">
        <f>серпень!D380</f>
        <v>факт. нат.п-ки 2024</v>
      </c>
      <c r="E457" s="85"/>
      <c r="F457" s="12"/>
      <c r="G457" s="12"/>
      <c r="H457" s="12"/>
      <c r="I457" s="12"/>
      <c r="J457" s="12"/>
      <c r="K457" s="12"/>
      <c r="L457" s="140">
        <f>SUM(F457:K457)</f>
        <v>0</v>
      </c>
      <c r="M457" s="140">
        <f>L457/6</f>
        <v>0</v>
      </c>
      <c r="N457" s="85"/>
      <c r="O457" s="85"/>
      <c r="P457" s="85"/>
      <c r="Q457" s="85"/>
      <c r="R457" s="85"/>
      <c r="S457" s="85"/>
      <c r="T457" s="140">
        <f>SUM(N457:S457)</f>
        <v>0</v>
      </c>
      <c r="U457" s="103">
        <f>T457+L457</f>
        <v>0</v>
      </c>
      <c r="V457" s="104"/>
      <c r="W457" s="88">
        <f>V457-U457</f>
        <v>0</v>
      </c>
      <c r="X457" s="47"/>
    </row>
    <row r="458" spans="1:28" s="10" customFormat="1" hidden="1">
      <c r="A458" s="583"/>
      <c r="B458" s="576"/>
      <c r="C458" s="577"/>
      <c r="D458" s="178" t="str">
        <f>серпень!D381</f>
        <v>факт. нат.п-ки 2025</v>
      </c>
      <c r="E458" s="85"/>
      <c r="F458" s="12"/>
      <c r="G458" s="12"/>
      <c r="H458" s="12"/>
      <c r="I458" s="12"/>
      <c r="J458" s="12"/>
      <c r="K458" s="12"/>
      <c r="L458" s="140">
        <f>SUM(F458:K458)</f>
        <v>0</v>
      </c>
      <c r="M458" s="140">
        <f>L458/6</f>
        <v>0</v>
      </c>
      <c r="N458" s="12"/>
      <c r="O458" s="12"/>
      <c r="P458" s="12"/>
      <c r="Q458" s="12"/>
      <c r="R458" s="12"/>
      <c r="S458" s="85"/>
      <c r="T458" s="140">
        <f>SUM(N458:S458)</f>
        <v>0</v>
      </c>
      <c r="U458" s="103">
        <f>T458+L458</f>
        <v>0</v>
      </c>
      <c r="V458" s="85"/>
      <c r="W458" s="88">
        <f>V458-U458</f>
        <v>0</v>
      </c>
      <c r="X458" s="36"/>
      <c r="Y458" s="3"/>
      <c r="Z458" s="3"/>
      <c r="AA458" s="3"/>
      <c r="AB458" s="3"/>
    </row>
    <row r="459" spans="1:28" s="114" customFormat="1" hidden="1">
      <c r="A459" s="583"/>
      <c r="B459" s="576"/>
      <c r="C459" s="577"/>
      <c r="D459" s="187" t="str">
        <f>серпень!D382</f>
        <v>тариф, грн.</v>
      </c>
      <c r="E459" s="92"/>
      <c r="F459" s="92">
        <v>10.56</v>
      </c>
      <c r="G459" s="92">
        <v>10.56</v>
      </c>
      <c r="H459" s="92">
        <v>10.56</v>
      </c>
      <c r="I459" s="92">
        <v>10.56</v>
      </c>
      <c r="J459" s="92">
        <v>10.56</v>
      </c>
      <c r="K459" s="92">
        <v>10.56</v>
      </c>
      <c r="L459" s="92" t="e">
        <f>L460/L458*1000</f>
        <v>#DIV/0!</v>
      </c>
      <c r="M459" s="92" t="e">
        <f>M460/M458*1000</f>
        <v>#DIV/0!</v>
      </c>
      <c r="N459" s="92">
        <v>10.56</v>
      </c>
      <c r="O459" s="92">
        <v>10.56</v>
      </c>
      <c r="P459" s="92">
        <v>10.56</v>
      </c>
      <c r="Q459" s="92">
        <v>10.56</v>
      </c>
      <c r="R459" s="92">
        <v>10.56</v>
      </c>
      <c r="S459" s="92">
        <v>10.56</v>
      </c>
      <c r="T459" s="92" t="e">
        <f>T460/T458*1000</f>
        <v>#DIV/0!</v>
      </c>
      <c r="U459" s="92" t="e">
        <f>U460/U458*1000</f>
        <v>#DIV/0!</v>
      </c>
      <c r="V459" s="105" t="e">
        <f>V460/V458*1000</f>
        <v>#DIV/0!</v>
      </c>
      <c r="W459" s="86" t="e">
        <f>W460/W458*1000</f>
        <v>#DIV/0!</v>
      </c>
      <c r="X459" s="36"/>
      <c r="Y459" s="3"/>
      <c r="Z459" s="3"/>
      <c r="AA459" s="3"/>
      <c r="AB459" s="3"/>
    </row>
    <row r="460" spans="1:28" s="114" customFormat="1" hidden="1">
      <c r="A460" s="583"/>
      <c r="B460" s="576"/>
      <c r="C460" s="577"/>
      <c r="D460" s="191" t="str">
        <f>серпень!D383</f>
        <v>сума, тис.грн.</v>
      </c>
      <c r="E460" s="93"/>
      <c r="F460" s="93">
        <f t="shared" ref="F460:K460" si="483">F458*F459/1000</f>
        <v>0</v>
      </c>
      <c r="G460" s="93">
        <f t="shared" si="483"/>
        <v>0</v>
      </c>
      <c r="H460" s="93">
        <f t="shared" si="483"/>
        <v>0</v>
      </c>
      <c r="I460" s="93">
        <f t="shared" si="483"/>
        <v>0</v>
      </c>
      <c r="J460" s="93">
        <f t="shared" si="483"/>
        <v>0</v>
      </c>
      <c r="K460" s="93">
        <f t="shared" si="483"/>
        <v>0</v>
      </c>
      <c r="L460" s="106">
        <f>SUM(F460:K460)</f>
        <v>0</v>
      </c>
      <c r="M460" s="106">
        <f>L460/6</f>
        <v>0</v>
      </c>
      <c r="N460" s="93">
        <f t="shared" ref="N460:S460" si="484">N458*N459/1000</f>
        <v>0</v>
      </c>
      <c r="O460" s="93">
        <f t="shared" si="484"/>
        <v>0</v>
      </c>
      <c r="P460" s="93">
        <f t="shared" si="484"/>
        <v>0</v>
      </c>
      <c r="Q460" s="93">
        <f t="shared" si="484"/>
        <v>0</v>
      </c>
      <c r="R460" s="93">
        <f t="shared" si="484"/>
        <v>0</v>
      </c>
      <c r="S460" s="93">
        <f t="shared" si="484"/>
        <v>0</v>
      </c>
      <c r="T460" s="106">
        <f>SUM(N460:S460)</f>
        <v>0</v>
      </c>
      <c r="U460" s="106">
        <f>T460+L460</f>
        <v>0</v>
      </c>
      <c r="V460" s="107">
        <f>V461+V462</f>
        <v>0</v>
      </c>
      <c r="W460" s="94">
        <f>V460-U460</f>
        <v>0</v>
      </c>
      <c r="X460" s="113"/>
    </row>
    <row r="461" spans="1:28" s="114" customFormat="1" hidden="1">
      <c r="A461" s="583"/>
      <c r="B461" s="576"/>
      <c r="C461" s="577"/>
      <c r="D461" s="174" t="str">
        <f>серпень!D384</f>
        <v>дотація</v>
      </c>
      <c r="E461" s="95"/>
      <c r="F461" s="93"/>
      <c r="G461" s="93"/>
      <c r="H461" s="93"/>
      <c r="I461" s="93"/>
      <c r="J461" s="93"/>
      <c r="K461" s="93"/>
      <c r="L461" s="106">
        <f>SUM(F461:K461)</f>
        <v>0</v>
      </c>
      <c r="M461" s="106">
        <f>L461/6</f>
        <v>0</v>
      </c>
      <c r="N461" s="93"/>
      <c r="O461" s="93"/>
      <c r="P461" s="93"/>
      <c r="Q461" s="93"/>
      <c r="R461" s="93"/>
      <c r="S461" s="93"/>
      <c r="T461" s="106">
        <f>SUM(N461:S461)</f>
        <v>0</v>
      </c>
      <c r="U461" s="106">
        <f>T461+L461</f>
        <v>0</v>
      </c>
      <c r="V461" s="107">
        <v>0</v>
      </c>
      <c r="W461" s="94">
        <f>V461-U461</f>
        <v>0</v>
      </c>
      <c r="X461" s="113"/>
    </row>
    <row r="462" spans="1:28" s="114" customFormat="1" hidden="1">
      <c r="A462" s="583"/>
      <c r="B462" s="576"/>
      <c r="C462" s="577"/>
      <c r="D462" s="174" t="str">
        <f>серпень!D385</f>
        <v>місцевий (план), тис.грн</v>
      </c>
      <c r="E462" s="95"/>
      <c r="F462" s="93"/>
      <c r="G462" s="93"/>
      <c r="H462" s="93"/>
      <c r="I462" s="93"/>
      <c r="J462" s="93"/>
      <c r="K462" s="93"/>
      <c r="L462" s="106">
        <f>SUM(F462:K462)</f>
        <v>0</v>
      </c>
      <c r="M462" s="106">
        <f>L462/6</f>
        <v>0</v>
      </c>
      <c r="N462" s="93"/>
      <c r="O462" s="93"/>
      <c r="P462" s="93"/>
      <c r="Q462" s="93"/>
      <c r="R462" s="93"/>
      <c r="S462" s="93"/>
      <c r="T462" s="106">
        <f>SUM(N462:S462)</f>
        <v>0</v>
      </c>
      <c r="U462" s="106">
        <f>T462+L462</f>
        <v>0</v>
      </c>
      <c r="V462" s="107"/>
      <c r="W462" s="94">
        <f>V462-U462</f>
        <v>0</v>
      </c>
      <c r="X462" s="113"/>
    </row>
    <row r="463" spans="1:28" s="3" customFormat="1" hidden="1">
      <c r="A463" s="583"/>
      <c r="B463" s="576"/>
      <c r="C463" s="577"/>
      <c r="D463" s="178" t="str">
        <f>серпень!D386</f>
        <v>касові нат.п-ки 2025</v>
      </c>
      <c r="E463" s="85"/>
      <c r="F463" s="85"/>
      <c r="G463" s="85"/>
      <c r="H463" s="85"/>
      <c r="I463" s="85"/>
      <c r="J463" s="85"/>
      <c r="K463" s="85"/>
      <c r="L463" s="140">
        <f>SUM(F463:K463)</f>
        <v>0</v>
      </c>
      <c r="M463" s="140">
        <f>L463/6</f>
        <v>0</v>
      </c>
      <c r="N463" s="85"/>
      <c r="O463" s="85"/>
      <c r="P463" s="85"/>
      <c r="Q463" s="85"/>
      <c r="R463" s="85"/>
      <c r="S463" s="85">
        <f>S458+R458</f>
        <v>0</v>
      </c>
      <c r="T463" s="140">
        <f>SUM(N463:S463)</f>
        <v>0</v>
      </c>
      <c r="U463" s="140">
        <f>T463+L463</f>
        <v>0</v>
      </c>
      <c r="V463" s="85">
        <f>V458</f>
        <v>0</v>
      </c>
      <c r="W463" s="88">
        <f>V463-U463</f>
        <v>0</v>
      </c>
      <c r="X463" s="47">
        <f>U458-U463</f>
        <v>0</v>
      </c>
    </row>
    <row r="464" spans="1:28" s="73" customFormat="1" hidden="1">
      <c r="A464" s="583"/>
      <c r="B464" s="576"/>
      <c r="C464" s="577"/>
      <c r="D464" s="187" t="str">
        <f>серпень!D387</f>
        <v>тариф, грн.</v>
      </c>
      <c r="E464" s="92" t="e">
        <f>E465/E463*1000</f>
        <v>#DIV/0!</v>
      </c>
      <c r="F464" s="92">
        <v>10.56</v>
      </c>
      <c r="G464" s="92">
        <v>10.56</v>
      </c>
      <c r="H464" s="92">
        <v>10.56</v>
      </c>
      <c r="I464" s="92">
        <v>10.56</v>
      </c>
      <c r="J464" s="92">
        <v>10.56</v>
      </c>
      <c r="K464" s="92">
        <v>10.56</v>
      </c>
      <c r="L464" s="92" t="e">
        <f>L465/L463*1000</f>
        <v>#DIV/0!</v>
      </c>
      <c r="M464" s="92" t="e">
        <f>M465/M463*1000</f>
        <v>#DIV/0!</v>
      </c>
      <c r="N464" s="92">
        <v>10.56</v>
      </c>
      <c r="O464" s="92">
        <v>10.56</v>
      </c>
      <c r="P464" s="92">
        <v>10.56</v>
      </c>
      <c r="Q464" s="92">
        <v>10.56</v>
      </c>
      <c r="R464" s="92">
        <v>10.56</v>
      </c>
      <c r="S464" s="92">
        <v>10.56</v>
      </c>
      <c r="T464" s="92" t="e">
        <f>T465/T463*1000</f>
        <v>#DIV/0!</v>
      </c>
      <c r="U464" s="92" t="e">
        <f>U465/U463*1000</f>
        <v>#DIV/0!</v>
      </c>
      <c r="V464" s="105" t="e">
        <f>V465/V463*1000</f>
        <v>#DIV/0!</v>
      </c>
      <c r="W464" s="86" t="e">
        <f>W465/W463*1000</f>
        <v>#DIV/0!</v>
      </c>
      <c r="X464" s="59"/>
      <c r="Y464" s="36"/>
      <c r="Z464" s="36"/>
      <c r="AA464" s="36"/>
      <c r="AB464" s="36"/>
    </row>
    <row r="465" spans="1:24" s="126" customFormat="1" hidden="1">
      <c r="A465" s="583"/>
      <c r="B465" s="576"/>
      <c r="C465" s="577"/>
      <c r="D465" s="198" t="str">
        <f>серпень!D388</f>
        <v>касові видатки, тис.грн.</v>
      </c>
      <c r="E465" s="108"/>
      <c r="F465" s="98">
        <f t="shared" ref="F465:K465" si="485">F463*F464/1000</f>
        <v>0</v>
      </c>
      <c r="G465" s="98">
        <f t="shared" si="485"/>
        <v>0</v>
      </c>
      <c r="H465" s="98">
        <f t="shared" si="485"/>
        <v>0</v>
      </c>
      <c r="I465" s="98">
        <f t="shared" si="485"/>
        <v>0</v>
      </c>
      <c r="J465" s="98">
        <f t="shared" si="485"/>
        <v>0</v>
      </c>
      <c r="K465" s="98">
        <f t="shared" si="485"/>
        <v>0</v>
      </c>
      <c r="L465" s="98">
        <f>SUM(F465:K465)</f>
        <v>0</v>
      </c>
      <c r="M465" s="98">
        <f>L465/6</f>
        <v>0</v>
      </c>
      <c r="N465" s="98">
        <f t="shared" ref="N465:S465" si="486">N463*N464/1000</f>
        <v>0</v>
      </c>
      <c r="O465" s="98">
        <f t="shared" si="486"/>
        <v>0</v>
      </c>
      <c r="P465" s="98">
        <f t="shared" si="486"/>
        <v>0</v>
      </c>
      <c r="Q465" s="98">
        <f t="shared" si="486"/>
        <v>0</v>
      </c>
      <c r="R465" s="98">
        <f t="shared" si="486"/>
        <v>0</v>
      </c>
      <c r="S465" s="98">
        <f t="shared" si="486"/>
        <v>0</v>
      </c>
      <c r="T465" s="98">
        <f>SUM(N465:S465)</f>
        <v>0</v>
      </c>
      <c r="U465" s="98">
        <f>T465+L465</f>
        <v>0</v>
      </c>
      <c r="V465" s="98">
        <f>V460</f>
        <v>0</v>
      </c>
      <c r="W465" s="109">
        <f>V465-U465</f>
        <v>0</v>
      </c>
      <c r="X465" s="63">
        <f>U460-U465</f>
        <v>0</v>
      </c>
    </row>
    <row r="466" spans="1:24" s="126" customFormat="1" hidden="1">
      <c r="A466" s="583"/>
      <c r="B466" s="576"/>
      <c r="C466" s="577"/>
      <c r="D466" s="201" t="str">
        <f>серпень!D389</f>
        <v>дотація</v>
      </c>
      <c r="E466" s="108"/>
      <c r="F466" s="98"/>
      <c r="G466" s="98"/>
      <c r="H466" s="98"/>
      <c r="I466" s="98"/>
      <c r="J466" s="98"/>
      <c r="K466" s="98"/>
      <c r="L466" s="98">
        <f>SUM(F466:K466)</f>
        <v>0</v>
      </c>
      <c r="M466" s="98">
        <f>L466/6</f>
        <v>0</v>
      </c>
      <c r="N466" s="98"/>
      <c r="O466" s="98"/>
      <c r="P466" s="98"/>
      <c r="Q466" s="98"/>
      <c r="R466" s="98"/>
      <c r="S466" s="98"/>
      <c r="T466" s="98">
        <f>SUM(N466:S466)</f>
        <v>0</v>
      </c>
      <c r="U466" s="98">
        <f>T466+L466</f>
        <v>0</v>
      </c>
      <c r="V466" s="98">
        <f>V461</f>
        <v>0</v>
      </c>
      <c r="W466" s="109">
        <f>V466-U466</f>
        <v>0</v>
      </c>
      <c r="X466" s="63">
        <f>U461-U466</f>
        <v>0</v>
      </c>
    </row>
    <row r="467" spans="1:24" s="126" customFormat="1" hidden="1">
      <c r="A467" s="583"/>
      <c r="B467" s="576"/>
      <c r="C467" s="577"/>
      <c r="D467" s="201" t="str">
        <f>серпень!D390</f>
        <v xml:space="preserve">місцевий </v>
      </c>
      <c r="E467" s="108"/>
      <c r="F467" s="98">
        <f t="shared" ref="F467:K467" si="487">F465-F466</f>
        <v>0</v>
      </c>
      <c r="G467" s="98">
        <f t="shared" si="487"/>
        <v>0</v>
      </c>
      <c r="H467" s="98">
        <f t="shared" si="487"/>
        <v>0</v>
      </c>
      <c r="I467" s="98">
        <f t="shared" si="487"/>
        <v>0</v>
      </c>
      <c r="J467" s="98">
        <f t="shared" si="487"/>
        <v>0</v>
      </c>
      <c r="K467" s="98">
        <f t="shared" si="487"/>
        <v>0</v>
      </c>
      <c r="L467" s="98">
        <f>SUM(F467:K467)</f>
        <v>0</v>
      </c>
      <c r="M467" s="98">
        <f>L467/6</f>
        <v>0</v>
      </c>
      <c r="N467" s="98">
        <f t="shared" ref="N467:S467" si="488">N465-N466</f>
        <v>0</v>
      </c>
      <c r="O467" s="98">
        <f t="shared" si="488"/>
        <v>0</v>
      </c>
      <c r="P467" s="98">
        <f t="shared" si="488"/>
        <v>0</v>
      </c>
      <c r="Q467" s="98">
        <f t="shared" si="488"/>
        <v>0</v>
      </c>
      <c r="R467" s="98">
        <f t="shared" si="488"/>
        <v>0</v>
      </c>
      <c r="S467" s="98">
        <f t="shared" si="488"/>
        <v>0</v>
      </c>
      <c r="T467" s="98">
        <f>SUM(N467:S467)</f>
        <v>0</v>
      </c>
      <c r="U467" s="98">
        <f>T467+L467</f>
        <v>0</v>
      </c>
      <c r="V467" s="98">
        <f>V462</f>
        <v>0</v>
      </c>
      <c r="W467" s="109">
        <f>V467-U467</f>
        <v>0</v>
      </c>
      <c r="X467" s="63">
        <f>U462-U467</f>
        <v>0</v>
      </c>
    </row>
    <row r="468" spans="1:24" s="43" customFormat="1" hidden="1">
      <c r="A468" s="583"/>
      <c r="B468" s="576"/>
      <c r="C468" s="577"/>
      <c r="D468" s="202" t="str">
        <f>серпень!D391</f>
        <v>план</v>
      </c>
      <c r="E468" s="100"/>
      <c r="F468" s="100">
        <f t="shared" ref="F468:K468" si="489">F462</f>
        <v>0</v>
      </c>
      <c r="G468" s="100">
        <f t="shared" si="489"/>
        <v>0</v>
      </c>
      <c r="H468" s="100">
        <f t="shared" si="489"/>
        <v>0</v>
      </c>
      <c r="I468" s="100">
        <f t="shared" si="489"/>
        <v>0</v>
      </c>
      <c r="J468" s="100">
        <f t="shared" si="489"/>
        <v>0</v>
      </c>
      <c r="K468" s="100">
        <f t="shared" si="489"/>
        <v>0</v>
      </c>
      <c r="L468" s="100">
        <f>SUM(F468:K468)</f>
        <v>0</v>
      </c>
      <c r="M468" s="100">
        <f>L468/6</f>
        <v>0</v>
      </c>
      <c r="N468" s="100">
        <f t="shared" ref="N468:S468" si="490">N462+N461</f>
        <v>0</v>
      </c>
      <c r="O468" s="100">
        <f t="shared" si="490"/>
        <v>0</v>
      </c>
      <c r="P468" s="100">
        <f t="shared" si="490"/>
        <v>0</v>
      </c>
      <c r="Q468" s="100">
        <f t="shared" si="490"/>
        <v>0</v>
      </c>
      <c r="R468" s="100">
        <f t="shared" si="490"/>
        <v>0</v>
      </c>
      <c r="S468" s="100">
        <f t="shared" si="490"/>
        <v>0</v>
      </c>
      <c r="T468" s="100">
        <f>SUM(N468:S468)</f>
        <v>0</v>
      </c>
      <c r="U468" s="100">
        <f>T468+L468</f>
        <v>0</v>
      </c>
      <c r="V468" s="100">
        <f>V465</f>
        <v>0</v>
      </c>
      <c r="W468" s="100">
        <f>V468-U468</f>
        <v>0</v>
      </c>
    </row>
    <row r="469" spans="1:24" s="43" customFormat="1" hidden="1">
      <c r="A469" s="583"/>
      <c r="B469" s="576"/>
      <c r="C469" s="577"/>
      <c r="D469" s="202" t="str">
        <f>серпень!D392</f>
        <v xml:space="preserve">відхилення </v>
      </c>
      <c r="E469" s="100"/>
      <c r="F469" s="100">
        <f t="shared" ref="F469:K469" si="491">F465-F468</f>
        <v>0</v>
      </c>
      <c r="G469" s="100">
        <f t="shared" si="491"/>
        <v>0</v>
      </c>
      <c r="H469" s="100">
        <f t="shared" si="491"/>
        <v>0</v>
      </c>
      <c r="I469" s="100">
        <f t="shared" si="491"/>
        <v>0</v>
      </c>
      <c r="J469" s="100">
        <f t="shared" si="491"/>
        <v>0</v>
      </c>
      <c r="K469" s="100">
        <f t="shared" si="491"/>
        <v>0</v>
      </c>
      <c r="L469" s="100"/>
      <c r="M469" s="100"/>
      <c r="N469" s="100">
        <f t="shared" ref="N469:S469" si="492">N465-N468</f>
        <v>0</v>
      </c>
      <c r="O469" s="100">
        <f t="shared" si="492"/>
        <v>0</v>
      </c>
      <c r="P469" s="100">
        <f t="shared" si="492"/>
        <v>0</v>
      </c>
      <c r="Q469" s="100">
        <f t="shared" si="492"/>
        <v>0</v>
      </c>
      <c r="R469" s="100">
        <f t="shared" si="492"/>
        <v>0</v>
      </c>
      <c r="S469" s="100">
        <f t="shared" si="492"/>
        <v>0</v>
      </c>
      <c r="T469" s="100"/>
      <c r="U469" s="100"/>
      <c r="V469" s="100"/>
      <c r="W469" s="100"/>
    </row>
    <row r="470" spans="1:24" s="43" customFormat="1" hidden="1">
      <c r="A470" s="584"/>
      <c r="B470" s="578"/>
      <c r="C470" s="579"/>
      <c r="D470" s="202" t="str">
        <f>серпень!D393</f>
        <v>відхилення з наростаючим</v>
      </c>
      <c r="E470" s="100"/>
      <c r="F470" s="100">
        <f>F469</f>
        <v>0</v>
      </c>
      <c r="G470" s="100">
        <f>G469+F470</f>
        <v>0</v>
      </c>
      <c r="H470" s="100">
        <f>H469+G470</f>
        <v>0</v>
      </c>
      <c r="I470" s="100">
        <f>I469+H470</f>
        <v>0</v>
      </c>
      <c r="J470" s="100">
        <f>J469+I470</f>
        <v>0</v>
      </c>
      <c r="K470" s="100">
        <f>K469+J470</f>
        <v>0</v>
      </c>
      <c r="L470" s="100"/>
      <c r="M470" s="100"/>
      <c r="N470" s="100">
        <f>N469+K470</f>
        <v>0</v>
      </c>
      <c r="O470" s="100">
        <f>O469+N470</f>
        <v>0</v>
      </c>
      <c r="P470" s="100">
        <f>P469+O470</f>
        <v>0</v>
      </c>
      <c r="Q470" s="100">
        <f>Q469+P470</f>
        <v>0</v>
      </c>
      <c r="R470" s="100">
        <f>R469+Q470</f>
        <v>0</v>
      </c>
      <c r="S470" s="100">
        <f>S469+R470</f>
        <v>0</v>
      </c>
      <c r="T470" s="100"/>
      <c r="U470" s="100"/>
      <c r="V470" s="100"/>
      <c r="W470" s="100"/>
    </row>
    <row r="471" spans="1:24" s="55" customFormat="1">
      <c r="A471" s="591">
        <v>2273</v>
      </c>
      <c r="B471" s="580" t="s">
        <v>26</v>
      </c>
      <c r="C471" s="575"/>
      <c r="D471" s="178" t="str">
        <f>серпень!D394</f>
        <v>факт. нат.п-ки 2023</v>
      </c>
      <c r="E471" s="85"/>
      <c r="F471" s="12">
        <f t="shared" ref="F471:K471" si="493">F486+F501</f>
        <v>3452</v>
      </c>
      <c r="G471" s="12">
        <f t="shared" si="493"/>
        <v>2296</v>
      </c>
      <c r="H471" s="12">
        <f t="shared" si="493"/>
        <v>2091</v>
      </c>
      <c r="I471" s="12">
        <f t="shared" si="493"/>
        <v>5897</v>
      </c>
      <c r="J471" s="12">
        <f t="shared" si="493"/>
        <v>5039</v>
      </c>
      <c r="K471" s="12">
        <f t="shared" si="493"/>
        <v>3588</v>
      </c>
      <c r="L471" s="140">
        <f>SUM(F471:K471)</f>
        <v>22363</v>
      </c>
      <c r="M471" s="140">
        <f>L471/6</f>
        <v>3727.2</v>
      </c>
      <c r="N471" s="12">
        <f t="shared" ref="N471:S471" si="494">N486+N501</f>
        <v>478</v>
      </c>
      <c r="O471" s="12">
        <f t="shared" si="494"/>
        <v>2356.9</v>
      </c>
      <c r="P471" s="12">
        <f t="shared" si="494"/>
        <v>1455</v>
      </c>
      <c r="Q471" s="12">
        <f t="shared" si="494"/>
        <v>3826</v>
      </c>
      <c r="R471" s="12">
        <f t="shared" si="494"/>
        <v>9938.2000000000007</v>
      </c>
      <c r="S471" s="12">
        <f t="shared" si="494"/>
        <v>5832.7</v>
      </c>
      <c r="T471" s="140">
        <f>SUM(N471:S471)</f>
        <v>23886.799999999999</v>
      </c>
      <c r="U471" s="140">
        <f>T471+L471</f>
        <v>46249.8</v>
      </c>
      <c r="V471" s="76">
        <f>V486+V501</f>
        <v>22324.2</v>
      </c>
      <c r="W471" s="88"/>
      <c r="X471" s="47"/>
    </row>
    <row r="472" spans="1:24" s="48" customFormat="1" ht="18" customHeight="1">
      <c r="A472" s="592"/>
      <c r="B472" s="576"/>
      <c r="C472" s="577"/>
      <c r="D472" s="178" t="str">
        <f>серпень!D395</f>
        <v>факт. нат.п-ки 2024</v>
      </c>
      <c r="E472" s="85"/>
      <c r="F472" s="12">
        <f t="shared" ref="F472:K472" si="495">F487+F502</f>
        <v>2877</v>
      </c>
      <c r="G472" s="12">
        <f t="shared" si="495"/>
        <v>1973</v>
      </c>
      <c r="H472" s="12">
        <f t="shared" si="495"/>
        <v>2590</v>
      </c>
      <c r="I472" s="12">
        <f t="shared" si="495"/>
        <v>1753</v>
      </c>
      <c r="J472" s="12">
        <f t="shared" si="495"/>
        <v>1588</v>
      </c>
      <c r="K472" s="12">
        <f t="shared" si="495"/>
        <v>1239</v>
      </c>
      <c r="L472" s="140">
        <f>SUM(F472:K472)</f>
        <v>12020</v>
      </c>
      <c r="M472" s="140">
        <f>L472/6</f>
        <v>2003.3</v>
      </c>
      <c r="N472" s="12">
        <f t="shared" ref="N472:S472" si="496">N487+N502</f>
        <v>915</v>
      </c>
      <c r="O472" s="12">
        <f t="shared" si="496"/>
        <v>1061</v>
      </c>
      <c r="P472" s="12">
        <f t="shared" si="496"/>
        <v>1110</v>
      </c>
      <c r="Q472" s="12">
        <f t="shared" si="496"/>
        <v>2224</v>
      </c>
      <c r="R472" s="12">
        <f t="shared" si="496"/>
        <v>6533.5</v>
      </c>
      <c r="S472" s="12">
        <f t="shared" si="496"/>
        <v>10436.799999999999</v>
      </c>
      <c r="T472" s="140">
        <f>SUM(N472:S472)</f>
        <v>22280.3</v>
      </c>
      <c r="U472" s="140">
        <f>T472+L472</f>
        <v>34300.300000000003</v>
      </c>
      <c r="V472" s="76">
        <f>V487+V502</f>
        <v>27533.3</v>
      </c>
      <c r="W472" s="88"/>
      <c r="X472" s="47"/>
    </row>
    <row r="473" spans="1:24" s="48" customFormat="1" ht="18" customHeight="1">
      <c r="A473" s="592"/>
      <c r="B473" s="576"/>
      <c r="C473" s="577"/>
      <c r="D473" s="178" t="str">
        <f>серпень!D396</f>
        <v>факт. нат.п-ки 2025</v>
      </c>
      <c r="E473" s="85"/>
      <c r="F473" s="12">
        <f t="shared" ref="F473:K473" si="497">F488+F503</f>
        <v>4614</v>
      </c>
      <c r="G473" s="12">
        <f t="shared" si="497"/>
        <v>3691</v>
      </c>
      <c r="H473" s="12">
        <f t="shared" si="497"/>
        <v>2772</v>
      </c>
      <c r="I473" s="12">
        <f t="shared" si="497"/>
        <v>4726</v>
      </c>
      <c r="J473" s="12">
        <f>J488+J503</f>
        <v>3363</v>
      </c>
      <c r="K473" s="12">
        <f t="shared" si="497"/>
        <v>1465</v>
      </c>
      <c r="L473" s="147">
        <f>SUM(F473:K473)</f>
        <v>20631</v>
      </c>
      <c r="M473" s="140">
        <f>L473/6</f>
        <v>3438.5</v>
      </c>
      <c r="N473" s="12">
        <f t="shared" ref="N473:S473" si="498">N488+N503</f>
        <v>1395</v>
      </c>
      <c r="O473" s="12">
        <f t="shared" si="498"/>
        <v>1263</v>
      </c>
      <c r="P473" s="12">
        <f t="shared" si="498"/>
        <v>2631.7</v>
      </c>
      <c r="Q473" s="12">
        <f t="shared" si="498"/>
        <v>3104.3</v>
      </c>
      <c r="R473" s="12">
        <f t="shared" si="498"/>
        <v>6833.8</v>
      </c>
      <c r="S473" s="12">
        <f t="shared" si="498"/>
        <v>10436.799999999999</v>
      </c>
      <c r="T473" s="140">
        <f>SUM(N473:S473)</f>
        <v>25664.6</v>
      </c>
      <c r="U473" s="140">
        <f>T473+L473</f>
        <v>46295.6</v>
      </c>
      <c r="V473" s="76">
        <f>V488+V503</f>
        <v>55277.599999999999</v>
      </c>
      <c r="W473" s="88">
        <f>V473-U473</f>
        <v>8982</v>
      </c>
      <c r="X473" s="47"/>
    </row>
    <row r="474" spans="1:24" s="51" customFormat="1" ht="18" customHeight="1">
      <c r="A474" s="592"/>
      <c r="B474" s="576"/>
      <c r="C474" s="577"/>
      <c r="D474" s="187" t="str">
        <f>серпень!D397</f>
        <v>тариф, грн.</v>
      </c>
      <c r="E474" s="92"/>
      <c r="F474" s="148">
        <f t="shared" ref="F474:S474" si="499">F475/F473*1000</f>
        <v>7.3066800000000001</v>
      </c>
      <c r="G474" s="148">
        <f t="shared" si="499"/>
        <v>7.6196200000000003</v>
      </c>
      <c r="H474" s="148">
        <f t="shared" si="499"/>
        <v>7.5966800000000001</v>
      </c>
      <c r="I474" s="148">
        <f t="shared" si="499"/>
        <v>6.3846800000000004</v>
      </c>
      <c r="J474" s="148">
        <f t="shared" si="499"/>
        <v>6.1222099999999999</v>
      </c>
      <c r="K474" s="148">
        <f t="shared" si="499"/>
        <v>8.0744000000000007</v>
      </c>
      <c r="L474" s="148">
        <f t="shared" si="499"/>
        <v>7.0518599999999996</v>
      </c>
      <c r="M474" s="148">
        <f t="shared" si="499"/>
        <v>7.0519100000000003</v>
      </c>
      <c r="N474" s="149">
        <f t="shared" si="499"/>
        <v>9.1605729999999994</v>
      </c>
      <c r="O474" s="149">
        <f t="shared" si="499"/>
        <v>8.7355499999999999</v>
      </c>
      <c r="P474" s="149">
        <f t="shared" si="499"/>
        <v>6.8161259999999997</v>
      </c>
      <c r="Q474" s="149">
        <f t="shared" si="499"/>
        <v>6.6053540000000002</v>
      </c>
      <c r="R474" s="149">
        <f t="shared" si="499"/>
        <v>8.3012379999999997</v>
      </c>
      <c r="S474" s="149">
        <f t="shared" si="499"/>
        <v>8.6900200000000005</v>
      </c>
      <c r="T474" s="148">
        <f>T475/T473*1000</f>
        <v>8.1700099999999996</v>
      </c>
      <c r="U474" s="148">
        <f>U475/U473*1000</f>
        <v>7.6717199999999997</v>
      </c>
      <c r="V474" s="148">
        <f>V475/V473*1000</f>
        <v>7.4620600000000001</v>
      </c>
      <c r="W474" s="110">
        <f>W475/W473*1000</f>
        <v>6.3814299999999999</v>
      </c>
      <c r="X474" s="59"/>
    </row>
    <row r="475" spans="1:24" s="130" customFormat="1" ht="18" customHeight="1">
      <c r="A475" s="592"/>
      <c r="B475" s="576"/>
      <c r="C475" s="577"/>
      <c r="D475" s="191" t="str">
        <f>серпень!D398</f>
        <v>сума, тис.грн.</v>
      </c>
      <c r="E475" s="93"/>
      <c r="F475" s="93">
        <f t="shared" ref="F475:K475" si="500">F490+F505</f>
        <v>33.713000000000001</v>
      </c>
      <c r="G475" s="93">
        <f t="shared" si="500"/>
        <v>28.123999999999999</v>
      </c>
      <c r="H475" s="93">
        <f t="shared" si="500"/>
        <v>21.058</v>
      </c>
      <c r="I475" s="93">
        <f t="shared" si="500"/>
        <v>30.173999999999999</v>
      </c>
      <c r="J475" s="93">
        <f t="shared" si="500"/>
        <v>20.588999999999999</v>
      </c>
      <c r="K475" s="93">
        <f t="shared" si="500"/>
        <v>11.829000000000001</v>
      </c>
      <c r="L475" s="106">
        <f>SUM(F475:K475)</f>
        <v>145.48699999999999</v>
      </c>
      <c r="M475" s="106">
        <f>L475/6</f>
        <v>24.248000000000001</v>
      </c>
      <c r="N475" s="93">
        <f t="shared" ref="N475:S478" si="501">N490+N505</f>
        <v>12.779</v>
      </c>
      <c r="O475" s="93">
        <f t="shared" si="501"/>
        <v>11.032999999999999</v>
      </c>
      <c r="P475" s="93">
        <f t="shared" si="501"/>
        <v>17.937999999999999</v>
      </c>
      <c r="Q475" s="93">
        <f t="shared" si="501"/>
        <v>20.504999999999999</v>
      </c>
      <c r="R475" s="93">
        <f t="shared" si="501"/>
        <v>56.728999999999999</v>
      </c>
      <c r="S475" s="93">
        <f t="shared" si="501"/>
        <v>90.695999999999998</v>
      </c>
      <c r="T475" s="106">
        <f>SUM(N475:S475)</f>
        <v>209.68</v>
      </c>
      <c r="U475" s="106">
        <f>T475+L475</f>
        <v>355.16699999999997</v>
      </c>
      <c r="V475" s="93">
        <f>V490+V505</f>
        <v>412.48500000000001</v>
      </c>
      <c r="W475" s="93">
        <f>V475-U475</f>
        <v>57.317999999999998</v>
      </c>
    </row>
    <row r="476" spans="1:24" s="130" customFormat="1" ht="18" customHeight="1">
      <c r="A476" s="592"/>
      <c r="B476" s="576"/>
      <c r="C476" s="577"/>
      <c r="D476" s="174" t="str">
        <f>серпень!D399</f>
        <v>дотація</v>
      </c>
      <c r="E476" s="93"/>
      <c r="F476" s="93">
        <f t="shared" ref="F476:K478" si="502">F491+F506</f>
        <v>0</v>
      </c>
      <c r="G476" s="93">
        <f t="shared" si="502"/>
        <v>0</v>
      </c>
      <c r="H476" s="93">
        <f t="shared" si="502"/>
        <v>0</v>
      </c>
      <c r="I476" s="93">
        <f t="shared" si="502"/>
        <v>0</v>
      </c>
      <c r="J476" s="93">
        <f>J491+J506</f>
        <v>0</v>
      </c>
      <c r="K476" s="93">
        <f t="shared" si="502"/>
        <v>0</v>
      </c>
      <c r="L476" s="106">
        <f>SUM(F476:K476)</f>
        <v>0</v>
      </c>
      <c r="M476" s="106">
        <f>L476/6</f>
        <v>0</v>
      </c>
      <c r="N476" s="93">
        <f t="shared" ref="N476:S478" si="503">N491+N506</f>
        <v>0</v>
      </c>
      <c r="O476" s="93">
        <f t="shared" si="503"/>
        <v>0</v>
      </c>
      <c r="P476" s="93">
        <f t="shared" si="503"/>
        <v>0</v>
      </c>
      <c r="Q476" s="93">
        <f t="shared" si="501"/>
        <v>0</v>
      </c>
      <c r="R476" s="93">
        <f t="shared" si="503"/>
        <v>0</v>
      </c>
      <c r="S476" s="93">
        <f t="shared" si="503"/>
        <v>0</v>
      </c>
      <c r="T476" s="106">
        <f>SUM(N476:S476)</f>
        <v>0</v>
      </c>
      <c r="U476" s="106">
        <f>T476+L476</f>
        <v>0</v>
      </c>
      <c r="V476" s="93">
        <f>V491+V506</f>
        <v>0</v>
      </c>
      <c r="W476" s="93">
        <f>V476-U476</f>
        <v>0</v>
      </c>
    </row>
    <row r="477" spans="1:24" s="130" customFormat="1" ht="18" customHeight="1">
      <c r="A477" s="592"/>
      <c r="B477" s="576"/>
      <c r="C477" s="577"/>
      <c r="D477" s="174" t="str">
        <f>серпень!D400</f>
        <v>місцевий (план), тис.грн</v>
      </c>
      <c r="E477" s="93"/>
      <c r="F477" s="93">
        <f t="shared" si="502"/>
        <v>0</v>
      </c>
      <c r="G477" s="93">
        <f t="shared" si="502"/>
        <v>33.844000000000001</v>
      </c>
      <c r="H477" s="93">
        <f t="shared" si="502"/>
        <v>30.917000000000002</v>
      </c>
      <c r="I477" s="93">
        <f t="shared" si="502"/>
        <v>18.146999999999998</v>
      </c>
      <c r="J477" s="93">
        <f>J492+J507</f>
        <v>32.042999999999999</v>
      </c>
      <c r="K477" s="93">
        <f t="shared" si="502"/>
        <v>18.795999999999999</v>
      </c>
      <c r="L477" s="106">
        <f>SUM(F477:K477)</f>
        <v>133.74700000000001</v>
      </c>
      <c r="M477" s="106">
        <f>L477/6</f>
        <v>22.291</v>
      </c>
      <c r="N477" s="93">
        <f t="shared" si="503"/>
        <v>11.786</v>
      </c>
      <c r="O477" s="93">
        <f t="shared" si="503"/>
        <v>12.811999999999999</v>
      </c>
      <c r="P477" s="93">
        <f t="shared" si="503"/>
        <v>31.091000000000001</v>
      </c>
      <c r="Q477" s="93">
        <f t="shared" si="501"/>
        <v>43.036000000000001</v>
      </c>
      <c r="R477" s="93">
        <f t="shared" si="503"/>
        <v>20.827999999999999</v>
      </c>
      <c r="S477" s="93">
        <f t="shared" si="503"/>
        <v>159.185</v>
      </c>
      <c r="T477" s="106">
        <f>SUM(N477:S477)</f>
        <v>278.738</v>
      </c>
      <c r="U477" s="106">
        <f>T477+L477</f>
        <v>412.48500000000001</v>
      </c>
      <c r="V477" s="93">
        <f>V492+V507</f>
        <v>412.48500000000001</v>
      </c>
      <c r="W477" s="93">
        <f>V477-U477</f>
        <v>0</v>
      </c>
    </row>
    <row r="478" spans="1:24" s="48" customFormat="1" ht="18" customHeight="1">
      <c r="A478" s="592"/>
      <c r="B478" s="576"/>
      <c r="C478" s="577"/>
      <c r="D478" s="178" t="str">
        <f>серпень!D401</f>
        <v>касові нат.п-ки 2025</v>
      </c>
      <c r="E478" s="85">
        <f>E493</f>
        <v>0</v>
      </c>
      <c r="F478" s="85">
        <f t="shared" si="502"/>
        <v>0</v>
      </c>
      <c r="G478" s="85">
        <f t="shared" si="502"/>
        <v>4614</v>
      </c>
      <c r="H478" s="85">
        <f t="shared" si="502"/>
        <v>3691</v>
      </c>
      <c r="I478" s="85">
        <f t="shared" si="502"/>
        <v>2772</v>
      </c>
      <c r="J478" s="85">
        <f>J493+J508</f>
        <v>4726</v>
      </c>
      <c r="K478" s="85">
        <f t="shared" si="502"/>
        <v>3363</v>
      </c>
      <c r="L478" s="140">
        <f>SUM(F478:K478)</f>
        <v>19166</v>
      </c>
      <c r="M478" s="140">
        <f>L478/6</f>
        <v>3194.3</v>
      </c>
      <c r="N478" s="85">
        <f t="shared" si="503"/>
        <v>1465</v>
      </c>
      <c r="O478" s="85">
        <f t="shared" si="503"/>
        <v>1395</v>
      </c>
      <c r="P478" s="85">
        <f t="shared" si="503"/>
        <v>1263</v>
      </c>
      <c r="Q478" s="85">
        <f t="shared" si="501"/>
        <v>2631.7</v>
      </c>
      <c r="R478" s="85">
        <f t="shared" si="503"/>
        <v>3104.3</v>
      </c>
      <c r="S478" s="85">
        <f t="shared" si="503"/>
        <v>17270.599999999999</v>
      </c>
      <c r="T478" s="140">
        <f>SUM(N478:S478)</f>
        <v>27129.599999999999</v>
      </c>
      <c r="U478" s="140">
        <f>T478+L478</f>
        <v>46295.6</v>
      </c>
      <c r="V478" s="85">
        <f>V493+V508</f>
        <v>55277.599999999999</v>
      </c>
      <c r="W478" s="88">
        <f>V478-U478</f>
        <v>8982</v>
      </c>
      <c r="X478" s="47">
        <f>U473-U478</f>
        <v>0</v>
      </c>
    </row>
    <row r="479" spans="1:24" s="51" customFormat="1" ht="18" customHeight="1">
      <c r="A479" s="592"/>
      <c r="B479" s="576"/>
      <c r="C479" s="577"/>
      <c r="D479" s="187" t="str">
        <f>серпень!D402</f>
        <v>тариф, грн.</v>
      </c>
      <c r="E479" s="92" t="e">
        <f t="shared" ref="E479:S479" si="504">E480/E478*1000</f>
        <v>#DIV/0!</v>
      </c>
      <c r="F479" s="148" t="e">
        <f t="shared" si="504"/>
        <v>#DIV/0!</v>
      </c>
      <c r="G479" s="148">
        <f t="shared" si="504"/>
        <v>7.3066800000000001</v>
      </c>
      <c r="H479" s="148">
        <f t="shared" si="504"/>
        <v>7.6196200000000003</v>
      </c>
      <c r="I479" s="148">
        <f t="shared" si="504"/>
        <v>7.5966800000000001</v>
      </c>
      <c r="J479" s="148">
        <f t="shared" si="504"/>
        <v>6.3846800000000004</v>
      </c>
      <c r="K479" s="148">
        <f t="shared" si="504"/>
        <v>6.1222099999999999</v>
      </c>
      <c r="L479" s="148">
        <f t="shared" si="504"/>
        <v>6.9737</v>
      </c>
      <c r="M479" s="148">
        <f t="shared" si="504"/>
        <v>6.9736700000000003</v>
      </c>
      <c r="N479" s="149">
        <f t="shared" si="504"/>
        <v>8.0744030000000002</v>
      </c>
      <c r="O479" s="149">
        <f t="shared" si="504"/>
        <v>9.1605729999999994</v>
      </c>
      <c r="P479" s="149">
        <f t="shared" si="504"/>
        <v>8.7355499999999999</v>
      </c>
      <c r="Q479" s="149">
        <f t="shared" si="504"/>
        <v>6.8161259999999997</v>
      </c>
      <c r="R479" s="149">
        <f t="shared" si="504"/>
        <v>6.6053540000000002</v>
      </c>
      <c r="S479" s="149">
        <f t="shared" si="504"/>
        <v>8.5361829999999994</v>
      </c>
      <c r="T479" s="148">
        <f>T480/T478*1000</f>
        <v>8.1648499999999995</v>
      </c>
      <c r="U479" s="148">
        <f>U480/U478*1000</f>
        <v>7.6717199999999997</v>
      </c>
      <c r="V479" s="148">
        <f>V480/V478*1000</f>
        <v>7.4620600000000001</v>
      </c>
      <c r="W479" s="110">
        <f>W480/W478*1000</f>
        <v>6.3814299999999999</v>
      </c>
      <c r="X479" s="59"/>
    </row>
    <row r="480" spans="1:24" s="126" customFormat="1" ht="18" customHeight="1">
      <c r="A480" s="592"/>
      <c r="B480" s="576"/>
      <c r="C480" s="577"/>
      <c r="D480" s="198" t="str">
        <f>серпень!D403</f>
        <v>касові видатки, тис.грн.</v>
      </c>
      <c r="E480" s="108">
        <f t="shared" ref="E480:K482" si="505">E495+E510</f>
        <v>0</v>
      </c>
      <c r="F480" s="98">
        <f t="shared" si="505"/>
        <v>0</v>
      </c>
      <c r="G480" s="98">
        <f t="shared" si="505"/>
        <v>33.713000000000001</v>
      </c>
      <c r="H480" s="98">
        <f>H495+H510</f>
        <v>28.123999999999999</v>
      </c>
      <c r="I480" s="98">
        <f t="shared" si="505"/>
        <v>21.058</v>
      </c>
      <c r="J480" s="98">
        <f>J495+J510</f>
        <v>30.173999999999999</v>
      </c>
      <c r="K480" s="98">
        <f t="shared" si="505"/>
        <v>20.588999999999999</v>
      </c>
      <c r="L480" s="98">
        <f>SUM(F480:K480)</f>
        <v>133.65799999999999</v>
      </c>
      <c r="M480" s="98">
        <f>L480/6</f>
        <v>22.276</v>
      </c>
      <c r="N480" s="98">
        <f t="shared" ref="N480:S483" si="506">N495+N510</f>
        <v>11.829000000000001</v>
      </c>
      <c r="O480" s="98">
        <f t="shared" si="506"/>
        <v>12.779</v>
      </c>
      <c r="P480" s="98">
        <f t="shared" si="506"/>
        <v>11.032999999999999</v>
      </c>
      <c r="Q480" s="98">
        <f t="shared" si="506"/>
        <v>17.937999999999999</v>
      </c>
      <c r="R480" s="98">
        <f t="shared" si="506"/>
        <v>20.504999999999999</v>
      </c>
      <c r="S480" s="98">
        <f t="shared" si="506"/>
        <v>147.42500000000001</v>
      </c>
      <c r="T480" s="98">
        <f>SUM(N480:S480)</f>
        <v>221.50899999999999</v>
      </c>
      <c r="U480" s="98">
        <f>T480+L480</f>
        <v>355.16699999999997</v>
      </c>
      <c r="V480" s="98">
        <f>V495+V510</f>
        <v>412.48500000000001</v>
      </c>
      <c r="W480" s="109">
        <f>V480-U480</f>
        <v>57.317999999999998</v>
      </c>
      <c r="X480" s="63">
        <f>U475-U480</f>
        <v>0</v>
      </c>
    </row>
    <row r="481" spans="1:24" s="126" customFormat="1" ht="18" customHeight="1">
      <c r="A481" s="592"/>
      <c r="B481" s="576"/>
      <c r="C481" s="577"/>
      <c r="D481" s="201" t="str">
        <f>серпень!D404</f>
        <v>дотація</v>
      </c>
      <c r="E481" s="108"/>
      <c r="F481" s="98">
        <f t="shared" si="505"/>
        <v>0</v>
      </c>
      <c r="G481" s="98">
        <f t="shared" si="505"/>
        <v>0</v>
      </c>
      <c r="H481" s="98">
        <f t="shared" si="505"/>
        <v>0</v>
      </c>
      <c r="I481" s="98">
        <f t="shared" si="505"/>
        <v>0</v>
      </c>
      <c r="J481" s="98">
        <f>J496+J511</f>
        <v>0</v>
      </c>
      <c r="K481" s="98">
        <f t="shared" si="505"/>
        <v>0</v>
      </c>
      <c r="L481" s="98">
        <f>SUM(F481:K481)</f>
        <v>0</v>
      </c>
      <c r="M481" s="98">
        <f>L481/6</f>
        <v>0</v>
      </c>
      <c r="N481" s="98">
        <f t="shared" si="506"/>
        <v>0</v>
      </c>
      <c r="O481" s="98">
        <f t="shared" si="506"/>
        <v>0</v>
      </c>
      <c r="P481" s="98">
        <f t="shared" si="506"/>
        <v>0</v>
      </c>
      <c r="Q481" s="98">
        <f t="shared" si="506"/>
        <v>0</v>
      </c>
      <c r="R481" s="98">
        <f t="shared" si="506"/>
        <v>0</v>
      </c>
      <c r="S481" s="98">
        <f t="shared" si="506"/>
        <v>0</v>
      </c>
      <c r="T481" s="98">
        <f>SUM(N481:S481)</f>
        <v>0</v>
      </c>
      <c r="U481" s="98">
        <f>T481+L481</f>
        <v>0</v>
      </c>
      <c r="V481" s="98">
        <f>V496+V511</f>
        <v>0</v>
      </c>
      <c r="W481" s="109">
        <f>V481-U481</f>
        <v>0</v>
      </c>
      <c r="X481" s="63">
        <f>U476-U481</f>
        <v>0</v>
      </c>
    </row>
    <row r="482" spans="1:24" s="126" customFormat="1" ht="18" customHeight="1">
      <c r="A482" s="592"/>
      <c r="B482" s="576"/>
      <c r="C482" s="577"/>
      <c r="D482" s="201" t="str">
        <f>серпень!D405</f>
        <v xml:space="preserve">місцевий </v>
      </c>
      <c r="E482" s="108"/>
      <c r="F482" s="98">
        <f t="shared" si="505"/>
        <v>0</v>
      </c>
      <c r="G482" s="98">
        <f t="shared" si="505"/>
        <v>33.713000000000001</v>
      </c>
      <c r="H482" s="98">
        <f t="shared" si="505"/>
        <v>28.123999999999999</v>
      </c>
      <c r="I482" s="98">
        <f t="shared" si="505"/>
        <v>21.058</v>
      </c>
      <c r="J482" s="98">
        <f>J497+J512</f>
        <v>30.173999999999999</v>
      </c>
      <c r="K482" s="98">
        <f t="shared" si="505"/>
        <v>20.588999999999999</v>
      </c>
      <c r="L482" s="98">
        <f>SUM(F482:K482)</f>
        <v>133.65799999999999</v>
      </c>
      <c r="M482" s="98">
        <f>L482/6</f>
        <v>22.276</v>
      </c>
      <c r="N482" s="98">
        <f t="shared" si="506"/>
        <v>11.829000000000001</v>
      </c>
      <c r="O482" s="98">
        <f t="shared" si="506"/>
        <v>12.779</v>
      </c>
      <c r="P482" s="98">
        <f t="shared" si="506"/>
        <v>11.032999999999999</v>
      </c>
      <c r="Q482" s="98">
        <f t="shared" si="506"/>
        <v>17.937999999999999</v>
      </c>
      <c r="R482" s="98">
        <f t="shared" si="506"/>
        <v>20.504999999999999</v>
      </c>
      <c r="S482" s="98">
        <f t="shared" si="506"/>
        <v>147.42500000000001</v>
      </c>
      <c r="T482" s="98">
        <f>SUM(N482:S482)</f>
        <v>221.50899999999999</v>
      </c>
      <c r="U482" s="98">
        <f>T482+L482</f>
        <v>355.16699999999997</v>
      </c>
      <c r="V482" s="98">
        <f>V497+V512</f>
        <v>412.48500000000001</v>
      </c>
      <c r="W482" s="109">
        <f>V482-U482</f>
        <v>57.317999999999998</v>
      </c>
      <c r="X482" s="63">
        <f>U477-U482</f>
        <v>57.317999999999998</v>
      </c>
    </row>
    <row r="483" spans="1:24" s="43" customFormat="1" ht="18" customHeight="1">
      <c r="A483" s="592"/>
      <c r="B483" s="576"/>
      <c r="C483" s="577"/>
      <c r="D483" s="202" t="str">
        <f>серпень!D406</f>
        <v>план</v>
      </c>
      <c r="E483" s="100"/>
      <c r="F483" s="100">
        <f t="shared" ref="F483:K483" si="507">F477</f>
        <v>0</v>
      </c>
      <c r="G483" s="100">
        <f t="shared" si="507"/>
        <v>33.844000000000001</v>
      </c>
      <c r="H483" s="100">
        <f t="shared" si="507"/>
        <v>30.917000000000002</v>
      </c>
      <c r="I483" s="100">
        <f t="shared" si="507"/>
        <v>18.146999999999998</v>
      </c>
      <c r="J483" s="100">
        <f t="shared" si="507"/>
        <v>32.042999999999999</v>
      </c>
      <c r="K483" s="100">
        <f t="shared" si="507"/>
        <v>18.795999999999999</v>
      </c>
      <c r="L483" s="100">
        <f>SUM(F483:K483)</f>
        <v>133.74700000000001</v>
      </c>
      <c r="M483" s="100">
        <f>L483/6</f>
        <v>22.291</v>
      </c>
      <c r="N483" s="100">
        <f t="shared" si="506"/>
        <v>11.786</v>
      </c>
      <c r="O483" s="100">
        <f t="shared" si="506"/>
        <v>12.811999999999999</v>
      </c>
      <c r="P483" s="100">
        <f t="shared" si="506"/>
        <v>31.091000000000001</v>
      </c>
      <c r="Q483" s="100">
        <f t="shared" si="506"/>
        <v>43.036000000000001</v>
      </c>
      <c r="R483" s="100">
        <f t="shared" si="506"/>
        <v>20.827999999999999</v>
      </c>
      <c r="S483" s="100">
        <f t="shared" si="506"/>
        <v>159.185</v>
      </c>
      <c r="T483" s="100">
        <f>SUM(N483:S483)</f>
        <v>278.738</v>
      </c>
      <c r="U483" s="100">
        <f>T483+L483</f>
        <v>412.48500000000001</v>
      </c>
      <c r="V483" s="100">
        <f>V477+V476</f>
        <v>412.48500000000001</v>
      </c>
      <c r="W483" s="100">
        <f>V483-U483</f>
        <v>0</v>
      </c>
    </row>
    <row r="484" spans="1:24" s="43" customFormat="1" ht="18" customHeight="1">
      <c r="A484" s="592"/>
      <c r="B484" s="576"/>
      <c r="C484" s="577"/>
      <c r="D484" s="202" t="str">
        <f>серпень!D407</f>
        <v xml:space="preserve">відхилення </v>
      </c>
      <c r="E484" s="100"/>
      <c r="F484" s="100">
        <f t="shared" ref="F484:K484" si="508">F480-F483</f>
        <v>0</v>
      </c>
      <c r="G484" s="100">
        <f t="shared" si="508"/>
        <v>-0.13100000000000001</v>
      </c>
      <c r="H484" s="100">
        <f t="shared" si="508"/>
        <v>-2.7930000000000001</v>
      </c>
      <c r="I484" s="100">
        <f t="shared" si="508"/>
        <v>2.911</v>
      </c>
      <c r="J484" s="100">
        <f t="shared" si="508"/>
        <v>-1.869</v>
      </c>
      <c r="K484" s="100">
        <f t="shared" si="508"/>
        <v>1.7929999999999999</v>
      </c>
      <c r="L484" s="100"/>
      <c r="M484" s="100"/>
      <c r="N484" s="100">
        <f t="shared" ref="N484:S484" si="509">N480-N483</f>
        <v>4.2999999999999997E-2</v>
      </c>
      <c r="O484" s="100">
        <f t="shared" si="509"/>
        <v>-3.3000000000000002E-2</v>
      </c>
      <c r="P484" s="100">
        <f t="shared" si="509"/>
        <v>-20.058</v>
      </c>
      <c r="Q484" s="100">
        <f t="shared" si="509"/>
        <v>-25.097999999999999</v>
      </c>
      <c r="R484" s="100">
        <f t="shared" si="509"/>
        <v>-0.32300000000000001</v>
      </c>
      <c r="S484" s="100">
        <f t="shared" si="509"/>
        <v>-11.76</v>
      </c>
      <c r="T484" s="100"/>
      <c r="U484" s="100"/>
      <c r="V484" s="100"/>
      <c r="W484" s="100"/>
    </row>
    <row r="485" spans="1:24" s="43" customFormat="1" ht="18" customHeight="1">
      <c r="A485" s="592"/>
      <c r="B485" s="576"/>
      <c r="C485" s="577"/>
      <c r="D485" s="202" t="str">
        <f>серпень!D408</f>
        <v>відхилення з наростаючим</v>
      </c>
      <c r="E485" s="100"/>
      <c r="F485" s="100">
        <f>F484</f>
        <v>0</v>
      </c>
      <c r="G485" s="100">
        <f>G484+F485</f>
        <v>-0.13100000000000001</v>
      </c>
      <c r="H485" s="100">
        <f>H484+G485</f>
        <v>-2.9239999999999999</v>
      </c>
      <c r="I485" s="100">
        <f>I484+H485</f>
        <v>-1.2999999999999999E-2</v>
      </c>
      <c r="J485" s="100">
        <f>J484+I485</f>
        <v>-1.8819999999999999</v>
      </c>
      <c r="K485" s="100">
        <f>K484+J485</f>
        <v>-8.8999999999999996E-2</v>
      </c>
      <c r="L485" s="100"/>
      <c r="M485" s="100"/>
      <c r="N485" s="100">
        <f>N484+K485</f>
        <v>-4.5999999999999999E-2</v>
      </c>
      <c r="O485" s="100">
        <f>O484+N485</f>
        <v>-7.9000000000000001E-2</v>
      </c>
      <c r="P485" s="100">
        <f>P484+O485</f>
        <v>-20.137</v>
      </c>
      <c r="Q485" s="100">
        <f>Q484+P485</f>
        <v>-45.234999999999999</v>
      </c>
      <c r="R485" s="100">
        <f>R484+Q485</f>
        <v>-45.558</v>
      </c>
      <c r="S485" s="100">
        <f>S484+R485</f>
        <v>-57.317999999999998</v>
      </c>
      <c r="T485" s="100"/>
      <c r="U485" s="100"/>
      <c r="V485" s="100"/>
      <c r="W485" s="100"/>
    </row>
    <row r="486" spans="1:24" s="55" customFormat="1" ht="18" customHeight="1">
      <c r="A486" s="592"/>
      <c r="B486" s="581" t="s">
        <v>32</v>
      </c>
      <c r="C486" s="581"/>
      <c r="D486" s="178" t="str">
        <f>серпень!D409</f>
        <v>факт. нат.п-ки 2023</v>
      </c>
      <c r="E486" s="85"/>
      <c r="F486" s="88">
        <v>1091</v>
      </c>
      <c r="G486" s="88">
        <v>1418</v>
      </c>
      <c r="H486" s="85">
        <v>1577</v>
      </c>
      <c r="I486" s="85">
        <v>1838</v>
      </c>
      <c r="J486" s="85">
        <v>1356</v>
      </c>
      <c r="K486" s="85">
        <v>1340</v>
      </c>
      <c r="L486" s="140">
        <f>SUM(F486:K486)</f>
        <v>8620</v>
      </c>
      <c r="M486" s="140">
        <f>L486/6</f>
        <v>1436.7</v>
      </c>
      <c r="N486" s="85">
        <v>478</v>
      </c>
      <c r="O486" s="85">
        <v>1094</v>
      </c>
      <c r="P486" s="85">
        <v>1026</v>
      </c>
      <c r="Q486" s="85">
        <v>1578</v>
      </c>
      <c r="R486" s="85">
        <v>7690.2</v>
      </c>
      <c r="S486" s="85">
        <v>1838</v>
      </c>
      <c r="T486" s="140">
        <f>SUM(N486:S486)</f>
        <v>13704.2</v>
      </c>
      <c r="U486" s="140">
        <f>T486+L486</f>
        <v>22324.2</v>
      </c>
      <c r="V486" s="85">
        <v>22324.2</v>
      </c>
      <c r="W486" s="88"/>
      <c r="X486" s="47"/>
    </row>
    <row r="487" spans="1:24" s="48" customFormat="1" ht="18" customHeight="1">
      <c r="A487" s="592"/>
      <c r="B487" s="581"/>
      <c r="C487" s="581"/>
      <c r="D487" s="178" t="str">
        <f>серпень!D410</f>
        <v>факт. нат.п-ки 2024</v>
      </c>
      <c r="E487" s="85"/>
      <c r="F487" s="88">
        <v>2633</v>
      </c>
      <c r="G487" s="88">
        <v>1655</v>
      </c>
      <c r="H487" s="85">
        <v>1571</v>
      </c>
      <c r="I487" s="85">
        <v>1222</v>
      </c>
      <c r="J487" s="85">
        <v>1206</v>
      </c>
      <c r="K487" s="85">
        <v>865</v>
      </c>
      <c r="L487" s="140">
        <f>SUM(F487:K487)</f>
        <v>9152</v>
      </c>
      <c r="M487" s="140">
        <f>L487/6</f>
        <v>1525.3</v>
      </c>
      <c r="N487" s="85">
        <v>662</v>
      </c>
      <c r="O487" s="85">
        <v>787</v>
      </c>
      <c r="P487" s="85">
        <v>804</v>
      </c>
      <c r="Q487" s="85">
        <v>1432</v>
      </c>
      <c r="R487" s="85">
        <v>5491.1</v>
      </c>
      <c r="S487" s="85">
        <v>9205.2000000000007</v>
      </c>
      <c r="T487" s="140">
        <f>SUM(N487:S487)</f>
        <v>18381.3</v>
      </c>
      <c r="U487" s="140">
        <f>T487+L487</f>
        <v>27533.3</v>
      </c>
      <c r="V487" s="143">
        <v>27533.3</v>
      </c>
      <c r="W487" s="88"/>
      <c r="X487" s="47"/>
    </row>
    <row r="488" spans="1:24" s="48" customFormat="1" ht="18" customHeight="1">
      <c r="A488" s="592"/>
      <c r="B488" s="581"/>
      <c r="C488" s="581"/>
      <c r="D488" s="178" t="str">
        <f>серпень!D411</f>
        <v>факт. нат.п-ки 2025</v>
      </c>
      <c r="E488" s="85"/>
      <c r="F488" s="88">
        <v>2172</v>
      </c>
      <c r="G488" s="88">
        <v>1831</v>
      </c>
      <c r="H488" s="85">
        <v>1553</v>
      </c>
      <c r="I488" s="85">
        <v>1997</v>
      </c>
      <c r="J488" s="85">
        <v>1245</v>
      </c>
      <c r="K488" s="85">
        <v>1110</v>
      </c>
      <c r="L488" s="140">
        <f>SUM(F488:K488)</f>
        <v>9908</v>
      </c>
      <c r="M488" s="140">
        <f>L488/6</f>
        <v>1651.3</v>
      </c>
      <c r="N488" s="85">
        <v>1225</v>
      </c>
      <c r="O488" s="85">
        <v>975</v>
      </c>
      <c r="P488" s="85">
        <f>804+521.7</f>
        <v>1325.7</v>
      </c>
      <c r="Q488" s="85">
        <v>1432</v>
      </c>
      <c r="R488" s="85">
        <v>5491.1</v>
      </c>
      <c r="S488" s="85">
        <v>9205.2000000000007</v>
      </c>
      <c r="T488" s="140">
        <f>SUM(N488:S488)</f>
        <v>19654</v>
      </c>
      <c r="U488" s="140">
        <f>T488+L488</f>
        <v>29562</v>
      </c>
      <c r="V488" s="85">
        <v>33530</v>
      </c>
      <c r="W488" s="88">
        <f>V488-U488</f>
        <v>3968</v>
      </c>
      <c r="X488" s="47"/>
    </row>
    <row r="489" spans="1:24" s="51" customFormat="1" ht="18" customHeight="1">
      <c r="A489" s="592"/>
      <c r="B489" s="581"/>
      <c r="C489" s="581"/>
      <c r="D489" s="187" t="str">
        <f>серпень!D412</f>
        <v>тариф, грн.</v>
      </c>
      <c r="E489" s="149" t="e">
        <f t="shared" ref="E489:K489" si="510">E490/E488*1000</f>
        <v>#DIV/0!</v>
      </c>
      <c r="F489" s="149">
        <f t="shared" si="510"/>
        <v>10.664825</v>
      </c>
      <c r="G489" s="149">
        <f t="shared" si="510"/>
        <v>10.9716</v>
      </c>
      <c r="H489" s="149">
        <f t="shared" si="510"/>
        <v>10.168706</v>
      </c>
      <c r="I489" s="149">
        <f t="shared" si="510"/>
        <v>9.2063089999999992</v>
      </c>
      <c r="J489" s="149">
        <f t="shared" si="510"/>
        <v>9.1879519999999992</v>
      </c>
      <c r="K489" s="149">
        <f t="shared" si="510"/>
        <v>9.274775</v>
      </c>
      <c r="L489" s="150">
        <f>L490/L488*1000</f>
        <v>10.00848</v>
      </c>
      <c r="M489" s="150">
        <f>M490/M488*1000</f>
        <v>10.00848</v>
      </c>
      <c r="N489" s="150">
        <f t="shared" ref="N489:O489" si="511">N490/N488*1000</f>
        <v>9.8326499999999992</v>
      </c>
      <c r="O489" s="150">
        <f t="shared" si="511"/>
        <v>10.039999999999999</v>
      </c>
      <c r="P489" s="149">
        <v>9.274775</v>
      </c>
      <c r="Q489" s="149">
        <v>9.274775</v>
      </c>
      <c r="R489" s="149">
        <v>9.274775</v>
      </c>
      <c r="S489" s="149">
        <v>9.274775</v>
      </c>
      <c r="T489" s="150">
        <f>T490/T488*1000</f>
        <v>9.3474599999999999</v>
      </c>
      <c r="U489" s="150">
        <f>U490/U488*1000</f>
        <v>9.5690100000000005</v>
      </c>
      <c r="V489" s="150">
        <f>V490/V488*1000</f>
        <v>9.5</v>
      </c>
      <c r="W489" s="86">
        <f>W490/W488*1000</f>
        <v>8.9860000000000007</v>
      </c>
      <c r="X489" s="59"/>
    </row>
    <row r="490" spans="1:24" s="130" customFormat="1" ht="18" customHeight="1">
      <c r="A490" s="592"/>
      <c r="B490" s="581"/>
      <c r="C490" s="581"/>
      <c r="D490" s="191" t="str">
        <f>серпень!D413</f>
        <v>сума, тис.грн.</v>
      </c>
      <c r="E490" s="93"/>
      <c r="F490" s="93">
        <v>23.164000000000001</v>
      </c>
      <c r="G490" s="93">
        <v>20.088999999999999</v>
      </c>
      <c r="H490" s="93">
        <v>15.792</v>
      </c>
      <c r="I490" s="93">
        <v>18.385000000000002</v>
      </c>
      <c r="J490" s="93">
        <v>11.439</v>
      </c>
      <c r="K490" s="93">
        <v>10.295</v>
      </c>
      <c r="L490" s="106">
        <f>SUM(F490:K490)</f>
        <v>99.164000000000001</v>
      </c>
      <c r="M490" s="106">
        <f>L490/6</f>
        <v>16.527000000000001</v>
      </c>
      <c r="N490" s="93">
        <v>12.045</v>
      </c>
      <c r="O490" s="93">
        <v>9.7889999999999997</v>
      </c>
      <c r="P490" s="93">
        <f t="shared" ref="P490" si="512">P488*P489/1000</f>
        <v>12.295999999999999</v>
      </c>
      <c r="Q490" s="93">
        <f t="shared" ref="Q490" si="513">Q488*Q489/1000</f>
        <v>13.281000000000001</v>
      </c>
      <c r="R490" s="93">
        <f t="shared" ref="R490" si="514">R488*R489/1000</f>
        <v>50.929000000000002</v>
      </c>
      <c r="S490" s="93">
        <f>S488*S489/1000-0.001</f>
        <v>85.375</v>
      </c>
      <c r="T490" s="106">
        <f>SUM(N490:S490)</f>
        <v>183.715</v>
      </c>
      <c r="U490" s="106">
        <f>T490+L490</f>
        <v>282.87900000000002</v>
      </c>
      <c r="V490" s="107">
        <f>V491+V492</f>
        <v>318.53500000000003</v>
      </c>
      <c r="W490" s="94">
        <f>V490-U490</f>
        <v>35.655999999999999</v>
      </c>
      <c r="X490" s="133"/>
    </row>
    <row r="491" spans="1:24" s="130" customFormat="1" ht="18" customHeight="1">
      <c r="A491" s="592"/>
      <c r="B491" s="581"/>
      <c r="C491" s="581"/>
      <c r="D491" s="174" t="str">
        <f>серпень!D414</f>
        <v>дотація</v>
      </c>
      <c r="E491" s="95"/>
      <c r="F491" s="93"/>
      <c r="G491" s="93"/>
      <c r="H491" s="93"/>
      <c r="I491" s="93"/>
      <c r="J491" s="93"/>
      <c r="K491" s="93"/>
      <c r="L491" s="106">
        <f>SUM(F491:K491)</f>
        <v>0</v>
      </c>
      <c r="M491" s="106">
        <f>L491/6</f>
        <v>0</v>
      </c>
      <c r="N491" s="93"/>
      <c r="O491" s="93"/>
      <c r="P491" s="93"/>
      <c r="Q491" s="93"/>
      <c r="R491" s="93"/>
      <c r="S491" s="93"/>
      <c r="T491" s="106">
        <f>SUM(N491:S491)</f>
        <v>0</v>
      </c>
      <c r="U491" s="106">
        <f>T491+L491</f>
        <v>0</v>
      </c>
      <c r="V491" s="107">
        <v>0</v>
      </c>
      <c r="W491" s="94">
        <f>V491-U491</f>
        <v>0</v>
      </c>
    </row>
    <row r="492" spans="1:24" s="130" customFormat="1" ht="18" customHeight="1">
      <c r="A492" s="592"/>
      <c r="B492" s="581"/>
      <c r="C492" s="581"/>
      <c r="D492" s="174" t="str">
        <f>серпень!D415</f>
        <v>місцевий (план), тис.грн</v>
      </c>
      <c r="E492" s="95"/>
      <c r="F492" s="93">
        <f>7.822-7.822</f>
        <v>0</v>
      </c>
      <c r="G492" s="93">
        <v>25.013999999999999</v>
      </c>
      <c r="H492" s="93">
        <v>25.222999999999999</v>
      </c>
      <c r="I492" s="93">
        <f>24.425-15</f>
        <v>9.4250000000000007</v>
      </c>
      <c r="J492" s="93">
        <v>21.109000000000002</v>
      </c>
      <c r="K492" s="93">
        <f>20.957+15-8.451-19</f>
        <v>8.5060000000000002</v>
      </c>
      <c r="L492" s="106">
        <f>SUM(F492:K492)</f>
        <v>89.277000000000001</v>
      </c>
      <c r="M492" s="106">
        <f>L492/6</f>
        <v>14.88</v>
      </c>
      <c r="N492" s="93">
        <f>12.73-11.2</f>
        <v>1.53</v>
      </c>
      <c r="O492" s="93">
        <f>11.039+19-24.8</f>
        <v>5.2389999999999999</v>
      </c>
      <c r="P492" s="93">
        <f>12.227+11.2</f>
        <v>23.427</v>
      </c>
      <c r="Q492" s="93">
        <f>12.594+24.8</f>
        <v>37.393999999999998</v>
      </c>
      <c r="R492" s="93">
        <v>13.603999999999999</v>
      </c>
      <c r="S492" s="93">
        <f>139.613+8.451</f>
        <v>148.06399999999999</v>
      </c>
      <c r="T492" s="106">
        <f>SUM(N492:S492)</f>
        <v>229.25800000000001</v>
      </c>
      <c r="U492" s="106">
        <f>T492+L492</f>
        <v>318.53500000000003</v>
      </c>
      <c r="V492" s="107">
        <v>318.53500000000003</v>
      </c>
      <c r="W492" s="94">
        <f>V492-U492</f>
        <v>0</v>
      </c>
    </row>
    <row r="493" spans="1:24" s="48" customFormat="1" ht="18" customHeight="1">
      <c r="A493" s="592"/>
      <c r="B493" s="581"/>
      <c r="C493" s="581"/>
      <c r="D493" s="178" t="str">
        <f>серпень!D416</f>
        <v>касові нат.п-ки 2025</v>
      </c>
      <c r="E493" s="85"/>
      <c r="F493" s="88">
        <v>0</v>
      </c>
      <c r="G493" s="88">
        <v>2172</v>
      </c>
      <c r="H493" s="88">
        <v>1831</v>
      </c>
      <c r="I493" s="85">
        <v>1553</v>
      </c>
      <c r="J493" s="85">
        <v>1997</v>
      </c>
      <c r="K493" s="85">
        <v>1245</v>
      </c>
      <c r="L493" s="140">
        <f>SUM(F493:K493)</f>
        <v>8798</v>
      </c>
      <c r="M493" s="140">
        <f>L493/6</f>
        <v>1466.3</v>
      </c>
      <c r="N493" s="85">
        <v>1110</v>
      </c>
      <c r="O493" s="85">
        <v>1225</v>
      </c>
      <c r="P493" s="85">
        <v>975</v>
      </c>
      <c r="Q493" s="85">
        <v>1325.7</v>
      </c>
      <c r="R493" s="85">
        <v>1432</v>
      </c>
      <c r="S493" s="85">
        <f>R488+S488</f>
        <v>14696.3</v>
      </c>
      <c r="T493" s="140">
        <f>SUM(N493:S493)</f>
        <v>20764</v>
      </c>
      <c r="U493" s="140">
        <f>T493+L493</f>
        <v>29562</v>
      </c>
      <c r="V493" s="85">
        <f>V488</f>
        <v>33530</v>
      </c>
      <c r="W493" s="88">
        <f>V493-U493</f>
        <v>3968</v>
      </c>
      <c r="X493" s="47">
        <f>U488-U493</f>
        <v>0</v>
      </c>
    </row>
    <row r="494" spans="1:24" s="51" customFormat="1" ht="18" customHeight="1">
      <c r="A494" s="592"/>
      <c r="B494" s="581"/>
      <c r="C494" s="581"/>
      <c r="D494" s="187" t="str">
        <f>серпень!D417</f>
        <v>тариф, грн.</v>
      </c>
      <c r="E494" s="148" t="e">
        <f t="shared" ref="E494:K494" si="515">E495/E493*1000</f>
        <v>#DIV/0!</v>
      </c>
      <c r="F494" s="148" t="e">
        <f t="shared" si="515"/>
        <v>#DIV/0!</v>
      </c>
      <c r="G494" s="148">
        <f t="shared" si="515"/>
        <v>10.66483</v>
      </c>
      <c r="H494" s="148">
        <f t="shared" si="515"/>
        <v>10.9716</v>
      </c>
      <c r="I494" s="148">
        <f t="shared" si="515"/>
        <v>10.168710000000001</v>
      </c>
      <c r="J494" s="148">
        <f t="shared" si="515"/>
        <v>9.2063100000000002</v>
      </c>
      <c r="K494" s="148">
        <f t="shared" si="515"/>
        <v>9.1879500000000007</v>
      </c>
      <c r="L494" s="150">
        <f>L495/L493*1000</f>
        <v>10.101050000000001</v>
      </c>
      <c r="M494" s="150">
        <f>M495/M493*1000</f>
        <v>10.10162</v>
      </c>
      <c r="N494" s="150">
        <f t="shared" ref="N494:P494" si="516">N495/N493*1000</f>
        <v>9.2747700000000002</v>
      </c>
      <c r="O494" s="150">
        <f t="shared" si="516"/>
        <v>9.8326499999999992</v>
      </c>
      <c r="P494" s="150">
        <f t="shared" si="516"/>
        <v>10.039999999999999</v>
      </c>
      <c r="Q494" s="149">
        <v>9.274775</v>
      </c>
      <c r="R494" s="149">
        <v>9.274775</v>
      </c>
      <c r="S494" s="149">
        <v>9.274775</v>
      </c>
      <c r="T494" s="150">
        <f>T495/T493*1000</f>
        <v>9.3435799999999993</v>
      </c>
      <c r="U494" s="150">
        <f>U495/U493*1000</f>
        <v>9.5690100000000005</v>
      </c>
      <c r="V494" s="150">
        <f>V495/V493*1000</f>
        <v>9.5</v>
      </c>
      <c r="W494" s="86">
        <f>W495/W493*1000</f>
        <v>8.9860000000000007</v>
      </c>
      <c r="X494" s="59"/>
    </row>
    <row r="495" spans="1:24" s="126" customFormat="1" ht="23.5" customHeight="1">
      <c r="A495" s="592"/>
      <c r="B495" s="581"/>
      <c r="C495" s="581"/>
      <c r="D495" s="198" t="str">
        <f>серпень!D418</f>
        <v>касові видатки, тис.грн.</v>
      </c>
      <c r="E495" s="108"/>
      <c r="F495" s="98">
        <v>0</v>
      </c>
      <c r="G495" s="98">
        <v>23.164000000000001</v>
      </c>
      <c r="H495" s="98">
        <v>20.088999999999999</v>
      </c>
      <c r="I495" s="98">
        <v>15.792</v>
      </c>
      <c r="J495" s="98">
        <v>18.385000000000002</v>
      </c>
      <c r="K495" s="98">
        <v>11.439</v>
      </c>
      <c r="L495" s="98">
        <f>SUM(F495:K495)</f>
        <v>88.869</v>
      </c>
      <c r="M495" s="98">
        <f>L495/6</f>
        <v>14.811999999999999</v>
      </c>
      <c r="N495" s="98">
        <v>10.295</v>
      </c>
      <c r="O495" s="98">
        <v>12.045</v>
      </c>
      <c r="P495" s="98">
        <v>9.7889999999999997</v>
      </c>
      <c r="Q495" s="98">
        <f t="shared" ref="Q495" si="517">Q493*Q494/1000</f>
        <v>12.295999999999999</v>
      </c>
      <c r="R495" s="98">
        <f t="shared" ref="R495" si="518">R493*R494/1000</f>
        <v>13.281000000000001</v>
      </c>
      <c r="S495" s="98">
        <f>S493*S494/1000-0.001</f>
        <v>136.304</v>
      </c>
      <c r="T495" s="98">
        <f>SUM(N495:S495)</f>
        <v>194.01</v>
      </c>
      <c r="U495" s="98">
        <f>T495+L495</f>
        <v>282.87900000000002</v>
      </c>
      <c r="V495" s="98">
        <f>V490</f>
        <v>318.53500000000003</v>
      </c>
      <c r="W495" s="109">
        <f>V495-U495</f>
        <v>35.655999999999999</v>
      </c>
      <c r="X495" s="63">
        <f>U490-U495</f>
        <v>0</v>
      </c>
    </row>
    <row r="496" spans="1:24" s="126" customFormat="1" ht="18" customHeight="1">
      <c r="A496" s="592"/>
      <c r="B496" s="581"/>
      <c r="C496" s="581"/>
      <c r="D496" s="201" t="str">
        <f>серпень!D419</f>
        <v>дотація</v>
      </c>
      <c r="E496" s="108"/>
      <c r="F496" s="98">
        <v>0</v>
      </c>
      <c r="G496" s="98">
        <v>0</v>
      </c>
      <c r="H496" s="98">
        <v>0</v>
      </c>
      <c r="I496" s="98">
        <v>0</v>
      </c>
      <c r="J496" s="98">
        <v>0</v>
      </c>
      <c r="K496" s="98">
        <v>0</v>
      </c>
      <c r="L496" s="98">
        <f>SUM(F496:K496)</f>
        <v>0</v>
      </c>
      <c r="M496" s="98">
        <f>L496/6</f>
        <v>0</v>
      </c>
      <c r="N496" s="98">
        <v>0</v>
      </c>
      <c r="O496" s="98">
        <v>0</v>
      </c>
      <c r="P496" s="98">
        <v>0</v>
      </c>
      <c r="Q496" s="98">
        <v>0</v>
      </c>
      <c r="R496" s="98">
        <v>0</v>
      </c>
      <c r="S496" s="98">
        <v>0</v>
      </c>
      <c r="T496" s="98">
        <f>SUM(N496:S496)</f>
        <v>0</v>
      </c>
      <c r="U496" s="98">
        <f>T496+L496</f>
        <v>0</v>
      </c>
      <c r="V496" s="98">
        <f>V491</f>
        <v>0</v>
      </c>
      <c r="W496" s="109">
        <f>V496-U496</f>
        <v>0</v>
      </c>
      <c r="X496" s="63">
        <f>U491-U496</f>
        <v>0</v>
      </c>
    </row>
    <row r="497" spans="1:24" s="126" customFormat="1" ht="18" customHeight="1">
      <c r="A497" s="592"/>
      <c r="B497" s="581"/>
      <c r="C497" s="581"/>
      <c r="D497" s="201" t="str">
        <f>серпень!D420</f>
        <v xml:space="preserve">місцевий </v>
      </c>
      <c r="E497" s="108"/>
      <c r="F497" s="98">
        <f t="shared" ref="F497:K497" si="519">F495-F496</f>
        <v>0</v>
      </c>
      <c r="G497" s="98">
        <f t="shared" si="519"/>
        <v>23.164000000000001</v>
      </c>
      <c r="H497" s="98">
        <f t="shared" si="519"/>
        <v>20.088999999999999</v>
      </c>
      <c r="I497" s="98">
        <f t="shared" si="519"/>
        <v>15.792</v>
      </c>
      <c r="J497" s="98">
        <f t="shared" si="519"/>
        <v>18.385000000000002</v>
      </c>
      <c r="K497" s="98">
        <f t="shared" si="519"/>
        <v>11.439</v>
      </c>
      <c r="L497" s="98">
        <f>SUM(F497:K497)</f>
        <v>88.869</v>
      </c>
      <c r="M497" s="98">
        <f>L497/6</f>
        <v>14.811999999999999</v>
      </c>
      <c r="N497" s="98">
        <f t="shared" ref="N497:S497" si="520">N495-N496</f>
        <v>10.295</v>
      </c>
      <c r="O497" s="98">
        <f t="shared" si="520"/>
        <v>12.045</v>
      </c>
      <c r="P497" s="98">
        <f t="shared" si="520"/>
        <v>9.7889999999999997</v>
      </c>
      <c r="Q497" s="98">
        <f t="shared" si="520"/>
        <v>12.295999999999999</v>
      </c>
      <c r="R497" s="98">
        <f t="shared" si="520"/>
        <v>13.281000000000001</v>
      </c>
      <c r="S497" s="98">
        <f t="shared" si="520"/>
        <v>136.304</v>
      </c>
      <c r="T497" s="98">
        <f>SUM(N497:S497)</f>
        <v>194.01</v>
      </c>
      <c r="U497" s="98">
        <f>T497+L497</f>
        <v>282.87900000000002</v>
      </c>
      <c r="V497" s="98">
        <f>V492</f>
        <v>318.53500000000003</v>
      </c>
      <c r="W497" s="109">
        <f>V497-U497</f>
        <v>35.655999999999999</v>
      </c>
      <c r="X497" s="63">
        <f>U492-U497</f>
        <v>35.655999999999999</v>
      </c>
    </row>
    <row r="498" spans="1:24" s="43" customFormat="1" ht="18" customHeight="1">
      <c r="A498" s="592"/>
      <c r="B498" s="581"/>
      <c r="C498" s="581"/>
      <c r="D498" s="202" t="str">
        <f>серпень!D421</f>
        <v>план</v>
      </c>
      <c r="E498" s="100"/>
      <c r="F498" s="100">
        <f t="shared" ref="F498:K498" si="521">F492</f>
        <v>0</v>
      </c>
      <c r="G498" s="100">
        <f t="shared" si="521"/>
        <v>25.013999999999999</v>
      </c>
      <c r="H498" s="100">
        <f t="shared" si="521"/>
        <v>25.222999999999999</v>
      </c>
      <c r="I498" s="100">
        <f t="shared" si="521"/>
        <v>9.4250000000000007</v>
      </c>
      <c r="J498" s="100">
        <f t="shared" si="521"/>
        <v>21.109000000000002</v>
      </c>
      <c r="K498" s="100">
        <f t="shared" si="521"/>
        <v>8.5060000000000002</v>
      </c>
      <c r="L498" s="100">
        <f>SUM(F498:K498)</f>
        <v>89.277000000000001</v>
      </c>
      <c r="M498" s="100">
        <f>L498/6</f>
        <v>14.88</v>
      </c>
      <c r="N498" s="100">
        <f t="shared" ref="N498:S498" si="522">N492+N491</f>
        <v>1.53</v>
      </c>
      <c r="O498" s="100">
        <f t="shared" si="522"/>
        <v>5.2389999999999999</v>
      </c>
      <c r="P498" s="100">
        <f t="shared" si="522"/>
        <v>23.427</v>
      </c>
      <c r="Q498" s="100">
        <f t="shared" si="522"/>
        <v>37.393999999999998</v>
      </c>
      <c r="R498" s="100">
        <f t="shared" si="522"/>
        <v>13.603999999999999</v>
      </c>
      <c r="S498" s="100">
        <f t="shared" si="522"/>
        <v>148.06399999999999</v>
      </c>
      <c r="T498" s="100">
        <f>SUM(N498:S498)</f>
        <v>229.25800000000001</v>
      </c>
      <c r="U498" s="100">
        <f>T498+L498</f>
        <v>318.53500000000003</v>
      </c>
      <c r="V498" s="100">
        <f>V495</f>
        <v>318.53500000000003</v>
      </c>
      <c r="W498" s="100">
        <f>V498-U498</f>
        <v>0</v>
      </c>
    </row>
    <row r="499" spans="1:24" s="43" customFormat="1" ht="18" customHeight="1">
      <c r="A499" s="592"/>
      <c r="B499" s="581"/>
      <c r="C499" s="581"/>
      <c r="D499" s="202" t="str">
        <f>серпень!D422</f>
        <v xml:space="preserve">відхилення </v>
      </c>
      <c r="E499" s="100"/>
      <c r="F499" s="100">
        <f t="shared" ref="F499:K499" si="523">F495-F498</f>
        <v>0</v>
      </c>
      <c r="G499" s="100">
        <f t="shared" si="523"/>
        <v>-1.85</v>
      </c>
      <c r="H499" s="100">
        <f t="shared" si="523"/>
        <v>-5.1340000000000003</v>
      </c>
      <c r="I499" s="100">
        <f t="shared" si="523"/>
        <v>6.367</v>
      </c>
      <c r="J499" s="100">
        <f t="shared" si="523"/>
        <v>-2.7240000000000002</v>
      </c>
      <c r="K499" s="100">
        <f t="shared" si="523"/>
        <v>2.9329999999999998</v>
      </c>
      <c r="L499" s="100"/>
      <c r="M499" s="100"/>
      <c r="N499" s="100">
        <f t="shared" ref="N499:S499" si="524">N495-N498</f>
        <v>8.7650000000000006</v>
      </c>
      <c r="O499" s="100">
        <f t="shared" si="524"/>
        <v>6.806</v>
      </c>
      <c r="P499" s="100">
        <f t="shared" si="524"/>
        <v>-13.638</v>
      </c>
      <c r="Q499" s="100">
        <f t="shared" si="524"/>
        <v>-25.097999999999999</v>
      </c>
      <c r="R499" s="100">
        <f t="shared" si="524"/>
        <v>-0.32300000000000001</v>
      </c>
      <c r="S499" s="100">
        <f t="shared" si="524"/>
        <v>-11.76</v>
      </c>
      <c r="T499" s="100"/>
      <c r="U499" s="100"/>
      <c r="V499" s="100"/>
      <c r="W499" s="100"/>
    </row>
    <row r="500" spans="1:24" s="43" customFormat="1" ht="18" customHeight="1">
      <c r="A500" s="592"/>
      <c r="B500" s="581"/>
      <c r="C500" s="581"/>
      <c r="D500" s="202" t="str">
        <f>серпень!D423</f>
        <v>відхилення з наростаючим</v>
      </c>
      <c r="E500" s="100"/>
      <c r="F500" s="100">
        <f>F499</f>
        <v>0</v>
      </c>
      <c r="G500" s="100">
        <f>G499+F500</f>
        <v>-1.85</v>
      </c>
      <c r="H500" s="100">
        <f>H499+G500</f>
        <v>-6.984</v>
      </c>
      <c r="I500" s="100">
        <f>I499+H500</f>
        <v>-0.61699999999999999</v>
      </c>
      <c r="J500" s="100">
        <f>J499+I500</f>
        <v>-3.3410000000000002</v>
      </c>
      <c r="K500" s="100">
        <f>K499+J500</f>
        <v>-0.40799999999999997</v>
      </c>
      <c r="L500" s="100"/>
      <c r="M500" s="100"/>
      <c r="N500" s="100">
        <f>N499+K500</f>
        <v>8.3569999999999993</v>
      </c>
      <c r="O500" s="100">
        <f>O499+N500</f>
        <v>15.163</v>
      </c>
      <c r="P500" s="100">
        <f>P499+O500</f>
        <v>1.5249999999999999</v>
      </c>
      <c r="Q500" s="100">
        <f>Q499+P500</f>
        <v>-23.573</v>
      </c>
      <c r="R500" s="100">
        <f>R499+Q500</f>
        <v>-23.896000000000001</v>
      </c>
      <c r="S500" s="100">
        <f>S499+R500</f>
        <v>-35.655999999999999</v>
      </c>
      <c r="T500" s="100"/>
      <c r="U500" s="100"/>
      <c r="V500" s="100"/>
      <c r="W500" s="100"/>
    </row>
    <row r="501" spans="1:24" s="55" customFormat="1" ht="18" customHeight="1">
      <c r="A501" s="592"/>
      <c r="B501" s="576" t="s">
        <v>33</v>
      </c>
      <c r="C501" s="577"/>
      <c r="D501" s="178" t="str">
        <f>серпень!D424</f>
        <v>факт. нат.п-ки 2023</v>
      </c>
      <c r="E501" s="85"/>
      <c r="F501" s="88">
        <v>2361</v>
      </c>
      <c r="G501" s="88">
        <v>878</v>
      </c>
      <c r="H501" s="85">
        <v>514</v>
      </c>
      <c r="I501" s="85">
        <v>4059</v>
      </c>
      <c r="J501" s="85">
        <v>3683</v>
      </c>
      <c r="K501" s="85">
        <v>2248</v>
      </c>
      <c r="L501" s="140">
        <f>SUM(F501:K501)</f>
        <v>13743</v>
      </c>
      <c r="M501" s="140">
        <v>5959.6</v>
      </c>
      <c r="N501" s="85">
        <v>0</v>
      </c>
      <c r="O501" s="85">
        <v>1262.9000000000001</v>
      </c>
      <c r="P501" s="85">
        <v>429</v>
      </c>
      <c r="Q501" s="85">
        <v>2248</v>
      </c>
      <c r="R501" s="85">
        <v>2248</v>
      </c>
      <c r="S501" s="85">
        <v>3994.7</v>
      </c>
      <c r="T501" s="140">
        <f>SUM(N501:S501)</f>
        <v>10182.6</v>
      </c>
      <c r="U501" s="140">
        <f>T501+L501</f>
        <v>23925.599999999999</v>
      </c>
      <c r="V501" s="143"/>
      <c r="W501" s="88"/>
      <c r="X501" s="47"/>
    </row>
    <row r="502" spans="1:24" s="48" customFormat="1" ht="18" customHeight="1">
      <c r="A502" s="592"/>
      <c r="B502" s="576"/>
      <c r="C502" s="577"/>
      <c r="D502" s="178" t="str">
        <f>серпень!D425</f>
        <v>факт. нат.п-ки 2024</v>
      </c>
      <c r="E502" s="85"/>
      <c r="F502" s="88">
        <v>244</v>
      </c>
      <c r="G502" s="88">
        <v>318</v>
      </c>
      <c r="H502" s="85">
        <v>1019</v>
      </c>
      <c r="I502" s="85">
        <v>531</v>
      </c>
      <c r="J502" s="85">
        <v>382</v>
      </c>
      <c r="K502" s="85">
        <v>374</v>
      </c>
      <c r="L502" s="140">
        <f>SUM(F502:K502)</f>
        <v>2868</v>
      </c>
      <c r="M502" s="140">
        <v>5959.6</v>
      </c>
      <c r="N502" s="85">
        <v>253</v>
      </c>
      <c r="O502" s="85">
        <v>274</v>
      </c>
      <c r="P502" s="85">
        <v>306</v>
      </c>
      <c r="Q502" s="85">
        <v>792</v>
      </c>
      <c r="R502" s="85">
        <v>1042.4000000000001</v>
      </c>
      <c r="S502" s="85">
        <v>1231.5999999999999</v>
      </c>
      <c r="T502" s="140">
        <f>SUM(N502:S502)</f>
        <v>3899</v>
      </c>
      <c r="U502" s="140">
        <f>T502+L502</f>
        <v>6767</v>
      </c>
      <c r="V502" s="143"/>
      <c r="W502" s="88"/>
      <c r="X502" s="47"/>
    </row>
    <row r="503" spans="1:24" s="48" customFormat="1" ht="18" customHeight="1">
      <c r="A503" s="592"/>
      <c r="B503" s="576"/>
      <c r="C503" s="577"/>
      <c r="D503" s="178" t="str">
        <f>серпень!D426</f>
        <v>факт. нат.п-ки 2025</v>
      </c>
      <c r="E503" s="85"/>
      <c r="F503" s="88">
        <v>2442</v>
      </c>
      <c r="G503" s="88">
        <v>1860</v>
      </c>
      <c r="H503" s="85">
        <v>1219</v>
      </c>
      <c r="I503" s="85">
        <v>2729</v>
      </c>
      <c r="J503" s="85">
        <v>2118</v>
      </c>
      <c r="K503" s="85">
        <v>355</v>
      </c>
      <c r="L503" s="140">
        <f>SUM(F503:K503)</f>
        <v>10723</v>
      </c>
      <c r="M503" s="140">
        <v>5959.6</v>
      </c>
      <c r="N503" s="85">
        <v>170</v>
      </c>
      <c r="O503" s="85">
        <v>288</v>
      </c>
      <c r="P503" s="85">
        <v>1306</v>
      </c>
      <c r="Q503" s="85">
        <f>792+380.3+500</f>
        <v>1672.3</v>
      </c>
      <c r="R503" s="85">
        <f>1042.4+300.3</f>
        <v>1342.7</v>
      </c>
      <c r="S503" s="85">
        <v>1231.5999999999999</v>
      </c>
      <c r="T503" s="140">
        <f>SUM(N503:S503)</f>
        <v>6010.6</v>
      </c>
      <c r="U503" s="140">
        <f>T503+L503</f>
        <v>16733.599999999999</v>
      </c>
      <c r="V503" s="85">
        <v>21747.599999999999</v>
      </c>
      <c r="W503" s="88">
        <f>V503-U503</f>
        <v>5014</v>
      </c>
      <c r="X503" s="47"/>
    </row>
    <row r="504" spans="1:24" s="51" customFormat="1" ht="18" customHeight="1">
      <c r="A504" s="592"/>
      <c r="B504" s="576"/>
      <c r="C504" s="577"/>
      <c r="D504" s="187" t="str">
        <f>серпень!D427</f>
        <v>тариф, грн.</v>
      </c>
      <c r="E504" s="148" t="e">
        <f>E505/E503*1000</f>
        <v>#DIV/0!</v>
      </c>
      <c r="F504" s="148">
        <f t="shared" ref="F504:K504" si="525">F505/F503*1000</f>
        <v>4.31982</v>
      </c>
      <c r="G504" s="148">
        <f t="shared" si="525"/>
        <v>4.31989</v>
      </c>
      <c r="H504" s="148">
        <f t="shared" si="525"/>
        <v>4.3199300000000003</v>
      </c>
      <c r="I504" s="148">
        <f t="shared" si="525"/>
        <v>4.3198999999999996</v>
      </c>
      <c r="J504" s="148">
        <f t="shared" si="525"/>
        <v>4.3201099999999997</v>
      </c>
      <c r="K504" s="148">
        <f t="shared" si="525"/>
        <v>4.3211300000000001</v>
      </c>
      <c r="L504" s="148">
        <f t="shared" ref="L504:O504" si="526">L505/L503*1000</f>
        <v>4.3199699999999996</v>
      </c>
      <c r="M504" s="148">
        <f t="shared" si="526"/>
        <v>1.29556</v>
      </c>
      <c r="N504" s="148">
        <f t="shared" si="526"/>
        <v>4.3176500000000004</v>
      </c>
      <c r="O504" s="148">
        <f t="shared" si="526"/>
        <v>4.3194400000000002</v>
      </c>
      <c r="P504" s="92">
        <v>4.32</v>
      </c>
      <c r="Q504" s="92">
        <v>4.32</v>
      </c>
      <c r="R504" s="92">
        <v>4.32</v>
      </c>
      <c r="S504" s="92">
        <v>4.32</v>
      </c>
      <c r="T504" s="150">
        <f>T505/T503*1000</f>
        <v>4.3198699999999999</v>
      </c>
      <c r="U504" s="150">
        <f>U505/U503*1000</f>
        <v>4.3199300000000003</v>
      </c>
      <c r="V504" s="150">
        <f>V505/V503*1000</f>
        <v>4.3200200000000004</v>
      </c>
      <c r="W504" s="86">
        <f>W505/W503*1000</f>
        <v>4.32</v>
      </c>
      <c r="X504" s="59"/>
    </row>
    <row r="505" spans="1:24" s="130" customFormat="1" ht="18" customHeight="1">
      <c r="A505" s="592"/>
      <c r="B505" s="576"/>
      <c r="C505" s="577"/>
      <c r="D505" s="191" t="str">
        <f>серпень!D428</f>
        <v>сума, тис.грн.</v>
      </c>
      <c r="E505" s="93"/>
      <c r="F505" s="93">
        <v>10.548999999999999</v>
      </c>
      <c r="G505" s="93">
        <v>8.0350000000000001</v>
      </c>
      <c r="H505" s="93">
        <v>5.266</v>
      </c>
      <c r="I505" s="93">
        <v>11.789</v>
      </c>
      <c r="J505" s="93">
        <v>9.15</v>
      </c>
      <c r="K505" s="93">
        <v>1.534</v>
      </c>
      <c r="L505" s="106">
        <f>SUM(F505:K505)</f>
        <v>46.323</v>
      </c>
      <c r="M505" s="106">
        <f>L505/6</f>
        <v>7.7210000000000001</v>
      </c>
      <c r="N505" s="93">
        <v>0.73399999999999999</v>
      </c>
      <c r="O505" s="93">
        <v>1.244</v>
      </c>
      <c r="P505" s="93">
        <f t="shared" ref="P505" si="527">P503*P504/1000</f>
        <v>5.6420000000000003</v>
      </c>
      <c r="Q505" s="93">
        <f t="shared" ref="Q505" si="528">Q503*Q504/1000</f>
        <v>7.2240000000000002</v>
      </c>
      <c r="R505" s="93">
        <f t="shared" ref="R505" si="529">R503*R504/1000</f>
        <v>5.8</v>
      </c>
      <c r="S505" s="93">
        <f t="shared" ref="S505" si="530">S503*S504/1000</f>
        <v>5.3209999999999997</v>
      </c>
      <c r="T505" s="106">
        <f>SUM(N505:S505)</f>
        <v>25.965</v>
      </c>
      <c r="U505" s="106">
        <f>T505+L505</f>
        <v>72.287999999999997</v>
      </c>
      <c r="V505" s="107">
        <f>V506+V507</f>
        <v>93.95</v>
      </c>
      <c r="W505" s="94">
        <f>V505-U505</f>
        <v>21.661999999999999</v>
      </c>
      <c r="X505" s="133"/>
    </row>
    <row r="506" spans="1:24" s="130" customFormat="1" ht="18" customHeight="1">
      <c r="A506" s="592"/>
      <c r="B506" s="576"/>
      <c r="C506" s="577"/>
      <c r="D506" s="174" t="str">
        <f>серпень!D429</f>
        <v>дотація</v>
      </c>
      <c r="E506" s="95"/>
      <c r="F506" s="93"/>
      <c r="G506" s="93"/>
      <c r="H506" s="93"/>
      <c r="I506" s="93"/>
      <c r="J506" s="93"/>
      <c r="K506" s="93"/>
      <c r="L506" s="106">
        <f>SUM(F506:K506)</f>
        <v>0</v>
      </c>
      <c r="M506" s="106">
        <f>L506/6</f>
        <v>0</v>
      </c>
      <c r="N506" s="93"/>
      <c r="O506" s="93"/>
      <c r="P506" s="93"/>
      <c r="Q506" s="93"/>
      <c r="R506" s="93"/>
      <c r="S506" s="93"/>
      <c r="T506" s="106">
        <f>SUM(N506:S506)</f>
        <v>0</v>
      </c>
      <c r="U506" s="106">
        <f>T506+L506</f>
        <v>0</v>
      </c>
      <c r="V506" s="107">
        <v>0</v>
      </c>
      <c r="W506" s="94">
        <f>V506-U506</f>
        <v>0</v>
      </c>
    </row>
    <row r="507" spans="1:24" s="130" customFormat="1" ht="18" customHeight="1">
      <c r="A507" s="592"/>
      <c r="B507" s="576"/>
      <c r="C507" s="577"/>
      <c r="D507" s="174" t="str">
        <f>серпень!D430</f>
        <v>місцевий (план), тис.грн</v>
      </c>
      <c r="E507" s="95"/>
      <c r="F507" s="93">
        <f>1.446-1.446</f>
        <v>0</v>
      </c>
      <c r="G507" s="93">
        <v>8.83</v>
      </c>
      <c r="H507" s="93">
        <v>5.694</v>
      </c>
      <c r="I507" s="93">
        <v>8.7219999999999995</v>
      </c>
      <c r="J507" s="93">
        <v>10.933999999999999</v>
      </c>
      <c r="K507" s="93">
        <v>10.29</v>
      </c>
      <c r="L507" s="106">
        <f>SUM(F507:K507)</f>
        <v>44.47</v>
      </c>
      <c r="M507" s="106">
        <f>L507/6</f>
        <v>7.4119999999999999</v>
      </c>
      <c r="N507" s="93">
        <v>10.256</v>
      </c>
      <c r="O507" s="93">
        <v>7.5730000000000004</v>
      </c>
      <c r="P507" s="93">
        <v>7.6639999999999997</v>
      </c>
      <c r="Q507" s="93">
        <v>5.6420000000000003</v>
      </c>
      <c r="R507" s="93">
        <v>7.2240000000000002</v>
      </c>
      <c r="S507" s="93">
        <v>11.121</v>
      </c>
      <c r="T507" s="106">
        <f>SUM(N507:S507)</f>
        <v>49.48</v>
      </c>
      <c r="U507" s="106">
        <f>T507+L507</f>
        <v>93.95</v>
      </c>
      <c r="V507" s="107">
        <v>93.95</v>
      </c>
      <c r="W507" s="94">
        <f>V507-U507</f>
        <v>0</v>
      </c>
    </row>
    <row r="508" spans="1:24" s="48" customFormat="1" ht="18" customHeight="1">
      <c r="A508" s="592"/>
      <c r="B508" s="576"/>
      <c r="C508" s="577"/>
      <c r="D508" s="178" t="str">
        <f>серпень!D431</f>
        <v>касові нат.п-ки 2025</v>
      </c>
      <c r="E508" s="85"/>
      <c r="F508" s="88">
        <v>0</v>
      </c>
      <c r="G508" s="88">
        <v>2442</v>
      </c>
      <c r="H508" s="88">
        <v>1860</v>
      </c>
      <c r="I508" s="85">
        <v>1219</v>
      </c>
      <c r="J508" s="85">
        <v>2729</v>
      </c>
      <c r="K508" s="85">
        <v>2118</v>
      </c>
      <c r="L508" s="140">
        <f>SUM(F508:K508)</f>
        <v>10368</v>
      </c>
      <c r="M508" s="140">
        <f>L508/6</f>
        <v>1728</v>
      </c>
      <c r="N508" s="85">
        <v>355</v>
      </c>
      <c r="O508" s="85">
        <v>170</v>
      </c>
      <c r="P508" s="85">
        <v>288</v>
      </c>
      <c r="Q508" s="85">
        <v>1306</v>
      </c>
      <c r="R508" s="85">
        <v>1672.3</v>
      </c>
      <c r="S508" s="85">
        <f>R503+S503</f>
        <v>2574.3000000000002</v>
      </c>
      <c r="T508" s="140">
        <f>SUM(N508:S508)</f>
        <v>6365.6</v>
      </c>
      <c r="U508" s="140">
        <f>T508+L508</f>
        <v>16733.599999999999</v>
      </c>
      <c r="V508" s="85">
        <f>V503</f>
        <v>21747.599999999999</v>
      </c>
      <c r="W508" s="88">
        <f>V508-U508</f>
        <v>5014</v>
      </c>
      <c r="X508" s="374">
        <f>U503-U508</f>
        <v>0</v>
      </c>
    </row>
    <row r="509" spans="1:24" s="51" customFormat="1" ht="18" customHeight="1">
      <c r="A509" s="592"/>
      <c r="B509" s="576"/>
      <c r="C509" s="577"/>
      <c r="D509" s="187" t="str">
        <f>серпень!D432</f>
        <v>тариф, грн.</v>
      </c>
      <c r="E509" s="148" t="e">
        <f>E510/E508*1000</f>
        <v>#DIV/0!</v>
      </c>
      <c r="F509" s="92" t="e">
        <f t="shared" ref="F509:J509" si="531">F510/F508*1000</f>
        <v>#DIV/0!</v>
      </c>
      <c r="G509" s="92">
        <f t="shared" si="531"/>
        <v>4.32</v>
      </c>
      <c r="H509" s="92">
        <f t="shared" si="531"/>
        <v>4.32</v>
      </c>
      <c r="I509" s="92">
        <f t="shared" si="531"/>
        <v>4.32</v>
      </c>
      <c r="J509" s="92">
        <f t="shared" si="531"/>
        <v>4.32</v>
      </c>
      <c r="K509" s="92">
        <v>4.32</v>
      </c>
      <c r="L509" s="148">
        <f t="shared" ref="L509:P509" si="532">L510/L508*1000</f>
        <v>4.3199300000000003</v>
      </c>
      <c r="M509" s="148">
        <f t="shared" si="532"/>
        <v>4.3200200000000004</v>
      </c>
      <c r="N509" s="148">
        <f t="shared" si="532"/>
        <v>4.3211300000000001</v>
      </c>
      <c r="O509" s="148">
        <f t="shared" si="532"/>
        <v>4.3176500000000004</v>
      </c>
      <c r="P509" s="148">
        <f t="shared" si="532"/>
        <v>4.3194400000000002</v>
      </c>
      <c r="Q509" s="92">
        <v>4.32</v>
      </c>
      <c r="R509" s="92">
        <v>4.32</v>
      </c>
      <c r="S509" s="92">
        <v>4.32</v>
      </c>
      <c r="T509" s="150">
        <f>T510/T508*1000</f>
        <v>4.3199399999999999</v>
      </c>
      <c r="U509" s="150">
        <f>U510/U508*1000</f>
        <v>4.3199300000000003</v>
      </c>
      <c r="V509" s="150">
        <f>V510/V508*1000</f>
        <v>4.3200200000000004</v>
      </c>
      <c r="W509" s="86">
        <f>W510/W508*1000</f>
        <v>4.32</v>
      </c>
      <c r="X509" s="59"/>
    </row>
    <row r="510" spans="1:24" s="126" customFormat="1" ht="18" customHeight="1">
      <c r="A510" s="592"/>
      <c r="B510" s="576"/>
      <c r="C510" s="577"/>
      <c r="D510" s="198" t="str">
        <f>серпень!D433</f>
        <v>касові видатки, тис.грн.</v>
      </c>
      <c r="E510" s="108"/>
      <c r="F510" s="98">
        <v>0</v>
      </c>
      <c r="G510" s="98">
        <v>10.548999999999999</v>
      </c>
      <c r="H510" s="98">
        <v>8.0350000000000001</v>
      </c>
      <c r="I510" s="98">
        <v>5.266</v>
      </c>
      <c r="J510" s="98">
        <v>11.789</v>
      </c>
      <c r="K510" s="98">
        <v>9.15</v>
      </c>
      <c r="L510" s="98">
        <f>SUM(F510:K510)</f>
        <v>44.789000000000001</v>
      </c>
      <c r="M510" s="98">
        <f>L510/6</f>
        <v>7.4649999999999999</v>
      </c>
      <c r="N510" s="98">
        <v>1.534</v>
      </c>
      <c r="O510" s="98">
        <v>0.73399999999999999</v>
      </c>
      <c r="P510" s="98">
        <v>1.244</v>
      </c>
      <c r="Q510" s="98">
        <f t="shared" ref="Q510" si="533">Q508*Q509/1000</f>
        <v>5.6420000000000003</v>
      </c>
      <c r="R510" s="98">
        <f t="shared" ref="R510" si="534">R508*R509/1000</f>
        <v>7.2240000000000002</v>
      </c>
      <c r="S510" s="98">
        <f t="shared" ref="S510" si="535">S508*S509/1000</f>
        <v>11.121</v>
      </c>
      <c r="T510" s="98">
        <f>SUM(N510:S510)</f>
        <v>27.498999999999999</v>
      </c>
      <c r="U510" s="98">
        <f>T510+L510</f>
        <v>72.287999999999997</v>
      </c>
      <c r="V510" s="98">
        <f>V505</f>
        <v>93.95</v>
      </c>
      <c r="W510" s="109">
        <f>V510-U510</f>
        <v>21.661999999999999</v>
      </c>
      <c r="X510" s="63">
        <f>U505-U510</f>
        <v>0</v>
      </c>
    </row>
    <row r="511" spans="1:24" s="126" customFormat="1" ht="18" customHeight="1">
      <c r="A511" s="592"/>
      <c r="B511" s="576"/>
      <c r="C511" s="577"/>
      <c r="D511" s="201" t="str">
        <f>серпень!D434</f>
        <v>дотація</v>
      </c>
      <c r="E511" s="108"/>
      <c r="F511" s="98">
        <v>0</v>
      </c>
      <c r="G511" s="98">
        <v>0</v>
      </c>
      <c r="H511" s="98">
        <v>0</v>
      </c>
      <c r="I511" s="98">
        <v>0</v>
      </c>
      <c r="J511" s="98">
        <v>0</v>
      </c>
      <c r="K511" s="98">
        <v>0</v>
      </c>
      <c r="L511" s="98">
        <f>SUM(F511:K511)</f>
        <v>0</v>
      </c>
      <c r="M511" s="98">
        <f>L511/6</f>
        <v>0</v>
      </c>
      <c r="N511" s="98">
        <v>0</v>
      </c>
      <c r="O511" s="98">
        <v>0</v>
      </c>
      <c r="P511" s="98">
        <v>0</v>
      </c>
      <c r="Q511" s="98">
        <v>0</v>
      </c>
      <c r="R511" s="98">
        <v>0</v>
      </c>
      <c r="S511" s="98">
        <v>0</v>
      </c>
      <c r="T511" s="98">
        <f>SUM(N511:S511)</f>
        <v>0</v>
      </c>
      <c r="U511" s="98">
        <f>T511+L511</f>
        <v>0</v>
      </c>
      <c r="V511" s="98">
        <f>V506</f>
        <v>0</v>
      </c>
      <c r="W511" s="109">
        <f>V511-U511</f>
        <v>0</v>
      </c>
      <c r="X511" s="63">
        <f>U506-U511</f>
        <v>0</v>
      </c>
    </row>
    <row r="512" spans="1:24" s="126" customFormat="1" ht="18" customHeight="1">
      <c r="A512" s="592"/>
      <c r="B512" s="576"/>
      <c r="C512" s="577"/>
      <c r="D512" s="201" t="str">
        <f>серпень!D435</f>
        <v xml:space="preserve">місцевий </v>
      </c>
      <c r="E512" s="108"/>
      <c r="F512" s="98">
        <f t="shared" ref="F512:K512" si="536">F510-F511</f>
        <v>0</v>
      </c>
      <c r="G512" s="98">
        <f t="shared" si="536"/>
        <v>10.548999999999999</v>
      </c>
      <c r="H512" s="98">
        <f t="shared" si="536"/>
        <v>8.0350000000000001</v>
      </c>
      <c r="I512" s="98">
        <f t="shared" si="536"/>
        <v>5.266</v>
      </c>
      <c r="J512" s="98">
        <f t="shared" si="536"/>
        <v>11.789</v>
      </c>
      <c r="K512" s="98">
        <f t="shared" si="536"/>
        <v>9.15</v>
      </c>
      <c r="L512" s="98">
        <f>SUM(F512:K512)</f>
        <v>44.789000000000001</v>
      </c>
      <c r="M512" s="98">
        <f>L512/6</f>
        <v>7.4649999999999999</v>
      </c>
      <c r="N512" s="98">
        <f t="shared" ref="N512:S512" si="537">N510-N511</f>
        <v>1.534</v>
      </c>
      <c r="O512" s="98">
        <f t="shared" si="537"/>
        <v>0.73399999999999999</v>
      </c>
      <c r="P512" s="98">
        <f t="shared" si="537"/>
        <v>1.244</v>
      </c>
      <c r="Q512" s="98">
        <f t="shared" si="537"/>
        <v>5.6420000000000003</v>
      </c>
      <c r="R512" s="98">
        <f t="shared" si="537"/>
        <v>7.2240000000000002</v>
      </c>
      <c r="S512" s="98">
        <f t="shared" si="537"/>
        <v>11.121</v>
      </c>
      <c r="T512" s="98">
        <f>SUM(N512:S512)</f>
        <v>27.498999999999999</v>
      </c>
      <c r="U512" s="98">
        <f>T512+L512</f>
        <v>72.287999999999997</v>
      </c>
      <c r="V512" s="98">
        <f>V507</f>
        <v>93.95</v>
      </c>
      <c r="W512" s="109">
        <f>V512-U512</f>
        <v>21.661999999999999</v>
      </c>
      <c r="X512" s="63">
        <f>U507-U512</f>
        <v>21.661999999999999</v>
      </c>
    </row>
    <row r="513" spans="1:28" s="43" customFormat="1" ht="18" customHeight="1">
      <c r="A513" s="592"/>
      <c r="B513" s="576"/>
      <c r="C513" s="577"/>
      <c r="D513" s="202" t="str">
        <f>серпень!D436</f>
        <v>план</v>
      </c>
      <c r="E513" s="100"/>
      <c r="F513" s="100">
        <f t="shared" ref="F513:K513" si="538">F507</f>
        <v>0</v>
      </c>
      <c r="G513" s="100">
        <f t="shared" si="538"/>
        <v>8.83</v>
      </c>
      <c r="H513" s="100">
        <f t="shared" si="538"/>
        <v>5.694</v>
      </c>
      <c r="I513" s="100">
        <f t="shared" si="538"/>
        <v>8.7219999999999995</v>
      </c>
      <c r="J513" s="100">
        <f t="shared" si="538"/>
        <v>10.933999999999999</v>
      </c>
      <c r="K513" s="100">
        <f t="shared" si="538"/>
        <v>10.29</v>
      </c>
      <c r="L513" s="100">
        <f>SUM(F513:K513)</f>
        <v>44.47</v>
      </c>
      <c r="M513" s="100">
        <f>L513/6</f>
        <v>7.4119999999999999</v>
      </c>
      <c r="N513" s="100">
        <f t="shared" ref="N513:S513" si="539">N507+N506</f>
        <v>10.256</v>
      </c>
      <c r="O513" s="100">
        <f t="shared" si="539"/>
        <v>7.5730000000000004</v>
      </c>
      <c r="P513" s="100">
        <f t="shared" si="539"/>
        <v>7.6639999999999997</v>
      </c>
      <c r="Q513" s="100">
        <f t="shared" si="539"/>
        <v>5.6420000000000003</v>
      </c>
      <c r="R513" s="100">
        <f t="shared" si="539"/>
        <v>7.2240000000000002</v>
      </c>
      <c r="S513" s="100">
        <f t="shared" si="539"/>
        <v>11.121</v>
      </c>
      <c r="T513" s="100">
        <f>SUM(N513:S513)</f>
        <v>49.48</v>
      </c>
      <c r="U513" s="100">
        <f>T513+L513</f>
        <v>93.95</v>
      </c>
      <c r="V513" s="100">
        <f>V510</f>
        <v>93.95</v>
      </c>
      <c r="W513" s="100">
        <f>V513-U513</f>
        <v>0</v>
      </c>
    </row>
    <row r="514" spans="1:28" s="43" customFormat="1" ht="18" customHeight="1">
      <c r="A514" s="592"/>
      <c r="B514" s="576"/>
      <c r="C514" s="577"/>
      <c r="D514" s="202" t="str">
        <f>серпень!D437</f>
        <v xml:space="preserve">відхилення </v>
      </c>
      <c r="E514" s="100"/>
      <c r="F514" s="100">
        <f t="shared" ref="F514:K514" si="540">F510-F513</f>
        <v>0</v>
      </c>
      <c r="G514" s="100">
        <f t="shared" si="540"/>
        <v>1.7190000000000001</v>
      </c>
      <c r="H514" s="100">
        <f t="shared" si="540"/>
        <v>2.3410000000000002</v>
      </c>
      <c r="I514" s="100">
        <f t="shared" si="540"/>
        <v>-3.456</v>
      </c>
      <c r="J514" s="100">
        <f t="shared" si="540"/>
        <v>0.85499999999999998</v>
      </c>
      <c r="K514" s="100">
        <f t="shared" si="540"/>
        <v>-1.1399999999999999</v>
      </c>
      <c r="L514" s="100"/>
      <c r="M514" s="100"/>
      <c r="N514" s="100">
        <f t="shared" ref="N514:S514" si="541">N510-N513</f>
        <v>-8.7219999999999995</v>
      </c>
      <c r="O514" s="100">
        <f t="shared" si="541"/>
        <v>-6.8390000000000004</v>
      </c>
      <c r="P514" s="100">
        <f t="shared" si="541"/>
        <v>-6.42</v>
      </c>
      <c r="Q514" s="100">
        <f t="shared" si="541"/>
        <v>0</v>
      </c>
      <c r="R514" s="100">
        <f t="shared" si="541"/>
        <v>0</v>
      </c>
      <c r="S514" s="100">
        <f t="shared" si="541"/>
        <v>0</v>
      </c>
      <c r="T514" s="100"/>
      <c r="U514" s="100"/>
      <c r="V514" s="100"/>
      <c r="W514" s="100"/>
    </row>
    <row r="515" spans="1:28" s="43" customFormat="1" ht="18" customHeight="1">
      <c r="A515" s="593"/>
      <c r="B515" s="578"/>
      <c r="C515" s="579"/>
      <c r="D515" s="202" t="str">
        <f>серпень!D438</f>
        <v>відхилення з наростаючим</v>
      </c>
      <c r="E515" s="100"/>
      <c r="F515" s="100">
        <f>F514</f>
        <v>0</v>
      </c>
      <c r="G515" s="100">
        <f>G514+F515</f>
        <v>1.7190000000000001</v>
      </c>
      <c r="H515" s="100">
        <f>H514+G515</f>
        <v>4.0599999999999996</v>
      </c>
      <c r="I515" s="100">
        <f>I514+H515</f>
        <v>0.60399999999999998</v>
      </c>
      <c r="J515" s="100">
        <f>J514+I515</f>
        <v>1.4590000000000001</v>
      </c>
      <c r="K515" s="100">
        <f>K514+J515</f>
        <v>0.31900000000000001</v>
      </c>
      <c r="L515" s="100"/>
      <c r="M515" s="100"/>
      <c r="N515" s="100">
        <f>N514+K515</f>
        <v>-8.4030000000000005</v>
      </c>
      <c r="O515" s="100">
        <f>O514+N515</f>
        <v>-15.242000000000001</v>
      </c>
      <c r="P515" s="100">
        <f>P514+O515</f>
        <v>-21.661999999999999</v>
      </c>
      <c r="Q515" s="100">
        <f>Q514+P515</f>
        <v>-21.661999999999999</v>
      </c>
      <c r="R515" s="100">
        <f>R514+Q515</f>
        <v>-21.661999999999999</v>
      </c>
      <c r="S515" s="100">
        <f>S514+R515</f>
        <v>-21.661999999999999</v>
      </c>
      <c r="T515" s="100"/>
      <c r="U515" s="100"/>
      <c r="V515" s="100"/>
      <c r="W515" s="100"/>
      <c r="AB515" s="58">
        <f>Z515-Z520</f>
        <v>0</v>
      </c>
    </row>
    <row r="516" spans="1:28" s="47" customFormat="1" ht="18" customHeight="1">
      <c r="A516" s="650">
        <v>2275</v>
      </c>
      <c r="B516" s="581" t="s">
        <v>70</v>
      </c>
      <c r="C516" s="581"/>
      <c r="D516" s="178" t="str">
        <f>серпень!D439</f>
        <v>факт. нат.п-ки 2023</v>
      </c>
      <c r="E516" s="85"/>
      <c r="F516" s="12">
        <f>F533+F704</f>
        <v>4.4000000000000004</v>
      </c>
      <c r="G516" s="12">
        <f t="shared" ref="G516:K516" si="542">G533+G704</f>
        <v>3.3</v>
      </c>
      <c r="H516" s="12">
        <f t="shared" si="542"/>
        <v>4.4000000000000004</v>
      </c>
      <c r="I516" s="12">
        <f t="shared" si="542"/>
        <v>3.3</v>
      </c>
      <c r="J516" s="12">
        <f t="shared" si="542"/>
        <v>5.5</v>
      </c>
      <c r="K516" s="12">
        <f t="shared" si="542"/>
        <v>4.4000000000000004</v>
      </c>
      <c r="L516" s="140">
        <f>SUM(F516:K516)</f>
        <v>25.3</v>
      </c>
      <c r="M516" s="140">
        <f>L516/6</f>
        <v>4.2</v>
      </c>
      <c r="N516" s="12">
        <f>N533+N704</f>
        <v>1.1000000000000001</v>
      </c>
      <c r="O516" s="12">
        <f t="shared" ref="O516:S516" si="543">O533+O704</f>
        <v>5.5</v>
      </c>
      <c r="P516" s="12">
        <f t="shared" si="543"/>
        <v>4.4000000000000004</v>
      </c>
      <c r="Q516" s="12">
        <f t="shared" si="543"/>
        <v>5.5</v>
      </c>
      <c r="R516" s="12">
        <f t="shared" si="543"/>
        <v>3.3</v>
      </c>
      <c r="S516" s="12">
        <f t="shared" si="543"/>
        <v>16.5</v>
      </c>
      <c r="T516" s="140">
        <f>SUM(N516:S516)</f>
        <v>36.299999999999997</v>
      </c>
      <c r="U516" s="140">
        <f>T516+L516</f>
        <v>61.6</v>
      </c>
      <c r="V516" s="76">
        <f>V533+V704</f>
        <v>0</v>
      </c>
      <c r="W516" s="88"/>
    </row>
    <row r="517" spans="1:28" s="47" customFormat="1" ht="18" customHeight="1">
      <c r="A517" s="614"/>
      <c r="B517" s="581"/>
      <c r="C517" s="581"/>
      <c r="D517" s="178" t="str">
        <f>серпень!D440</f>
        <v>факт. нат.п-ки 2024</v>
      </c>
      <c r="E517" s="85"/>
      <c r="F517" s="12">
        <f t="shared" ref="F517:K518" si="544">F534+F705</f>
        <v>7.7</v>
      </c>
      <c r="G517" s="12">
        <f t="shared" si="544"/>
        <v>3.3</v>
      </c>
      <c r="H517" s="12">
        <f t="shared" si="544"/>
        <v>5.5</v>
      </c>
      <c r="I517" s="12">
        <f t="shared" si="544"/>
        <v>5.5</v>
      </c>
      <c r="J517" s="12">
        <f t="shared" si="544"/>
        <v>5.5</v>
      </c>
      <c r="K517" s="12">
        <f t="shared" si="544"/>
        <v>4.4000000000000004</v>
      </c>
      <c r="L517" s="140">
        <f>SUM(F517:K517)</f>
        <v>31.9</v>
      </c>
      <c r="M517" s="140">
        <f>L517/6</f>
        <v>5.3</v>
      </c>
      <c r="N517" s="12">
        <f t="shared" ref="N517:S517" si="545">N534+N705</f>
        <v>4.4000000000000004</v>
      </c>
      <c r="O517" s="12">
        <f t="shared" si="545"/>
        <v>5.5</v>
      </c>
      <c r="P517" s="12">
        <f t="shared" si="545"/>
        <v>5.5</v>
      </c>
      <c r="Q517" s="12">
        <f t="shared" si="545"/>
        <v>5.5</v>
      </c>
      <c r="R517" s="12">
        <f t="shared" si="545"/>
        <v>25.1</v>
      </c>
      <c r="S517" s="12">
        <f t="shared" si="545"/>
        <v>25.1</v>
      </c>
      <c r="T517" s="140">
        <f>SUM(N517:S517)</f>
        <v>71.099999999999994</v>
      </c>
      <c r="U517" s="140">
        <f>T517+L517</f>
        <v>103</v>
      </c>
      <c r="V517" s="76">
        <f>V534+V705</f>
        <v>0</v>
      </c>
      <c r="W517" s="88"/>
    </row>
    <row r="518" spans="1:28" s="47" customFormat="1" ht="18" customHeight="1">
      <c r="A518" s="614"/>
      <c r="B518" s="581"/>
      <c r="C518" s="581"/>
      <c r="D518" s="178" t="str">
        <f>серпень!D441</f>
        <v>факт. нат.п-ки 2025</v>
      </c>
      <c r="E518" s="85"/>
      <c r="F518" s="12">
        <f t="shared" si="544"/>
        <v>7.7</v>
      </c>
      <c r="G518" s="12">
        <f t="shared" si="544"/>
        <v>8.8000000000000007</v>
      </c>
      <c r="H518" s="12">
        <f t="shared" si="544"/>
        <v>6.6</v>
      </c>
      <c r="I518" s="12">
        <f t="shared" si="544"/>
        <v>6.6</v>
      </c>
      <c r="J518" s="12">
        <f t="shared" si="544"/>
        <v>7.7</v>
      </c>
      <c r="K518" s="12">
        <f t="shared" si="544"/>
        <v>4.4000000000000004</v>
      </c>
      <c r="L518" s="140">
        <f>SUM(F518:K518)</f>
        <v>41.8</v>
      </c>
      <c r="M518" s="140">
        <f>L518/6</f>
        <v>7</v>
      </c>
      <c r="N518" s="12">
        <f t="shared" ref="N518:S518" si="546">N535+N706</f>
        <v>3.3</v>
      </c>
      <c r="O518" s="12">
        <f t="shared" si="546"/>
        <v>4.4000000000000004</v>
      </c>
      <c r="P518" s="12">
        <f t="shared" si="546"/>
        <v>5.5</v>
      </c>
      <c r="Q518" s="12">
        <f t="shared" si="546"/>
        <v>5.5</v>
      </c>
      <c r="R518" s="12">
        <f t="shared" si="546"/>
        <v>25.1</v>
      </c>
      <c r="S518" s="12">
        <f t="shared" si="546"/>
        <v>18.100000000000001</v>
      </c>
      <c r="T518" s="140">
        <f>SUM(N518:S518)</f>
        <v>61.9</v>
      </c>
      <c r="U518" s="140">
        <f>T518+L518</f>
        <v>103.7</v>
      </c>
      <c r="V518" s="76">
        <f>V535+V706</f>
        <v>96</v>
      </c>
      <c r="W518" s="88">
        <f>V518-U518</f>
        <v>-7.7</v>
      </c>
    </row>
    <row r="519" spans="1:28" s="47" customFormat="1" ht="18" customHeight="1">
      <c r="A519" s="614"/>
      <c r="B519" s="581"/>
      <c r="C519" s="581"/>
      <c r="D519" s="187" t="str">
        <f>серпень!D442</f>
        <v>тариф, грн.</v>
      </c>
      <c r="E519" s="92"/>
      <c r="F519" s="92">
        <f t="shared" ref="F519:S519" si="547">F520/F518*1000</f>
        <v>131.03899999999999</v>
      </c>
      <c r="G519" s="92">
        <f t="shared" si="547"/>
        <v>131.136</v>
      </c>
      <c r="H519" s="92">
        <f t="shared" si="547"/>
        <v>131.06100000000001</v>
      </c>
      <c r="I519" s="92">
        <f t="shared" si="547"/>
        <v>131.06100000000001</v>
      </c>
      <c r="J519" s="92">
        <f t="shared" si="547"/>
        <v>131.03899999999999</v>
      </c>
      <c r="K519" s="92">
        <f t="shared" si="547"/>
        <v>131.136</v>
      </c>
      <c r="L519" s="92">
        <f t="shared" si="547"/>
        <v>131.077</v>
      </c>
      <c r="M519" s="92">
        <f t="shared" si="547"/>
        <v>130.429</v>
      </c>
      <c r="N519" s="92">
        <f t="shared" si="547"/>
        <v>131.21199999999999</v>
      </c>
      <c r="O519" s="92">
        <f t="shared" si="547"/>
        <v>131.136</v>
      </c>
      <c r="P519" s="92">
        <f t="shared" si="547"/>
        <v>152.727</v>
      </c>
      <c r="Q519" s="92">
        <f t="shared" si="547"/>
        <v>152.727</v>
      </c>
      <c r="R519" s="92">
        <f t="shared" si="547"/>
        <v>152.62899999999999</v>
      </c>
      <c r="S519" s="92">
        <f t="shared" si="547"/>
        <v>152.43100000000001</v>
      </c>
      <c r="T519" s="92">
        <f>T520/T518*1000</f>
        <v>149.91900000000001</v>
      </c>
      <c r="U519" s="92">
        <f>U520/U518*1000</f>
        <v>142.32400000000001</v>
      </c>
      <c r="V519" s="92">
        <f>V520/V518*1000</f>
        <v>152.63499999999999</v>
      </c>
      <c r="W519" s="92">
        <f>W520/W518*1000</f>
        <v>13.766</v>
      </c>
    </row>
    <row r="520" spans="1:28" s="130" customFormat="1" ht="18" customHeight="1">
      <c r="A520" s="614"/>
      <c r="B520" s="581"/>
      <c r="C520" s="581"/>
      <c r="D520" s="191" t="str">
        <f>серпень!D443</f>
        <v>сума, тис.грн.</v>
      </c>
      <c r="E520" s="93"/>
      <c r="F520" s="93">
        <f>F537+F708</f>
        <v>1.0089999999999999</v>
      </c>
      <c r="G520" s="93">
        <f t="shared" ref="G520:K520" si="548">G537+G708</f>
        <v>1.1539999999999999</v>
      </c>
      <c r="H520" s="93">
        <f t="shared" si="548"/>
        <v>0.86499999999999999</v>
      </c>
      <c r="I520" s="93">
        <f t="shared" si="548"/>
        <v>0.86499999999999999</v>
      </c>
      <c r="J520" s="93">
        <f t="shared" si="548"/>
        <v>1.0089999999999999</v>
      </c>
      <c r="K520" s="93">
        <f t="shared" si="548"/>
        <v>0.57699999999999996</v>
      </c>
      <c r="L520" s="106">
        <f>SUM(F520:K520)</f>
        <v>5.4790000000000001</v>
      </c>
      <c r="M520" s="106">
        <f>L520/6</f>
        <v>0.91300000000000003</v>
      </c>
      <c r="N520" s="93">
        <f>N537+N708</f>
        <v>0.433</v>
      </c>
      <c r="O520" s="93">
        <f t="shared" ref="O520:S520" si="549">O537+O708</f>
        <v>0.57699999999999996</v>
      </c>
      <c r="P520" s="93">
        <f t="shared" si="549"/>
        <v>0.84</v>
      </c>
      <c r="Q520" s="93">
        <f t="shared" si="549"/>
        <v>0.84</v>
      </c>
      <c r="R520" s="93">
        <f t="shared" si="549"/>
        <v>3.831</v>
      </c>
      <c r="S520" s="93">
        <f t="shared" si="549"/>
        <v>2.7589999999999999</v>
      </c>
      <c r="T520" s="106">
        <f>SUM(N520:S520)</f>
        <v>9.2799999999999994</v>
      </c>
      <c r="U520" s="106">
        <f>T520+L520</f>
        <v>14.759</v>
      </c>
      <c r="V520" s="106">
        <f t="shared" ref="V520" si="550">V537+V708</f>
        <v>14.653</v>
      </c>
      <c r="W520" s="93">
        <f>V520-U520</f>
        <v>-0.106</v>
      </c>
      <c r="X520" s="130">
        <f>W520-W527</f>
        <v>0</v>
      </c>
    </row>
    <row r="521" spans="1:28" s="130" customFormat="1" ht="18" customHeight="1">
      <c r="A521" s="614"/>
      <c r="B521" s="581"/>
      <c r="C521" s="581"/>
      <c r="D521" s="174" t="str">
        <f>серпень!D444</f>
        <v>абоненська плата, тис.грн.</v>
      </c>
      <c r="E521" s="93"/>
      <c r="F521" s="93">
        <f>F538</f>
        <v>0</v>
      </c>
      <c r="G521" s="93">
        <f t="shared" ref="G521:K521" si="551">G538</f>
        <v>0</v>
      </c>
      <c r="H521" s="93">
        <f t="shared" si="551"/>
        <v>0</v>
      </c>
      <c r="I521" s="93">
        <f t="shared" si="551"/>
        <v>0</v>
      </c>
      <c r="J521" s="93">
        <f t="shared" si="551"/>
        <v>0</v>
      </c>
      <c r="K521" s="93">
        <f t="shared" si="551"/>
        <v>0</v>
      </c>
      <c r="L521" s="106">
        <f t="shared" ref="L521:L522" si="552">SUM(F521:K521)</f>
        <v>0</v>
      </c>
      <c r="M521" s="106">
        <f t="shared" ref="M521:M522" si="553">L521/6</f>
        <v>0</v>
      </c>
      <c r="N521" s="93">
        <f>N538</f>
        <v>0</v>
      </c>
      <c r="O521" s="93">
        <f t="shared" ref="O521:S521" si="554">O538</f>
        <v>0</v>
      </c>
      <c r="P521" s="93">
        <f t="shared" si="554"/>
        <v>0</v>
      </c>
      <c r="Q521" s="93">
        <f t="shared" si="554"/>
        <v>0</v>
      </c>
      <c r="R521" s="93">
        <f t="shared" si="554"/>
        <v>0</v>
      </c>
      <c r="S521" s="93">
        <f t="shared" si="554"/>
        <v>0</v>
      </c>
      <c r="T521" s="106">
        <f t="shared" ref="T521:T522" si="555">SUM(N521:S521)</f>
        <v>0</v>
      </c>
      <c r="U521" s="106">
        <f t="shared" ref="U521:U522" si="556">T521+L521</f>
        <v>0</v>
      </c>
      <c r="V521" s="106">
        <f t="shared" ref="V521" si="557">V538</f>
        <v>0</v>
      </c>
      <c r="W521" s="93">
        <f t="shared" ref="W521:W522" si="558">V521-U521</f>
        <v>0</v>
      </c>
    </row>
    <row r="522" spans="1:28" s="130" customFormat="1" ht="18" customHeight="1">
      <c r="A522" s="614"/>
      <c r="B522" s="581"/>
      <c r="C522" s="581"/>
      <c r="D522" s="174" t="str">
        <f>серпень!D445</f>
        <v>разом сума тис. грн+абонплата</v>
      </c>
      <c r="E522" s="93"/>
      <c r="F522" s="93">
        <f>F520+F521</f>
        <v>1.0089999999999999</v>
      </c>
      <c r="G522" s="93">
        <f t="shared" ref="G522:K522" si="559">G520+G521</f>
        <v>1.1539999999999999</v>
      </c>
      <c r="H522" s="93">
        <f t="shared" si="559"/>
        <v>0.86499999999999999</v>
      </c>
      <c r="I522" s="93">
        <f t="shared" si="559"/>
        <v>0.86499999999999999</v>
      </c>
      <c r="J522" s="93">
        <f t="shared" si="559"/>
        <v>1.0089999999999999</v>
      </c>
      <c r="K522" s="93">
        <f t="shared" si="559"/>
        <v>0.57699999999999996</v>
      </c>
      <c r="L522" s="106">
        <f t="shared" si="552"/>
        <v>5.4790000000000001</v>
      </c>
      <c r="M522" s="106">
        <f t="shared" si="553"/>
        <v>0.91300000000000003</v>
      </c>
      <c r="N522" s="93">
        <f>N520+N521</f>
        <v>0.433</v>
      </c>
      <c r="O522" s="93">
        <f t="shared" ref="O522" si="560">O520+O521</f>
        <v>0.57699999999999996</v>
      </c>
      <c r="P522" s="93">
        <f t="shared" ref="P522" si="561">P520+P521</f>
        <v>0.84</v>
      </c>
      <c r="Q522" s="93">
        <f t="shared" ref="Q522" si="562">Q520+Q521</f>
        <v>0.84</v>
      </c>
      <c r="R522" s="93">
        <f t="shared" ref="R522" si="563">R520+R521</f>
        <v>3.831</v>
      </c>
      <c r="S522" s="93">
        <f t="shared" ref="S522" si="564">S520+S521</f>
        <v>2.7589999999999999</v>
      </c>
      <c r="T522" s="106">
        <f t="shared" si="555"/>
        <v>9.2799999999999994</v>
      </c>
      <c r="U522" s="106">
        <f t="shared" si="556"/>
        <v>14.759</v>
      </c>
      <c r="V522" s="106">
        <f t="shared" ref="V522" si="565">V520+V521</f>
        <v>14.653</v>
      </c>
      <c r="W522" s="93">
        <f t="shared" si="558"/>
        <v>-0.106</v>
      </c>
    </row>
    <row r="523" spans="1:28" s="130" customFormat="1" ht="18" customHeight="1">
      <c r="A523" s="614"/>
      <c r="B523" s="581"/>
      <c r="C523" s="581"/>
      <c r="D523" s="174" t="str">
        <f>серпень!D446</f>
        <v>дотація</v>
      </c>
      <c r="E523" s="95"/>
      <c r="F523" s="93">
        <f t="shared" ref="F523:K525" si="566">F540+F709</f>
        <v>0</v>
      </c>
      <c r="G523" s="93">
        <f t="shared" si="566"/>
        <v>0</v>
      </c>
      <c r="H523" s="93">
        <f t="shared" si="566"/>
        <v>0</v>
      </c>
      <c r="I523" s="93">
        <f t="shared" si="566"/>
        <v>0</v>
      </c>
      <c r="J523" s="93">
        <f t="shared" si="566"/>
        <v>0</v>
      </c>
      <c r="K523" s="93">
        <f t="shared" si="566"/>
        <v>0</v>
      </c>
      <c r="L523" s="106">
        <f>SUM(F523:K523)</f>
        <v>0</v>
      </c>
      <c r="M523" s="106">
        <f>L523/6</f>
        <v>0</v>
      </c>
      <c r="N523" s="93">
        <f t="shared" ref="N523:S525" si="567">N540+N709</f>
        <v>0</v>
      </c>
      <c r="O523" s="93">
        <f t="shared" si="567"/>
        <v>0</v>
      </c>
      <c r="P523" s="93">
        <f t="shared" si="567"/>
        <v>0</v>
      </c>
      <c r="Q523" s="93">
        <f t="shared" si="567"/>
        <v>0</v>
      </c>
      <c r="R523" s="93">
        <f t="shared" si="567"/>
        <v>0</v>
      </c>
      <c r="S523" s="93">
        <f t="shared" si="567"/>
        <v>0</v>
      </c>
      <c r="T523" s="106">
        <f>SUM(N523:S523)</f>
        <v>0</v>
      </c>
      <c r="U523" s="106">
        <f>T523+L523</f>
        <v>0</v>
      </c>
      <c r="V523" s="106">
        <f>V540+V709</f>
        <v>0</v>
      </c>
      <c r="W523" s="93">
        <f>V523-U523</f>
        <v>0</v>
      </c>
      <c r="X523" s="134"/>
    </row>
    <row r="524" spans="1:28" s="130" customFormat="1" ht="18" customHeight="1">
      <c r="A524" s="614"/>
      <c r="B524" s="581"/>
      <c r="C524" s="581"/>
      <c r="D524" s="174" t="str">
        <f>серпень!D447</f>
        <v>місцевий (план), тис.грн</v>
      </c>
      <c r="E524" s="95"/>
      <c r="F524" s="93">
        <f t="shared" si="566"/>
        <v>1.175</v>
      </c>
      <c r="G524" s="93">
        <f t="shared" si="566"/>
        <v>0</v>
      </c>
      <c r="H524" s="93">
        <f t="shared" si="566"/>
        <v>0.98899999999999999</v>
      </c>
      <c r="I524" s="93">
        <f t="shared" si="566"/>
        <v>0.86499999999999999</v>
      </c>
      <c r="J524" s="93">
        <f t="shared" si="566"/>
        <v>0.86499999999999999</v>
      </c>
      <c r="K524" s="93">
        <f t="shared" si="566"/>
        <v>1.01</v>
      </c>
      <c r="L524" s="106">
        <f>SUM(F524:K524)</f>
        <v>4.9039999999999999</v>
      </c>
      <c r="M524" s="106">
        <f>L524/6</f>
        <v>0.81699999999999995</v>
      </c>
      <c r="N524" s="93">
        <f t="shared" si="567"/>
        <v>0.67200000000000004</v>
      </c>
      <c r="O524" s="93">
        <f t="shared" si="567"/>
        <v>0.36599999999999999</v>
      </c>
      <c r="P524" s="93">
        <f t="shared" si="567"/>
        <v>0.84</v>
      </c>
      <c r="Q524" s="93">
        <f t="shared" si="567"/>
        <v>1.1399999999999999</v>
      </c>
      <c r="R524" s="93">
        <f t="shared" si="567"/>
        <v>3.468</v>
      </c>
      <c r="S524" s="93">
        <f t="shared" si="567"/>
        <v>3.2629999999999999</v>
      </c>
      <c r="T524" s="106">
        <f>SUM(N524:S524)</f>
        <v>9.7490000000000006</v>
      </c>
      <c r="U524" s="106">
        <f>T524+L524</f>
        <v>14.653</v>
      </c>
      <c r="V524" s="106">
        <f>V541+V710</f>
        <v>14.653</v>
      </c>
      <c r="W524" s="93">
        <f>V524-U524</f>
        <v>0</v>
      </c>
    </row>
    <row r="525" spans="1:28" s="47" customFormat="1" ht="18" customHeight="1">
      <c r="A525" s="614"/>
      <c r="B525" s="581"/>
      <c r="C525" s="581"/>
      <c r="D525" s="178" t="str">
        <f>серпень!D448</f>
        <v>касові нат.п-ки 2025</v>
      </c>
      <c r="E525" s="12">
        <f>E542+E711</f>
        <v>0</v>
      </c>
      <c r="F525" s="12">
        <f t="shared" si="566"/>
        <v>0</v>
      </c>
      <c r="G525" s="12">
        <f t="shared" si="566"/>
        <v>0</v>
      </c>
      <c r="H525" s="12">
        <f t="shared" si="566"/>
        <v>16.5</v>
      </c>
      <c r="I525" s="12">
        <f t="shared" si="566"/>
        <v>6.6</v>
      </c>
      <c r="J525" s="12">
        <f t="shared" si="566"/>
        <v>6.6</v>
      </c>
      <c r="K525" s="12">
        <f t="shared" si="566"/>
        <v>7.7</v>
      </c>
      <c r="L525" s="140">
        <f>SUM(F525:K525)</f>
        <v>37.4</v>
      </c>
      <c r="M525" s="140">
        <f>L525/6</f>
        <v>6.2</v>
      </c>
      <c r="N525" s="12">
        <f t="shared" si="567"/>
        <v>4.4000000000000004</v>
      </c>
      <c r="O525" s="12">
        <f t="shared" si="567"/>
        <v>3.3</v>
      </c>
      <c r="P525" s="12">
        <f t="shared" si="567"/>
        <v>9.9</v>
      </c>
      <c r="Q525" s="12">
        <f t="shared" si="567"/>
        <v>5.5</v>
      </c>
      <c r="R525" s="12">
        <f t="shared" si="567"/>
        <v>25.1</v>
      </c>
      <c r="S525" s="12">
        <f t="shared" si="567"/>
        <v>18.100000000000001</v>
      </c>
      <c r="T525" s="140">
        <f>SUM(N525:S525)</f>
        <v>66.3</v>
      </c>
      <c r="U525" s="140">
        <f>T525+L525</f>
        <v>103.7</v>
      </c>
      <c r="V525" s="76">
        <f>V542+V711</f>
        <v>96</v>
      </c>
      <c r="W525" s="88">
        <f>V525-U525</f>
        <v>-7.7</v>
      </c>
      <c r="X525" s="47">
        <f>U518-U525</f>
        <v>0</v>
      </c>
    </row>
    <row r="526" spans="1:28" s="47" customFormat="1" ht="18" customHeight="1">
      <c r="A526" s="614"/>
      <c r="B526" s="581"/>
      <c r="C526" s="581"/>
      <c r="D526" s="187" t="str">
        <f>серпень!D449</f>
        <v>тариф, грн.</v>
      </c>
      <c r="E526" s="92" t="e">
        <f>E527/E525*1000</f>
        <v>#DIV/0!</v>
      </c>
      <c r="F526" s="92" t="e">
        <f t="shared" ref="F526:S526" si="568">F527/F525*1000</f>
        <v>#DIV/0!</v>
      </c>
      <c r="G526" s="92" t="e">
        <f t="shared" si="568"/>
        <v>#DIV/0!</v>
      </c>
      <c r="H526" s="92">
        <f t="shared" si="568"/>
        <v>131.09100000000001</v>
      </c>
      <c r="I526" s="92">
        <f t="shared" si="568"/>
        <v>131.06100000000001</v>
      </c>
      <c r="J526" s="92">
        <f t="shared" si="568"/>
        <v>131.06100000000001</v>
      </c>
      <c r="K526" s="92">
        <f t="shared" si="568"/>
        <v>131.03899999999999</v>
      </c>
      <c r="L526" s="92">
        <f t="shared" si="568"/>
        <v>131.07</v>
      </c>
      <c r="M526" s="92">
        <f t="shared" si="568"/>
        <v>131.774</v>
      </c>
      <c r="N526" s="92">
        <f t="shared" si="568"/>
        <v>131.136</v>
      </c>
      <c r="O526" s="92">
        <f t="shared" si="568"/>
        <v>131.21199999999999</v>
      </c>
      <c r="P526" s="92">
        <f t="shared" si="568"/>
        <v>143.131</v>
      </c>
      <c r="Q526" s="92">
        <f t="shared" si="568"/>
        <v>152.727</v>
      </c>
      <c r="R526" s="92">
        <f t="shared" si="568"/>
        <v>152.62899999999999</v>
      </c>
      <c r="S526" s="92">
        <f t="shared" si="568"/>
        <v>152.43100000000001</v>
      </c>
      <c r="T526" s="92">
        <f>T527/T525*1000</f>
        <v>148.673</v>
      </c>
      <c r="U526" s="92">
        <f>U527/U525*1000</f>
        <v>142.32400000000001</v>
      </c>
      <c r="V526" s="92">
        <f>V527/V525*1000</f>
        <v>152.63499999999999</v>
      </c>
      <c r="W526" s="92">
        <f>W527/W525*1000</f>
        <v>13.766</v>
      </c>
      <c r="X526" s="59"/>
    </row>
    <row r="527" spans="1:28" s="63" customFormat="1" ht="18" customHeight="1">
      <c r="A527" s="614"/>
      <c r="B527" s="581"/>
      <c r="C527" s="581"/>
      <c r="D527" s="198" t="str">
        <f>серпень!D450</f>
        <v>касові видатки, тис.грн.</v>
      </c>
      <c r="E527" s="109">
        <f t="shared" ref="E527:K527" si="569">E544+E713</f>
        <v>0</v>
      </c>
      <c r="F527" s="98">
        <f t="shared" si="569"/>
        <v>0</v>
      </c>
      <c r="G527" s="98">
        <f t="shared" si="569"/>
        <v>0</v>
      </c>
      <c r="H527" s="98">
        <f t="shared" si="569"/>
        <v>2.1629999999999998</v>
      </c>
      <c r="I527" s="98">
        <f t="shared" si="569"/>
        <v>0.86499999999999999</v>
      </c>
      <c r="J527" s="98">
        <f t="shared" si="569"/>
        <v>0.86499999999999999</v>
      </c>
      <c r="K527" s="98">
        <f t="shared" si="569"/>
        <v>1.0089999999999999</v>
      </c>
      <c r="L527" s="98">
        <f>SUM(F527:K527)</f>
        <v>4.9020000000000001</v>
      </c>
      <c r="M527" s="98">
        <f>L527/6</f>
        <v>0.81699999999999995</v>
      </c>
      <c r="N527" s="98">
        <f t="shared" ref="N527:S529" si="570">N544+N713</f>
        <v>0.57699999999999996</v>
      </c>
      <c r="O527" s="98">
        <f t="shared" si="570"/>
        <v>0.433</v>
      </c>
      <c r="P527" s="98">
        <f t="shared" si="570"/>
        <v>1.417</v>
      </c>
      <c r="Q527" s="98">
        <f t="shared" si="570"/>
        <v>0.84</v>
      </c>
      <c r="R527" s="98">
        <f t="shared" si="570"/>
        <v>3.831</v>
      </c>
      <c r="S527" s="98">
        <f t="shared" si="570"/>
        <v>2.7589999999999999</v>
      </c>
      <c r="T527" s="98">
        <f>SUM(N527:S527)</f>
        <v>9.8569999999999993</v>
      </c>
      <c r="U527" s="98">
        <f>T527+L527</f>
        <v>14.759</v>
      </c>
      <c r="V527" s="98">
        <f>V544+V713</f>
        <v>14.653</v>
      </c>
      <c r="W527" s="109">
        <f>V527-U527</f>
        <v>-0.106</v>
      </c>
      <c r="X527" s="63">
        <f>U520-U527</f>
        <v>0</v>
      </c>
    </row>
    <row r="528" spans="1:28" s="63" customFormat="1" ht="18" customHeight="1">
      <c r="A528" s="614"/>
      <c r="B528" s="581"/>
      <c r="C528" s="581"/>
      <c r="D528" s="201" t="str">
        <f>серпень!D451</f>
        <v>дотація</v>
      </c>
      <c r="E528" s="108"/>
      <c r="F528" s="98">
        <f t="shared" ref="F528:K529" si="571">F545+F714</f>
        <v>0</v>
      </c>
      <c r="G528" s="98">
        <f t="shared" si="571"/>
        <v>0</v>
      </c>
      <c r="H528" s="98">
        <f t="shared" si="571"/>
        <v>0</v>
      </c>
      <c r="I528" s="98">
        <f t="shared" si="571"/>
        <v>0</v>
      </c>
      <c r="J528" s="98">
        <f t="shared" si="571"/>
        <v>0</v>
      </c>
      <c r="K528" s="98">
        <f t="shared" si="571"/>
        <v>0</v>
      </c>
      <c r="L528" s="98">
        <f>SUM(F528:K528)</f>
        <v>0</v>
      </c>
      <c r="M528" s="98">
        <f>L528/6</f>
        <v>0</v>
      </c>
      <c r="N528" s="98">
        <f t="shared" si="570"/>
        <v>0</v>
      </c>
      <c r="O528" s="98">
        <f t="shared" si="570"/>
        <v>0</v>
      </c>
      <c r="P528" s="98">
        <f t="shared" si="570"/>
        <v>0</v>
      </c>
      <c r="Q528" s="98">
        <f t="shared" si="570"/>
        <v>0</v>
      </c>
      <c r="R528" s="98">
        <f t="shared" si="570"/>
        <v>0</v>
      </c>
      <c r="S528" s="98">
        <f t="shared" si="570"/>
        <v>0</v>
      </c>
      <c r="T528" s="98">
        <f>SUM(N528:S528)</f>
        <v>0</v>
      </c>
      <c r="U528" s="98">
        <f>T528+L528</f>
        <v>0</v>
      </c>
      <c r="V528" s="98">
        <f>V545+V714</f>
        <v>0</v>
      </c>
      <c r="W528" s="109">
        <f>V528-U528</f>
        <v>0</v>
      </c>
      <c r="X528" s="63">
        <f>U523-U528</f>
        <v>0</v>
      </c>
    </row>
    <row r="529" spans="1:24" s="63" customFormat="1" ht="18" customHeight="1">
      <c r="A529" s="614"/>
      <c r="B529" s="581"/>
      <c r="C529" s="581"/>
      <c r="D529" s="201" t="str">
        <f>серпень!D452</f>
        <v xml:space="preserve">місцевий </v>
      </c>
      <c r="E529" s="108"/>
      <c r="F529" s="98">
        <f t="shared" si="571"/>
        <v>0</v>
      </c>
      <c r="G529" s="98">
        <f t="shared" si="571"/>
        <v>0</v>
      </c>
      <c r="H529" s="98">
        <f t="shared" si="571"/>
        <v>2.1629999999999998</v>
      </c>
      <c r="I529" s="98">
        <f t="shared" si="571"/>
        <v>0.86499999999999999</v>
      </c>
      <c r="J529" s="98">
        <f t="shared" si="571"/>
        <v>0.86499999999999999</v>
      </c>
      <c r="K529" s="98">
        <f t="shared" si="571"/>
        <v>1.0089999999999999</v>
      </c>
      <c r="L529" s="98">
        <f>SUM(F529:K529)</f>
        <v>4.9020000000000001</v>
      </c>
      <c r="M529" s="98">
        <f>L529/6</f>
        <v>0.81699999999999995</v>
      </c>
      <c r="N529" s="98">
        <f t="shared" si="570"/>
        <v>0.57699999999999996</v>
      </c>
      <c r="O529" s="98">
        <f t="shared" si="570"/>
        <v>0.433</v>
      </c>
      <c r="P529" s="98">
        <f t="shared" si="570"/>
        <v>1.417</v>
      </c>
      <c r="Q529" s="98">
        <f t="shared" si="570"/>
        <v>0.84</v>
      </c>
      <c r="R529" s="98">
        <f t="shared" si="570"/>
        <v>3.831</v>
      </c>
      <c r="S529" s="98">
        <f t="shared" si="570"/>
        <v>2.7589999999999999</v>
      </c>
      <c r="T529" s="98">
        <f>SUM(N529:S529)</f>
        <v>9.8569999999999993</v>
      </c>
      <c r="U529" s="98">
        <f>T529+L529</f>
        <v>14.759</v>
      </c>
      <c r="V529" s="98">
        <f>V546+V715</f>
        <v>14.653</v>
      </c>
      <c r="W529" s="109">
        <f>V529-U529</f>
        <v>-0.106</v>
      </c>
      <c r="X529" s="63">
        <f>U524-U529</f>
        <v>-0.106</v>
      </c>
    </row>
    <row r="530" spans="1:24" s="43" customFormat="1" ht="18" customHeight="1">
      <c r="A530" s="614"/>
      <c r="B530" s="581"/>
      <c r="C530" s="581"/>
      <c r="D530" s="202" t="str">
        <f>серпень!D453</f>
        <v>план</v>
      </c>
      <c r="E530" s="100"/>
      <c r="F530" s="100">
        <f t="shared" ref="F530:K530" si="572">F524</f>
        <v>1.175</v>
      </c>
      <c r="G530" s="100">
        <f t="shared" si="572"/>
        <v>0</v>
      </c>
      <c r="H530" s="100">
        <f t="shared" si="572"/>
        <v>0.98899999999999999</v>
      </c>
      <c r="I530" s="100">
        <f t="shared" si="572"/>
        <v>0.86499999999999999</v>
      </c>
      <c r="J530" s="100">
        <f t="shared" si="572"/>
        <v>0.86499999999999999</v>
      </c>
      <c r="K530" s="100">
        <f t="shared" si="572"/>
        <v>1.01</v>
      </c>
      <c r="L530" s="100">
        <f>SUM(F530:K530)</f>
        <v>4.9039999999999999</v>
      </c>
      <c r="M530" s="100">
        <f>L530/6</f>
        <v>0.81699999999999995</v>
      </c>
      <c r="N530" s="100">
        <f t="shared" ref="N530:S530" si="573">N524</f>
        <v>0.67200000000000004</v>
      </c>
      <c r="O530" s="100">
        <f t="shared" si="573"/>
        <v>0.36599999999999999</v>
      </c>
      <c r="P530" s="100">
        <f t="shared" si="573"/>
        <v>0.84</v>
      </c>
      <c r="Q530" s="100">
        <f t="shared" si="573"/>
        <v>1.1399999999999999</v>
      </c>
      <c r="R530" s="100">
        <f t="shared" si="573"/>
        <v>3.468</v>
      </c>
      <c r="S530" s="100">
        <f t="shared" si="573"/>
        <v>3.2629999999999999</v>
      </c>
      <c r="T530" s="100">
        <f>SUM(N530:S530)</f>
        <v>9.7490000000000006</v>
      </c>
      <c r="U530" s="100">
        <f>T530+L530</f>
        <v>14.653</v>
      </c>
      <c r="V530" s="100">
        <f>V524</f>
        <v>14.653</v>
      </c>
      <c r="W530" s="100">
        <f>V530-U530</f>
        <v>0</v>
      </c>
    </row>
    <row r="531" spans="1:24" s="43" customFormat="1" ht="18" customHeight="1">
      <c r="A531" s="614"/>
      <c r="B531" s="581"/>
      <c r="C531" s="581"/>
      <c r="D531" s="202" t="str">
        <f>серпень!D454</f>
        <v xml:space="preserve">відхилення </v>
      </c>
      <c r="E531" s="100"/>
      <c r="F531" s="100">
        <f t="shared" ref="F531:K531" si="574">F527-F530</f>
        <v>-1.175</v>
      </c>
      <c r="G531" s="100">
        <f t="shared" si="574"/>
        <v>0</v>
      </c>
      <c r="H531" s="100">
        <f t="shared" si="574"/>
        <v>1.1739999999999999</v>
      </c>
      <c r="I531" s="100">
        <f t="shared" si="574"/>
        <v>0</v>
      </c>
      <c r="J531" s="100">
        <f t="shared" si="574"/>
        <v>0</v>
      </c>
      <c r="K531" s="100">
        <f t="shared" si="574"/>
        <v>-1E-3</v>
      </c>
      <c r="L531" s="100"/>
      <c r="M531" s="100"/>
      <c r="N531" s="100">
        <f t="shared" ref="N531:S531" si="575">N527-N530</f>
        <v>-9.5000000000000001E-2</v>
      </c>
      <c r="O531" s="100">
        <f t="shared" si="575"/>
        <v>6.7000000000000004E-2</v>
      </c>
      <c r="P531" s="100">
        <f t="shared" si="575"/>
        <v>0.57699999999999996</v>
      </c>
      <c r="Q531" s="100">
        <f t="shared" si="575"/>
        <v>-0.3</v>
      </c>
      <c r="R531" s="100">
        <f t="shared" si="575"/>
        <v>0.36299999999999999</v>
      </c>
      <c r="S531" s="100">
        <f t="shared" si="575"/>
        <v>-0.504</v>
      </c>
      <c r="T531" s="100"/>
      <c r="U531" s="100"/>
      <c r="V531" s="100"/>
      <c r="W531" s="100"/>
    </row>
    <row r="532" spans="1:24" s="43" customFormat="1" ht="18" customHeight="1">
      <c r="A532" s="614"/>
      <c r="B532" s="581"/>
      <c r="C532" s="581"/>
      <c r="D532" s="202" t="str">
        <f>серпень!D455</f>
        <v>відхилення з наростаючим</v>
      </c>
      <c r="E532" s="100"/>
      <c r="F532" s="100">
        <f>F531</f>
        <v>-1.175</v>
      </c>
      <c r="G532" s="100">
        <f>G531+F532</f>
        <v>-1.175</v>
      </c>
      <c r="H532" s="100">
        <f>H531+G532</f>
        <v>-1E-3</v>
      </c>
      <c r="I532" s="100">
        <f>I531+H532</f>
        <v>-1E-3</v>
      </c>
      <c r="J532" s="100">
        <f>J531+I532</f>
        <v>-1E-3</v>
      </c>
      <c r="K532" s="100">
        <f>K531+J532</f>
        <v>-2E-3</v>
      </c>
      <c r="L532" s="100"/>
      <c r="M532" s="100"/>
      <c r="N532" s="100">
        <f>N531+K532</f>
        <v>-9.7000000000000003E-2</v>
      </c>
      <c r="O532" s="100">
        <f>O531+N532</f>
        <v>-0.03</v>
      </c>
      <c r="P532" s="100">
        <f>P531+O532</f>
        <v>0.54700000000000004</v>
      </c>
      <c r="Q532" s="100">
        <f>Q531+P532</f>
        <v>0.247</v>
      </c>
      <c r="R532" s="100">
        <f>R531+Q532</f>
        <v>0.61</v>
      </c>
      <c r="S532" s="100">
        <f>S531+R532</f>
        <v>0.106</v>
      </c>
      <c r="T532" s="100"/>
      <c r="U532" s="100"/>
      <c r="V532" s="100"/>
      <c r="W532" s="100"/>
    </row>
    <row r="533" spans="1:24" s="47" customFormat="1" ht="18" customHeight="1">
      <c r="A533" s="614"/>
      <c r="B533" s="576" t="s">
        <v>90</v>
      </c>
      <c r="C533" s="577"/>
      <c r="D533" s="178" t="str">
        <f>серпень!D456</f>
        <v>факт. нат.п-ки 2023</v>
      </c>
      <c r="E533" s="85"/>
      <c r="F533" s="12">
        <f t="shared" ref="F533:K533" si="576">F550+F627</f>
        <v>4.4000000000000004</v>
      </c>
      <c r="G533" s="12">
        <f t="shared" si="576"/>
        <v>3.3</v>
      </c>
      <c r="H533" s="12">
        <f t="shared" si="576"/>
        <v>4.4000000000000004</v>
      </c>
      <c r="I533" s="12">
        <f t="shared" si="576"/>
        <v>3.3</v>
      </c>
      <c r="J533" s="12">
        <f t="shared" si="576"/>
        <v>5.5</v>
      </c>
      <c r="K533" s="12">
        <f t="shared" si="576"/>
        <v>4.4000000000000004</v>
      </c>
      <c r="L533" s="140">
        <f>SUM(F533:K533)</f>
        <v>25.3</v>
      </c>
      <c r="M533" s="140">
        <f>L533/6</f>
        <v>4.2</v>
      </c>
      <c r="N533" s="12">
        <f t="shared" ref="N533:S533" si="577">N550+N627</f>
        <v>1.1000000000000001</v>
      </c>
      <c r="O533" s="12">
        <f t="shared" si="577"/>
        <v>5.5</v>
      </c>
      <c r="P533" s="12">
        <f t="shared" si="577"/>
        <v>4.4000000000000004</v>
      </c>
      <c r="Q533" s="12">
        <f t="shared" si="577"/>
        <v>5.5</v>
      </c>
      <c r="R533" s="12">
        <f t="shared" si="577"/>
        <v>3.3</v>
      </c>
      <c r="S533" s="12">
        <f t="shared" si="577"/>
        <v>16.5</v>
      </c>
      <c r="T533" s="140">
        <f>SUM(N533:S533)</f>
        <v>36.299999999999997</v>
      </c>
      <c r="U533" s="140">
        <f>T533+L533</f>
        <v>61.6</v>
      </c>
      <c r="V533" s="76">
        <f>V550+V627</f>
        <v>0</v>
      </c>
      <c r="W533" s="88"/>
    </row>
    <row r="534" spans="1:24" s="47" customFormat="1" ht="18" customHeight="1">
      <c r="A534" s="614"/>
      <c r="B534" s="576"/>
      <c r="C534" s="577"/>
      <c r="D534" s="178" t="str">
        <f>серпень!D457</f>
        <v>факт. нат.п-ки 2024</v>
      </c>
      <c r="E534" s="85"/>
      <c r="F534" s="12">
        <f t="shared" ref="F534:K534" si="578">F551+F628</f>
        <v>7.7</v>
      </c>
      <c r="G534" s="12">
        <f t="shared" si="578"/>
        <v>3.3</v>
      </c>
      <c r="H534" s="12">
        <f t="shared" si="578"/>
        <v>5.5</v>
      </c>
      <c r="I534" s="12">
        <f t="shared" si="578"/>
        <v>5.5</v>
      </c>
      <c r="J534" s="12">
        <f t="shared" si="578"/>
        <v>5.5</v>
      </c>
      <c r="K534" s="12">
        <f t="shared" si="578"/>
        <v>4.4000000000000004</v>
      </c>
      <c r="L534" s="140">
        <f>SUM(F534:K534)</f>
        <v>31.9</v>
      </c>
      <c r="M534" s="140">
        <f>L534/6</f>
        <v>5.3</v>
      </c>
      <c r="N534" s="12">
        <f t="shared" ref="N534:S534" si="579">N551+N628</f>
        <v>4.4000000000000004</v>
      </c>
      <c r="O534" s="12">
        <f t="shared" si="579"/>
        <v>5.5</v>
      </c>
      <c r="P534" s="12">
        <f t="shared" si="579"/>
        <v>5.5</v>
      </c>
      <c r="Q534" s="12">
        <f t="shared" si="579"/>
        <v>5.5</v>
      </c>
      <c r="R534" s="12">
        <f t="shared" si="579"/>
        <v>25.1</v>
      </c>
      <c r="S534" s="12">
        <f t="shared" si="579"/>
        <v>25.1</v>
      </c>
      <c r="T534" s="140">
        <f>SUM(N534:S534)</f>
        <v>71.099999999999994</v>
      </c>
      <c r="U534" s="140">
        <f>T534+L534</f>
        <v>103</v>
      </c>
      <c r="V534" s="76">
        <f>V551+V628</f>
        <v>0</v>
      </c>
      <c r="W534" s="88"/>
    </row>
    <row r="535" spans="1:24" s="47" customFormat="1" ht="18" customHeight="1">
      <c r="A535" s="614"/>
      <c r="B535" s="576"/>
      <c r="C535" s="577"/>
      <c r="D535" s="178" t="str">
        <f>серпень!D458</f>
        <v>факт. нат.п-ки 2025</v>
      </c>
      <c r="E535" s="85"/>
      <c r="F535" s="12">
        <f t="shared" ref="F535:K535" si="580">F552+F629</f>
        <v>7.7</v>
      </c>
      <c r="G535" s="12">
        <f t="shared" si="580"/>
        <v>8.8000000000000007</v>
      </c>
      <c r="H535" s="12">
        <f t="shared" si="580"/>
        <v>6.6</v>
      </c>
      <c r="I535" s="12">
        <f t="shared" si="580"/>
        <v>6.6</v>
      </c>
      <c r="J535" s="12">
        <f t="shared" si="580"/>
        <v>7.7</v>
      </c>
      <c r="K535" s="12">
        <f t="shared" si="580"/>
        <v>4.4000000000000004</v>
      </c>
      <c r="L535" s="140">
        <f>SUM(F535:K535)</f>
        <v>41.8</v>
      </c>
      <c r="M535" s="140">
        <f>L535/6</f>
        <v>7</v>
      </c>
      <c r="N535" s="12">
        <f t="shared" ref="N535:S535" si="581">N552+N629</f>
        <v>3.3</v>
      </c>
      <c r="O535" s="12">
        <f t="shared" si="581"/>
        <v>4.4000000000000004</v>
      </c>
      <c r="P535" s="12">
        <f t="shared" si="581"/>
        <v>5.5</v>
      </c>
      <c r="Q535" s="12">
        <f>Q552+Q629</f>
        <v>5.5</v>
      </c>
      <c r="R535" s="12">
        <f t="shared" si="581"/>
        <v>25.1</v>
      </c>
      <c r="S535" s="12">
        <f t="shared" si="581"/>
        <v>18.100000000000001</v>
      </c>
      <c r="T535" s="140">
        <f>SUM(N535:S535)</f>
        <v>61.9</v>
      </c>
      <c r="U535" s="140">
        <f>T535+L535</f>
        <v>103.7</v>
      </c>
      <c r="V535" s="76">
        <f>V552+V629</f>
        <v>96</v>
      </c>
      <c r="W535" s="88">
        <f>V535-U535</f>
        <v>-7.7</v>
      </c>
    </row>
    <row r="536" spans="1:24" s="47" customFormat="1" ht="18" customHeight="1">
      <c r="A536" s="614"/>
      <c r="B536" s="576"/>
      <c r="C536" s="577"/>
      <c r="D536" s="187" t="str">
        <f>серпень!D459</f>
        <v>тариф, грн.</v>
      </c>
      <c r="E536" s="92"/>
      <c r="F536" s="92">
        <v>143.11199999999999</v>
      </c>
      <c r="G536" s="92">
        <f t="shared" ref="G536:S536" si="582">G537/G535*1000</f>
        <v>131.136</v>
      </c>
      <c r="H536" s="92">
        <f t="shared" si="582"/>
        <v>131.06100000000001</v>
      </c>
      <c r="I536" s="92">
        <f t="shared" si="582"/>
        <v>131.06100000000001</v>
      </c>
      <c r="J536" s="92">
        <f t="shared" si="582"/>
        <v>131.03899999999999</v>
      </c>
      <c r="K536" s="92">
        <f t="shared" si="582"/>
        <v>131.136</v>
      </c>
      <c r="L536" s="92">
        <f t="shared" si="582"/>
        <v>131.077</v>
      </c>
      <c r="M536" s="92">
        <f t="shared" si="582"/>
        <v>130.429</v>
      </c>
      <c r="N536" s="92">
        <f t="shared" si="582"/>
        <v>131.21199999999999</v>
      </c>
      <c r="O536" s="92">
        <f t="shared" si="582"/>
        <v>131.136</v>
      </c>
      <c r="P536" s="92">
        <f t="shared" si="582"/>
        <v>152.727</v>
      </c>
      <c r="Q536" s="92">
        <f t="shared" si="582"/>
        <v>152.727</v>
      </c>
      <c r="R536" s="92">
        <f t="shared" si="582"/>
        <v>152.62899999999999</v>
      </c>
      <c r="S536" s="92">
        <f t="shared" si="582"/>
        <v>152.43100000000001</v>
      </c>
      <c r="T536" s="92">
        <f>T537/T535*1000</f>
        <v>149.91900000000001</v>
      </c>
      <c r="U536" s="92">
        <f>U537/U535*1000</f>
        <v>142.32400000000001</v>
      </c>
      <c r="V536" s="92">
        <f>V537/V535*1000</f>
        <v>152.63499999999999</v>
      </c>
      <c r="W536" s="92">
        <f>W537/W535*1000</f>
        <v>13.766</v>
      </c>
    </row>
    <row r="537" spans="1:24" s="130" customFormat="1" ht="18" customHeight="1">
      <c r="A537" s="614"/>
      <c r="B537" s="576"/>
      <c r="C537" s="577"/>
      <c r="D537" s="191" t="str">
        <f>серпень!D460</f>
        <v>сума, тис.грн.</v>
      </c>
      <c r="E537" s="93"/>
      <c r="F537" s="93">
        <f>F554+F631</f>
        <v>1.0089999999999999</v>
      </c>
      <c r="G537" s="93">
        <f t="shared" ref="G537:K537" si="583">G554+G631</f>
        <v>1.1539999999999999</v>
      </c>
      <c r="H537" s="93">
        <f t="shared" si="583"/>
        <v>0.86499999999999999</v>
      </c>
      <c r="I537" s="93">
        <f t="shared" si="583"/>
        <v>0.86499999999999999</v>
      </c>
      <c r="J537" s="93">
        <f t="shared" si="583"/>
        <v>1.0089999999999999</v>
      </c>
      <c r="K537" s="93">
        <f t="shared" si="583"/>
        <v>0.57699999999999996</v>
      </c>
      <c r="L537" s="106">
        <f>SUM(F537:K537)</f>
        <v>5.4790000000000001</v>
      </c>
      <c r="M537" s="106">
        <f>L537/6</f>
        <v>0.91300000000000003</v>
      </c>
      <c r="N537" s="93">
        <f>N554+N631</f>
        <v>0.433</v>
      </c>
      <c r="O537" s="93">
        <f t="shared" ref="O537:S537" si="584">O554+O631</f>
        <v>0.57699999999999996</v>
      </c>
      <c r="P537" s="93">
        <f t="shared" si="584"/>
        <v>0.84</v>
      </c>
      <c r="Q537" s="93">
        <f t="shared" si="584"/>
        <v>0.84</v>
      </c>
      <c r="R537" s="93">
        <f t="shared" si="584"/>
        <v>3.831</v>
      </c>
      <c r="S537" s="93">
        <f t="shared" si="584"/>
        <v>2.7589999999999999</v>
      </c>
      <c r="T537" s="106">
        <f>SUM(N537:S537)</f>
        <v>9.2799999999999994</v>
      </c>
      <c r="U537" s="106">
        <f>T537+L537</f>
        <v>14.759</v>
      </c>
      <c r="V537" s="93">
        <f t="shared" ref="V537" si="585">V554+V631</f>
        <v>14.653</v>
      </c>
      <c r="W537" s="93">
        <f>V537-U537</f>
        <v>-0.106</v>
      </c>
    </row>
    <row r="538" spans="1:24" s="130" customFormat="1" ht="18" customHeight="1">
      <c r="A538" s="614"/>
      <c r="B538" s="576"/>
      <c r="C538" s="577"/>
      <c r="D538" s="174" t="str">
        <f>серпень!D461</f>
        <v>абоненська плата, тис.грн.</v>
      </c>
      <c r="E538" s="93"/>
      <c r="F538" s="93">
        <f>F555+F632</f>
        <v>0</v>
      </c>
      <c r="G538" s="93">
        <f t="shared" ref="G538:K538" si="586">G555+G632</f>
        <v>0</v>
      </c>
      <c r="H538" s="93">
        <f t="shared" si="586"/>
        <v>0</v>
      </c>
      <c r="I538" s="93">
        <f t="shared" si="586"/>
        <v>0</v>
      </c>
      <c r="J538" s="93">
        <f t="shared" si="586"/>
        <v>0</v>
      </c>
      <c r="K538" s="93">
        <f t="shared" si="586"/>
        <v>0</v>
      </c>
      <c r="L538" s="106">
        <f t="shared" ref="L538:L539" si="587">SUM(F538:K538)</f>
        <v>0</v>
      </c>
      <c r="M538" s="106">
        <f t="shared" ref="M538:M539" si="588">L538/6</f>
        <v>0</v>
      </c>
      <c r="N538" s="93">
        <f>N555+N632</f>
        <v>0</v>
      </c>
      <c r="O538" s="93">
        <f t="shared" ref="O538:S538" si="589">O555+O632</f>
        <v>0</v>
      </c>
      <c r="P538" s="93">
        <f t="shared" si="589"/>
        <v>0</v>
      </c>
      <c r="Q538" s="93">
        <f t="shared" si="589"/>
        <v>0</v>
      </c>
      <c r="R538" s="93">
        <f t="shared" si="589"/>
        <v>0</v>
      </c>
      <c r="S538" s="93">
        <f t="shared" si="589"/>
        <v>0</v>
      </c>
      <c r="T538" s="106">
        <f t="shared" ref="T538:T541" si="590">SUM(N538:S538)</f>
        <v>0</v>
      </c>
      <c r="U538" s="106">
        <f t="shared" ref="U538:U541" si="591">T538+L538</f>
        <v>0</v>
      </c>
      <c r="V538" s="93">
        <f t="shared" ref="V538" si="592">V555+V632</f>
        <v>0</v>
      </c>
      <c r="W538" s="93">
        <f t="shared" ref="W538:W540" si="593">V538-U538</f>
        <v>0</v>
      </c>
    </row>
    <row r="539" spans="1:24" s="130" customFormat="1" ht="18" customHeight="1">
      <c r="A539" s="614"/>
      <c r="B539" s="576"/>
      <c r="C539" s="577"/>
      <c r="D539" s="174" t="str">
        <f>серпень!D462</f>
        <v>разом сума тис. грн+абонплата</v>
      </c>
      <c r="E539" s="93"/>
      <c r="F539" s="93">
        <f>F537+F538</f>
        <v>1.0089999999999999</v>
      </c>
      <c r="G539" s="93">
        <f t="shared" ref="G539:K539" si="594">G537+G538</f>
        <v>1.1539999999999999</v>
      </c>
      <c r="H539" s="93">
        <f t="shared" si="594"/>
        <v>0.86499999999999999</v>
      </c>
      <c r="I539" s="93">
        <f t="shared" si="594"/>
        <v>0.86499999999999999</v>
      </c>
      <c r="J539" s="93">
        <f t="shared" si="594"/>
        <v>1.0089999999999999</v>
      </c>
      <c r="K539" s="93">
        <f t="shared" si="594"/>
        <v>0.57699999999999996</v>
      </c>
      <c r="L539" s="106">
        <f t="shared" si="587"/>
        <v>5.4790000000000001</v>
      </c>
      <c r="M539" s="106">
        <f t="shared" si="588"/>
        <v>0.91300000000000003</v>
      </c>
      <c r="N539" s="93">
        <f>N537+N538</f>
        <v>0.433</v>
      </c>
      <c r="O539" s="93">
        <f t="shared" ref="O539" si="595">O537+O538</f>
        <v>0.57699999999999996</v>
      </c>
      <c r="P539" s="93">
        <f t="shared" ref="P539" si="596">P537+P538</f>
        <v>0.84</v>
      </c>
      <c r="Q539" s="93">
        <f t="shared" ref="Q539" si="597">Q537+Q538</f>
        <v>0.84</v>
      </c>
      <c r="R539" s="93">
        <f t="shared" ref="R539" si="598">R537+R538</f>
        <v>3.831</v>
      </c>
      <c r="S539" s="93">
        <f t="shared" ref="S539" si="599">S537+S538</f>
        <v>2.7589999999999999</v>
      </c>
      <c r="T539" s="106">
        <f t="shared" si="590"/>
        <v>9.2799999999999994</v>
      </c>
      <c r="U539" s="106">
        <f t="shared" si="591"/>
        <v>14.759</v>
      </c>
      <c r="V539" s="500">
        <f t="shared" ref="V539" si="600">V537+V538</f>
        <v>14.653</v>
      </c>
      <c r="W539" s="93">
        <f t="shared" si="593"/>
        <v>-0.106</v>
      </c>
    </row>
    <row r="540" spans="1:24" s="130" customFormat="1" ht="18" customHeight="1">
      <c r="A540" s="614"/>
      <c r="B540" s="576"/>
      <c r="C540" s="577"/>
      <c r="D540" s="174" t="str">
        <f>серпень!D463</f>
        <v>дотація</v>
      </c>
      <c r="E540" s="95"/>
      <c r="F540" s="93">
        <f>F557+F634</f>
        <v>0</v>
      </c>
      <c r="G540" s="93">
        <f t="shared" ref="G540:K540" si="601">G557+G634</f>
        <v>0</v>
      </c>
      <c r="H540" s="93">
        <f t="shared" si="601"/>
        <v>0</v>
      </c>
      <c r="I540" s="93">
        <f t="shared" si="601"/>
        <v>0</v>
      </c>
      <c r="J540" s="93">
        <f t="shared" si="601"/>
        <v>0</v>
      </c>
      <c r="K540" s="93">
        <f t="shared" si="601"/>
        <v>0</v>
      </c>
      <c r="L540" s="106">
        <f>SUM(F540:K540)</f>
        <v>0</v>
      </c>
      <c r="M540" s="106">
        <f>L540/6</f>
        <v>0</v>
      </c>
      <c r="N540" s="93">
        <f>N557+N634</f>
        <v>0</v>
      </c>
      <c r="O540" s="93">
        <f t="shared" ref="O540:S540" si="602">O557+O634</f>
        <v>0</v>
      </c>
      <c r="P540" s="93">
        <f t="shared" si="602"/>
        <v>0</v>
      </c>
      <c r="Q540" s="93">
        <f t="shared" si="602"/>
        <v>0</v>
      </c>
      <c r="R540" s="93">
        <f t="shared" si="602"/>
        <v>0</v>
      </c>
      <c r="S540" s="93">
        <f t="shared" si="602"/>
        <v>0</v>
      </c>
      <c r="T540" s="106">
        <f t="shared" si="590"/>
        <v>0</v>
      </c>
      <c r="U540" s="106">
        <f t="shared" si="591"/>
        <v>0</v>
      </c>
      <c r="V540" s="93">
        <f t="shared" ref="V540" si="603">V557+V634</f>
        <v>0</v>
      </c>
      <c r="W540" s="93">
        <f t="shared" si="593"/>
        <v>0</v>
      </c>
      <c r="X540" s="134"/>
    </row>
    <row r="541" spans="1:24" s="130" customFormat="1" ht="18" customHeight="1">
      <c r="A541" s="614"/>
      <c r="B541" s="576"/>
      <c r="C541" s="577"/>
      <c r="D541" s="174" t="str">
        <f>серпень!D464</f>
        <v>місцевий (план), тис.грн</v>
      </c>
      <c r="E541" s="95"/>
      <c r="F541" s="93">
        <f>F558+F635</f>
        <v>1.175</v>
      </c>
      <c r="G541" s="93">
        <f t="shared" ref="G541:K541" si="604">G558+G635</f>
        <v>0</v>
      </c>
      <c r="H541" s="93">
        <f t="shared" si="604"/>
        <v>0.98899999999999999</v>
      </c>
      <c r="I541" s="93">
        <f t="shared" si="604"/>
        <v>0.86499999999999999</v>
      </c>
      <c r="J541" s="93">
        <f t="shared" si="604"/>
        <v>0.86499999999999999</v>
      </c>
      <c r="K541" s="93">
        <f t="shared" si="604"/>
        <v>1.01</v>
      </c>
      <c r="L541" s="106">
        <f>SUM(F541:K541)</f>
        <v>4.9039999999999999</v>
      </c>
      <c r="M541" s="106">
        <f>L541/6</f>
        <v>0.81699999999999995</v>
      </c>
      <c r="N541" s="93">
        <f>N558+N635</f>
        <v>0.67200000000000004</v>
      </c>
      <c r="O541" s="93">
        <f t="shared" ref="O541:S541" si="605">O558+O635</f>
        <v>0.36599999999999999</v>
      </c>
      <c r="P541" s="93">
        <f t="shared" si="605"/>
        <v>0.84</v>
      </c>
      <c r="Q541" s="93">
        <f t="shared" si="605"/>
        <v>1.1399999999999999</v>
      </c>
      <c r="R541" s="93">
        <f t="shared" si="605"/>
        <v>3.468</v>
      </c>
      <c r="S541" s="93">
        <f t="shared" si="605"/>
        <v>3.2629999999999999</v>
      </c>
      <c r="T541" s="106">
        <f t="shared" si="590"/>
        <v>9.7490000000000006</v>
      </c>
      <c r="U541" s="106">
        <f t="shared" si="591"/>
        <v>14.653</v>
      </c>
      <c r="V541" s="500">
        <f t="shared" ref="V541" si="606">V558+V635</f>
        <v>14.653</v>
      </c>
      <c r="W541" s="93">
        <f>V541-U541</f>
        <v>0</v>
      </c>
    </row>
    <row r="542" spans="1:24" s="47" customFormat="1" ht="18" customHeight="1">
      <c r="A542" s="614"/>
      <c r="B542" s="576"/>
      <c r="C542" s="577"/>
      <c r="D542" s="178" t="str">
        <f>серпень!D465</f>
        <v>касові нат.п-ки 2025</v>
      </c>
      <c r="E542" s="12">
        <f>E559+E636</f>
        <v>0</v>
      </c>
      <c r="F542" s="12">
        <f>F559+F636</f>
        <v>0</v>
      </c>
      <c r="G542" s="12">
        <f>G559+G636</f>
        <v>0</v>
      </c>
      <c r="H542" s="12">
        <f>H559+H636</f>
        <v>16.5</v>
      </c>
      <c r="I542" s="12">
        <f>I559+I636</f>
        <v>6.6</v>
      </c>
      <c r="J542" s="12">
        <f>J559+J636</f>
        <v>6.6</v>
      </c>
      <c r="K542" s="12">
        <f>K559+K636</f>
        <v>7.7</v>
      </c>
      <c r="L542" s="140">
        <f>SUM(F542:K542)</f>
        <v>37.4</v>
      </c>
      <c r="M542" s="140">
        <f>L542/6</f>
        <v>6.2</v>
      </c>
      <c r="N542" s="12">
        <f>N559+N636</f>
        <v>4.4000000000000004</v>
      </c>
      <c r="O542" s="12">
        <f>O559+O636</f>
        <v>3.3</v>
      </c>
      <c r="P542" s="12">
        <f>P559+P636</f>
        <v>9.9</v>
      </c>
      <c r="Q542" s="12">
        <f>Q559+Q636</f>
        <v>5.5</v>
      </c>
      <c r="R542" s="12">
        <f>R559+R636</f>
        <v>25.1</v>
      </c>
      <c r="S542" s="12">
        <f>S559+S636</f>
        <v>18.100000000000001</v>
      </c>
      <c r="T542" s="140">
        <f>SUM(N542:S542)</f>
        <v>66.3</v>
      </c>
      <c r="U542" s="140">
        <f>T542+L542</f>
        <v>103.7</v>
      </c>
      <c r="V542" s="76">
        <f>V559+V636</f>
        <v>96</v>
      </c>
      <c r="W542" s="88">
        <f>V542-U542</f>
        <v>-7.7</v>
      </c>
      <c r="X542" s="47">
        <f>U535-U542</f>
        <v>0</v>
      </c>
    </row>
    <row r="543" spans="1:24" s="47" customFormat="1" ht="18" customHeight="1">
      <c r="A543" s="614"/>
      <c r="B543" s="576"/>
      <c r="C543" s="577"/>
      <c r="D543" s="187" t="str">
        <f>серпень!D466</f>
        <v>тариф, грн.</v>
      </c>
      <c r="E543" s="92" t="e">
        <f>E544/E542*1000</f>
        <v>#DIV/0!</v>
      </c>
      <c r="F543" s="92" t="e">
        <f t="shared" ref="F543:S543" si="607">F544/F542*1000</f>
        <v>#DIV/0!</v>
      </c>
      <c r="G543" s="92" t="e">
        <f t="shared" si="607"/>
        <v>#DIV/0!</v>
      </c>
      <c r="H543" s="92">
        <f t="shared" si="607"/>
        <v>131.09100000000001</v>
      </c>
      <c r="I543" s="92">
        <f t="shared" si="607"/>
        <v>131.06100000000001</v>
      </c>
      <c r="J543" s="92">
        <f t="shared" si="607"/>
        <v>131.06100000000001</v>
      </c>
      <c r="K543" s="92">
        <f t="shared" si="607"/>
        <v>131.03899999999999</v>
      </c>
      <c r="L543" s="92">
        <f t="shared" si="607"/>
        <v>131.07</v>
      </c>
      <c r="M543" s="92">
        <f t="shared" si="607"/>
        <v>131.774</v>
      </c>
      <c r="N543" s="92">
        <f t="shared" si="607"/>
        <v>131.136</v>
      </c>
      <c r="O543" s="92">
        <f t="shared" si="607"/>
        <v>131.21199999999999</v>
      </c>
      <c r="P543" s="92">
        <f t="shared" si="607"/>
        <v>143.131</v>
      </c>
      <c r="Q543" s="92">
        <f t="shared" si="607"/>
        <v>152.727</v>
      </c>
      <c r="R543" s="92">
        <f t="shared" si="607"/>
        <v>152.62899999999999</v>
      </c>
      <c r="S543" s="92">
        <f t="shared" si="607"/>
        <v>152.43100000000001</v>
      </c>
      <c r="T543" s="92">
        <f>T544/T542*1000</f>
        <v>148.673</v>
      </c>
      <c r="U543" s="92">
        <f>U544/U542*1000</f>
        <v>142.32400000000001</v>
      </c>
      <c r="V543" s="92">
        <f>V544/V542*1000</f>
        <v>152.63499999999999</v>
      </c>
      <c r="W543" s="92">
        <f>W544/W542*1000</f>
        <v>13.766</v>
      </c>
      <c r="X543" s="59"/>
    </row>
    <row r="544" spans="1:24" s="63" customFormat="1" ht="18" customHeight="1">
      <c r="A544" s="614"/>
      <c r="B544" s="576"/>
      <c r="C544" s="577"/>
      <c r="D544" s="198" t="str">
        <f>серпень!D467</f>
        <v>касові видатки, тис.грн.</v>
      </c>
      <c r="E544" s="109">
        <f t="shared" ref="E544:K544" si="608">E561+E638</f>
        <v>0</v>
      </c>
      <c r="F544" s="98">
        <f t="shared" si="608"/>
        <v>0</v>
      </c>
      <c r="G544" s="98">
        <f t="shared" si="608"/>
        <v>0</v>
      </c>
      <c r="H544" s="98">
        <f t="shared" si="608"/>
        <v>2.1629999999999998</v>
      </c>
      <c r="I544" s="98">
        <f t="shared" si="608"/>
        <v>0.86499999999999999</v>
      </c>
      <c r="J544" s="98">
        <f t="shared" si="608"/>
        <v>0.86499999999999999</v>
      </c>
      <c r="K544" s="98">
        <f t="shared" si="608"/>
        <v>1.0089999999999999</v>
      </c>
      <c r="L544" s="98">
        <f>SUM(F544:K544)</f>
        <v>4.9020000000000001</v>
      </c>
      <c r="M544" s="98">
        <f>L544/6</f>
        <v>0.81699999999999995</v>
      </c>
      <c r="N544" s="98">
        <f t="shared" ref="N544:S546" si="609">N561+N638</f>
        <v>0.57699999999999996</v>
      </c>
      <c r="O544" s="98">
        <f t="shared" si="609"/>
        <v>0.433</v>
      </c>
      <c r="P544" s="98">
        <f t="shared" si="609"/>
        <v>1.417</v>
      </c>
      <c r="Q544" s="98">
        <f t="shared" si="609"/>
        <v>0.84</v>
      </c>
      <c r="R544" s="98">
        <f t="shared" si="609"/>
        <v>3.831</v>
      </c>
      <c r="S544" s="98">
        <f t="shared" si="609"/>
        <v>2.7589999999999999</v>
      </c>
      <c r="T544" s="98">
        <f>SUM(N544:S544)</f>
        <v>9.8569999999999993</v>
      </c>
      <c r="U544" s="98">
        <f>T544+L544</f>
        <v>14.759</v>
      </c>
      <c r="V544" s="98">
        <f>V561+V638</f>
        <v>14.653</v>
      </c>
      <c r="W544" s="109">
        <f>V544-U544</f>
        <v>-0.106</v>
      </c>
      <c r="X544" s="63">
        <f>U537-U544</f>
        <v>0</v>
      </c>
    </row>
    <row r="545" spans="1:28" s="63" customFormat="1" ht="18" customHeight="1">
      <c r="A545" s="614"/>
      <c r="B545" s="576"/>
      <c r="C545" s="577"/>
      <c r="D545" s="201" t="str">
        <f>серпень!D468</f>
        <v>дотація</v>
      </c>
      <c r="E545" s="108"/>
      <c r="F545" s="98">
        <f t="shared" ref="F545:K546" si="610">F562+F639</f>
        <v>0</v>
      </c>
      <c r="G545" s="98">
        <f t="shared" si="610"/>
        <v>0</v>
      </c>
      <c r="H545" s="98">
        <f t="shared" si="610"/>
        <v>0</v>
      </c>
      <c r="I545" s="98">
        <f t="shared" si="610"/>
        <v>0</v>
      </c>
      <c r="J545" s="98">
        <f t="shared" si="610"/>
        <v>0</v>
      </c>
      <c r="K545" s="98">
        <f t="shared" si="610"/>
        <v>0</v>
      </c>
      <c r="L545" s="98">
        <f>SUM(F545:K545)</f>
        <v>0</v>
      </c>
      <c r="M545" s="98">
        <f>L545/6</f>
        <v>0</v>
      </c>
      <c r="N545" s="98">
        <f t="shared" si="609"/>
        <v>0</v>
      </c>
      <c r="O545" s="98">
        <f t="shared" si="609"/>
        <v>0</v>
      </c>
      <c r="P545" s="98">
        <f t="shared" si="609"/>
        <v>0</v>
      </c>
      <c r="Q545" s="98">
        <f t="shared" si="609"/>
        <v>0</v>
      </c>
      <c r="R545" s="98">
        <f t="shared" si="609"/>
        <v>0</v>
      </c>
      <c r="S545" s="98">
        <f t="shared" si="609"/>
        <v>0</v>
      </c>
      <c r="T545" s="98">
        <f>SUM(N545:S545)</f>
        <v>0</v>
      </c>
      <c r="U545" s="98">
        <f>T545+L545</f>
        <v>0</v>
      </c>
      <c r="V545" s="98">
        <f>V562+V639</f>
        <v>0</v>
      </c>
      <c r="W545" s="109">
        <f>V545-U545</f>
        <v>0</v>
      </c>
      <c r="X545" s="63">
        <f>U540-U545</f>
        <v>0</v>
      </c>
    </row>
    <row r="546" spans="1:28" s="63" customFormat="1" ht="18" customHeight="1">
      <c r="A546" s="614"/>
      <c r="B546" s="576"/>
      <c r="C546" s="577"/>
      <c r="D546" s="201" t="str">
        <f>серпень!D469</f>
        <v xml:space="preserve">місцевий </v>
      </c>
      <c r="E546" s="108"/>
      <c r="F546" s="98">
        <f t="shared" si="610"/>
        <v>0</v>
      </c>
      <c r="G546" s="98">
        <f t="shared" si="610"/>
        <v>0</v>
      </c>
      <c r="H546" s="98">
        <f t="shared" si="610"/>
        <v>2.1629999999999998</v>
      </c>
      <c r="I546" s="98">
        <f t="shared" si="610"/>
        <v>0.86499999999999999</v>
      </c>
      <c r="J546" s="98">
        <f t="shared" si="610"/>
        <v>0.86499999999999999</v>
      </c>
      <c r="K546" s="98">
        <f t="shared" si="610"/>
        <v>1.0089999999999999</v>
      </c>
      <c r="L546" s="98">
        <f>SUM(F546:K546)</f>
        <v>4.9020000000000001</v>
      </c>
      <c r="M546" s="98">
        <f>L546/6</f>
        <v>0.81699999999999995</v>
      </c>
      <c r="N546" s="98">
        <f t="shared" si="609"/>
        <v>0.57699999999999996</v>
      </c>
      <c r="O546" s="98">
        <f t="shared" si="609"/>
        <v>0.433</v>
      </c>
      <c r="P546" s="98">
        <f t="shared" si="609"/>
        <v>1.417</v>
      </c>
      <c r="Q546" s="98">
        <f t="shared" si="609"/>
        <v>0.84</v>
      </c>
      <c r="R546" s="98">
        <f t="shared" si="609"/>
        <v>3.831</v>
      </c>
      <c r="S546" s="98">
        <f t="shared" si="609"/>
        <v>2.7589999999999999</v>
      </c>
      <c r="T546" s="98">
        <f>SUM(N546:S546)</f>
        <v>9.8569999999999993</v>
      </c>
      <c r="U546" s="98">
        <f>T546+L546</f>
        <v>14.759</v>
      </c>
      <c r="V546" s="98">
        <f>V563+V640</f>
        <v>14.653</v>
      </c>
      <c r="W546" s="109">
        <f>V546-U546</f>
        <v>-0.106</v>
      </c>
      <c r="X546" s="63">
        <f>U541-U546</f>
        <v>-0.106</v>
      </c>
    </row>
    <row r="547" spans="1:28" s="43" customFormat="1" ht="18" customHeight="1">
      <c r="A547" s="614"/>
      <c r="B547" s="576"/>
      <c r="C547" s="577"/>
      <c r="D547" s="202" t="str">
        <f>серпень!D470</f>
        <v>план</v>
      </c>
      <c r="E547" s="100"/>
      <c r="F547" s="100">
        <f t="shared" ref="F547:K547" si="611">F541</f>
        <v>1.175</v>
      </c>
      <c r="G547" s="100">
        <f t="shared" si="611"/>
        <v>0</v>
      </c>
      <c r="H547" s="100">
        <f t="shared" si="611"/>
        <v>0.98899999999999999</v>
      </c>
      <c r="I547" s="100">
        <f t="shared" si="611"/>
        <v>0.86499999999999999</v>
      </c>
      <c r="J547" s="100">
        <f t="shared" si="611"/>
        <v>0.86499999999999999</v>
      </c>
      <c r="K547" s="100">
        <f t="shared" si="611"/>
        <v>1.01</v>
      </c>
      <c r="L547" s="100">
        <f>SUM(F547:K547)</f>
        <v>4.9039999999999999</v>
      </c>
      <c r="M547" s="100">
        <f>L547/6</f>
        <v>0.81699999999999995</v>
      </c>
      <c r="N547" s="100">
        <f t="shared" ref="N547:S547" si="612">N541</f>
        <v>0.67200000000000004</v>
      </c>
      <c r="O547" s="100">
        <f t="shared" si="612"/>
        <v>0.36599999999999999</v>
      </c>
      <c r="P547" s="100">
        <f t="shared" si="612"/>
        <v>0.84</v>
      </c>
      <c r="Q547" s="100">
        <f t="shared" si="612"/>
        <v>1.1399999999999999</v>
      </c>
      <c r="R547" s="100">
        <f t="shared" si="612"/>
        <v>3.468</v>
      </c>
      <c r="S547" s="100">
        <f t="shared" si="612"/>
        <v>3.2629999999999999</v>
      </c>
      <c r="T547" s="100">
        <f>SUM(N547:S547)</f>
        <v>9.7490000000000006</v>
      </c>
      <c r="U547" s="100">
        <f>T547+L547</f>
        <v>14.653</v>
      </c>
      <c r="V547" s="100">
        <f>V541</f>
        <v>14.653</v>
      </c>
      <c r="W547" s="100">
        <f>V547-U547</f>
        <v>0</v>
      </c>
    </row>
    <row r="548" spans="1:28" s="43" customFormat="1" ht="18.2" customHeight="1">
      <c r="A548" s="614"/>
      <c r="B548" s="576"/>
      <c r="C548" s="577"/>
      <c r="D548" s="202" t="str">
        <f>серпень!D471</f>
        <v xml:space="preserve">відхилення </v>
      </c>
      <c r="E548" s="100"/>
      <c r="F548" s="100">
        <f t="shared" ref="F548:K548" si="613">F544-F547</f>
        <v>-1.175</v>
      </c>
      <c r="G548" s="100">
        <f t="shared" si="613"/>
        <v>0</v>
      </c>
      <c r="H548" s="100">
        <f t="shared" si="613"/>
        <v>1.1739999999999999</v>
      </c>
      <c r="I548" s="100">
        <f t="shared" si="613"/>
        <v>0</v>
      </c>
      <c r="J548" s="100">
        <f t="shared" si="613"/>
        <v>0</v>
      </c>
      <c r="K548" s="100">
        <f t="shared" si="613"/>
        <v>-1E-3</v>
      </c>
      <c r="L548" s="100"/>
      <c r="M548" s="100"/>
      <c r="N548" s="100">
        <f t="shared" ref="N548:S548" si="614">N544-N547</f>
        <v>-9.5000000000000001E-2</v>
      </c>
      <c r="O548" s="100">
        <f t="shared" si="614"/>
        <v>6.7000000000000004E-2</v>
      </c>
      <c r="P548" s="100">
        <f t="shared" si="614"/>
        <v>0.57699999999999996</v>
      </c>
      <c r="Q548" s="100">
        <f t="shared" si="614"/>
        <v>-0.3</v>
      </c>
      <c r="R548" s="100">
        <f t="shared" si="614"/>
        <v>0.36299999999999999</v>
      </c>
      <c r="S548" s="100">
        <f t="shared" si="614"/>
        <v>-0.504</v>
      </c>
      <c r="T548" s="100"/>
      <c r="U548" s="100"/>
      <c r="V548" s="100"/>
      <c r="W548" s="100"/>
    </row>
    <row r="549" spans="1:28" s="43" customFormat="1">
      <c r="A549" s="614"/>
      <c r="B549" s="576"/>
      <c r="C549" s="577"/>
      <c r="D549" s="202" t="str">
        <f>серпень!D472</f>
        <v>відхилення з наростаючим</v>
      </c>
      <c r="E549" s="100"/>
      <c r="F549" s="100">
        <f>F548</f>
        <v>-1.175</v>
      </c>
      <c r="G549" s="100">
        <f>G548+F549</f>
        <v>-1.175</v>
      </c>
      <c r="H549" s="100">
        <f>H548+G549</f>
        <v>-1E-3</v>
      </c>
      <c r="I549" s="100">
        <f>I548+H549</f>
        <v>-1E-3</v>
      </c>
      <c r="J549" s="100">
        <f>J548+I549</f>
        <v>-1E-3</v>
      </c>
      <c r="K549" s="100">
        <f>K548+J549</f>
        <v>-2E-3</v>
      </c>
      <c r="L549" s="100"/>
      <c r="M549" s="100"/>
      <c r="N549" s="100">
        <f>N548+K549</f>
        <v>-9.7000000000000003E-2</v>
      </c>
      <c r="O549" s="100">
        <f>O548+N549</f>
        <v>-0.03</v>
      </c>
      <c r="P549" s="100">
        <f>P548+O549</f>
        <v>0.54700000000000004</v>
      </c>
      <c r="Q549" s="100">
        <f>Q548+P549</f>
        <v>0.247</v>
      </c>
      <c r="R549" s="100">
        <f>R548+Q549</f>
        <v>0.61</v>
      </c>
      <c r="S549" s="100">
        <f>S548+R549</f>
        <v>0.106</v>
      </c>
      <c r="T549" s="100"/>
      <c r="U549" s="100"/>
      <c r="V549" s="100"/>
      <c r="W549" s="100"/>
    </row>
    <row r="550" spans="1:28" s="55" customFormat="1" ht="16.3" hidden="1" customHeight="1">
      <c r="A550" s="614"/>
      <c r="B550" s="581" t="s">
        <v>65</v>
      </c>
      <c r="C550" s="581"/>
      <c r="D550" s="178" t="str">
        <f>серпень!D473</f>
        <v>факт. нат.п-ки 2023</v>
      </c>
      <c r="E550" s="85"/>
      <c r="F550" s="12">
        <f t="shared" ref="F550:K552" si="615">F567+F597</f>
        <v>0</v>
      </c>
      <c r="G550" s="12">
        <f t="shared" si="615"/>
        <v>0</v>
      </c>
      <c r="H550" s="12">
        <f t="shared" si="615"/>
        <v>0</v>
      </c>
      <c r="I550" s="12">
        <f t="shared" si="615"/>
        <v>0</v>
      </c>
      <c r="J550" s="12">
        <f t="shared" si="615"/>
        <v>0</v>
      </c>
      <c r="K550" s="12">
        <f t="shared" si="615"/>
        <v>0</v>
      </c>
      <c r="L550" s="140">
        <f>SUM(F550:K550)</f>
        <v>0</v>
      </c>
      <c r="M550" s="140">
        <f>L550/6</f>
        <v>0</v>
      </c>
      <c r="N550" s="12">
        <f t="shared" ref="N550:S552" si="616">N567+N597</f>
        <v>0</v>
      </c>
      <c r="O550" s="12">
        <f t="shared" si="616"/>
        <v>0</v>
      </c>
      <c r="P550" s="12">
        <f t="shared" si="616"/>
        <v>0</v>
      </c>
      <c r="Q550" s="12">
        <f t="shared" si="616"/>
        <v>0</v>
      </c>
      <c r="R550" s="12">
        <f t="shared" si="616"/>
        <v>0</v>
      </c>
      <c r="S550" s="12">
        <f t="shared" si="616"/>
        <v>0</v>
      </c>
      <c r="T550" s="140">
        <f>SUM(N550:S550)</f>
        <v>0</v>
      </c>
      <c r="U550" s="140">
        <f>T550+L550</f>
        <v>0</v>
      </c>
      <c r="V550" s="143">
        <f>V567+V597</f>
        <v>0</v>
      </c>
      <c r="W550" s="88"/>
      <c r="X550" s="47"/>
      <c r="Y550" s="48"/>
      <c r="Z550" s="48"/>
      <c r="AA550" s="48"/>
      <c r="AB550" s="48"/>
    </row>
    <row r="551" spans="1:28" s="48" customFormat="1" ht="16.3" hidden="1" customHeight="1">
      <c r="A551" s="614"/>
      <c r="B551" s="581"/>
      <c r="C551" s="581"/>
      <c r="D551" s="178" t="str">
        <f>серпень!D474</f>
        <v>факт. нат.п-ки 2024</v>
      </c>
      <c r="E551" s="85"/>
      <c r="F551" s="12">
        <f t="shared" si="615"/>
        <v>0</v>
      </c>
      <c r="G551" s="12">
        <f t="shared" si="615"/>
        <v>0</v>
      </c>
      <c r="H551" s="12">
        <f t="shared" si="615"/>
        <v>0</v>
      </c>
      <c r="I551" s="12">
        <f t="shared" si="615"/>
        <v>0</v>
      </c>
      <c r="J551" s="12">
        <f t="shared" si="615"/>
        <v>0</v>
      </c>
      <c r="K551" s="12">
        <f t="shared" si="615"/>
        <v>0</v>
      </c>
      <c r="L551" s="140">
        <f>SUM(F551:K551)</f>
        <v>0</v>
      </c>
      <c r="M551" s="140">
        <f>L551/6</f>
        <v>0</v>
      </c>
      <c r="N551" s="12">
        <f t="shared" si="616"/>
        <v>0</v>
      </c>
      <c r="O551" s="12">
        <f t="shared" si="616"/>
        <v>0</v>
      </c>
      <c r="P551" s="12">
        <f t="shared" si="616"/>
        <v>0</v>
      </c>
      <c r="Q551" s="12">
        <f t="shared" si="616"/>
        <v>0</v>
      </c>
      <c r="R551" s="12">
        <f t="shared" si="616"/>
        <v>0</v>
      </c>
      <c r="S551" s="12">
        <f t="shared" si="616"/>
        <v>0</v>
      </c>
      <c r="T551" s="140">
        <f>SUM(N551:S551)</f>
        <v>0</v>
      </c>
      <c r="U551" s="140">
        <f>T551+L551</f>
        <v>0</v>
      </c>
      <c r="V551" s="143">
        <f>V568+V598</f>
        <v>0</v>
      </c>
      <c r="W551" s="88"/>
      <c r="X551" s="47"/>
    </row>
    <row r="552" spans="1:28" s="48" customFormat="1" ht="16.3" hidden="1" customHeight="1">
      <c r="A552" s="614"/>
      <c r="B552" s="581"/>
      <c r="C552" s="581"/>
      <c r="D552" s="178" t="str">
        <f>серпень!D475</f>
        <v>факт. нат.п-ки 2025</v>
      </c>
      <c r="E552" s="85"/>
      <c r="F552" s="12">
        <f t="shared" si="615"/>
        <v>0</v>
      </c>
      <c r="G552" s="12">
        <f t="shared" si="615"/>
        <v>0</v>
      </c>
      <c r="H552" s="12">
        <f t="shared" si="615"/>
        <v>0</v>
      </c>
      <c r="I552" s="12">
        <f t="shared" si="615"/>
        <v>0</v>
      </c>
      <c r="J552" s="12">
        <f t="shared" si="615"/>
        <v>0</v>
      </c>
      <c r="K552" s="12">
        <f t="shared" si="615"/>
        <v>0</v>
      </c>
      <c r="L552" s="140">
        <f>SUM(F552:K552)</f>
        <v>0</v>
      </c>
      <c r="M552" s="140">
        <f>L552/6</f>
        <v>0</v>
      </c>
      <c r="N552" s="12">
        <f t="shared" si="616"/>
        <v>0</v>
      </c>
      <c r="O552" s="12">
        <f t="shared" si="616"/>
        <v>0</v>
      </c>
      <c r="P552" s="12">
        <f t="shared" si="616"/>
        <v>0</v>
      </c>
      <c r="Q552" s="12">
        <f t="shared" si="616"/>
        <v>0</v>
      </c>
      <c r="R552" s="12">
        <f t="shared" si="616"/>
        <v>0</v>
      </c>
      <c r="S552" s="12">
        <f t="shared" si="616"/>
        <v>0</v>
      </c>
      <c r="T552" s="140">
        <f>SUM(N552:S552)</f>
        <v>0</v>
      </c>
      <c r="U552" s="140">
        <f>T552+L552</f>
        <v>0</v>
      </c>
      <c r="V552" s="143">
        <f>V569+V599</f>
        <v>0</v>
      </c>
      <c r="W552" s="88">
        <f>V552-U552</f>
        <v>0</v>
      </c>
      <c r="X552" s="47"/>
    </row>
    <row r="553" spans="1:28" s="51" customFormat="1" ht="16.3" hidden="1" customHeight="1">
      <c r="A553" s="614"/>
      <c r="B553" s="581"/>
      <c r="C553" s="581"/>
      <c r="D553" s="187" t="str">
        <f>серпень!D476</f>
        <v>тариф, грн.</v>
      </c>
      <c r="E553" s="92"/>
      <c r="F553" s="92" t="e">
        <f t="shared" ref="F553:W553" si="617">F554/F552*1000</f>
        <v>#DIV/0!</v>
      </c>
      <c r="G553" s="92" t="e">
        <f t="shared" si="617"/>
        <v>#DIV/0!</v>
      </c>
      <c r="H553" s="92" t="e">
        <f t="shared" si="617"/>
        <v>#DIV/0!</v>
      </c>
      <c r="I553" s="92" t="e">
        <f t="shared" si="617"/>
        <v>#DIV/0!</v>
      </c>
      <c r="J553" s="92" t="e">
        <f t="shared" si="617"/>
        <v>#DIV/0!</v>
      </c>
      <c r="K553" s="92" t="e">
        <f t="shared" si="617"/>
        <v>#DIV/0!</v>
      </c>
      <c r="L553" s="92" t="e">
        <f t="shared" si="617"/>
        <v>#DIV/0!</v>
      </c>
      <c r="M553" s="92" t="e">
        <f t="shared" si="617"/>
        <v>#DIV/0!</v>
      </c>
      <c r="N553" s="92" t="e">
        <f t="shared" si="617"/>
        <v>#DIV/0!</v>
      </c>
      <c r="O553" s="92" t="e">
        <f t="shared" si="617"/>
        <v>#DIV/0!</v>
      </c>
      <c r="P553" s="92" t="e">
        <f t="shared" si="617"/>
        <v>#DIV/0!</v>
      </c>
      <c r="Q553" s="92" t="e">
        <f t="shared" si="617"/>
        <v>#DIV/0!</v>
      </c>
      <c r="R553" s="92" t="e">
        <f t="shared" si="617"/>
        <v>#DIV/0!</v>
      </c>
      <c r="S553" s="92" t="e">
        <f t="shared" si="617"/>
        <v>#DIV/0!</v>
      </c>
      <c r="T553" s="92" t="e">
        <f t="shared" si="617"/>
        <v>#DIV/0!</v>
      </c>
      <c r="U553" s="92" t="e">
        <f t="shared" si="617"/>
        <v>#DIV/0!</v>
      </c>
      <c r="V553" s="92" t="e">
        <f t="shared" si="617"/>
        <v>#DIV/0!</v>
      </c>
      <c r="W553" s="92" t="e">
        <f t="shared" si="617"/>
        <v>#DIV/0!</v>
      </c>
      <c r="X553" s="59"/>
    </row>
    <row r="554" spans="1:28" s="130" customFormat="1" ht="16.3" hidden="1" customHeight="1">
      <c r="A554" s="614"/>
      <c r="B554" s="581"/>
      <c r="C554" s="581"/>
      <c r="D554" s="191" t="str">
        <f>серпень!D477</f>
        <v>сума, тис.грн.</v>
      </c>
      <c r="E554" s="93"/>
      <c r="F554" s="93">
        <f t="shared" ref="F554:K554" si="618">F571+F601</f>
        <v>0</v>
      </c>
      <c r="G554" s="93">
        <f t="shared" si="618"/>
        <v>0</v>
      </c>
      <c r="H554" s="93">
        <f t="shared" si="618"/>
        <v>0</v>
      </c>
      <c r="I554" s="93">
        <f t="shared" si="618"/>
        <v>0</v>
      </c>
      <c r="J554" s="93">
        <f t="shared" si="618"/>
        <v>0</v>
      </c>
      <c r="K554" s="93">
        <f t="shared" si="618"/>
        <v>0</v>
      </c>
      <c r="L554" s="106">
        <f>SUM(F554:K554)</f>
        <v>0</v>
      </c>
      <c r="M554" s="106">
        <f>L554/6</f>
        <v>0</v>
      </c>
      <c r="N554" s="93">
        <f t="shared" ref="N554:S554" si="619">N571+N601</f>
        <v>0</v>
      </c>
      <c r="O554" s="93">
        <f t="shared" si="619"/>
        <v>0</v>
      </c>
      <c r="P554" s="93">
        <f t="shared" si="619"/>
        <v>0</v>
      </c>
      <c r="Q554" s="93">
        <f t="shared" si="619"/>
        <v>0</v>
      </c>
      <c r="R554" s="93">
        <f t="shared" si="619"/>
        <v>0</v>
      </c>
      <c r="S554" s="93">
        <f t="shared" si="619"/>
        <v>0</v>
      </c>
      <c r="T554" s="106">
        <f>SUM(N554:S554)</f>
        <v>0</v>
      </c>
      <c r="U554" s="106">
        <f>T554+L554</f>
        <v>0</v>
      </c>
      <c r="V554" s="93">
        <f>V571+V601</f>
        <v>0</v>
      </c>
      <c r="W554" s="93">
        <f>V554-U554</f>
        <v>0</v>
      </c>
    </row>
    <row r="555" spans="1:28" s="130" customFormat="1" ht="16.3" hidden="1" customHeight="1">
      <c r="A555" s="614"/>
      <c r="B555" s="581"/>
      <c r="C555" s="581"/>
      <c r="D555" s="174" t="str">
        <f>серпень!D478</f>
        <v>абоненська плата, тис.грн.</v>
      </c>
      <c r="E555" s="93"/>
      <c r="F555" s="93">
        <f>F586+F616</f>
        <v>0</v>
      </c>
      <c r="G555" s="93">
        <f t="shared" ref="G555:K555" si="620">G586+G616</f>
        <v>0</v>
      </c>
      <c r="H555" s="93">
        <f t="shared" si="620"/>
        <v>0</v>
      </c>
      <c r="I555" s="93">
        <f t="shared" si="620"/>
        <v>0</v>
      </c>
      <c r="J555" s="93">
        <f t="shared" si="620"/>
        <v>0</v>
      </c>
      <c r="K555" s="93">
        <f t="shared" si="620"/>
        <v>0</v>
      </c>
      <c r="L555" s="106">
        <f t="shared" ref="L555:L556" si="621">SUM(F555:K555)</f>
        <v>0</v>
      </c>
      <c r="M555" s="106">
        <f t="shared" ref="M555:M556" si="622">L555/6</f>
        <v>0</v>
      </c>
      <c r="N555" s="93">
        <f>N586+N616</f>
        <v>0</v>
      </c>
      <c r="O555" s="93">
        <f t="shared" ref="O555:S555" si="623">O586+O616</f>
        <v>0</v>
      </c>
      <c r="P555" s="93">
        <f t="shared" si="623"/>
        <v>0</v>
      </c>
      <c r="Q555" s="93">
        <f t="shared" si="623"/>
        <v>0</v>
      </c>
      <c r="R555" s="93">
        <f t="shared" si="623"/>
        <v>0</v>
      </c>
      <c r="S555" s="93">
        <f t="shared" si="623"/>
        <v>0</v>
      </c>
      <c r="T555" s="106">
        <f t="shared" ref="T555:T556" si="624">SUM(N555:S555)</f>
        <v>0</v>
      </c>
      <c r="U555" s="106">
        <f t="shared" ref="U555:U556" si="625">T555+L555</f>
        <v>0</v>
      </c>
      <c r="V555" s="93">
        <f t="shared" ref="V555" si="626">V586+V616</f>
        <v>0</v>
      </c>
      <c r="W555" s="93">
        <f t="shared" ref="W555:W557" si="627">V555-U555</f>
        <v>0</v>
      </c>
    </row>
    <row r="556" spans="1:28" s="130" customFormat="1" ht="16.3" hidden="1" customHeight="1">
      <c r="A556" s="614"/>
      <c r="B556" s="581"/>
      <c r="C556" s="581"/>
      <c r="D556" s="174" t="str">
        <f>серпень!D479</f>
        <v>разом сума тис. грн+абонплата</v>
      </c>
      <c r="E556" s="93"/>
      <c r="F556" s="93">
        <f>F554+F555</f>
        <v>0</v>
      </c>
      <c r="G556" s="93">
        <f t="shared" ref="G556:K556" si="628">G554+G555</f>
        <v>0</v>
      </c>
      <c r="H556" s="93">
        <f t="shared" si="628"/>
        <v>0</v>
      </c>
      <c r="I556" s="93">
        <f t="shared" si="628"/>
        <v>0</v>
      </c>
      <c r="J556" s="93">
        <f t="shared" si="628"/>
        <v>0</v>
      </c>
      <c r="K556" s="93">
        <f t="shared" si="628"/>
        <v>0</v>
      </c>
      <c r="L556" s="106">
        <f t="shared" si="621"/>
        <v>0</v>
      </c>
      <c r="M556" s="106">
        <f t="shared" si="622"/>
        <v>0</v>
      </c>
      <c r="N556" s="93">
        <f>N554+N555</f>
        <v>0</v>
      </c>
      <c r="O556" s="93">
        <f t="shared" ref="O556" si="629">O554+O555</f>
        <v>0</v>
      </c>
      <c r="P556" s="93">
        <f t="shared" ref="P556" si="630">P554+P555</f>
        <v>0</v>
      </c>
      <c r="Q556" s="93">
        <f t="shared" ref="Q556" si="631">Q554+Q555</f>
        <v>0</v>
      </c>
      <c r="R556" s="93">
        <f t="shared" ref="R556" si="632">R554+R555</f>
        <v>0</v>
      </c>
      <c r="S556" s="93">
        <f t="shared" ref="S556" si="633">S554+S555</f>
        <v>0</v>
      </c>
      <c r="T556" s="106">
        <f t="shared" si="624"/>
        <v>0</v>
      </c>
      <c r="U556" s="106">
        <f t="shared" si="625"/>
        <v>0</v>
      </c>
      <c r="V556" s="93">
        <f t="shared" ref="V556" si="634">V554+V555</f>
        <v>0</v>
      </c>
      <c r="W556" s="93">
        <f t="shared" si="627"/>
        <v>0</v>
      </c>
    </row>
    <row r="557" spans="1:28" s="130" customFormat="1" ht="16.3" hidden="1" customHeight="1">
      <c r="A557" s="614"/>
      <c r="B557" s="581"/>
      <c r="C557" s="581"/>
      <c r="D557" s="174" t="str">
        <f>серпень!D480</f>
        <v>дотація</v>
      </c>
      <c r="E557" s="95"/>
      <c r="F557" s="93">
        <f t="shared" ref="F557:K559" si="635">F572+F602</f>
        <v>0</v>
      </c>
      <c r="G557" s="93">
        <f t="shared" si="635"/>
        <v>0</v>
      </c>
      <c r="H557" s="93">
        <f t="shared" si="635"/>
        <v>0</v>
      </c>
      <c r="I557" s="93">
        <f t="shared" si="635"/>
        <v>0</v>
      </c>
      <c r="J557" s="93">
        <f t="shared" si="635"/>
        <v>0</v>
      </c>
      <c r="K557" s="93">
        <f t="shared" si="635"/>
        <v>0</v>
      </c>
      <c r="L557" s="106">
        <f>SUM(F557:K557)</f>
        <v>0</v>
      </c>
      <c r="M557" s="106">
        <f>L557/6</f>
        <v>0</v>
      </c>
      <c r="N557" s="93">
        <f t="shared" ref="N557:S559" si="636">N572+N602</f>
        <v>0</v>
      </c>
      <c r="O557" s="93">
        <f t="shared" si="636"/>
        <v>0</v>
      </c>
      <c r="P557" s="93">
        <f t="shared" si="636"/>
        <v>0</v>
      </c>
      <c r="Q557" s="93">
        <f t="shared" si="636"/>
        <v>0</v>
      </c>
      <c r="R557" s="93">
        <f t="shared" si="636"/>
        <v>0</v>
      </c>
      <c r="S557" s="93">
        <f t="shared" si="636"/>
        <v>0</v>
      </c>
      <c r="T557" s="106">
        <f>SUM(N557:S557)</f>
        <v>0</v>
      </c>
      <c r="U557" s="106">
        <f>T557+L557</f>
        <v>0</v>
      </c>
      <c r="V557" s="93">
        <f>V572+V602</f>
        <v>0</v>
      </c>
      <c r="W557" s="93">
        <f t="shared" si="627"/>
        <v>0</v>
      </c>
    </row>
    <row r="558" spans="1:28" s="130" customFormat="1" ht="16.3" hidden="1" customHeight="1">
      <c r="A558" s="614"/>
      <c r="B558" s="581"/>
      <c r="C558" s="581"/>
      <c r="D558" s="174" t="str">
        <f>серпень!D481</f>
        <v>місцевий (план), тис.грн</v>
      </c>
      <c r="E558" s="95"/>
      <c r="F558" s="93">
        <f t="shared" si="635"/>
        <v>0</v>
      </c>
      <c r="G558" s="93">
        <f t="shared" si="635"/>
        <v>0</v>
      </c>
      <c r="H558" s="93">
        <f t="shared" si="635"/>
        <v>0</v>
      </c>
      <c r="I558" s="93">
        <f t="shared" si="635"/>
        <v>0</v>
      </c>
      <c r="J558" s="93">
        <f t="shared" si="635"/>
        <v>0</v>
      </c>
      <c r="K558" s="93">
        <f t="shared" si="635"/>
        <v>0</v>
      </c>
      <c r="L558" s="106">
        <f>SUM(F558:K558)</f>
        <v>0</v>
      </c>
      <c r="M558" s="106">
        <f>L558/6</f>
        <v>0</v>
      </c>
      <c r="N558" s="93">
        <f t="shared" si="636"/>
        <v>0</v>
      </c>
      <c r="O558" s="93">
        <f t="shared" si="636"/>
        <v>0</v>
      </c>
      <c r="P558" s="93">
        <f t="shared" si="636"/>
        <v>0</v>
      </c>
      <c r="Q558" s="93">
        <f t="shared" si="636"/>
        <v>0</v>
      </c>
      <c r="R558" s="93">
        <f t="shared" si="636"/>
        <v>0</v>
      </c>
      <c r="S558" s="93">
        <f t="shared" si="636"/>
        <v>0</v>
      </c>
      <c r="T558" s="106">
        <f>SUM(N558:S558)</f>
        <v>0</v>
      </c>
      <c r="U558" s="106">
        <f>T558+L558</f>
        <v>0</v>
      </c>
      <c r="V558" s="93">
        <f>V573+V603</f>
        <v>0</v>
      </c>
      <c r="W558" s="93">
        <f>V558-U558</f>
        <v>0</v>
      </c>
    </row>
    <row r="559" spans="1:28" s="48" customFormat="1" ht="16.3" hidden="1" customHeight="1">
      <c r="A559" s="614"/>
      <c r="B559" s="581"/>
      <c r="C559" s="581"/>
      <c r="D559" s="178" t="str">
        <f>серпень!D482</f>
        <v>касові нат.п-ки 2025</v>
      </c>
      <c r="E559" s="85"/>
      <c r="F559" s="85">
        <f t="shared" si="635"/>
        <v>0</v>
      </c>
      <c r="G559" s="85">
        <f t="shared" si="635"/>
        <v>0</v>
      </c>
      <c r="H559" s="85">
        <f t="shared" si="635"/>
        <v>0</v>
      </c>
      <c r="I559" s="85">
        <f t="shared" si="635"/>
        <v>0</v>
      </c>
      <c r="J559" s="85">
        <f t="shared" si="635"/>
        <v>0</v>
      </c>
      <c r="K559" s="85">
        <f t="shared" si="635"/>
        <v>0</v>
      </c>
      <c r="L559" s="140">
        <f>SUM(F559:K559)</f>
        <v>0</v>
      </c>
      <c r="M559" s="140">
        <f>L559/6</f>
        <v>0</v>
      </c>
      <c r="N559" s="85">
        <f t="shared" si="636"/>
        <v>0</v>
      </c>
      <c r="O559" s="85">
        <f t="shared" si="636"/>
        <v>0</v>
      </c>
      <c r="P559" s="85">
        <f t="shared" si="636"/>
        <v>0</v>
      </c>
      <c r="Q559" s="85">
        <f t="shared" si="636"/>
        <v>0</v>
      </c>
      <c r="R559" s="85">
        <f t="shared" si="636"/>
        <v>0</v>
      </c>
      <c r="S559" s="85">
        <f t="shared" si="636"/>
        <v>0</v>
      </c>
      <c r="T559" s="140">
        <f>SUM(N559:S559)</f>
        <v>0</v>
      </c>
      <c r="U559" s="140">
        <f>T559+L559</f>
        <v>0</v>
      </c>
      <c r="V559" s="88">
        <f>V574+V604</f>
        <v>0</v>
      </c>
      <c r="W559" s="88">
        <f>V559-U559</f>
        <v>0</v>
      </c>
      <c r="X559" s="47">
        <f>U552-U559</f>
        <v>0</v>
      </c>
    </row>
    <row r="560" spans="1:28" s="51" customFormat="1" ht="16.3" hidden="1" customHeight="1">
      <c r="A560" s="614"/>
      <c r="B560" s="581"/>
      <c r="C560" s="581"/>
      <c r="D560" s="187" t="str">
        <f>серпень!D483</f>
        <v>тариф, грн.</v>
      </c>
      <c r="E560" s="92" t="e">
        <f t="shared" ref="E560:W560" si="637">E561/E559*1000</f>
        <v>#DIV/0!</v>
      </c>
      <c r="F560" s="92" t="e">
        <f t="shared" si="637"/>
        <v>#DIV/0!</v>
      </c>
      <c r="G560" s="92" t="e">
        <f t="shared" si="637"/>
        <v>#DIV/0!</v>
      </c>
      <c r="H560" s="92" t="e">
        <f t="shared" si="637"/>
        <v>#DIV/0!</v>
      </c>
      <c r="I560" s="92" t="e">
        <f t="shared" si="637"/>
        <v>#DIV/0!</v>
      </c>
      <c r="J560" s="92" t="e">
        <f t="shared" si="637"/>
        <v>#DIV/0!</v>
      </c>
      <c r="K560" s="92" t="e">
        <f t="shared" si="637"/>
        <v>#DIV/0!</v>
      </c>
      <c r="L560" s="92" t="e">
        <f t="shared" si="637"/>
        <v>#DIV/0!</v>
      </c>
      <c r="M560" s="92" t="e">
        <f t="shared" si="637"/>
        <v>#DIV/0!</v>
      </c>
      <c r="N560" s="92" t="e">
        <f t="shared" si="637"/>
        <v>#DIV/0!</v>
      </c>
      <c r="O560" s="92" t="e">
        <f t="shared" si="637"/>
        <v>#DIV/0!</v>
      </c>
      <c r="P560" s="92" t="e">
        <f t="shared" si="637"/>
        <v>#DIV/0!</v>
      </c>
      <c r="Q560" s="92" t="e">
        <f t="shared" si="637"/>
        <v>#DIV/0!</v>
      </c>
      <c r="R560" s="92" t="e">
        <f t="shared" si="637"/>
        <v>#DIV/0!</v>
      </c>
      <c r="S560" s="92" t="e">
        <f t="shared" si="637"/>
        <v>#DIV/0!</v>
      </c>
      <c r="T560" s="92" t="e">
        <f t="shared" si="637"/>
        <v>#DIV/0!</v>
      </c>
      <c r="U560" s="92" t="e">
        <f t="shared" si="637"/>
        <v>#DIV/0!</v>
      </c>
      <c r="V560" s="92" t="e">
        <f t="shared" si="637"/>
        <v>#DIV/0!</v>
      </c>
      <c r="W560" s="92" t="e">
        <f t="shared" si="637"/>
        <v>#DIV/0!</v>
      </c>
      <c r="X560" s="59"/>
    </row>
    <row r="561" spans="1:28" s="126" customFormat="1" ht="16.3" hidden="1" customHeight="1">
      <c r="A561" s="614"/>
      <c r="B561" s="581"/>
      <c r="C561" s="581"/>
      <c r="D561" s="198" t="str">
        <f>серпень!D484</f>
        <v>касові видатки, тис.грн.</v>
      </c>
      <c r="E561" s="108"/>
      <c r="F561" s="98">
        <f>F576+F606+F591+F621</f>
        <v>0</v>
      </c>
      <c r="G561" s="98">
        <f t="shared" ref="G561:K563" si="638">G576+G606+G591+G621</f>
        <v>0</v>
      </c>
      <c r="H561" s="98">
        <f t="shared" si="638"/>
        <v>0</v>
      </c>
      <c r="I561" s="98">
        <f t="shared" si="638"/>
        <v>0</v>
      </c>
      <c r="J561" s="98">
        <f t="shared" si="638"/>
        <v>0</v>
      </c>
      <c r="K561" s="98">
        <f t="shared" si="638"/>
        <v>0</v>
      </c>
      <c r="L561" s="98">
        <f>SUM(F561:K561)</f>
        <v>0</v>
      </c>
      <c r="M561" s="98">
        <f>L561/6</f>
        <v>0</v>
      </c>
      <c r="N561" s="98">
        <f>N576+N606+N591+N621</f>
        <v>0</v>
      </c>
      <c r="O561" s="98">
        <f t="shared" ref="O561:S561" si="639">O576+O606+O591+O621</f>
        <v>0</v>
      </c>
      <c r="P561" s="98">
        <f t="shared" si="639"/>
        <v>0</v>
      </c>
      <c r="Q561" s="98">
        <f t="shared" si="639"/>
        <v>0</v>
      </c>
      <c r="R561" s="98">
        <f t="shared" si="639"/>
        <v>0</v>
      </c>
      <c r="S561" s="98">
        <f t="shared" si="639"/>
        <v>0</v>
      </c>
      <c r="T561" s="98">
        <f>SUM(N561:S561)</f>
        <v>0</v>
      </c>
      <c r="U561" s="98">
        <f>T561+L561</f>
        <v>0</v>
      </c>
      <c r="V561" s="98">
        <f t="shared" ref="V561" si="640">V576+V606+V591+V621</f>
        <v>0</v>
      </c>
      <c r="W561" s="109">
        <f>V561-U561</f>
        <v>0</v>
      </c>
      <c r="X561" s="63">
        <f>U554-U561</f>
        <v>0</v>
      </c>
    </row>
    <row r="562" spans="1:28" s="126" customFormat="1" ht="16.3" hidden="1" customHeight="1">
      <c r="A562" s="614"/>
      <c r="B562" s="581"/>
      <c r="C562" s="581"/>
      <c r="D562" s="201" t="str">
        <f>серпень!D485</f>
        <v>дотація</v>
      </c>
      <c r="E562" s="108"/>
      <c r="F562" s="98">
        <f>F577+F607+F592+F622</f>
        <v>0</v>
      </c>
      <c r="G562" s="98">
        <f t="shared" si="638"/>
        <v>0</v>
      </c>
      <c r="H562" s="98">
        <f t="shared" si="638"/>
        <v>0</v>
      </c>
      <c r="I562" s="98">
        <f t="shared" si="638"/>
        <v>0</v>
      </c>
      <c r="J562" s="98">
        <f t="shared" si="638"/>
        <v>0</v>
      </c>
      <c r="K562" s="98">
        <f t="shared" si="638"/>
        <v>0</v>
      </c>
      <c r="L562" s="98">
        <f>SUM(F562:K562)</f>
        <v>0</v>
      </c>
      <c r="M562" s="98">
        <f>L562/6</f>
        <v>0</v>
      </c>
      <c r="N562" s="98">
        <f>N577+N607+N592+N622</f>
        <v>0</v>
      </c>
      <c r="O562" s="98">
        <f t="shared" ref="O562:S562" si="641">O577+O607+O592+O622</f>
        <v>0</v>
      </c>
      <c r="P562" s="98">
        <f t="shared" si="641"/>
        <v>0</v>
      </c>
      <c r="Q562" s="98">
        <f t="shared" si="641"/>
        <v>0</v>
      </c>
      <c r="R562" s="98">
        <f t="shared" si="641"/>
        <v>0</v>
      </c>
      <c r="S562" s="98">
        <f t="shared" si="641"/>
        <v>0</v>
      </c>
      <c r="T562" s="98">
        <f>SUM(N562:S562)</f>
        <v>0</v>
      </c>
      <c r="U562" s="98">
        <f>T562+L562</f>
        <v>0</v>
      </c>
      <c r="V562" s="98">
        <f t="shared" ref="V562" si="642">V577+V607+V592+V622</f>
        <v>0</v>
      </c>
      <c r="W562" s="109">
        <f>V562-U562</f>
        <v>0</v>
      </c>
      <c r="X562" s="63"/>
    </row>
    <row r="563" spans="1:28" s="126" customFormat="1" ht="16.3" hidden="1" customHeight="1">
      <c r="A563" s="614"/>
      <c r="B563" s="581"/>
      <c r="C563" s="581"/>
      <c r="D563" s="201" t="str">
        <f>серпень!D486</f>
        <v xml:space="preserve">місцевий </v>
      </c>
      <c r="E563" s="108"/>
      <c r="F563" s="98">
        <f>F578+F608+F593+F623</f>
        <v>0</v>
      </c>
      <c r="G563" s="98">
        <f t="shared" si="638"/>
        <v>0</v>
      </c>
      <c r="H563" s="98">
        <f t="shared" si="638"/>
        <v>0</v>
      </c>
      <c r="I563" s="98">
        <f t="shared" si="638"/>
        <v>0</v>
      </c>
      <c r="J563" s="98">
        <f t="shared" si="638"/>
        <v>0</v>
      </c>
      <c r="K563" s="98">
        <f t="shared" si="638"/>
        <v>0</v>
      </c>
      <c r="L563" s="98">
        <f>SUM(F563:K563)</f>
        <v>0</v>
      </c>
      <c r="M563" s="98">
        <f>L563/6</f>
        <v>0</v>
      </c>
      <c r="N563" s="98">
        <f>N578+N608+N593+N623</f>
        <v>0</v>
      </c>
      <c r="O563" s="98">
        <f t="shared" ref="O563:S563" si="643">O578+O608+O593+O623</f>
        <v>0</v>
      </c>
      <c r="P563" s="98">
        <f t="shared" si="643"/>
        <v>0</v>
      </c>
      <c r="Q563" s="98">
        <f t="shared" si="643"/>
        <v>0</v>
      </c>
      <c r="R563" s="98">
        <f t="shared" si="643"/>
        <v>0</v>
      </c>
      <c r="S563" s="98">
        <f t="shared" si="643"/>
        <v>0</v>
      </c>
      <c r="T563" s="98">
        <f>SUM(N563:S563)</f>
        <v>0</v>
      </c>
      <c r="U563" s="98">
        <f>T563+L563</f>
        <v>0</v>
      </c>
      <c r="V563" s="98">
        <f t="shared" ref="V563" si="644">V578+V608+V593+V623</f>
        <v>0</v>
      </c>
      <c r="W563" s="109">
        <f>V563-U563</f>
        <v>0</v>
      </c>
      <c r="X563" s="63">
        <f>U558-U563</f>
        <v>0</v>
      </c>
    </row>
    <row r="564" spans="1:28" s="43" customFormat="1" ht="16.3" hidden="1" customHeight="1">
      <c r="A564" s="614"/>
      <c r="B564" s="581"/>
      <c r="C564" s="581"/>
      <c r="D564" s="202" t="str">
        <f>серпень!D487</f>
        <v>план</v>
      </c>
      <c r="E564" s="100"/>
      <c r="F564" s="100">
        <f t="shared" ref="F564:K566" si="645">F579+F609</f>
        <v>0</v>
      </c>
      <c r="G564" s="100">
        <f t="shared" si="645"/>
        <v>0</v>
      </c>
      <c r="H564" s="100">
        <f t="shared" si="645"/>
        <v>0</v>
      </c>
      <c r="I564" s="100">
        <f t="shared" si="645"/>
        <v>0</v>
      </c>
      <c r="J564" s="100">
        <f t="shared" si="645"/>
        <v>0</v>
      </c>
      <c r="K564" s="100">
        <f t="shared" si="645"/>
        <v>0</v>
      </c>
      <c r="L564" s="100">
        <f>SUM(F564:K564)</f>
        <v>0</v>
      </c>
      <c r="M564" s="100">
        <f>L564/6</f>
        <v>0</v>
      </c>
      <c r="N564" s="100">
        <f t="shared" ref="N564:S566" si="646">N579+N609</f>
        <v>0</v>
      </c>
      <c r="O564" s="100">
        <f t="shared" si="646"/>
        <v>0</v>
      </c>
      <c r="P564" s="100">
        <f t="shared" si="646"/>
        <v>0</v>
      </c>
      <c r="Q564" s="100">
        <f t="shared" si="646"/>
        <v>0</v>
      </c>
      <c r="R564" s="100">
        <f t="shared" si="646"/>
        <v>0</v>
      </c>
      <c r="S564" s="100">
        <f t="shared" si="646"/>
        <v>0</v>
      </c>
      <c r="T564" s="100">
        <f>SUM(N564:S564)</f>
        <v>0</v>
      </c>
      <c r="U564" s="100">
        <f>T564+L564</f>
        <v>0</v>
      </c>
      <c r="V564" s="100">
        <f>V579+V609</f>
        <v>0</v>
      </c>
      <c r="W564" s="100">
        <f>V564-U564</f>
        <v>0</v>
      </c>
    </row>
    <row r="565" spans="1:28" s="43" customFormat="1" ht="16.3" hidden="1" customHeight="1">
      <c r="A565" s="614"/>
      <c r="B565" s="581"/>
      <c r="C565" s="581"/>
      <c r="D565" s="202" t="str">
        <f>серпень!D488</f>
        <v xml:space="preserve">відхилення </v>
      </c>
      <c r="E565" s="100"/>
      <c r="F565" s="100">
        <f t="shared" si="645"/>
        <v>0</v>
      </c>
      <c r="G565" s="100">
        <f t="shared" si="645"/>
        <v>0</v>
      </c>
      <c r="H565" s="100">
        <f t="shared" si="645"/>
        <v>0</v>
      </c>
      <c r="I565" s="100">
        <f t="shared" si="645"/>
        <v>0</v>
      </c>
      <c r="J565" s="100">
        <f t="shared" si="645"/>
        <v>0</v>
      </c>
      <c r="K565" s="100">
        <f t="shared" si="645"/>
        <v>0</v>
      </c>
      <c r="L565" s="100"/>
      <c r="M565" s="100"/>
      <c r="N565" s="100">
        <f t="shared" si="646"/>
        <v>0</v>
      </c>
      <c r="O565" s="100">
        <f t="shared" si="646"/>
        <v>0</v>
      </c>
      <c r="P565" s="100">
        <f t="shared" si="646"/>
        <v>0</v>
      </c>
      <c r="Q565" s="100">
        <f t="shared" si="646"/>
        <v>0</v>
      </c>
      <c r="R565" s="100">
        <f t="shared" si="646"/>
        <v>0</v>
      </c>
      <c r="S565" s="100">
        <f t="shared" si="646"/>
        <v>0</v>
      </c>
      <c r="T565" s="100"/>
      <c r="U565" s="100"/>
      <c r="V565" s="100"/>
      <c r="W565" s="100"/>
    </row>
    <row r="566" spans="1:28" s="43" customFormat="1" ht="16.3" hidden="1" customHeight="1">
      <c r="A566" s="614"/>
      <c r="B566" s="581"/>
      <c r="C566" s="581"/>
      <c r="D566" s="202" t="str">
        <f>серпень!D489</f>
        <v>відхилення з наростаючим</v>
      </c>
      <c r="E566" s="100"/>
      <c r="F566" s="100">
        <f t="shared" si="645"/>
        <v>0</v>
      </c>
      <c r="G566" s="100">
        <f t="shared" si="645"/>
        <v>0</v>
      </c>
      <c r="H566" s="100">
        <f t="shared" si="645"/>
        <v>0</v>
      </c>
      <c r="I566" s="100">
        <f t="shared" si="645"/>
        <v>0</v>
      </c>
      <c r="J566" s="100">
        <f t="shared" si="645"/>
        <v>0</v>
      </c>
      <c r="K566" s="100">
        <f t="shared" si="645"/>
        <v>0</v>
      </c>
      <c r="L566" s="100"/>
      <c r="M566" s="100"/>
      <c r="N566" s="100">
        <f t="shared" si="646"/>
        <v>0</v>
      </c>
      <c r="O566" s="100">
        <f t="shared" si="646"/>
        <v>0</v>
      </c>
      <c r="P566" s="100">
        <f t="shared" si="646"/>
        <v>0</v>
      </c>
      <c r="Q566" s="100">
        <f t="shared" si="646"/>
        <v>0</v>
      </c>
      <c r="R566" s="100">
        <f t="shared" si="646"/>
        <v>0</v>
      </c>
      <c r="S566" s="100">
        <f t="shared" si="646"/>
        <v>0</v>
      </c>
      <c r="T566" s="100"/>
      <c r="U566" s="100"/>
      <c r="V566" s="100"/>
      <c r="W566" s="100"/>
    </row>
    <row r="567" spans="1:28" s="55" customFormat="1" ht="17.100000000000001" hidden="1" customHeight="1">
      <c r="A567" s="614"/>
      <c r="B567" s="581" t="s">
        <v>63</v>
      </c>
      <c r="C567" s="581"/>
      <c r="D567" s="178" t="str">
        <f>серпень!D490</f>
        <v>факт. нат.п-ки 2023</v>
      </c>
      <c r="E567" s="85"/>
      <c r="F567" s="12"/>
      <c r="G567" s="12"/>
      <c r="H567" s="12"/>
      <c r="I567" s="12"/>
      <c r="J567" s="12"/>
      <c r="K567" s="12"/>
      <c r="L567" s="140">
        <f>SUM(F567:K567)</f>
        <v>0</v>
      </c>
      <c r="M567" s="140">
        <f>L567/6</f>
        <v>0</v>
      </c>
      <c r="N567" s="12"/>
      <c r="O567" s="12"/>
      <c r="P567" s="12"/>
      <c r="Q567" s="12"/>
      <c r="R567" s="12"/>
      <c r="S567" s="12"/>
      <c r="T567" s="140">
        <f>SUM(N567:S567)</f>
        <v>0</v>
      </c>
      <c r="U567" s="140">
        <f>T567+L567</f>
        <v>0</v>
      </c>
      <c r="V567" s="104"/>
      <c r="W567" s="88"/>
      <c r="X567" s="47"/>
      <c r="Y567" s="48"/>
      <c r="Z567" s="48"/>
      <c r="AA567" s="48"/>
      <c r="AB567" s="48"/>
    </row>
    <row r="568" spans="1:28" s="48" customFormat="1" ht="17.100000000000001" hidden="1" customHeight="1">
      <c r="A568" s="614"/>
      <c r="B568" s="581"/>
      <c r="C568" s="581"/>
      <c r="D568" s="178" t="str">
        <f>серпень!D491</f>
        <v>факт. нат.п-ки 2024</v>
      </c>
      <c r="E568" s="85"/>
      <c r="F568" s="12"/>
      <c r="G568" s="12"/>
      <c r="H568" s="12"/>
      <c r="I568" s="12"/>
      <c r="J568" s="12"/>
      <c r="K568" s="12"/>
      <c r="L568" s="140">
        <f>SUM(F568:K568)</f>
        <v>0</v>
      </c>
      <c r="M568" s="140">
        <f>L568/6</f>
        <v>0</v>
      </c>
      <c r="N568" s="85"/>
      <c r="O568" s="85"/>
      <c r="P568" s="85"/>
      <c r="Q568" s="85"/>
      <c r="R568" s="85"/>
      <c r="S568" s="85"/>
      <c r="T568" s="140">
        <f>SUM(N568:S568)</f>
        <v>0</v>
      </c>
      <c r="U568" s="140">
        <f>T568+L568</f>
        <v>0</v>
      </c>
      <c r="V568" s="104"/>
      <c r="W568" s="88"/>
      <c r="X568" s="47"/>
    </row>
    <row r="569" spans="1:28" s="48" customFormat="1" ht="17.100000000000001" hidden="1" customHeight="1">
      <c r="A569" s="614"/>
      <c r="B569" s="581"/>
      <c r="C569" s="581"/>
      <c r="D569" s="178" t="str">
        <f>серпень!D492</f>
        <v>факт. нат.п-ки 2025</v>
      </c>
      <c r="E569" s="85"/>
      <c r="F569" s="12"/>
      <c r="G569" s="12"/>
      <c r="H569" s="12"/>
      <c r="I569" s="12"/>
      <c r="J569" s="12"/>
      <c r="K569" s="12"/>
      <c r="L569" s="140">
        <f>SUM(F569:K569)</f>
        <v>0</v>
      </c>
      <c r="M569" s="140">
        <f>L569/6</f>
        <v>0</v>
      </c>
      <c r="N569" s="12"/>
      <c r="O569" s="12"/>
      <c r="P569" s="12"/>
      <c r="Q569" s="12"/>
      <c r="R569" s="12"/>
      <c r="S569" s="85"/>
      <c r="T569" s="140">
        <f>SUM(N569:S569)</f>
        <v>0</v>
      </c>
      <c r="U569" s="140">
        <f>T569+L569</f>
        <v>0</v>
      </c>
      <c r="V569" s="85"/>
      <c r="W569" s="88">
        <f>V569-U569</f>
        <v>0</v>
      </c>
      <c r="X569" s="47"/>
    </row>
    <row r="570" spans="1:28" s="51" customFormat="1" ht="17.100000000000001" hidden="1" customHeight="1">
      <c r="A570" s="614"/>
      <c r="B570" s="581"/>
      <c r="C570" s="581"/>
      <c r="D570" s="187" t="str">
        <f>серпень!D493</f>
        <v>тариф, грн.</v>
      </c>
      <c r="E570" s="92" t="e">
        <f>E571/E569*1000</f>
        <v>#DIV/0!</v>
      </c>
      <c r="F570" s="92" t="e">
        <f>F571/F569*1000</f>
        <v>#DIV/0!</v>
      </c>
      <c r="G570" s="92">
        <v>169.98</v>
      </c>
      <c r="H570" s="92">
        <v>169.98</v>
      </c>
      <c r="I570" s="92">
        <v>169.98</v>
      </c>
      <c r="J570" s="92">
        <v>169.98</v>
      </c>
      <c r="K570" s="92">
        <v>169.98</v>
      </c>
      <c r="L570" s="105" t="e">
        <f>L571/L569*1000</f>
        <v>#DIV/0!</v>
      </c>
      <c r="M570" s="105" t="e">
        <f>M571/M569*1000</f>
        <v>#DIV/0!</v>
      </c>
      <c r="N570" s="92">
        <v>169.98</v>
      </c>
      <c r="O570" s="92">
        <v>169.98</v>
      </c>
      <c r="P570" s="92">
        <v>169.98</v>
      </c>
      <c r="Q570" s="92">
        <v>169.98</v>
      </c>
      <c r="R570" s="92">
        <v>169.98</v>
      </c>
      <c r="S570" s="92">
        <v>169.98</v>
      </c>
      <c r="T570" s="105" t="e">
        <f>T571/T569*1000</f>
        <v>#DIV/0!</v>
      </c>
      <c r="U570" s="105" t="e">
        <f>U571/U569*1000</f>
        <v>#DIV/0!</v>
      </c>
      <c r="V570" s="105" t="e">
        <f>V571/V569*1000</f>
        <v>#DIV/0!</v>
      </c>
      <c r="W570" s="86" t="e">
        <f>W571/W569*1000</f>
        <v>#DIV/0!</v>
      </c>
      <c r="X570" s="59"/>
    </row>
    <row r="571" spans="1:28" s="130" customFormat="1" ht="17.100000000000001" hidden="1" customHeight="1">
      <c r="A571" s="614"/>
      <c r="B571" s="581"/>
      <c r="C571" s="581"/>
      <c r="D571" s="191" t="str">
        <f>серпень!D494</f>
        <v>сума, тис.грн.</v>
      </c>
      <c r="E571" s="93"/>
      <c r="F571" s="93">
        <v>0</v>
      </c>
      <c r="G571" s="93">
        <f t="shared" ref="G571:K571" si="647">G569*G570/1000</f>
        <v>0</v>
      </c>
      <c r="H571" s="93">
        <f t="shared" si="647"/>
        <v>0</v>
      </c>
      <c r="I571" s="93">
        <f t="shared" si="647"/>
        <v>0</v>
      </c>
      <c r="J571" s="93">
        <f t="shared" si="647"/>
        <v>0</v>
      </c>
      <c r="K571" s="93">
        <f t="shared" si="647"/>
        <v>0</v>
      </c>
      <c r="L571" s="106">
        <f>SUM(F571:K571)</f>
        <v>0</v>
      </c>
      <c r="M571" s="106">
        <f>L571/6</f>
        <v>0</v>
      </c>
      <c r="N571" s="93">
        <f t="shared" ref="N571:S571" si="648">N569*N570/1000</f>
        <v>0</v>
      </c>
      <c r="O571" s="93">
        <f t="shared" si="648"/>
        <v>0</v>
      </c>
      <c r="P571" s="93">
        <f t="shared" si="648"/>
        <v>0</v>
      </c>
      <c r="Q571" s="93">
        <f t="shared" si="648"/>
        <v>0</v>
      </c>
      <c r="R571" s="93">
        <f t="shared" si="648"/>
        <v>0</v>
      </c>
      <c r="S571" s="93">
        <f t="shared" si="648"/>
        <v>0</v>
      </c>
      <c r="T571" s="106">
        <f>SUM(N571:S571)</f>
        <v>0</v>
      </c>
      <c r="U571" s="106">
        <f>T571+L571</f>
        <v>0</v>
      </c>
      <c r="V571" s="107">
        <f>V572+V573</f>
        <v>0</v>
      </c>
      <c r="W571" s="94">
        <f>V571-U571</f>
        <v>0</v>
      </c>
    </row>
    <row r="572" spans="1:28" s="130" customFormat="1" ht="17.100000000000001" hidden="1" customHeight="1">
      <c r="A572" s="614"/>
      <c r="B572" s="581"/>
      <c r="C572" s="581"/>
      <c r="D572" s="174" t="str">
        <f>серпень!D495</f>
        <v>дотація</v>
      </c>
      <c r="E572" s="95"/>
      <c r="F572" s="93"/>
      <c r="G572" s="93"/>
      <c r="H572" s="93"/>
      <c r="I572" s="93"/>
      <c r="J572" s="93"/>
      <c r="K572" s="93"/>
      <c r="L572" s="106">
        <f>SUM(F572:K572)</f>
        <v>0</v>
      </c>
      <c r="M572" s="106">
        <f>L572/6</f>
        <v>0</v>
      </c>
      <c r="N572" s="93"/>
      <c r="O572" s="93"/>
      <c r="P572" s="93"/>
      <c r="Q572" s="93"/>
      <c r="R572" s="93"/>
      <c r="S572" s="93"/>
      <c r="T572" s="106">
        <f>SUM(N572:S572)</f>
        <v>0</v>
      </c>
      <c r="U572" s="106">
        <f>T572+L572</f>
        <v>0</v>
      </c>
      <c r="V572" s="107">
        <v>0</v>
      </c>
      <c r="W572" s="94">
        <f>V572-U572</f>
        <v>0</v>
      </c>
    </row>
    <row r="573" spans="1:28" s="130" customFormat="1" ht="17.100000000000001" hidden="1" customHeight="1">
      <c r="A573" s="614"/>
      <c r="B573" s="581"/>
      <c r="C573" s="581"/>
      <c r="D573" s="174" t="str">
        <f>серпень!D496</f>
        <v>місцевий (план), тис.грн</v>
      </c>
      <c r="E573" s="95"/>
      <c r="F573" s="93"/>
      <c r="G573" s="93"/>
      <c r="H573" s="93"/>
      <c r="I573" s="93"/>
      <c r="J573" s="93"/>
      <c r="K573" s="93"/>
      <c r="L573" s="106">
        <f>SUM(F573:K573)</f>
        <v>0</v>
      </c>
      <c r="M573" s="106">
        <f>L573/6</f>
        <v>0</v>
      </c>
      <c r="N573" s="93"/>
      <c r="O573" s="93"/>
      <c r="P573" s="93"/>
      <c r="Q573" s="93"/>
      <c r="R573" s="93"/>
      <c r="S573" s="93"/>
      <c r="T573" s="106">
        <f>SUM(N573:S573)</f>
        <v>0</v>
      </c>
      <c r="U573" s="106">
        <f>T573+L573</f>
        <v>0</v>
      </c>
      <c r="V573" s="107"/>
      <c r="W573" s="94">
        <f>V573-U573</f>
        <v>0</v>
      </c>
    </row>
    <row r="574" spans="1:28" s="48" customFormat="1" ht="17.100000000000001" hidden="1" customHeight="1">
      <c r="A574" s="614"/>
      <c r="B574" s="581"/>
      <c r="C574" s="581"/>
      <c r="D574" s="178" t="str">
        <f>серпень!D497</f>
        <v>касові нат.п-ки 2025</v>
      </c>
      <c r="E574" s="85"/>
      <c r="F574" s="85"/>
      <c r="G574" s="85"/>
      <c r="H574" s="85"/>
      <c r="I574" s="85"/>
      <c r="J574" s="85"/>
      <c r="K574" s="85"/>
      <c r="L574" s="140">
        <f>SUM(F574:K574)</f>
        <v>0</v>
      </c>
      <c r="M574" s="140">
        <f>L574/6</f>
        <v>0</v>
      </c>
      <c r="N574" s="85"/>
      <c r="O574" s="85"/>
      <c r="P574" s="85"/>
      <c r="Q574" s="85"/>
      <c r="R574" s="85"/>
      <c r="S574" s="85"/>
      <c r="T574" s="140">
        <f>SUM(N574:S574)</f>
        <v>0</v>
      </c>
      <c r="U574" s="140">
        <f>T574+L574</f>
        <v>0</v>
      </c>
      <c r="V574" s="85">
        <f>V569</f>
        <v>0</v>
      </c>
      <c r="W574" s="88">
        <f>V574-U574</f>
        <v>0</v>
      </c>
      <c r="X574" s="47">
        <f>U569-U574</f>
        <v>0</v>
      </c>
    </row>
    <row r="575" spans="1:28" s="51" customFormat="1" ht="17.100000000000001" hidden="1" customHeight="1">
      <c r="A575" s="614"/>
      <c r="B575" s="581"/>
      <c r="C575" s="581"/>
      <c r="D575" s="187" t="str">
        <f>серпень!D498</f>
        <v>тариф, грн.</v>
      </c>
      <c r="E575" s="92" t="e">
        <f>E576/E574*1000</f>
        <v>#DIV/0!</v>
      </c>
      <c r="F575" s="92" t="e">
        <f>F576/F574*1000</f>
        <v>#DIV/0!</v>
      </c>
      <c r="G575" s="92">
        <v>169.98</v>
      </c>
      <c r="H575" s="92">
        <v>169.98</v>
      </c>
      <c r="I575" s="92">
        <v>169.98</v>
      </c>
      <c r="J575" s="92">
        <v>169.98</v>
      </c>
      <c r="K575" s="92">
        <v>169.98</v>
      </c>
      <c r="L575" s="105" t="e">
        <f>L576/L574*1000</f>
        <v>#DIV/0!</v>
      </c>
      <c r="M575" s="105" t="e">
        <f>M576/M574*1000</f>
        <v>#DIV/0!</v>
      </c>
      <c r="N575" s="92">
        <v>169.98</v>
      </c>
      <c r="O575" s="92">
        <v>169.98</v>
      </c>
      <c r="P575" s="92">
        <v>169.98</v>
      </c>
      <c r="Q575" s="92">
        <v>169.98</v>
      </c>
      <c r="R575" s="92">
        <v>169.98</v>
      </c>
      <c r="S575" s="92">
        <v>169.98</v>
      </c>
      <c r="T575" s="105" t="e">
        <f>T576/T574*1000</f>
        <v>#DIV/0!</v>
      </c>
      <c r="U575" s="105" t="e">
        <f>U576/U574*1000</f>
        <v>#DIV/0!</v>
      </c>
      <c r="V575" s="105" t="e">
        <f>V576/V574*1000</f>
        <v>#DIV/0!</v>
      </c>
      <c r="W575" s="86" t="e">
        <f>W576/W574*1000</f>
        <v>#DIV/0!</v>
      </c>
      <c r="X575" s="59"/>
    </row>
    <row r="576" spans="1:28" s="126" customFormat="1" ht="17.100000000000001" hidden="1" customHeight="1">
      <c r="A576" s="614"/>
      <c r="B576" s="581"/>
      <c r="C576" s="581"/>
      <c r="D576" s="198" t="str">
        <f>серпень!D499</f>
        <v>касові видатки, тис.грн.</v>
      </c>
      <c r="E576" s="108"/>
      <c r="F576" s="98">
        <v>0</v>
      </c>
      <c r="G576" s="98">
        <f t="shared" ref="G576:K576" si="649">G574*G575/1000</f>
        <v>0</v>
      </c>
      <c r="H576" s="98">
        <f t="shared" si="649"/>
        <v>0</v>
      </c>
      <c r="I576" s="98">
        <f t="shared" si="649"/>
        <v>0</v>
      </c>
      <c r="J576" s="98">
        <f t="shared" si="649"/>
        <v>0</v>
      </c>
      <c r="K576" s="98">
        <f t="shared" si="649"/>
        <v>0</v>
      </c>
      <c r="L576" s="98">
        <f>SUM(F576:K576)</f>
        <v>0</v>
      </c>
      <c r="M576" s="98">
        <f>L576/6</f>
        <v>0</v>
      </c>
      <c r="N576" s="98">
        <f t="shared" ref="N576:S576" si="650">N574*N575/1000</f>
        <v>0</v>
      </c>
      <c r="O576" s="98">
        <f t="shared" si="650"/>
        <v>0</v>
      </c>
      <c r="P576" s="98">
        <f t="shared" si="650"/>
        <v>0</v>
      </c>
      <c r="Q576" s="98">
        <f t="shared" si="650"/>
        <v>0</v>
      </c>
      <c r="R576" s="98">
        <f t="shared" si="650"/>
        <v>0</v>
      </c>
      <c r="S576" s="98">
        <f t="shared" si="650"/>
        <v>0</v>
      </c>
      <c r="T576" s="98">
        <f>SUM(N576:S576)</f>
        <v>0</v>
      </c>
      <c r="U576" s="98">
        <f>T576+L576</f>
        <v>0</v>
      </c>
      <c r="V576" s="98">
        <f>V571</f>
        <v>0</v>
      </c>
      <c r="W576" s="109">
        <f>V576-U576</f>
        <v>0</v>
      </c>
      <c r="X576" s="63">
        <f>U571-U576</f>
        <v>0</v>
      </c>
    </row>
    <row r="577" spans="1:28" s="126" customFormat="1" ht="17.100000000000001" hidden="1" customHeight="1">
      <c r="A577" s="614"/>
      <c r="B577" s="581"/>
      <c r="C577" s="581"/>
      <c r="D577" s="201" t="str">
        <f>серпень!D500</f>
        <v>дотація</v>
      </c>
      <c r="E577" s="108"/>
      <c r="F577" s="98">
        <v>0</v>
      </c>
      <c r="G577" s="98">
        <v>0</v>
      </c>
      <c r="H577" s="98">
        <v>0</v>
      </c>
      <c r="I577" s="98">
        <v>0</v>
      </c>
      <c r="J577" s="98">
        <v>0</v>
      </c>
      <c r="K577" s="98">
        <v>0</v>
      </c>
      <c r="L577" s="98">
        <f>SUM(F577:K577)</f>
        <v>0</v>
      </c>
      <c r="M577" s="98">
        <f>L577/6</f>
        <v>0</v>
      </c>
      <c r="N577" s="98">
        <v>0</v>
      </c>
      <c r="O577" s="98">
        <v>0</v>
      </c>
      <c r="P577" s="98">
        <v>0</v>
      </c>
      <c r="Q577" s="98">
        <v>0</v>
      </c>
      <c r="R577" s="98">
        <v>0</v>
      </c>
      <c r="S577" s="98">
        <v>0</v>
      </c>
      <c r="T577" s="98">
        <f>SUM(N577:S577)</f>
        <v>0</v>
      </c>
      <c r="U577" s="98">
        <f>T577+L577</f>
        <v>0</v>
      </c>
      <c r="V577" s="98">
        <f>V572</f>
        <v>0</v>
      </c>
      <c r="W577" s="109">
        <f>V577-U577</f>
        <v>0</v>
      </c>
      <c r="X577" s="63"/>
    </row>
    <row r="578" spans="1:28" s="126" customFormat="1" ht="17.100000000000001" hidden="1" customHeight="1">
      <c r="A578" s="614"/>
      <c r="B578" s="581"/>
      <c r="C578" s="581"/>
      <c r="D578" s="201" t="str">
        <f>серпень!D501</f>
        <v xml:space="preserve">місцевий </v>
      </c>
      <c r="E578" s="108"/>
      <c r="F578" s="98">
        <f>F576-F577</f>
        <v>0</v>
      </c>
      <c r="G578" s="98">
        <f t="shared" ref="G578:K578" si="651">G576-G577</f>
        <v>0</v>
      </c>
      <c r="H578" s="98">
        <f t="shared" si="651"/>
        <v>0</v>
      </c>
      <c r="I578" s="98">
        <f t="shared" si="651"/>
        <v>0</v>
      </c>
      <c r="J578" s="98">
        <f t="shared" si="651"/>
        <v>0</v>
      </c>
      <c r="K578" s="98">
        <f t="shared" si="651"/>
        <v>0</v>
      </c>
      <c r="L578" s="98">
        <f>SUM(F578:K578)</f>
        <v>0</v>
      </c>
      <c r="M578" s="98">
        <f>L578/6</f>
        <v>0</v>
      </c>
      <c r="N578" s="98">
        <f t="shared" ref="N578:S578" si="652">N576-N577</f>
        <v>0</v>
      </c>
      <c r="O578" s="98">
        <f t="shared" si="652"/>
        <v>0</v>
      </c>
      <c r="P578" s="98">
        <f t="shared" si="652"/>
        <v>0</v>
      </c>
      <c r="Q578" s="98">
        <f t="shared" si="652"/>
        <v>0</v>
      </c>
      <c r="R578" s="98">
        <f t="shared" si="652"/>
        <v>0</v>
      </c>
      <c r="S578" s="98">
        <f t="shared" si="652"/>
        <v>0</v>
      </c>
      <c r="T578" s="98">
        <f>SUM(N578:S578)</f>
        <v>0</v>
      </c>
      <c r="U578" s="98">
        <f>T578+L578</f>
        <v>0</v>
      </c>
      <c r="V578" s="98">
        <f>V573</f>
        <v>0</v>
      </c>
      <c r="W578" s="109">
        <f>V578-U578</f>
        <v>0</v>
      </c>
      <c r="X578" s="63">
        <f>U573-U578</f>
        <v>0</v>
      </c>
    </row>
    <row r="579" spans="1:28" s="43" customFormat="1" ht="17.100000000000001" hidden="1" customHeight="1">
      <c r="A579" s="614"/>
      <c r="B579" s="581"/>
      <c r="C579" s="581"/>
      <c r="D579" s="202" t="str">
        <f>серпень!D502</f>
        <v>план</v>
      </c>
      <c r="E579" s="100"/>
      <c r="F579" s="100">
        <f t="shared" ref="F579:K579" si="653">F573</f>
        <v>0</v>
      </c>
      <c r="G579" s="100">
        <f t="shared" si="653"/>
        <v>0</v>
      </c>
      <c r="H579" s="100">
        <f t="shared" si="653"/>
        <v>0</v>
      </c>
      <c r="I579" s="100">
        <f t="shared" si="653"/>
        <v>0</v>
      </c>
      <c r="J579" s="100">
        <f t="shared" si="653"/>
        <v>0</v>
      </c>
      <c r="K579" s="100">
        <f t="shared" si="653"/>
        <v>0</v>
      </c>
      <c r="L579" s="100">
        <f>SUM(F579:K579)</f>
        <v>0</v>
      </c>
      <c r="M579" s="100">
        <f>L579/6</f>
        <v>0</v>
      </c>
      <c r="N579" s="100">
        <f t="shared" ref="N579:S579" si="654">N573+N572</f>
        <v>0</v>
      </c>
      <c r="O579" s="100">
        <f t="shared" si="654"/>
        <v>0</v>
      </c>
      <c r="P579" s="100">
        <f t="shared" si="654"/>
        <v>0</v>
      </c>
      <c r="Q579" s="100">
        <f t="shared" si="654"/>
        <v>0</v>
      </c>
      <c r="R579" s="100">
        <f t="shared" si="654"/>
        <v>0</v>
      </c>
      <c r="S579" s="100">
        <f t="shared" si="654"/>
        <v>0</v>
      </c>
      <c r="T579" s="100">
        <f>SUM(N579:S579)</f>
        <v>0</v>
      </c>
      <c r="U579" s="100">
        <f>T579+L579</f>
        <v>0</v>
      </c>
      <c r="V579" s="100">
        <f>V576</f>
        <v>0</v>
      </c>
      <c r="W579" s="100">
        <f>V579-U579</f>
        <v>0</v>
      </c>
    </row>
    <row r="580" spans="1:28" s="43" customFormat="1" ht="17.100000000000001" hidden="1" customHeight="1">
      <c r="A580" s="614"/>
      <c r="B580" s="581"/>
      <c r="C580" s="581"/>
      <c r="D580" s="202" t="str">
        <f>серпень!D503</f>
        <v xml:space="preserve">відхилення </v>
      </c>
      <c r="E580" s="100"/>
      <c r="F580" s="100">
        <f t="shared" ref="F580:K580" si="655">F576-F579</f>
        <v>0</v>
      </c>
      <c r="G580" s="100">
        <f t="shared" si="655"/>
        <v>0</v>
      </c>
      <c r="H580" s="100">
        <f t="shared" si="655"/>
        <v>0</v>
      </c>
      <c r="I580" s="100">
        <f t="shared" si="655"/>
        <v>0</v>
      </c>
      <c r="J580" s="100">
        <f t="shared" si="655"/>
        <v>0</v>
      </c>
      <c r="K580" s="100">
        <f t="shared" si="655"/>
        <v>0</v>
      </c>
      <c r="L580" s="100"/>
      <c r="M580" s="100"/>
      <c r="N580" s="100">
        <f t="shared" ref="N580:S580" si="656">N576-N579</f>
        <v>0</v>
      </c>
      <c r="O580" s="100">
        <f t="shared" si="656"/>
        <v>0</v>
      </c>
      <c r="P580" s="100">
        <f t="shared" si="656"/>
        <v>0</v>
      </c>
      <c r="Q580" s="100">
        <f t="shared" si="656"/>
        <v>0</v>
      </c>
      <c r="R580" s="100">
        <f t="shared" si="656"/>
        <v>0</v>
      </c>
      <c r="S580" s="100">
        <f t="shared" si="656"/>
        <v>0</v>
      </c>
      <c r="T580" s="100"/>
      <c r="U580" s="100"/>
      <c r="V580" s="100"/>
      <c r="W580" s="100"/>
    </row>
    <row r="581" spans="1:28" s="43" customFormat="1" ht="17.100000000000001" hidden="1" customHeight="1">
      <c r="A581" s="614"/>
      <c r="B581" s="581"/>
      <c r="C581" s="581"/>
      <c r="D581" s="202" t="str">
        <f>серпень!D504</f>
        <v>відхилення з наростаючим</v>
      </c>
      <c r="E581" s="100"/>
      <c r="F581" s="100">
        <f>F580</f>
        <v>0</v>
      </c>
      <c r="G581" s="100">
        <f>G580+F581</f>
        <v>0</v>
      </c>
      <c r="H581" s="100">
        <f>H580+G581</f>
        <v>0</v>
      </c>
      <c r="I581" s="100">
        <f>I580+H581</f>
        <v>0</v>
      </c>
      <c r="J581" s="100">
        <f>J580+I581</f>
        <v>0</v>
      </c>
      <c r="K581" s="100">
        <f>K580+J581</f>
        <v>0</v>
      </c>
      <c r="L581" s="100"/>
      <c r="M581" s="100"/>
      <c r="N581" s="100">
        <f>N580+K581</f>
        <v>0</v>
      </c>
      <c r="O581" s="100">
        <f>O580+N581</f>
        <v>0</v>
      </c>
      <c r="P581" s="100">
        <f>P580+O581</f>
        <v>0</v>
      </c>
      <c r="Q581" s="100">
        <f>Q580+P581</f>
        <v>0</v>
      </c>
      <c r="R581" s="100">
        <f>R580+Q581</f>
        <v>0</v>
      </c>
      <c r="S581" s="100">
        <f>S580+R581</f>
        <v>0</v>
      </c>
      <c r="T581" s="100"/>
      <c r="U581" s="100"/>
      <c r="V581" s="100"/>
      <c r="W581" s="100"/>
    </row>
    <row r="582" spans="1:28" s="55" customFormat="1" ht="17.100000000000001" hidden="1" customHeight="1">
      <c r="A582" s="614"/>
      <c r="B582" s="654" t="s">
        <v>132</v>
      </c>
      <c r="C582" s="581"/>
      <c r="D582" s="178" t="str">
        <f>серпень!D505</f>
        <v>факт. нат.п-ки 2023</v>
      </c>
      <c r="E582" s="85"/>
      <c r="F582" s="82"/>
      <c r="G582" s="82"/>
      <c r="H582" s="82"/>
      <c r="I582" s="82"/>
      <c r="J582" s="82"/>
      <c r="K582" s="82"/>
      <c r="L582" s="498">
        <f>SUM(F582:K582)</f>
        <v>0</v>
      </c>
      <c r="M582" s="498">
        <f>L582/6</f>
        <v>0</v>
      </c>
      <c r="N582" s="82"/>
      <c r="O582" s="82"/>
      <c r="P582" s="82"/>
      <c r="Q582" s="82"/>
      <c r="R582" s="82"/>
      <c r="S582" s="82"/>
      <c r="T582" s="498">
        <f>SUM(N582:S582)</f>
        <v>0</v>
      </c>
      <c r="U582" s="498">
        <f>T582+L582</f>
        <v>0</v>
      </c>
      <c r="V582" s="104"/>
      <c r="W582" s="88"/>
      <c r="X582" s="47"/>
      <c r="Y582" s="48"/>
      <c r="Z582" s="48"/>
      <c r="AA582" s="48"/>
      <c r="AB582" s="48"/>
    </row>
    <row r="583" spans="1:28" s="48" customFormat="1" ht="17.100000000000001" hidden="1" customHeight="1">
      <c r="A583" s="614"/>
      <c r="B583" s="581"/>
      <c r="C583" s="581"/>
      <c r="D583" s="178" t="str">
        <f>серпень!D506</f>
        <v>факт. нат.п-ки 2024</v>
      </c>
      <c r="E583" s="85"/>
      <c r="F583" s="82"/>
      <c r="G583" s="82"/>
      <c r="H583" s="82"/>
      <c r="I583" s="82"/>
      <c r="J583" s="82"/>
      <c r="K583" s="82"/>
      <c r="L583" s="498">
        <f>SUM(F583:K583)</f>
        <v>0</v>
      </c>
      <c r="M583" s="498">
        <f>L583/6</f>
        <v>0</v>
      </c>
      <c r="N583" s="494"/>
      <c r="O583" s="494"/>
      <c r="P583" s="494"/>
      <c r="Q583" s="494"/>
      <c r="R583" s="494"/>
      <c r="S583" s="494"/>
      <c r="T583" s="498">
        <f>SUM(N583:S583)</f>
        <v>0</v>
      </c>
      <c r="U583" s="498">
        <f>T583+L583</f>
        <v>0</v>
      </c>
      <c r="V583" s="104"/>
      <c r="W583" s="88"/>
      <c r="X583" s="47"/>
    </row>
    <row r="584" spans="1:28" s="48" customFormat="1" ht="17.100000000000001" hidden="1" customHeight="1">
      <c r="A584" s="614"/>
      <c r="B584" s="581"/>
      <c r="C584" s="581"/>
      <c r="D584" s="178" t="str">
        <f>серпень!D507</f>
        <v>факт. нат.п-ки 2025</v>
      </c>
      <c r="E584" s="85"/>
      <c r="F584" s="82"/>
      <c r="G584" s="82"/>
      <c r="H584" s="82"/>
      <c r="I584" s="82"/>
      <c r="J584" s="82"/>
      <c r="K584" s="82"/>
      <c r="L584" s="498">
        <f>SUM(F584:K584)</f>
        <v>0</v>
      </c>
      <c r="M584" s="498">
        <f>L584/6</f>
        <v>0</v>
      </c>
      <c r="N584" s="82"/>
      <c r="O584" s="82"/>
      <c r="P584" s="82"/>
      <c r="Q584" s="82"/>
      <c r="R584" s="82"/>
      <c r="S584" s="494"/>
      <c r="T584" s="498">
        <f>SUM(N584:S584)</f>
        <v>0</v>
      </c>
      <c r="U584" s="498">
        <f>T584+L584</f>
        <v>0</v>
      </c>
      <c r="V584" s="85"/>
      <c r="W584" s="88">
        <f>V584-U584</f>
        <v>0</v>
      </c>
      <c r="X584" s="47"/>
    </row>
    <row r="585" spans="1:28" s="51" customFormat="1" ht="17.100000000000001" hidden="1" customHeight="1">
      <c r="A585" s="614"/>
      <c r="B585" s="581"/>
      <c r="C585" s="581"/>
      <c r="D585" s="187" t="str">
        <f>серпень!D508</f>
        <v>тариф, грн.</v>
      </c>
      <c r="E585" s="92" t="e">
        <f>E586/E584*1000</f>
        <v>#DIV/0!</v>
      </c>
      <c r="F585" s="92" t="e">
        <f>F586/F584*1000</f>
        <v>#DIV/0!</v>
      </c>
      <c r="G585" s="92">
        <v>2.1</v>
      </c>
      <c r="H585" s="92">
        <v>2.1</v>
      </c>
      <c r="I585" s="92">
        <v>2.1</v>
      </c>
      <c r="J585" s="92">
        <v>2.1</v>
      </c>
      <c r="K585" s="92">
        <v>2.1</v>
      </c>
      <c r="L585" s="105" t="e">
        <f>L586/L584*1000</f>
        <v>#DIV/0!</v>
      </c>
      <c r="M585" s="105" t="e">
        <f>M586/M584*1000</f>
        <v>#DIV/0!</v>
      </c>
      <c r="N585" s="92">
        <v>2.1</v>
      </c>
      <c r="O585" s="92">
        <v>2.1</v>
      </c>
      <c r="P585" s="92">
        <v>2.1</v>
      </c>
      <c r="Q585" s="92">
        <v>2.1</v>
      </c>
      <c r="R585" s="92">
        <v>2.1</v>
      </c>
      <c r="S585" s="92">
        <v>2.1</v>
      </c>
      <c r="T585" s="105" t="e">
        <f>T586/T584*1000</f>
        <v>#DIV/0!</v>
      </c>
      <c r="U585" s="105" t="e">
        <f>U586/U584*1000</f>
        <v>#DIV/0!</v>
      </c>
      <c r="V585" s="105" t="e">
        <f>V586/V584*1000</f>
        <v>#DIV/0!</v>
      </c>
      <c r="W585" s="86" t="e">
        <f>W586/W584*1000</f>
        <v>#DIV/0!</v>
      </c>
      <c r="X585" s="59"/>
    </row>
    <row r="586" spans="1:28" s="130" customFormat="1" ht="17.100000000000001" hidden="1" customHeight="1">
      <c r="A586" s="614"/>
      <c r="B586" s="581"/>
      <c r="C586" s="581"/>
      <c r="D586" s="191" t="str">
        <f>серпень!D509</f>
        <v>сума, тис.грн.</v>
      </c>
      <c r="E586" s="93"/>
      <c r="F586" s="93">
        <v>0</v>
      </c>
      <c r="G586" s="93">
        <f t="shared" ref="G586" si="657">G584/G585*1000</f>
        <v>0</v>
      </c>
      <c r="H586" s="93">
        <f t="shared" ref="H586" si="658">H584/H585*1000</f>
        <v>0</v>
      </c>
      <c r="I586" s="93">
        <f t="shared" ref="I586" si="659">I584/I585*1000</f>
        <v>0</v>
      </c>
      <c r="J586" s="93">
        <f t="shared" ref="J586" si="660">J584/J585*1000</f>
        <v>0</v>
      </c>
      <c r="K586" s="93">
        <f t="shared" ref="K586" si="661">K584/K585*1000</f>
        <v>0</v>
      </c>
      <c r="L586" s="106">
        <f>SUM(F586:K586)</f>
        <v>0</v>
      </c>
      <c r="M586" s="106">
        <f>L586/6</f>
        <v>0</v>
      </c>
      <c r="N586" s="93">
        <f>N584/N585*1000</f>
        <v>0</v>
      </c>
      <c r="O586" s="93">
        <f t="shared" ref="O586" si="662">O584/O585*1000</f>
        <v>0</v>
      </c>
      <c r="P586" s="93">
        <f t="shared" ref="P586" si="663">P584/P585*1000</f>
        <v>0</v>
      </c>
      <c r="Q586" s="93">
        <f t="shared" ref="Q586" si="664">Q584/Q585*1000</f>
        <v>0</v>
      </c>
      <c r="R586" s="93">
        <f t="shared" ref="R586" si="665">R584/R585*1000</f>
        <v>0</v>
      </c>
      <c r="S586" s="93">
        <f t="shared" ref="S586" si="666">S584/S585*1000</f>
        <v>0</v>
      </c>
      <c r="T586" s="106">
        <f>SUM(N586:S586)</f>
        <v>0</v>
      </c>
      <c r="U586" s="106">
        <f>T586+L586</f>
        <v>0</v>
      </c>
      <c r="V586" s="107">
        <f>V587+V588</f>
        <v>0</v>
      </c>
      <c r="W586" s="94">
        <f>V586-U586</f>
        <v>0</v>
      </c>
    </row>
    <row r="587" spans="1:28" s="130" customFormat="1" ht="17.100000000000001" hidden="1" customHeight="1">
      <c r="A587" s="614"/>
      <c r="B587" s="581"/>
      <c r="C587" s="581"/>
      <c r="D587" s="174" t="str">
        <f>серпень!D510</f>
        <v>дотація</v>
      </c>
      <c r="E587" s="95"/>
      <c r="F587" s="93"/>
      <c r="G587" s="93"/>
      <c r="H587" s="93"/>
      <c r="I587" s="93"/>
      <c r="J587" s="93"/>
      <c r="K587" s="93"/>
      <c r="L587" s="106">
        <f>SUM(F587:K587)</f>
        <v>0</v>
      </c>
      <c r="M587" s="106">
        <f>L587/6</f>
        <v>0</v>
      </c>
      <c r="N587" s="93"/>
      <c r="O587" s="93"/>
      <c r="P587" s="93"/>
      <c r="Q587" s="93"/>
      <c r="R587" s="93"/>
      <c r="S587" s="93"/>
      <c r="T587" s="106">
        <f>SUM(N587:S587)</f>
        <v>0</v>
      </c>
      <c r="U587" s="106">
        <f>T587+L587</f>
        <v>0</v>
      </c>
      <c r="V587" s="107">
        <v>0</v>
      </c>
      <c r="W587" s="94">
        <f>V587-U587</f>
        <v>0</v>
      </c>
    </row>
    <row r="588" spans="1:28" s="130" customFormat="1" ht="17.100000000000001" hidden="1" customHeight="1">
      <c r="A588" s="614"/>
      <c r="B588" s="581"/>
      <c r="C588" s="581"/>
      <c r="D588" s="174" t="str">
        <f>серпень!D511</f>
        <v>місцевий (план), тис.грн</v>
      </c>
      <c r="E588" s="95"/>
      <c r="F588" s="93"/>
      <c r="G588" s="93"/>
      <c r="H588" s="93"/>
      <c r="I588" s="93"/>
      <c r="J588" s="93"/>
      <c r="K588" s="93"/>
      <c r="L588" s="106">
        <f>SUM(F588:K588)</f>
        <v>0</v>
      </c>
      <c r="M588" s="106">
        <f>L588/6</f>
        <v>0</v>
      </c>
      <c r="N588" s="93"/>
      <c r="O588" s="93"/>
      <c r="P588" s="93"/>
      <c r="Q588" s="93"/>
      <c r="R588" s="93"/>
      <c r="S588" s="93"/>
      <c r="T588" s="106">
        <f>SUM(N588:S588)</f>
        <v>0</v>
      </c>
      <c r="U588" s="106">
        <f>T588+L588</f>
        <v>0</v>
      </c>
      <c r="V588" s="107">
        <v>0</v>
      </c>
      <c r="W588" s="94">
        <f>V588-U588</f>
        <v>0</v>
      </c>
    </row>
    <row r="589" spans="1:28" s="48" customFormat="1" ht="17.100000000000001" hidden="1" customHeight="1">
      <c r="A589" s="614"/>
      <c r="B589" s="581"/>
      <c r="C589" s="581"/>
      <c r="D589" s="178" t="str">
        <f>серпень!D512</f>
        <v>касові нат.п-ки 2025</v>
      </c>
      <c r="E589" s="85"/>
      <c r="F589" s="92"/>
      <c r="G589" s="92"/>
      <c r="H589" s="92"/>
      <c r="I589" s="92"/>
      <c r="J589" s="92"/>
      <c r="K589" s="92"/>
      <c r="L589" s="140">
        <f>SUM(F589:K589)</f>
        <v>0</v>
      </c>
      <c r="M589" s="140">
        <f>L589/6</f>
        <v>0</v>
      </c>
      <c r="N589" s="92"/>
      <c r="O589" s="92"/>
      <c r="P589" s="92"/>
      <c r="Q589" s="92"/>
      <c r="R589" s="92"/>
      <c r="S589" s="92"/>
      <c r="T589" s="140">
        <f>SUM(N589:S589)</f>
        <v>0</v>
      </c>
      <c r="U589" s="140">
        <f>T589+L589</f>
        <v>0</v>
      </c>
      <c r="V589" s="85">
        <f>V584</f>
        <v>0</v>
      </c>
      <c r="W589" s="88">
        <f>V589-U589</f>
        <v>0</v>
      </c>
      <c r="X589" s="47">
        <f>U584-U589</f>
        <v>0</v>
      </c>
    </row>
    <row r="590" spans="1:28" s="51" customFormat="1" ht="17.100000000000001" hidden="1" customHeight="1">
      <c r="A590" s="614"/>
      <c r="B590" s="581"/>
      <c r="C590" s="581"/>
      <c r="D590" s="187" t="str">
        <f>серпень!D513</f>
        <v>тариф, грн.</v>
      </c>
      <c r="E590" s="92" t="e">
        <f>E591/E589*1000</f>
        <v>#DIV/0!</v>
      </c>
      <c r="F590" s="92" t="e">
        <f>F591/F589*1000</f>
        <v>#DIV/0!</v>
      </c>
      <c r="G590" s="92">
        <v>2.1</v>
      </c>
      <c r="H590" s="92">
        <v>2.1</v>
      </c>
      <c r="I590" s="92">
        <v>2.1</v>
      </c>
      <c r="J590" s="92">
        <v>2.1</v>
      </c>
      <c r="K590" s="92">
        <v>2.1</v>
      </c>
      <c r="L590" s="105" t="e">
        <f>L591/L589*1000</f>
        <v>#DIV/0!</v>
      </c>
      <c r="M590" s="105" t="e">
        <f>M591/M589*1000</f>
        <v>#DIV/0!</v>
      </c>
      <c r="N590" s="92">
        <v>2.1</v>
      </c>
      <c r="O590" s="92">
        <v>2.1</v>
      </c>
      <c r="P590" s="92">
        <v>2.1</v>
      </c>
      <c r="Q590" s="92">
        <v>2.1</v>
      </c>
      <c r="R590" s="92">
        <v>2.1</v>
      </c>
      <c r="S590" s="92">
        <v>2.1</v>
      </c>
      <c r="T590" s="105" t="e">
        <f>T591/T589*1000</f>
        <v>#DIV/0!</v>
      </c>
      <c r="U590" s="105" t="e">
        <f>U591/U589*1000</f>
        <v>#DIV/0!</v>
      </c>
      <c r="V590" s="105" t="e">
        <f>V591/V589*1000</f>
        <v>#DIV/0!</v>
      </c>
      <c r="W590" s="86" t="e">
        <f>W591/W589*1000</f>
        <v>#DIV/0!</v>
      </c>
      <c r="X590" s="59"/>
    </row>
    <row r="591" spans="1:28" s="126" customFormat="1" ht="17.100000000000001" hidden="1" customHeight="1">
      <c r="A591" s="614"/>
      <c r="B591" s="581"/>
      <c r="C591" s="581"/>
      <c r="D591" s="198" t="str">
        <f>серпень!D514</f>
        <v>касові видатки, тис.грн.</v>
      </c>
      <c r="E591" s="108"/>
      <c r="F591" s="98">
        <v>0</v>
      </c>
      <c r="G591" s="98">
        <f t="shared" ref="G591" si="667">G589/G590*1000</f>
        <v>0</v>
      </c>
      <c r="H591" s="98">
        <f t="shared" ref="H591" si="668">H589/H590*1000</f>
        <v>0</v>
      </c>
      <c r="I591" s="98">
        <f t="shared" ref="I591" si="669">I589/I590*1000</f>
        <v>0</v>
      </c>
      <c r="J591" s="98">
        <f t="shared" ref="J591" si="670">J589/J590*1000</f>
        <v>0</v>
      </c>
      <c r="K591" s="98">
        <f t="shared" ref="K591" si="671">K589/K590*1000</f>
        <v>0</v>
      </c>
      <c r="L591" s="98">
        <f>SUM(F591:K591)</f>
        <v>0</v>
      </c>
      <c r="M591" s="98">
        <f>L591/6</f>
        <v>0</v>
      </c>
      <c r="N591" s="98">
        <f>N589/N590*1000</f>
        <v>0</v>
      </c>
      <c r="O591" s="98">
        <f t="shared" ref="O591" si="672">O589/O590*1000</f>
        <v>0</v>
      </c>
      <c r="P591" s="98">
        <f t="shared" ref="P591" si="673">P589/P590*1000</f>
        <v>0</v>
      </c>
      <c r="Q591" s="98">
        <f t="shared" ref="Q591" si="674">Q589/Q590*1000</f>
        <v>0</v>
      </c>
      <c r="R591" s="98">
        <f t="shared" ref="R591" si="675">R589/R590*1000</f>
        <v>0</v>
      </c>
      <c r="S591" s="98">
        <f t="shared" ref="S591" si="676">S589/S590*1000</f>
        <v>0</v>
      </c>
      <c r="T591" s="98">
        <f>SUM(N591:S591)</f>
        <v>0</v>
      </c>
      <c r="U591" s="98">
        <f>T591+L591</f>
        <v>0</v>
      </c>
      <c r="V591" s="98">
        <f>V586</f>
        <v>0</v>
      </c>
      <c r="W591" s="109">
        <f>V591-U591</f>
        <v>0</v>
      </c>
      <c r="X591" s="63">
        <f>U586-U591</f>
        <v>0</v>
      </c>
    </row>
    <row r="592" spans="1:28" s="126" customFormat="1" ht="17.100000000000001" hidden="1" customHeight="1">
      <c r="A592" s="614"/>
      <c r="B592" s="581"/>
      <c r="C592" s="581"/>
      <c r="D592" s="201" t="str">
        <f>серпень!D515</f>
        <v>дотація</v>
      </c>
      <c r="E592" s="108"/>
      <c r="F592" s="98">
        <v>0</v>
      </c>
      <c r="G592" s="98">
        <v>0</v>
      </c>
      <c r="H592" s="98">
        <v>0</v>
      </c>
      <c r="I592" s="98">
        <v>0</v>
      </c>
      <c r="J592" s="98">
        <v>0</v>
      </c>
      <c r="K592" s="98">
        <v>0</v>
      </c>
      <c r="L592" s="98">
        <f>SUM(F592:K592)</f>
        <v>0</v>
      </c>
      <c r="M592" s="98">
        <f>L592/6</f>
        <v>0</v>
      </c>
      <c r="N592" s="98">
        <v>0</v>
      </c>
      <c r="O592" s="98">
        <v>0</v>
      </c>
      <c r="P592" s="98">
        <v>0</v>
      </c>
      <c r="Q592" s="98">
        <v>0</v>
      </c>
      <c r="R592" s="98">
        <v>0</v>
      </c>
      <c r="S592" s="98">
        <v>0</v>
      </c>
      <c r="T592" s="98">
        <f>SUM(N592:S592)</f>
        <v>0</v>
      </c>
      <c r="U592" s="98">
        <f>T592+L592</f>
        <v>0</v>
      </c>
      <c r="V592" s="98">
        <f>V587</f>
        <v>0</v>
      </c>
      <c r="W592" s="109">
        <f>V592-U592</f>
        <v>0</v>
      </c>
      <c r="X592" s="63"/>
    </row>
    <row r="593" spans="1:28" s="126" customFormat="1" ht="17.100000000000001" hidden="1" customHeight="1">
      <c r="A593" s="614"/>
      <c r="B593" s="581"/>
      <c r="C593" s="581"/>
      <c r="D593" s="201" t="str">
        <f>серпень!D516</f>
        <v xml:space="preserve">місцевий </v>
      </c>
      <c r="E593" s="108"/>
      <c r="F593" s="98">
        <f>F591-F592</f>
        <v>0</v>
      </c>
      <c r="G593" s="98">
        <f t="shared" ref="G593:K593" si="677">G591-G592</f>
        <v>0</v>
      </c>
      <c r="H593" s="98">
        <f t="shared" si="677"/>
        <v>0</v>
      </c>
      <c r="I593" s="98">
        <f t="shared" si="677"/>
        <v>0</v>
      </c>
      <c r="J593" s="98">
        <f t="shared" si="677"/>
        <v>0</v>
      </c>
      <c r="K593" s="98">
        <f t="shared" si="677"/>
        <v>0</v>
      </c>
      <c r="L593" s="98">
        <f>SUM(F593:K593)</f>
        <v>0</v>
      </c>
      <c r="M593" s="98">
        <f>L593/6</f>
        <v>0</v>
      </c>
      <c r="N593" s="98">
        <f t="shared" ref="N593:S593" si="678">N591-N592</f>
        <v>0</v>
      </c>
      <c r="O593" s="98">
        <f t="shared" si="678"/>
        <v>0</v>
      </c>
      <c r="P593" s="98">
        <f t="shared" si="678"/>
        <v>0</v>
      </c>
      <c r="Q593" s="98">
        <f t="shared" si="678"/>
        <v>0</v>
      </c>
      <c r="R593" s="98">
        <f t="shared" si="678"/>
        <v>0</v>
      </c>
      <c r="S593" s="98">
        <f t="shared" si="678"/>
        <v>0</v>
      </c>
      <c r="T593" s="98">
        <f>SUM(N593:S593)</f>
        <v>0</v>
      </c>
      <c r="U593" s="98">
        <f>T593+L593</f>
        <v>0</v>
      </c>
      <c r="V593" s="98">
        <f>V588</f>
        <v>0</v>
      </c>
      <c r="W593" s="109">
        <f>V593-U593</f>
        <v>0</v>
      </c>
      <c r="X593" s="63">
        <f>U588-U593</f>
        <v>0</v>
      </c>
    </row>
    <row r="594" spans="1:28" s="43" customFormat="1" ht="17.100000000000001" hidden="1" customHeight="1">
      <c r="A594" s="614"/>
      <c r="B594" s="581"/>
      <c r="C594" s="581"/>
      <c r="D594" s="202" t="str">
        <f>серпень!D517</f>
        <v>план</v>
      </c>
      <c r="E594" s="100"/>
      <c r="F594" s="100">
        <f t="shared" ref="F594:K594" si="679">F588</f>
        <v>0</v>
      </c>
      <c r="G594" s="100">
        <f t="shared" si="679"/>
        <v>0</v>
      </c>
      <c r="H594" s="100">
        <f t="shared" si="679"/>
        <v>0</v>
      </c>
      <c r="I594" s="100">
        <f t="shared" si="679"/>
        <v>0</v>
      </c>
      <c r="J594" s="100">
        <f t="shared" si="679"/>
        <v>0</v>
      </c>
      <c r="K594" s="100">
        <f t="shared" si="679"/>
        <v>0</v>
      </c>
      <c r="L594" s="100">
        <f>SUM(F594:K594)</f>
        <v>0</v>
      </c>
      <c r="M594" s="100">
        <f>L594/6</f>
        <v>0</v>
      </c>
      <c r="N594" s="100">
        <f t="shared" ref="N594:S594" si="680">N588+N587</f>
        <v>0</v>
      </c>
      <c r="O594" s="100">
        <f t="shared" si="680"/>
        <v>0</v>
      </c>
      <c r="P594" s="100">
        <f t="shared" si="680"/>
        <v>0</v>
      </c>
      <c r="Q594" s="100">
        <f t="shared" si="680"/>
        <v>0</v>
      </c>
      <c r="R594" s="100">
        <f t="shared" si="680"/>
        <v>0</v>
      </c>
      <c r="S594" s="100">
        <f t="shared" si="680"/>
        <v>0</v>
      </c>
      <c r="T594" s="100">
        <f>SUM(N594:S594)</f>
        <v>0</v>
      </c>
      <c r="U594" s="100">
        <f>T594+L594</f>
        <v>0</v>
      </c>
      <c r="V594" s="100">
        <f>V591</f>
        <v>0</v>
      </c>
      <c r="W594" s="100">
        <f>V594-U594</f>
        <v>0</v>
      </c>
    </row>
    <row r="595" spans="1:28" s="43" customFormat="1" ht="17.100000000000001" hidden="1" customHeight="1">
      <c r="A595" s="614"/>
      <c r="B595" s="581"/>
      <c r="C595" s="581"/>
      <c r="D595" s="202" t="str">
        <f>серпень!D518</f>
        <v xml:space="preserve">відхилення </v>
      </c>
      <c r="E595" s="100"/>
      <c r="F595" s="100">
        <f t="shared" ref="F595:K595" si="681">F591-F594</f>
        <v>0</v>
      </c>
      <c r="G595" s="100">
        <f t="shared" si="681"/>
        <v>0</v>
      </c>
      <c r="H595" s="100">
        <f t="shared" si="681"/>
        <v>0</v>
      </c>
      <c r="I595" s="100">
        <f t="shared" si="681"/>
        <v>0</v>
      </c>
      <c r="J595" s="100">
        <f t="shared" si="681"/>
        <v>0</v>
      </c>
      <c r="K595" s="100">
        <f t="shared" si="681"/>
        <v>0</v>
      </c>
      <c r="L595" s="100"/>
      <c r="M595" s="100"/>
      <c r="N595" s="100">
        <f t="shared" ref="N595:S595" si="682">N591-N594</f>
        <v>0</v>
      </c>
      <c r="O595" s="100">
        <f t="shared" si="682"/>
        <v>0</v>
      </c>
      <c r="P595" s="100">
        <f t="shared" si="682"/>
        <v>0</v>
      </c>
      <c r="Q595" s="100">
        <f t="shared" si="682"/>
        <v>0</v>
      </c>
      <c r="R595" s="100">
        <f t="shared" si="682"/>
        <v>0</v>
      </c>
      <c r="S595" s="100">
        <f t="shared" si="682"/>
        <v>0</v>
      </c>
      <c r="T595" s="100"/>
      <c r="U595" s="100"/>
      <c r="V595" s="100"/>
      <c r="W595" s="100"/>
    </row>
    <row r="596" spans="1:28" s="43" customFormat="1" ht="17.100000000000001" hidden="1" customHeight="1">
      <c r="A596" s="614"/>
      <c r="B596" s="581"/>
      <c r="C596" s="581"/>
      <c r="D596" s="202" t="str">
        <f>серпень!D519</f>
        <v>відхилення з наростаючим</v>
      </c>
      <c r="E596" s="100"/>
      <c r="F596" s="100">
        <f>F595</f>
        <v>0</v>
      </c>
      <c r="G596" s="100">
        <f>G595+F596</f>
        <v>0</v>
      </c>
      <c r="H596" s="100">
        <f>H595+G596</f>
        <v>0</v>
      </c>
      <c r="I596" s="100">
        <f>I595+H596</f>
        <v>0</v>
      </c>
      <c r="J596" s="100">
        <f>J595+I596</f>
        <v>0</v>
      </c>
      <c r="K596" s="100">
        <f>K595+J596</f>
        <v>0</v>
      </c>
      <c r="L596" s="100"/>
      <c r="M596" s="100"/>
      <c r="N596" s="100">
        <f>N595+K596</f>
        <v>0</v>
      </c>
      <c r="O596" s="100">
        <f>O595+N596</f>
        <v>0</v>
      </c>
      <c r="P596" s="100">
        <f>P595+O596</f>
        <v>0</v>
      </c>
      <c r="Q596" s="100">
        <f>Q595+P596</f>
        <v>0</v>
      </c>
      <c r="R596" s="100">
        <f>R595+Q596</f>
        <v>0</v>
      </c>
      <c r="S596" s="100">
        <f>S595+R596</f>
        <v>0</v>
      </c>
      <c r="T596" s="100"/>
      <c r="U596" s="100"/>
      <c r="V596" s="100"/>
      <c r="W596" s="100"/>
    </row>
    <row r="597" spans="1:28" s="55" customFormat="1" ht="18.350000000000001" hidden="1" customHeight="1">
      <c r="A597" s="614"/>
      <c r="B597" s="581" t="s">
        <v>64</v>
      </c>
      <c r="C597" s="581"/>
      <c r="D597" s="178" t="str">
        <f>серпень!D520</f>
        <v>факт. нат.п-ки 2023</v>
      </c>
      <c r="E597" s="85"/>
      <c r="F597" s="82"/>
      <c r="G597" s="82"/>
      <c r="H597" s="82"/>
      <c r="I597" s="82"/>
      <c r="J597" s="82"/>
      <c r="K597" s="82"/>
      <c r="L597" s="498">
        <f>SUM(F597:K597)</f>
        <v>0</v>
      </c>
      <c r="M597" s="498">
        <f>L597/6</f>
        <v>0</v>
      </c>
      <c r="N597" s="82"/>
      <c r="O597" s="82"/>
      <c r="P597" s="82"/>
      <c r="Q597" s="82"/>
      <c r="R597" s="82"/>
      <c r="S597" s="82"/>
      <c r="T597" s="498">
        <f>SUM(N597:S597)</f>
        <v>0</v>
      </c>
      <c r="U597" s="498">
        <f>T597+L597</f>
        <v>0</v>
      </c>
      <c r="V597" s="501"/>
      <c r="W597" s="88"/>
      <c r="X597" s="47"/>
      <c r="Y597" s="48"/>
      <c r="Z597" s="48"/>
      <c r="AA597" s="48"/>
      <c r="AB597" s="48"/>
    </row>
    <row r="598" spans="1:28" s="48" customFormat="1" ht="18.350000000000001" hidden="1" customHeight="1">
      <c r="A598" s="614"/>
      <c r="B598" s="581"/>
      <c r="C598" s="581"/>
      <c r="D598" s="178" t="str">
        <f>серпень!D521</f>
        <v>факт. нат.п-ки 2024</v>
      </c>
      <c r="E598" s="85"/>
      <c r="F598" s="82"/>
      <c r="G598" s="82"/>
      <c r="H598" s="82"/>
      <c r="I598" s="82"/>
      <c r="J598" s="82"/>
      <c r="K598" s="82"/>
      <c r="L598" s="498">
        <f>SUM(F598:K598)</f>
        <v>0</v>
      </c>
      <c r="M598" s="498">
        <f>L598/6</f>
        <v>0</v>
      </c>
      <c r="N598" s="494"/>
      <c r="O598" s="494"/>
      <c r="P598" s="494"/>
      <c r="Q598" s="494"/>
      <c r="R598" s="494"/>
      <c r="S598" s="494"/>
      <c r="T598" s="498">
        <f>SUM(N598:S598)</f>
        <v>0</v>
      </c>
      <c r="U598" s="498">
        <f>T598+L598</f>
        <v>0</v>
      </c>
      <c r="V598" s="501"/>
      <c r="W598" s="88"/>
      <c r="X598" s="47"/>
    </row>
    <row r="599" spans="1:28" s="48" customFormat="1" ht="18.350000000000001" hidden="1" customHeight="1">
      <c r="A599" s="614"/>
      <c r="B599" s="581"/>
      <c r="C599" s="581"/>
      <c r="D599" s="178" t="str">
        <f>серпень!D522</f>
        <v>факт. нат.п-ки 2025</v>
      </c>
      <c r="E599" s="85"/>
      <c r="F599" s="82"/>
      <c r="G599" s="82"/>
      <c r="H599" s="82"/>
      <c r="I599" s="82"/>
      <c r="J599" s="82"/>
      <c r="K599" s="82"/>
      <c r="L599" s="498">
        <f>SUM(F599:K599)</f>
        <v>0</v>
      </c>
      <c r="M599" s="498">
        <f>L599/6</f>
        <v>0</v>
      </c>
      <c r="N599" s="82"/>
      <c r="O599" s="82"/>
      <c r="P599" s="82"/>
      <c r="Q599" s="82"/>
      <c r="R599" s="82"/>
      <c r="S599" s="494"/>
      <c r="T599" s="498">
        <f>SUM(N599:S599)</f>
        <v>0</v>
      </c>
      <c r="U599" s="498">
        <f>T599+L599</f>
        <v>0</v>
      </c>
      <c r="V599" s="494"/>
      <c r="W599" s="88">
        <f>V599-U599</f>
        <v>0</v>
      </c>
      <c r="X599" s="47"/>
    </row>
    <row r="600" spans="1:28" s="51" customFormat="1" ht="18.350000000000001" hidden="1" customHeight="1">
      <c r="A600" s="614"/>
      <c r="B600" s="581"/>
      <c r="C600" s="581"/>
      <c r="D600" s="187" t="str">
        <f>серпень!D523</f>
        <v>тариф, грн.</v>
      </c>
      <c r="E600" s="92" t="e">
        <f>E601/E599*1000</f>
        <v>#DIV/0!</v>
      </c>
      <c r="F600" s="92" t="e">
        <f>F601/F599*1000</f>
        <v>#DIV/0!</v>
      </c>
      <c r="G600" s="92">
        <v>227.36699999999999</v>
      </c>
      <c r="H600" s="92">
        <v>227.36699999999999</v>
      </c>
      <c r="I600" s="92">
        <v>227.36699999999999</v>
      </c>
      <c r="J600" s="92">
        <v>227.36699999999999</v>
      </c>
      <c r="K600" s="92">
        <v>227.36699999999999</v>
      </c>
      <c r="L600" s="105" t="e">
        <f>L601/L599*1000</f>
        <v>#DIV/0!</v>
      </c>
      <c r="M600" s="105" t="e">
        <f>M601/M599*1000</f>
        <v>#DIV/0!</v>
      </c>
      <c r="N600" s="92">
        <v>227.36699999999999</v>
      </c>
      <c r="O600" s="92">
        <v>227.36699999999999</v>
      </c>
      <c r="P600" s="92">
        <v>227.36699999999999</v>
      </c>
      <c r="Q600" s="92">
        <v>227.36699999999999</v>
      </c>
      <c r="R600" s="92">
        <v>227.36699999999999</v>
      </c>
      <c r="S600" s="92">
        <v>227.36699999999999</v>
      </c>
      <c r="T600" s="105" t="e">
        <f>T601/T599*1000</f>
        <v>#DIV/0!</v>
      </c>
      <c r="U600" s="105" t="e">
        <f>U601/U599*1000</f>
        <v>#DIV/0!</v>
      </c>
      <c r="V600" s="105" t="e">
        <f>V601/V599*1000</f>
        <v>#DIV/0!</v>
      </c>
      <c r="W600" s="86" t="e">
        <f>W601/W599*1000</f>
        <v>#DIV/0!</v>
      </c>
      <c r="X600" s="59"/>
    </row>
    <row r="601" spans="1:28" s="130" customFormat="1" ht="18.350000000000001" hidden="1" customHeight="1">
      <c r="A601" s="614"/>
      <c r="B601" s="581"/>
      <c r="C601" s="581"/>
      <c r="D601" s="191" t="str">
        <f>серпень!D524</f>
        <v>сума, тис.грн.</v>
      </c>
      <c r="E601" s="93"/>
      <c r="F601" s="93">
        <v>0</v>
      </c>
      <c r="G601" s="93">
        <f t="shared" ref="G601:K601" si="683">G599*G600/1000</f>
        <v>0</v>
      </c>
      <c r="H601" s="93">
        <f t="shared" si="683"/>
        <v>0</v>
      </c>
      <c r="I601" s="93">
        <f t="shared" si="683"/>
        <v>0</v>
      </c>
      <c r="J601" s="93">
        <f t="shared" si="683"/>
        <v>0</v>
      </c>
      <c r="K601" s="93">
        <f t="shared" si="683"/>
        <v>0</v>
      </c>
      <c r="L601" s="106">
        <f>SUM(F601:K601)</f>
        <v>0</v>
      </c>
      <c r="M601" s="106">
        <f>L601/6</f>
        <v>0</v>
      </c>
      <c r="N601" s="93">
        <f t="shared" ref="N601:S601" si="684">N599*N600/1000</f>
        <v>0</v>
      </c>
      <c r="O601" s="93">
        <f t="shared" si="684"/>
        <v>0</v>
      </c>
      <c r="P601" s="93">
        <f t="shared" si="684"/>
        <v>0</v>
      </c>
      <c r="Q601" s="93">
        <f t="shared" si="684"/>
        <v>0</v>
      </c>
      <c r="R601" s="93">
        <f t="shared" si="684"/>
        <v>0</v>
      </c>
      <c r="S601" s="93">
        <f t="shared" si="684"/>
        <v>0</v>
      </c>
      <c r="T601" s="106">
        <f>SUM(N601:S601)</f>
        <v>0</v>
      </c>
      <c r="U601" s="106">
        <f>T601+L601</f>
        <v>0</v>
      </c>
      <c r="V601" s="107">
        <f>V602+V603</f>
        <v>0</v>
      </c>
      <c r="W601" s="94">
        <f>V601-U601</f>
        <v>0</v>
      </c>
    </row>
    <row r="602" spans="1:28" s="130" customFormat="1" ht="18.350000000000001" hidden="1" customHeight="1">
      <c r="A602" s="614"/>
      <c r="B602" s="581"/>
      <c r="C602" s="581"/>
      <c r="D602" s="174" t="str">
        <f>серпень!D525</f>
        <v>дотація</v>
      </c>
      <c r="E602" s="95"/>
      <c r="F602" s="93"/>
      <c r="G602" s="93"/>
      <c r="H602" s="93"/>
      <c r="I602" s="93"/>
      <c r="J602" s="93"/>
      <c r="K602" s="93"/>
      <c r="L602" s="106">
        <f>SUM(F602:K602)</f>
        <v>0</v>
      </c>
      <c r="M602" s="106">
        <f>L602/6</f>
        <v>0</v>
      </c>
      <c r="N602" s="93"/>
      <c r="O602" s="93"/>
      <c r="P602" s="93"/>
      <c r="Q602" s="93"/>
      <c r="R602" s="93"/>
      <c r="S602" s="93"/>
      <c r="T602" s="106">
        <f>SUM(N602:S602)</f>
        <v>0</v>
      </c>
      <c r="U602" s="106">
        <f>T602+L602</f>
        <v>0</v>
      </c>
      <c r="V602" s="107">
        <v>0</v>
      </c>
      <c r="W602" s="94">
        <f>V602-U602</f>
        <v>0</v>
      </c>
    </row>
    <row r="603" spans="1:28" s="130" customFormat="1" ht="18.350000000000001" hidden="1" customHeight="1">
      <c r="A603" s="614"/>
      <c r="B603" s="581"/>
      <c r="C603" s="581"/>
      <c r="D603" s="174" t="str">
        <f>серпень!D526</f>
        <v>місцевий (план), тис.грн</v>
      </c>
      <c r="E603" s="95"/>
      <c r="F603" s="93"/>
      <c r="G603" s="93"/>
      <c r="H603" s="93"/>
      <c r="I603" s="93"/>
      <c r="J603" s="93"/>
      <c r="K603" s="93"/>
      <c r="L603" s="106">
        <f>SUM(F603:K603)</f>
        <v>0</v>
      </c>
      <c r="M603" s="106">
        <f>L603/6</f>
        <v>0</v>
      </c>
      <c r="N603" s="93"/>
      <c r="O603" s="93"/>
      <c r="P603" s="93"/>
      <c r="Q603" s="93"/>
      <c r="R603" s="93"/>
      <c r="S603" s="93"/>
      <c r="T603" s="106">
        <f>SUM(N603:S603)</f>
        <v>0</v>
      </c>
      <c r="U603" s="106">
        <f>T603+L603</f>
        <v>0</v>
      </c>
      <c r="V603" s="107">
        <v>0</v>
      </c>
      <c r="W603" s="94">
        <f>V603-U603</f>
        <v>0</v>
      </c>
    </row>
    <row r="604" spans="1:28" s="48" customFormat="1" ht="18.350000000000001" hidden="1" customHeight="1">
      <c r="A604" s="614"/>
      <c r="B604" s="581"/>
      <c r="C604" s="581"/>
      <c r="D604" s="178" t="str">
        <f>серпень!D527</f>
        <v>касові нат.п-ки 2025</v>
      </c>
      <c r="E604" s="85"/>
      <c r="F604" s="502"/>
      <c r="G604" s="502"/>
      <c r="H604" s="502"/>
      <c r="I604" s="502"/>
      <c r="J604" s="502"/>
      <c r="K604" s="502"/>
      <c r="L604" s="503">
        <f>SUM(F604:K604)</f>
        <v>0</v>
      </c>
      <c r="M604" s="503">
        <f>L604/6</f>
        <v>0</v>
      </c>
      <c r="N604" s="502"/>
      <c r="O604" s="502"/>
      <c r="P604" s="502"/>
      <c r="Q604" s="502"/>
      <c r="R604" s="502"/>
      <c r="S604" s="502"/>
      <c r="T604" s="503">
        <f>SUM(N604:S604)</f>
        <v>0</v>
      </c>
      <c r="U604" s="503">
        <f>T604+L604</f>
        <v>0</v>
      </c>
      <c r="V604" s="502">
        <f>V599</f>
        <v>0</v>
      </c>
      <c r="W604" s="88">
        <f>V604-U604</f>
        <v>0</v>
      </c>
      <c r="X604" s="47">
        <f>U599-U604</f>
        <v>0</v>
      </c>
    </row>
    <row r="605" spans="1:28" s="51" customFormat="1" ht="18.350000000000001" hidden="1" customHeight="1">
      <c r="A605" s="614"/>
      <c r="B605" s="581"/>
      <c r="C605" s="581"/>
      <c r="D605" s="187" t="str">
        <f>серпень!D528</f>
        <v>тариф, грн.</v>
      </c>
      <c r="E605" s="92" t="e">
        <f>E606/E604*1000</f>
        <v>#DIV/0!</v>
      </c>
      <c r="F605" s="92" t="e">
        <f>F606/F604*1000</f>
        <v>#DIV/0!</v>
      </c>
      <c r="G605" s="92">
        <v>227.36699999999999</v>
      </c>
      <c r="H605" s="92">
        <v>227.36699999999999</v>
      </c>
      <c r="I605" s="92">
        <v>227.36699999999999</v>
      </c>
      <c r="J605" s="92">
        <v>227.36699999999999</v>
      </c>
      <c r="K605" s="92">
        <v>227.36699999999999</v>
      </c>
      <c r="L605" s="105" t="e">
        <f>L606/L604*1000</f>
        <v>#DIV/0!</v>
      </c>
      <c r="M605" s="105" t="e">
        <f>M606/M604*1000</f>
        <v>#DIV/0!</v>
      </c>
      <c r="N605" s="92">
        <v>227.36699999999999</v>
      </c>
      <c r="O605" s="92">
        <v>227.36699999999999</v>
      </c>
      <c r="P605" s="92">
        <v>227.36699999999999</v>
      </c>
      <c r="Q605" s="92">
        <v>227.36699999999999</v>
      </c>
      <c r="R605" s="92">
        <v>227.36699999999999</v>
      </c>
      <c r="S605" s="92">
        <v>227.36699999999999</v>
      </c>
      <c r="T605" s="105" t="e">
        <f>T606/T604*1000</f>
        <v>#DIV/0!</v>
      </c>
      <c r="U605" s="105" t="e">
        <f>U606/U604*1000</f>
        <v>#DIV/0!</v>
      </c>
      <c r="V605" s="105" t="e">
        <f>V606/V604*1000</f>
        <v>#DIV/0!</v>
      </c>
      <c r="W605" s="86" t="e">
        <f>W606/W604*1000</f>
        <v>#DIV/0!</v>
      </c>
      <c r="X605" s="59"/>
    </row>
    <row r="606" spans="1:28" s="126" customFormat="1" ht="18.350000000000001" hidden="1" customHeight="1">
      <c r="A606" s="614"/>
      <c r="B606" s="581"/>
      <c r="C606" s="581"/>
      <c r="D606" s="198" t="str">
        <f>серпень!D529</f>
        <v>касові видатки, тис.грн.</v>
      </c>
      <c r="E606" s="108"/>
      <c r="F606" s="98">
        <v>0</v>
      </c>
      <c r="G606" s="98">
        <f t="shared" ref="G606:K606" si="685">G604*G605/1000</f>
        <v>0</v>
      </c>
      <c r="H606" s="98">
        <f t="shared" si="685"/>
        <v>0</v>
      </c>
      <c r="I606" s="98">
        <f t="shared" si="685"/>
        <v>0</v>
      </c>
      <c r="J606" s="98">
        <f t="shared" si="685"/>
        <v>0</v>
      </c>
      <c r="K606" s="98">
        <f t="shared" si="685"/>
        <v>0</v>
      </c>
      <c r="L606" s="98">
        <f>SUM(F606:K606)</f>
        <v>0</v>
      </c>
      <c r="M606" s="98">
        <f>L606/6</f>
        <v>0</v>
      </c>
      <c r="N606" s="98">
        <f t="shared" ref="N606:S606" si="686">N604*N605/1000</f>
        <v>0</v>
      </c>
      <c r="O606" s="98">
        <f t="shared" si="686"/>
        <v>0</v>
      </c>
      <c r="P606" s="98">
        <f t="shared" si="686"/>
        <v>0</v>
      </c>
      <c r="Q606" s="98">
        <f t="shared" si="686"/>
        <v>0</v>
      </c>
      <c r="R606" s="98">
        <f t="shared" si="686"/>
        <v>0</v>
      </c>
      <c r="S606" s="98">
        <f t="shared" si="686"/>
        <v>0</v>
      </c>
      <c r="T606" s="98">
        <f>SUM(N606:S606)</f>
        <v>0</v>
      </c>
      <c r="U606" s="98">
        <f>T606+L606</f>
        <v>0</v>
      </c>
      <c r="V606" s="98">
        <f>V601</f>
        <v>0</v>
      </c>
      <c r="W606" s="109">
        <f>V606-U606</f>
        <v>0</v>
      </c>
      <c r="X606" s="63">
        <f>U601-U606</f>
        <v>0</v>
      </c>
    </row>
    <row r="607" spans="1:28" s="126" customFormat="1" ht="18.350000000000001" hidden="1" customHeight="1">
      <c r="A607" s="614"/>
      <c r="B607" s="581"/>
      <c r="C607" s="581"/>
      <c r="D607" s="201" t="str">
        <f>серпень!D530</f>
        <v>дотація</v>
      </c>
      <c r="E607" s="108"/>
      <c r="F607" s="98">
        <v>0</v>
      </c>
      <c r="G607" s="98">
        <v>0</v>
      </c>
      <c r="H607" s="98">
        <v>0</v>
      </c>
      <c r="I607" s="98">
        <v>0</v>
      </c>
      <c r="J607" s="98">
        <v>0</v>
      </c>
      <c r="K607" s="98">
        <v>0</v>
      </c>
      <c r="L607" s="98">
        <f>SUM(F607:K607)</f>
        <v>0</v>
      </c>
      <c r="M607" s="98">
        <f>L607/6</f>
        <v>0</v>
      </c>
      <c r="N607" s="98">
        <v>0</v>
      </c>
      <c r="O607" s="98">
        <v>0</v>
      </c>
      <c r="P607" s="98">
        <v>0</v>
      </c>
      <c r="Q607" s="98">
        <v>0</v>
      </c>
      <c r="R607" s="98">
        <v>0</v>
      </c>
      <c r="S607" s="98">
        <v>0</v>
      </c>
      <c r="T607" s="98">
        <f>SUM(N607:S607)</f>
        <v>0</v>
      </c>
      <c r="U607" s="98">
        <f>T607+L607</f>
        <v>0</v>
      </c>
      <c r="V607" s="98">
        <f>V602</f>
        <v>0</v>
      </c>
      <c r="W607" s="109">
        <f>V607-U607</f>
        <v>0</v>
      </c>
      <c r="X607" s="63"/>
    </row>
    <row r="608" spans="1:28" s="126" customFormat="1" ht="18.350000000000001" hidden="1" customHeight="1">
      <c r="A608" s="614"/>
      <c r="B608" s="581"/>
      <c r="C608" s="581"/>
      <c r="D608" s="201" t="str">
        <f>серпень!D531</f>
        <v xml:space="preserve">місцевий </v>
      </c>
      <c r="E608" s="108"/>
      <c r="F608" s="98">
        <f t="shared" ref="F608:K608" si="687">F606-F607</f>
        <v>0</v>
      </c>
      <c r="G608" s="98">
        <f t="shared" si="687"/>
        <v>0</v>
      </c>
      <c r="H608" s="98">
        <f t="shared" si="687"/>
        <v>0</v>
      </c>
      <c r="I608" s="98">
        <f t="shared" si="687"/>
        <v>0</v>
      </c>
      <c r="J608" s="98">
        <f t="shared" si="687"/>
        <v>0</v>
      </c>
      <c r="K608" s="98">
        <f t="shared" si="687"/>
        <v>0</v>
      </c>
      <c r="L608" s="98">
        <f>SUM(F608:K608)</f>
        <v>0</v>
      </c>
      <c r="M608" s="98">
        <f>L608/6</f>
        <v>0</v>
      </c>
      <c r="N608" s="98">
        <f t="shared" ref="N608:S608" si="688">N606-N607</f>
        <v>0</v>
      </c>
      <c r="O608" s="98">
        <f t="shared" si="688"/>
        <v>0</v>
      </c>
      <c r="P608" s="98">
        <f t="shared" si="688"/>
        <v>0</v>
      </c>
      <c r="Q608" s="98">
        <f t="shared" si="688"/>
        <v>0</v>
      </c>
      <c r="R608" s="98">
        <f t="shared" si="688"/>
        <v>0</v>
      </c>
      <c r="S608" s="98">
        <f t="shared" si="688"/>
        <v>0</v>
      </c>
      <c r="T608" s="98">
        <f>SUM(N608:S608)</f>
        <v>0</v>
      </c>
      <c r="U608" s="98">
        <f>T608+L608</f>
        <v>0</v>
      </c>
      <c r="V608" s="98">
        <f>V603</f>
        <v>0</v>
      </c>
      <c r="W608" s="109">
        <f>V608-U608</f>
        <v>0</v>
      </c>
      <c r="X608" s="63">
        <f>U603-U608</f>
        <v>0</v>
      </c>
    </row>
    <row r="609" spans="1:28" s="43" customFormat="1" ht="18.350000000000001" hidden="1" customHeight="1">
      <c r="A609" s="614"/>
      <c r="B609" s="581"/>
      <c r="C609" s="581"/>
      <c r="D609" s="202" t="str">
        <f>серпень!D532</f>
        <v>план</v>
      </c>
      <c r="E609" s="100"/>
      <c r="F609" s="100">
        <f t="shared" ref="F609:K609" si="689">F603</f>
        <v>0</v>
      </c>
      <c r="G609" s="100">
        <f t="shared" si="689"/>
        <v>0</v>
      </c>
      <c r="H609" s="100">
        <f t="shared" si="689"/>
        <v>0</v>
      </c>
      <c r="I609" s="100">
        <f t="shared" si="689"/>
        <v>0</v>
      </c>
      <c r="J609" s="100">
        <f t="shared" si="689"/>
        <v>0</v>
      </c>
      <c r="K609" s="100">
        <f t="shared" si="689"/>
        <v>0</v>
      </c>
      <c r="L609" s="100">
        <f>SUM(F609:K609)</f>
        <v>0</v>
      </c>
      <c r="M609" s="100">
        <f>L609/6</f>
        <v>0</v>
      </c>
      <c r="N609" s="100">
        <f t="shared" ref="N609:S609" si="690">N603+N602</f>
        <v>0</v>
      </c>
      <c r="O609" s="100">
        <f t="shared" si="690"/>
        <v>0</v>
      </c>
      <c r="P609" s="100">
        <f t="shared" si="690"/>
        <v>0</v>
      </c>
      <c r="Q609" s="100">
        <f t="shared" si="690"/>
        <v>0</v>
      </c>
      <c r="R609" s="100">
        <f t="shared" si="690"/>
        <v>0</v>
      </c>
      <c r="S609" s="100">
        <f t="shared" si="690"/>
        <v>0</v>
      </c>
      <c r="T609" s="100">
        <f>SUM(N609:S609)</f>
        <v>0</v>
      </c>
      <c r="U609" s="100">
        <f>T609+L609</f>
        <v>0</v>
      </c>
      <c r="V609" s="100">
        <f>V606</f>
        <v>0</v>
      </c>
      <c r="W609" s="100">
        <f>V609-U609</f>
        <v>0</v>
      </c>
    </row>
    <row r="610" spans="1:28" s="43" customFormat="1" ht="18.350000000000001" hidden="1" customHeight="1">
      <c r="A610" s="614"/>
      <c r="B610" s="581"/>
      <c r="C610" s="581"/>
      <c r="D610" s="202" t="str">
        <f>серпень!D533</f>
        <v xml:space="preserve">відхилення </v>
      </c>
      <c r="E610" s="100"/>
      <c r="F610" s="100">
        <f t="shared" ref="F610:K610" si="691">F606-F609</f>
        <v>0</v>
      </c>
      <c r="G610" s="100">
        <f t="shared" si="691"/>
        <v>0</v>
      </c>
      <c r="H610" s="100">
        <f t="shared" si="691"/>
        <v>0</v>
      </c>
      <c r="I610" s="100">
        <f t="shared" si="691"/>
        <v>0</v>
      </c>
      <c r="J610" s="100">
        <f t="shared" si="691"/>
        <v>0</v>
      </c>
      <c r="K610" s="100">
        <f t="shared" si="691"/>
        <v>0</v>
      </c>
      <c r="L610" s="100"/>
      <c r="M610" s="100"/>
      <c r="N610" s="100">
        <f t="shared" ref="N610:S610" si="692">N606-N609</f>
        <v>0</v>
      </c>
      <c r="O610" s="100">
        <f t="shared" si="692"/>
        <v>0</v>
      </c>
      <c r="P610" s="100">
        <f t="shared" si="692"/>
        <v>0</v>
      </c>
      <c r="Q610" s="100">
        <f t="shared" si="692"/>
        <v>0</v>
      </c>
      <c r="R610" s="100">
        <f t="shared" si="692"/>
        <v>0</v>
      </c>
      <c r="S610" s="100">
        <f t="shared" si="692"/>
        <v>0</v>
      </c>
      <c r="T610" s="100"/>
      <c r="U610" s="100"/>
      <c r="V610" s="100"/>
      <c r="W610" s="100"/>
    </row>
    <row r="611" spans="1:28" s="43" customFormat="1" ht="18.350000000000001" hidden="1" customHeight="1">
      <c r="A611" s="614"/>
      <c r="B611" s="581"/>
      <c r="C611" s="581"/>
      <c r="D611" s="202" t="str">
        <f>серпень!D534</f>
        <v>відхилення з наростаючим</v>
      </c>
      <c r="E611" s="100"/>
      <c r="F611" s="100">
        <f>F610</f>
        <v>0</v>
      </c>
      <c r="G611" s="100">
        <f>G610+F611</f>
        <v>0</v>
      </c>
      <c r="H611" s="100">
        <f>H610+G611</f>
        <v>0</v>
      </c>
      <c r="I611" s="100">
        <f>I610+H611</f>
        <v>0</v>
      </c>
      <c r="J611" s="100">
        <f>J610+I611</f>
        <v>0</v>
      </c>
      <c r="K611" s="100">
        <f>K610+J611</f>
        <v>0</v>
      </c>
      <c r="L611" s="100"/>
      <c r="M611" s="100"/>
      <c r="N611" s="100">
        <f>N610+K611</f>
        <v>0</v>
      </c>
      <c r="O611" s="100">
        <f>O610+N611</f>
        <v>0</v>
      </c>
      <c r="P611" s="100">
        <f>P610+O611</f>
        <v>0</v>
      </c>
      <c r="Q611" s="100">
        <f>Q610+P611</f>
        <v>0</v>
      </c>
      <c r="R611" s="100">
        <f>R610+Q611</f>
        <v>0</v>
      </c>
      <c r="S611" s="100">
        <f>S610+R611</f>
        <v>0</v>
      </c>
      <c r="T611" s="100"/>
      <c r="U611" s="100"/>
      <c r="V611" s="100"/>
      <c r="W611" s="100"/>
    </row>
    <row r="612" spans="1:28" s="55" customFormat="1" ht="18.350000000000001" hidden="1" customHeight="1">
      <c r="A612" s="614"/>
      <c r="B612" s="654" t="s">
        <v>128</v>
      </c>
      <c r="C612" s="581"/>
      <c r="D612" s="178" t="str">
        <f>серпень!D535</f>
        <v>факт. нат.п-ки 2023</v>
      </c>
      <c r="E612" s="85"/>
      <c r="F612" s="82"/>
      <c r="G612" s="82"/>
      <c r="H612" s="82"/>
      <c r="I612" s="82"/>
      <c r="J612" s="82"/>
      <c r="K612" s="82"/>
      <c r="L612" s="498">
        <f>SUM(F612:K612)</f>
        <v>0</v>
      </c>
      <c r="M612" s="498">
        <f>L612/6</f>
        <v>0</v>
      </c>
      <c r="N612" s="82"/>
      <c r="O612" s="82"/>
      <c r="P612" s="82"/>
      <c r="Q612" s="82"/>
      <c r="R612" s="82"/>
      <c r="S612" s="82"/>
      <c r="T612" s="498">
        <f>SUM(N612:S612)</f>
        <v>0</v>
      </c>
      <c r="U612" s="498">
        <f>T612+L612</f>
        <v>0</v>
      </c>
      <c r="V612" s="501"/>
      <c r="W612" s="88"/>
      <c r="X612" s="47"/>
      <c r="Y612" s="48"/>
      <c r="Z612" s="48"/>
      <c r="AA612" s="48"/>
      <c r="AB612" s="48"/>
    </row>
    <row r="613" spans="1:28" s="48" customFormat="1" ht="18.350000000000001" hidden="1" customHeight="1">
      <c r="A613" s="614"/>
      <c r="B613" s="581"/>
      <c r="C613" s="581"/>
      <c r="D613" s="178" t="str">
        <f>серпень!D536</f>
        <v>факт. нат.п-ки 2024</v>
      </c>
      <c r="E613" s="85"/>
      <c r="F613" s="82"/>
      <c r="G613" s="82"/>
      <c r="H613" s="82"/>
      <c r="I613" s="82"/>
      <c r="J613" s="82"/>
      <c r="K613" s="82"/>
      <c r="L613" s="498">
        <f>SUM(F613:K613)</f>
        <v>0</v>
      </c>
      <c r="M613" s="498">
        <f>L613/6</f>
        <v>0</v>
      </c>
      <c r="N613" s="494"/>
      <c r="O613" s="494"/>
      <c r="P613" s="494"/>
      <c r="Q613" s="494"/>
      <c r="R613" s="494"/>
      <c r="S613" s="494"/>
      <c r="T613" s="498">
        <f>SUM(N613:S613)</f>
        <v>0</v>
      </c>
      <c r="U613" s="498">
        <f>T613+L613</f>
        <v>0</v>
      </c>
      <c r="V613" s="501"/>
      <c r="W613" s="88"/>
      <c r="X613" s="47"/>
    </row>
    <row r="614" spans="1:28" s="48" customFormat="1" ht="18.350000000000001" hidden="1" customHeight="1">
      <c r="A614" s="614"/>
      <c r="B614" s="581"/>
      <c r="C614" s="581"/>
      <c r="D614" s="178" t="str">
        <f>серпень!D537</f>
        <v>факт. нат.п-ки 2025</v>
      </c>
      <c r="E614" s="85"/>
      <c r="F614" s="82"/>
      <c r="G614" s="82"/>
      <c r="H614" s="82"/>
      <c r="I614" s="82"/>
      <c r="J614" s="82"/>
      <c r="K614" s="82"/>
      <c r="L614" s="498">
        <f>SUM(F614:K614)</f>
        <v>0</v>
      </c>
      <c r="M614" s="498">
        <f>L614/6</f>
        <v>0</v>
      </c>
      <c r="N614" s="82"/>
      <c r="O614" s="82"/>
      <c r="P614" s="82"/>
      <c r="Q614" s="82"/>
      <c r="R614" s="82"/>
      <c r="S614" s="494"/>
      <c r="T614" s="498">
        <f>SUM(N614:S614)</f>
        <v>0</v>
      </c>
      <c r="U614" s="498">
        <f>T614+L614</f>
        <v>0</v>
      </c>
      <c r="V614" s="494"/>
      <c r="W614" s="88">
        <f>V614-U614</f>
        <v>0</v>
      </c>
      <c r="X614" s="47"/>
    </row>
    <row r="615" spans="1:28" s="51" customFormat="1" ht="18.350000000000001" hidden="1" customHeight="1">
      <c r="A615" s="614"/>
      <c r="B615" s="581"/>
      <c r="C615" s="581"/>
      <c r="D615" s="187" t="str">
        <f>серпень!D538</f>
        <v>тариф, грн.</v>
      </c>
      <c r="E615" s="92" t="e">
        <f>E616/E614*1000</f>
        <v>#DIV/0!</v>
      </c>
      <c r="F615" s="92" t="e">
        <f>F616/F614*1000</f>
        <v>#DIV/0!</v>
      </c>
      <c r="G615" s="92">
        <v>2.1</v>
      </c>
      <c r="H615" s="92">
        <v>2.1</v>
      </c>
      <c r="I615" s="92">
        <v>2.1</v>
      </c>
      <c r="J615" s="92">
        <v>2.1</v>
      </c>
      <c r="K615" s="92">
        <v>2.1</v>
      </c>
      <c r="L615" s="105" t="e">
        <f>L616/L614*1000</f>
        <v>#DIV/0!</v>
      </c>
      <c r="M615" s="105" t="e">
        <f>M616/M614*1000</f>
        <v>#DIV/0!</v>
      </c>
      <c r="N615" s="92">
        <v>2.1</v>
      </c>
      <c r="O615" s="92">
        <v>2.1</v>
      </c>
      <c r="P615" s="92">
        <v>2.1</v>
      </c>
      <c r="Q615" s="92">
        <v>2.1</v>
      </c>
      <c r="R615" s="92">
        <v>2.1</v>
      </c>
      <c r="S615" s="92">
        <v>2.1</v>
      </c>
      <c r="T615" s="105" t="e">
        <f>T616/T614*1000</f>
        <v>#DIV/0!</v>
      </c>
      <c r="U615" s="105" t="e">
        <f>U616/U614*1000</f>
        <v>#DIV/0!</v>
      </c>
      <c r="V615" s="105" t="e">
        <f>V616/V614*1000</f>
        <v>#DIV/0!</v>
      </c>
      <c r="W615" s="86" t="e">
        <f>W616/W614*1000</f>
        <v>#DIV/0!</v>
      </c>
      <c r="X615" s="59"/>
    </row>
    <row r="616" spans="1:28" s="130" customFormat="1" ht="18.350000000000001" hidden="1" customHeight="1">
      <c r="A616" s="614"/>
      <c r="B616" s="581"/>
      <c r="C616" s="581"/>
      <c r="D616" s="191" t="str">
        <f>серпень!D539</f>
        <v>сума, тис.грн.</v>
      </c>
      <c r="E616" s="93"/>
      <c r="F616" s="93">
        <v>0</v>
      </c>
      <c r="G616" s="93">
        <f t="shared" ref="G616:K616" si="693">G614/G615*1000</f>
        <v>0</v>
      </c>
      <c r="H616" s="93">
        <f t="shared" si="693"/>
        <v>0</v>
      </c>
      <c r="I616" s="93">
        <f t="shared" si="693"/>
        <v>0</v>
      </c>
      <c r="J616" s="93">
        <f t="shared" si="693"/>
        <v>0</v>
      </c>
      <c r="K616" s="93">
        <f t="shared" si="693"/>
        <v>0</v>
      </c>
      <c r="L616" s="106">
        <f>SUM(F616:K616)</f>
        <v>0</v>
      </c>
      <c r="M616" s="106">
        <f>L616/6</f>
        <v>0</v>
      </c>
      <c r="N616" s="93">
        <f>N614/N615*1000</f>
        <v>0</v>
      </c>
      <c r="O616" s="93">
        <f t="shared" ref="O616" si="694">O614/O615*1000</f>
        <v>0</v>
      </c>
      <c r="P616" s="93">
        <f t="shared" ref="P616" si="695">P614/P615*1000</f>
        <v>0</v>
      </c>
      <c r="Q616" s="93">
        <f t="shared" ref="Q616" si="696">Q614/Q615*1000</f>
        <v>0</v>
      </c>
      <c r="R616" s="93">
        <f t="shared" ref="R616" si="697">R614/R615*1000</f>
        <v>0</v>
      </c>
      <c r="S616" s="93">
        <f t="shared" ref="S616" si="698">S614/S615*1000</f>
        <v>0</v>
      </c>
      <c r="T616" s="106">
        <f>SUM(N616:S616)</f>
        <v>0</v>
      </c>
      <c r="U616" s="106">
        <f>T616+L616</f>
        <v>0</v>
      </c>
      <c r="V616" s="107">
        <f>V617+V618</f>
        <v>0</v>
      </c>
      <c r="W616" s="94">
        <f>V616-U616</f>
        <v>0</v>
      </c>
    </row>
    <row r="617" spans="1:28" s="130" customFormat="1" ht="18.350000000000001" hidden="1" customHeight="1">
      <c r="A617" s="614"/>
      <c r="B617" s="581"/>
      <c r="C617" s="581"/>
      <c r="D617" s="174" t="str">
        <f>серпень!D540</f>
        <v>дотація</v>
      </c>
      <c r="E617" s="95"/>
      <c r="F617" s="93"/>
      <c r="G617" s="93"/>
      <c r="H617" s="93"/>
      <c r="I617" s="93"/>
      <c r="J617" s="93"/>
      <c r="K617" s="93"/>
      <c r="L617" s="106">
        <f>SUM(F617:K617)</f>
        <v>0</v>
      </c>
      <c r="M617" s="106">
        <f>L617/6</f>
        <v>0</v>
      </c>
      <c r="N617" s="93"/>
      <c r="O617" s="93"/>
      <c r="P617" s="93"/>
      <c r="Q617" s="93"/>
      <c r="R617" s="93"/>
      <c r="S617" s="93"/>
      <c r="T617" s="106">
        <f>SUM(N617:S617)</f>
        <v>0</v>
      </c>
      <c r="U617" s="106">
        <f>T617+L617</f>
        <v>0</v>
      </c>
      <c r="V617" s="107">
        <v>0</v>
      </c>
      <c r="W617" s="94">
        <f>V617-U617</f>
        <v>0</v>
      </c>
    </row>
    <row r="618" spans="1:28" s="130" customFormat="1" ht="18.350000000000001" hidden="1" customHeight="1">
      <c r="A618" s="614"/>
      <c r="B618" s="581"/>
      <c r="C618" s="581"/>
      <c r="D618" s="174" t="str">
        <f>серпень!D541</f>
        <v>місцевий (план), тис.грн</v>
      </c>
      <c r="E618" s="95"/>
      <c r="F618" s="93"/>
      <c r="G618" s="93"/>
      <c r="H618" s="93"/>
      <c r="I618" s="93"/>
      <c r="J618" s="93"/>
      <c r="K618" s="93"/>
      <c r="L618" s="106">
        <f>SUM(F618:K618)</f>
        <v>0</v>
      </c>
      <c r="M618" s="106">
        <f>L618/6</f>
        <v>0</v>
      </c>
      <c r="N618" s="93"/>
      <c r="O618" s="93"/>
      <c r="P618" s="93"/>
      <c r="Q618" s="93"/>
      <c r="R618" s="93"/>
      <c r="S618" s="93"/>
      <c r="T618" s="106">
        <f>SUM(N618:S618)</f>
        <v>0</v>
      </c>
      <c r="U618" s="106">
        <f>T618+L618</f>
        <v>0</v>
      </c>
      <c r="V618" s="107">
        <v>0</v>
      </c>
      <c r="W618" s="94">
        <f>V618-U618</f>
        <v>0</v>
      </c>
    </row>
    <row r="619" spans="1:28" s="48" customFormat="1" ht="18.350000000000001" hidden="1" customHeight="1">
      <c r="A619" s="614"/>
      <c r="B619" s="581"/>
      <c r="C619" s="581"/>
      <c r="D619" s="178" t="str">
        <f>серпень!D542</f>
        <v>касові нат.п-ки 2025</v>
      </c>
      <c r="E619" s="85"/>
      <c r="F619" s="92"/>
      <c r="G619" s="92"/>
      <c r="H619" s="92"/>
      <c r="I619" s="92"/>
      <c r="J619" s="92"/>
      <c r="K619" s="92"/>
      <c r="L619" s="140">
        <f>SUM(F619:K619)</f>
        <v>0</v>
      </c>
      <c r="M619" s="140">
        <f>L619/6</f>
        <v>0</v>
      </c>
      <c r="N619" s="92"/>
      <c r="O619" s="92"/>
      <c r="P619" s="92"/>
      <c r="Q619" s="92"/>
      <c r="R619" s="92"/>
      <c r="S619" s="92"/>
      <c r="T619" s="140">
        <f>SUM(N619:S619)</f>
        <v>0</v>
      </c>
      <c r="U619" s="140">
        <f>T619+L619</f>
        <v>0</v>
      </c>
      <c r="V619" s="85">
        <f>V614</f>
        <v>0</v>
      </c>
      <c r="W619" s="88">
        <f>V619-U619</f>
        <v>0</v>
      </c>
      <c r="X619" s="47">
        <f>U614-U619</f>
        <v>0</v>
      </c>
    </row>
    <row r="620" spans="1:28" s="51" customFormat="1" ht="18.350000000000001" hidden="1" customHeight="1">
      <c r="A620" s="614"/>
      <c r="B620" s="581"/>
      <c r="C620" s="581"/>
      <c r="D620" s="187" t="str">
        <f>серпень!D543</f>
        <v>тариф, грн.</v>
      </c>
      <c r="E620" s="92" t="e">
        <f>E621/E619*1000</f>
        <v>#DIV/0!</v>
      </c>
      <c r="F620" s="92" t="e">
        <f>F621/F619*1000</f>
        <v>#DIV/0!</v>
      </c>
      <c r="G620" s="92">
        <v>2.1</v>
      </c>
      <c r="H620" s="92">
        <v>2.1</v>
      </c>
      <c r="I620" s="92">
        <v>2.1</v>
      </c>
      <c r="J620" s="92">
        <v>2.1</v>
      </c>
      <c r="K620" s="92">
        <v>2.1</v>
      </c>
      <c r="L620" s="105" t="e">
        <f>L621/L619*1000</f>
        <v>#DIV/0!</v>
      </c>
      <c r="M620" s="105" t="e">
        <f>M621/M619*1000</f>
        <v>#DIV/0!</v>
      </c>
      <c r="N620" s="92">
        <v>2.1</v>
      </c>
      <c r="O620" s="92">
        <v>2.1</v>
      </c>
      <c r="P620" s="92">
        <v>2.1</v>
      </c>
      <c r="Q620" s="92">
        <v>2.1</v>
      </c>
      <c r="R620" s="92">
        <v>2.1</v>
      </c>
      <c r="S620" s="92">
        <v>2.1</v>
      </c>
      <c r="T620" s="105" t="e">
        <f>T621/T619*1000</f>
        <v>#DIV/0!</v>
      </c>
      <c r="U620" s="105" t="e">
        <f>U621/U619*1000</f>
        <v>#DIV/0!</v>
      </c>
      <c r="V620" s="105" t="e">
        <f>V621/V619*1000</f>
        <v>#DIV/0!</v>
      </c>
      <c r="W620" s="86" t="e">
        <f>W621/W619*1000</f>
        <v>#DIV/0!</v>
      </c>
      <c r="X620" s="59"/>
    </row>
    <row r="621" spans="1:28" s="126" customFormat="1" ht="18.350000000000001" hidden="1" customHeight="1">
      <c r="A621" s="614"/>
      <c r="B621" s="581"/>
      <c r="C621" s="581"/>
      <c r="D621" s="198" t="str">
        <f>серпень!D544</f>
        <v>касові видатки, тис.грн.</v>
      </c>
      <c r="E621" s="108"/>
      <c r="F621" s="98">
        <v>0</v>
      </c>
      <c r="G621" s="98">
        <f t="shared" ref="G621:K621" si="699">G619/G620*1000</f>
        <v>0</v>
      </c>
      <c r="H621" s="98">
        <f t="shared" si="699"/>
        <v>0</v>
      </c>
      <c r="I621" s="98">
        <f t="shared" si="699"/>
        <v>0</v>
      </c>
      <c r="J621" s="98">
        <f t="shared" si="699"/>
        <v>0</v>
      </c>
      <c r="K621" s="98">
        <f t="shared" si="699"/>
        <v>0</v>
      </c>
      <c r="L621" s="98">
        <f>SUM(F621:K621)</f>
        <v>0</v>
      </c>
      <c r="M621" s="98">
        <f>L621/6</f>
        <v>0</v>
      </c>
      <c r="N621" s="98">
        <f>N619/N620*1000</f>
        <v>0</v>
      </c>
      <c r="O621" s="98">
        <f t="shared" ref="O621" si="700">O619/O620*1000</f>
        <v>0</v>
      </c>
      <c r="P621" s="98">
        <f t="shared" ref="P621" si="701">P619/P620*1000</f>
        <v>0</v>
      </c>
      <c r="Q621" s="98">
        <f t="shared" ref="Q621" si="702">Q619/Q620*1000</f>
        <v>0</v>
      </c>
      <c r="R621" s="98">
        <f t="shared" ref="R621" si="703">R619/R620*1000</f>
        <v>0</v>
      </c>
      <c r="S621" s="98">
        <f t="shared" ref="S621" si="704">S619/S620*1000</f>
        <v>0</v>
      </c>
      <c r="T621" s="98">
        <f>SUM(N621:S621)</f>
        <v>0</v>
      </c>
      <c r="U621" s="98">
        <f>T621+L621</f>
        <v>0</v>
      </c>
      <c r="V621" s="98">
        <f>V616</f>
        <v>0</v>
      </c>
      <c r="W621" s="109">
        <f>V621-U621</f>
        <v>0</v>
      </c>
      <c r="X621" s="63">
        <f>U616-U621</f>
        <v>0</v>
      </c>
    </row>
    <row r="622" spans="1:28" s="126" customFormat="1" ht="18.350000000000001" hidden="1" customHeight="1">
      <c r="A622" s="614"/>
      <c r="B622" s="581"/>
      <c r="C622" s="581"/>
      <c r="D622" s="201" t="str">
        <f>серпень!D545</f>
        <v>дотація</v>
      </c>
      <c r="E622" s="108"/>
      <c r="F622" s="98">
        <v>0</v>
      </c>
      <c r="G622" s="98">
        <v>0</v>
      </c>
      <c r="H622" s="98">
        <v>0</v>
      </c>
      <c r="I622" s="98">
        <v>0</v>
      </c>
      <c r="J622" s="98">
        <v>0</v>
      </c>
      <c r="K622" s="98">
        <v>0</v>
      </c>
      <c r="L622" s="98">
        <f>SUM(F622:K622)</f>
        <v>0</v>
      </c>
      <c r="M622" s="98">
        <f>L622/6</f>
        <v>0</v>
      </c>
      <c r="N622" s="98">
        <v>0</v>
      </c>
      <c r="O622" s="98">
        <v>0</v>
      </c>
      <c r="P622" s="98">
        <v>0</v>
      </c>
      <c r="Q622" s="98">
        <v>0</v>
      </c>
      <c r="R622" s="98">
        <v>0</v>
      </c>
      <c r="S622" s="98">
        <v>0</v>
      </c>
      <c r="T622" s="98">
        <f>SUM(N622:S622)</f>
        <v>0</v>
      </c>
      <c r="U622" s="98">
        <f>T622+L622</f>
        <v>0</v>
      </c>
      <c r="V622" s="98">
        <f>V617</f>
        <v>0</v>
      </c>
      <c r="W622" s="109">
        <f>V622-U622</f>
        <v>0</v>
      </c>
      <c r="X622" s="63"/>
    </row>
    <row r="623" spans="1:28" s="126" customFormat="1" ht="18.350000000000001" hidden="1" customHeight="1">
      <c r="A623" s="614"/>
      <c r="B623" s="581"/>
      <c r="C623" s="581"/>
      <c r="D623" s="201" t="str">
        <f>серпень!D546</f>
        <v xml:space="preserve">місцевий </v>
      </c>
      <c r="E623" s="108"/>
      <c r="F623" s="98">
        <f t="shared" ref="F623:K623" si="705">F621-F622</f>
        <v>0</v>
      </c>
      <c r="G623" s="98">
        <f t="shared" si="705"/>
        <v>0</v>
      </c>
      <c r="H623" s="98">
        <f t="shared" si="705"/>
        <v>0</v>
      </c>
      <c r="I623" s="98">
        <f t="shared" si="705"/>
        <v>0</v>
      </c>
      <c r="J623" s="98">
        <f t="shared" si="705"/>
        <v>0</v>
      </c>
      <c r="K623" s="98">
        <f t="shared" si="705"/>
        <v>0</v>
      </c>
      <c r="L623" s="98">
        <f>SUM(F623:K623)</f>
        <v>0</v>
      </c>
      <c r="M623" s="98">
        <f>L623/6</f>
        <v>0</v>
      </c>
      <c r="N623" s="98">
        <f t="shared" ref="N623:S623" si="706">N621-N622</f>
        <v>0</v>
      </c>
      <c r="O623" s="98">
        <f t="shared" si="706"/>
        <v>0</v>
      </c>
      <c r="P623" s="98">
        <f t="shared" si="706"/>
        <v>0</v>
      </c>
      <c r="Q623" s="98">
        <f t="shared" si="706"/>
        <v>0</v>
      </c>
      <c r="R623" s="98">
        <f t="shared" si="706"/>
        <v>0</v>
      </c>
      <c r="S623" s="98">
        <f t="shared" si="706"/>
        <v>0</v>
      </c>
      <c r="T623" s="98">
        <f>SUM(N623:S623)</f>
        <v>0</v>
      </c>
      <c r="U623" s="98">
        <f>T623+L623</f>
        <v>0</v>
      </c>
      <c r="V623" s="98">
        <f>V618</f>
        <v>0</v>
      </c>
      <c r="W623" s="109">
        <f>V623-U623</f>
        <v>0</v>
      </c>
      <c r="X623" s="63">
        <f>U618-U623</f>
        <v>0</v>
      </c>
    </row>
    <row r="624" spans="1:28" s="43" customFormat="1" ht="18.350000000000001" hidden="1" customHeight="1">
      <c r="A624" s="614"/>
      <c r="B624" s="581"/>
      <c r="C624" s="581"/>
      <c r="D624" s="202" t="str">
        <f>серпень!D547</f>
        <v>план</v>
      </c>
      <c r="E624" s="100"/>
      <c r="F624" s="100">
        <f t="shared" ref="F624:K624" si="707">F618</f>
        <v>0</v>
      </c>
      <c r="G624" s="100">
        <f t="shared" si="707"/>
        <v>0</v>
      </c>
      <c r="H624" s="100">
        <f t="shared" si="707"/>
        <v>0</v>
      </c>
      <c r="I624" s="100">
        <f t="shared" si="707"/>
        <v>0</v>
      </c>
      <c r="J624" s="100">
        <f t="shared" si="707"/>
        <v>0</v>
      </c>
      <c r="K624" s="100">
        <f t="shared" si="707"/>
        <v>0</v>
      </c>
      <c r="L624" s="100">
        <f>SUM(F624:K624)</f>
        <v>0</v>
      </c>
      <c r="M624" s="100">
        <f>L624/6</f>
        <v>0</v>
      </c>
      <c r="N624" s="100">
        <f t="shared" ref="N624:S624" si="708">N618+N617</f>
        <v>0</v>
      </c>
      <c r="O624" s="100">
        <f t="shared" si="708"/>
        <v>0</v>
      </c>
      <c r="P624" s="100">
        <f t="shared" si="708"/>
        <v>0</v>
      </c>
      <c r="Q624" s="100">
        <f t="shared" si="708"/>
        <v>0</v>
      </c>
      <c r="R624" s="100">
        <f t="shared" si="708"/>
        <v>0</v>
      </c>
      <c r="S624" s="100">
        <f t="shared" si="708"/>
        <v>0</v>
      </c>
      <c r="T624" s="100">
        <f>SUM(N624:S624)</f>
        <v>0</v>
      </c>
      <c r="U624" s="100">
        <f>T624+L624</f>
        <v>0</v>
      </c>
      <c r="V624" s="100">
        <f>V621</f>
        <v>0</v>
      </c>
      <c r="W624" s="100">
        <f>V624-U624</f>
        <v>0</v>
      </c>
    </row>
    <row r="625" spans="1:28" s="43" customFormat="1" ht="18.350000000000001" hidden="1" customHeight="1">
      <c r="A625" s="614"/>
      <c r="B625" s="581"/>
      <c r="C625" s="581"/>
      <c r="D625" s="202" t="str">
        <f>серпень!D548</f>
        <v xml:space="preserve">відхилення </v>
      </c>
      <c r="E625" s="100"/>
      <c r="F625" s="100">
        <f t="shared" ref="F625:K625" si="709">F621-F624</f>
        <v>0</v>
      </c>
      <c r="G625" s="100">
        <f t="shared" si="709"/>
        <v>0</v>
      </c>
      <c r="H625" s="100">
        <f t="shared" si="709"/>
        <v>0</v>
      </c>
      <c r="I625" s="100">
        <f t="shared" si="709"/>
        <v>0</v>
      </c>
      <c r="J625" s="100">
        <f t="shared" si="709"/>
        <v>0</v>
      </c>
      <c r="K625" s="100">
        <f t="shared" si="709"/>
        <v>0</v>
      </c>
      <c r="L625" s="100"/>
      <c r="M625" s="100"/>
      <c r="N625" s="100">
        <f t="shared" ref="N625:S625" si="710">N621-N624</f>
        <v>0</v>
      </c>
      <c r="O625" s="100">
        <f t="shared" si="710"/>
        <v>0</v>
      </c>
      <c r="P625" s="100">
        <f t="shared" si="710"/>
        <v>0</v>
      </c>
      <c r="Q625" s="100">
        <f t="shared" si="710"/>
        <v>0</v>
      </c>
      <c r="R625" s="100">
        <f t="shared" si="710"/>
        <v>0</v>
      </c>
      <c r="S625" s="100">
        <f t="shared" si="710"/>
        <v>0</v>
      </c>
      <c r="T625" s="100"/>
      <c r="U625" s="100"/>
      <c r="V625" s="100"/>
      <c r="W625" s="100"/>
    </row>
    <row r="626" spans="1:28" s="43" customFormat="1" ht="18.350000000000001" hidden="1" customHeight="1">
      <c r="A626" s="614"/>
      <c r="B626" s="581"/>
      <c r="C626" s="581"/>
      <c r="D626" s="202" t="str">
        <f>серпень!D549</f>
        <v>відхилення з наростаючим</v>
      </c>
      <c r="E626" s="100"/>
      <c r="F626" s="100">
        <f>F625</f>
        <v>0</v>
      </c>
      <c r="G626" s="100">
        <f>G625+F626</f>
        <v>0</v>
      </c>
      <c r="H626" s="100">
        <f>H625+G626</f>
        <v>0</v>
      </c>
      <c r="I626" s="100">
        <f>I625+H626</f>
        <v>0</v>
      </c>
      <c r="J626" s="100">
        <f>J625+I626</f>
        <v>0</v>
      </c>
      <c r="K626" s="100">
        <f>K625+J626</f>
        <v>0</v>
      </c>
      <c r="L626" s="100"/>
      <c r="M626" s="100"/>
      <c r="N626" s="100">
        <f>N625+K626</f>
        <v>0</v>
      </c>
      <c r="O626" s="100">
        <f>O625+N626</f>
        <v>0</v>
      </c>
      <c r="P626" s="100">
        <f>P625+O626</f>
        <v>0</v>
      </c>
      <c r="Q626" s="100">
        <f>Q625+P626</f>
        <v>0</v>
      </c>
      <c r="R626" s="100">
        <f>R625+Q626</f>
        <v>0</v>
      </c>
      <c r="S626" s="100">
        <f>S625+R626</f>
        <v>0</v>
      </c>
      <c r="T626" s="100"/>
      <c r="U626" s="100"/>
      <c r="V626" s="100"/>
      <c r="W626" s="100"/>
    </row>
    <row r="627" spans="1:28" s="55" customFormat="1" ht="18.8" customHeight="1">
      <c r="A627" s="614"/>
      <c r="B627" s="581" t="s">
        <v>66</v>
      </c>
      <c r="C627" s="581"/>
      <c r="D627" s="178" t="str">
        <f>серпень!D550</f>
        <v>факт. нат.п-ки 2023</v>
      </c>
      <c r="E627" s="85"/>
      <c r="F627" s="12">
        <f t="shared" ref="F627:K629" si="711">F644+F674</f>
        <v>4.4000000000000004</v>
      </c>
      <c r="G627" s="12">
        <f t="shared" si="711"/>
        <v>3.3</v>
      </c>
      <c r="H627" s="12">
        <f t="shared" si="711"/>
        <v>4.4000000000000004</v>
      </c>
      <c r="I627" s="12">
        <f t="shared" si="711"/>
        <v>3.3</v>
      </c>
      <c r="J627" s="12">
        <f t="shared" si="711"/>
        <v>5.5</v>
      </c>
      <c r="K627" s="12">
        <f t="shared" si="711"/>
        <v>4.4000000000000004</v>
      </c>
      <c r="L627" s="140">
        <f>SUM(F627:K627)</f>
        <v>25.3</v>
      </c>
      <c r="M627" s="140">
        <f>L627/6</f>
        <v>4.2</v>
      </c>
      <c r="N627" s="12">
        <f t="shared" ref="N627:S629" si="712">N644+N674</f>
        <v>1.1000000000000001</v>
      </c>
      <c r="O627" s="12">
        <f t="shared" si="712"/>
        <v>5.5</v>
      </c>
      <c r="P627" s="12">
        <f t="shared" si="712"/>
        <v>4.4000000000000004</v>
      </c>
      <c r="Q627" s="12">
        <f t="shared" si="712"/>
        <v>5.5</v>
      </c>
      <c r="R627" s="12">
        <f t="shared" si="712"/>
        <v>3.3</v>
      </c>
      <c r="S627" s="12">
        <f t="shared" si="712"/>
        <v>16.5</v>
      </c>
      <c r="T627" s="140">
        <f>SUM(N627:S627)</f>
        <v>36.299999999999997</v>
      </c>
      <c r="U627" s="140">
        <f>T627+L627</f>
        <v>61.6</v>
      </c>
      <c r="V627" s="143"/>
      <c r="W627" s="88"/>
      <c r="X627" s="47"/>
      <c r="Y627" s="48"/>
      <c r="Z627" s="48"/>
      <c r="AA627" s="48"/>
      <c r="AB627" s="48"/>
    </row>
    <row r="628" spans="1:28" s="48" customFormat="1" ht="18" customHeight="1">
      <c r="A628" s="614"/>
      <c r="B628" s="581"/>
      <c r="C628" s="581"/>
      <c r="D628" s="178" t="str">
        <f>серпень!D551</f>
        <v>факт. нат.п-ки 2024</v>
      </c>
      <c r="E628" s="85"/>
      <c r="F628" s="12">
        <f t="shared" si="711"/>
        <v>7.7</v>
      </c>
      <c r="G628" s="12">
        <f t="shared" si="711"/>
        <v>3.3</v>
      </c>
      <c r="H628" s="12">
        <f t="shared" si="711"/>
        <v>5.5</v>
      </c>
      <c r="I628" s="12">
        <f t="shared" si="711"/>
        <v>5.5</v>
      </c>
      <c r="J628" s="12">
        <f t="shared" si="711"/>
        <v>5.5</v>
      </c>
      <c r="K628" s="12">
        <f t="shared" si="711"/>
        <v>4.4000000000000004</v>
      </c>
      <c r="L628" s="140">
        <f>SUM(F628:K628)</f>
        <v>31.9</v>
      </c>
      <c r="M628" s="140">
        <f>L628/6</f>
        <v>5.3</v>
      </c>
      <c r="N628" s="12">
        <f t="shared" si="712"/>
        <v>4.4000000000000004</v>
      </c>
      <c r="O628" s="12">
        <f t="shared" si="712"/>
        <v>5.5</v>
      </c>
      <c r="P628" s="12">
        <f t="shared" si="712"/>
        <v>5.5</v>
      </c>
      <c r="Q628" s="12">
        <f t="shared" si="712"/>
        <v>5.5</v>
      </c>
      <c r="R628" s="12">
        <f t="shared" si="712"/>
        <v>25.1</v>
      </c>
      <c r="S628" s="12">
        <f t="shared" si="712"/>
        <v>25.1</v>
      </c>
      <c r="T628" s="140">
        <f>SUM(N628:S628)</f>
        <v>71.099999999999994</v>
      </c>
      <c r="U628" s="140">
        <f>T628+L628</f>
        <v>103</v>
      </c>
      <c r="V628" s="143"/>
      <c r="W628" s="88"/>
      <c r="X628" s="47"/>
    </row>
    <row r="629" spans="1:28" s="48" customFormat="1" ht="18" customHeight="1">
      <c r="A629" s="614"/>
      <c r="B629" s="581"/>
      <c r="C629" s="581"/>
      <c r="D629" s="178" t="str">
        <f>серпень!D552</f>
        <v>факт. нат.п-ки 2025</v>
      </c>
      <c r="E629" s="85"/>
      <c r="F629" s="12">
        <f t="shared" si="711"/>
        <v>7.7</v>
      </c>
      <c r="G629" s="12">
        <f t="shared" si="711"/>
        <v>8.8000000000000007</v>
      </c>
      <c r="H629" s="12">
        <f t="shared" si="711"/>
        <v>6.6</v>
      </c>
      <c r="I629" s="12">
        <f t="shared" si="711"/>
        <v>6.6</v>
      </c>
      <c r="J629" s="12">
        <f t="shared" si="711"/>
        <v>7.7</v>
      </c>
      <c r="K629" s="12">
        <f t="shared" si="711"/>
        <v>4.4000000000000004</v>
      </c>
      <c r="L629" s="140">
        <f>SUM(F629:K629)</f>
        <v>41.8</v>
      </c>
      <c r="M629" s="140">
        <f>L629/6</f>
        <v>7</v>
      </c>
      <c r="N629" s="12">
        <f t="shared" si="712"/>
        <v>3.3</v>
      </c>
      <c r="O629" s="12">
        <f t="shared" si="712"/>
        <v>4.4000000000000004</v>
      </c>
      <c r="P629" s="12">
        <f t="shared" si="712"/>
        <v>5.5</v>
      </c>
      <c r="Q629" s="12">
        <f t="shared" si="712"/>
        <v>5.5</v>
      </c>
      <c r="R629" s="12">
        <f t="shared" si="712"/>
        <v>25.1</v>
      </c>
      <c r="S629" s="12">
        <f t="shared" si="712"/>
        <v>18.100000000000001</v>
      </c>
      <c r="T629" s="140">
        <f>SUM(N629:S629)</f>
        <v>61.9</v>
      </c>
      <c r="U629" s="140">
        <f>T629+L629</f>
        <v>103.7</v>
      </c>
      <c r="V629" s="143">
        <f>V646+V676</f>
        <v>96</v>
      </c>
      <c r="W629" s="88">
        <f>V629-U629</f>
        <v>-7.7</v>
      </c>
      <c r="X629" s="47"/>
    </row>
    <row r="630" spans="1:28" s="51" customFormat="1" ht="18" customHeight="1">
      <c r="A630" s="614"/>
      <c r="B630" s="581"/>
      <c r="C630" s="581"/>
      <c r="D630" s="187" t="str">
        <f>серпень!D553</f>
        <v>тариф, грн.</v>
      </c>
      <c r="E630" s="92"/>
      <c r="F630" s="92">
        <f t="shared" ref="F630:W630" si="713">F631/F629*1000</f>
        <v>131.03899999999999</v>
      </c>
      <c r="G630" s="92">
        <f t="shared" si="713"/>
        <v>131.136</v>
      </c>
      <c r="H630" s="92">
        <f t="shared" si="713"/>
        <v>131.06100000000001</v>
      </c>
      <c r="I630" s="92">
        <f t="shared" si="713"/>
        <v>131.06100000000001</v>
      </c>
      <c r="J630" s="92">
        <f t="shared" si="713"/>
        <v>131.03899999999999</v>
      </c>
      <c r="K630" s="92">
        <f t="shared" si="713"/>
        <v>131.136</v>
      </c>
      <c r="L630" s="92">
        <f t="shared" si="713"/>
        <v>131.077</v>
      </c>
      <c r="M630" s="92">
        <f t="shared" si="713"/>
        <v>130.429</v>
      </c>
      <c r="N630" s="92">
        <f t="shared" si="713"/>
        <v>131.21199999999999</v>
      </c>
      <c r="O630" s="92">
        <f t="shared" si="713"/>
        <v>131.136</v>
      </c>
      <c r="P630" s="92">
        <f t="shared" si="713"/>
        <v>152.727</v>
      </c>
      <c r="Q630" s="92">
        <f t="shared" si="713"/>
        <v>152.727</v>
      </c>
      <c r="R630" s="92">
        <f t="shared" si="713"/>
        <v>152.62899999999999</v>
      </c>
      <c r="S630" s="92">
        <f t="shared" si="713"/>
        <v>152.43100000000001</v>
      </c>
      <c r="T630" s="92">
        <f t="shared" si="713"/>
        <v>149.91900000000001</v>
      </c>
      <c r="U630" s="92">
        <f t="shared" si="713"/>
        <v>142.32400000000001</v>
      </c>
      <c r="V630" s="92">
        <f t="shared" si="713"/>
        <v>152.63499999999999</v>
      </c>
      <c r="W630" s="92">
        <f t="shared" si="713"/>
        <v>13.766</v>
      </c>
      <c r="X630" s="59"/>
    </row>
    <row r="631" spans="1:28" s="130" customFormat="1" ht="18" customHeight="1">
      <c r="A631" s="614"/>
      <c r="B631" s="581"/>
      <c r="C631" s="581"/>
      <c r="D631" s="191" t="str">
        <f>серпень!D554</f>
        <v>сума, тис.грн.</v>
      </c>
      <c r="E631" s="93"/>
      <c r="F631" s="93">
        <f t="shared" ref="F631:K631" si="714">F648+F678</f>
        <v>1.0089999999999999</v>
      </c>
      <c r="G631" s="93">
        <f t="shared" si="714"/>
        <v>1.1539999999999999</v>
      </c>
      <c r="H631" s="93">
        <f t="shared" si="714"/>
        <v>0.86499999999999999</v>
      </c>
      <c r="I631" s="93">
        <f t="shared" si="714"/>
        <v>0.86499999999999999</v>
      </c>
      <c r="J631" s="93">
        <f t="shared" si="714"/>
        <v>1.0089999999999999</v>
      </c>
      <c r="K631" s="93">
        <f t="shared" si="714"/>
        <v>0.57699999999999996</v>
      </c>
      <c r="L631" s="106">
        <f>SUM(F631:K631)</f>
        <v>5.4790000000000001</v>
      </c>
      <c r="M631" s="106">
        <f>L631/6</f>
        <v>0.91300000000000003</v>
      </c>
      <c r="N631" s="93">
        <f t="shared" ref="N631:S631" si="715">N648+N678</f>
        <v>0.433</v>
      </c>
      <c r="O631" s="93">
        <f t="shared" si="715"/>
        <v>0.57699999999999996</v>
      </c>
      <c r="P631" s="93">
        <f t="shared" si="715"/>
        <v>0.84</v>
      </c>
      <c r="Q631" s="93">
        <f t="shared" si="715"/>
        <v>0.84</v>
      </c>
      <c r="R631" s="93">
        <f t="shared" si="715"/>
        <v>3.831</v>
      </c>
      <c r="S631" s="93">
        <f t="shared" si="715"/>
        <v>2.7589999999999999</v>
      </c>
      <c r="T631" s="106">
        <f>SUM(N631:S631)</f>
        <v>9.2799999999999994</v>
      </c>
      <c r="U631" s="106">
        <f>T631+L631</f>
        <v>14.759</v>
      </c>
      <c r="V631" s="500">
        <f>V648+V678</f>
        <v>14.653</v>
      </c>
      <c r="W631" s="93">
        <f>V631-U631</f>
        <v>-0.106</v>
      </c>
    </row>
    <row r="632" spans="1:28" s="130" customFormat="1" ht="18" customHeight="1">
      <c r="A632" s="614"/>
      <c r="B632" s="581"/>
      <c r="C632" s="581"/>
      <c r="D632" s="174" t="str">
        <f>серпень!D555</f>
        <v>абоненська плата, тис.грн.</v>
      </c>
      <c r="E632" s="93"/>
      <c r="F632" s="93">
        <f>F663+F693</f>
        <v>0</v>
      </c>
      <c r="G632" s="93">
        <f t="shared" ref="G632:K632" si="716">G663+G693</f>
        <v>0</v>
      </c>
      <c r="H632" s="93">
        <f t="shared" si="716"/>
        <v>0</v>
      </c>
      <c r="I632" s="93">
        <f t="shared" si="716"/>
        <v>0</v>
      </c>
      <c r="J632" s="93">
        <f t="shared" si="716"/>
        <v>0</v>
      </c>
      <c r="K632" s="93">
        <f t="shared" si="716"/>
        <v>0</v>
      </c>
      <c r="L632" s="106">
        <f t="shared" ref="L632:L633" si="717">SUM(F632:K632)</f>
        <v>0</v>
      </c>
      <c r="M632" s="106">
        <f t="shared" ref="M632:M633" si="718">L632/6</f>
        <v>0</v>
      </c>
      <c r="N632" s="93">
        <f>N663+N693</f>
        <v>0</v>
      </c>
      <c r="O632" s="93">
        <f t="shared" ref="O632:S632" si="719">O663+O693</f>
        <v>0</v>
      </c>
      <c r="P632" s="93">
        <f t="shared" si="719"/>
        <v>0</v>
      </c>
      <c r="Q632" s="93">
        <f t="shared" si="719"/>
        <v>0</v>
      </c>
      <c r="R632" s="93">
        <f t="shared" si="719"/>
        <v>0</v>
      </c>
      <c r="S632" s="93">
        <f t="shared" si="719"/>
        <v>0</v>
      </c>
      <c r="T632" s="106">
        <f t="shared" ref="T632:T634" si="720">SUM(N632:S632)</f>
        <v>0</v>
      </c>
      <c r="U632" s="106">
        <f t="shared" ref="U632:U634" si="721">T632+L632</f>
        <v>0</v>
      </c>
      <c r="V632" s="93">
        <f t="shared" ref="V632" si="722">V663+V693</f>
        <v>0</v>
      </c>
      <c r="W632" s="93">
        <f t="shared" ref="W632:W635" si="723">V632-U632</f>
        <v>0</v>
      </c>
    </row>
    <row r="633" spans="1:28" s="130" customFormat="1" ht="18" customHeight="1">
      <c r="A633" s="614"/>
      <c r="B633" s="581"/>
      <c r="C633" s="581"/>
      <c r="D633" s="174" t="str">
        <f>серпень!D556</f>
        <v>разом сума тис. грн+абонплата</v>
      </c>
      <c r="E633" s="93"/>
      <c r="F633" s="93">
        <f>F664+F694</f>
        <v>0</v>
      </c>
      <c r="G633" s="93">
        <f t="shared" ref="G633:K633" si="724">G664+G694</f>
        <v>0</v>
      </c>
      <c r="H633" s="93">
        <f t="shared" si="724"/>
        <v>0</v>
      </c>
      <c r="I633" s="93">
        <f t="shared" si="724"/>
        <v>0</v>
      </c>
      <c r="J633" s="93">
        <f t="shared" si="724"/>
        <v>0</v>
      </c>
      <c r="K633" s="93">
        <f t="shared" si="724"/>
        <v>0</v>
      </c>
      <c r="L633" s="106">
        <f t="shared" si="717"/>
        <v>0</v>
      </c>
      <c r="M633" s="106">
        <f t="shared" si="718"/>
        <v>0</v>
      </c>
      <c r="N633" s="93">
        <f>N664+N694</f>
        <v>0</v>
      </c>
      <c r="O633" s="93">
        <f t="shared" ref="O633:S633" si="725">O664+O694</f>
        <v>0</v>
      </c>
      <c r="P633" s="93">
        <f t="shared" si="725"/>
        <v>0</v>
      </c>
      <c r="Q633" s="93">
        <f t="shared" si="725"/>
        <v>0</v>
      </c>
      <c r="R633" s="93">
        <f t="shared" si="725"/>
        <v>0</v>
      </c>
      <c r="S633" s="93">
        <f t="shared" si="725"/>
        <v>0</v>
      </c>
      <c r="T633" s="106">
        <f t="shared" si="720"/>
        <v>0</v>
      </c>
      <c r="U633" s="106">
        <f t="shared" si="721"/>
        <v>0</v>
      </c>
      <c r="V633" s="93">
        <f t="shared" ref="V633" si="726">V664+V694</f>
        <v>0</v>
      </c>
      <c r="W633" s="93">
        <f t="shared" si="723"/>
        <v>0</v>
      </c>
    </row>
    <row r="634" spans="1:28" s="130" customFormat="1" ht="18" customHeight="1">
      <c r="A634" s="614"/>
      <c r="B634" s="581"/>
      <c r="C634" s="581"/>
      <c r="D634" s="174" t="str">
        <f>серпень!D557</f>
        <v>дотація</v>
      </c>
      <c r="E634" s="95"/>
      <c r="F634" s="93">
        <f>F649+F679</f>
        <v>0</v>
      </c>
      <c r="G634" s="93">
        <f t="shared" ref="G634:K634" si="727">G649+G679</f>
        <v>0</v>
      </c>
      <c r="H634" s="93">
        <f t="shared" si="727"/>
        <v>0</v>
      </c>
      <c r="I634" s="93">
        <f t="shared" si="727"/>
        <v>0</v>
      </c>
      <c r="J634" s="93">
        <f t="shared" si="727"/>
        <v>0</v>
      </c>
      <c r="K634" s="93">
        <f t="shared" si="727"/>
        <v>0</v>
      </c>
      <c r="L634" s="106">
        <f>SUM(F634:K634)</f>
        <v>0</v>
      </c>
      <c r="M634" s="106">
        <f>L634/6</f>
        <v>0</v>
      </c>
      <c r="N634" s="93">
        <f>N649+N679</f>
        <v>0</v>
      </c>
      <c r="O634" s="93">
        <f t="shared" ref="O634:S634" si="728">O649+O679</f>
        <v>0</v>
      </c>
      <c r="P634" s="93">
        <f t="shared" si="728"/>
        <v>0</v>
      </c>
      <c r="Q634" s="93">
        <f t="shared" si="728"/>
        <v>0</v>
      </c>
      <c r="R634" s="93">
        <f t="shared" si="728"/>
        <v>0</v>
      </c>
      <c r="S634" s="93">
        <f t="shared" si="728"/>
        <v>0</v>
      </c>
      <c r="T634" s="106">
        <f t="shared" si="720"/>
        <v>0</v>
      </c>
      <c r="U634" s="106">
        <f t="shared" si="721"/>
        <v>0</v>
      </c>
      <c r="V634" s="93">
        <f t="shared" ref="V634" si="729">V649+V679</f>
        <v>0</v>
      </c>
      <c r="W634" s="93">
        <f t="shared" si="723"/>
        <v>0</v>
      </c>
    </row>
    <row r="635" spans="1:28" s="130" customFormat="1" ht="18" customHeight="1">
      <c r="A635" s="614"/>
      <c r="B635" s="581"/>
      <c r="C635" s="581"/>
      <c r="D635" s="174" t="str">
        <f>серпень!D558</f>
        <v>місцевий (план), тис.грн</v>
      </c>
      <c r="E635" s="95"/>
      <c r="F635" s="93">
        <f>F650+F680</f>
        <v>1.175</v>
      </c>
      <c r="G635" s="93">
        <f t="shared" ref="G635:K636" si="730">G650+G680</f>
        <v>0</v>
      </c>
      <c r="H635" s="93">
        <f t="shared" si="730"/>
        <v>0.98899999999999999</v>
      </c>
      <c r="I635" s="93">
        <f t="shared" si="730"/>
        <v>0.86499999999999999</v>
      </c>
      <c r="J635" s="93">
        <f t="shared" si="730"/>
        <v>0.86499999999999999</v>
      </c>
      <c r="K635" s="93">
        <f t="shared" si="730"/>
        <v>1.01</v>
      </c>
      <c r="L635" s="106">
        <f>SUM(F635:K635)</f>
        <v>4.9039999999999999</v>
      </c>
      <c r="M635" s="106">
        <f>L635/6</f>
        <v>0.81699999999999995</v>
      </c>
      <c r="N635" s="93">
        <f>N650+N680</f>
        <v>0.67200000000000004</v>
      </c>
      <c r="O635" s="93">
        <f t="shared" ref="O635:S636" si="731">O650+O680</f>
        <v>0.36599999999999999</v>
      </c>
      <c r="P635" s="93">
        <f t="shared" si="731"/>
        <v>0.84</v>
      </c>
      <c r="Q635" s="93">
        <f t="shared" si="731"/>
        <v>1.1399999999999999</v>
      </c>
      <c r="R635" s="93">
        <f t="shared" si="731"/>
        <v>3.468</v>
      </c>
      <c r="S635" s="93">
        <f t="shared" si="731"/>
        <v>3.2629999999999999</v>
      </c>
      <c r="T635" s="106">
        <f>SUM(N635:S635)</f>
        <v>9.7490000000000006</v>
      </c>
      <c r="U635" s="106">
        <f>T635+L635</f>
        <v>14.653</v>
      </c>
      <c r="V635" s="500">
        <f>V650+V680</f>
        <v>14.653</v>
      </c>
      <c r="W635" s="93">
        <f t="shared" si="723"/>
        <v>0</v>
      </c>
    </row>
    <row r="636" spans="1:28" s="48" customFormat="1" ht="18" customHeight="1">
      <c r="A636" s="614"/>
      <c r="B636" s="581"/>
      <c r="C636" s="581"/>
      <c r="D636" s="178" t="str">
        <f>серпень!D559</f>
        <v>касові нат.п-ки 2025</v>
      </c>
      <c r="E636" s="85"/>
      <c r="F636" s="85">
        <f>F651+F681</f>
        <v>0</v>
      </c>
      <c r="G636" s="85">
        <f t="shared" si="730"/>
        <v>0</v>
      </c>
      <c r="H636" s="85">
        <f t="shared" si="730"/>
        <v>16.5</v>
      </c>
      <c r="I636" s="85">
        <f t="shared" si="730"/>
        <v>6.6</v>
      </c>
      <c r="J636" s="85">
        <f t="shared" si="730"/>
        <v>6.6</v>
      </c>
      <c r="K636" s="85">
        <f t="shared" si="730"/>
        <v>7.7</v>
      </c>
      <c r="L636" s="140">
        <f>SUM(F636:K636)</f>
        <v>37.4</v>
      </c>
      <c r="M636" s="140">
        <f>L636/6</f>
        <v>6.2</v>
      </c>
      <c r="N636" s="85">
        <f>N651+N681</f>
        <v>4.4000000000000004</v>
      </c>
      <c r="O636" s="85">
        <f t="shared" si="731"/>
        <v>3.3</v>
      </c>
      <c r="P636" s="85">
        <f t="shared" si="731"/>
        <v>9.9</v>
      </c>
      <c r="Q636" s="85">
        <f t="shared" si="731"/>
        <v>5.5</v>
      </c>
      <c r="R636" s="85">
        <f t="shared" si="731"/>
        <v>25.1</v>
      </c>
      <c r="S636" s="85">
        <f t="shared" si="731"/>
        <v>18.100000000000001</v>
      </c>
      <c r="T636" s="140">
        <f>SUM(N636:S636)</f>
        <v>66.3</v>
      </c>
      <c r="U636" s="140">
        <f>T636+L636</f>
        <v>103.7</v>
      </c>
      <c r="V636" s="88">
        <f>V651+V681</f>
        <v>96</v>
      </c>
      <c r="W636" s="88">
        <f>V636-U636</f>
        <v>-7.7</v>
      </c>
      <c r="X636" s="47">
        <f>U629-U636</f>
        <v>0</v>
      </c>
    </row>
    <row r="637" spans="1:28" s="51" customFormat="1" ht="18" customHeight="1">
      <c r="A637" s="614"/>
      <c r="B637" s="581"/>
      <c r="C637" s="581"/>
      <c r="D637" s="187" t="str">
        <f>серпень!D560</f>
        <v>тариф, грн.</v>
      </c>
      <c r="E637" s="92" t="e">
        <f>E638/E636*1000</f>
        <v>#DIV/0!</v>
      </c>
      <c r="F637" s="92" t="e">
        <f t="shared" ref="F637:W637" si="732">F638/F636*1000</f>
        <v>#DIV/0!</v>
      </c>
      <c r="G637" s="92" t="e">
        <f t="shared" si="732"/>
        <v>#DIV/0!</v>
      </c>
      <c r="H637" s="92">
        <f t="shared" si="732"/>
        <v>131.09100000000001</v>
      </c>
      <c r="I637" s="92">
        <f t="shared" si="732"/>
        <v>131.06100000000001</v>
      </c>
      <c r="J637" s="92">
        <f t="shared" si="732"/>
        <v>131.06100000000001</v>
      </c>
      <c r="K637" s="92">
        <f t="shared" si="732"/>
        <v>131.03899999999999</v>
      </c>
      <c r="L637" s="92">
        <f t="shared" si="732"/>
        <v>131.07</v>
      </c>
      <c r="M637" s="92">
        <f t="shared" si="732"/>
        <v>131.774</v>
      </c>
      <c r="N637" s="92">
        <f t="shared" si="732"/>
        <v>131.136</v>
      </c>
      <c r="O637" s="92">
        <f t="shared" si="732"/>
        <v>131.21199999999999</v>
      </c>
      <c r="P637" s="92">
        <f t="shared" si="732"/>
        <v>143.131</v>
      </c>
      <c r="Q637" s="92">
        <f t="shared" si="732"/>
        <v>152.727</v>
      </c>
      <c r="R637" s="92">
        <f t="shared" si="732"/>
        <v>152.62899999999999</v>
      </c>
      <c r="S637" s="92">
        <f t="shared" si="732"/>
        <v>152.43100000000001</v>
      </c>
      <c r="T637" s="92">
        <f t="shared" si="732"/>
        <v>148.673</v>
      </c>
      <c r="U637" s="92">
        <f t="shared" si="732"/>
        <v>142.32400000000001</v>
      </c>
      <c r="V637" s="92">
        <f t="shared" si="732"/>
        <v>152.63499999999999</v>
      </c>
      <c r="W637" s="92">
        <f t="shared" si="732"/>
        <v>13.766</v>
      </c>
      <c r="X637" s="59"/>
    </row>
    <row r="638" spans="1:28" s="126" customFormat="1" ht="18" customHeight="1">
      <c r="A638" s="614"/>
      <c r="B638" s="581"/>
      <c r="C638" s="581"/>
      <c r="D638" s="198" t="str">
        <f>серпень!D561</f>
        <v>касові видатки, тис.грн.</v>
      </c>
      <c r="E638" s="108"/>
      <c r="F638" s="98">
        <f t="shared" ref="F638:K643" si="733">F653+F683</f>
        <v>0</v>
      </c>
      <c r="G638" s="98">
        <f t="shared" si="733"/>
        <v>0</v>
      </c>
      <c r="H638" s="98">
        <f t="shared" si="733"/>
        <v>2.1629999999999998</v>
      </c>
      <c r="I638" s="98">
        <f t="shared" si="733"/>
        <v>0.86499999999999999</v>
      </c>
      <c r="J638" s="98">
        <f t="shared" si="733"/>
        <v>0.86499999999999999</v>
      </c>
      <c r="K638" s="98">
        <f t="shared" si="733"/>
        <v>1.0089999999999999</v>
      </c>
      <c r="L638" s="98">
        <f>SUM(F638:K638)</f>
        <v>4.9020000000000001</v>
      </c>
      <c r="M638" s="98">
        <f>L638/6</f>
        <v>0.81699999999999995</v>
      </c>
      <c r="N638" s="98">
        <f t="shared" ref="N638:S643" si="734">N653+N683</f>
        <v>0.57699999999999996</v>
      </c>
      <c r="O638" s="98">
        <f t="shared" si="734"/>
        <v>0.433</v>
      </c>
      <c r="P638" s="98">
        <f t="shared" si="734"/>
        <v>1.417</v>
      </c>
      <c r="Q638" s="98">
        <f t="shared" si="734"/>
        <v>0.84</v>
      </c>
      <c r="R638" s="98">
        <f t="shared" si="734"/>
        <v>3.831</v>
      </c>
      <c r="S638" s="98">
        <f t="shared" si="734"/>
        <v>2.7589999999999999</v>
      </c>
      <c r="T638" s="98">
        <f>SUM(N638:S638)</f>
        <v>9.8569999999999993</v>
      </c>
      <c r="U638" s="98">
        <f>T638+L638</f>
        <v>14.759</v>
      </c>
      <c r="V638" s="98">
        <f>V653+V683</f>
        <v>14.653</v>
      </c>
      <c r="W638" s="109">
        <f>V638-U638</f>
        <v>-0.106</v>
      </c>
      <c r="X638" s="63">
        <f>U631-U638</f>
        <v>0</v>
      </c>
    </row>
    <row r="639" spans="1:28" s="126" customFormat="1" ht="18" customHeight="1">
      <c r="A639" s="614"/>
      <c r="B639" s="581"/>
      <c r="C639" s="581"/>
      <c r="D639" s="201" t="str">
        <f>серпень!D562</f>
        <v>дотація</v>
      </c>
      <c r="E639" s="108"/>
      <c r="F639" s="98">
        <f t="shared" si="733"/>
        <v>0</v>
      </c>
      <c r="G639" s="98">
        <f t="shared" si="733"/>
        <v>0</v>
      </c>
      <c r="H639" s="98">
        <f t="shared" si="733"/>
        <v>0</v>
      </c>
      <c r="I639" s="98">
        <f t="shared" si="733"/>
        <v>0</v>
      </c>
      <c r="J639" s="98">
        <f t="shared" si="733"/>
        <v>0</v>
      </c>
      <c r="K639" s="98">
        <f t="shared" si="733"/>
        <v>0</v>
      </c>
      <c r="L639" s="98">
        <f>SUM(F639:K639)</f>
        <v>0</v>
      </c>
      <c r="M639" s="98">
        <f>L639/6</f>
        <v>0</v>
      </c>
      <c r="N639" s="98">
        <f t="shared" si="734"/>
        <v>0</v>
      </c>
      <c r="O639" s="98">
        <f t="shared" si="734"/>
        <v>0</v>
      </c>
      <c r="P639" s="98">
        <f t="shared" si="734"/>
        <v>0</v>
      </c>
      <c r="Q639" s="98">
        <f t="shared" si="734"/>
        <v>0</v>
      </c>
      <c r="R639" s="98">
        <f t="shared" si="734"/>
        <v>0</v>
      </c>
      <c r="S639" s="98">
        <f t="shared" si="734"/>
        <v>0</v>
      </c>
      <c r="T639" s="98">
        <f>SUM(N639:S639)</f>
        <v>0</v>
      </c>
      <c r="U639" s="98">
        <f>T639+L639</f>
        <v>0</v>
      </c>
      <c r="V639" s="98">
        <f>V654+V684</f>
        <v>0</v>
      </c>
      <c r="W639" s="109">
        <f>V639-U639</f>
        <v>0</v>
      </c>
      <c r="X639" s="63">
        <f>U634-U639</f>
        <v>0</v>
      </c>
    </row>
    <row r="640" spans="1:28" s="126" customFormat="1" ht="18" customHeight="1">
      <c r="A640" s="614"/>
      <c r="B640" s="581"/>
      <c r="C640" s="581"/>
      <c r="D640" s="201" t="str">
        <f>серпень!D563</f>
        <v xml:space="preserve">місцевий </v>
      </c>
      <c r="E640" s="108"/>
      <c r="F640" s="98">
        <f t="shared" si="733"/>
        <v>0</v>
      </c>
      <c r="G640" s="98">
        <f t="shared" si="733"/>
        <v>0</v>
      </c>
      <c r="H640" s="98">
        <f t="shared" si="733"/>
        <v>2.1629999999999998</v>
      </c>
      <c r="I640" s="98">
        <f t="shared" si="733"/>
        <v>0.86499999999999999</v>
      </c>
      <c r="J640" s="98">
        <f t="shared" si="733"/>
        <v>0.86499999999999999</v>
      </c>
      <c r="K640" s="98">
        <f t="shared" si="733"/>
        <v>1.0089999999999999</v>
      </c>
      <c r="L640" s="98">
        <f>SUM(F640:K640)</f>
        <v>4.9020000000000001</v>
      </c>
      <c r="M640" s="98">
        <f>L640/6</f>
        <v>0.81699999999999995</v>
      </c>
      <c r="N640" s="98">
        <f t="shared" si="734"/>
        <v>0.57699999999999996</v>
      </c>
      <c r="O640" s="98">
        <f t="shared" si="734"/>
        <v>0.433</v>
      </c>
      <c r="P640" s="98">
        <f t="shared" si="734"/>
        <v>1.417</v>
      </c>
      <c r="Q640" s="98">
        <f t="shared" si="734"/>
        <v>0.84</v>
      </c>
      <c r="R640" s="98">
        <f t="shared" si="734"/>
        <v>3.831</v>
      </c>
      <c r="S640" s="98">
        <f t="shared" si="734"/>
        <v>2.7589999999999999</v>
      </c>
      <c r="T640" s="98">
        <f>SUM(N640:S640)</f>
        <v>9.8569999999999993</v>
      </c>
      <c r="U640" s="98">
        <f>T640+L640</f>
        <v>14.759</v>
      </c>
      <c r="V640" s="98">
        <f>V655+V685</f>
        <v>14.653</v>
      </c>
      <c r="W640" s="109">
        <f>V640-U640</f>
        <v>-0.106</v>
      </c>
      <c r="X640" s="63">
        <f>U635-U640</f>
        <v>-0.106</v>
      </c>
    </row>
    <row r="641" spans="1:28" s="43" customFormat="1" ht="18" customHeight="1">
      <c r="A641" s="614"/>
      <c r="B641" s="581"/>
      <c r="C641" s="581"/>
      <c r="D641" s="202" t="str">
        <f>серпень!D564</f>
        <v>план</v>
      </c>
      <c r="E641" s="100"/>
      <c r="F641" s="100">
        <f t="shared" si="733"/>
        <v>1.175</v>
      </c>
      <c r="G641" s="100">
        <f t="shared" si="733"/>
        <v>0</v>
      </c>
      <c r="H641" s="100">
        <f t="shared" si="733"/>
        <v>0.98899999999999999</v>
      </c>
      <c r="I641" s="100">
        <f t="shared" si="733"/>
        <v>0.86499999999999999</v>
      </c>
      <c r="J641" s="100">
        <f t="shared" si="733"/>
        <v>0.86499999999999999</v>
      </c>
      <c r="K641" s="100">
        <f t="shared" si="733"/>
        <v>1.01</v>
      </c>
      <c r="L641" s="100">
        <f>SUM(F641:K641)</f>
        <v>4.9039999999999999</v>
      </c>
      <c r="M641" s="100">
        <f>L641/6</f>
        <v>0.81699999999999995</v>
      </c>
      <c r="N641" s="100">
        <f t="shared" si="734"/>
        <v>0.67200000000000004</v>
      </c>
      <c r="O641" s="100">
        <f t="shared" si="734"/>
        <v>0.36599999999999999</v>
      </c>
      <c r="P641" s="100">
        <f t="shared" si="734"/>
        <v>0.84</v>
      </c>
      <c r="Q641" s="100">
        <f t="shared" si="734"/>
        <v>1.1399999999999999</v>
      </c>
      <c r="R641" s="100">
        <f t="shared" si="734"/>
        <v>3.468</v>
      </c>
      <c r="S641" s="100">
        <f t="shared" si="734"/>
        <v>3.2629999999999999</v>
      </c>
      <c r="T641" s="100">
        <f>SUM(N641:S641)</f>
        <v>9.7490000000000006</v>
      </c>
      <c r="U641" s="100">
        <f>T641+L641</f>
        <v>14.653</v>
      </c>
      <c r="V641" s="100">
        <f>V656+V686</f>
        <v>14.653</v>
      </c>
      <c r="W641" s="100">
        <f>V641-U641</f>
        <v>0</v>
      </c>
    </row>
    <row r="642" spans="1:28" s="43" customFormat="1" ht="18" customHeight="1">
      <c r="A642" s="614"/>
      <c r="B642" s="581"/>
      <c r="C642" s="581"/>
      <c r="D642" s="202" t="str">
        <f>серпень!D565</f>
        <v xml:space="preserve">відхилення </v>
      </c>
      <c r="E642" s="100"/>
      <c r="F642" s="100">
        <f t="shared" si="733"/>
        <v>-1.175</v>
      </c>
      <c r="G642" s="100">
        <f t="shared" si="733"/>
        <v>0</v>
      </c>
      <c r="H642" s="100">
        <f t="shared" si="733"/>
        <v>1.1739999999999999</v>
      </c>
      <c r="I642" s="100">
        <f t="shared" si="733"/>
        <v>0</v>
      </c>
      <c r="J642" s="100">
        <f t="shared" si="733"/>
        <v>0</v>
      </c>
      <c r="K642" s="100">
        <f t="shared" si="733"/>
        <v>-1E-3</v>
      </c>
      <c r="L642" s="100"/>
      <c r="M642" s="100"/>
      <c r="N642" s="100">
        <f t="shared" si="734"/>
        <v>-9.5000000000000001E-2</v>
      </c>
      <c r="O642" s="100">
        <f t="shared" si="734"/>
        <v>6.7000000000000004E-2</v>
      </c>
      <c r="P642" s="100">
        <f t="shared" si="734"/>
        <v>0.57699999999999996</v>
      </c>
      <c r="Q642" s="100">
        <f t="shared" si="734"/>
        <v>-0.3</v>
      </c>
      <c r="R642" s="100">
        <f t="shared" si="734"/>
        <v>0.36299999999999999</v>
      </c>
      <c r="S642" s="100">
        <f t="shared" si="734"/>
        <v>-0.504</v>
      </c>
      <c r="T642" s="100"/>
      <c r="U642" s="100"/>
      <c r="V642" s="100"/>
      <c r="W642" s="100"/>
    </row>
    <row r="643" spans="1:28" s="43" customFormat="1" ht="18" customHeight="1">
      <c r="A643" s="614"/>
      <c r="B643" s="581"/>
      <c r="C643" s="581"/>
      <c r="D643" s="202" t="str">
        <f>серпень!D566</f>
        <v>відхилення з наростаючим</v>
      </c>
      <c r="E643" s="100"/>
      <c r="F643" s="100">
        <f t="shared" si="733"/>
        <v>-1.175</v>
      </c>
      <c r="G643" s="100">
        <f t="shared" si="733"/>
        <v>-1.175</v>
      </c>
      <c r="H643" s="100">
        <f t="shared" si="733"/>
        <v>-1E-3</v>
      </c>
      <c r="I643" s="100">
        <f t="shared" si="733"/>
        <v>-1E-3</v>
      </c>
      <c r="J643" s="100">
        <f t="shared" si="733"/>
        <v>-1E-3</v>
      </c>
      <c r="K643" s="100">
        <f t="shared" si="733"/>
        <v>-2E-3</v>
      </c>
      <c r="L643" s="100"/>
      <c r="M643" s="100"/>
      <c r="N643" s="100">
        <f t="shared" si="734"/>
        <v>-9.7000000000000003E-2</v>
      </c>
      <c r="O643" s="100">
        <f t="shared" si="734"/>
        <v>-0.03</v>
      </c>
      <c r="P643" s="100">
        <f t="shared" si="734"/>
        <v>0.54700000000000004</v>
      </c>
      <c r="Q643" s="100">
        <f t="shared" si="734"/>
        <v>0.247</v>
      </c>
      <c r="R643" s="100">
        <f t="shared" si="734"/>
        <v>0.61</v>
      </c>
      <c r="S643" s="100">
        <f t="shared" si="734"/>
        <v>0.106</v>
      </c>
      <c r="T643" s="100"/>
      <c r="U643" s="100"/>
      <c r="V643" s="100"/>
      <c r="W643" s="100"/>
    </row>
    <row r="644" spans="1:28" s="55" customFormat="1" ht="18" customHeight="1">
      <c r="A644" s="614"/>
      <c r="B644" s="581" t="s">
        <v>67</v>
      </c>
      <c r="C644" s="581"/>
      <c r="D644" s="178" t="str">
        <f>серпень!D567</f>
        <v>факт. нат.п-ки 2023</v>
      </c>
      <c r="E644" s="85"/>
      <c r="F644" s="494">
        <v>4.4000000000000004</v>
      </c>
      <c r="G644" s="494">
        <v>3.3</v>
      </c>
      <c r="H644" s="494">
        <v>4.4000000000000004</v>
      </c>
      <c r="I644" s="494">
        <v>3.3</v>
      </c>
      <c r="J644" s="494">
        <v>5.5</v>
      </c>
      <c r="K644" s="494">
        <v>4.4000000000000004</v>
      </c>
      <c r="L644" s="497">
        <f>SUM(F644:K644)</f>
        <v>25.3</v>
      </c>
      <c r="M644" s="497">
        <f>L644/6</f>
        <v>4.2169999999999996</v>
      </c>
      <c r="N644" s="494">
        <v>1.1000000000000001</v>
      </c>
      <c r="O644" s="494">
        <v>5.5</v>
      </c>
      <c r="P644" s="494">
        <v>4.4000000000000004</v>
      </c>
      <c r="Q644" s="494">
        <v>5.5</v>
      </c>
      <c r="R644" s="494">
        <v>3.3</v>
      </c>
      <c r="S644" s="494">
        <v>16.5</v>
      </c>
      <c r="T644" s="498">
        <f>SUM(N644:S644)</f>
        <v>36.299999999999997</v>
      </c>
      <c r="U644" s="498">
        <f>T644+L644</f>
        <v>61.6</v>
      </c>
      <c r="V644" s="85">
        <v>61.6</v>
      </c>
      <c r="W644" s="88"/>
      <c r="X644" s="47"/>
      <c r="Y644" s="48"/>
      <c r="Z644" s="48"/>
      <c r="AA644" s="48"/>
      <c r="AB644" s="48"/>
    </row>
    <row r="645" spans="1:28" s="48" customFormat="1" ht="18" customHeight="1">
      <c r="A645" s="614"/>
      <c r="B645" s="581"/>
      <c r="C645" s="581"/>
      <c r="D645" s="178" t="str">
        <f>серпень!D568</f>
        <v>факт. нат.п-ки 2024</v>
      </c>
      <c r="E645" s="85"/>
      <c r="F645" s="495">
        <v>7.7</v>
      </c>
      <c r="G645" s="495">
        <v>3.3</v>
      </c>
      <c r="H645" s="496">
        <v>5.5</v>
      </c>
      <c r="I645" s="495">
        <v>5.5</v>
      </c>
      <c r="J645" s="495">
        <v>5.5</v>
      </c>
      <c r="K645" s="495">
        <v>4.4000000000000004</v>
      </c>
      <c r="L645" s="498">
        <f>SUM(F645:K645)</f>
        <v>31.9</v>
      </c>
      <c r="M645" s="498">
        <f>L645/6</f>
        <v>5.3170000000000002</v>
      </c>
      <c r="N645" s="494">
        <v>4.4000000000000004</v>
      </c>
      <c r="O645" s="495">
        <v>5.5</v>
      </c>
      <c r="P645" s="495">
        <v>5.5</v>
      </c>
      <c r="Q645" s="495">
        <v>5.5</v>
      </c>
      <c r="R645" s="495">
        <v>25.1</v>
      </c>
      <c r="S645" s="495">
        <v>25.1</v>
      </c>
      <c r="T645" s="498">
        <f>SUM(N645:S645)</f>
        <v>71.099999999999994</v>
      </c>
      <c r="U645" s="498">
        <f>T645+L645</f>
        <v>103</v>
      </c>
      <c r="V645" s="85">
        <v>103</v>
      </c>
      <c r="W645" s="88"/>
      <c r="X645" s="47"/>
    </row>
    <row r="646" spans="1:28" s="48" customFormat="1" ht="18" customHeight="1">
      <c r="A646" s="614"/>
      <c r="B646" s="581"/>
      <c r="C646" s="581"/>
      <c r="D646" s="178" t="str">
        <f>серпень!D569</f>
        <v>факт. нат.п-ки 2025</v>
      </c>
      <c r="E646" s="85"/>
      <c r="F646" s="349">
        <v>7.7</v>
      </c>
      <c r="G646" s="349">
        <v>8.8000000000000007</v>
      </c>
      <c r="H646" s="499">
        <v>6.6</v>
      </c>
      <c r="I646" s="349">
        <v>6.6</v>
      </c>
      <c r="J646" s="349">
        <v>7.7</v>
      </c>
      <c r="K646" s="495">
        <v>4.4000000000000004</v>
      </c>
      <c r="L646" s="497">
        <f>SUM(F646:K646)</f>
        <v>41.8</v>
      </c>
      <c r="M646" s="497">
        <f>L646/6</f>
        <v>6.9669999999999996</v>
      </c>
      <c r="N646" s="494">
        <v>3.3</v>
      </c>
      <c r="O646" s="495">
        <v>4.4000000000000004</v>
      </c>
      <c r="P646" s="495">
        <v>5.5</v>
      </c>
      <c r="Q646" s="495">
        <v>5.5</v>
      </c>
      <c r="R646" s="495">
        <v>25.1</v>
      </c>
      <c r="S646" s="495">
        <f>25.1-7</f>
        <v>18.100000000000001</v>
      </c>
      <c r="T646" s="498">
        <f>SUM(N646:S646)</f>
        <v>61.9</v>
      </c>
      <c r="U646" s="498">
        <f>T646+L646</f>
        <v>103.7</v>
      </c>
      <c r="V646" s="85">
        <v>96</v>
      </c>
      <c r="W646" s="88">
        <f>V646-U646</f>
        <v>-7.7</v>
      </c>
      <c r="X646" s="47"/>
    </row>
    <row r="647" spans="1:28" s="51" customFormat="1" ht="18" customHeight="1">
      <c r="A647" s="614"/>
      <c r="B647" s="581"/>
      <c r="C647" s="581"/>
      <c r="D647" s="187" t="str">
        <f>серпень!D570</f>
        <v>тариф, грн.</v>
      </c>
      <c r="E647" s="92" t="e">
        <f>E648/E646*1000</f>
        <v>#DIV/0!</v>
      </c>
      <c r="F647" s="92">
        <f t="shared" ref="F647:K647" si="735">F648/F646*1000</f>
        <v>131.03899999999999</v>
      </c>
      <c r="G647" s="92">
        <f t="shared" si="735"/>
        <v>131.136</v>
      </c>
      <c r="H647" s="92">
        <f t="shared" si="735"/>
        <v>131.06100000000001</v>
      </c>
      <c r="I647" s="92">
        <f t="shared" si="735"/>
        <v>131.06100000000001</v>
      </c>
      <c r="J647" s="92">
        <f t="shared" si="735"/>
        <v>131.03899999999999</v>
      </c>
      <c r="K647" s="92">
        <f t="shared" si="735"/>
        <v>131.136</v>
      </c>
      <c r="L647" s="92">
        <f>L648/L646*1000</f>
        <v>131.077</v>
      </c>
      <c r="M647" s="92">
        <f>M648/M646*1000</f>
        <v>131.04599999999999</v>
      </c>
      <c r="N647" s="92">
        <f t="shared" ref="N647:O647" si="736">N648/N646*1000</f>
        <v>131.21199999999999</v>
      </c>
      <c r="O647" s="92">
        <f t="shared" si="736"/>
        <v>131.136</v>
      </c>
      <c r="P647" s="92">
        <v>152.63999999999999</v>
      </c>
      <c r="Q647" s="92">
        <v>152.63999999999999</v>
      </c>
      <c r="R647" s="92">
        <v>152.63999999999999</v>
      </c>
      <c r="S647" s="92">
        <v>152.63999999999999</v>
      </c>
      <c r="T647" s="92">
        <f>T648/T646*1000</f>
        <v>149.91900000000001</v>
      </c>
      <c r="U647" s="92">
        <f>U648/U646*1000</f>
        <v>142.32400000000001</v>
      </c>
      <c r="V647" s="105">
        <f>V648/V646*1000</f>
        <v>152.63499999999999</v>
      </c>
      <c r="W647" s="86">
        <f>W648/W646*1000</f>
        <v>13.766</v>
      </c>
      <c r="X647" s="59"/>
    </row>
    <row r="648" spans="1:28" s="130" customFormat="1" ht="18" customHeight="1">
      <c r="A648" s="614"/>
      <c r="B648" s="581"/>
      <c r="C648" s="581"/>
      <c r="D648" s="191" t="str">
        <f>серпень!D571</f>
        <v>сума, тис.грн.</v>
      </c>
      <c r="E648" s="93"/>
      <c r="F648" s="93">
        <v>1.0089999999999999</v>
      </c>
      <c r="G648" s="93">
        <v>1.1539999999999999</v>
      </c>
      <c r="H648" s="93">
        <v>0.86499999999999999</v>
      </c>
      <c r="I648" s="93">
        <v>0.86499999999999999</v>
      </c>
      <c r="J648" s="93">
        <v>1.0089999999999999</v>
      </c>
      <c r="K648" s="93">
        <v>0.57699999999999996</v>
      </c>
      <c r="L648" s="106">
        <f>SUM(F648:K648)</f>
        <v>5.4790000000000001</v>
      </c>
      <c r="M648" s="106">
        <f>L648/6</f>
        <v>0.91300000000000003</v>
      </c>
      <c r="N648" s="93">
        <v>0.433</v>
      </c>
      <c r="O648" s="93">
        <v>0.57699999999999996</v>
      </c>
      <c r="P648" s="93">
        <f t="shared" ref="P648" si="737">P646*P647/1000</f>
        <v>0.84</v>
      </c>
      <c r="Q648" s="93">
        <f t="shared" ref="Q648" si="738">Q646*Q647/1000</f>
        <v>0.84</v>
      </c>
      <c r="R648" s="93">
        <f t="shared" ref="R648" si="739">R646*R647/1000</f>
        <v>3.831</v>
      </c>
      <c r="S648" s="93">
        <f>S646*S647/1000-0.004</f>
        <v>2.7589999999999999</v>
      </c>
      <c r="T648" s="106">
        <f>SUM(N648:S648)</f>
        <v>9.2799999999999994</v>
      </c>
      <c r="U648" s="106">
        <f>T648+L648</f>
        <v>14.759</v>
      </c>
      <c r="V648" s="107">
        <f>V649+V650</f>
        <v>14.653</v>
      </c>
      <c r="W648" s="94">
        <f>V648-U648</f>
        <v>-0.106</v>
      </c>
    </row>
    <row r="649" spans="1:28" s="130" customFormat="1" ht="18" customHeight="1">
      <c r="A649" s="614"/>
      <c r="B649" s="581"/>
      <c r="C649" s="581"/>
      <c r="D649" s="174" t="str">
        <f>серпень!D572</f>
        <v>дотація</v>
      </c>
      <c r="E649" s="95"/>
      <c r="F649" s="93"/>
      <c r="G649" s="93"/>
      <c r="H649" s="93"/>
      <c r="I649" s="93"/>
      <c r="J649" s="93"/>
      <c r="K649" s="93"/>
      <c r="L649" s="106">
        <f>SUM(F649:K649)</f>
        <v>0</v>
      </c>
      <c r="M649" s="106">
        <f>L649/6</f>
        <v>0</v>
      </c>
      <c r="N649" s="93"/>
      <c r="O649" s="93"/>
      <c r="P649" s="93"/>
      <c r="Q649" s="93"/>
      <c r="R649" s="93"/>
      <c r="S649" s="93"/>
      <c r="T649" s="106">
        <f>SUM(N649:S649)</f>
        <v>0</v>
      </c>
      <c r="U649" s="106">
        <f>T649+L649</f>
        <v>0</v>
      </c>
      <c r="V649" s="107">
        <v>0</v>
      </c>
      <c r="W649" s="94">
        <f>V649-U649</f>
        <v>0</v>
      </c>
    </row>
    <row r="650" spans="1:28" s="130" customFormat="1" ht="18" customHeight="1">
      <c r="A650" s="614"/>
      <c r="B650" s="581"/>
      <c r="C650" s="581"/>
      <c r="D650" s="174" t="str">
        <f>серпень!D573</f>
        <v>місцевий (план), тис.грн</v>
      </c>
      <c r="E650" s="95"/>
      <c r="F650" s="93">
        <v>1.175</v>
      </c>
      <c r="G650" s="93">
        <f>0.504-0.504</f>
        <v>0</v>
      </c>
      <c r="H650" s="93">
        <f>0.84+0.149</f>
        <v>0.98899999999999999</v>
      </c>
      <c r="I650" s="93">
        <f>0.84+0.025</f>
        <v>0.86499999999999999</v>
      </c>
      <c r="J650" s="93">
        <f>0.84-0.149+0.174</f>
        <v>0.86499999999999999</v>
      </c>
      <c r="K650" s="93">
        <v>1.01</v>
      </c>
      <c r="L650" s="106">
        <f>SUM(F650:K650)</f>
        <v>4.9039999999999999</v>
      </c>
      <c r="M650" s="106">
        <f>L650/6</f>
        <v>0.81699999999999995</v>
      </c>
      <c r="N650" s="93">
        <v>0.67200000000000004</v>
      </c>
      <c r="O650" s="93">
        <f>0.84-0.174-0.3</f>
        <v>0.36599999999999999</v>
      </c>
      <c r="P650" s="93">
        <v>0.84</v>
      </c>
      <c r="Q650" s="93">
        <f>0.84+0.3</f>
        <v>1.1399999999999999</v>
      </c>
      <c r="R650" s="93">
        <v>3.468</v>
      </c>
      <c r="S650" s="93">
        <f>2.759+0.504</f>
        <v>3.2629999999999999</v>
      </c>
      <c r="T650" s="106">
        <f>SUM(N650:S650)</f>
        <v>9.7490000000000006</v>
      </c>
      <c r="U650" s="106">
        <f>T650+L650</f>
        <v>14.653</v>
      </c>
      <c r="V650" s="107">
        <v>14.653</v>
      </c>
      <c r="W650" s="94">
        <f>V650-U650</f>
        <v>0</v>
      </c>
    </row>
    <row r="651" spans="1:28" s="48" customFormat="1" ht="18" customHeight="1">
      <c r="A651" s="614"/>
      <c r="B651" s="581"/>
      <c r="C651" s="581"/>
      <c r="D651" s="178" t="str">
        <f>серпень!D574</f>
        <v>касові нат.п-ки 2025</v>
      </c>
      <c r="E651" s="85"/>
      <c r="F651" s="85">
        <v>0</v>
      </c>
      <c r="G651" s="137">
        <v>0</v>
      </c>
      <c r="H651" s="495">
        <f>7.7+8.805</f>
        <v>16.504999999999999</v>
      </c>
      <c r="I651" s="496">
        <v>6.6</v>
      </c>
      <c r="J651" s="495">
        <v>6.6</v>
      </c>
      <c r="K651" s="495">
        <v>7.7</v>
      </c>
      <c r="L651" s="550">
        <f>SUM(F651:K651)</f>
        <v>37.405000000000001</v>
      </c>
      <c r="M651" s="550">
        <f>L651/6</f>
        <v>6.234</v>
      </c>
      <c r="N651" s="495">
        <v>4.4000000000000004</v>
      </c>
      <c r="O651" s="494">
        <v>3.3</v>
      </c>
      <c r="P651" s="495">
        <v>9.8949999999999996</v>
      </c>
      <c r="Q651" s="495">
        <v>5.5</v>
      </c>
      <c r="R651" s="495">
        <v>25.1</v>
      </c>
      <c r="S651" s="494">
        <v>18.100000000000001</v>
      </c>
      <c r="T651" s="550">
        <f>SUM(N651:S651)</f>
        <v>66.295000000000002</v>
      </c>
      <c r="U651" s="550">
        <f>T651+L651</f>
        <v>103.7</v>
      </c>
      <c r="V651" s="85">
        <f>V646</f>
        <v>96</v>
      </c>
      <c r="W651" s="88">
        <f>V651-U651</f>
        <v>-7.7</v>
      </c>
      <c r="X651" s="47">
        <f>U646-U651</f>
        <v>0</v>
      </c>
    </row>
    <row r="652" spans="1:28" s="51" customFormat="1" ht="18" customHeight="1">
      <c r="A652" s="614"/>
      <c r="B652" s="581"/>
      <c r="C652" s="581"/>
      <c r="D652" s="187" t="str">
        <f>серпень!D575</f>
        <v>тариф, грн.</v>
      </c>
      <c r="E652" s="92" t="e">
        <f>E653/E651*1000</f>
        <v>#DIV/0!</v>
      </c>
      <c r="F652" s="92" t="e">
        <f t="shared" ref="F652:K652" si="740">F653/F651*1000</f>
        <v>#DIV/0!</v>
      </c>
      <c r="G652" s="92" t="e">
        <f t="shared" si="740"/>
        <v>#DIV/0!</v>
      </c>
      <c r="H652" s="92">
        <f t="shared" si="740"/>
        <v>131.05099999999999</v>
      </c>
      <c r="I652" s="92">
        <f t="shared" si="740"/>
        <v>131.06100000000001</v>
      </c>
      <c r="J652" s="92">
        <f t="shared" si="740"/>
        <v>131.06100000000001</v>
      </c>
      <c r="K652" s="92">
        <f t="shared" si="740"/>
        <v>131.03899999999999</v>
      </c>
      <c r="L652" s="92">
        <f>L653/L651*1000</f>
        <v>131.05199999999999</v>
      </c>
      <c r="M652" s="92">
        <f>M653/M651*1000</f>
        <v>131.05600000000001</v>
      </c>
      <c r="N652" s="92">
        <f t="shared" ref="N652:P652" si="741">N653/N651*1000</f>
        <v>131.136</v>
      </c>
      <c r="O652" s="92">
        <f t="shared" si="741"/>
        <v>131.21199999999999</v>
      </c>
      <c r="P652" s="92">
        <f t="shared" si="741"/>
        <v>143.20400000000001</v>
      </c>
      <c r="Q652" s="92">
        <v>152.63999999999999</v>
      </c>
      <c r="R652" s="92">
        <v>152.63999999999999</v>
      </c>
      <c r="S652" s="92">
        <v>152.63999999999999</v>
      </c>
      <c r="T652" s="92">
        <f>T653/T651*1000</f>
        <v>148.684</v>
      </c>
      <c r="U652" s="92">
        <f>U653/U651*1000</f>
        <v>142.32400000000001</v>
      </c>
      <c r="V652" s="105">
        <f>V653/V651*1000</f>
        <v>152.63499999999999</v>
      </c>
      <c r="W652" s="86">
        <f>W653/W651*1000</f>
        <v>13.766</v>
      </c>
      <c r="X652" s="59"/>
    </row>
    <row r="653" spans="1:28" s="126" customFormat="1" ht="18" customHeight="1">
      <c r="A653" s="614"/>
      <c r="B653" s="581"/>
      <c r="C653" s="581"/>
      <c r="D653" s="198" t="str">
        <f>серпень!D576</f>
        <v>касові видатки, тис.грн.</v>
      </c>
      <c r="E653" s="108"/>
      <c r="F653" s="98">
        <v>0</v>
      </c>
      <c r="G653" s="98">
        <v>0</v>
      </c>
      <c r="H653" s="98">
        <v>2.1629999999999998</v>
      </c>
      <c r="I653" s="98">
        <v>0.86499999999999999</v>
      </c>
      <c r="J653" s="98">
        <v>0.86499999999999999</v>
      </c>
      <c r="K653" s="98">
        <v>1.0089999999999999</v>
      </c>
      <c r="L653" s="98">
        <f>SUM(F653:K653)</f>
        <v>4.9020000000000001</v>
      </c>
      <c r="M653" s="98">
        <f>L653/6</f>
        <v>0.81699999999999995</v>
      </c>
      <c r="N653" s="98">
        <v>0.57699999999999996</v>
      </c>
      <c r="O653" s="98">
        <v>0.433</v>
      </c>
      <c r="P653" s="98">
        <v>1.417</v>
      </c>
      <c r="Q653" s="98">
        <f t="shared" ref="Q653" si="742">Q651*Q652/1000</f>
        <v>0.84</v>
      </c>
      <c r="R653" s="98">
        <f t="shared" ref="R653" si="743">R651*R652/1000</f>
        <v>3.831</v>
      </c>
      <c r="S653" s="98">
        <f>S651*S652/1000-0.004</f>
        <v>2.7589999999999999</v>
      </c>
      <c r="T653" s="98">
        <f>SUM(N653:S653)</f>
        <v>9.8569999999999993</v>
      </c>
      <c r="U653" s="98">
        <f>T653+L653</f>
        <v>14.759</v>
      </c>
      <c r="V653" s="98">
        <f>V648</f>
        <v>14.653</v>
      </c>
      <c r="W653" s="109">
        <f>V653-U653</f>
        <v>-0.106</v>
      </c>
      <c r="X653" s="63">
        <f>U648-U653</f>
        <v>0</v>
      </c>
    </row>
    <row r="654" spans="1:28" s="126" customFormat="1" ht="18" customHeight="1">
      <c r="A654" s="614"/>
      <c r="B654" s="581"/>
      <c r="C654" s="581"/>
      <c r="D654" s="201" t="str">
        <f>серпень!D577</f>
        <v>дотація</v>
      </c>
      <c r="E654" s="108"/>
      <c r="F654" s="98"/>
      <c r="G654" s="98"/>
      <c r="H654" s="98"/>
      <c r="I654" s="98"/>
      <c r="J654" s="98"/>
      <c r="K654" s="98"/>
      <c r="L654" s="98">
        <f>SUM(F654:K654)</f>
        <v>0</v>
      </c>
      <c r="M654" s="98">
        <f>L654/6</f>
        <v>0</v>
      </c>
      <c r="N654" s="98"/>
      <c r="O654" s="98"/>
      <c r="P654" s="98"/>
      <c r="Q654" s="98"/>
      <c r="R654" s="98"/>
      <c r="S654" s="98"/>
      <c r="T654" s="98">
        <f>SUM(N654:S654)</f>
        <v>0</v>
      </c>
      <c r="U654" s="98">
        <f>T654+L654</f>
        <v>0</v>
      </c>
      <c r="V654" s="98">
        <f>V649</f>
        <v>0</v>
      </c>
      <c r="W654" s="109">
        <f>V654-U654</f>
        <v>0</v>
      </c>
      <c r="X654" s="63">
        <f>U649-U654</f>
        <v>0</v>
      </c>
    </row>
    <row r="655" spans="1:28" s="126" customFormat="1" ht="18" customHeight="1">
      <c r="A655" s="614"/>
      <c r="B655" s="581"/>
      <c r="C655" s="581"/>
      <c r="D655" s="201" t="str">
        <f>серпень!D578</f>
        <v xml:space="preserve">місцевий </v>
      </c>
      <c r="E655" s="108"/>
      <c r="F655" s="98">
        <f t="shared" ref="F655:K655" si="744">F653-F654</f>
        <v>0</v>
      </c>
      <c r="G655" s="98">
        <f t="shared" si="744"/>
        <v>0</v>
      </c>
      <c r="H655" s="98">
        <f t="shared" si="744"/>
        <v>2.1629999999999998</v>
      </c>
      <c r="I655" s="98">
        <f t="shared" si="744"/>
        <v>0.86499999999999999</v>
      </c>
      <c r="J655" s="98">
        <f t="shared" si="744"/>
        <v>0.86499999999999999</v>
      </c>
      <c r="K655" s="98">
        <f t="shared" si="744"/>
        <v>1.0089999999999999</v>
      </c>
      <c r="L655" s="98">
        <f>SUM(F655:K655)</f>
        <v>4.9020000000000001</v>
      </c>
      <c r="M655" s="98">
        <f>L655/6</f>
        <v>0.81699999999999995</v>
      </c>
      <c r="N655" s="98">
        <f t="shared" ref="N655:S655" si="745">N653-N654</f>
        <v>0.57699999999999996</v>
      </c>
      <c r="O655" s="98">
        <f t="shared" si="745"/>
        <v>0.433</v>
      </c>
      <c r="P655" s="98">
        <f t="shared" si="745"/>
        <v>1.417</v>
      </c>
      <c r="Q655" s="98">
        <f t="shared" si="745"/>
        <v>0.84</v>
      </c>
      <c r="R655" s="98">
        <f t="shared" si="745"/>
        <v>3.831</v>
      </c>
      <c r="S655" s="98">
        <f t="shared" si="745"/>
        <v>2.7589999999999999</v>
      </c>
      <c r="T655" s="98">
        <f>SUM(N655:S655)</f>
        <v>9.8569999999999993</v>
      </c>
      <c r="U655" s="98">
        <f>T655+L655</f>
        <v>14.759</v>
      </c>
      <c r="V655" s="98">
        <f>V650</f>
        <v>14.653</v>
      </c>
      <c r="W655" s="109">
        <f>V655-U655</f>
        <v>-0.106</v>
      </c>
      <c r="X655" s="63">
        <f>U650-U655</f>
        <v>-0.106</v>
      </c>
    </row>
    <row r="656" spans="1:28" s="43" customFormat="1" ht="18" customHeight="1">
      <c r="A656" s="614"/>
      <c r="B656" s="581"/>
      <c r="C656" s="581"/>
      <c r="D656" s="202" t="str">
        <f>серпень!D579</f>
        <v>план</v>
      </c>
      <c r="E656" s="100"/>
      <c r="F656" s="100">
        <f t="shared" ref="F656:K656" si="746">F650</f>
        <v>1.175</v>
      </c>
      <c r="G656" s="100">
        <f t="shared" si="746"/>
        <v>0</v>
      </c>
      <c r="H656" s="100">
        <f t="shared" si="746"/>
        <v>0.98899999999999999</v>
      </c>
      <c r="I656" s="100">
        <f t="shared" si="746"/>
        <v>0.86499999999999999</v>
      </c>
      <c r="J656" s="100">
        <f t="shared" si="746"/>
        <v>0.86499999999999999</v>
      </c>
      <c r="K656" s="100">
        <f t="shared" si="746"/>
        <v>1.01</v>
      </c>
      <c r="L656" s="100">
        <f>SUM(F656:K656)</f>
        <v>4.9039999999999999</v>
      </c>
      <c r="M656" s="100">
        <f>L656/6</f>
        <v>0.81699999999999995</v>
      </c>
      <c r="N656" s="100">
        <f t="shared" ref="N656:S656" si="747">N650+N649</f>
        <v>0.67200000000000004</v>
      </c>
      <c r="O656" s="100">
        <f t="shared" si="747"/>
        <v>0.36599999999999999</v>
      </c>
      <c r="P656" s="100">
        <f t="shared" si="747"/>
        <v>0.84</v>
      </c>
      <c r="Q656" s="100">
        <f t="shared" si="747"/>
        <v>1.1399999999999999</v>
      </c>
      <c r="R656" s="100">
        <f t="shared" si="747"/>
        <v>3.468</v>
      </c>
      <c r="S656" s="100">
        <f t="shared" si="747"/>
        <v>3.2629999999999999</v>
      </c>
      <c r="T656" s="100">
        <f>SUM(N656:S656)</f>
        <v>9.7490000000000006</v>
      </c>
      <c r="U656" s="100">
        <f>T656+L656</f>
        <v>14.653</v>
      </c>
      <c r="V656" s="100">
        <f>V653</f>
        <v>14.653</v>
      </c>
      <c r="W656" s="100">
        <f>V656-U656</f>
        <v>0</v>
      </c>
    </row>
    <row r="657" spans="1:28" s="43" customFormat="1" ht="18" customHeight="1">
      <c r="A657" s="614"/>
      <c r="B657" s="581"/>
      <c r="C657" s="581"/>
      <c r="D657" s="202" t="str">
        <f>серпень!D580</f>
        <v xml:space="preserve">відхилення </v>
      </c>
      <c r="E657" s="100"/>
      <c r="F657" s="100">
        <f t="shared" ref="F657:K657" si="748">F653-F656</f>
        <v>-1.175</v>
      </c>
      <c r="G657" s="100">
        <f t="shared" si="748"/>
        <v>0</v>
      </c>
      <c r="H657" s="100">
        <f t="shared" si="748"/>
        <v>1.1739999999999999</v>
      </c>
      <c r="I657" s="100">
        <f t="shared" si="748"/>
        <v>0</v>
      </c>
      <c r="J657" s="100">
        <f t="shared" si="748"/>
        <v>0</v>
      </c>
      <c r="K657" s="100">
        <f t="shared" si="748"/>
        <v>-1E-3</v>
      </c>
      <c r="L657" s="100"/>
      <c r="M657" s="100"/>
      <c r="N657" s="100">
        <f t="shared" ref="N657:S657" si="749">N653-N656</f>
        <v>-9.5000000000000001E-2</v>
      </c>
      <c r="O657" s="100">
        <f t="shared" si="749"/>
        <v>6.7000000000000004E-2</v>
      </c>
      <c r="P657" s="100">
        <f t="shared" si="749"/>
        <v>0.57699999999999996</v>
      </c>
      <c r="Q657" s="100">
        <f t="shared" si="749"/>
        <v>-0.3</v>
      </c>
      <c r="R657" s="100">
        <f t="shared" si="749"/>
        <v>0.36299999999999999</v>
      </c>
      <c r="S657" s="100">
        <f t="shared" si="749"/>
        <v>-0.504</v>
      </c>
      <c r="T657" s="100"/>
      <c r="U657" s="100"/>
      <c r="V657" s="100"/>
      <c r="W657" s="100"/>
    </row>
    <row r="658" spans="1:28" s="43" customFormat="1">
      <c r="A658" s="614"/>
      <c r="B658" s="581"/>
      <c r="C658" s="581"/>
      <c r="D658" s="202" t="str">
        <f>серпень!D581</f>
        <v>відхилення з наростаючим</v>
      </c>
      <c r="E658" s="100"/>
      <c r="F658" s="100">
        <f>F657</f>
        <v>-1.175</v>
      </c>
      <c r="G658" s="100">
        <f>G657+F658</f>
        <v>-1.175</v>
      </c>
      <c r="H658" s="100">
        <f>H657+G658</f>
        <v>-1E-3</v>
      </c>
      <c r="I658" s="100">
        <f>I657+H658</f>
        <v>-1E-3</v>
      </c>
      <c r="J658" s="100">
        <f>J657+I658</f>
        <v>-1E-3</v>
      </c>
      <c r="K658" s="100">
        <f>K657+J658</f>
        <v>-2E-3</v>
      </c>
      <c r="L658" s="100"/>
      <c r="M658" s="100"/>
      <c r="N658" s="100">
        <f>N657+K658</f>
        <v>-9.7000000000000003E-2</v>
      </c>
      <c r="O658" s="100">
        <f>O657+N658</f>
        <v>-0.03</v>
      </c>
      <c r="P658" s="100">
        <f>P657+O658</f>
        <v>0.54700000000000004</v>
      </c>
      <c r="Q658" s="100">
        <f>Q657+P658</f>
        <v>0.247</v>
      </c>
      <c r="R658" s="100">
        <f>R657+Q658</f>
        <v>0.61</v>
      </c>
      <c r="S658" s="100">
        <f>S657+R658</f>
        <v>0.106</v>
      </c>
      <c r="T658" s="100"/>
      <c r="U658" s="100"/>
      <c r="V658" s="100"/>
      <c r="W658" s="100"/>
    </row>
    <row r="659" spans="1:28" s="55" customFormat="1" ht="18" hidden="1" customHeight="1">
      <c r="A659" s="614"/>
      <c r="B659" s="654" t="s">
        <v>129</v>
      </c>
      <c r="C659" s="581"/>
      <c r="D659" s="178" t="str">
        <f>серпень!D582</f>
        <v>факт. нат.п-ки 2023</v>
      </c>
      <c r="E659" s="85"/>
      <c r="F659" s="85"/>
      <c r="G659" s="85"/>
      <c r="H659" s="85"/>
      <c r="I659" s="85"/>
      <c r="J659" s="85"/>
      <c r="K659" s="85"/>
      <c r="L659" s="153">
        <f>SUM(F659:K659)</f>
        <v>0</v>
      </c>
      <c r="M659" s="153">
        <f>L659/6</f>
        <v>0</v>
      </c>
      <c r="N659" s="85"/>
      <c r="O659" s="85"/>
      <c r="P659" s="85"/>
      <c r="Q659" s="85"/>
      <c r="R659" s="85"/>
      <c r="S659" s="85"/>
      <c r="T659" s="140">
        <f>SUM(N659:S659)</f>
        <v>0</v>
      </c>
      <c r="U659" s="103">
        <f>T659+L659</f>
        <v>0</v>
      </c>
      <c r="V659" s="85"/>
      <c r="W659" s="88"/>
      <c r="X659" s="47"/>
      <c r="Y659" s="48"/>
      <c r="Z659" s="48"/>
      <c r="AA659" s="48"/>
      <c r="AB659" s="48"/>
    </row>
    <row r="660" spans="1:28" s="48" customFormat="1" ht="18" hidden="1" customHeight="1">
      <c r="A660" s="614"/>
      <c r="B660" s="581"/>
      <c r="C660" s="581"/>
      <c r="D660" s="178" t="str">
        <f>серпень!D583</f>
        <v>факт. нат.п-ки 2024</v>
      </c>
      <c r="E660" s="85"/>
      <c r="F660" s="137"/>
      <c r="G660" s="137"/>
      <c r="H660" s="152"/>
      <c r="I660" s="137"/>
      <c r="J660" s="137"/>
      <c r="K660" s="137"/>
      <c r="L660" s="140">
        <f>SUM(F660:K660)</f>
        <v>0</v>
      </c>
      <c r="M660" s="140">
        <f>L660/6</f>
        <v>0</v>
      </c>
      <c r="N660" s="85"/>
      <c r="O660" s="137"/>
      <c r="P660" s="137"/>
      <c r="Q660" s="137"/>
      <c r="R660" s="137"/>
      <c r="S660" s="137"/>
      <c r="T660" s="140">
        <f>SUM(N660:S660)</f>
        <v>0</v>
      </c>
      <c r="U660" s="103">
        <f>T660+L660</f>
        <v>0</v>
      </c>
      <c r="V660" s="85"/>
      <c r="W660" s="88"/>
      <c r="X660" s="47"/>
    </row>
    <row r="661" spans="1:28" s="48" customFormat="1" ht="18" hidden="1" customHeight="1">
      <c r="A661" s="614"/>
      <c r="B661" s="581"/>
      <c r="C661" s="581"/>
      <c r="D661" s="178" t="str">
        <f>серпень!D584</f>
        <v>факт. нат.п-ки 2025</v>
      </c>
      <c r="E661" s="85"/>
      <c r="F661" s="11"/>
      <c r="G661" s="261"/>
      <c r="H661" s="322"/>
      <c r="I661" s="11"/>
      <c r="J661" s="11"/>
      <c r="K661" s="137"/>
      <c r="L661" s="153">
        <f>SUM(F661:K661)</f>
        <v>0</v>
      </c>
      <c r="M661" s="153">
        <f>L661/6</f>
        <v>0</v>
      </c>
      <c r="N661" s="85"/>
      <c r="O661" s="137"/>
      <c r="P661" s="137"/>
      <c r="Q661" s="137"/>
      <c r="R661" s="137"/>
      <c r="S661" s="137"/>
      <c r="T661" s="140">
        <f>SUM(N661:S661)</f>
        <v>0</v>
      </c>
      <c r="U661" s="103">
        <f>T661+L661</f>
        <v>0</v>
      </c>
      <c r="V661" s="85"/>
      <c r="W661" s="88">
        <f>V661-U661</f>
        <v>0</v>
      </c>
      <c r="X661" s="47"/>
    </row>
    <row r="662" spans="1:28" s="51" customFormat="1" ht="18" hidden="1" customHeight="1">
      <c r="A662" s="614"/>
      <c r="B662" s="581"/>
      <c r="C662" s="581"/>
      <c r="D662" s="187" t="str">
        <f>серпень!D585</f>
        <v>тариф, грн.</v>
      </c>
      <c r="E662" s="92" t="e">
        <f>E663/E661*1000</f>
        <v>#DIV/0!</v>
      </c>
      <c r="F662" s="92" t="e">
        <f t="shared" ref="F662:K662" si="750">F663/F661*1000</f>
        <v>#DIV/0!</v>
      </c>
      <c r="G662" s="92" t="e">
        <f t="shared" si="750"/>
        <v>#DIV/0!</v>
      </c>
      <c r="H662" s="92" t="e">
        <f t="shared" si="750"/>
        <v>#DIV/0!</v>
      </c>
      <c r="I662" s="92" t="e">
        <f t="shared" si="750"/>
        <v>#DIV/0!</v>
      </c>
      <c r="J662" s="92" t="e">
        <f t="shared" si="750"/>
        <v>#DIV/0!</v>
      </c>
      <c r="K662" s="92" t="e">
        <f t="shared" si="750"/>
        <v>#DIV/0!</v>
      </c>
      <c r="L662" s="92" t="e">
        <f>L663/L661*1000</f>
        <v>#DIV/0!</v>
      </c>
      <c r="M662" s="92" t="e">
        <f>M663/M661*1000</f>
        <v>#DIV/0!</v>
      </c>
      <c r="N662" s="92" t="e">
        <f t="shared" ref="N662:Q662" si="751">N663/N661*1000</f>
        <v>#DIV/0!</v>
      </c>
      <c r="O662" s="92" t="e">
        <f t="shared" si="751"/>
        <v>#DIV/0!</v>
      </c>
      <c r="P662" s="92" t="e">
        <f t="shared" si="751"/>
        <v>#DIV/0!</v>
      </c>
      <c r="Q662" s="92" t="e">
        <f t="shared" si="751"/>
        <v>#DIV/0!</v>
      </c>
      <c r="R662" s="92">
        <v>143.11199999999999</v>
      </c>
      <c r="S662" s="92">
        <v>143.11199999999999</v>
      </c>
      <c r="T662" s="92" t="e">
        <f>T663/T661*1000</f>
        <v>#DIV/0!</v>
      </c>
      <c r="U662" s="92" t="e">
        <f>U663/U661*1000</f>
        <v>#DIV/0!</v>
      </c>
      <c r="V662" s="105" t="e">
        <f>V663/V661*1000</f>
        <v>#DIV/0!</v>
      </c>
      <c r="W662" s="86" t="e">
        <f>W663/W661*1000</f>
        <v>#DIV/0!</v>
      </c>
      <c r="X662" s="59"/>
    </row>
    <row r="663" spans="1:28" s="130" customFormat="1" ht="18" hidden="1" customHeight="1">
      <c r="A663" s="614"/>
      <c r="B663" s="581"/>
      <c r="C663" s="581"/>
      <c r="D663" s="191" t="str">
        <f>серпень!D586</f>
        <v>сума, тис.грн.</v>
      </c>
      <c r="E663" s="93"/>
      <c r="F663" s="93">
        <v>0</v>
      </c>
      <c r="G663" s="93">
        <v>0</v>
      </c>
      <c r="H663" s="93">
        <v>0</v>
      </c>
      <c r="I663" s="93">
        <v>0</v>
      </c>
      <c r="J663" s="93">
        <v>0</v>
      </c>
      <c r="K663" s="93">
        <v>0</v>
      </c>
      <c r="L663" s="106">
        <f>SUM(F663:K663)</f>
        <v>0</v>
      </c>
      <c r="M663" s="106">
        <f>L663/6</f>
        <v>0</v>
      </c>
      <c r="N663" s="93">
        <v>0</v>
      </c>
      <c r="O663" s="93">
        <v>0</v>
      </c>
      <c r="P663" s="93">
        <v>0</v>
      </c>
      <c r="Q663" s="93">
        <v>0</v>
      </c>
      <c r="R663" s="93">
        <v>0</v>
      </c>
      <c r="S663" s="93">
        <v>0</v>
      </c>
      <c r="T663" s="106">
        <f>SUM(N663:S663)</f>
        <v>0</v>
      </c>
      <c r="U663" s="106">
        <f>T663+L663</f>
        <v>0</v>
      </c>
      <c r="V663" s="107">
        <f>V664+V665</f>
        <v>0</v>
      </c>
      <c r="W663" s="94">
        <f>V663-U663</f>
        <v>0</v>
      </c>
    </row>
    <row r="664" spans="1:28" s="130" customFormat="1" ht="18" hidden="1" customHeight="1">
      <c r="A664" s="614"/>
      <c r="B664" s="581"/>
      <c r="C664" s="581"/>
      <c r="D664" s="174" t="str">
        <f>серпень!D587</f>
        <v>дотація</v>
      </c>
      <c r="E664" s="95"/>
      <c r="F664" s="93"/>
      <c r="G664" s="93"/>
      <c r="H664" s="93"/>
      <c r="I664" s="93"/>
      <c r="J664" s="93"/>
      <c r="K664" s="93"/>
      <c r="L664" s="106">
        <f>SUM(F664:K664)</f>
        <v>0</v>
      </c>
      <c r="M664" s="106">
        <f>L664/6</f>
        <v>0</v>
      </c>
      <c r="N664" s="93"/>
      <c r="O664" s="93"/>
      <c r="P664" s="93"/>
      <c r="Q664" s="93"/>
      <c r="R664" s="93"/>
      <c r="S664" s="93"/>
      <c r="T664" s="106">
        <f>SUM(N664:S664)</f>
        <v>0</v>
      </c>
      <c r="U664" s="106">
        <f>T664+L664</f>
        <v>0</v>
      </c>
      <c r="V664" s="107">
        <v>0</v>
      </c>
      <c r="W664" s="94">
        <f>V664-U664</f>
        <v>0</v>
      </c>
    </row>
    <row r="665" spans="1:28" s="130" customFormat="1" ht="18" hidden="1" customHeight="1">
      <c r="A665" s="614"/>
      <c r="B665" s="581"/>
      <c r="C665" s="581"/>
      <c r="D665" s="174" t="str">
        <f>серпень!D588</f>
        <v>місцевий (план), тис.грн</v>
      </c>
      <c r="E665" s="95"/>
      <c r="F665" s="93">
        <f>0.186-0.186</f>
        <v>0</v>
      </c>
      <c r="G665" s="93">
        <f t="shared" ref="G665:K665" si="752">0.186-0.186</f>
        <v>0</v>
      </c>
      <c r="H665" s="93">
        <f t="shared" si="752"/>
        <v>0</v>
      </c>
      <c r="I665" s="93">
        <f t="shared" si="752"/>
        <v>0</v>
      </c>
      <c r="J665" s="93">
        <f t="shared" si="752"/>
        <v>0</v>
      </c>
      <c r="K665" s="93">
        <f t="shared" si="752"/>
        <v>0</v>
      </c>
      <c r="L665" s="106">
        <f>SUM(F665:K665)</f>
        <v>0</v>
      </c>
      <c r="M665" s="106">
        <f>L665/6</f>
        <v>0</v>
      </c>
      <c r="N665" s="93">
        <v>0</v>
      </c>
      <c r="O665" s="93">
        <v>0</v>
      </c>
      <c r="P665" s="93">
        <v>0</v>
      </c>
      <c r="Q665" s="93">
        <v>0</v>
      </c>
      <c r="R665" s="93">
        <v>0</v>
      </c>
      <c r="S665" s="93">
        <v>0</v>
      </c>
      <c r="T665" s="106">
        <f>SUM(N665:S665)</f>
        <v>0</v>
      </c>
      <c r="U665" s="106">
        <f>T665+L665</f>
        <v>0</v>
      </c>
      <c r="V665" s="107">
        <v>0</v>
      </c>
      <c r="W665" s="94">
        <f>V665-U665</f>
        <v>0</v>
      </c>
    </row>
    <row r="666" spans="1:28" s="48" customFormat="1" ht="18" hidden="1" customHeight="1">
      <c r="A666" s="614"/>
      <c r="B666" s="581"/>
      <c r="C666" s="581"/>
      <c r="D666" s="178" t="str">
        <f>серпень!D589</f>
        <v>касові нат.п-ки 2025</v>
      </c>
      <c r="E666" s="85"/>
      <c r="F666" s="85"/>
      <c r="G666" s="137"/>
      <c r="H666" s="137"/>
      <c r="I666" s="137"/>
      <c r="J666" s="137"/>
      <c r="K666" s="137"/>
      <c r="L666" s="140">
        <f>SUM(F666:K666)</f>
        <v>0</v>
      </c>
      <c r="M666" s="140">
        <f>L666/6</f>
        <v>0</v>
      </c>
      <c r="N666" s="137"/>
      <c r="O666" s="85"/>
      <c r="P666" s="137"/>
      <c r="Q666" s="137"/>
      <c r="R666" s="137"/>
      <c r="S666" s="85"/>
      <c r="T666" s="140">
        <f>SUM(N666:S666)</f>
        <v>0</v>
      </c>
      <c r="U666" s="140">
        <f>T666+L666</f>
        <v>0</v>
      </c>
      <c r="V666" s="85">
        <f>V661</f>
        <v>0</v>
      </c>
      <c r="W666" s="88">
        <f>V666-U666</f>
        <v>0</v>
      </c>
      <c r="X666" s="47">
        <f>U661-U666</f>
        <v>0</v>
      </c>
    </row>
    <row r="667" spans="1:28" s="51" customFormat="1" ht="18" hidden="1" customHeight="1">
      <c r="A667" s="614"/>
      <c r="B667" s="581"/>
      <c r="C667" s="581"/>
      <c r="D667" s="187" t="str">
        <f>серпень!D590</f>
        <v>тариф, грн.</v>
      </c>
      <c r="E667" s="92" t="e">
        <f>E668/E666*1000</f>
        <v>#DIV/0!</v>
      </c>
      <c r="F667" s="92" t="e">
        <f t="shared" ref="F667:K667" si="753">F668/F666*1000</f>
        <v>#DIV/0!</v>
      </c>
      <c r="G667" s="92" t="e">
        <f t="shared" si="753"/>
        <v>#DIV/0!</v>
      </c>
      <c r="H667" s="92" t="e">
        <f t="shared" si="753"/>
        <v>#DIV/0!</v>
      </c>
      <c r="I667" s="92" t="e">
        <f t="shared" si="753"/>
        <v>#DIV/0!</v>
      </c>
      <c r="J667" s="92" t="e">
        <f t="shared" si="753"/>
        <v>#DIV/0!</v>
      </c>
      <c r="K667" s="92" t="e">
        <f t="shared" si="753"/>
        <v>#DIV/0!</v>
      </c>
      <c r="L667" s="92" t="e">
        <f>L668/L666*1000</f>
        <v>#DIV/0!</v>
      </c>
      <c r="M667" s="92" t="e">
        <f>M668/M666*1000</f>
        <v>#DIV/0!</v>
      </c>
      <c r="N667" s="92" t="e">
        <f t="shared" ref="N667:R667" si="754">N668/N666*1000</f>
        <v>#DIV/0!</v>
      </c>
      <c r="O667" s="92" t="e">
        <f t="shared" si="754"/>
        <v>#DIV/0!</v>
      </c>
      <c r="P667" s="92" t="e">
        <f t="shared" si="754"/>
        <v>#DIV/0!</v>
      </c>
      <c r="Q667" s="92" t="e">
        <f t="shared" si="754"/>
        <v>#DIV/0!</v>
      </c>
      <c r="R667" s="92" t="e">
        <f t="shared" si="754"/>
        <v>#DIV/0!</v>
      </c>
      <c r="S667" s="92">
        <v>143.11199999999999</v>
      </c>
      <c r="T667" s="92" t="e">
        <f>T668/T666*1000</f>
        <v>#DIV/0!</v>
      </c>
      <c r="U667" s="92" t="e">
        <f>U668/U666*1000</f>
        <v>#DIV/0!</v>
      </c>
      <c r="V667" s="105" t="e">
        <f>V668/V666*1000</f>
        <v>#DIV/0!</v>
      </c>
      <c r="W667" s="86" t="e">
        <f>W668/W666*1000</f>
        <v>#DIV/0!</v>
      </c>
      <c r="X667" s="59"/>
    </row>
    <row r="668" spans="1:28" s="126" customFormat="1" ht="18" hidden="1" customHeight="1">
      <c r="A668" s="614"/>
      <c r="B668" s="581"/>
      <c r="C668" s="581"/>
      <c r="D668" s="198" t="str">
        <f>серпень!D591</f>
        <v>касові видатки, тис.грн.</v>
      </c>
      <c r="E668" s="108"/>
      <c r="F668" s="98">
        <v>0</v>
      </c>
      <c r="G668" s="98">
        <v>0</v>
      </c>
      <c r="H668" s="98">
        <v>0</v>
      </c>
      <c r="I668" s="98">
        <v>0</v>
      </c>
      <c r="J668" s="98">
        <v>0</v>
      </c>
      <c r="K668" s="98">
        <v>0</v>
      </c>
      <c r="L668" s="98">
        <f>SUM(F668:K668)</f>
        <v>0</v>
      </c>
      <c r="M668" s="98">
        <f>L668/6</f>
        <v>0</v>
      </c>
      <c r="N668" s="98">
        <v>0</v>
      </c>
      <c r="O668" s="98">
        <v>0</v>
      </c>
      <c r="P668" s="98">
        <v>0</v>
      </c>
      <c r="Q668" s="98">
        <v>0</v>
      </c>
      <c r="R668" s="98">
        <v>0</v>
      </c>
      <c r="S668" s="98">
        <v>0</v>
      </c>
      <c r="T668" s="98">
        <f>SUM(N668:S668)</f>
        <v>0</v>
      </c>
      <c r="U668" s="98">
        <f>T668+L668</f>
        <v>0</v>
      </c>
      <c r="V668" s="98">
        <f>V663</f>
        <v>0</v>
      </c>
      <c r="W668" s="109">
        <f>V668-U668</f>
        <v>0</v>
      </c>
      <c r="X668" s="63">
        <f>U663-U668</f>
        <v>0</v>
      </c>
    </row>
    <row r="669" spans="1:28" s="126" customFormat="1" ht="18" hidden="1" customHeight="1">
      <c r="A669" s="614"/>
      <c r="B669" s="581"/>
      <c r="C669" s="581"/>
      <c r="D669" s="201" t="str">
        <f>серпень!D592</f>
        <v>дотація</v>
      </c>
      <c r="E669" s="108"/>
      <c r="F669" s="98"/>
      <c r="G669" s="98"/>
      <c r="H669" s="98"/>
      <c r="I669" s="98"/>
      <c r="J669" s="98"/>
      <c r="K669" s="98"/>
      <c r="L669" s="98">
        <f>SUM(F669:K669)</f>
        <v>0</v>
      </c>
      <c r="M669" s="98">
        <f>L669/6</f>
        <v>0</v>
      </c>
      <c r="N669" s="98"/>
      <c r="O669" s="98"/>
      <c r="P669" s="98"/>
      <c r="Q669" s="98"/>
      <c r="R669" s="98"/>
      <c r="S669" s="98"/>
      <c r="T669" s="98">
        <f>SUM(N669:S669)</f>
        <v>0</v>
      </c>
      <c r="U669" s="98">
        <f>T669+L669</f>
        <v>0</v>
      </c>
      <c r="V669" s="98">
        <f>V664</f>
        <v>0</v>
      </c>
      <c r="W669" s="109">
        <f>V669-U669</f>
        <v>0</v>
      </c>
      <c r="X669" s="63">
        <f>U664-U669</f>
        <v>0</v>
      </c>
    </row>
    <row r="670" spans="1:28" s="126" customFormat="1" ht="18" hidden="1" customHeight="1">
      <c r="A670" s="614"/>
      <c r="B670" s="581"/>
      <c r="C670" s="581"/>
      <c r="D670" s="201" t="str">
        <f>серпень!D593</f>
        <v xml:space="preserve">місцевий </v>
      </c>
      <c r="E670" s="108"/>
      <c r="F670" s="98">
        <f t="shared" ref="F670:K670" si="755">F668-F669</f>
        <v>0</v>
      </c>
      <c r="G670" s="98">
        <f t="shared" si="755"/>
        <v>0</v>
      </c>
      <c r="H670" s="98">
        <f t="shared" si="755"/>
        <v>0</v>
      </c>
      <c r="I670" s="98">
        <f t="shared" si="755"/>
        <v>0</v>
      </c>
      <c r="J670" s="98">
        <f t="shared" si="755"/>
        <v>0</v>
      </c>
      <c r="K670" s="98">
        <f t="shared" si="755"/>
        <v>0</v>
      </c>
      <c r="L670" s="98">
        <f>SUM(F670:K670)</f>
        <v>0</v>
      </c>
      <c r="M670" s="98">
        <f>L670/6</f>
        <v>0</v>
      </c>
      <c r="N670" s="98">
        <f t="shared" ref="N670:S670" si="756">N668-N669</f>
        <v>0</v>
      </c>
      <c r="O670" s="98">
        <f t="shared" si="756"/>
        <v>0</v>
      </c>
      <c r="P670" s="98">
        <f t="shared" si="756"/>
        <v>0</v>
      </c>
      <c r="Q670" s="98">
        <f t="shared" si="756"/>
        <v>0</v>
      </c>
      <c r="R670" s="98">
        <f t="shared" si="756"/>
        <v>0</v>
      </c>
      <c r="S670" s="98">
        <f t="shared" si="756"/>
        <v>0</v>
      </c>
      <c r="T670" s="98">
        <f>SUM(N670:S670)</f>
        <v>0</v>
      </c>
      <c r="U670" s="98">
        <f>T670+L670</f>
        <v>0</v>
      </c>
      <c r="V670" s="98">
        <f>V665</f>
        <v>0</v>
      </c>
      <c r="W670" s="109">
        <f>V670-U670</f>
        <v>0</v>
      </c>
      <c r="X670" s="63">
        <f>U665-U670</f>
        <v>0</v>
      </c>
    </row>
    <row r="671" spans="1:28" s="43" customFormat="1" ht="18" hidden="1" customHeight="1">
      <c r="A671" s="614"/>
      <c r="B671" s="581"/>
      <c r="C671" s="581"/>
      <c r="D671" s="202" t="str">
        <f>серпень!D594</f>
        <v>план</v>
      </c>
      <c r="E671" s="100"/>
      <c r="F671" s="100">
        <f t="shared" ref="F671:K671" si="757">F665</f>
        <v>0</v>
      </c>
      <c r="G671" s="100">
        <f t="shared" si="757"/>
        <v>0</v>
      </c>
      <c r="H671" s="100">
        <f t="shared" si="757"/>
        <v>0</v>
      </c>
      <c r="I671" s="100">
        <f t="shared" si="757"/>
        <v>0</v>
      </c>
      <c r="J671" s="100">
        <f t="shared" si="757"/>
        <v>0</v>
      </c>
      <c r="K671" s="100">
        <f t="shared" si="757"/>
        <v>0</v>
      </c>
      <c r="L671" s="100">
        <f>SUM(F671:K671)</f>
        <v>0</v>
      </c>
      <c r="M671" s="100">
        <f>L671/6</f>
        <v>0</v>
      </c>
      <c r="N671" s="100">
        <f t="shared" ref="N671:S671" si="758">N665+N664</f>
        <v>0</v>
      </c>
      <c r="O671" s="100">
        <f t="shared" si="758"/>
        <v>0</v>
      </c>
      <c r="P671" s="100">
        <f t="shared" si="758"/>
        <v>0</v>
      </c>
      <c r="Q671" s="100">
        <f t="shared" si="758"/>
        <v>0</v>
      </c>
      <c r="R671" s="100">
        <f t="shared" si="758"/>
        <v>0</v>
      </c>
      <c r="S671" s="100">
        <f t="shared" si="758"/>
        <v>0</v>
      </c>
      <c r="T671" s="100">
        <f>SUM(N671:S671)</f>
        <v>0</v>
      </c>
      <c r="U671" s="100">
        <f>T671+L671</f>
        <v>0</v>
      </c>
      <c r="V671" s="100">
        <f>V668</f>
        <v>0</v>
      </c>
      <c r="W671" s="100">
        <f>V671-U671</f>
        <v>0</v>
      </c>
    </row>
    <row r="672" spans="1:28" s="43" customFormat="1" ht="18" hidden="1" customHeight="1">
      <c r="A672" s="614"/>
      <c r="B672" s="581"/>
      <c r="C672" s="581"/>
      <c r="D672" s="202" t="str">
        <f>серпень!D595</f>
        <v xml:space="preserve">відхилення </v>
      </c>
      <c r="E672" s="100"/>
      <c r="F672" s="100">
        <f t="shared" ref="F672:K672" si="759">F668-F671</f>
        <v>0</v>
      </c>
      <c r="G672" s="100">
        <f t="shared" si="759"/>
        <v>0</v>
      </c>
      <c r="H672" s="100">
        <f t="shared" si="759"/>
        <v>0</v>
      </c>
      <c r="I672" s="100">
        <f t="shared" si="759"/>
        <v>0</v>
      </c>
      <c r="J672" s="100">
        <f t="shared" si="759"/>
        <v>0</v>
      </c>
      <c r="K672" s="100">
        <f t="shared" si="759"/>
        <v>0</v>
      </c>
      <c r="L672" s="100"/>
      <c r="M672" s="100"/>
      <c r="N672" s="100">
        <f t="shared" ref="N672:S672" si="760">N668-N671</f>
        <v>0</v>
      </c>
      <c r="O672" s="100">
        <f t="shared" si="760"/>
        <v>0</v>
      </c>
      <c r="P672" s="100">
        <f t="shared" si="760"/>
        <v>0</v>
      </c>
      <c r="Q672" s="100">
        <f t="shared" si="760"/>
        <v>0</v>
      </c>
      <c r="R672" s="100">
        <f t="shared" si="760"/>
        <v>0</v>
      </c>
      <c r="S672" s="100">
        <f t="shared" si="760"/>
        <v>0</v>
      </c>
      <c r="T672" s="100"/>
      <c r="U672" s="100"/>
      <c r="V672" s="100"/>
      <c r="W672" s="100"/>
    </row>
    <row r="673" spans="1:28" s="43" customFormat="1" hidden="1">
      <c r="A673" s="614"/>
      <c r="B673" s="581"/>
      <c r="C673" s="581"/>
      <c r="D673" s="202" t="str">
        <f>серпень!D596</f>
        <v>відхилення з наростаючим</v>
      </c>
      <c r="E673" s="100"/>
      <c r="F673" s="100">
        <f>F672</f>
        <v>0</v>
      </c>
      <c r="G673" s="100">
        <f>G672+F673</f>
        <v>0</v>
      </c>
      <c r="H673" s="100">
        <f>H672+G673</f>
        <v>0</v>
      </c>
      <c r="I673" s="100">
        <f>I672+H673</f>
        <v>0</v>
      </c>
      <c r="J673" s="100">
        <f>J672+I673</f>
        <v>0</v>
      </c>
      <c r="K673" s="100">
        <f>K672+J673</f>
        <v>0</v>
      </c>
      <c r="L673" s="100"/>
      <c r="M673" s="100"/>
      <c r="N673" s="100">
        <f>N672+K673</f>
        <v>0</v>
      </c>
      <c r="O673" s="100">
        <f>O672+N673</f>
        <v>0</v>
      </c>
      <c r="P673" s="100">
        <f>P672+O673</f>
        <v>0</v>
      </c>
      <c r="Q673" s="100">
        <f>Q672+P673</f>
        <v>0</v>
      </c>
      <c r="R673" s="100">
        <f>R672+Q673</f>
        <v>0</v>
      </c>
      <c r="S673" s="100">
        <f>S672+R673</f>
        <v>0</v>
      </c>
      <c r="T673" s="100"/>
      <c r="U673" s="100"/>
      <c r="V673" s="100"/>
      <c r="W673" s="100"/>
    </row>
    <row r="674" spans="1:28" s="55" customFormat="1" ht="15.85" hidden="1" customHeight="1">
      <c r="A674" s="614"/>
      <c r="B674" s="581" t="s">
        <v>68</v>
      </c>
      <c r="C674" s="581"/>
      <c r="D674" s="178" t="str">
        <f>серпень!D597</f>
        <v>факт. нат.п-ки 2023</v>
      </c>
      <c r="E674" s="85"/>
      <c r="F674" s="12"/>
      <c r="G674" s="12"/>
      <c r="H674" s="12"/>
      <c r="I674" s="12"/>
      <c r="J674" s="12"/>
      <c r="K674" s="12"/>
      <c r="L674" s="140">
        <f>SUM(F674:K674)</f>
        <v>0</v>
      </c>
      <c r="M674" s="140">
        <f>L674/6</f>
        <v>0</v>
      </c>
      <c r="N674" s="12"/>
      <c r="O674" s="12"/>
      <c r="P674" s="12"/>
      <c r="Q674" s="12"/>
      <c r="R674" s="12"/>
      <c r="S674" s="12"/>
      <c r="T674" s="140">
        <f>SUM(N674:S674)</f>
        <v>0</v>
      </c>
      <c r="U674" s="103">
        <f>T674+L674</f>
        <v>0</v>
      </c>
      <c r="V674" s="104"/>
      <c r="W674" s="88">
        <f>V674-U674</f>
        <v>0</v>
      </c>
      <c r="X674" s="47"/>
      <c r="Y674" s="48"/>
      <c r="Z674" s="48"/>
      <c r="AA674" s="48"/>
      <c r="AB674" s="48"/>
    </row>
    <row r="675" spans="1:28" s="48" customFormat="1" ht="15.85" hidden="1" customHeight="1">
      <c r="A675" s="614"/>
      <c r="B675" s="581"/>
      <c r="C675" s="581"/>
      <c r="D675" s="178" t="str">
        <f>серпень!D598</f>
        <v>факт. нат.п-ки 2024</v>
      </c>
      <c r="E675" s="85"/>
      <c r="F675" s="12"/>
      <c r="G675" s="12"/>
      <c r="H675" s="12"/>
      <c r="I675" s="12"/>
      <c r="J675" s="12"/>
      <c r="K675" s="12"/>
      <c r="L675" s="140">
        <f>SUM(F675:K675)</f>
        <v>0</v>
      </c>
      <c r="M675" s="140">
        <f>L675/6</f>
        <v>0</v>
      </c>
      <c r="N675" s="85"/>
      <c r="O675" s="85"/>
      <c r="P675" s="85"/>
      <c r="Q675" s="85"/>
      <c r="R675" s="85"/>
      <c r="S675" s="85"/>
      <c r="T675" s="140">
        <f>SUM(N675:S675)</f>
        <v>0</v>
      </c>
      <c r="U675" s="103">
        <f>T675+L675</f>
        <v>0</v>
      </c>
      <c r="V675" s="104"/>
      <c r="W675" s="88">
        <f>V675-U675</f>
        <v>0</v>
      </c>
      <c r="X675" s="47"/>
    </row>
    <row r="676" spans="1:28" s="48" customFormat="1" ht="15.85" hidden="1" customHeight="1">
      <c r="A676" s="614"/>
      <c r="B676" s="581"/>
      <c r="C676" s="581"/>
      <c r="D676" s="178" t="str">
        <f>серпень!D599</f>
        <v>факт. нат.п-ки 2025</v>
      </c>
      <c r="E676" s="85"/>
      <c r="F676" s="12"/>
      <c r="G676" s="12"/>
      <c r="H676" s="12"/>
      <c r="I676" s="12"/>
      <c r="J676" s="12"/>
      <c r="K676" s="12"/>
      <c r="L676" s="140">
        <f>SUM(F676:K676)</f>
        <v>0</v>
      </c>
      <c r="M676" s="140">
        <f>L676/6</f>
        <v>0</v>
      </c>
      <c r="N676" s="12"/>
      <c r="O676" s="12"/>
      <c r="P676" s="12"/>
      <c r="Q676" s="12"/>
      <c r="R676" s="12"/>
      <c r="S676" s="85"/>
      <c r="T676" s="140">
        <f>SUM(N676:S676)</f>
        <v>0</v>
      </c>
      <c r="U676" s="103">
        <f>T676+L676</f>
        <v>0</v>
      </c>
      <c r="V676" s="85"/>
      <c r="W676" s="88">
        <f>V676-U676</f>
        <v>0</v>
      </c>
      <c r="X676" s="47"/>
    </row>
    <row r="677" spans="1:28" s="51" customFormat="1" ht="15.85" hidden="1" customHeight="1">
      <c r="A677" s="614"/>
      <c r="B677" s="581"/>
      <c r="C677" s="581"/>
      <c r="D677" s="187" t="str">
        <f>серпень!D600</f>
        <v>тариф, грн.</v>
      </c>
      <c r="E677" s="92"/>
      <c r="F677" s="92"/>
      <c r="G677" s="92"/>
      <c r="H677" s="92"/>
      <c r="I677" s="92"/>
      <c r="J677" s="92"/>
      <c r="K677" s="92"/>
      <c r="L677" s="92" t="e">
        <f>L678/L676*1000</f>
        <v>#DIV/0!</v>
      </c>
      <c r="M677" s="92" t="e">
        <f>M678/M676*1000</f>
        <v>#DIV/0!</v>
      </c>
      <c r="N677" s="92"/>
      <c r="O677" s="92"/>
      <c r="P677" s="92"/>
      <c r="Q677" s="92"/>
      <c r="R677" s="92"/>
      <c r="S677" s="92"/>
      <c r="T677" s="92" t="e">
        <f>T678/T676*1000</f>
        <v>#DIV/0!</v>
      </c>
      <c r="U677" s="92" t="e">
        <f>U678/U676*1000</f>
        <v>#DIV/0!</v>
      </c>
      <c r="V677" s="105" t="e">
        <f>V678/V676*1000</f>
        <v>#DIV/0!</v>
      </c>
      <c r="W677" s="86" t="e">
        <f>W678/W676*1000</f>
        <v>#DIV/0!</v>
      </c>
      <c r="X677" s="59"/>
    </row>
    <row r="678" spans="1:28" s="130" customFormat="1" ht="15.85" hidden="1" customHeight="1">
      <c r="A678" s="614"/>
      <c r="B678" s="581"/>
      <c r="C678" s="581"/>
      <c r="D678" s="191" t="str">
        <f>серпень!D601</f>
        <v>сума, тис.грн.</v>
      </c>
      <c r="E678" s="93"/>
      <c r="F678" s="93">
        <f t="shared" ref="F678:K678" si="761">F676*F677/1000</f>
        <v>0</v>
      </c>
      <c r="G678" s="93">
        <f t="shared" si="761"/>
        <v>0</v>
      </c>
      <c r="H678" s="93">
        <f t="shared" si="761"/>
        <v>0</v>
      </c>
      <c r="I678" s="93">
        <f t="shared" si="761"/>
        <v>0</v>
      </c>
      <c r="J678" s="93">
        <f t="shared" si="761"/>
        <v>0</v>
      </c>
      <c r="K678" s="93">
        <f t="shared" si="761"/>
        <v>0</v>
      </c>
      <c r="L678" s="106">
        <f>SUM(F678:K678)</f>
        <v>0</v>
      </c>
      <c r="M678" s="106">
        <f>L678/6</f>
        <v>0</v>
      </c>
      <c r="N678" s="93">
        <f t="shared" ref="N678:S678" si="762">N676*N677/1000</f>
        <v>0</v>
      </c>
      <c r="O678" s="93">
        <f t="shared" si="762"/>
        <v>0</v>
      </c>
      <c r="P678" s="93">
        <f t="shared" si="762"/>
        <v>0</v>
      </c>
      <c r="Q678" s="93">
        <f t="shared" si="762"/>
        <v>0</v>
      </c>
      <c r="R678" s="93">
        <f t="shared" si="762"/>
        <v>0</v>
      </c>
      <c r="S678" s="93">
        <f t="shared" si="762"/>
        <v>0</v>
      </c>
      <c r="T678" s="106">
        <f>SUM(N678:S678)</f>
        <v>0</v>
      </c>
      <c r="U678" s="106">
        <f>T678+L678</f>
        <v>0</v>
      </c>
      <c r="V678" s="107">
        <f>V679+V680</f>
        <v>0</v>
      </c>
      <c r="W678" s="94">
        <f>V678-U678</f>
        <v>0</v>
      </c>
    </row>
    <row r="679" spans="1:28" s="130" customFormat="1" ht="15.85" hidden="1" customHeight="1">
      <c r="A679" s="614"/>
      <c r="B679" s="581"/>
      <c r="C679" s="581"/>
      <c r="D679" s="174" t="str">
        <f>серпень!D602</f>
        <v>дотація</v>
      </c>
      <c r="E679" s="95"/>
      <c r="F679" s="93"/>
      <c r="G679" s="93"/>
      <c r="H679" s="93"/>
      <c r="I679" s="93"/>
      <c r="J679" s="93"/>
      <c r="K679" s="93"/>
      <c r="L679" s="106">
        <f>SUM(F679:K679)</f>
        <v>0</v>
      </c>
      <c r="M679" s="106">
        <f>L679/6</f>
        <v>0</v>
      </c>
      <c r="N679" s="93"/>
      <c r="O679" s="93"/>
      <c r="P679" s="93"/>
      <c r="Q679" s="93"/>
      <c r="R679" s="93"/>
      <c r="S679" s="93"/>
      <c r="T679" s="106">
        <f>SUM(N679:S679)</f>
        <v>0</v>
      </c>
      <c r="U679" s="106">
        <f>T679+L679</f>
        <v>0</v>
      </c>
      <c r="V679" s="107">
        <v>0</v>
      </c>
      <c r="W679" s="94">
        <f>V679-U679</f>
        <v>0</v>
      </c>
    </row>
    <row r="680" spans="1:28" s="130" customFormat="1" ht="15.85" hidden="1" customHeight="1">
      <c r="A680" s="614"/>
      <c r="B680" s="581"/>
      <c r="C680" s="581"/>
      <c r="D680" s="174" t="str">
        <f>серпень!D603</f>
        <v>місцевий (план), тис.грн</v>
      </c>
      <c r="E680" s="95"/>
      <c r="F680" s="93"/>
      <c r="G680" s="93"/>
      <c r="H680" s="93"/>
      <c r="I680" s="93"/>
      <c r="J680" s="93"/>
      <c r="K680" s="93"/>
      <c r="L680" s="106">
        <f>SUM(F680:K680)</f>
        <v>0</v>
      </c>
      <c r="M680" s="106">
        <f>L680/6</f>
        <v>0</v>
      </c>
      <c r="N680" s="93"/>
      <c r="O680" s="93"/>
      <c r="P680" s="93"/>
      <c r="Q680" s="93"/>
      <c r="R680" s="93"/>
      <c r="S680" s="93"/>
      <c r="T680" s="106">
        <f>SUM(N680:S680)</f>
        <v>0</v>
      </c>
      <c r="U680" s="106">
        <f>T680+L680</f>
        <v>0</v>
      </c>
      <c r="V680" s="107">
        <v>0</v>
      </c>
      <c r="W680" s="94">
        <f>V680-U680</f>
        <v>0</v>
      </c>
    </row>
    <row r="681" spans="1:28" s="48" customFormat="1" ht="15.85" hidden="1" customHeight="1">
      <c r="A681" s="614"/>
      <c r="B681" s="581"/>
      <c r="C681" s="581"/>
      <c r="D681" s="178" t="str">
        <f>серпень!D604</f>
        <v>касові нат.п-ки 2025</v>
      </c>
      <c r="E681" s="85"/>
      <c r="F681" s="85"/>
      <c r="G681" s="85"/>
      <c r="H681" s="85"/>
      <c r="I681" s="85"/>
      <c r="J681" s="85"/>
      <c r="K681" s="85"/>
      <c r="L681" s="140">
        <f>SUM(F681:K681)</f>
        <v>0</v>
      </c>
      <c r="M681" s="140">
        <f>L681/6</f>
        <v>0</v>
      </c>
      <c r="N681" s="85"/>
      <c r="O681" s="85"/>
      <c r="P681" s="85"/>
      <c r="Q681" s="85"/>
      <c r="R681" s="85"/>
      <c r="S681" s="85"/>
      <c r="T681" s="140">
        <f>SUM(N681:S681)</f>
        <v>0</v>
      </c>
      <c r="U681" s="140">
        <f>T681+L681</f>
        <v>0</v>
      </c>
      <c r="V681" s="85">
        <f>V676</f>
        <v>0</v>
      </c>
      <c r="W681" s="88">
        <f>V681-U681</f>
        <v>0</v>
      </c>
      <c r="X681" s="47">
        <f>U676-U681</f>
        <v>0</v>
      </c>
    </row>
    <row r="682" spans="1:28" s="51" customFormat="1" ht="15.85" hidden="1" customHeight="1">
      <c r="A682" s="614"/>
      <c r="B682" s="581"/>
      <c r="C682" s="581"/>
      <c r="D682" s="187" t="str">
        <f>серпень!D605</f>
        <v>тариф, грн.</v>
      </c>
      <c r="E682" s="92" t="e">
        <f>E683/E681*1000</f>
        <v>#DIV/0!</v>
      </c>
      <c r="F682" s="92"/>
      <c r="G682" s="92"/>
      <c r="H682" s="92"/>
      <c r="I682" s="92"/>
      <c r="J682" s="92"/>
      <c r="K682" s="92"/>
      <c r="L682" s="92" t="e">
        <f>L683/L681*1000</f>
        <v>#DIV/0!</v>
      </c>
      <c r="M682" s="92" t="e">
        <f>M683/M681*1000</f>
        <v>#DIV/0!</v>
      </c>
      <c r="N682" s="92"/>
      <c r="O682" s="92"/>
      <c r="P682" s="92"/>
      <c r="Q682" s="92"/>
      <c r="R682" s="92"/>
      <c r="S682" s="92"/>
      <c r="T682" s="92" t="e">
        <f>T683/T681*1000</f>
        <v>#DIV/0!</v>
      </c>
      <c r="U682" s="92" t="e">
        <f>U683/U681*1000</f>
        <v>#DIV/0!</v>
      </c>
      <c r="V682" s="105" t="e">
        <f>V683/V681*1000</f>
        <v>#DIV/0!</v>
      </c>
      <c r="W682" s="86" t="e">
        <f>W683/W681*1000</f>
        <v>#DIV/0!</v>
      </c>
      <c r="X682" s="59"/>
    </row>
    <row r="683" spans="1:28" s="126" customFormat="1" ht="15.85" hidden="1" customHeight="1">
      <c r="A683" s="614"/>
      <c r="B683" s="581"/>
      <c r="C683" s="581"/>
      <c r="D683" s="198" t="str">
        <f>серпень!D606</f>
        <v>касові видатки, тис.грн.</v>
      </c>
      <c r="E683" s="108"/>
      <c r="F683" s="98">
        <f t="shared" ref="F683:K683" si="763">F681*F682/1000</f>
        <v>0</v>
      </c>
      <c r="G683" s="98">
        <f t="shared" si="763"/>
        <v>0</v>
      </c>
      <c r="H683" s="98">
        <f t="shared" si="763"/>
        <v>0</v>
      </c>
      <c r="I683" s="98">
        <f t="shared" si="763"/>
        <v>0</v>
      </c>
      <c r="J683" s="98">
        <f t="shared" si="763"/>
        <v>0</v>
      </c>
      <c r="K683" s="98">
        <f t="shared" si="763"/>
        <v>0</v>
      </c>
      <c r="L683" s="98">
        <f>SUM(F683:K683)</f>
        <v>0</v>
      </c>
      <c r="M683" s="98">
        <f>L683/6</f>
        <v>0</v>
      </c>
      <c r="N683" s="98">
        <f t="shared" ref="N683:S683" si="764">N681*N682/1000</f>
        <v>0</v>
      </c>
      <c r="O683" s="98">
        <f t="shared" si="764"/>
        <v>0</v>
      </c>
      <c r="P683" s="98">
        <f t="shared" si="764"/>
        <v>0</v>
      </c>
      <c r="Q683" s="98">
        <f t="shared" si="764"/>
        <v>0</v>
      </c>
      <c r="R683" s="98">
        <f t="shared" si="764"/>
        <v>0</v>
      </c>
      <c r="S683" s="98">
        <f t="shared" si="764"/>
        <v>0</v>
      </c>
      <c r="T683" s="98">
        <f>SUM(N683:S683)</f>
        <v>0</v>
      </c>
      <c r="U683" s="98">
        <f>T683+L683</f>
        <v>0</v>
      </c>
      <c r="V683" s="98">
        <f>V678</f>
        <v>0</v>
      </c>
      <c r="W683" s="109">
        <f>V683-U683</f>
        <v>0</v>
      </c>
      <c r="X683" s="63">
        <f>U678-U683</f>
        <v>0</v>
      </c>
    </row>
    <row r="684" spans="1:28" s="126" customFormat="1" ht="15.85" hidden="1" customHeight="1">
      <c r="A684" s="614"/>
      <c r="B684" s="581"/>
      <c r="C684" s="581"/>
      <c r="D684" s="201" t="str">
        <f>серпень!D607</f>
        <v>дотація</v>
      </c>
      <c r="E684" s="108"/>
      <c r="F684" s="98"/>
      <c r="G684" s="98"/>
      <c r="H684" s="98"/>
      <c r="I684" s="98"/>
      <c r="J684" s="98"/>
      <c r="K684" s="98"/>
      <c r="L684" s="98">
        <f>SUM(F684:K684)</f>
        <v>0</v>
      </c>
      <c r="M684" s="98">
        <f>L684/6</f>
        <v>0</v>
      </c>
      <c r="N684" s="98"/>
      <c r="O684" s="98"/>
      <c r="P684" s="98"/>
      <c r="Q684" s="98"/>
      <c r="R684" s="98"/>
      <c r="S684" s="98"/>
      <c r="T684" s="98">
        <f>SUM(N684:S684)</f>
        <v>0</v>
      </c>
      <c r="U684" s="98">
        <f>T684+L684</f>
        <v>0</v>
      </c>
      <c r="V684" s="98">
        <f>V679</f>
        <v>0</v>
      </c>
      <c r="W684" s="109">
        <f>V684-U684</f>
        <v>0</v>
      </c>
      <c r="X684" s="63"/>
    </row>
    <row r="685" spans="1:28" s="126" customFormat="1" ht="15.85" hidden="1" customHeight="1">
      <c r="A685" s="614"/>
      <c r="B685" s="581"/>
      <c r="C685" s="581"/>
      <c r="D685" s="201" t="str">
        <f>серпень!D608</f>
        <v xml:space="preserve">місцевий </v>
      </c>
      <c r="E685" s="108"/>
      <c r="F685" s="98">
        <f t="shared" ref="F685:K685" si="765">F683-F684</f>
        <v>0</v>
      </c>
      <c r="G685" s="98">
        <f t="shared" si="765"/>
        <v>0</v>
      </c>
      <c r="H685" s="98">
        <f t="shared" si="765"/>
        <v>0</v>
      </c>
      <c r="I685" s="98">
        <f t="shared" si="765"/>
        <v>0</v>
      </c>
      <c r="J685" s="98">
        <f t="shared" si="765"/>
        <v>0</v>
      </c>
      <c r="K685" s="98">
        <f t="shared" si="765"/>
        <v>0</v>
      </c>
      <c r="L685" s="98">
        <f>SUM(F685:K685)</f>
        <v>0</v>
      </c>
      <c r="M685" s="98">
        <f>L685/6</f>
        <v>0</v>
      </c>
      <c r="N685" s="98">
        <f t="shared" ref="N685:S685" si="766">N683-N684</f>
        <v>0</v>
      </c>
      <c r="O685" s="98">
        <f t="shared" si="766"/>
        <v>0</v>
      </c>
      <c r="P685" s="98">
        <f t="shared" si="766"/>
        <v>0</v>
      </c>
      <c r="Q685" s="98">
        <f t="shared" si="766"/>
        <v>0</v>
      </c>
      <c r="R685" s="98">
        <f t="shared" si="766"/>
        <v>0</v>
      </c>
      <c r="S685" s="98">
        <f t="shared" si="766"/>
        <v>0</v>
      </c>
      <c r="T685" s="98">
        <f>SUM(N685:S685)</f>
        <v>0</v>
      </c>
      <c r="U685" s="98">
        <f>T685+L685</f>
        <v>0</v>
      </c>
      <c r="V685" s="98">
        <f>V680</f>
        <v>0</v>
      </c>
      <c r="W685" s="109">
        <f>V685-U685</f>
        <v>0</v>
      </c>
      <c r="X685" s="63">
        <f>U680-U685</f>
        <v>0</v>
      </c>
    </row>
    <row r="686" spans="1:28" s="43" customFormat="1" ht="15.85" hidden="1" customHeight="1">
      <c r="A686" s="614"/>
      <c r="B686" s="581"/>
      <c r="C686" s="581"/>
      <c r="D686" s="202" t="str">
        <f>серпень!D609</f>
        <v>план</v>
      </c>
      <c r="E686" s="100"/>
      <c r="F686" s="100">
        <f t="shared" ref="F686:K686" si="767">F680</f>
        <v>0</v>
      </c>
      <c r="G686" s="100">
        <f t="shared" si="767"/>
        <v>0</v>
      </c>
      <c r="H686" s="100">
        <f t="shared" si="767"/>
        <v>0</v>
      </c>
      <c r="I686" s="100">
        <f t="shared" si="767"/>
        <v>0</v>
      </c>
      <c r="J686" s="100">
        <f t="shared" si="767"/>
        <v>0</v>
      </c>
      <c r="K686" s="100">
        <f t="shared" si="767"/>
        <v>0</v>
      </c>
      <c r="L686" s="100">
        <f>SUM(F686:K686)</f>
        <v>0</v>
      </c>
      <c r="M686" s="100">
        <f>L686/6</f>
        <v>0</v>
      </c>
      <c r="N686" s="100">
        <f t="shared" ref="N686:S686" si="768">N680+N679</f>
        <v>0</v>
      </c>
      <c r="O686" s="100">
        <f t="shared" si="768"/>
        <v>0</v>
      </c>
      <c r="P686" s="100">
        <f t="shared" si="768"/>
        <v>0</v>
      </c>
      <c r="Q686" s="100">
        <f t="shared" si="768"/>
        <v>0</v>
      </c>
      <c r="R686" s="100">
        <f t="shared" si="768"/>
        <v>0</v>
      </c>
      <c r="S686" s="100">
        <f t="shared" si="768"/>
        <v>0</v>
      </c>
      <c r="T686" s="100">
        <f>SUM(N686:S686)</f>
        <v>0</v>
      </c>
      <c r="U686" s="100">
        <f>T686+L686</f>
        <v>0</v>
      </c>
      <c r="V686" s="100">
        <f>V683</f>
        <v>0</v>
      </c>
      <c r="W686" s="100">
        <f>V686-U686</f>
        <v>0</v>
      </c>
    </row>
    <row r="687" spans="1:28" s="43" customFormat="1" ht="18.2" hidden="1" customHeight="1">
      <c r="A687" s="614"/>
      <c r="B687" s="581"/>
      <c r="C687" s="581"/>
      <c r="D687" s="202" t="str">
        <f>серпень!D610</f>
        <v xml:space="preserve">відхилення </v>
      </c>
      <c r="E687" s="100"/>
      <c r="F687" s="100">
        <f t="shared" ref="F687:K687" si="769">F683-F686</f>
        <v>0</v>
      </c>
      <c r="G687" s="100">
        <f t="shared" si="769"/>
        <v>0</v>
      </c>
      <c r="H687" s="100">
        <f t="shared" si="769"/>
        <v>0</v>
      </c>
      <c r="I687" s="100">
        <f t="shared" si="769"/>
        <v>0</v>
      </c>
      <c r="J687" s="100">
        <f t="shared" si="769"/>
        <v>0</v>
      </c>
      <c r="K687" s="100">
        <f t="shared" si="769"/>
        <v>0</v>
      </c>
      <c r="L687" s="100"/>
      <c r="M687" s="100"/>
      <c r="N687" s="100">
        <f t="shared" ref="N687:S687" si="770">N683-N686</f>
        <v>0</v>
      </c>
      <c r="O687" s="100">
        <f t="shared" si="770"/>
        <v>0</v>
      </c>
      <c r="P687" s="100">
        <f t="shared" si="770"/>
        <v>0</v>
      </c>
      <c r="Q687" s="100">
        <f t="shared" si="770"/>
        <v>0</v>
      </c>
      <c r="R687" s="100">
        <f t="shared" si="770"/>
        <v>0</v>
      </c>
      <c r="S687" s="100">
        <f t="shared" si="770"/>
        <v>0</v>
      </c>
      <c r="T687" s="100"/>
      <c r="U687" s="100"/>
      <c r="V687" s="100"/>
      <c r="W687" s="100"/>
    </row>
    <row r="688" spans="1:28" s="43" customFormat="1" ht="18.350000000000001" hidden="1" customHeight="1">
      <c r="A688" s="614"/>
      <c r="B688" s="581"/>
      <c r="C688" s="581"/>
      <c r="D688" s="202" t="str">
        <f>серпень!D611</f>
        <v>відхилення з наростаючим</v>
      </c>
      <c r="E688" s="100"/>
      <c r="F688" s="100">
        <f>F687</f>
        <v>0</v>
      </c>
      <c r="G688" s="100">
        <f>G687+F688</f>
        <v>0</v>
      </c>
      <c r="H688" s="100">
        <f>H687+G688</f>
        <v>0</v>
      </c>
      <c r="I688" s="100">
        <f>I687+H688</f>
        <v>0</v>
      </c>
      <c r="J688" s="100">
        <f>J687+I688</f>
        <v>0</v>
      </c>
      <c r="K688" s="100">
        <f>K687+J688</f>
        <v>0</v>
      </c>
      <c r="L688" s="100"/>
      <c r="M688" s="100"/>
      <c r="N688" s="100">
        <f>N687+K688</f>
        <v>0</v>
      </c>
      <c r="O688" s="100">
        <f>O687+N688</f>
        <v>0</v>
      </c>
      <c r="P688" s="100">
        <f>P687+O688</f>
        <v>0</v>
      </c>
      <c r="Q688" s="100">
        <f>Q687+P688</f>
        <v>0</v>
      </c>
      <c r="R688" s="100">
        <f>R687+Q688</f>
        <v>0</v>
      </c>
      <c r="S688" s="100">
        <f>S687+R688</f>
        <v>0</v>
      </c>
      <c r="T688" s="100"/>
      <c r="U688" s="100"/>
      <c r="V688" s="100"/>
      <c r="W688" s="100"/>
    </row>
    <row r="689" spans="1:28" s="55" customFormat="1" ht="15.85" hidden="1" customHeight="1">
      <c r="A689" s="614"/>
      <c r="B689" s="654" t="s">
        <v>133</v>
      </c>
      <c r="C689" s="581"/>
      <c r="D689" s="178" t="str">
        <f>серпень!D612</f>
        <v>факт. нат.п-ки 2023</v>
      </c>
      <c r="E689" s="85"/>
      <c r="F689" s="12"/>
      <c r="G689" s="12"/>
      <c r="H689" s="12"/>
      <c r="I689" s="12"/>
      <c r="J689" s="12"/>
      <c r="K689" s="12"/>
      <c r="L689" s="140">
        <f>SUM(F689:K689)</f>
        <v>0</v>
      </c>
      <c r="M689" s="140">
        <f>L689/6</f>
        <v>0</v>
      </c>
      <c r="N689" s="12"/>
      <c r="O689" s="12"/>
      <c r="P689" s="12"/>
      <c r="Q689" s="12"/>
      <c r="R689" s="12"/>
      <c r="S689" s="12"/>
      <c r="T689" s="140">
        <f>SUM(N689:S689)</f>
        <v>0</v>
      </c>
      <c r="U689" s="103">
        <f>T689+L689</f>
        <v>0</v>
      </c>
      <c r="V689" s="104"/>
      <c r="W689" s="88">
        <f>V689-U689</f>
        <v>0</v>
      </c>
      <c r="X689" s="47"/>
      <c r="Y689" s="48"/>
      <c r="Z689" s="48"/>
      <c r="AA689" s="48"/>
      <c r="AB689" s="48"/>
    </row>
    <row r="690" spans="1:28" s="48" customFormat="1" ht="15.85" hidden="1" customHeight="1">
      <c r="A690" s="614"/>
      <c r="B690" s="581"/>
      <c r="C690" s="581"/>
      <c r="D690" s="178" t="str">
        <f>серпень!D613</f>
        <v>факт. нат.п-ки 2024</v>
      </c>
      <c r="E690" s="85"/>
      <c r="F690" s="12"/>
      <c r="G690" s="12"/>
      <c r="H690" s="12"/>
      <c r="I690" s="12"/>
      <c r="J690" s="12"/>
      <c r="K690" s="12"/>
      <c r="L690" s="140">
        <f>SUM(F690:K690)</f>
        <v>0</v>
      </c>
      <c r="M690" s="140">
        <f>L690/6</f>
        <v>0</v>
      </c>
      <c r="N690" s="85"/>
      <c r="O690" s="85"/>
      <c r="P690" s="85"/>
      <c r="Q690" s="85"/>
      <c r="R690" s="85"/>
      <c r="S690" s="85"/>
      <c r="T690" s="140">
        <f>SUM(N690:S690)</f>
        <v>0</v>
      </c>
      <c r="U690" s="103">
        <f>T690+L690</f>
        <v>0</v>
      </c>
      <c r="V690" s="104"/>
      <c r="W690" s="88">
        <f>V690-U690</f>
        <v>0</v>
      </c>
      <c r="X690" s="47"/>
    </row>
    <row r="691" spans="1:28" s="48" customFormat="1" ht="15.85" hidden="1" customHeight="1">
      <c r="A691" s="614"/>
      <c r="B691" s="581"/>
      <c r="C691" s="581"/>
      <c r="D691" s="178" t="str">
        <f>серпень!D614</f>
        <v>факт. нат.п-ки 2025</v>
      </c>
      <c r="E691" s="85"/>
      <c r="F691" s="12"/>
      <c r="G691" s="12"/>
      <c r="H691" s="12"/>
      <c r="I691" s="12"/>
      <c r="J691" s="12"/>
      <c r="K691" s="12"/>
      <c r="L691" s="140">
        <f>SUM(F691:K691)</f>
        <v>0</v>
      </c>
      <c r="M691" s="140">
        <f>L691/6</f>
        <v>0</v>
      </c>
      <c r="N691" s="12"/>
      <c r="O691" s="12"/>
      <c r="P691" s="12"/>
      <c r="Q691" s="12"/>
      <c r="R691" s="12"/>
      <c r="S691" s="85"/>
      <c r="T691" s="140">
        <f>SUM(N691:S691)</f>
        <v>0</v>
      </c>
      <c r="U691" s="103">
        <f>T691+L691</f>
        <v>0</v>
      </c>
      <c r="V691" s="85"/>
      <c r="W691" s="88">
        <f>V691-U691</f>
        <v>0</v>
      </c>
      <c r="X691" s="47"/>
    </row>
    <row r="692" spans="1:28" s="51" customFormat="1" ht="15.85" hidden="1" customHeight="1">
      <c r="A692" s="614"/>
      <c r="B692" s="581"/>
      <c r="C692" s="581"/>
      <c r="D692" s="187" t="str">
        <f>серпень!D615</f>
        <v>тариф, грн.</v>
      </c>
      <c r="E692" s="92"/>
      <c r="F692" s="92"/>
      <c r="G692" s="92"/>
      <c r="H692" s="92"/>
      <c r="I692" s="92"/>
      <c r="J692" s="92"/>
      <c r="K692" s="92"/>
      <c r="L692" s="92" t="e">
        <f>L693/L691*1000</f>
        <v>#DIV/0!</v>
      </c>
      <c r="M692" s="92" t="e">
        <f>M693/M691*1000</f>
        <v>#DIV/0!</v>
      </c>
      <c r="N692" s="92"/>
      <c r="O692" s="92"/>
      <c r="P692" s="92"/>
      <c r="Q692" s="92"/>
      <c r="R692" s="92"/>
      <c r="S692" s="92"/>
      <c r="T692" s="92" t="e">
        <f>T693/T691*1000</f>
        <v>#DIV/0!</v>
      </c>
      <c r="U692" s="92" t="e">
        <f>U693/U691*1000</f>
        <v>#DIV/0!</v>
      </c>
      <c r="V692" s="105" t="e">
        <f>V693/V691*1000</f>
        <v>#DIV/0!</v>
      </c>
      <c r="W692" s="86" t="e">
        <f>W693/W691*1000</f>
        <v>#DIV/0!</v>
      </c>
      <c r="X692" s="59"/>
    </row>
    <row r="693" spans="1:28" s="130" customFormat="1" ht="15.85" hidden="1" customHeight="1">
      <c r="A693" s="614"/>
      <c r="B693" s="581"/>
      <c r="C693" s="581"/>
      <c r="D693" s="191" t="str">
        <f>серпень!D616</f>
        <v>сума, тис.грн.</v>
      </c>
      <c r="E693" s="93"/>
      <c r="F693" s="93">
        <f t="shared" ref="F693:K693" si="771">F691*F692/1000</f>
        <v>0</v>
      </c>
      <c r="G693" s="93">
        <f t="shared" si="771"/>
        <v>0</v>
      </c>
      <c r="H693" s="93">
        <f t="shared" si="771"/>
        <v>0</v>
      </c>
      <c r="I693" s="93">
        <f t="shared" si="771"/>
        <v>0</v>
      </c>
      <c r="J693" s="93">
        <f t="shared" si="771"/>
        <v>0</v>
      </c>
      <c r="K693" s="93">
        <f t="shared" si="771"/>
        <v>0</v>
      </c>
      <c r="L693" s="106">
        <f>SUM(F693:K693)</f>
        <v>0</v>
      </c>
      <c r="M693" s="106">
        <f>L693/6</f>
        <v>0</v>
      </c>
      <c r="N693" s="93">
        <f t="shared" ref="N693:S693" si="772">N691*N692/1000</f>
        <v>0</v>
      </c>
      <c r="O693" s="93">
        <f t="shared" si="772"/>
        <v>0</v>
      </c>
      <c r="P693" s="93">
        <f t="shared" si="772"/>
        <v>0</v>
      </c>
      <c r="Q693" s="93">
        <f t="shared" si="772"/>
        <v>0</v>
      </c>
      <c r="R693" s="93">
        <f t="shared" si="772"/>
        <v>0</v>
      </c>
      <c r="S693" s="93">
        <f t="shared" si="772"/>
        <v>0</v>
      </c>
      <c r="T693" s="106">
        <f>SUM(N693:S693)</f>
        <v>0</v>
      </c>
      <c r="U693" s="106">
        <f>T693+L693</f>
        <v>0</v>
      </c>
      <c r="V693" s="107">
        <f>V694+V695</f>
        <v>0</v>
      </c>
      <c r="W693" s="94">
        <f>V693-U693</f>
        <v>0</v>
      </c>
    </row>
    <row r="694" spans="1:28" s="130" customFormat="1" ht="15.85" hidden="1" customHeight="1">
      <c r="A694" s="614"/>
      <c r="B694" s="581"/>
      <c r="C694" s="581"/>
      <c r="D694" s="174" t="str">
        <f>серпень!D617</f>
        <v>дотація</v>
      </c>
      <c r="E694" s="95"/>
      <c r="F694" s="93"/>
      <c r="G694" s="93"/>
      <c r="H694" s="93"/>
      <c r="I694" s="93"/>
      <c r="J694" s="93"/>
      <c r="K694" s="93"/>
      <c r="L694" s="106">
        <f>SUM(F694:K694)</f>
        <v>0</v>
      </c>
      <c r="M694" s="106">
        <f>L694/6</f>
        <v>0</v>
      </c>
      <c r="N694" s="93"/>
      <c r="O694" s="93"/>
      <c r="P694" s="93"/>
      <c r="Q694" s="93"/>
      <c r="R694" s="93"/>
      <c r="S694" s="93"/>
      <c r="T694" s="106">
        <f>SUM(N694:S694)</f>
        <v>0</v>
      </c>
      <c r="U694" s="106">
        <f>T694+L694</f>
        <v>0</v>
      </c>
      <c r="V694" s="107">
        <v>0</v>
      </c>
      <c r="W694" s="94">
        <f>V694-U694</f>
        <v>0</v>
      </c>
    </row>
    <row r="695" spans="1:28" s="130" customFormat="1" ht="15.85" hidden="1" customHeight="1">
      <c r="A695" s="614"/>
      <c r="B695" s="581"/>
      <c r="C695" s="581"/>
      <c r="D695" s="174" t="str">
        <f>серпень!D618</f>
        <v>місцевий (план), тис.грн</v>
      </c>
      <c r="E695" s="95"/>
      <c r="F695" s="93"/>
      <c r="G695" s="93"/>
      <c r="H695" s="93"/>
      <c r="I695" s="93"/>
      <c r="J695" s="93"/>
      <c r="K695" s="93"/>
      <c r="L695" s="106">
        <f>SUM(F695:K695)</f>
        <v>0</v>
      </c>
      <c r="M695" s="106">
        <f>L695/6</f>
        <v>0</v>
      </c>
      <c r="N695" s="93"/>
      <c r="O695" s="93"/>
      <c r="P695" s="93"/>
      <c r="Q695" s="93"/>
      <c r="R695" s="93"/>
      <c r="S695" s="93"/>
      <c r="T695" s="106">
        <f>SUM(N695:S695)</f>
        <v>0</v>
      </c>
      <c r="U695" s="106">
        <f>T695+L695</f>
        <v>0</v>
      </c>
      <c r="V695" s="107">
        <v>0</v>
      </c>
      <c r="W695" s="94">
        <f>V695-U695</f>
        <v>0</v>
      </c>
    </row>
    <row r="696" spans="1:28" s="48" customFormat="1" ht="15.85" hidden="1" customHeight="1">
      <c r="A696" s="614"/>
      <c r="B696" s="581"/>
      <c r="C696" s="581"/>
      <c r="D696" s="178" t="str">
        <f>серпень!D619</f>
        <v>касові нат.п-ки 2025</v>
      </c>
      <c r="E696" s="85"/>
      <c r="F696" s="85"/>
      <c r="G696" s="85"/>
      <c r="H696" s="85"/>
      <c r="I696" s="85"/>
      <c r="J696" s="85"/>
      <c r="K696" s="85"/>
      <c r="L696" s="140">
        <f>SUM(F696:K696)</f>
        <v>0</v>
      </c>
      <c r="M696" s="140">
        <f>L696/6</f>
        <v>0</v>
      </c>
      <c r="N696" s="85"/>
      <c r="O696" s="85"/>
      <c r="P696" s="85"/>
      <c r="Q696" s="85"/>
      <c r="R696" s="85"/>
      <c r="S696" s="85"/>
      <c r="T696" s="140">
        <f>SUM(N696:S696)</f>
        <v>0</v>
      </c>
      <c r="U696" s="140">
        <f>T696+L696</f>
        <v>0</v>
      </c>
      <c r="V696" s="85">
        <f>V691</f>
        <v>0</v>
      </c>
      <c r="W696" s="88">
        <f>V696-U696</f>
        <v>0</v>
      </c>
      <c r="X696" s="47">
        <f>U691-U696</f>
        <v>0</v>
      </c>
    </row>
    <row r="697" spans="1:28" s="51" customFormat="1" ht="15.85" hidden="1" customHeight="1">
      <c r="A697" s="614"/>
      <c r="B697" s="581"/>
      <c r="C697" s="581"/>
      <c r="D697" s="187" t="str">
        <f>серпень!D620</f>
        <v>тариф, грн.</v>
      </c>
      <c r="E697" s="92" t="e">
        <f>E698/E696*1000</f>
        <v>#DIV/0!</v>
      </c>
      <c r="F697" s="92"/>
      <c r="G697" s="92"/>
      <c r="H697" s="92"/>
      <c r="I697" s="92"/>
      <c r="J697" s="92"/>
      <c r="K697" s="92"/>
      <c r="L697" s="92" t="e">
        <f>L698/L696*1000</f>
        <v>#DIV/0!</v>
      </c>
      <c r="M697" s="92" t="e">
        <f>M698/M696*1000</f>
        <v>#DIV/0!</v>
      </c>
      <c r="N697" s="92"/>
      <c r="O697" s="92"/>
      <c r="P697" s="92"/>
      <c r="Q697" s="92"/>
      <c r="R697" s="92"/>
      <c r="S697" s="92"/>
      <c r="T697" s="92" t="e">
        <f>T698/T696*1000</f>
        <v>#DIV/0!</v>
      </c>
      <c r="U697" s="92" t="e">
        <f>U698/U696*1000</f>
        <v>#DIV/0!</v>
      </c>
      <c r="V697" s="105" t="e">
        <f>V698/V696*1000</f>
        <v>#DIV/0!</v>
      </c>
      <c r="W697" s="86" t="e">
        <f>W698/W696*1000</f>
        <v>#DIV/0!</v>
      </c>
      <c r="X697" s="59"/>
    </row>
    <row r="698" spans="1:28" s="126" customFormat="1" ht="15.85" hidden="1" customHeight="1">
      <c r="A698" s="614"/>
      <c r="B698" s="581"/>
      <c r="C698" s="581"/>
      <c r="D698" s="198" t="str">
        <f>серпень!D621</f>
        <v>касові видатки, тис.грн.</v>
      </c>
      <c r="E698" s="108"/>
      <c r="F698" s="98">
        <f t="shared" ref="F698:K698" si="773">F696*F697/1000</f>
        <v>0</v>
      </c>
      <c r="G698" s="98">
        <f t="shared" si="773"/>
        <v>0</v>
      </c>
      <c r="H698" s="98">
        <f t="shared" si="773"/>
        <v>0</v>
      </c>
      <c r="I698" s="98">
        <f t="shared" si="773"/>
        <v>0</v>
      </c>
      <c r="J698" s="98">
        <f t="shared" si="773"/>
        <v>0</v>
      </c>
      <c r="K698" s="98">
        <f t="shared" si="773"/>
        <v>0</v>
      </c>
      <c r="L698" s="98">
        <f>SUM(F698:K698)</f>
        <v>0</v>
      </c>
      <c r="M698" s="98">
        <f>L698/6</f>
        <v>0</v>
      </c>
      <c r="N698" s="98">
        <f t="shared" ref="N698:S698" si="774">N696*N697/1000</f>
        <v>0</v>
      </c>
      <c r="O698" s="98">
        <f t="shared" si="774"/>
        <v>0</v>
      </c>
      <c r="P698" s="98">
        <f t="shared" si="774"/>
        <v>0</v>
      </c>
      <c r="Q698" s="98">
        <f t="shared" si="774"/>
        <v>0</v>
      </c>
      <c r="R698" s="98">
        <f t="shared" si="774"/>
        <v>0</v>
      </c>
      <c r="S698" s="98">
        <f t="shared" si="774"/>
        <v>0</v>
      </c>
      <c r="T698" s="98">
        <f>SUM(N698:S698)</f>
        <v>0</v>
      </c>
      <c r="U698" s="98">
        <f>T698+L698</f>
        <v>0</v>
      </c>
      <c r="V698" s="98">
        <f>V693</f>
        <v>0</v>
      </c>
      <c r="W698" s="109">
        <f>V698-U698</f>
        <v>0</v>
      </c>
      <c r="X698" s="63">
        <f>U693-U698</f>
        <v>0</v>
      </c>
    </row>
    <row r="699" spans="1:28" s="126" customFormat="1" ht="15.85" hidden="1" customHeight="1">
      <c r="A699" s="614"/>
      <c r="B699" s="581"/>
      <c r="C699" s="581"/>
      <c r="D699" s="201" t="str">
        <f>серпень!D622</f>
        <v>дотація</v>
      </c>
      <c r="E699" s="108"/>
      <c r="F699" s="98"/>
      <c r="G699" s="98"/>
      <c r="H699" s="98"/>
      <c r="I699" s="98"/>
      <c r="J699" s="98"/>
      <c r="K699" s="98"/>
      <c r="L699" s="98">
        <f>SUM(F699:K699)</f>
        <v>0</v>
      </c>
      <c r="M699" s="98">
        <f>L699/6</f>
        <v>0</v>
      </c>
      <c r="N699" s="98"/>
      <c r="O699" s="98"/>
      <c r="P699" s="98"/>
      <c r="Q699" s="98"/>
      <c r="R699" s="98"/>
      <c r="S699" s="98"/>
      <c r="T699" s="98">
        <f>SUM(N699:S699)</f>
        <v>0</v>
      </c>
      <c r="U699" s="98">
        <f>T699+L699</f>
        <v>0</v>
      </c>
      <c r="V699" s="98">
        <f>V694</f>
        <v>0</v>
      </c>
      <c r="W699" s="109">
        <f>V699-U699</f>
        <v>0</v>
      </c>
      <c r="X699" s="63"/>
    </row>
    <row r="700" spans="1:28" s="126" customFormat="1" ht="15.85" hidden="1" customHeight="1">
      <c r="A700" s="614"/>
      <c r="B700" s="581"/>
      <c r="C700" s="581"/>
      <c r="D700" s="201" t="str">
        <f>серпень!D623</f>
        <v xml:space="preserve">місцевий </v>
      </c>
      <c r="E700" s="108"/>
      <c r="F700" s="98">
        <f t="shared" ref="F700:K700" si="775">F698-F699</f>
        <v>0</v>
      </c>
      <c r="G700" s="98">
        <f t="shared" si="775"/>
        <v>0</v>
      </c>
      <c r="H700" s="98">
        <f t="shared" si="775"/>
        <v>0</v>
      </c>
      <c r="I700" s="98">
        <f t="shared" si="775"/>
        <v>0</v>
      </c>
      <c r="J700" s="98">
        <f t="shared" si="775"/>
        <v>0</v>
      </c>
      <c r="K700" s="98">
        <f t="shared" si="775"/>
        <v>0</v>
      </c>
      <c r="L700" s="98">
        <f>SUM(F700:K700)</f>
        <v>0</v>
      </c>
      <c r="M700" s="98">
        <f>L700/6</f>
        <v>0</v>
      </c>
      <c r="N700" s="98">
        <f t="shared" ref="N700:S700" si="776">N698-N699</f>
        <v>0</v>
      </c>
      <c r="O700" s="98">
        <f t="shared" si="776"/>
        <v>0</v>
      </c>
      <c r="P700" s="98">
        <f t="shared" si="776"/>
        <v>0</v>
      </c>
      <c r="Q700" s="98">
        <f t="shared" si="776"/>
        <v>0</v>
      </c>
      <c r="R700" s="98">
        <f t="shared" si="776"/>
        <v>0</v>
      </c>
      <c r="S700" s="98">
        <f t="shared" si="776"/>
        <v>0</v>
      </c>
      <c r="T700" s="98">
        <f>SUM(N700:S700)</f>
        <v>0</v>
      </c>
      <c r="U700" s="98">
        <f>T700+L700</f>
        <v>0</v>
      </c>
      <c r="V700" s="98">
        <f>V695</f>
        <v>0</v>
      </c>
      <c r="W700" s="109">
        <f>V700-U700</f>
        <v>0</v>
      </c>
      <c r="X700" s="63">
        <f>U695-U700</f>
        <v>0</v>
      </c>
    </row>
    <row r="701" spans="1:28" s="43" customFormat="1" ht="15.85" hidden="1" customHeight="1">
      <c r="A701" s="614"/>
      <c r="B701" s="581"/>
      <c r="C701" s="581"/>
      <c r="D701" s="202" t="str">
        <f>серпень!D624</f>
        <v>план</v>
      </c>
      <c r="E701" s="100"/>
      <c r="F701" s="100">
        <f t="shared" ref="F701:K701" si="777">F695</f>
        <v>0</v>
      </c>
      <c r="G701" s="100">
        <f t="shared" si="777"/>
        <v>0</v>
      </c>
      <c r="H701" s="100">
        <f t="shared" si="777"/>
        <v>0</v>
      </c>
      <c r="I701" s="100">
        <f t="shared" si="777"/>
        <v>0</v>
      </c>
      <c r="J701" s="100">
        <f t="shared" si="777"/>
        <v>0</v>
      </c>
      <c r="K701" s="100">
        <f t="shared" si="777"/>
        <v>0</v>
      </c>
      <c r="L701" s="100">
        <f>SUM(F701:K701)</f>
        <v>0</v>
      </c>
      <c r="M701" s="100">
        <f>L701/6</f>
        <v>0</v>
      </c>
      <c r="N701" s="100">
        <f t="shared" ref="N701:S701" si="778">N695+N694</f>
        <v>0</v>
      </c>
      <c r="O701" s="100">
        <f t="shared" si="778"/>
        <v>0</v>
      </c>
      <c r="P701" s="100">
        <f t="shared" si="778"/>
        <v>0</v>
      </c>
      <c r="Q701" s="100">
        <f t="shared" si="778"/>
        <v>0</v>
      </c>
      <c r="R701" s="100">
        <f t="shared" si="778"/>
        <v>0</v>
      </c>
      <c r="S701" s="100">
        <f t="shared" si="778"/>
        <v>0</v>
      </c>
      <c r="T701" s="100">
        <f>SUM(N701:S701)</f>
        <v>0</v>
      </c>
      <c r="U701" s="100">
        <f>T701+L701</f>
        <v>0</v>
      </c>
      <c r="V701" s="100">
        <f>V698</f>
        <v>0</v>
      </c>
      <c r="W701" s="100">
        <f>V701-U701</f>
        <v>0</v>
      </c>
    </row>
    <row r="702" spans="1:28" s="43" customFormat="1" ht="18.2" hidden="1" customHeight="1">
      <c r="A702" s="614"/>
      <c r="B702" s="581"/>
      <c r="C702" s="581"/>
      <c r="D702" s="202" t="str">
        <f>серпень!D625</f>
        <v xml:space="preserve">відхилення </v>
      </c>
      <c r="E702" s="100"/>
      <c r="F702" s="100">
        <f t="shared" ref="F702:K702" si="779">F698-F701</f>
        <v>0</v>
      </c>
      <c r="G702" s="100">
        <f t="shared" si="779"/>
        <v>0</v>
      </c>
      <c r="H702" s="100">
        <f t="shared" si="779"/>
        <v>0</v>
      </c>
      <c r="I702" s="100">
        <f t="shared" si="779"/>
        <v>0</v>
      </c>
      <c r="J702" s="100">
        <f t="shared" si="779"/>
        <v>0</v>
      </c>
      <c r="K702" s="100">
        <f t="shared" si="779"/>
        <v>0</v>
      </c>
      <c r="L702" s="100"/>
      <c r="M702" s="100"/>
      <c r="N702" s="100">
        <f t="shared" ref="N702:S702" si="780">N698-N701</f>
        <v>0</v>
      </c>
      <c r="O702" s="100">
        <f t="shared" si="780"/>
        <v>0</v>
      </c>
      <c r="P702" s="100">
        <f t="shared" si="780"/>
        <v>0</v>
      </c>
      <c r="Q702" s="100">
        <f t="shared" si="780"/>
        <v>0</v>
      </c>
      <c r="R702" s="100">
        <f t="shared" si="780"/>
        <v>0</v>
      </c>
      <c r="S702" s="100">
        <f t="shared" si="780"/>
        <v>0</v>
      </c>
      <c r="T702" s="100"/>
      <c r="U702" s="100"/>
      <c r="V702" s="100"/>
      <c r="W702" s="100"/>
    </row>
    <row r="703" spans="1:28" s="43" customFormat="1" ht="18.350000000000001" hidden="1" customHeight="1">
      <c r="A703" s="614"/>
      <c r="B703" s="581"/>
      <c r="C703" s="581"/>
      <c r="D703" s="202" t="str">
        <f>серпень!D626</f>
        <v>відхилення з наростаючим</v>
      </c>
      <c r="E703" s="100"/>
      <c r="F703" s="100">
        <f>F702</f>
        <v>0</v>
      </c>
      <c r="G703" s="100">
        <f>G702+F703</f>
        <v>0</v>
      </c>
      <c r="H703" s="100">
        <f>H702+G703</f>
        <v>0</v>
      </c>
      <c r="I703" s="100">
        <f>I702+H703</f>
        <v>0</v>
      </c>
      <c r="J703" s="100">
        <f>J702+I703</f>
        <v>0</v>
      </c>
      <c r="K703" s="100">
        <f>K702+J703</f>
        <v>0</v>
      </c>
      <c r="L703" s="100"/>
      <c r="M703" s="100"/>
      <c r="N703" s="100">
        <f>N702+K703</f>
        <v>0</v>
      </c>
      <c r="O703" s="100">
        <f>O702+N703</f>
        <v>0</v>
      </c>
      <c r="P703" s="100">
        <f>P702+O703</f>
        <v>0</v>
      </c>
      <c r="Q703" s="100">
        <f>Q702+P703</f>
        <v>0</v>
      </c>
      <c r="R703" s="100">
        <f>R702+Q703</f>
        <v>0</v>
      </c>
      <c r="S703" s="100">
        <f>S702+R703</f>
        <v>0</v>
      </c>
      <c r="T703" s="100"/>
      <c r="U703" s="100"/>
      <c r="V703" s="100"/>
      <c r="W703" s="100"/>
    </row>
    <row r="704" spans="1:28" s="47" customFormat="1" ht="17.100000000000001" hidden="1" customHeight="1">
      <c r="A704" s="614"/>
      <c r="B704" s="585" t="s">
        <v>122</v>
      </c>
      <c r="C704" s="586"/>
      <c r="D704" s="178" t="str">
        <f>серпень!D627</f>
        <v>факт. нат.п-ки 2023</v>
      </c>
      <c r="E704" s="179"/>
      <c r="F704" s="264">
        <f>F719+F734</f>
        <v>0</v>
      </c>
      <c r="G704" s="264">
        <f t="shared" ref="G704:K704" si="781">G719+G734</f>
        <v>0</v>
      </c>
      <c r="H704" s="264">
        <f t="shared" si="781"/>
        <v>0</v>
      </c>
      <c r="I704" s="264">
        <f t="shared" si="781"/>
        <v>0</v>
      </c>
      <c r="J704" s="264">
        <f t="shared" si="781"/>
        <v>0</v>
      </c>
      <c r="K704" s="264">
        <f t="shared" si="781"/>
        <v>0</v>
      </c>
      <c r="L704" s="234">
        <f>SUM(F704:K704)</f>
        <v>0</v>
      </c>
      <c r="M704" s="234">
        <f>L704/6</f>
        <v>0</v>
      </c>
      <c r="N704" s="264">
        <f>N719+N734</f>
        <v>0</v>
      </c>
      <c r="O704" s="264">
        <f t="shared" ref="O704:S704" si="782">O719+O734</f>
        <v>0</v>
      </c>
      <c r="P704" s="264">
        <f t="shared" si="782"/>
        <v>0</v>
      </c>
      <c r="Q704" s="264">
        <f t="shared" si="782"/>
        <v>0</v>
      </c>
      <c r="R704" s="264">
        <f t="shared" si="782"/>
        <v>0</v>
      </c>
      <c r="S704" s="264">
        <f t="shared" si="782"/>
        <v>0</v>
      </c>
      <c r="T704" s="234">
        <f>SUM(N704:S704)</f>
        <v>0</v>
      </c>
      <c r="U704" s="491">
        <f>T704+L704</f>
        <v>0</v>
      </c>
      <c r="V704" s="492">
        <f t="shared" ref="V704:V706" si="783">V719+V734</f>
        <v>0</v>
      </c>
      <c r="W704" s="184">
        <f>V704-U704</f>
        <v>0</v>
      </c>
    </row>
    <row r="705" spans="1:23" s="47" customFormat="1" ht="17.100000000000001" hidden="1" customHeight="1">
      <c r="A705" s="614"/>
      <c r="B705" s="587"/>
      <c r="C705" s="588"/>
      <c r="D705" s="178" t="str">
        <f>серпень!D628</f>
        <v>факт. нат.п-ки 2024</v>
      </c>
      <c r="E705" s="179"/>
      <c r="F705" s="264">
        <f t="shared" ref="F705:K706" si="784">F720+F735</f>
        <v>0</v>
      </c>
      <c r="G705" s="264">
        <f t="shared" si="784"/>
        <v>0</v>
      </c>
      <c r="H705" s="264">
        <f t="shared" si="784"/>
        <v>0</v>
      </c>
      <c r="I705" s="264">
        <f t="shared" si="784"/>
        <v>0</v>
      </c>
      <c r="J705" s="264">
        <f t="shared" si="784"/>
        <v>0</v>
      </c>
      <c r="K705" s="264">
        <f t="shared" si="784"/>
        <v>0</v>
      </c>
      <c r="L705" s="234">
        <f>SUM(F705:K705)</f>
        <v>0</v>
      </c>
      <c r="M705" s="234">
        <f>L705/6</f>
        <v>0</v>
      </c>
      <c r="N705" s="260">
        <f t="shared" ref="N705:S706" si="785">N720+N735</f>
        <v>0</v>
      </c>
      <c r="O705" s="260">
        <f t="shared" si="785"/>
        <v>0</v>
      </c>
      <c r="P705" s="260">
        <f t="shared" si="785"/>
        <v>0</v>
      </c>
      <c r="Q705" s="260">
        <f t="shared" si="785"/>
        <v>0</v>
      </c>
      <c r="R705" s="260">
        <f t="shared" si="785"/>
        <v>0</v>
      </c>
      <c r="S705" s="260">
        <f t="shared" si="785"/>
        <v>0</v>
      </c>
      <c r="T705" s="234">
        <f>SUM(N705:S705)</f>
        <v>0</v>
      </c>
      <c r="U705" s="491">
        <f>T705+L705</f>
        <v>0</v>
      </c>
      <c r="V705" s="492">
        <f t="shared" si="783"/>
        <v>0</v>
      </c>
      <c r="W705" s="184">
        <f>V705-U705</f>
        <v>0</v>
      </c>
    </row>
    <row r="706" spans="1:23" s="47" customFormat="1" ht="17.100000000000001" hidden="1" customHeight="1">
      <c r="A706" s="614"/>
      <c r="B706" s="587"/>
      <c r="C706" s="588"/>
      <c r="D706" s="178" t="str">
        <f>серпень!D629</f>
        <v>факт. нат.п-ки 2025</v>
      </c>
      <c r="E706" s="179"/>
      <c r="F706" s="264">
        <f t="shared" si="784"/>
        <v>0</v>
      </c>
      <c r="G706" s="264">
        <f t="shared" si="784"/>
        <v>0</v>
      </c>
      <c r="H706" s="264">
        <f t="shared" si="784"/>
        <v>0</v>
      </c>
      <c r="I706" s="264">
        <f t="shared" si="784"/>
        <v>0</v>
      </c>
      <c r="J706" s="264">
        <f t="shared" si="784"/>
        <v>0</v>
      </c>
      <c r="K706" s="264">
        <f t="shared" si="784"/>
        <v>0</v>
      </c>
      <c r="L706" s="234">
        <f>SUM(F706:K706)</f>
        <v>0</v>
      </c>
      <c r="M706" s="234">
        <f>L706/6</f>
        <v>0</v>
      </c>
      <c r="N706" s="264">
        <f t="shared" si="785"/>
        <v>0</v>
      </c>
      <c r="O706" s="264">
        <f t="shared" si="785"/>
        <v>0</v>
      </c>
      <c r="P706" s="264">
        <f t="shared" si="785"/>
        <v>0</v>
      </c>
      <c r="Q706" s="264">
        <f t="shared" si="785"/>
        <v>0</v>
      </c>
      <c r="R706" s="264">
        <f t="shared" si="785"/>
        <v>0</v>
      </c>
      <c r="S706" s="260">
        <f t="shared" si="785"/>
        <v>0</v>
      </c>
      <c r="T706" s="234">
        <f>SUM(N706:S706)</f>
        <v>0</v>
      </c>
      <c r="U706" s="491">
        <f>T706+L706</f>
        <v>0</v>
      </c>
      <c r="V706" s="260">
        <f t="shared" si="783"/>
        <v>0</v>
      </c>
      <c r="W706" s="184">
        <f>V706-U706</f>
        <v>0</v>
      </c>
    </row>
    <row r="707" spans="1:23" s="47" customFormat="1" ht="17.100000000000001" hidden="1" customHeight="1">
      <c r="A707" s="614"/>
      <c r="B707" s="587"/>
      <c r="C707" s="588"/>
      <c r="D707" s="187" t="str">
        <f>серпень!D630</f>
        <v>тариф, грн.</v>
      </c>
      <c r="E707" s="188"/>
      <c r="F707" s="188" t="e">
        <f>F708/F706*1000</f>
        <v>#DIV/0!</v>
      </c>
      <c r="G707" s="188" t="e">
        <f t="shared" ref="G707:K707" si="786">G708/G706*1000</f>
        <v>#DIV/0!</v>
      </c>
      <c r="H707" s="188" t="e">
        <f t="shared" si="786"/>
        <v>#DIV/0!</v>
      </c>
      <c r="I707" s="188" t="e">
        <f t="shared" si="786"/>
        <v>#DIV/0!</v>
      </c>
      <c r="J707" s="188" t="e">
        <f t="shared" si="786"/>
        <v>#DIV/0!</v>
      </c>
      <c r="K707" s="188" t="e">
        <f t="shared" si="786"/>
        <v>#DIV/0!</v>
      </c>
      <c r="L707" s="188" t="e">
        <f>L708/L706*1000</f>
        <v>#DIV/0!</v>
      </c>
      <c r="M707" s="188" t="e">
        <f>M708/M706*1000</f>
        <v>#DIV/0!</v>
      </c>
      <c r="N707" s="188" t="e">
        <f>N708/N706*1000</f>
        <v>#DIV/0!</v>
      </c>
      <c r="O707" s="188" t="e">
        <f t="shared" ref="O707:S707" si="787">O708/O706*1000</f>
        <v>#DIV/0!</v>
      </c>
      <c r="P707" s="188" t="e">
        <f t="shared" si="787"/>
        <v>#DIV/0!</v>
      </c>
      <c r="Q707" s="188" t="e">
        <f t="shared" si="787"/>
        <v>#DIV/0!</v>
      </c>
      <c r="R707" s="188" t="e">
        <f t="shared" si="787"/>
        <v>#DIV/0!</v>
      </c>
      <c r="S707" s="188" t="e">
        <f t="shared" si="787"/>
        <v>#DIV/0!</v>
      </c>
      <c r="T707" s="188" t="e">
        <f>T708/T706*1000</f>
        <v>#DIV/0!</v>
      </c>
      <c r="U707" s="188" t="e">
        <f>U708/U706*1000</f>
        <v>#DIV/0!</v>
      </c>
      <c r="V707" s="218" t="e">
        <f>V708/V706*1000</f>
        <v>#DIV/0!</v>
      </c>
      <c r="W707" s="189" t="e">
        <f>W708/W706*1000</f>
        <v>#DIV/0!</v>
      </c>
    </row>
    <row r="708" spans="1:23" s="47" customFormat="1" ht="17.100000000000001" hidden="1" customHeight="1">
      <c r="A708" s="614"/>
      <c r="B708" s="587"/>
      <c r="C708" s="588"/>
      <c r="D708" s="191" t="str">
        <f>серпень!D631</f>
        <v>сума, тис.грн.</v>
      </c>
      <c r="E708" s="192"/>
      <c r="F708" s="192">
        <f>F723+F738</f>
        <v>0</v>
      </c>
      <c r="G708" s="192">
        <f t="shared" ref="G708:K708" si="788">G723+G738</f>
        <v>0</v>
      </c>
      <c r="H708" s="192">
        <f t="shared" si="788"/>
        <v>0</v>
      </c>
      <c r="I708" s="192">
        <f t="shared" si="788"/>
        <v>0</v>
      </c>
      <c r="J708" s="192">
        <f t="shared" si="788"/>
        <v>0</v>
      </c>
      <c r="K708" s="192">
        <f t="shared" si="788"/>
        <v>0</v>
      </c>
      <c r="L708" s="194">
        <f>SUM(F708:K708)</f>
        <v>0</v>
      </c>
      <c r="M708" s="194">
        <f>L708/6</f>
        <v>0</v>
      </c>
      <c r="N708" s="192">
        <f>N723+N738</f>
        <v>0</v>
      </c>
      <c r="O708" s="192">
        <f t="shared" ref="O708:S708" si="789">O723+O738</f>
        <v>0</v>
      </c>
      <c r="P708" s="192">
        <f t="shared" si="789"/>
        <v>0</v>
      </c>
      <c r="Q708" s="192">
        <f t="shared" si="789"/>
        <v>0</v>
      </c>
      <c r="R708" s="192">
        <f t="shared" si="789"/>
        <v>0</v>
      </c>
      <c r="S708" s="192">
        <f t="shared" si="789"/>
        <v>0</v>
      </c>
      <c r="T708" s="194">
        <f>SUM(N708:S708)</f>
        <v>0</v>
      </c>
      <c r="U708" s="194">
        <f>T708+L708</f>
        <v>0</v>
      </c>
      <c r="V708" s="171">
        <f t="shared" ref="V708:V711" si="790">V723+V738</f>
        <v>0</v>
      </c>
      <c r="W708" s="193">
        <f>V708-U708</f>
        <v>0</v>
      </c>
    </row>
    <row r="709" spans="1:23" s="47" customFormat="1" ht="17.100000000000001" hidden="1" customHeight="1">
      <c r="A709" s="614"/>
      <c r="B709" s="587"/>
      <c r="C709" s="588"/>
      <c r="D709" s="174" t="str">
        <f>серпень!D632</f>
        <v>дотація</v>
      </c>
      <c r="E709" s="210"/>
      <c r="F709" s="192">
        <f t="shared" ref="F709:K710" si="791">F724+F739</f>
        <v>0</v>
      </c>
      <c r="G709" s="192">
        <f t="shared" si="791"/>
        <v>0</v>
      </c>
      <c r="H709" s="192">
        <f t="shared" si="791"/>
        <v>0</v>
      </c>
      <c r="I709" s="192">
        <f t="shared" si="791"/>
        <v>0</v>
      </c>
      <c r="J709" s="192">
        <f t="shared" si="791"/>
        <v>0</v>
      </c>
      <c r="K709" s="192">
        <f t="shared" si="791"/>
        <v>0</v>
      </c>
      <c r="L709" s="194">
        <f>SUM(F709:K709)</f>
        <v>0</v>
      </c>
      <c r="M709" s="194">
        <f>L709/6</f>
        <v>0</v>
      </c>
      <c r="N709" s="192">
        <f t="shared" ref="N709:S709" si="792">N724+N739</f>
        <v>0</v>
      </c>
      <c r="O709" s="192">
        <f t="shared" si="792"/>
        <v>0</v>
      </c>
      <c r="P709" s="192">
        <f t="shared" si="792"/>
        <v>0</v>
      </c>
      <c r="Q709" s="192">
        <f t="shared" si="792"/>
        <v>0</v>
      </c>
      <c r="R709" s="192">
        <f t="shared" si="792"/>
        <v>0</v>
      </c>
      <c r="S709" s="192">
        <f t="shared" si="792"/>
        <v>0</v>
      </c>
      <c r="T709" s="194">
        <f>SUM(N709:S709)</f>
        <v>0</v>
      </c>
      <c r="U709" s="194">
        <f>T709+L709</f>
        <v>0</v>
      </c>
      <c r="V709" s="171">
        <f t="shared" si="790"/>
        <v>0</v>
      </c>
      <c r="W709" s="193">
        <f>V709-U709</f>
        <v>0</v>
      </c>
    </row>
    <row r="710" spans="1:23" s="47" customFormat="1" ht="17.100000000000001" hidden="1" customHeight="1">
      <c r="A710" s="614"/>
      <c r="B710" s="587"/>
      <c r="C710" s="588"/>
      <c r="D710" s="174" t="str">
        <f>серпень!D633</f>
        <v>місцевий (план), тис.грн</v>
      </c>
      <c r="E710" s="210"/>
      <c r="F710" s="192">
        <f t="shared" si="791"/>
        <v>0</v>
      </c>
      <c r="G710" s="192">
        <f t="shared" si="791"/>
        <v>0</v>
      </c>
      <c r="H710" s="192">
        <f t="shared" si="791"/>
        <v>0</v>
      </c>
      <c r="I710" s="192">
        <f t="shared" si="791"/>
        <v>0</v>
      </c>
      <c r="J710" s="192">
        <f t="shared" si="791"/>
        <v>0</v>
      </c>
      <c r="K710" s="192">
        <f t="shared" si="791"/>
        <v>0</v>
      </c>
      <c r="L710" s="194">
        <f>SUM(F710:K710)</f>
        <v>0</v>
      </c>
      <c r="M710" s="194">
        <f>L710/6</f>
        <v>0</v>
      </c>
      <c r="N710" s="192">
        <f t="shared" ref="N710:S710" si="793">N725+N740</f>
        <v>0</v>
      </c>
      <c r="O710" s="192">
        <f t="shared" si="793"/>
        <v>0</v>
      </c>
      <c r="P710" s="192">
        <f t="shared" si="793"/>
        <v>0</v>
      </c>
      <c r="Q710" s="192">
        <f t="shared" si="793"/>
        <v>0</v>
      </c>
      <c r="R710" s="192">
        <f t="shared" si="793"/>
        <v>0</v>
      </c>
      <c r="S710" s="192">
        <f t="shared" si="793"/>
        <v>0</v>
      </c>
      <c r="T710" s="194">
        <f>SUM(N710:S710)</f>
        <v>0</v>
      </c>
      <c r="U710" s="194">
        <f>T710+L710</f>
        <v>0</v>
      </c>
      <c r="V710" s="171">
        <f t="shared" si="790"/>
        <v>0</v>
      </c>
      <c r="W710" s="193">
        <f>V710-U710</f>
        <v>0</v>
      </c>
    </row>
    <row r="711" spans="1:23" s="47" customFormat="1" ht="17.100000000000001" hidden="1" customHeight="1">
      <c r="A711" s="614"/>
      <c r="B711" s="587"/>
      <c r="C711" s="588"/>
      <c r="D711" s="178" t="str">
        <f>серпень!D634</f>
        <v>касові нат.п-ки 2025</v>
      </c>
      <c r="E711" s="179"/>
      <c r="F711" s="260">
        <f>F726+F741</f>
        <v>0</v>
      </c>
      <c r="G711" s="260">
        <f t="shared" ref="G711:K711" si="794">G726+G741</f>
        <v>0</v>
      </c>
      <c r="H711" s="260">
        <f t="shared" si="794"/>
        <v>0</v>
      </c>
      <c r="I711" s="260">
        <f t="shared" si="794"/>
        <v>0</v>
      </c>
      <c r="J711" s="260">
        <f t="shared" si="794"/>
        <v>0</v>
      </c>
      <c r="K711" s="260">
        <f t="shared" si="794"/>
        <v>0</v>
      </c>
      <c r="L711" s="234">
        <f>SUM(F711:K711)</f>
        <v>0</v>
      </c>
      <c r="M711" s="234">
        <f>L711/6</f>
        <v>0</v>
      </c>
      <c r="N711" s="260">
        <f>N726+N741</f>
        <v>0</v>
      </c>
      <c r="O711" s="260">
        <f t="shared" ref="O711:S711" si="795">O726+O741</f>
        <v>0</v>
      </c>
      <c r="P711" s="260">
        <f t="shared" si="795"/>
        <v>0</v>
      </c>
      <c r="Q711" s="260">
        <f t="shared" si="795"/>
        <v>0</v>
      </c>
      <c r="R711" s="260">
        <f t="shared" si="795"/>
        <v>0</v>
      </c>
      <c r="S711" s="260">
        <f t="shared" si="795"/>
        <v>0</v>
      </c>
      <c r="T711" s="234">
        <f>SUM(N711:S711)</f>
        <v>0</v>
      </c>
      <c r="U711" s="234">
        <f>T711+L711</f>
        <v>0</v>
      </c>
      <c r="V711" s="260">
        <f t="shared" si="790"/>
        <v>0</v>
      </c>
      <c r="W711" s="184">
        <f>V711-U711</f>
        <v>0</v>
      </c>
    </row>
    <row r="712" spans="1:23" s="47" customFormat="1" ht="17.100000000000001" hidden="1" customHeight="1">
      <c r="A712" s="614"/>
      <c r="B712" s="587"/>
      <c r="C712" s="588"/>
      <c r="D712" s="187" t="str">
        <f>серпень!D635</f>
        <v>тариф, грн.</v>
      </c>
      <c r="E712" s="188" t="e">
        <f>E713/E711*1000</f>
        <v>#DIV/0!</v>
      </c>
      <c r="F712" s="188" t="e">
        <f>F713/F711*1000</f>
        <v>#DIV/0!</v>
      </c>
      <c r="G712" s="188" t="e">
        <f t="shared" ref="G712:K712" si="796">G713/G711*1000</f>
        <v>#DIV/0!</v>
      </c>
      <c r="H712" s="188" t="e">
        <f t="shared" si="796"/>
        <v>#DIV/0!</v>
      </c>
      <c r="I712" s="188" t="e">
        <f t="shared" si="796"/>
        <v>#DIV/0!</v>
      </c>
      <c r="J712" s="188" t="e">
        <f t="shared" si="796"/>
        <v>#DIV/0!</v>
      </c>
      <c r="K712" s="188" t="e">
        <f t="shared" si="796"/>
        <v>#DIV/0!</v>
      </c>
      <c r="L712" s="188" t="e">
        <f>L713/L711*1000</f>
        <v>#DIV/0!</v>
      </c>
      <c r="M712" s="188" t="e">
        <f>M713/M711*1000</f>
        <v>#DIV/0!</v>
      </c>
      <c r="N712" s="188" t="e">
        <f t="shared" ref="N712:S712" si="797">N713/N711*1000</f>
        <v>#DIV/0!</v>
      </c>
      <c r="O712" s="188" t="e">
        <f t="shared" si="797"/>
        <v>#DIV/0!</v>
      </c>
      <c r="P712" s="188" t="e">
        <f t="shared" si="797"/>
        <v>#DIV/0!</v>
      </c>
      <c r="Q712" s="188" t="e">
        <f t="shared" si="797"/>
        <v>#DIV/0!</v>
      </c>
      <c r="R712" s="188" t="e">
        <f t="shared" si="797"/>
        <v>#DIV/0!</v>
      </c>
      <c r="S712" s="188" t="e">
        <f t="shared" si="797"/>
        <v>#DIV/0!</v>
      </c>
      <c r="T712" s="188" t="e">
        <f>T713/T711*1000</f>
        <v>#DIV/0!</v>
      </c>
      <c r="U712" s="188" t="e">
        <f>U713/U711*1000</f>
        <v>#DIV/0!</v>
      </c>
      <c r="V712" s="218" t="e">
        <f>V713/V711*1000</f>
        <v>#DIV/0!</v>
      </c>
      <c r="W712" s="189" t="e">
        <f>W713/W711*1000</f>
        <v>#DIV/0!</v>
      </c>
    </row>
    <row r="713" spans="1:23" s="47" customFormat="1" ht="17.100000000000001" hidden="1" customHeight="1">
      <c r="A713" s="614"/>
      <c r="B713" s="587"/>
      <c r="C713" s="588"/>
      <c r="D713" s="198" t="str">
        <f>серпень!D636</f>
        <v>касові видатки, тис.грн.</v>
      </c>
      <c r="E713" s="220"/>
      <c r="F713" s="199">
        <f>F728+F743</f>
        <v>0</v>
      </c>
      <c r="G713" s="199">
        <f t="shared" ref="G713:K713" si="798">G728+G743</f>
        <v>0</v>
      </c>
      <c r="H713" s="199">
        <f t="shared" si="798"/>
        <v>0</v>
      </c>
      <c r="I713" s="199">
        <f t="shared" si="798"/>
        <v>0</v>
      </c>
      <c r="J713" s="199">
        <f t="shared" si="798"/>
        <v>0</v>
      </c>
      <c r="K713" s="199">
        <f t="shared" si="798"/>
        <v>0</v>
      </c>
      <c r="L713" s="199">
        <f>SUM(F713:K713)</f>
        <v>0</v>
      </c>
      <c r="M713" s="199">
        <f>L713/6</f>
        <v>0</v>
      </c>
      <c r="N713" s="199">
        <f>N728+N743</f>
        <v>0</v>
      </c>
      <c r="O713" s="199">
        <f t="shared" ref="O713:S713" si="799">O728+O743</f>
        <v>0</v>
      </c>
      <c r="P713" s="199">
        <f t="shared" si="799"/>
        <v>0</v>
      </c>
      <c r="Q713" s="199">
        <f t="shared" si="799"/>
        <v>0</v>
      </c>
      <c r="R713" s="199">
        <f t="shared" si="799"/>
        <v>0</v>
      </c>
      <c r="S713" s="199">
        <f t="shared" si="799"/>
        <v>0</v>
      </c>
      <c r="T713" s="199">
        <f>SUM(N713:S713)</f>
        <v>0</v>
      </c>
      <c r="U713" s="199">
        <f>T713+L713</f>
        <v>0</v>
      </c>
      <c r="V713" s="199">
        <f t="shared" ref="V713:V715" si="800">V728+V743</f>
        <v>0</v>
      </c>
      <c r="W713" s="221">
        <f>V713-U713</f>
        <v>0</v>
      </c>
    </row>
    <row r="714" spans="1:23" s="47" customFormat="1" ht="17.100000000000001" hidden="1" customHeight="1">
      <c r="A714" s="614"/>
      <c r="B714" s="587"/>
      <c r="C714" s="588"/>
      <c r="D714" s="201" t="str">
        <f>серпень!D637</f>
        <v>дотація</v>
      </c>
      <c r="E714" s="220"/>
      <c r="F714" s="199">
        <f t="shared" ref="F714:K714" si="801">F729+F744</f>
        <v>0</v>
      </c>
      <c r="G714" s="199">
        <f t="shared" si="801"/>
        <v>0</v>
      </c>
      <c r="H714" s="199">
        <f t="shared" si="801"/>
        <v>0</v>
      </c>
      <c r="I714" s="199">
        <f t="shared" si="801"/>
        <v>0</v>
      </c>
      <c r="J714" s="199">
        <f t="shared" si="801"/>
        <v>0</v>
      </c>
      <c r="K714" s="199">
        <f t="shared" si="801"/>
        <v>0</v>
      </c>
      <c r="L714" s="199">
        <f>SUM(F714:K714)</f>
        <v>0</v>
      </c>
      <c r="M714" s="199">
        <f>L714/6</f>
        <v>0</v>
      </c>
      <c r="N714" s="199">
        <f t="shared" ref="N714:S714" si="802">N729+N744</f>
        <v>0</v>
      </c>
      <c r="O714" s="199">
        <f t="shared" si="802"/>
        <v>0</v>
      </c>
      <c r="P714" s="199">
        <f t="shared" si="802"/>
        <v>0</v>
      </c>
      <c r="Q714" s="199">
        <f t="shared" si="802"/>
        <v>0</v>
      </c>
      <c r="R714" s="199">
        <f t="shared" si="802"/>
        <v>0</v>
      </c>
      <c r="S714" s="199">
        <f t="shared" si="802"/>
        <v>0</v>
      </c>
      <c r="T714" s="199">
        <f>SUM(N714:S714)</f>
        <v>0</v>
      </c>
      <c r="U714" s="199">
        <f>T714+L714</f>
        <v>0</v>
      </c>
      <c r="V714" s="199">
        <f t="shared" si="800"/>
        <v>0</v>
      </c>
      <c r="W714" s="221">
        <f>V714-U714</f>
        <v>0</v>
      </c>
    </row>
    <row r="715" spans="1:23" s="47" customFormat="1" ht="17.100000000000001" hidden="1" customHeight="1">
      <c r="A715" s="614"/>
      <c r="B715" s="587"/>
      <c r="C715" s="588"/>
      <c r="D715" s="201" t="str">
        <f>серпень!D638</f>
        <v xml:space="preserve">місцевий </v>
      </c>
      <c r="E715" s="220"/>
      <c r="F715" s="199">
        <f t="shared" ref="F715:K715" si="803">F730+F745</f>
        <v>0</v>
      </c>
      <c r="G715" s="199">
        <f t="shared" si="803"/>
        <v>0</v>
      </c>
      <c r="H715" s="199">
        <f t="shared" si="803"/>
        <v>0</v>
      </c>
      <c r="I715" s="199">
        <f t="shared" si="803"/>
        <v>0</v>
      </c>
      <c r="J715" s="199">
        <f t="shared" si="803"/>
        <v>0</v>
      </c>
      <c r="K715" s="199">
        <f t="shared" si="803"/>
        <v>0</v>
      </c>
      <c r="L715" s="199">
        <f>SUM(F715:K715)</f>
        <v>0</v>
      </c>
      <c r="M715" s="199">
        <f>L715/6</f>
        <v>0</v>
      </c>
      <c r="N715" s="199">
        <f t="shared" ref="N715:S715" si="804">N730+N745</f>
        <v>0</v>
      </c>
      <c r="O715" s="199">
        <f t="shared" si="804"/>
        <v>0</v>
      </c>
      <c r="P715" s="199">
        <f t="shared" si="804"/>
        <v>0</v>
      </c>
      <c r="Q715" s="199">
        <f t="shared" si="804"/>
        <v>0</v>
      </c>
      <c r="R715" s="199">
        <f t="shared" si="804"/>
        <v>0</v>
      </c>
      <c r="S715" s="199">
        <f t="shared" si="804"/>
        <v>0</v>
      </c>
      <c r="T715" s="199">
        <f>SUM(N715:S715)</f>
        <v>0</v>
      </c>
      <c r="U715" s="199">
        <f>T715+L715</f>
        <v>0</v>
      </c>
      <c r="V715" s="199">
        <f t="shared" si="800"/>
        <v>0</v>
      </c>
      <c r="W715" s="221">
        <f>V715-U715</f>
        <v>0</v>
      </c>
    </row>
    <row r="716" spans="1:23" s="47" customFormat="1" ht="17.100000000000001" hidden="1" customHeight="1">
      <c r="A716" s="614"/>
      <c r="B716" s="587"/>
      <c r="C716" s="588"/>
      <c r="D716" s="202" t="str">
        <f>серпень!D639</f>
        <v>план</v>
      </c>
      <c r="E716" s="203"/>
      <c r="F716" s="203">
        <f t="shared" ref="F716:K716" si="805">F710</f>
        <v>0</v>
      </c>
      <c r="G716" s="203">
        <f t="shared" si="805"/>
        <v>0</v>
      </c>
      <c r="H716" s="203">
        <f t="shared" si="805"/>
        <v>0</v>
      </c>
      <c r="I716" s="203">
        <f t="shared" si="805"/>
        <v>0</v>
      </c>
      <c r="J716" s="203">
        <f t="shared" si="805"/>
        <v>0</v>
      </c>
      <c r="K716" s="203">
        <f t="shared" si="805"/>
        <v>0</v>
      </c>
      <c r="L716" s="203">
        <f>SUM(F716:K716)</f>
        <v>0</v>
      </c>
      <c r="M716" s="203">
        <f>L716/6</f>
        <v>0</v>
      </c>
      <c r="N716" s="203">
        <f t="shared" ref="N716:S716" si="806">N710+N709</f>
        <v>0</v>
      </c>
      <c r="O716" s="203">
        <f t="shared" si="806"/>
        <v>0</v>
      </c>
      <c r="P716" s="203">
        <f t="shared" si="806"/>
        <v>0</v>
      </c>
      <c r="Q716" s="203">
        <f t="shared" si="806"/>
        <v>0</v>
      </c>
      <c r="R716" s="203">
        <f t="shared" si="806"/>
        <v>0</v>
      </c>
      <c r="S716" s="203">
        <f t="shared" si="806"/>
        <v>0</v>
      </c>
      <c r="T716" s="203">
        <f>SUM(N716:S716)</f>
        <v>0</v>
      </c>
      <c r="U716" s="203">
        <f>T716+L716</f>
        <v>0</v>
      </c>
      <c r="V716" s="203">
        <f>V713</f>
        <v>0</v>
      </c>
      <c r="W716" s="203">
        <f>V716-U716</f>
        <v>0</v>
      </c>
    </row>
    <row r="717" spans="1:23" s="47" customFormat="1" ht="19.600000000000001" hidden="1" customHeight="1">
      <c r="A717" s="614"/>
      <c r="B717" s="587"/>
      <c r="C717" s="588"/>
      <c r="D717" s="202" t="str">
        <f>серпень!D640</f>
        <v xml:space="preserve">відхилення </v>
      </c>
      <c r="E717" s="203"/>
      <c r="F717" s="203">
        <f t="shared" ref="F717:K717" si="807">F713-F716</f>
        <v>0</v>
      </c>
      <c r="G717" s="203">
        <f t="shared" si="807"/>
        <v>0</v>
      </c>
      <c r="H717" s="203">
        <f t="shared" si="807"/>
        <v>0</v>
      </c>
      <c r="I717" s="203">
        <f t="shared" si="807"/>
        <v>0</v>
      </c>
      <c r="J717" s="203">
        <f t="shared" si="807"/>
        <v>0</v>
      </c>
      <c r="K717" s="203">
        <f t="shared" si="807"/>
        <v>0</v>
      </c>
      <c r="L717" s="203"/>
      <c r="M717" s="203"/>
      <c r="N717" s="203">
        <f t="shared" ref="N717:S717" si="808">N713-N716</f>
        <v>0</v>
      </c>
      <c r="O717" s="203">
        <f t="shared" si="808"/>
        <v>0</v>
      </c>
      <c r="P717" s="203">
        <f t="shared" si="808"/>
        <v>0</v>
      </c>
      <c r="Q717" s="203">
        <f t="shared" si="808"/>
        <v>0</v>
      </c>
      <c r="R717" s="203">
        <f t="shared" si="808"/>
        <v>0</v>
      </c>
      <c r="S717" s="203">
        <f t="shared" si="808"/>
        <v>0</v>
      </c>
      <c r="T717" s="203"/>
      <c r="U717" s="203"/>
      <c r="V717" s="203"/>
      <c r="W717" s="203"/>
    </row>
    <row r="718" spans="1:23" s="47" customFormat="1" ht="19.600000000000001" hidden="1" customHeight="1">
      <c r="A718" s="615"/>
      <c r="B718" s="589"/>
      <c r="C718" s="590"/>
      <c r="D718" s="202" t="str">
        <f>серпень!D641</f>
        <v>відхилення з наростаючим</v>
      </c>
      <c r="E718" s="203"/>
      <c r="F718" s="203">
        <f>F717</f>
        <v>0</v>
      </c>
      <c r="G718" s="203">
        <f>G717+F718</f>
        <v>0</v>
      </c>
      <c r="H718" s="203">
        <f>H717+G718</f>
        <v>0</v>
      </c>
      <c r="I718" s="203">
        <f>I717+H718</f>
        <v>0</v>
      </c>
      <c r="J718" s="203">
        <f>J717+I718</f>
        <v>0</v>
      </c>
      <c r="K718" s="203">
        <f>K717+J718</f>
        <v>0</v>
      </c>
      <c r="L718" s="203"/>
      <c r="M718" s="203"/>
      <c r="N718" s="203">
        <f>N717+K718</f>
        <v>0</v>
      </c>
      <c r="O718" s="203">
        <f>O717+N718</f>
        <v>0</v>
      </c>
      <c r="P718" s="203">
        <f>P717+O718</f>
        <v>0</v>
      </c>
      <c r="Q718" s="203">
        <f>Q717+P718</f>
        <v>0</v>
      </c>
      <c r="R718" s="203">
        <f>R717+Q718</f>
        <v>0</v>
      </c>
      <c r="S718" s="203">
        <f>S717+R718</f>
        <v>0</v>
      </c>
      <c r="T718" s="203"/>
      <c r="U718" s="203"/>
      <c r="V718" s="203"/>
      <c r="W718" s="203"/>
    </row>
    <row r="719" spans="1:23" s="47" customFormat="1" ht="17.100000000000001" hidden="1" customHeight="1">
      <c r="A719" s="673"/>
      <c r="B719" s="580" t="s">
        <v>125</v>
      </c>
      <c r="C719" s="575"/>
      <c r="D719" s="178" t="str">
        <f>серпень!D642</f>
        <v>факт. нат.п-ки 2023</v>
      </c>
      <c r="E719" s="179"/>
      <c r="F719" s="180"/>
      <c r="G719" s="180"/>
      <c r="H719" s="180"/>
      <c r="I719" s="180"/>
      <c r="J719" s="180"/>
      <c r="K719" s="180"/>
      <c r="L719" s="215">
        <f>SUM(F719:K719)</f>
        <v>0</v>
      </c>
      <c r="M719" s="215">
        <f>L719/6</f>
        <v>0</v>
      </c>
      <c r="N719" s="180"/>
      <c r="O719" s="180"/>
      <c r="P719" s="180"/>
      <c r="Q719" s="180"/>
      <c r="R719" s="180"/>
      <c r="S719" s="180"/>
      <c r="T719" s="215">
        <f>SUM(N719:S719)</f>
        <v>0</v>
      </c>
      <c r="U719" s="226">
        <f>T719+L719</f>
        <v>0</v>
      </c>
      <c r="V719" s="227"/>
      <c r="W719" s="184">
        <f>V719-U719</f>
        <v>0</v>
      </c>
    </row>
    <row r="720" spans="1:23" s="47" customFormat="1" ht="17.100000000000001" hidden="1" customHeight="1">
      <c r="A720" s="673"/>
      <c r="B720" s="576"/>
      <c r="C720" s="577"/>
      <c r="D720" s="178" t="str">
        <f>серпень!D643</f>
        <v>факт. нат.п-ки 2024</v>
      </c>
      <c r="E720" s="179"/>
      <c r="F720" s="180"/>
      <c r="G720" s="180"/>
      <c r="H720" s="180"/>
      <c r="I720" s="180"/>
      <c r="J720" s="180"/>
      <c r="K720" s="180"/>
      <c r="L720" s="215">
        <f>SUM(F720:K720)</f>
        <v>0</v>
      </c>
      <c r="M720" s="215">
        <f>L720/6</f>
        <v>0</v>
      </c>
      <c r="N720" s="179"/>
      <c r="O720" s="179"/>
      <c r="P720" s="179"/>
      <c r="Q720" s="179"/>
      <c r="R720" s="179"/>
      <c r="S720" s="179"/>
      <c r="T720" s="215">
        <f>SUM(N720:S720)</f>
        <v>0</v>
      </c>
      <c r="U720" s="226">
        <f>T720+L720</f>
        <v>0</v>
      </c>
      <c r="V720" s="227"/>
      <c r="W720" s="184">
        <f>V720-U720</f>
        <v>0</v>
      </c>
    </row>
    <row r="721" spans="1:23" s="47" customFormat="1" ht="17.100000000000001" hidden="1" customHeight="1">
      <c r="A721" s="673"/>
      <c r="B721" s="576"/>
      <c r="C721" s="577"/>
      <c r="D721" s="178" t="str">
        <f>серпень!D644</f>
        <v>факт. нат.п-ки 2025</v>
      </c>
      <c r="E721" s="179"/>
      <c r="F721" s="180"/>
      <c r="G721" s="180"/>
      <c r="H721" s="180"/>
      <c r="I721" s="180"/>
      <c r="J721" s="180"/>
      <c r="K721" s="180"/>
      <c r="L721" s="215">
        <f>SUM(F721:K721)</f>
        <v>0</v>
      </c>
      <c r="M721" s="215">
        <f>L721/6</f>
        <v>0</v>
      </c>
      <c r="N721" s="180"/>
      <c r="O721" s="180"/>
      <c r="P721" s="180"/>
      <c r="Q721" s="180"/>
      <c r="R721" s="180"/>
      <c r="S721" s="179"/>
      <c r="T721" s="215">
        <f>SUM(N721:S721)</f>
        <v>0</v>
      </c>
      <c r="U721" s="226">
        <f>T721+L721</f>
        <v>0</v>
      </c>
      <c r="V721" s="179"/>
      <c r="W721" s="184">
        <f>V721-U721</f>
        <v>0</v>
      </c>
    </row>
    <row r="722" spans="1:23" s="47" customFormat="1" ht="17.100000000000001" hidden="1" customHeight="1">
      <c r="A722" s="673"/>
      <c r="B722" s="576"/>
      <c r="C722" s="577"/>
      <c r="D722" s="187" t="str">
        <f>серпень!D645</f>
        <v>тариф, грн.</v>
      </c>
      <c r="E722" s="188"/>
      <c r="F722" s="188">
        <v>6900</v>
      </c>
      <c r="G722" s="188">
        <v>6900</v>
      </c>
      <c r="H722" s="188">
        <v>6900</v>
      </c>
      <c r="I722" s="188">
        <v>6900</v>
      </c>
      <c r="J722" s="188">
        <v>6900</v>
      </c>
      <c r="K722" s="188">
        <v>6900</v>
      </c>
      <c r="L722" s="188" t="e">
        <f>L723/L721*1000</f>
        <v>#DIV/0!</v>
      </c>
      <c r="M722" s="188" t="e">
        <f>M723/M721*1000</f>
        <v>#DIV/0!</v>
      </c>
      <c r="N722" s="188">
        <v>6900</v>
      </c>
      <c r="O722" s="188">
        <v>6900</v>
      </c>
      <c r="P722" s="188">
        <v>6900</v>
      </c>
      <c r="Q722" s="188">
        <v>6900</v>
      </c>
      <c r="R722" s="188">
        <v>6900</v>
      </c>
      <c r="S722" s="188">
        <v>6900</v>
      </c>
      <c r="T722" s="188" t="e">
        <f>T723/T721*1000</f>
        <v>#DIV/0!</v>
      </c>
      <c r="U722" s="188" t="e">
        <f>U723/U721*1000</f>
        <v>#DIV/0!</v>
      </c>
      <c r="V722" s="218" t="e">
        <f>V723/V721*1000</f>
        <v>#DIV/0!</v>
      </c>
      <c r="W722" s="189" t="e">
        <f>W723/W721*1000</f>
        <v>#DIV/0!</v>
      </c>
    </row>
    <row r="723" spans="1:23" s="47" customFormat="1" ht="17.100000000000001" hidden="1" customHeight="1">
      <c r="A723" s="673"/>
      <c r="B723" s="576"/>
      <c r="C723" s="577"/>
      <c r="D723" s="191" t="str">
        <f>серпень!D646</f>
        <v>сума, тис.грн.</v>
      </c>
      <c r="E723" s="192"/>
      <c r="F723" s="192">
        <f t="shared" ref="F723:K723" si="809">F721*F722/1000</f>
        <v>0</v>
      </c>
      <c r="G723" s="192">
        <f t="shared" si="809"/>
        <v>0</v>
      </c>
      <c r="H723" s="192">
        <f t="shared" si="809"/>
        <v>0</v>
      </c>
      <c r="I723" s="192">
        <f t="shared" si="809"/>
        <v>0</v>
      </c>
      <c r="J723" s="192">
        <f t="shared" si="809"/>
        <v>0</v>
      </c>
      <c r="K723" s="192">
        <f t="shared" si="809"/>
        <v>0</v>
      </c>
      <c r="L723" s="194">
        <f>SUM(F723:K723)</f>
        <v>0</v>
      </c>
      <c r="M723" s="194">
        <f>L723/6</f>
        <v>0</v>
      </c>
      <c r="N723" s="192">
        <f t="shared" ref="N723:S723" si="810">N721*N722/1000</f>
        <v>0</v>
      </c>
      <c r="O723" s="192">
        <f t="shared" si="810"/>
        <v>0</v>
      </c>
      <c r="P723" s="192">
        <f t="shared" si="810"/>
        <v>0</v>
      </c>
      <c r="Q723" s="192">
        <f t="shared" si="810"/>
        <v>0</v>
      </c>
      <c r="R723" s="192">
        <f t="shared" si="810"/>
        <v>0</v>
      </c>
      <c r="S723" s="192">
        <f t="shared" si="810"/>
        <v>0</v>
      </c>
      <c r="T723" s="194">
        <f>SUM(N723:S723)</f>
        <v>0</v>
      </c>
      <c r="U723" s="194">
        <f>T723+L723</f>
        <v>0</v>
      </c>
      <c r="V723" s="171">
        <f>V724+V725</f>
        <v>0</v>
      </c>
      <c r="W723" s="193">
        <f>V723-U723</f>
        <v>0</v>
      </c>
    </row>
    <row r="724" spans="1:23" s="47" customFormat="1" ht="17.100000000000001" hidden="1" customHeight="1">
      <c r="A724" s="673"/>
      <c r="B724" s="576"/>
      <c r="C724" s="577"/>
      <c r="D724" s="174" t="str">
        <f>серпень!D647</f>
        <v>дотація</v>
      </c>
      <c r="E724" s="210"/>
      <c r="F724" s="192"/>
      <c r="G724" s="192"/>
      <c r="H724" s="192"/>
      <c r="I724" s="192"/>
      <c r="J724" s="192"/>
      <c r="K724" s="192"/>
      <c r="L724" s="194">
        <f>SUM(F724:K724)</f>
        <v>0</v>
      </c>
      <c r="M724" s="194">
        <f>L724/6</f>
        <v>0</v>
      </c>
      <c r="N724" s="192"/>
      <c r="O724" s="192"/>
      <c r="P724" s="192"/>
      <c r="Q724" s="192"/>
      <c r="R724" s="192"/>
      <c r="S724" s="192"/>
      <c r="T724" s="194">
        <f>SUM(N724:S724)</f>
        <v>0</v>
      </c>
      <c r="U724" s="194">
        <f>T724+L724</f>
        <v>0</v>
      </c>
      <c r="V724" s="171">
        <v>0</v>
      </c>
      <c r="W724" s="193">
        <f>V724-U724</f>
        <v>0</v>
      </c>
    </row>
    <row r="725" spans="1:23" s="47" customFormat="1" ht="17.100000000000001" hidden="1" customHeight="1">
      <c r="A725" s="673"/>
      <c r="B725" s="576"/>
      <c r="C725" s="577"/>
      <c r="D725" s="174" t="str">
        <f>серпень!D648</f>
        <v>місцевий (план), тис.грн</v>
      </c>
      <c r="E725" s="210"/>
      <c r="F725" s="192"/>
      <c r="G725" s="192"/>
      <c r="H725" s="192"/>
      <c r="I725" s="192"/>
      <c r="J725" s="192"/>
      <c r="K725" s="192"/>
      <c r="L725" s="194">
        <f>SUM(F725:K725)</f>
        <v>0</v>
      </c>
      <c r="M725" s="194">
        <f>L725/6</f>
        <v>0</v>
      </c>
      <c r="N725" s="192"/>
      <c r="O725" s="192"/>
      <c r="P725" s="192"/>
      <c r="Q725" s="192"/>
      <c r="R725" s="192"/>
      <c r="S725" s="192"/>
      <c r="T725" s="194">
        <f>SUM(N725:S725)</f>
        <v>0</v>
      </c>
      <c r="U725" s="194">
        <f>T725+L725</f>
        <v>0</v>
      </c>
      <c r="V725" s="171"/>
      <c r="W725" s="193">
        <f>V725-U725</f>
        <v>0</v>
      </c>
    </row>
    <row r="726" spans="1:23" s="47" customFormat="1" ht="17.100000000000001" hidden="1" customHeight="1">
      <c r="A726" s="673"/>
      <c r="B726" s="576"/>
      <c r="C726" s="577"/>
      <c r="D726" s="178" t="str">
        <f>серпень!D649</f>
        <v>касові нат.п-ки 2025</v>
      </c>
      <c r="E726" s="179"/>
      <c r="F726" s="179"/>
      <c r="G726" s="179"/>
      <c r="H726" s="179"/>
      <c r="I726" s="179"/>
      <c r="J726" s="179"/>
      <c r="K726" s="179"/>
      <c r="L726" s="215">
        <f>SUM(F726:K726)</f>
        <v>0</v>
      </c>
      <c r="M726" s="215">
        <f>L726/6</f>
        <v>0</v>
      </c>
      <c r="N726" s="179"/>
      <c r="O726" s="179"/>
      <c r="P726" s="179"/>
      <c r="Q726" s="179"/>
      <c r="R726" s="179"/>
      <c r="S726" s="179"/>
      <c r="T726" s="215">
        <f>SUM(N726:S726)</f>
        <v>0</v>
      </c>
      <c r="U726" s="215">
        <f>T726+L726</f>
        <v>0</v>
      </c>
      <c r="V726" s="179">
        <f>V721</f>
        <v>0</v>
      </c>
      <c r="W726" s="184">
        <f>V726-U726</f>
        <v>0</v>
      </c>
    </row>
    <row r="727" spans="1:23" s="47" customFormat="1" ht="17.100000000000001" hidden="1" customHeight="1">
      <c r="A727" s="673"/>
      <c r="B727" s="576"/>
      <c r="C727" s="577"/>
      <c r="D727" s="187" t="str">
        <f>серпень!D650</f>
        <v>тариф, грн.</v>
      </c>
      <c r="E727" s="188" t="e">
        <f>E728/E726*1000</f>
        <v>#DIV/0!</v>
      </c>
      <c r="F727" s="188">
        <v>6900</v>
      </c>
      <c r="G727" s="188">
        <v>6900</v>
      </c>
      <c r="H727" s="188">
        <v>6900</v>
      </c>
      <c r="I727" s="188">
        <v>6900</v>
      </c>
      <c r="J727" s="188">
        <v>6900</v>
      </c>
      <c r="K727" s="188">
        <v>6900</v>
      </c>
      <c r="L727" s="188" t="e">
        <f>L728/L726*1000</f>
        <v>#DIV/0!</v>
      </c>
      <c r="M727" s="188" t="e">
        <f>M728/M726*1000</f>
        <v>#DIV/0!</v>
      </c>
      <c r="N727" s="188">
        <v>6900</v>
      </c>
      <c r="O727" s="188">
        <v>6900</v>
      </c>
      <c r="P727" s="188">
        <v>6900</v>
      </c>
      <c r="Q727" s="188">
        <v>6900</v>
      </c>
      <c r="R727" s="188">
        <v>6900</v>
      </c>
      <c r="S727" s="188">
        <v>6900</v>
      </c>
      <c r="T727" s="188" t="e">
        <f>T728/T726*1000</f>
        <v>#DIV/0!</v>
      </c>
      <c r="U727" s="188" t="e">
        <f>U728/U726*1000</f>
        <v>#DIV/0!</v>
      </c>
      <c r="V727" s="218" t="e">
        <f>V728/V726*1000</f>
        <v>#DIV/0!</v>
      </c>
      <c r="W727" s="189" t="e">
        <f>W728/W726*1000</f>
        <v>#DIV/0!</v>
      </c>
    </row>
    <row r="728" spans="1:23" s="47" customFormat="1" ht="17.100000000000001" hidden="1" customHeight="1">
      <c r="A728" s="673"/>
      <c r="B728" s="576"/>
      <c r="C728" s="577"/>
      <c r="D728" s="198" t="str">
        <f>серпень!D651</f>
        <v>касові видатки, тис.грн.</v>
      </c>
      <c r="E728" s="220"/>
      <c r="F728" s="199">
        <f t="shared" ref="F728:K728" si="811">F726*F727/1000</f>
        <v>0</v>
      </c>
      <c r="G728" s="199">
        <f t="shared" si="811"/>
        <v>0</v>
      </c>
      <c r="H728" s="199">
        <f t="shared" si="811"/>
        <v>0</v>
      </c>
      <c r="I728" s="199">
        <f t="shared" si="811"/>
        <v>0</v>
      </c>
      <c r="J728" s="199">
        <f t="shared" si="811"/>
        <v>0</v>
      </c>
      <c r="K728" s="199">
        <f t="shared" si="811"/>
        <v>0</v>
      </c>
      <c r="L728" s="199">
        <f>SUM(F728:K728)</f>
        <v>0</v>
      </c>
      <c r="M728" s="199">
        <f>L728/6</f>
        <v>0</v>
      </c>
      <c r="N728" s="199">
        <f t="shared" ref="N728:S728" si="812">N726*N727/1000</f>
        <v>0</v>
      </c>
      <c r="O728" s="199">
        <f t="shared" si="812"/>
        <v>0</v>
      </c>
      <c r="P728" s="199">
        <f t="shared" si="812"/>
        <v>0</v>
      </c>
      <c r="Q728" s="199">
        <f t="shared" si="812"/>
        <v>0</v>
      </c>
      <c r="R728" s="199">
        <f t="shared" si="812"/>
        <v>0</v>
      </c>
      <c r="S728" s="199">
        <f t="shared" si="812"/>
        <v>0</v>
      </c>
      <c r="T728" s="199">
        <f>SUM(N728:S728)</f>
        <v>0</v>
      </c>
      <c r="U728" s="199">
        <f>T728+L728</f>
        <v>0</v>
      </c>
      <c r="V728" s="199">
        <f>V723</f>
        <v>0</v>
      </c>
      <c r="W728" s="221">
        <f>V728-U728</f>
        <v>0</v>
      </c>
    </row>
    <row r="729" spans="1:23" s="47" customFormat="1" ht="17.100000000000001" hidden="1" customHeight="1">
      <c r="A729" s="673"/>
      <c r="B729" s="576"/>
      <c r="C729" s="577"/>
      <c r="D729" s="201" t="str">
        <f>серпень!D652</f>
        <v>дотація</v>
      </c>
      <c r="E729" s="220"/>
      <c r="F729" s="199"/>
      <c r="G729" s="199"/>
      <c r="H729" s="199"/>
      <c r="I729" s="199"/>
      <c r="J729" s="199"/>
      <c r="K729" s="199"/>
      <c r="L729" s="199">
        <f>SUM(F729:K729)</f>
        <v>0</v>
      </c>
      <c r="M729" s="199">
        <f>L729/6</f>
        <v>0</v>
      </c>
      <c r="N729" s="199"/>
      <c r="O729" s="199"/>
      <c r="P729" s="199"/>
      <c r="Q729" s="199"/>
      <c r="R729" s="199"/>
      <c r="S729" s="199"/>
      <c r="T729" s="199">
        <f>SUM(N729:S729)</f>
        <v>0</v>
      </c>
      <c r="U729" s="199">
        <f>T729+L729</f>
        <v>0</v>
      </c>
      <c r="V729" s="199">
        <f>V724</f>
        <v>0</v>
      </c>
      <c r="W729" s="221">
        <f>V729-U729</f>
        <v>0</v>
      </c>
    </row>
    <row r="730" spans="1:23" s="47" customFormat="1" ht="17.100000000000001" hidden="1" customHeight="1">
      <c r="A730" s="673"/>
      <c r="B730" s="576"/>
      <c r="C730" s="577"/>
      <c r="D730" s="201" t="str">
        <f>серпень!D653</f>
        <v xml:space="preserve">місцевий </v>
      </c>
      <c r="E730" s="220"/>
      <c r="F730" s="199">
        <f t="shared" ref="F730:K730" si="813">F728-F729</f>
        <v>0</v>
      </c>
      <c r="G730" s="199">
        <f t="shared" si="813"/>
        <v>0</v>
      </c>
      <c r="H730" s="199">
        <f t="shared" si="813"/>
        <v>0</v>
      </c>
      <c r="I730" s="199">
        <f t="shared" si="813"/>
        <v>0</v>
      </c>
      <c r="J730" s="199">
        <f t="shared" si="813"/>
        <v>0</v>
      </c>
      <c r="K730" s="199">
        <f t="shared" si="813"/>
        <v>0</v>
      </c>
      <c r="L730" s="199">
        <f>SUM(F730:K730)</f>
        <v>0</v>
      </c>
      <c r="M730" s="199">
        <f>L730/6</f>
        <v>0</v>
      </c>
      <c r="N730" s="199">
        <f t="shared" ref="N730:S730" si="814">N728-N729</f>
        <v>0</v>
      </c>
      <c r="O730" s="199">
        <f t="shared" si="814"/>
        <v>0</v>
      </c>
      <c r="P730" s="199">
        <f t="shared" si="814"/>
        <v>0</v>
      </c>
      <c r="Q730" s="199">
        <f t="shared" si="814"/>
        <v>0</v>
      </c>
      <c r="R730" s="199">
        <f t="shared" si="814"/>
        <v>0</v>
      </c>
      <c r="S730" s="199">
        <f t="shared" si="814"/>
        <v>0</v>
      </c>
      <c r="T730" s="199">
        <f>SUM(N730:S730)</f>
        <v>0</v>
      </c>
      <c r="U730" s="199">
        <f>T730+L730</f>
        <v>0</v>
      </c>
      <c r="V730" s="199">
        <f>V725</f>
        <v>0</v>
      </c>
      <c r="W730" s="221">
        <f>V730-U730</f>
        <v>0</v>
      </c>
    </row>
    <row r="731" spans="1:23" s="47" customFormat="1" ht="17.100000000000001" hidden="1" customHeight="1">
      <c r="A731" s="673"/>
      <c r="B731" s="576"/>
      <c r="C731" s="577"/>
      <c r="D731" s="202" t="str">
        <f>серпень!D654</f>
        <v>план</v>
      </c>
      <c r="E731" s="203"/>
      <c r="F731" s="203">
        <f t="shared" ref="F731:K731" si="815">F725</f>
        <v>0</v>
      </c>
      <c r="G731" s="203">
        <f t="shared" si="815"/>
        <v>0</v>
      </c>
      <c r="H731" s="203">
        <f t="shared" si="815"/>
        <v>0</v>
      </c>
      <c r="I731" s="203">
        <f t="shared" si="815"/>
        <v>0</v>
      </c>
      <c r="J731" s="203">
        <f t="shared" si="815"/>
        <v>0</v>
      </c>
      <c r="K731" s="203">
        <f t="shared" si="815"/>
        <v>0</v>
      </c>
      <c r="L731" s="203">
        <f>SUM(F731:K731)</f>
        <v>0</v>
      </c>
      <c r="M731" s="203">
        <f>L731/6</f>
        <v>0</v>
      </c>
      <c r="N731" s="203">
        <f t="shared" ref="N731:S731" si="816">N725+N724</f>
        <v>0</v>
      </c>
      <c r="O731" s="203">
        <f t="shared" si="816"/>
        <v>0</v>
      </c>
      <c r="P731" s="203">
        <f t="shared" si="816"/>
        <v>0</v>
      </c>
      <c r="Q731" s="203">
        <f t="shared" si="816"/>
        <v>0</v>
      </c>
      <c r="R731" s="203">
        <f t="shared" si="816"/>
        <v>0</v>
      </c>
      <c r="S731" s="203">
        <f t="shared" si="816"/>
        <v>0</v>
      </c>
      <c r="T731" s="203">
        <f>SUM(N731:S731)</f>
        <v>0</v>
      </c>
      <c r="U731" s="203">
        <f>T731+L731</f>
        <v>0</v>
      </c>
      <c r="V731" s="203">
        <f>V728</f>
        <v>0</v>
      </c>
      <c r="W731" s="203">
        <f>V731-U731</f>
        <v>0</v>
      </c>
    </row>
    <row r="732" spans="1:23" s="47" customFormat="1" ht="19.600000000000001" hidden="1" customHeight="1">
      <c r="A732" s="673"/>
      <c r="B732" s="576"/>
      <c r="C732" s="577"/>
      <c r="D732" s="202" t="str">
        <f>серпень!D655</f>
        <v xml:space="preserve">відхилення </v>
      </c>
      <c r="E732" s="203"/>
      <c r="F732" s="203">
        <f t="shared" ref="F732:K732" si="817">F728-F731</f>
        <v>0</v>
      </c>
      <c r="G732" s="203">
        <f t="shared" si="817"/>
        <v>0</v>
      </c>
      <c r="H732" s="203">
        <f t="shared" si="817"/>
        <v>0</v>
      </c>
      <c r="I732" s="203">
        <f t="shared" si="817"/>
        <v>0</v>
      </c>
      <c r="J732" s="203">
        <f t="shared" si="817"/>
        <v>0</v>
      </c>
      <c r="K732" s="203">
        <f t="shared" si="817"/>
        <v>0</v>
      </c>
      <c r="L732" s="203"/>
      <c r="M732" s="203"/>
      <c r="N732" s="203">
        <f t="shared" ref="N732:S732" si="818">N728-N731</f>
        <v>0</v>
      </c>
      <c r="O732" s="203">
        <f t="shared" si="818"/>
        <v>0</v>
      </c>
      <c r="P732" s="203">
        <f t="shared" si="818"/>
        <v>0</v>
      </c>
      <c r="Q732" s="203">
        <f t="shared" si="818"/>
        <v>0</v>
      </c>
      <c r="R732" s="203">
        <f t="shared" si="818"/>
        <v>0</v>
      </c>
      <c r="S732" s="203">
        <f t="shared" si="818"/>
        <v>0</v>
      </c>
      <c r="T732" s="203"/>
      <c r="U732" s="203"/>
      <c r="V732" s="203"/>
      <c r="W732" s="203"/>
    </row>
    <row r="733" spans="1:23" s="47" customFormat="1" ht="19.600000000000001" hidden="1" customHeight="1">
      <c r="A733" s="673"/>
      <c r="B733" s="578"/>
      <c r="C733" s="579"/>
      <c r="D733" s="202" t="str">
        <f>серпень!D656</f>
        <v>відхилення з наростаючим</v>
      </c>
      <c r="E733" s="203"/>
      <c r="F733" s="203">
        <f>F732</f>
        <v>0</v>
      </c>
      <c r="G733" s="203">
        <f>G732+F733</f>
        <v>0</v>
      </c>
      <c r="H733" s="203">
        <f>H732+G733</f>
        <v>0</v>
      </c>
      <c r="I733" s="203">
        <f>I732+H733</f>
        <v>0</v>
      </c>
      <c r="J733" s="203">
        <f>J732+I733</f>
        <v>0</v>
      </c>
      <c r="K733" s="203">
        <f>K732+J733</f>
        <v>0</v>
      </c>
      <c r="L733" s="203"/>
      <c r="M733" s="203"/>
      <c r="N733" s="203">
        <f>N732+K733</f>
        <v>0</v>
      </c>
      <c r="O733" s="203">
        <f>O732+N733</f>
        <v>0</v>
      </c>
      <c r="P733" s="203">
        <f>P732+O733</f>
        <v>0</v>
      </c>
      <c r="Q733" s="203">
        <f>Q732+P733</f>
        <v>0</v>
      </c>
      <c r="R733" s="203">
        <f>R732+Q733</f>
        <v>0</v>
      </c>
      <c r="S733" s="203">
        <f>S732+R733</f>
        <v>0</v>
      </c>
      <c r="T733" s="203"/>
      <c r="U733" s="203"/>
      <c r="V733" s="203"/>
      <c r="W733" s="203"/>
    </row>
    <row r="734" spans="1:23" s="47" customFormat="1" ht="19.600000000000001" hidden="1" customHeight="1">
      <c r="A734" s="673"/>
      <c r="B734" s="580" t="s">
        <v>124</v>
      </c>
      <c r="C734" s="575"/>
      <c r="D734" s="178" t="str">
        <f>серпень!D657</f>
        <v>факт. нат.п-ки 2023</v>
      </c>
      <c r="E734" s="179"/>
      <c r="F734" s="180"/>
      <c r="G734" s="180"/>
      <c r="H734" s="180"/>
      <c r="I734" s="180"/>
      <c r="J734" s="180"/>
      <c r="K734" s="180"/>
      <c r="L734" s="215">
        <f>SUM(F734:K734)</f>
        <v>0</v>
      </c>
      <c r="M734" s="215">
        <f>L734/6</f>
        <v>0</v>
      </c>
      <c r="N734" s="180"/>
      <c r="O734" s="180"/>
      <c r="P734" s="180"/>
      <c r="Q734" s="180"/>
      <c r="R734" s="180"/>
      <c r="S734" s="180"/>
      <c r="T734" s="215">
        <f>SUM(N734:S734)</f>
        <v>0</v>
      </c>
      <c r="U734" s="226">
        <f>T734+L734</f>
        <v>0</v>
      </c>
      <c r="V734" s="227"/>
      <c r="W734" s="184">
        <f>V734-U734</f>
        <v>0</v>
      </c>
    </row>
    <row r="735" spans="1:23" s="47" customFormat="1" ht="17.100000000000001" hidden="1" customHeight="1">
      <c r="A735" s="673"/>
      <c r="B735" s="576"/>
      <c r="C735" s="577"/>
      <c r="D735" s="178" t="str">
        <f>серпень!D658</f>
        <v>факт. нат.п-ки 2024</v>
      </c>
      <c r="E735" s="179"/>
      <c r="F735" s="180"/>
      <c r="G735" s="180"/>
      <c r="H735" s="180"/>
      <c r="I735" s="180"/>
      <c r="J735" s="180"/>
      <c r="K735" s="180"/>
      <c r="L735" s="215">
        <f>SUM(F735:K735)</f>
        <v>0</v>
      </c>
      <c r="M735" s="215">
        <f>L735/6</f>
        <v>0</v>
      </c>
      <c r="N735" s="179"/>
      <c r="O735" s="179"/>
      <c r="P735" s="179"/>
      <c r="Q735" s="179"/>
      <c r="R735" s="179"/>
      <c r="S735" s="179"/>
      <c r="T735" s="215">
        <f>SUM(N735:S735)</f>
        <v>0</v>
      </c>
      <c r="U735" s="226">
        <f>T735+L735</f>
        <v>0</v>
      </c>
      <c r="V735" s="227"/>
      <c r="W735" s="184">
        <f>V735-U735</f>
        <v>0</v>
      </c>
    </row>
    <row r="736" spans="1:23" s="47" customFormat="1" ht="17.100000000000001" hidden="1" customHeight="1">
      <c r="A736" s="673"/>
      <c r="B736" s="576"/>
      <c r="C736" s="577"/>
      <c r="D736" s="178" t="str">
        <f>серпень!D659</f>
        <v>факт. нат.п-ки 2025</v>
      </c>
      <c r="E736" s="179"/>
      <c r="F736" s="180"/>
      <c r="G736" s="180"/>
      <c r="H736" s="180"/>
      <c r="I736" s="180"/>
      <c r="J736" s="180"/>
      <c r="K736" s="180"/>
      <c r="L736" s="215">
        <f>SUM(F736:K736)</f>
        <v>0</v>
      </c>
      <c r="M736" s="215">
        <f>L736/6</f>
        <v>0</v>
      </c>
      <c r="N736" s="180"/>
      <c r="O736" s="180"/>
      <c r="P736" s="180"/>
      <c r="Q736" s="180"/>
      <c r="R736" s="180"/>
      <c r="S736" s="179"/>
      <c r="T736" s="215">
        <f>SUM(N736:S736)</f>
        <v>0</v>
      </c>
      <c r="U736" s="226">
        <f>T736+L736</f>
        <v>0</v>
      </c>
      <c r="V736" s="179"/>
      <c r="W736" s="184">
        <f>V736-U736</f>
        <v>0</v>
      </c>
    </row>
    <row r="737" spans="1:23" s="47" customFormat="1" ht="17.100000000000001" hidden="1" customHeight="1">
      <c r="A737" s="673"/>
      <c r="B737" s="576"/>
      <c r="C737" s="577"/>
      <c r="D737" s="187" t="str">
        <f>серпень!D660</f>
        <v>тариф, грн.</v>
      </c>
      <c r="E737" s="188"/>
      <c r="F737" s="188">
        <v>6900</v>
      </c>
      <c r="G737" s="188">
        <v>6900</v>
      </c>
      <c r="H737" s="188">
        <v>6900</v>
      </c>
      <c r="I737" s="188">
        <v>6900</v>
      </c>
      <c r="J737" s="188">
        <v>6900</v>
      </c>
      <c r="K737" s="188">
        <v>6900</v>
      </c>
      <c r="L737" s="188" t="e">
        <f>L738/L736*1000</f>
        <v>#DIV/0!</v>
      </c>
      <c r="M737" s="188" t="e">
        <f>M738/M736*1000</f>
        <v>#DIV/0!</v>
      </c>
      <c r="N737" s="188">
        <v>6900</v>
      </c>
      <c r="O737" s="188">
        <v>6900</v>
      </c>
      <c r="P737" s="188">
        <v>6900</v>
      </c>
      <c r="Q737" s="188">
        <v>6900</v>
      </c>
      <c r="R737" s="188">
        <v>6900</v>
      </c>
      <c r="S737" s="188">
        <v>6900</v>
      </c>
      <c r="T737" s="188" t="e">
        <f>T738/T736*1000</f>
        <v>#DIV/0!</v>
      </c>
      <c r="U737" s="188" t="e">
        <f>U738/U736*1000</f>
        <v>#DIV/0!</v>
      </c>
      <c r="V737" s="218" t="e">
        <f>V738/V736*1000</f>
        <v>#DIV/0!</v>
      </c>
      <c r="W737" s="189" t="e">
        <f>W738/W736*1000</f>
        <v>#DIV/0!</v>
      </c>
    </row>
    <row r="738" spans="1:23" s="47" customFormat="1" ht="17.100000000000001" hidden="1" customHeight="1">
      <c r="A738" s="673"/>
      <c r="B738" s="576"/>
      <c r="C738" s="577"/>
      <c r="D738" s="191" t="str">
        <f>серпень!D661</f>
        <v>сума, тис.грн.</v>
      </c>
      <c r="E738" s="192"/>
      <c r="F738" s="192">
        <f t="shared" ref="F738:K738" si="819">F736*F737/1000</f>
        <v>0</v>
      </c>
      <c r="G738" s="192">
        <f t="shared" si="819"/>
        <v>0</v>
      </c>
      <c r="H738" s="192">
        <f t="shared" si="819"/>
        <v>0</v>
      </c>
      <c r="I738" s="192">
        <f t="shared" si="819"/>
        <v>0</v>
      </c>
      <c r="J738" s="192">
        <f t="shared" si="819"/>
        <v>0</v>
      </c>
      <c r="K738" s="192">
        <f t="shared" si="819"/>
        <v>0</v>
      </c>
      <c r="L738" s="194">
        <f>SUM(F738:K738)</f>
        <v>0</v>
      </c>
      <c r="M738" s="194">
        <f>L738/6</f>
        <v>0</v>
      </c>
      <c r="N738" s="192">
        <f t="shared" ref="N738:S738" si="820">N736*N737/1000</f>
        <v>0</v>
      </c>
      <c r="O738" s="192">
        <f t="shared" si="820"/>
        <v>0</v>
      </c>
      <c r="P738" s="192">
        <f t="shared" si="820"/>
        <v>0</v>
      </c>
      <c r="Q738" s="192">
        <f t="shared" si="820"/>
        <v>0</v>
      </c>
      <c r="R738" s="192">
        <f t="shared" si="820"/>
        <v>0</v>
      </c>
      <c r="S738" s="192">
        <f t="shared" si="820"/>
        <v>0</v>
      </c>
      <c r="T738" s="194">
        <f>SUM(N738:S738)</f>
        <v>0</v>
      </c>
      <c r="U738" s="194">
        <f>T738+L738</f>
        <v>0</v>
      </c>
      <c r="V738" s="171">
        <f>V739+V740</f>
        <v>0</v>
      </c>
      <c r="W738" s="193">
        <f>V738-U738</f>
        <v>0</v>
      </c>
    </row>
    <row r="739" spans="1:23" s="47" customFormat="1" ht="17.100000000000001" hidden="1" customHeight="1">
      <c r="A739" s="673"/>
      <c r="B739" s="576"/>
      <c r="C739" s="577"/>
      <c r="D739" s="174" t="str">
        <f>серпень!D662</f>
        <v>дотація</v>
      </c>
      <c r="E739" s="210"/>
      <c r="F739" s="192"/>
      <c r="G739" s="192"/>
      <c r="H739" s="192"/>
      <c r="I739" s="192"/>
      <c r="J739" s="192"/>
      <c r="K739" s="192"/>
      <c r="L739" s="194">
        <f>SUM(F739:K739)</f>
        <v>0</v>
      </c>
      <c r="M739" s="194">
        <f>L739/6</f>
        <v>0</v>
      </c>
      <c r="N739" s="192"/>
      <c r="O739" s="192"/>
      <c r="P739" s="192"/>
      <c r="Q739" s="192"/>
      <c r="R739" s="192"/>
      <c r="S739" s="192"/>
      <c r="T739" s="194">
        <f>SUM(N739:S739)</f>
        <v>0</v>
      </c>
      <c r="U739" s="194">
        <f>T739+L739</f>
        <v>0</v>
      </c>
      <c r="V739" s="171">
        <v>0</v>
      </c>
      <c r="W739" s="193">
        <f>V739-U739</f>
        <v>0</v>
      </c>
    </row>
    <row r="740" spans="1:23" s="47" customFormat="1" ht="17.100000000000001" hidden="1" customHeight="1">
      <c r="A740" s="673"/>
      <c r="B740" s="576"/>
      <c r="C740" s="577"/>
      <c r="D740" s="174" t="str">
        <f>серпень!D663</f>
        <v>місцевий (план), тис.грн</v>
      </c>
      <c r="E740" s="210"/>
      <c r="F740" s="192"/>
      <c r="G740" s="192"/>
      <c r="H740" s="192"/>
      <c r="I740" s="192"/>
      <c r="J740" s="192"/>
      <c r="K740" s="192"/>
      <c r="L740" s="194">
        <f>SUM(F740:K740)</f>
        <v>0</v>
      </c>
      <c r="M740" s="194">
        <f>L740/6</f>
        <v>0</v>
      </c>
      <c r="N740" s="192"/>
      <c r="O740" s="192"/>
      <c r="P740" s="192"/>
      <c r="Q740" s="192"/>
      <c r="R740" s="192"/>
      <c r="S740" s="192"/>
      <c r="T740" s="194">
        <f>SUM(N740:S740)</f>
        <v>0</v>
      </c>
      <c r="U740" s="194">
        <f>T740+L740</f>
        <v>0</v>
      </c>
      <c r="V740" s="171"/>
      <c r="W740" s="193">
        <f>V740-U740</f>
        <v>0</v>
      </c>
    </row>
    <row r="741" spans="1:23" s="47" customFormat="1" ht="17.100000000000001" hidden="1" customHeight="1">
      <c r="A741" s="673"/>
      <c r="B741" s="576"/>
      <c r="C741" s="577"/>
      <c r="D741" s="178" t="str">
        <f>серпень!D664</f>
        <v>касові нат.п-ки 2025</v>
      </c>
      <c r="E741" s="179"/>
      <c r="F741" s="179"/>
      <c r="G741" s="179"/>
      <c r="H741" s="179"/>
      <c r="I741" s="179"/>
      <c r="J741" s="179"/>
      <c r="K741" s="179"/>
      <c r="L741" s="215">
        <f>SUM(F741:K741)</f>
        <v>0</v>
      </c>
      <c r="M741" s="215">
        <f>L741/6</f>
        <v>0</v>
      </c>
      <c r="N741" s="179"/>
      <c r="O741" s="179"/>
      <c r="P741" s="179"/>
      <c r="Q741" s="179"/>
      <c r="R741" s="179"/>
      <c r="S741" s="179"/>
      <c r="T741" s="215">
        <f>SUM(N741:S741)</f>
        <v>0</v>
      </c>
      <c r="U741" s="215">
        <f>T741+L741</f>
        <v>0</v>
      </c>
      <c r="V741" s="179">
        <f>V736</f>
        <v>0</v>
      </c>
      <c r="W741" s="184">
        <f>V741-U741</f>
        <v>0</v>
      </c>
    </row>
    <row r="742" spans="1:23" s="47" customFormat="1" ht="17.100000000000001" hidden="1" customHeight="1">
      <c r="A742" s="673"/>
      <c r="B742" s="576"/>
      <c r="C742" s="577"/>
      <c r="D742" s="187" t="str">
        <f>серпень!D665</f>
        <v>тариф, грн.</v>
      </c>
      <c r="E742" s="188" t="e">
        <f>E743/E741*1000</f>
        <v>#DIV/0!</v>
      </c>
      <c r="F742" s="188">
        <v>6900</v>
      </c>
      <c r="G742" s="188">
        <v>6900</v>
      </c>
      <c r="H742" s="188">
        <v>6900</v>
      </c>
      <c r="I742" s="188">
        <v>6900</v>
      </c>
      <c r="J742" s="188">
        <v>6900</v>
      </c>
      <c r="K742" s="188">
        <v>6900</v>
      </c>
      <c r="L742" s="188" t="e">
        <f>L743/L741*1000</f>
        <v>#DIV/0!</v>
      </c>
      <c r="M742" s="188" t="e">
        <f>M743/M741*1000</f>
        <v>#DIV/0!</v>
      </c>
      <c r="N742" s="188">
        <v>6900</v>
      </c>
      <c r="O742" s="188">
        <v>6900</v>
      </c>
      <c r="P742" s="188">
        <v>6900</v>
      </c>
      <c r="Q742" s="188">
        <v>6900</v>
      </c>
      <c r="R742" s="188">
        <v>6900</v>
      </c>
      <c r="S742" s="188">
        <v>6900</v>
      </c>
      <c r="T742" s="188" t="e">
        <f>T743/T741*1000</f>
        <v>#DIV/0!</v>
      </c>
      <c r="U742" s="188" t="e">
        <f>U743/U741*1000</f>
        <v>#DIV/0!</v>
      </c>
      <c r="V742" s="218" t="e">
        <f>V743/V741*1000</f>
        <v>#DIV/0!</v>
      </c>
      <c r="W742" s="189" t="e">
        <f>W743/W741*1000</f>
        <v>#DIV/0!</v>
      </c>
    </row>
    <row r="743" spans="1:23" s="47" customFormat="1" ht="17.100000000000001" hidden="1" customHeight="1">
      <c r="A743" s="673"/>
      <c r="B743" s="576"/>
      <c r="C743" s="577"/>
      <c r="D743" s="198" t="str">
        <f>серпень!D666</f>
        <v>касові видатки, тис.грн.</v>
      </c>
      <c r="E743" s="220"/>
      <c r="F743" s="199">
        <f t="shared" ref="F743:K743" si="821">F741*F742/1000</f>
        <v>0</v>
      </c>
      <c r="G743" s="199">
        <f t="shared" si="821"/>
        <v>0</v>
      </c>
      <c r="H743" s="199">
        <f t="shared" si="821"/>
        <v>0</v>
      </c>
      <c r="I743" s="199">
        <f t="shared" si="821"/>
        <v>0</v>
      </c>
      <c r="J743" s="199">
        <f t="shared" si="821"/>
        <v>0</v>
      </c>
      <c r="K743" s="199">
        <f t="shared" si="821"/>
        <v>0</v>
      </c>
      <c r="L743" s="199">
        <f>SUM(F743:K743)</f>
        <v>0</v>
      </c>
      <c r="M743" s="199">
        <f>L743/6</f>
        <v>0</v>
      </c>
      <c r="N743" s="199">
        <f t="shared" ref="N743:S743" si="822">N741*N742/1000</f>
        <v>0</v>
      </c>
      <c r="O743" s="199">
        <f t="shared" si="822"/>
        <v>0</v>
      </c>
      <c r="P743" s="199">
        <f t="shared" si="822"/>
        <v>0</v>
      </c>
      <c r="Q743" s="199">
        <f t="shared" si="822"/>
        <v>0</v>
      </c>
      <c r="R743" s="199">
        <f t="shared" si="822"/>
        <v>0</v>
      </c>
      <c r="S743" s="199">
        <f t="shared" si="822"/>
        <v>0</v>
      </c>
      <c r="T743" s="199">
        <f>SUM(N743:S743)</f>
        <v>0</v>
      </c>
      <c r="U743" s="199">
        <f>T743+L743</f>
        <v>0</v>
      </c>
      <c r="V743" s="199">
        <f>V738</f>
        <v>0</v>
      </c>
      <c r="W743" s="221">
        <f>V743-U743</f>
        <v>0</v>
      </c>
    </row>
    <row r="744" spans="1:23" s="47" customFormat="1" ht="17.100000000000001" hidden="1" customHeight="1">
      <c r="A744" s="673"/>
      <c r="B744" s="576"/>
      <c r="C744" s="577"/>
      <c r="D744" s="201" t="str">
        <f>серпень!D667</f>
        <v>дотація</v>
      </c>
      <c r="E744" s="220"/>
      <c r="F744" s="199"/>
      <c r="G744" s="199"/>
      <c r="H744" s="199"/>
      <c r="I744" s="199"/>
      <c r="J744" s="199"/>
      <c r="K744" s="199"/>
      <c r="L744" s="199">
        <f>SUM(F744:K744)</f>
        <v>0</v>
      </c>
      <c r="M744" s="199">
        <f>L744/6</f>
        <v>0</v>
      </c>
      <c r="N744" s="199"/>
      <c r="O744" s="199"/>
      <c r="P744" s="199"/>
      <c r="Q744" s="199"/>
      <c r="R744" s="199"/>
      <c r="S744" s="199"/>
      <c r="T744" s="199">
        <f>SUM(N744:S744)</f>
        <v>0</v>
      </c>
      <c r="U744" s="199">
        <f>T744+L744</f>
        <v>0</v>
      </c>
      <c r="V744" s="199">
        <f>V739</f>
        <v>0</v>
      </c>
      <c r="W744" s="221">
        <f>V744-U744</f>
        <v>0</v>
      </c>
    </row>
    <row r="745" spans="1:23" s="47" customFormat="1" ht="17.100000000000001" hidden="1" customHeight="1">
      <c r="A745" s="673"/>
      <c r="B745" s="576"/>
      <c r="C745" s="577"/>
      <c r="D745" s="201" t="str">
        <f>серпень!D668</f>
        <v xml:space="preserve">місцевий </v>
      </c>
      <c r="E745" s="220"/>
      <c r="F745" s="199">
        <f t="shared" ref="F745:K745" si="823">F743-F744</f>
        <v>0</v>
      </c>
      <c r="G745" s="199">
        <f t="shared" si="823"/>
        <v>0</v>
      </c>
      <c r="H745" s="199">
        <f t="shared" si="823"/>
        <v>0</v>
      </c>
      <c r="I745" s="199">
        <f t="shared" si="823"/>
        <v>0</v>
      </c>
      <c r="J745" s="199">
        <f t="shared" si="823"/>
        <v>0</v>
      </c>
      <c r="K745" s="199">
        <f t="shared" si="823"/>
        <v>0</v>
      </c>
      <c r="L745" s="199">
        <f>SUM(F745:K745)</f>
        <v>0</v>
      </c>
      <c r="M745" s="199">
        <f>L745/6</f>
        <v>0</v>
      </c>
      <c r="N745" s="199">
        <f t="shared" ref="N745:S745" si="824">N743-N744</f>
        <v>0</v>
      </c>
      <c r="O745" s="199">
        <f t="shared" si="824"/>
        <v>0</v>
      </c>
      <c r="P745" s="199">
        <f t="shared" si="824"/>
        <v>0</v>
      </c>
      <c r="Q745" s="199">
        <f t="shared" si="824"/>
        <v>0</v>
      </c>
      <c r="R745" s="199">
        <f t="shared" si="824"/>
        <v>0</v>
      </c>
      <c r="S745" s="199">
        <f t="shared" si="824"/>
        <v>0</v>
      </c>
      <c r="T745" s="199">
        <f>SUM(N745:S745)</f>
        <v>0</v>
      </c>
      <c r="U745" s="199">
        <f>T745+L745</f>
        <v>0</v>
      </c>
      <c r="V745" s="199">
        <f>V740</f>
        <v>0</v>
      </c>
      <c r="W745" s="221">
        <f>V745-U745</f>
        <v>0</v>
      </c>
    </row>
    <row r="746" spans="1:23" s="47" customFormat="1" ht="17.100000000000001" hidden="1" customHeight="1">
      <c r="A746" s="673"/>
      <c r="B746" s="576"/>
      <c r="C746" s="577"/>
      <c r="D746" s="202" t="str">
        <f>серпень!D669</f>
        <v>план</v>
      </c>
      <c r="E746" s="203"/>
      <c r="F746" s="203">
        <f t="shared" ref="F746:K746" si="825">F740</f>
        <v>0</v>
      </c>
      <c r="G746" s="203">
        <f t="shared" si="825"/>
        <v>0</v>
      </c>
      <c r="H746" s="203">
        <f t="shared" si="825"/>
        <v>0</v>
      </c>
      <c r="I746" s="203">
        <f t="shared" si="825"/>
        <v>0</v>
      </c>
      <c r="J746" s="203">
        <f t="shared" si="825"/>
        <v>0</v>
      </c>
      <c r="K746" s="203">
        <f t="shared" si="825"/>
        <v>0</v>
      </c>
      <c r="L746" s="203">
        <f>SUM(F746:K746)</f>
        <v>0</v>
      </c>
      <c r="M746" s="203">
        <f>L746/6</f>
        <v>0</v>
      </c>
      <c r="N746" s="203">
        <f t="shared" ref="N746:S746" si="826">N740+N739</f>
        <v>0</v>
      </c>
      <c r="O746" s="203">
        <f t="shared" si="826"/>
        <v>0</v>
      </c>
      <c r="P746" s="203">
        <f t="shared" si="826"/>
        <v>0</v>
      </c>
      <c r="Q746" s="203">
        <f t="shared" si="826"/>
        <v>0</v>
      </c>
      <c r="R746" s="203">
        <f t="shared" si="826"/>
        <v>0</v>
      </c>
      <c r="S746" s="203">
        <f t="shared" si="826"/>
        <v>0</v>
      </c>
      <c r="T746" s="203">
        <f>SUM(N746:S746)</f>
        <v>0</v>
      </c>
      <c r="U746" s="203">
        <f>T746+L746</f>
        <v>0</v>
      </c>
      <c r="V746" s="203">
        <f>V743</f>
        <v>0</v>
      </c>
      <c r="W746" s="203">
        <f>V746-U746</f>
        <v>0</v>
      </c>
    </row>
    <row r="747" spans="1:23" s="47" customFormat="1" ht="17.100000000000001" hidden="1" customHeight="1">
      <c r="A747" s="673"/>
      <c r="B747" s="576"/>
      <c r="C747" s="577"/>
      <c r="D747" s="202" t="str">
        <f>серпень!D670</f>
        <v xml:space="preserve">відхилення </v>
      </c>
      <c r="E747" s="203"/>
      <c r="F747" s="203">
        <f t="shared" ref="F747:K747" si="827">F743-F746</f>
        <v>0</v>
      </c>
      <c r="G747" s="203">
        <f t="shared" si="827"/>
        <v>0</v>
      </c>
      <c r="H747" s="203">
        <f t="shared" si="827"/>
        <v>0</v>
      </c>
      <c r="I747" s="203">
        <f t="shared" si="827"/>
        <v>0</v>
      </c>
      <c r="J747" s="203">
        <f t="shared" si="827"/>
        <v>0</v>
      </c>
      <c r="K747" s="203">
        <f t="shared" si="827"/>
        <v>0</v>
      </c>
      <c r="L747" s="203"/>
      <c r="M747" s="203"/>
      <c r="N747" s="203">
        <f t="shared" ref="N747:S747" si="828">N743-N746</f>
        <v>0</v>
      </c>
      <c r="O747" s="203">
        <f t="shared" si="828"/>
        <v>0</v>
      </c>
      <c r="P747" s="203">
        <f t="shared" si="828"/>
        <v>0</v>
      </c>
      <c r="Q747" s="203">
        <f t="shared" si="828"/>
        <v>0</v>
      </c>
      <c r="R747" s="203">
        <f t="shared" si="828"/>
        <v>0</v>
      </c>
      <c r="S747" s="203">
        <f t="shared" si="828"/>
        <v>0</v>
      </c>
      <c r="T747" s="203"/>
      <c r="U747" s="203"/>
      <c r="V747" s="203"/>
      <c r="W747" s="203"/>
    </row>
    <row r="748" spans="1:23" s="47" customFormat="1" ht="19.600000000000001" hidden="1" customHeight="1">
      <c r="A748" s="673"/>
      <c r="B748" s="578"/>
      <c r="C748" s="579"/>
      <c r="D748" s="202" t="str">
        <f>серпень!D671</f>
        <v>відхилення з наростаючим</v>
      </c>
      <c r="E748" s="203"/>
      <c r="F748" s="203">
        <f>F747</f>
        <v>0</v>
      </c>
      <c r="G748" s="203">
        <f>G747+F748</f>
        <v>0</v>
      </c>
      <c r="H748" s="203">
        <f>H747+G748</f>
        <v>0</v>
      </c>
      <c r="I748" s="203">
        <f>I747+H748</f>
        <v>0</v>
      </c>
      <c r="J748" s="203">
        <f>J747+I748</f>
        <v>0</v>
      </c>
      <c r="K748" s="203">
        <f>K747+J748</f>
        <v>0</v>
      </c>
      <c r="L748" s="203"/>
      <c r="M748" s="203"/>
      <c r="N748" s="203">
        <f>N747+K748</f>
        <v>0</v>
      </c>
      <c r="O748" s="203">
        <f>O747+N748</f>
        <v>0</v>
      </c>
      <c r="P748" s="203">
        <f>P747+O748</f>
        <v>0</v>
      </c>
      <c r="Q748" s="203">
        <f>Q747+P748</f>
        <v>0</v>
      </c>
      <c r="R748" s="203">
        <f>R747+Q748</f>
        <v>0</v>
      </c>
      <c r="S748" s="203">
        <f>S747+R748</f>
        <v>0</v>
      </c>
      <c r="T748" s="203"/>
      <c r="U748" s="203"/>
      <c r="V748" s="203"/>
      <c r="W748" s="203"/>
    </row>
    <row r="749" spans="1:23">
      <c r="L749" s="15"/>
      <c r="M749" s="15"/>
      <c r="N749" s="15"/>
      <c r="T749" s="15"/>
      <c r="U749" s="15"/>
    </row>
    <row r="750" spans="1:23">
      <c r="L750" s="15"/>
      <c r="M750" s="15"/>
      <c r="N750" s="15"/>
      <c r="T750" s="15"/>
      <c r="U750" s="15"/>
    </row>
    <row r="751" spans="1:23">
      <c r="D751" s="1"/>
      <c r="L751" s="15"/>
      <c r="M751" s="15"/>
      <c r="N751" s="15"/>
      <c r="T751" s="15"/>
      <c r="U751" s="15"/>
    </row>
    <row r="752" spans="1:23">
      <c r="D752" s="1"/>
      <c r="L752" s="15"/>
      <c r="M752" s="15"/>
      <c r="N752" s="15"/>
      <c r="T752" s="15"/>
      <c r="U752" s="15"/>
    </row>
    <row r="753" spans="4:21">
      <c r="L753" s="15"/>
      <c r="M753" s="15"/>
      <c r="N753" s="15"/>
      <c r="T753" s="15"/>
      <c r="U753" s="15"/>
    </row>
    <row r="754" spans="4:21">
      <c r="L754" s="15"/>
      <c r="M754" s="15"/>
      <c r="N754" s="15"/>
      <c r="T754" s="15"/>
      <c r="U754" s="15"/>
    </row>
    <row r="755" spans="4:21">
      <c r="L755" s="15"/>
      <c r="M755" s="15"/>
      <c r="N755" s="15"/>
      <c r="T755" s="15"/>
      <c r="U755" s="15"/>
    </row>
    <row r="756" spans="4:21">
      <c r="L756" s="15"/>
      <c r="M756" s="15"/>
      <c r="N756" s="15"/>
      <c r="T756" s="15"/>
      <c r="U756" s="15"/>
    </row>
    <row r="757" spans="4:21" ht="15.65">
      <c r="D757" s="284"/>
      <c r="L757" s="15"/>
      <c r="M757" s="15"/>
      <c r="N757" s="15"/>
      <c r="T757" s="15"/>
      <c r="U757" s="15"/>
    </row>
    <row r="758" spans="4:21">
      <c r="D758" s="283"/>
      <c r="L758" s="15"/>
      <c r="M758" s="15"/>
      <c r="N758" s="15"/>
      <c r="T758" s="15"/>
      <c r="U758" s="15"/>
    </row>
    <row r="759" spans="4:21">
      <c r="L759" s="15"/>
      <c r="M759" s="15"/>
      <c r="N759" s="15"/>
      <c r="T759" s="15"/>
      <c r="U759" s="15"/>
    </row>
    <row r="760" spans="4:21">
      <c r="L760" s="15"/>
      <c r="M760" s="15"/>
      <c r="N760" s="15"/>
      <c r="T760" s="15"/>
      <c r="U760" s="15"/>
    </row>
    <row r="761" spans="4:21">
      <c r="L761" s="15"/>
      <c r="M761" s="15"/>
      <c r="N761" s="15"/>
      <c r="T761" s="15"/>
      <c r="U761" s="15"/>
    </row>
    <row r="762" spans="4:21">
      <c r="L762" s="15"/>
      <c r="M762" s="15"/>
      <c r="N762" s="15"/>
      <c r="T762" s="15"/>
      <c r="U762" s="15"/>
    </row>
    <row r="763" spans="4:21">
      <c r="L763" s="15"/>
      <c r="M763" s="15"/>
      <c r="N763" s="15"/>
      <c r="T763" s="15"/>
      <c r="U763" s="15"/>
    </row>
    <row r="764" spans="4:21">
      <c r="L764" s="15"/>
      <c r="M764" s="15"/>
      <c r="N764" s="15"/>
      <c r="T764" s="15"/>
      <c r="U764" s="15"/>
    </row>
    <row r="765" spans="4:21">
      <c r="L765" s="15"/>
      <c r="M765" s="15"/>
      <c r="N765" s="15"/>
      <c r="T765" s="15"/>
      <c r="U765" s="15"/>
    </row>
    <row r="766" spans="4:21">
      <c r="L766" s="15"/>
      <c r="M766" s="15"/>
      <c r="N766" s="15"/>
      <c r="T766" s="15"/>
      <c r="U766" s="15"/>
    </row>
    <row r="767" spans="4:21">
      <c r="L767" s="15"/>
      <c r="M767" s="15"/>
      <c r="N767" s="15"/>
      <c r="T767" s="15"/>
      <c r="U767" s="15"/>
    </row>
    <row r="768" spans="4:21">
      <c r="L768" s="15"/>
      <c r="M768" s="15"/>
      <c r="N768" s="15"/>
      <c r="T768" s="15"/>
      <c r="U768" s="15"/>
    </row>
    <row r="769" spans="12:21">
      <c r="L769" s="15"/>
      <c r="M769" s="15"/>
      <c r="N769" s="15"/>
      <c r="T769" s="15"/>
      <c r="U769" s="15"/>
    </row>
    <row r="770" spans="12:21">
      <c r="L770" s="15"/>
      <c r="M770" s="15"/>
      <c r="N770" s="15"/>
      <c r="T770" s="15"/>
      <c r="U770" s="15"/>
    </row>
    <row r="771" spans="12:21">
      <c r="L771" s="15"/>
      <c r="M771" s="15"/>
      <c r="N771" s="15"/>
      <c r="T771" s="15"/>
      <c r="U771" s="15"/>
    </row>
    <row r="772" spans="12:21">
      <c r="L772" s="15"/>
      <c r="M772" s="15"/>
      <c r="N772" s="15"/>
      <c r="T772" s="15"/>
      <c r="U772" s="15"/>
    </row>
    <row r="773" spans="12:21">
      <c r="L773" s="15"/>
      <c r="M773" s="15"/>
      <c r="N773" s="15"/>
      <c r="T773" s="15"/>
      <c r="U773" s="15"/>
    </row>
    <row r="774" spans="12:21">
      <c r="L774" s="15"/>
      <c r="M774" s="15"/>
      <c r="N774" s="15"/>
      <c r="T774" s="15"/>
      <c r="U774" s="15"/>
    </row>
    <row r="775" spans="12:21">
      <c r="L775" s="15"/>
      <c r="M775" s="15"/>
      <c r="N775" s="15"/>
      <c r="T775" s="15"/>
      <c r="U775" s="15"/>
    </row>
    <row r="776" spans="12:21">
      <c r="L776" s="15"/>
      <c r="M776" s="15"/>
      <c r="N776" s="15"/>
      <c r="T776" s="15"/>
      <c r="U776" s="15"/>
    </row>
    <row r="777" spans="12:21">
      <c r="L777" s="15"/>
      <c r="M777" s="15"/>
      <c r="N777" s="15"/>
      <c r="T777" s="15"/>
      <c r="U777" s="15"/>
    </row>
    <row r="778" spans="12:21">
      <c r="L778" s="15"/>
      <c r="M778" s="15"/>
      <c r="N778" s="15"/>
      <c r="T778" s="15"/>
      <c r="U778" s="15"/>
    </row>
    <row r="779" spans="12:21">
      <c r="L779" s="15"/>
      <c r="M779" s="15"/>
      <c r="N779" s="15"/>
      <c r="T779" s="15"/>
      <c r="U779" s="15"/>
    </row>
    <row r="780" spans="12:21">
      <c r="L780" s="15"/>
      <c r="M780" s="15"/>
      <c r="N780" s="15"/>
      <c r="T780" s="15"/>
      <c r="U780" s="15"/>
    </row>
    <row r="781" spans="12:21">
      <c r="L781" s="15"/>
      <c r="M781" s="15"/>
      <c r="N781" s="15"/>
      <c r="T781" s="15"/>
      <c r="U781" s="15"/>
    </row>
    <row r="782" spans="12:21">
      <c r="L782" s="15"/>
      <c r="M782" s="15"/>
      <c r="N782" s="15"/>
      <c r="T782" s="15"/>
      <c r="U782" s="15"/>
    </row>
    <row r="783" spans="12:21">
      <c r="L783" s="15"/>
      <c r="M783" s="15"/>
      <c r="N783" s="15"/>
      <c r="T783" s="15"/>
      <c r="U783" s="15"/>
    </row>
    <row r="784" spans="12:21">
      <c r="L784" s="15"/>
      <c r="M784" s="15"/>
      <c r="N784" s="15"/>
      <c r="T784" s="15"/>
      <c r="U784" s="15"/>
    </row>
    <row r="785" spans="12:21">
      <c r="L785" s="15"/>
      <c r="M785" s="15"/>
      <c r="N785" s="15"/>
      <c r="T785" s="15"/>
      <c r="U785" s="15"/>
    </row>
    <row r="786" spans="12:21">
      <c r="L786" s="15"/>
      <c r="M786" s="15"/>
      <c r="N786" s="15"/>
      <c r="T786" s="15"/>
      <c r="U786" s="15"/>
    </row>
    <row r="787" spans="12:21">
      <c r="L787" s="15"/>
      <c r="M787" s="15"/>
      <c r="N787" s="15"/>
      <c r="T787" s="15"/>
      <c r="U787" s="15"/>
    </row>
    <row r="788" spans="12:21">
      <c r="L788" s="15"/>
      <c r="M788" s="15"/>
      <c r="N788" s="15"/>
      <c r="T788" s="15"/>
      <c r="U788" s="15"/>
    </row>
    <row r="789" spans="12:21">
      <c r="L789" s="15"/>
      <c r="M789" s="15"/>
      <c r="N789" s="15"/>
      <c r="T789" s="15"/>
      <c r="U789" s="15"/>
    </row>
    <row r="790" spans="12:21">
      <c r="L790" s="15"/>
      <c r="M790" s="15"/>
      <c r="N790" s="15"/>
      <c r="T790" s="15"/>
      <c r="U790" s="15"/>
    </row>
    <row r="791" spans="12:21">
      <c r="L791" s="15"/>
      <c r="M791" s="15"/>
      <c r="N791" s="15"/>
      <c r="T791" s="15"/>
      <c r="U791" s="15"/>
    </row>
    <row r="792" spans="12:21">
      <c r="L792" s="15"/>
      <c r="M792" s="15"/>
      <c r="N792" s="15"/>
      <c r="T792" s="15"/>
      <c r="U792" s="15"/>
    </row>
    <row r="793" spans="12:21">
      <c r="L793" s="15"/>
      <c r="M793" s="15"/>
      <c r="N793" s="15"/>
      <c r="T793" s="15"/>
      <c r="U793" s="15"/>
    </row>
    <row r="794" spans="12:21">
      <c r="L794" s="15"/>
      <c r="M794" s="15"/>
      <c r="N794" s="15"/>
      <c r="T794" s="15"/>
      <c r="U794" s="15"/>
    </row>
    <row r="795" spans="12:21">
      <c r="L795" s="15"/>
      <c r="M795" s="15"/>
      <c r="N795" s="15"/>
      <c r="T795" s="15"/>
      <c r="U795" s="15"/>
    </row>
    <row r="796" spans="12:21">
      <c r="L796" s="15"/>
      <c r="M796" s="15"/>
      <c r="N796" s="15"/>
      <c r="T796" s="15"/>
      <c r="U796" s="15"/>
    </row>
    <row r="797" spans="12:21">
      <c r="L797" s="15"/>
      <c r="M797" s="15"/>
      <c r="N797" s="15"/>
      <c r="T797" s="15"/>
      <c r="U797" s="15"/>
    </row>
    <row r="798" spans="12:21">
      <c r="L798" s="15"/>
      <c r="M798" s="15"/>
      <c r="N798" s="15"/>
      <c r="T798" s="15"/>
      <c r="U798" s="15"/>
    </row>
    <row r="799" spans="12:21">
      <c r="L799" s="15"/>
      <c r="M799" s="15"/>
      <c r="N799" s="15"/>
      <c r="T799" s="15"/>
      <c r="U799" s="15"/>
    </row>
    <row r="800" spans="12:21">
      <c r="L800" s="15"/>
      <c r="M800" s="15"/>
      <c r="N800" s="15"/>
      <c r="T800" s="15"/>
      <c r="U800" s="15"/>
    </row>
    <row r="801" spans="12:21">
      <c r="L801" s="15"/>
      <c r="M801" s="15"/>
      <c r="N801" s="15"/>
      <c r="T801" s="15"/>
      <c r="U801" s="15"/>
    </row>
    <row r="802" spans="12:21">
      <c r="L802" s="15"/>
      <c r="M802" s="15"/>
      <c r="N802" s="15"/>
      <c r="T802" s="15"/>
      <c r="U802" s="15"/>
    </row>
    <row r="803" spans="12:21">
      <c r="L803" s="15"/>
      <c r="M803" s="15"/>
      <c r="N803" s="15"/>
      <c r="T803" s="15"/>
      <c r="U803" s="15"/>
    </row>
    <row r="804" spans="12:21">
      <c r="L804" s="15"/>
      <c r="M804" s="15"/>
      <c r="N804" s="15"/>
      <c r="T804" s="15"/>
      <c r="U804" s="15"/>
    </row>
    <row r="805" spans="12:21">
      <c r="L805" s="15"/>
      <c r="M805" s="15"/>
      <c r="N805" s="15"/>
      <c r="T805" s="15"/>
      <c r="U805" s="15"/>
    </row>
    <row r="806" spans="12:21">
      <c r="L806" s="15"/>
      <c r="M806" s="15"/>
      <c r="N806" s="15"/>
      <c r="T806" s="15"/>
      <c r="U806" s="15"/>
    </row>
    <row r="807" spans="12:21">
      <c r="L807" s="15"/>
      <c r="M807" s="15"/>
      <c r="N807" s="15"/>
      <c r="T807" s="15"/>
      <c r="U807" s="15"/>
    </row>
    <row r="808" spans="12:21">
      <c r="L808" s="15"/>
      <c r="M808" s="15"/>
      <c r="N808" s="15"/>
      <c r="T808" s="15"/>
      <c r="U808" s="15"/>
    </row>
    <row r="809" spans="12:21">
      <c r="L809" s="15"/>
      <c r="M809" s="15"/>
      <c r="N809" s="15"/>
      <c r="T809" s="15"/>
      <c r="U809" s="15"/>
    </row>
    <row r="810" spans="12:21">
      <c r="L810" s="15"/>
      <c r="M810" s="15"/>
      <c r="N810" s="15"/>
      <c r="T810" s="15"/>
      <c r="U810" s="15"/>
    </row>
    <row r="811" spans="12:21">
      <c r="L811" s="15"/>
      <c r="M811" s="15"/>
      <c r="N811" s="15"/>
      <c r="T811" s="15"/>
      <c r="U811" s="15"/>
    </row>
    <row r="812" spans="12:21">
      <c r="L812" s="15"/>
      <c r="M812" s="15"/>
      <c r="N812" s="15"/>
      <c r="T812" s="15"/>
      <c r="U812" s="15"/>
    </row>
    <row r="813" spans="12:21">
      <c r="L813" s="15"/>
      <c r="M813" s="15"/>
      <c r="N813" s="15"/>
      <c r="T813" s="15"/>
      <c r="U813" s="15"/>
    </row>
    <row r="814" spans="12:21">
      <c r="L814" s="15"/>
      <c r="M814" s="15"/>
      <c r="N814" s="15"/>
      <c r="T814" s="15"/>
      <c r="U814" s="15"/>
    </row>
    <row r="815" spans="12:21">
      <c r="L815" s="15"/>
      <c r="M815" s="15"/>
      <c r="N815" s="15"/>
      <c r="T815" s="15"/>
      <c r="U815" s="15"/>
    </row>
    <row r="816" spans="12:21">
      <c r="L816" s="15"/>
      <c r="M816" s="15"/>
      <c r="N816" s="15"/>
      <c r="T816" s="15"/>
      <c r="U816" s="15"/>
    </row>
    <row r="817" spans="12:21">
      <c r="L817" s="15"/>
      <c r="M817" s="15"/>
      <c r="N817" s="15"/>
      <c r="T817" s="15"/>
      <c r="U817" s="15"/>
    </row>
    <row r="818" spans="12:21">
      <c r="L818" s="15"/>
      <c r="M818" s="15"/>
      <c r="N818" s="15"/>
      <c r="T818" s="15"/>
      <c r="U818" s="15"/>
    </row>
    <row r="819" spans="12:21">
      <c r="L819" s="15"/>
      <c r="M819" s="15"/>
      <c r="N819" s="15"/>
      <c r="T819" s="15"/>
      <c r="U819" s="15"/>
    </row>
    <row r="820" spans="12:21">
      <c r="L820" s="15"/>
      <c r="M820" s="15"/>
      <c r="N820" s="15"/>
      <c r="T820" s="15"/>
      <c r="U820" s="15"/>
    </row>
    <row r="821" spans="12:21">
      <c r="L821" s="15"/>
      <c r="M821" s="15"/>
      <c r="N821" s="15"/>
      <c r="T821" s="15"/>
      <c r="U821" s="15"/>
    </row>
    <row r="822" spans="12:21">
      <c r="L822" s="15"/>
      <c r="M822" s="15"/>
      <c r="N822" s="15"/>
      <c r="T822" s="15"/>
      <c r="U822" s="15"/>
    </row>
    <row r="823" spans="12:21">
      <c r="L823" s="15"/>
      <c r="M823" s="15"/>
      <c r="N823" s="15"/>
      <c r="T823" s="15"/>
      <c r="U823" s="15"/>
    </row>
    <row r="824" spans="12:21">
      <c r="L824" s="15"/>
      <c r="M824" s="15"/>
      <c r="N824" s="15"/>
      <c r="T824" s="15"/>
      <c r="U824" s="15"/>
    </row>
    <row r="825" spans="12:21">
      <c r="L825" s="15"/>
      <c r="M825" s="15"/>
      <c r="N825" s="15"/>
      <c r="T825" s="15"/>
      <c r="U825" s="15"/>
    </row>
    <row r="826" spans="12:21">
      <c r="L826" s="15"/>
      <c r="M826" s="15"/>
      <c r="N826" s="15"/>
      <c r="T826" s="15"/>
      <c r="U826" s="15"/>
    </row>
    <row r="827" spans="12:21">
      <c r="L827" s="15"/>
      <c r="M827" s="15"/>
      <c r="N827" s="15"/>
      <c r="T827" s="15"/>
      <c r="U827" s="15"/>
    </row>
    <row r="828" spans="12:21">
      <c r="L828" s="15"/>
      <c r="M828" s="15"/>
      <c r="N828" s="15"/>
      <c r="T828" s="15"/>
      <c r="U828" s="15"/>
    </row>
    <row r="829" spans="12:21">
      <c r="L829" s="15"/>
      <c r="M829" s="15"/>
      <c r="N829" s="15"/>
      <c r="T829" s="15"/>
      <c r="U829" s="15"/>
    </row>
    <row r="830" spans="12:21">
      <c r="L830" s="15"/>
      <c r="M830" s="15"/>
      <c r="N830" s="15"/>
      <c r="T830" s="15"/>
      <c r="U830" s="15"/>
    </row>
    <row r="831" spans="12:21">
      <c r="L831" s="15"/>
      <c r="M831" s="15"/>
      <c r="N831" s="15"/>
      <c r="T831" s="15"/>
      <c r="U831" s="15"/>
    </row>
    <row r="832" spans="12:21">
      <c r="L832" s="15"/>
      <c r="M832" s="15"/>
      <c r="N832" s="15"/>
      <c r="T832" s="15"/>
      <c r="U832" s="15"/>
    </row>
    <row r="833" spans="12:21">
      <c r="L833" s="15"/>
      <c r="M833" s="15"/>
      <c r="N833" s="15"/>
      <c r="T833" s="15"/>
      <c r="U833" s="15"/>
    </row>
    <row r="834" spans="12:21">
      <c r="L834" s="15"/>
      <c r="M834" s="15"/>
      <c r="N834" s="15"/>
      <c r="T834" s="15"/>
      <c r="U834" s="15"/>
    </row>
    <row r="835" spans="12:21">
      <c r="L835" s="15"/>
      <c r="M835" s="15"/>
      <c r="N835" s="15"/>
      <c r="T835" s="15"/>
      <c r="U835" s="15"/>
    </row>
    <row r="836" spans="12:21">
      <c r="L836" s="15"/>
      <c r="M836" s="15"/>
      <c r="N836" s="15"/>
      <c r="T836" s="15"/>
      <c r="U836" s="15"/>
    </row>
    <row r="837" spans="12:21">
      <c r="L837" s="15"/>
      <c r="M837" s="15"/>
      <c r="N837" s="15"/>
      <c r="T837" s="15"/>
      <c r="U837" s="15"/>
    </row>
    <row r="838" spans="12:21">
      <c r="L838" s="15"/>
      <c r="M838" s="15"/>
      <c r="N838" s="15"/>
      <c r="T838" s="15"/>
      <c r="U838" s="15"/>
    </row>
    <row r="839" spans="12:21">
      <c r="L839" s="15"/>
      <c r="M839" s="15"/>
      <c r="N839" s="15"/>
      <c r="T839" s="15"/>
      <c r="U839" s="15"/>
    </row>
    <row r="840" spans="12:21">
      <c r="L840" s="15"/>
      <c r="M840" s="15"/>
      <c r="N840" s="15"/>
      <c r="T840" s="15"/>
      <c r="U840" s="15"/>
    </row>
    <row r="841" spans="12:21">
      <c r="L841" s="15"/>
      <c r="M841" s="15"/>
      <c r="N841" s="15"/>
      <c r="T841" s="15"/>
      <c r="U841" s="15"/>
    </row>
    <row r="842" spans="12:21">
      <c r="L842" s="15"/>
      <c r="M842" s="15"/>
      <c r="N842" s="15"/>
      <c r="T842" s="15"/>
      <c r="U842" s="15"/>
    </row>
    <row r="843" spans="12:21">
      <c r="L843" s="15"/>
      <c r="M843" s="15"/>
      <c r="N843" s="15"/>
      <c r="T843" s="15"/>
      <c r="U843" s="15"/>
    </row>
    <row r="844" spans="12:21">
      <c r="L844" s="15"/>
      <c r="M844" s="15"/>
      <c r="N844" s="15"/>
      <c r="T844" s="15"/>
      <c r="U844" s="15"/>
    </row>
    <row r="845" spans="12:21">
      <c r="L845" s="15"/>
      <c r="M845" s="15"/>
      <c r="N845" s="15"/>
      <c r="T845" s="15"/>
      <c r="U845" s="15"/>
    </row>
    <row r="846" spans="12:21">
      <c r="L846" s="15"/>
      <c r="M846" s="15"/>
      <c r="N846" s="15"/>
      <c r="T846" s="15"/>
      <c r="U846" s="15"/>
    </row>
    <row r="847" spans="12:21">
      <c r="L847" s="15"/>
      <c r="M847" s="15"/>
      <c r="N847" s="15"/>
      <c r="T847" s="15"/>
      <c r="U847" s="15"/>
    </row>
    <row r="848" spans="12:21">
      <c r="L848" s="15"/>
      <c r="M848" s="15"/>
      <c r="N848" s="15"/>
      <c r="T848" s="15"/>
      <c r="U848" s="15"/>
    </row>
    <row r="849" spans="12:21">
      <c r="L849" s="15"/>
      <c r="M849" s="15"/>
      <c r="N849" s="15"/>
      <c r="T849" s="15"/>
      <c r="U849" s="15"/>
    </row>
    <row r="850" spans="12:21">
      <c r="L850" s="15"/>
      <c r="M850" s="15"/>
      <c r="N850" s="15"/>
      <c r="T850" s="15"/>
      <c r="U850" s="15"/>
    </row>
    <row r="851" spans="12:21">
      <c r="L851" s="15"/>
      <c r="M851" s="15"/>
      <c r="N851" s="15"/>
      <c r="T851" s="15"/>
      <c r="U851" s="15"/>
    </row>
    <row r="852" spans="12:21">
      <c r="L852" s="15"/>
      <c r="M852" s="15"/>
      <c r="N852" s="15"/>
      <c r="T852" s="15"/>
      <c r="U852" s="15"/>
    </row>
    <row r="853" spans="12:21">
      <c r="L853" s="15"/>
      <c r="M853" s="15"/>
      <c r="N853" s="15"/>
      <c r="T853" s="15"/>
      <c r="U853" s="15"/>
    </row>
    <row r="854" spans="12:21">
      <c r="L854" s="15"/>
      <c r="M854" s="15"/>
      <c r="N854" s="15"/>
      <c r="T854" s="15"/>
      <c r="U854" s="15"/>
    </row>
    <row r="855" spans="12:21">
      <c r="L855" s="15"/>
      <c r="M855" s="15"/>
      <c r="N855" s="15"/>
      <c r="T855" s="15"/>
      <c r="U855" s="15"/>
    </row>
    <row r="856" spans="12:21">
      <c r="L856" s="15"/>
      <c r="M856" s="15"/>
      <c r="N856" s="15"/>
      <c r="T856" s="15"/>
      <c r="U856" s="15"/>
    </row>
    <row r="857" spans="12:21">
      <c r="L857" s="15"/>
      <c r="M857" s="15"/>
      <c r="N857" s="15"/>
      <c r="T857" s="15"/>
      <c r="U857" s="15"/>
    </row>
    <row r="858" spans="12:21">
      <c r="L858" s="15"/>
      <c r="M858" s="15"/>
      <c r="N858" s="15"/>
      <c r="T858" s="15"/>
      <c r="U858" s="15"/>
    </row>
    <row r="859" spans="12:21">
      <c r="L859" s="15"/>
      <c r="M859" s="15"/>
      <c r="N859" s="15"/>
      <c r="T859" s="15"/>
      <c r="U859" s="15"/>
    </row>
    <row r="860" spans="12:21">
      <c r="L860" s="15"/>
      <c r="M860" s="15"/>
      <c r="N860" s="15"/>
      <c r="T860" s="15"/>
      <c r="U860" s="15"/>
    </row>
    <row r="861" spans="12:21">
      <c r="L861" s="15"/>
      <c r="M861" s="15"/>
      <c r="N861" s="15"/>
      <c r="T861" s="15"/>
      <c r="U861" s="15"/>
    </row>
    <row r="862" spans="12:21">
      <c r="L862" s="15"/>
      <c r="M862" s="15"/>
      <c r="N862" s="15"/>
      <c r="T862" s="15"/>
      <c r="U862" s="15"/>
    </row>
    <row r="863" spans="12:21">
      <c r="L863" s="15"/>
      <c r="M863" s="15"/>
      <c r="N863" s="15"/>
      <c r="T863" s="15"/>
      <c r="U863" s="15"/>
    </row>
    <row r="864" spans="12:21">
      <c r="L864" s="15"/>
      <c r="M864" s="15"/>
      <c r="N864" s="15"/>
      <c r="T864" s="15"/>
      <c r="U864" s="15"/>
    </row>
    <row r="865" spans="12:21">
      <c r="L865" s="15"/>
      <c r="M865" s="15"/>
      <c r="N865" s="15"/>
      <c r="T865" s="15"/>
      <c r="U865" s="15"/>
    </row>
    <row r="866" spans="12:21">
      <c r="L866" s="15"/>
      <c r="M866" s="15"/>
      <c r="N866" s="15"/>
      <c r="T866" s="15"/>
      <c r="U866" s="15"/>
    </row>
    <row r="867" spans="12:21">
      <c r="L867" s="15"/>
      <c r="M867" s="15"/>
      <c r="N867" s="15"/>
      <c r="T867" s="15"/>
      <c r="U867" s="15"/>
    </row>
    <row r="868" spans="12:21">
      <c r="L868" s="15"/>
      <c r="M868" s="15"/>
      <c r="N868" s="15"/>
      <c r="T868" s="15"/>
      <c r="U868" s="15"/>
    </row>
    <row r="869" spans="12:21">
      <c r="L869" s="15"/>
      <c r="M869" s="15"/>
      <c r="N869" s="15"/>
      <c r="T869" s="15"/>
      <c r="U869" s="15"/>
    </row>
    <row r="870" spans="12:21">
      <c r="L870" s="15"/>
      <c r="M870" s="15"/>
      <c r="N870" s="15"/>
      <c r="T870" s="15"/>
      <c r="U870" s="15"/>
    </row>
    <row r="871" spans="12:21">
      <c r="L871" s="15"/>
      <c r="M871" s="15"/>
      <c r="N871" s="15"/>
      <c r="T871" s="15"/>
      <c r="U871" s="15"/>
    </row>
    <row r="872" spans="12:21">
      <c r="L872" s="15"/>
      <c r="M872" s="15"/>
      <c r="N872" s="15"/>
      <c r="T872" s="15"/>
      <c r="U872" s="15"/>
    </row>
    <row r="873" spans="12:21">
      <c r="L873" s="15"/>
      <c r="M873" s="15"/>
      <c r="N873" s="15"/>
      <c r="T873" s="15"/>
      <c r="U873" s="15"/>
    </row>
    <row r="874" spans="12:21">
      <c r="L874" s="15"/>
      <c r="M874" s="15"/>
      <c r="N874" s="15"/>
      <c r="T874" s="15"/>
      <c r="U874" s="15"/>
    </row>
    <row r="875" spans="12:21">
      <c r="L875" s="15"/>
      <c r="M875" s="15"/>
      <c r="N875" s="15"/>
      <c r="T875" s="15"/>
      <c r="U875" s="15"/>
    </row>
    <row r="876" spans="12:21">
      <c r="L876" s="15"/>
      <c r="M876" s="15"/>
      <c r="N876" s="15"/>
      <c r="T876" s="15"/>
      <c r="U876" s="15"/>
    </row>
    <row r="877" spans="12:21">
      <c r="L877" s="15"/>
      <c r="M877" s="15"/>
      <c r="N877" s="15"/>
      <c r="T877" s="15"/>
      <c r="U877" s="15"/>
    </row>
    <row r="878" spans="12:21">
      <c r="L878" s="15"/>
      <c r="M878" s="15"/>
      <c r="N878" s="15"/>
      <c r="T878" s="15"/>
      <c r="U878" s="15"/>
    </row>
    <row r="879" spans="12:21">
      <c r="L879" s="15"/>
      <c r="M879" s="15"/>
      <c r="N879" s="15"/>
      <c r="T879" s="15"/>
      <c r="U879" s="15"/>
    </row>
    <row r="880" spans="12:21">
      <c r="L880" s="15"/>
      <c r="M880" s="15"/>
      <c r="N880" s="15"/>
      <c r="T880" s="15"/>
      <c r="U880" s="15"/>
    </row>
    <row r="881" spans="12:21">
      <c r="L881" s="15"/>
      <c r="M881" s="15"/>
      <c r="N881" s="15"/>
      <c r="T881" s="15"/>
      <c r="U881" s="15"/>
    </row>
    <row r="882" spans="12:21">
      <c r="L882" s="15"/>
      <c r="M882" s="15"/>
      <c r="N882" s="15"/>
      <c r="T882" s="15"/>
      <c r="U882" s="15"/>
    </row>
    <row r="883" spans="12:21">
      <c r="L883" s="15"/>
      <c r="M883" s="15"/>
      <c r="N883" s="15"/>
      <c r="T883" s="15"/>
      <c r="U883" s="15"/>
    </row>
    <row r="884" spans="12:21">
      <c r="L884" s="15"/>
      <c r="M884" s="15"/>
      <c r="N884" s="15"/>
      <c r="T884" s="15"/>
      <c r="U884" s="15"/>
    </row>
    <row r="885" spans="12:21">
      <c r="L885" s="15"/>
      <c r="M885" s="15"/>
      <c r="N885" s="15"/>
      <c r="T885" s="15"/>
      <c r="U885" s="15"/>
    </row>
    <row r="886" spans="12:21">
      <c r="L886" s="15"/>
      <c r="M886" s="15"/>
      <c r="N886" s="15"/>
      <c r="T886" s="15"/>
      <c r="U886" s="15"/>
    </row>
    <row r="887" spans="12:21">
      <c r="L887" s="15"/>
      <c r="M887" s="15"/>
      <c r="N887" s="15"/>
      <c r="T887" s="15"/>
      <c r="U887" s="15"/>
    </row>
    <row r="888" spans="12:21">
      <c r="L888" s="15"/>
      <c r="M888" s="15"/>
      <c r="N888" s="15"/>
      <c r="T888" s="15"/>
      <c r="U888" s="15"/>
    </row>
    <row r="889" spans="12:21">
      <c r="L889" s="15"/>
      <c r="M889" s="15"/>
      <c r="N889" s="15"/>
      <c r="T889" s="15"/>
      <c r="U889" s="15"/>
    </row>
    <row r="890" spans="12:21">
      <c r="L890" s="15"/>
      <c r="M890" s="15"/>
      <c r="N890" s="15"/>
      <c r="T890" s="15"/>
      <c r="U890" s="15"/>
    </row>
    <row r="891" spans="12:21">
      <c r="L891" s="15"/>
      <c r="M891" s="15"/>
      <c r="N891" s="15"/>
      <c r="T891" s="15"/>
      <c r="U891" s="15"/>
    </row>
    <row r="892" spans="12:21">
      <c r="L892" s="15"/>
      <c r="M892" s="15"/>
      <c r="N892" s="15"/>
      <c r="T892" s="15"/>
      <c r="U892" s="15"/>
    </row>
    <row r="893" spans="12:21">
      <c r="L893" s="15"/>
      <c r="M893" s="15"/>
      <c r="N893" s="15"/>
      <c r="T893" s="15"/>
      <c r="U893" s="15"/>
    </row>
    <row r="894" spans="12:21">
      <c r="L894" s="15"/>
      <c r="M894" s="15"/>
      <c r="N894" s="15"/>
      <c r="T894" s="15"/>
      <c r="U894" s="15"/>
    </row>
    <row r="895" spans="12:21">
      <c r="L895" s="15"/>
      <c r="M895" s="15"/>
      <c r="N895" s="15"/>
      <c r="T895" s="15"/>
      <c r="U895" s="15"/>
    </row>
    <row r="896" spans="12:21">
      <c r="L896" s="15"/>
      <c r="M896" s="15"/>
      <c r="N896" s="15"/>
      <c r="T896" s="15"/>
      <c r="U896" s="15"/>
    </row>
    <row r="897" spans="12:21">
      <c r="L897" s="15"/>
      <c r="M897" s="15"/>
      <c r="N897" s="15"/>
      <c r="T897" s="15"/>
      <c r="U897" s="15"/>
    </row>
    <row r="898" spans="12:21">
      <c r="L898" s="15"/>
      <c r="M898" s="15"/>
      <c r="N898" s="15"/>
      <c r="T898" s="15"/>
      <c r="U898" s="15"/>
    </row>
    <row r="899" spans="12:21">
      <c r="L899" s="15"/>
      <c r="M899" s="15"/>
      <c r="N899" s="15"/>
      <c r="T899" s="15"/>
      <c r="U899" s="15"/>
    </row>
    <row r="900" spans="12:21">
      <c r="L900" s="15"/>
      <c r="M900" s="15"/>
      <c r="N900" s="15"/>
      <c r="T900" s="15"/>
      <c r="U900" s="15"/>
    </row>
    <row r="901" spans="12:21">
      <c r="L901" s="15"/>
      <c r="M901" s="15"/>
      <c r="N901" s="15"/>
      <c r="T901" s="15"/>
      <c r="U901" s="15"/>
    </row>
    <row r="902" spans="12:21">
      <c r="L902" s="15"/>
      <c r="M902" s="15"/>
      <c r="N902" s="15"/>
      <c r="T902" s="15"/>
      <c r="U902" s="15"/>
    </row>
    <row r="903" spans="12:21">
      <c r="L903" s="15"/>
      <c r="M903" s="15"/>
      <c r="N903" s="15"/>
      <c r="T903" s="15"/>
      <c r="U903" s="15"/>
    </row>
    <row r="904" spans="12:21">
      <c r="L904" s="15"/>
      <c r="M904" s="15"/>
      <c r="N904" s="15"/>
      <c r="T904" s="15"/>
      <c r="U904" s="15"/>
    </row>
    <row r="905" spans="12:21">
      <c r="L905" s="15"/>
      <c r="M905" s="15"/>
      <c r="N905" s="15"/>
      <c r="T905" s="15"/>
      <c r="U905" s="15"/>
    </row>
    <row r="906" spans="12:21">
      <c r="L906" s="15"/>
      <c r="M906" s="15"/>
      <c r="N906" s="15"/>
      <c r="T906" s="15"/>
      <c r="U906" s="15"/>
    </row>
    <row r="907" spans="12:21">
      <c r="L907" s="15"/>
      <c r="M907" s="15"/>
      <c r="N907" s="15"/>
      <c r="T907" s="15"/>
      <c r="U907" s="15"/>
    </row>
    <row r="908" spans="12:21">
      <c r="L908" s="15"/>
      <c r="M908" s="15"/>
      <c r="N908" s="15"/>
      <c r="T908" s="15"/>
      <c r="U908" s="15"/>
    </row>
    <row r="909" spans="12:21">
      <c r="L909" s="15"/>
      <c r="M909" s="15"/>
      <c r="N909" s="15"/>
      <c r="T909" s="15"/>
      <c r="U909" s="15"/>
    </row>
    <row r="910" spans="12:21">
      <c r="L910" s="15"/>
      <c r="M910" s="15"/>
      <c r="N910" s="15"/>
      <c r="T910" s="15"/>
      <c r="U910" s="15"/>
    </row>
    <row r="911" spans="12:21">
      <c r="L911" s="15"/>
      <c r="M911" s="15"/>
      <c r="N911" s="15"/>
      <c r="T911" s="15"/>
      <c r="U911" s="15"/>
    </row>
    <row r="912" spans="12:21">
      <c r="L912" s="15"/>
      <c r="M912" s="15"/>
      <c r="N912" s="15"/>
      <c r="T912" s="15"/>
      <c r="U912" s="15"/>
    </row>
    <row r="913" spans="12:21">
      <c r="L913" s="15"/>
      <c r="M913" s="15"/>
      <c r="N913" s="15"/>
      <c r="T913" s="15"/>
      <c r="U913" s="15"/>
    </row>
    <row r="914" spans="12:21">
      <c r="L914" s="15"/>
      <c r="M914" s="15"/>
      <c r="N914" s="15"/>
      <c r="T914" s="15"/>
      <c r="U914" s="15"/>
    </row>
    <row r="915" spans="12:21">
      <c r="L915" s="15"/>
      <c r="M915" s="15"/>
      <c r="N915" s="15"/>
      <c r="T915" s="15"/>
      <c r="U915" s="15"/>
    </row>
    <row r="916" spans="12:21">
      <c r="L916" s="15"/>
      <c r="M916" s="15"/>
      <c r="N916" s="15"/>
      <c r="T916" s="15"/>
      <c r="U916" s="15"/>
    </row>
    <row r="917" spans="12:21">
      <c r="L917" s="15"/>
      <c r="M917" s="15"/>
      <c r="N917" s="15"/>
      <c r="T917" s="15"/>
      <c r="U917" s="15"/>
    </row>
    <row r="918" spans="12:21">
      <c r="L918" s="15"/>
      <c r="M918" s="15"/>
      <c r="N918" s="15"/>
      <c r="T918" s="15"/>
      <c r="U918" s="15"/>
    </row>
    <row r="919" spans="12:21">
      <c r="L919" s="15"/>
      <c r="M919" s="15"/>
      <c r="N919" s="15"/>
      <c r="T919" s="15"/>
      <c r="U919" s="15"/>
    </row>
    <row r="920" spans="12:21">
      <c r="L920" s="15"/>
      <c r="M920" s="15"/>
      <c r="N920" s="15"/>
      <c r="T920" s="15"/>
      <c r="U920" s="15"/>
    </row>
    <row r="921" spans="12:21">
      <c r="L921" s="15"/>
      <c r="M921" s="15"/>
      <c r="N921" s="15"/>
      <c r="T921" s="15"/>
      <c r="U921" s="15"/>
    </row>
    <row r="922" spans="12:21">
      <c r="L922" s="15"/>
      <c r="M922" s="15"/>
      <c r="N922" s="15"/>
      <c r="T922" s="15"/>
      <c r="U922" s="15"/>
    </row>
    <row r="923" spans="12:21">
      <c r="L923" s="15"/>
      <c r="M923" s="15"/>
      <c r="N923" s="15"/>
      <c r="T923" s="15"/>
      <c r="U923" s="15"/>
    </row>
    <row r="924" spans="12:21">
      <c r="L924" s="15"/>
      <c r="M924" s="15"/>
      <c r="N924" s="15"/>
      <c r="T924" s="15"/>
      <c r="U924" s="15"/>
    </row>
    <row r="925" spans="12:21">
      <c r="L925" s="15"/>
      <c r="M925" s="15"/>
      <c r="N925" s="15"/>
      <c r="T925" s="15"/>
      <c r="U925" s="15"/>
    </row>
    <row r="926" spans="12:21">
      <c r="L926" s="15"/>
      <c r="M926" s="15"/>
      <c r="N926" s="15"/>
      <c r="T926" s="15"/>
      <c r="U926" s="15"/>
    </row>
    <row r="927" spans="12:21">
      <c r="L927" s="15"/>
      <c r="M927" s="15"/>
      <c r="N927" s="15"/>
      <c r="T927" s="15"/>
      <c r="U927" s="15"/>
    </row>
    <row r="928" spans="12:21">
      <c r="L928" s="15"/>
      <c r="M928" s="15"/>
      <c r="N928" s="15"/>
      <c r="T928" s="15"/>
      <c r="U928" s="15"/>
    </row>
    <row r="929" spans="12:21">
      <c r="L929" s="15"/>
      <c r="M929" s="15"/>
      <c r="N929" s="15"/>
      <c r="T929" s="15"/>
      <c r="U929" s="15"/>
    </row>
    <row r="930" spans="12:21">
      <c r="L930" s="15"/>
      <c r="M930" s="15"/>
      <c r="N930" s="15"/>
      <c r="T930" s="15"/>
      <c r="U930" s="15"/>
    </row>
    <row r="931" spans="12:21">
      <c r="L931" s="15"/>
      <c r="M931" s="15"/>
      <c r="N931" s="15"/>
      <c r="T931" s="15"/>
      <c r="U931" s="15"/>
    </row>
    <row r="932" spans="12:21">
      <c r="L932" s="15"/>
      <c r="M932" s="15"/>
      <c r="N932" s="15"/>
      <c r="T932" s="15"/>
      <c r="U932" s="15"/>
    </row>
    <row r="933" spans="12:21">
      <c r="L933" s="15"/>
      <c r="M933" s="15"/>
      <c r="N933" s="15"/>
      <c r="T933" s="15"/>
      <c r="U933" s="15"/>
    </row>
    <row r="934" spans="12:21">
      <c r="L934" s="15"/>
      <c r="M934" s="15"/>
      <c r="N934" s="15"/>
      <c r="T934" s="15"/>
      <c r="U934" s="15"/>
    </row>
    <row r="935" spans="12:21">
      <c r="L935" s="15"/>
      <c r="M935" s="15"/>
      <c r="N935" s="15"/>
      <c r="T935" s="15"/>
      <c r="U935" s="15"/>
    </row>
    <row r="936" spans="12:21">
      <c r="L936" s="15"/>
      <c r="M936" s="15"/>
      <c r="N936" s="15"/>
      <c r="T936" s="15"/>
      <c r="U936" s="15"/>
    </row>
    <row r="937" spans="12:21">
      <c r="L937" s="15"/>
      <c r="M937" s="15"/>
      <c r="N937" s="15"/>
      <c r="T937" s="15"/>
      <c r="U937" s="15"/>
    </row>
    <row r="938" spans="12:21">
      <c r="L938" s="15"/>
      <c r="M938" s="15"/>
      <c r="N938" s="15"/>
      <c r="T938" s="15"/>
      <c r="U938" s="15"/>
    </row>
    <row r="939" spans="12:21">
      <c r="L939" s="15"/>
      <c r="M939" s="15"/>
      <c r="N939" s="15"/>
      <c r="T939" s="15"/>
      <c r="U939" s="15"/>
    </row>
    <row r="940" spans="12:21">
      <c r="L940" s="15"/>
      <c r="M940" s="15"/>
      <c r="N940" s="15"/>
      <c r="T940" s="15"/>
      <c r="U940" s="15"/>
    </row>
    <row r="941" spans="12:21">
      <c r="L941" s="15"/>
      <c r="M941" s="15"/>
      <c r="N941" s="15"/>
      <c r="T941" s="15"/>
      <c r="U941" s="15"/>
    </row>
    <row r="942" spans="12:21">
      <c r="L942" s="15"/>
      <c r="M942" s="15"/>
      <c r="N942" s="15"/>
      <c r="T942" s="15"/>
      <c r="U942" s="15"/>
    </row>
    <row r="943" spans="12:21">
      <c r="L943" s="15"/>
      <c r="M943" s="15"/>
      <c r="N943" s="15"/>
      <c r="T943" s="15"/>
      <c r="U943" s="15"/>
    </row>
    <row r="944" spans="12:21">
      <c r="L944" s="15"/>
      <c r="M944" s="15"/>
      <c r="N944" s="15"/>
      <c r="T944" s="15"/>
      <c r="U944" s="15"/>
    </row>
    <row r="945" spans="12:21">
      <c r="L945" s="15"/>
      <c r="M945" s="15"/>
      <c r="N945" s="15"/>
      <c r="T945" s="15"/>
      <c r="U945" s="15"/>
    </row>
    <row r="946" spans="12:21">
      <c r="L946" s="15"/>
      <c r="M946" s="15"/>
      <c r="N946" s="15"/>
      <c r="T946" s="15"/>
      <c r="U946" s="15"/>
    </row>
    <row r="947" spans="12:21">
      <c r="L947" s="15"/>
      <c r="M947" s="15"/>
      <c r="N947" s="15"/>
      <c r="T947" s="15"/>
      <c r="U947" s="15"/>
    </row>
    <row r="948" spans="12:21">
      <c r="L948" s="15"/>
      <c r="M948" s="15"/>
      <c r="N948" s="15"/>
      <c r="T948" s="15"/>
      <c r="U948" s="15"/>
    </row>
    <row r="949" spans="12:21">
      <c r="L949" s="15"/>
      <c r="M949" s="15"/>
      <c r="N949" s="15"/>
      <c r="T949" s="15"/>
      <c r="U949" s="15"/>
    </row>
    <row r="950" spans="12:21">
      <c r="L950" s="15"/>
      <c r="M950" s="15"/>
      <c r="N950" s="15"/>
      <c r="T950" s="15"/>
      <c r="U950" s="15"/>
    </row>
    <row r="951" spans="12:21">
      <c r="L951" s="15"/>
      <c r="M951" s="15"/>
      <c r="N951" s="15"/>
      <c r="T951" s="15"/>
      <c r="U951" s="15"/>
    </row>
    <row r="952" spans="12:21">
      <c r="L952" s="15"/>
      <c r="M952" s="15"/>
      <c r="N952" s="15"/>
      <c r="T952" s="15"/>
      <c r="U952" s="15"/>
    </row>
    <row r="953" spans="12:21">
      <c r="L953" s="15"/>
      <c r="M953" s="15"/>
      <c r="N953" s="15"/>
      <c r="T953" s="15"/>
      <c r="U953" s="15"/>
    </row>
    <row r="954" spans="12:21">
      <c r="L954" s="15"/>
      <c r="M954" s="15"/>
      <c r="N954" s="15"/>
      <c r="T954" s="15"/>
      <c r="U954" s="15"/>
    </row>
    <row r="955" spans="12:21">
      <c r="L955" s="15"/>
      <c r="M955" s="15"/>
      <c r="N955" s="15"/>
      <c r="T955" s="15"/>
      <c r="U955" s="15"/>
    </row>
    <row r="956" spans="12:21">
      <c r="L956" s="15"/>
      <c r="M956" s="15"/>
      <c r="N956" s="15"/>
      <c r="T956" s="15"/>
      <c r="U956" s="15"/>
    </row>
    <row r="957" spans="12:21">
      <c r="L957" s="15"/>
      <c r="M957" s="15"/>
      <c r="N957" s="15"/>
      <c r="T957" s="15"/>
      <c r="U957" s="15"/>
    </row>
    <row r="958" spans="12:21">
      <c r="L958" s="15"/>
      <c r="M958" s="15"/>
      <c r="N958" s="15"/>
      <c r="T958" s="15"/>
      <c r="U958" s="15"/>
    </row>
    <row r="959" spans="12:21">
      <c r="L959" s="15"/>
      <c r="M959" s="15"/>
      <c r="N959" s="15"/>
      <c r="T959" s="15"/>
      <c r="U959" s="15"/>
    </row>
    <row r="960" spans="12:21">
      <c r="L960" s="15"/>
      <c r="M960" s="15"/>
      <c r="N960" s="15"/>
      <c r="T960" s="15"/>
      <c r="U960" s="15"/>
    </row>
    <row r="961" spans="12:21">
      <c r="L961" s="15"/>
      <c r="M961" s="15"/>
      <c r="N961" s="15"/>
      <c r="T961" s="15"/>
      <c r="U961" s="15"/>
    </row>
    <row r="962" spans="12:21">
      <c r="L962" s="15"/>
      <c r="M962" s="15"/>
      <c r="N962" s="15"/>
      <c r="T962" s="15"/>
      <c r="U962" s="15"/>
    </row>
    <row r="963" spans="12:21">
      <c r="L963" s="15"/>
      <c r="M963" s="15"/>
      <c r="N963" s="15"/>
      <c r="T963" s="15"/>
      <c r="U963" s="15"/>
    </row>
    <row r="964" spans="12:21">
      <c r="L964" s="15"/>
      <c r="M964" s="15"/>
      <c r="N964" s="15"/>
      <c r="T964" s="15"/>
      <c r="U964" s="15"/>
    </row>
    <row r="965" spans="12:21">
      <c r="L965" s="15"/>
      <c r="M965" s="15"/>
      <c r="N965" s="15"/>
      <c r="T965" s="15"/>
      <c r="U965" s="15"/>
    </row>
    <row r="966" spans="12:21">
      <c r="L966" s="15"/>
      <c r="M966" s="15"/>
      <c r="N966" s="15"/>
      <c r="T966" s="15"/>
      <c r="U966" s="15"/>
    </row>
    <row r="967" spans="12:21">
      <c r="L967" s="15"/>
      <c r="M967" s="15"/>
      <c r="N967" s="15"/>
      <c r="T967" s="15"/>
      <c r="U967" s="15"/>
    </row>
    <row r="968" spans="12:21">
      <c r="L968" s="15"/>
      <c r="M968" s="15"/>
      <c r="N968" s="15"/>
      <c r="T968" s="15"/>
      <c r="U968" s="15"/>
    </row>
    <row r="969" spans="12:21">
      <c r="L969" s="15"/>
      <c r="M969" s="15"/>
      <c r="N969" s="15"/>
      <c r="T969" s="15"/>
      <c r="U969" s="15"/>
    </row>
    <row r="970" spans="12:21">
      <c r="L970" s="15"/>
      <c r="M970" s="15"/>
      <c r="N970" s="15"/>
      <c r="T970" s="15"/>
      <c r="U970" s="15"/>
    </row>
    <row r="971" spans="12:21">
      <c r="L971" s="15"/>
      <c r="M971" s="15"/>
      <c r="N971" s="15"/>
      <c r="T971" s="15"/>
      <c r="U971" s="15"/>
    </row>
    <row r="972" spans="12:21">
      <c r="L972" s="15"/>
      <c r="M972" s="15"/>
      <c r="N972" s="15"/>
      <c r="T972" s="15"/>
      <c r="U972" s="15"/>
    </row>
    <row r="973" spans="12:21">
      <c r="L973" s="15"/>
      <c r="M973" s="15"/>
      <c r="N973" s="15"/>
      <c r="T973" s="15"/>
      <c r="U973" s="15"/>
    </row>
    <row r="974" spans="12:21">
      <c r="L974" s="15"/>
      <c r="M974" s="15"/>
      <c r="N974" s="15"/>
      <c r="T974" s="15"/>
      <c r="U974" s="15"/>
    </row>
    <row r="975" spans="12:21">
      <c r="L975" s="15"/>
      <c r="M975" s="15"/>
      <c r="N975" s="15"/>
      <c r="T975" s="15"/>
      <c r="U975" s="15"/>
    </row>
    <row r="976" spans="12:21">
      <c r="L976" s="15"/>
      <c r="M976" s="15"/>
      <c r="N976" s="15"/>
      <c r="T976" s="15"/>
      <c r="U976" s="15"/>
    </row>
    <row r="977" spans="12:21">
      <c r="L977" s="15"/>
      <c r="M977" s="15"/>
      <c r="N977" s="15"/>
      <c r="T977" s="15"/>
      <c r="U977" s="15"/>
    </row>
    <row r="978" spans="12:21">
      <c r="L978" s="15"/>
      <c r="M978" s="15"/>
      <c r="N978" s="15"/>
      <c r="T978" s="15"/>
      <c r="U978" s="15"/>
    </row>
    <row r="979" spans="12:21">
      <c r="L979" s="15"/>
      <c r="M979" s="15"/>
      <c r="N979" s="15"/>
      <c r="T979" s="15"/>
      <c r="U979" s="15"/>
    </row>
    <row r="980" spans="12:21">
      <c r="L980" s="15"/>
      <c r="M980" s="15"/>
      <c r="N980" s="15"/>
      <c r="T980" s="15"/>
      <c r="U980" s="15"/>
    </row>
    <row r="981" spans="12:21">
      <c r="L981" s="15"/>
      <c r="M981" s="15"/>
      <c r="N981" s="15"/>
      <c r="T981" s="15"/>
      <c r="U981" s="15"/>
    </row>
    <row r="982" spans="12:21">
      <c r="L982" s="15"/>
      <c r="M982" s="15"/>
      <c r="N982" s="15"/>
      <c r="T982" s="15"/>
      <c r="U982" s="15"/>
    </row>
    <row r="983" spans="12:21">
      <c r="L983" s="15"/>
      <c r="M983" s="15"/>
      <c r="N983" s="15"/>
      <c r="T983" s="15"/>
      <c r="U983" s="15"/>
    </row>
    <row r="984" spans="12:21">
      <c r="L984" s="15"/>
      <c r="M984" s="15"/>
      <c r="N984" s="15"/>
      <c r="T984" s="15"/>
      <c r="U984" s="15"/>
    </row>
    <row r="985" spans="12:21">
      <c r="L985" s="15"/>
      <c r="M985" s="15"/>
      <c r="N985" s="15"/>
      <c r="T985" s="15"/>
      <c r="U985" s="15"/>
    </row>
    <row r="986" spans="12:21">
      <c r="L986" s="15"/>
      <c r="M986" s="15"/>
      <c r="N986" s="15"/>
      <c r="T986" s="15"/>
      <c r="U986" s="15"/>
    </row>
    <row r="987" spans="12:21">
      <c r="L987" s="15"/>
      <c r="M987" s="15"/>
      <c r="N987" s="15"/>
      <c r="T987" s="15"/>
      <c r="U987" s="15"/>
    </row>
    <row r="988" spans="12:21">
      <c r="L988" s="15"/>
      <c r="M988" s="15"/>
      <c r="N988" s="15"/>
      <c r="T988" s="15"/>
      <c r="U988" s="15"/>
    </row>
    <row r="989" spans="12:21">
      <c r="L989" s="15"/>
      <c r="M989" s="15"/>
      <c r="N989" s="15"/>
      <c r="T989" s="15"/>
      <c r="U989" s="15"/>
    </row>
    <row r="990" spans="12:21">
      <c r="L990" s="15"/>
      <c r="M990" s="15"/>
      <c r="N990" s="15"/>
      <c r="T990" s="15"/>
      <c r="U990" s="15"/>
    </row>
    <row r="991" spans="12:21">
      <c r="L991" s="15"/>
      <c r="M991" s="15"/>
      <c r="N991" s="15"/>
      <c r="T991" s="15"/>
      <c r="U991" s="15"/>
    </row>
    <row r="992" spans="12:21">
      <c r="L992" s="15"/>
      <c r="M992" s="15"/>
      <c r="N992" s="15"/>
      <c r="T992" s="15"/>
      <c r="U992" s="15"/>
    </row>
    <row r="993" spans="12:21">
      <c r="L993" s="15"/>
      <c r="M993" s="15"/>
      <c r="N993" s="15"/>
      <c r="T993" s="15"/>
      <c r="U993" s="15"/>
    </row>
    <row r="994" spans="12:21">
      <c r="L994" s="15"/>
      <c r="M994" s="15"/>
      <c r="N994" s="15"/>
      <c r="T994" s="15"/>
      <c r="U994" s="15"/>
    </row>
    <row r="995" spans="12:21">
      <c r="L995" s="15"/>
      <c r="M995" s="15"/>
      <c r="N995" s="15"/>
      <c r="T995" s="15"/>
      <c r="U995" s="15"/>
    </row>
    <row r="996" spans="12:21">
      <c r="L996" s="15"/>
      <c r="M996" s="15"/>
      <c r="N996" s="15"/>
      <c r="T996" s="15"/>
      <c r="U996" s="15"/>
    </row>
    <row r="997" spans="12:21">
      <c r="L997" s="15"/>
      <c r="M997" s="15"/>
      <c r="N997" s="15"/>
      <c r="T997" s="15"/>
      <c r="U997" s="15"/>
    </row>
    <row r="998" spans="12:21">
      <c r="L998" s="15"/>
      <c r="M998" s="15"/>
      <c r="N998" s="15"/>
      <c r="T998" s="15"/>
      <c r="U998" s="15"/>
    </row>
    <row r="999" spans="12:21">
      <c r="L999" s="15"/>
      <c r="M999" s="15"/>
      <c r="N999" s="15"/>
      <c r="T999" s="15"/>
      <c r="U999" s="15"/>
    </row>
    <row r="1000" spans="12:21">
      <c r="L1000" s="15"/>
      <c r="M1000" s="15"/>
      <c r="N1000" s="15"/>
      <c r="T1000" s="15"/>
      <c r="U1000" s="15"/>
    </row>
    <row r="1001" spans="12:21">
      <c r="L1001" s="15"/>
      <c r="M1001" s="15"/>
      <c r="N1001" s="15"/>
      <c r="T1001" s="15"/>
      <c r="U1001" s="15"/>
    </row>
    <row r="1002" spans="12:21">
      <c r="L1002" s="15"/>
      <c r="M1002" s="15"/>
      <c r="N1002" s="15"/>
      <c r="T1002" s="15"/>
      <c r="U1002" s="15"/>
    </row>
    <row r="1003" spans="12:21">
      <c r="L1003" s="15"/>
      <c r="M1003" s="15"/>
      <c r="N1003" s="15"/>
      <c r="T1003" s="15"/>
      <c r="U1003" s="15"/>
    </row>
    <row r="1004" spans="12:21">
      <c r="L1004" s="15"/>
      <c r="M1004" s="15"/>
      <c r="N1004" s="15"/>
      <c r="T1004" s="15"/>
      <c r="U1004" s="15"/>
    </row>
    <row r="1005" spans="12:21">
      <c r="L1005" s="15"/>
      <c r="M1005" s="15"/>
      <c r="N1005" s="15"/>
      <c r="T1005" s="15"/>
      <c r="U1005" s="15"/>
    </row>
    <row r="1006" spans="12:21">
      <c r="L1006" s="15"/>
      <c r="M1006" s="15"/>
      <c r="N1006" s="15"/>
      <c r="T1006" s="15"/>
      <c r="U1006" s="15"/>
    </row>
    <row r="1007" spans="12:21">
      <c r="L1007" s="15"/>
      <c r="M1007" s="15"/>
      <c r="N1007" s="15"/>
      <c r="T1007" s="15"/>
      <c r="U1007" s="15"/>
    </row>
    <row r="1008" spans="12:21">
      <c r="L1008" s="15"/>
      <c r="M1008" s="15"/>
      <c r="N1008" s="15"/>
      <c r="T1008" s="15"/>
      <c r="U1008" s="15"/>
    </row>
    <row r="1009" spans="12:21">
      <c r="L1009" s="15"/>
      <c r="M1009" s="15"/>
      <c r="N1009" s="15"/>
      <c r="T1009" s="15"/>
      <c r="U1009" s="15"/>
    </row>
    <row r="1010" spans="12:21">
      <c r="L1010" s="15"/>
      <c r="M1010" s="15"/>
      <c r="N1010" s="15"/>
      <c r="T1010" s="15"/>
      <c r="U1010" s="15"/>
    </row>
    <row r="1011" spans="12:21">
      <c r="L1011" s="15"/>
      <c r="M1011" s="15"/>
      <c r="N1011" s="15"/>
      <c r="T1011" s="15"/>
      <c r="U1011" s="15"/>
    </row>
    <row r="1012" spans="12:21">
      <c r="L1012" s="15"/>
      <c r="M1012" s="15"/>
      <c r="N1012" s="15"/>
      <c r="T1012" s="15"/>
      <c r="U1012" s="15"/>
    </row>
    <row r="1013" spans="12:21">
      <c r="L1013" s="15"/>
      <c r="M1013" s="15"/>
      <c r="N1013" s="15"/>
      <c r="T1013" s="15"/>
      <c r="U1013" s="15"/>
    </row>
    <row r="1014" spans="12:21">
      <c r="L1014" s="15"/>
      <c r="M1014" s="15"/>
      <c r="N1014" s="15"/>
      <c r="T1014" s="15"/>
      <c r="U1014" s="15"/>
    </row>
    <row r="1015" spans="12:21">
      <c r="L1015" s="15"/>
      <c r="M1015" s="15"/>
      <c r="N1015" s="15"/>
      <c r="T1015" s="15"/>
      <c r="U1015" s="15"/>
    </row>
    <row r="1016" spans="12:21">
      <c r="L1016" s="15"/>
      <c r="M1016" s="15"/>
      <c r="N1016" s="15"/>
      <c r="T1016" s="15"/>
      <c r="U1016" s="15"/>
    </row>
    <row r="1017" spans="12:21">
      <c r="L1017" s="15"/>
      <c r="M1017" s="15"/>
      <c r="N1017" s="15"/>
      <c r="T1017" s="15"/>
      <c r="U1017" s="15"/>
    </row>
    <row r="1018" spans="12:21">
      <c r="L1018" s="15"/>
      <c r="M1018" s="15"/>
      <c r="N1018" s="15"/>
      <c r="T1018" s="15"/>
      <c r="U1018" s="15"/>
    </row>
    <row r="1019" spans="12:21">
      <c r="L1019" s="15"/>
      <c r="M1019" s="15"/>
      <c r="N1019" s="15"/>
      <c r="T1019" s="15"/>
      <c r="U1019" s="15"/>
    </row>
    <row r="1020" spans="12:21">
      <c r="L1020" s="15"/>
      <c r="M1020" s="15"/>
      <c r="N1020" s="15"/>
      <c r="T1020" s="15"/>
      <c r="U1020" s="15"/>
    </row>
    <row r="1021" spans="12:21">
      <c r="L1021" s="15"/>
      <c r="M1021" s="15"/>
      <c r="N1021" s="15"/>
      <c r="T1021" s="15"/>
      <c r="U1021" s="15"/>
    </row>
    <row r="1022" spans="12:21">
      <c r="L1022" s="15"/>
      <c r="M1022" s="15"/>
      <c r="N1022" s="15"/>
      <c r="T1022" s="15"/>
      <c r="U1022" s="15"/>
    </row>
    <row r="1023" spans="12:21">
      <c r="L1023" s="15"/>
      <c r="M1023" s="15"/>
      <c r="N1023" s="15"/>
      <c r="T1023" s="15"/>
      <c r="U1023" s="15"/>
    </row>
    <row r="1024" spans="12:21">
      <c r="L1024" s="15"/>
      <c r="M1024" s="15"/>
      <c r="N1024" s="15"/>
      <c r="T1024" s="15"/>
      <c r="U1024" s="15"/>
    </row>
    <row r="1025" spans="12:21">
      <c r="L1025" s="15"/>
      <c r="M1025" s="15"/>
      <c r="N1025" s="15"/>
      <c r="T1025" s="15"/>
      <c r="U1025" s="15"/>
    </row>
    <row r="1026" spans="12:21">
      <c r="L1026" s="15"/>
      <c r="M1026" s="15"/>
      <c r="N1026" s="15"/>
      <c r="T1026" s="15"/>
      <c r="U1026" s="15"/>
    </row>
    <row r="1027" spans="12:21">
      <c r="L1027" s="15"/>
      <c r="M1027" s="15"/>
      <c r="N1027" s="15"/>
      <c r="T1027" s="15"/>
      <c r="U1027" s="15"/>
    </row>
    <row r="1028" spans="12:21">
      <c r="L1028" s="15"/>
      <c r="M1028" s="15"/>
      <c r="N1028" s="15"/>
      <c r="T1028" s="15"/>
      <c r="U1028" s="15"/>
    </row>
    <row r="1029" spans="12:21">
      <c r="L1029" s="15"/>
      <c r="M1029" s="15"/>
      <c r="N1029" s="15"/>
      <c r="T1029" s="15"/>
      <c r="U1029" s="15"/>
    </row>
    <row r="1030" spans="12:21">
      <c r="L1030" s="15"/>
      <c r="M1030" s="15"/>
      <c r="N1030" s="15"/>
      <c r="T1030" s="15"/>
      <c r="U1030" s="15"/>
    </row>
    <row r="1031" spans="12:21">
      <c r="L1031" s="15"/>
      <c r="M1031" s="15"/>
      <c r="N1031" s="15"/>
      <c r="T1031" s="15"/>
      <c r="U1031" s="15"/>
    </row>
    <row r="1032" spans="12:21">
      <c r="L1032" s="15"/>
      <c r="M1032" s="15"/>
      <c r="N1032" s="15"/>
      <c r="T1032" s="15"/>
      <c r="U1032" s="15"/>
    </row>
    <row r="1033" spans="12:21">
      <c r="L1033" s="15"/>
      <c r="M1033" s="15"/>
      <c r="N1033" s="15"/>
      <c r="T1033" s="15"/>
      <c r="U1033" s="15"/>
    </row>
    <row r="1034" spans="12:21">
      <c r="L1034" s="15"/>
      <c r="M1034" s="15"/>
      <c r="N1034" s="15"/>
      <c r="T1034" s="15"/>
      <c r="U1034" s="15"/>
    </row>
    <row r="1035" spans="12:21">
      <c r="L1035" s="15"/>
      <c r="M1035" s="15"/>
      <c r="N1035" s="15"/>
      <c r="T1035" s="15"/>
      <c r="U1035" s="15"/>
    </row>
    <row r="1036" spans="12:21">
      <c r="L1036" s="15"/>
      <c r="M1036" s="15"/>
      <c r="N1036" s="15"/>
      <c r="T1036" s="15"/>
      <c r="U1036" s="15"/>
    </row>
    <row r="1037" spans="12:21">
      <c r="L1037" s="15"/>
      <c r="M1037" s="15"/>
      <c r="N1037" s="15"/>
      <c r="T1037" s="15"/>
      <c r="U1037" s="15"/>
    </row>
    <row r="1038" spans="12:21">
      <c r="L1038" s="15"/>
      <c r="M1038" s="15"/>
      <c r="N1038" s="15"/>
      <c r="T1038" s="15"/>
      <c r="U1038" s="15"/>
    </row>
    <row r="1039" spans="12:21">
      <c r="L1039" s="15"/>
      <c r="M1039" s="15"/>
      <c r="N1039" s="15"/>
      <c r="T1039" s="15"/>
      <c r="U1039" s="15"/>
    </row>
    <row r="1040" spans="12:21">
      <c r="L1040" s="15"/>
      <c r="M1040" s="15"/>
      <c r="N1040" s="15"/>
      <c r="T1040" s="15"/>
      <c r="U1040" s="15"/>
    </row>
    <row r="1041" spans="12:21">
      <c r="L1041" s="15"/>
      <c r="M1041" s="15"/>
      <c r="N1041" s="15"/>
      <c r="T1041" s="15"/>
      <c r="U1041" s="15"/>
    </row>
    <row r="1042" spans="12:21">
      <c r="L1042" s="15"/>
      <c r="M1042" s="15"/>
      <c r="N1042" s="15"/>
      <c r="T1042" s="15"/>
      <c r="U1042" s="15"/>
    </row>
    <row r="1043" spans="12:21">
      <c r="L1043" s="15"/>
      <c r="M1043" s="15"/>
      <c r="N1043" s="15"/>
      <c r="T1043" s="15"/>
      <c r="U1043" s="15"/>
    </row>
    <row r="1044" spans="12:21">
      <c r="L1044" s="15"/>
      <c r="M1044" s="15"/>
      <c r="N1044" s="15"/>
      <c r="T1044" s="15"/>
      <c r="U1044" s="15"/>
    </row>
    <row r="1045" spans="12:21">
      <c r="L1045" s="15"/>
      <c r="M1045" s="15"/>
      <c r="N1045" s="15"/>
      <c r="T1045" s="15"/>
      <c r="U1045" s="15"/>
    </row>
    <row r="1046" spans="12:21">
      <c r="L1046" s="15"/>
      <c r="M1046" s="15"/>
      <c r="N1046" s="15"/>
      <c r="T1046" s="15"/>
      <c r="U1046" s="15"/>
    </row>
    <row r="1047" spans="12:21">
      <c r="L1047" s="15"/>
      <c r="M1047" s="15"/>
      <c r="N1047" s="15"/>
      <c r="T1047" s="15"/>
      <c r="U1047" s="15"/>
    </row>
    <row r="1048" spans="12:21">
      <c r="L1048" s="15"/>
      <c r="M1048" s="15"/>
      <c r="N1048" s="15"/>
      <c r="T1048" s="15"/>
      <c r="U1048" s="15"/>
    </row>
    <row r="1049" spans="12:21">
      <c r="L1049" s="15"/>
      <c r="M1049" s="15"/>
      <c r="N1049" s="15"/>
      <c r="T1049" s="15"/>
      <c r="U1049" s="15"/>
    </row>
    <row r="1050" spans="12:21">
      <c r="L1050" s="15"/>
      <c r="M1050" s="15"/>
      <c r="N1050" s="15"/>
      <c r="T1050" s="15"/>
      <c r="U1050" s="15"/>
    </row>
    <row r="1051" spans="12:21">
      <c r="L1051" s="15"/>
      <c r="M1051" s="15"/>
      <c r="N1051" s="15"/>
      <c r="T1051" s="15"/>
      <c r="U1051" s="15"/>
    </row>
    <row r="1052" spans="12:21">
      <c r="L1052" s="15"/>
      <c r="M1052" s="15"/>
      <c r="N1052" s="15"/>
      <c r="T1052" s="15"/>
      <c r="U1052" s="15"/>
    </row>
    <row r="1053" spans="12:21">
      <c r="L1053" s="15"/>
      <c r="M1053" s="15"/>
      <c r="N1053" s="15"/>
      <c r="T1053" s="15"/>
      <c r="U1053" s="15"/>
    </row>
    <row r="1054" spans="12:21">
      <c r="L1054" s="15"/>
      <c r="M1054" s="15"/>
      <c r="N1054" s="15"/>
      <c r="T1054" s="15"/>
      <c r="U1054" s="15"/>
    </row>
    <row r="1055" spans="12:21">
      <c r="L1055" s="15"/>
      <c r="M1055" s="15"/>
      <c r="N1055" s="15"/>
      <c r="T1055" s="15"/>
      <c r="U1055" s="15"/>
    </row>
    <row r="1056" spans="12:21">
      <c r="L1056" s="15"/>
      <c r="M1056" s="15"/>
      <c r="N1056" s="15"/>
      <c r="T1056" s="15"/>
      <c r="U1056" s="15"/>
    </row>
    <row r="1057" spans="12:21">
      <c r="L1057" s="15"/>
      <c r="M1057" s="15"/>
      <c r="N1057" s="15"/>
      <c r="T1057" s="15"/>
      <c r="U1057" s="15"/>
    </row>
    <row r="1058" spans="12:21">
      <c r="L1058" s="15"/>
      <c r="M1058" s="15"/>
      <c r="N1058" s="15"/>
      <c r="T1058" s="15"/>
      <c r="U1058" s="15"/>
    </row>
    <row r="1059" spans="12:21">
      <c r="L1059" s="15"/>
      <c r="M1059" s="15"/>
      <c r="N1059" s="15"/>
      <c r="T1059" s="15"/>
      <c r="U1059" s="15"/>
    </row>
    <row r="1060" spans="12:21">
      <c r="L1060" s="15"/>
      <c r="M1060" s="15"/>
      <c r="N1060" s="15"/>
      <c r="T1060" s="15"/>
      <c r="U1060" s="15"/>
    </row>
    <row r="1061" spans="12:21">
      <c r="L1061" s="15"/>
      <c r="M1061" s="15"/>
      <c r="N1061" s="15"/>
      <c r="T1061" s="15"/>
      <c r="U1061" s="15"/>
    </row>
    <row r="1062" spans="12:21">
      <c r="L1062" s="15"/>
      <c r="M1062" s="15"/>
      <c r="N1062" s="15"/>
      <c r="T1062" s="15"/>
      <c r="U1062" s="15"/>
    </row>
    <row r="1063" spans="12:21">
      <c r="L1063" s="15"/>
      <c r="M1063" s="15"/>
      <c r="N1063" s="15"/>
      <c r="T1063" s="15"/>
      <c r="U1063" s="15"/>
    </row>
    <row r="1064" spans="12:21">
      <c r="L1064" s="15"/>
      <c r="M1064" s="15"/>
      <c r="N1064" s="15"/>
      <c r="T1064" s="15"/>
      <c r="U1064" s="15"/>
    </row>
    <row r="1065" spans="12:21">
      <c r="L1065" s="15"/>
      <c r="M1065" s="15"/>
      <c r="N1065" s="15"/>
      <c r="T1065" s="15"/>
      <c r="U1065" s="15"/>
    </row>
    <row r="1066" spans="12:21">
      <c r="L1066" s="15"/>
      <c r="M1066" s="15"/>
      <c r="N1066" s="15"/>
      <c r="T1066" s="15"/>
      <c r="U1066" s="15"/>
    </row>
    <row r="1067" spans="12:21">
      <c r="L1067" s="15"/>
      <c r="M1067" s="15"/>
      <c r="N1067" s="15"/>
      <c r="T1067" s="15"/>
      <c r="U1067" s="15"/>
    </row>
    <row r="1068" spans="12:21">
      <c r="L1068" s="15"/>
      <c r="M1068" s="15"/>
      <c r="N1068" s="15"/>
      <c r="T1068" s="15"/>
      <c r="U1068" s="15"/>
    </row>
    <row r="1069" spans="12:21">
      <c r="L1069" s="15"/>
      <c r="M1069" s="15"/>
      <c r="N1069" s="15"/>
      <c r="T1069" s="15"/>
      <c r="U1069" s="15"/>
    </row>
    <row r="1070" spans="12:21">
      <c r="L1070" s="15"/>
      <c r="M1070" s="15"/>
      <c r="N1070" s="15"/>
      <c r="T1070" s="15"/>
      <c r="U1070" s="15"/>
    </row>
    <row r="1071" spans="12:21">
      <c r="L1071" s="15"/>
      <c r="M1071" s="15"/>
      <c r="N1071" s="15"/>
      <c r="T1071" s="15"/>
      <c r="U1071" s="15"/>
    </row>
    <row r="1072" spans="12:21">
      <c r="L1072" s="15"/>
      <c r="M1072" s="15"/>
      <c r="N1072" s="15"/>
      <c r="T1072" s="15"/>
      <c r="U1072" s="15"/>
    </row>
    <row r="1073" spans="12:21">
      <c r="L1073" s="15"/>
      <c r="M1073" s="15"/>
      <c r="N1073" s="15"/>
      <c r="T1073" s="15"/>
      <c r="U1073" s="15"/>
    </row>
    <row r="1074" spans="12:21">
      <c r="L1074" s="15"/>
      <c r="M1074" s="15"/>
      <c r="N1074" s="15"/>
      <c r="T1074" s="15"/>
      <c r="U1074" s="15"/>
    </row>
    <row r="1075" spans="12:21">
      <c r="L1075" s="15"/>
      <c r="M1075" s="15"/>
      <c r="N1075" s="15"/>
      <c r="T1075" s="15"/>
      <c r="U1075" s="15"/>
    </row>
    <row r="1076" spans="12:21">
      <c r="L1076" s="15"/>
      <c r="M1076" s="15"/>
      <c r="N1076" s="15"/>
      <c r="T1076" s="15"/>
      <c r="U1076" s="15"/>
    </row>
    <row r="1077" spans="12:21">
      <c r="L1077" s="15"/>
      <c r="M1077" s="15"/>
      <c r="N1077" s="15"/>
      <c r="T1077" s="15"/>
      <c r="U1077" s="15"/>
    </row>
    <row r="1078" spans="12:21">
      <c r="L1078" s="15"/>
      <c r="M1078" s="15"/>
      <c r="N1078" s="15"/>
      <c r="T1078" s="15"/>
      <c r="U1078" s="15"/>
    </row>
    <row r="1079" spans="12:21">
      <c r="L1079" s="15"/>
      <c r="M1079" s="15"/>
      <c r="N1079" s="15"/>
      <c r="T1079" s="15"/>
      <c r="U1079" s="15"/>
    </row>
    <row r="1080" spans="12:21">
      <c r="L1080" s="15"/>
      <c r="M1080" s="15"/>
      <c r="N1080" s="15"/>
      <c r="T1080" s="15"/>
      <c r="U1080" s="15"/>
    </row>
    <row r="1081" spans="12:21">
      <c r="L1081" s="15"/>
      <c r="M1081" s="15"/>
      <c r="N1081" s="15"/>
      <c r="T1081" s="15"/>
      <c r="U1081" s="15"/>
    </row>
    <row r="1082" spans="12:21">
      <c r="L1082" s="15"/>
      <c r="M1082" s="15"/>
      <c r="N1082" s="15"/>
      <c r="T1082" s="15"/>
      <c r="U1082" s="15"/>
    </row>
    <row r="1083" spans="12:21">
      <c r="L1083" s="15"/>
      <c r="M1083" s="15"/>
      <c r="N1083" s="15"/>
      <c r="T1083" s="15"/>
      <c r="U1083" s="15"/>
    </row>
    <row r="1084" spans="12:21">
      <c r="L1084" s="15"/>
      <c r="M1084" s="15"/>
      <c r="N1084" s="15"/>
      <c r="T1084" s="15"/>
      <c r="U1084" s="15"/>
    </row>
    <row r="1085" spans="12:21">
      <c r="L1085" s="15"/>
      <c r="M1085" s="15"/>
      <c r="N1085" s="15"/>
      <c r="T1085" s="15"/>
      <c r="U1085" s="15"/>
    </row>
    <row r="1086" spans="12:21">
      <c r="L1086" s="15"/>
      <c r="M1086" s="15"/>
      <c r="N1086" s="15"/>
      <c r="T1086" s="15"/>
      <c r="U1086" s="15"/>
    </row>
    <row r="1087" spans="12:21">
      <c r="L1087" s="15"/>
      <c r="M1087" s="15"/>
      <c r="N1087" s="15"/>
      <c r="T1087" s="15"/>
      <c r="U1087" s="15"/>
    </row>
    <row r="1088" spans="12:21">
      <c r="L1088" s="15"/>
      <c r="M1088" s="15"/>
      <c r="N1088" s="15"/>
      <c r="T1088" s="15"/>
      <c r="U1088" s="15"/>
    </row>
    <row r="1089" spans="12:21">
      <c r="L1089" s="15"/>
      <c r="M1089" s="15"/>
      <c r="N1089" s="15"/>
      <c r="T1089" s="15"/>
      <c r="U1089" s="15"/>
    </row>
    <row r="1090" spans="12:21">
      <c r="L1090" s="15"/>
      <c r="M1090" s="15"/>
      <c r="N1090" s="15"/>
      <c r="T1090" s="15"/>
      <c r="U1090" s="15"/>
    </row>
    <row r="1091" spans="12:21">
      <c r="L1091" s="15"/>
      <c r="M1091" s="15"/>
      <c r="N1091" s="15"/>
      <c r="T1091" s="15"/>
      <c r="U1091" s="15"/>
    </row>
    <row r="1092" spans="12:21">
      <c r="L1092" s="15"/>
      <c r="M1092" s="15"/>
      <c r="N1092" s="15"/>
      <c r="T1092" s="15"/>
      <c r="U1092" s="15"/>
    </row>
    <row r="1093" spans="12:21">
      <c r="L1093" s="15"/>
      <c r="M1093" s="15"/>
      <c r="N1093" s="15"/>
      <c r="T1093" s="15"/>
      <c r="U1093" s="15"/>
    </row>
    <row r="1094" spans="12:21">
      <c r="L1094" s="15"/>
      <c r="M1094" s="15"/>
      <c r="N1094" s="15"/>
      <c r="T1094" s="15"/>
      <c r="U1094" s="15"/>
    </row>
    <row r="1095" spans="12:21">
      <c r="L1095" s="15"/>
      <c r="M1095" s="15"/>
      <c r="N1095" s="15"/>
      <c r="T1095" s="15"/>
      <c r="U1095" s="15"/>
    </row>
    <row r="1096" spans="12:21">
      <c r="L1096" s="15"/>
      <c r="M1096" s="15"/>
      <c r="N1096" s="15"/>
      <c r="T1096" s="15"/>
      <c r="U1096" s="15"/>
    </row>
    <row r="1097" spans="12:21">
      <c r="L1097" s="15"/>
      <c r="M1097" s="15"/>
      <c r="N1097" s="15"/>
      <c r="T1097" s="15"/>
      <c r="U1097" s="15"/>
    </row>
    <row r="1098" spans="12:21">
      <c r="L1098" s="15"/>
      <c r="M1098" s="15"/>
      <c r="N1098" s="15"/>
      <c r="T1098" s="15"/>
      <c r="U1098" s="15"/>
    </row>
    <row r="1099" spans="12:21">
      <c r="L1099" s="15"/>
      <c r="M1099" s="15"/>
      <c r="N1099" s="15"/>
      <c r="T1099" s="15"/>
      <c r="U1099" s="15"/>
    </row>
    <row r="1100" spans="12:21">
      <c r="L1100" s="15"/>
      <c r="M1100" s="15"/>
      <c r="N1100" s="15"/>
      <c r="T1100" s="15"/>
      <c r="U1100" s="15"/>
    </row>
    <row r="1101" spans="12:21">
      <c r="L1101" s="15"/>
      <c r="M1101" s="15"/>
      <c r="N1101" s="15"/>
      <c r="T1101" s="15"/>
      <c r="U1101" s="15"/>
    </row>
    <row r="1102" spans="12:21">
      <c r="L1102" s="15"/>
      <c r="M1102" s="15"/>
      <c r="N1102" s="15"/>
      <c r="T1102" s="15"/>
      <c r="U1102" s="15"/>
    </row>
    <row r="1103" spans="12:21">
      <c r="L1103" s="15"/>
      <c r="M1103" s="15"/>
      <c r="N1103" s="15"/>
      <c r="T1103" s="15"/>
      <c r="U1103" s="15"/>
    </row>
    <row r="1104" spans="12:21">
      <c r="L1104" s="15"/>
      <c r="M1104" s="15"/>
      <c r="N1104" s="15"/>
      <c r="T1104" s="15"/>
      <c r="U1104" s="15"/>
    </row>
    <row r="1105" spans="12:21">
      <c r="L1105" s="15"/>
      <c r="M1105" s="15"/>
      <c r="N1105" s="15"/>
      <c r="T1105" s="15"/>
      <c r="U1105" s="15"/>
    </row>
    <row r="1106" spans="12:21">
      <c r="L1106" s="15"/>
      <c r="M1106" s="15"/>
      <c r="N1106" s="15"/>
      <c r="T1106" s="15"/>
      <c r="U1106" s="15"/>
    </row>
    <row r="1107" spans="12:21">
      <c r="L1107" s="15"/>
      <c r="M1107" s="15"/>
      <c r="N1107" s="15"/>
      <c r="T1107" s="15"/>
      <c r="U1107" s="15"/>
    </row>
    <row r="1108" spans="12:21">
      <c r="L1108" s="15"/>
      <c r="M1108" s="15"/>
      <c r="N1108" s="15"/>
      <c r="T1108" s="15"/>
      <c r="U1108" s="15"/>
    </row>
    <row r="1109" spans="12:21">
      <c r="L1109" s="15"/>
      <c r="M1109" s="15"/>
      <c r="N1109" s="15"/>
      <c r="T1109" s="15"/>
      <c r="U1109" s="15"/>
    </row>
    <row r="1110" spans="12:21">
      <c r="L1110" s="15"/>
      <c r="M1110" s="15"/>
      <c r="N1110" s="15"/>
      <c r="T1110" s="15"/>
      <c r="U1110" s="15"/>
    </row>
    <row r="1111" spans="12:21">
      <c r="L1111" s="15"/>
      <c r="M1111" s="15"/>
      <c r="N1111" s="15"/>
      <c r="T1111" s="15"/>
      <c r="U1111" s="15"/>
    </row>
    <row r="1112" spans="12:21">
      <c r="L1112" s="15"/>
      <c r="M1112" s="15"/>
      <c r="N1112" s="15"/>
      <c r="T1112" s="15"/>
      <c r="U1112" s="15"/>
    </row>
    <row r="1113" spans="12:21">
      <c r="L1113" s="15"/>
      <c r="M1113" s="15"/>
      <c r="N1113" s="15"/>
      <c r="T1113" s="15"/>
      <c r="U1113" s="15"/>
    </row>
    <row r="1114" spans="12:21">
      <c r="L1114" s="15"/>
      <c r="M1114" s="15"/>
      <c r="N1114" s="15"/>
      <c r="T1114" s="15"/>
      <c r="U1114" s="15"/>
    </row>
    <row r="1115" spans="12:21">
      <c r="L1115" s="15"/>
      <c r="M1115" s="15"/>
      <c r="N1115" s="15"/>
      <c r="T1115" s="15"/>
      <c r="U1115" s="15"/>
    </row>
    <row r="1116" spans="12:21">
      <c r="L1116" s="15"/>
      <c r="M1116" s="15"/>
      <c r="N1116" s="15"/>
      <c r="T1116" s="15"/>
      <c r="U1116" s="15"/>
    </row>
    <row r="1117" spans="12:21">
      <c r="L1117" s="15"/>
      <c r="M1117" s="15"/>
      <c r="N1117" s="15"/>
      <c r="T1117" s="15"/>
      <c r="U1117" s="15"/>
    </row>
    <row r="1118" spans="12:21">
      <c r="L1118" s="15"/>
      <c r="M1118" s="15"/>
      <c r="N1118" s="15"/>
      <c r="T1118" s="15"/>
      <c r="U1118" s="15"/>
    </row>
    <row r="1119" spans="12:21">
      <c r="L1119" s="15"/>
      <c r="M1119" s="15"/>
      <c r="N1119" s="15"/>
      <c r="T1119" s="15"/>
      <c r="U1119" s="15"/>
    </row>
    <row r="1120" spans="12:21">
      <c r="L1120" s="15"/>
      <c r="M1120" s="15"/>
      <c r="N1120" s="15"/>
      <c r="T1120" s="15"/>
      <c r="U1120" s="15"/>
    </row>
    <row r="1121" spans="12:21">
      <c r="L1121" s="15"/>
      <c r="M1121" s="15"/>
      <c r="N1121" s="15"/>
      <c r="T1121" s="15"/>
      <c r="U1121" s="15"/>
    </row>
    <row r="1122" spans="12:21">
      <c r="L1122" s="15"/>
      <c r="M1122" s="15"/>
      <c r="N1122" s="15"/>
      <c r="T1122" s="15"/>
      <c r="U1122" s="15"/>
    </row>
    <row r="1123" spans="12:21">
      <c r="L1123" s="15"/>
      <c r="M1123" s="15"/>
      <c r="N1123" s="15"/>
      <c r="T1123" s="15"/>
      <c r="U1123" s="15"/>
    </row>
    <row r="1124" spans="12:21">
      <c r="L1124" s="15"/>
      <c r="M1124" s="15"/>
      <c r="N1124" s="15"/>
      <c r="T1124" s="15"/>
      <c r="U1124" s="15"/>
    </row>
    <row r="1125" spans="12:21">
      <c r="L1125" s="15"/>
      <c r="M1125" s="15"/>
      <c r="N1125" s="15"/>
      <c r="T1125" s="15"/>
      <c r="U1125" s="15"/>
    </row>
    <row r="1126" spans="12:21">
      <c r="L1126" s="15"/>
      <c r="M1126" s="15"/>
      <c r="N1126" s="15"/>
      <c r="T1126" s="15"/>
      <c r="U1126" s="15"/>
    </row>
    <row r="1127" spans="12:21">
      <c r="L1127" s="15"/>
      <c r="M1127" s="15"/>
      <c r="N1127" s="15"/>
      <c r="T1127" s="15"/>
      <c r="U1127" s="15"/>
    </row>
    <row r="1128" spans="12:21">
      <c r="L1128" s="15"/>
      <c r="M1128" s="15"/>
      <c r="N1128" s="15"/>
      <c r="T1128" s="15"/>
      <c r="U1128" s="15"/>
    </row>
    <row r="1129" spans="12:21">
      <c r="L1129" s="15"/>
      <c r="M1129" s="15"/>
      <c r="N1129" s="15"/>
      <c r="T1129" s="15"/>
      <c r="U1129" s="15"/>
    </row>
    <row r="1130" spans="12:21">
      <c r="L1130" s="15"/>
      <c r="M1130" s="15"/>
      <c r="N1130" s="15"/>
      <c r="T1130" s="15"/>
      <c r="U1130" s="15"/>
    </row>
    <row r="1131" spans="12:21">
      <c r="L1131" s="15"/>
      <c r="M1131" s="15"/>
      <c r="N1131" s="15"/>
      <c r="T1131" s="15"/>
      <c r="U1131" s="15"/>
    </row>
    <row r="1132" spans="12:21">
      <c r="L1132" s="15"/>
      <c r="M1132" s="15"/>
      <c r="N1132" s="15"/>
      <c r="T1132" s="15"/>
      <c r="U1132" s="15"/>
    </row>
    <row r="1133" spans="12:21">
      <c r="L1133" s="15"/>
      <c r="M1133" s="15"/>
      <c r="N1133" s="15"/>
      <c r="T1133" s="15"/>
      <c r="U1133" s="15"/>
    </row>
    <row r="1134" spans="12:21">
      <c r="L1134" s="15"/>
      <c r="M1134" s="15"/>
      <c r="N1134" s="15"/>
      <c r="T1134" s="15"/>
      <c r="U1134" s="15"/>
    </row>
    <row r="1135" spans="12:21">
      <c r="L1135" s="15"/>
      <c r="M1135" s="15"/>
      <c r="N1135" s="15"/>
      <c r="T1135" s="15"/>
      <c r="U1135" s="15"/>
    </row>
    <row r="1136" spans="12:21">
      <c r="L1136" s="15"/>
      <c r="M1136" s="15"/>
      <c r="N1136" s="15"/>
      <c r="T1136" s="15"/>
      <c r="U1136" s="15"/>
    </row>
    <row r="1137" spans="12:21">
      <c r="L1137" s="15"/>
      <c r="M1137" s="15"/>
      <c r="N1137" s="15"/>
      <c r="T1137" s="15"/>
      <c r="U1137" s="15"/>
    </row>
    <row r="1138" spans="12:21">
      <c r="L1138" s="15"/>
      <c r="M1138" s="15"/>
      <c r="N1138" s="15"/>
      <c r="T1138" s="15"/>
      <c r="U1138" s="15"/>
    </row>
    <row r="1139" spans="12:21">
      <c r="L1139" s="15"/>
      <c r="M1139" s="15"/>
      <c r="N1139" s="15"/>
      <c r="T1139" s="15"/>
      <c r="U1139" s="15"/>
    </row>
    <row r="1140" spans="12:21">
      <c r="L1140" s="15"/>
      <c r="M1140" s="15"/>
      <c r="N1140" s="15"/>
      <c r="T1140" s="15"/>
      <c r="U1140" s="15"/>
    </row>
    <row r="1141" spans="12:21">
      <c r="L1141" s="15"/>
      <c r="M1141" s="15"/>
      <c r="N1141" s="15"/>
      <c r="T1141" s="15"/>
      <c r="U1141" s="15"/>
    </row>
    <row r="1142" spans="12:21">
      <c r="L1142" s="15"/>
      <c r="M1142" s="15"/>
      <c r="N1142" s="15"/>
      <c r="T1142" s="15"/>
      <c r="U1142" s="15"/>
    </row>
    <row r="1143" spans="12:21">
      <c r="L1143" s="15"/>
      <c r="M1143" s="15"/>
      <c r="N1143" s="15"/>
      <c r="T1143" s="15"/>
      <c r="U1143" s="15"/>
    </row>
    <row r="1144" spans="12:21">
      <c r="L1144" s="15"/>
      <c r="M1144" s="15"/>
      <c r="N1144" s="15"/>
      <c r="T1144" s="15"/>
      <c r="U1144" s="15"/>
    </row>
    <row r="1145" spans="12:21">
      <c r="L1145" s="15"/>
      <c r="M1145" s="15"/>
      <c r="N1145" s="15"/>
      <c r="T1145" s="15"/>
      <c r="U1145" s="15"/>
    </row>
    <row r="1146" spans="12:21">
      <c r="L1146" s="15"/>
      <c r="M1146" s="15"/>
      <c r="N1146" s="15"/>
      <c r="T1146" s="15"/>
      <c r="U1146" s="15"/>
    </row>
    <row r="1147" spans="12:21">
      <c r="L1147" s="15"/>
      <c r="M1147" s="15"/>
      <c r="N1147" s="15"/>
      <c r="T1147" s="15"/>
      <c r="U1147" s="15"/>
    </row>
    <row r="1148" spans="12:21">
      <c r="L1148" s="15"/>
      <c r="M1148" s="15"/>
      <c r="N1148" s="15"/>
      <c r="T1148" s="15"/>
      <c r="U1148" s="15"/>
    </row>
    <row r="1149" spans="12:21">
      <c r="L1149" s="15"/>
      <c r="M1149" s="15"/>
      <c r="N1149" s="15"/>
      <c r="T1149" s="15"/>
      <c r="U1149" s="15"/>
    </row>
    <row r="1150" spans="12:21">
      <c r="L1150" s="15"/>
      <c r="M1150" s="15"/>
      <c r="N1150" s="15"/>
      <c r="T1150" s="15"/>
      <c r="U1150" s="15"/>
    </row>
    <row r="1151" spans="12:21">
      <c r="L1151" s="15"/>
      <c r="M1151" s="15"/>
      <c r="N1151" s="15"/>
      <c r="T1151" s="15"/>
      <c r="U1151" s="15"/>
    </row>
    <row r="1152" spans="12:21">
      <c r="L1152" s="15"/>
      <c r="M1152" s="15"/>
      <c r="N1152" s="15"/>
      <c r="T1152" s="15"/>
      <c r="U1152" s="15"/>
    </row>
    <row r="1153" spans="12:21">
      <c r="L1153" s="15"/>
      <c r="M1153" s="15"/>
      <c r="N1153" s="15"/>
      <c r="T1153" s="15"/>
      <c r="U1153" s="15"/>
    </row>
    <row r="1154" spans="12:21">
      <c r="L1154" s="15"/>
      <c r="M1154" s="15"/>
      <c r="N1154" s="15"/>
      <c r="T1154" s="15"/>
      <c r="U1154" s="15"/>
    </row>
    <row r="1155" spans="12:21">
      <c r="L1155" s="15"/>
      <c r="M1155" s="15"/>
      <c r="N1155" s="15"/>
      <c r="T1155" s="15"/>
      <c r="U1155" s="15"/>
    </row>
    <row r="1156" spans="12:21">
      <c r="L1156" s="15"/>
      <c r="M1156" s="15"/>
      <c r="N1156" s="15"/>
      <c r="T1156" s="15"/>
      <c r="U1156" s="15"/>
    </row>
    <row r="1157" spans="12:21">
      <c r="L1157" s="15"/>
      <c r="M1157" s="15"/>
      <c r="N1157" s="15"/>
      <c r="T1157" s="15"/>
      <c r="U1157" s="15"/>
    </row>
    <row r="1158" spans="12:21">
      <c r="L1158" s="15"/>
      <c r="M1158" s="15"/>
      <c r="N1158" s="15"/>
      <c r="T1158" s="15"/>
      <c r="U1158" s="15"/>
    </row>
    <row r="1159" spans="12:21">
      <c r="L1159" s="15"/>
      <c r="M1159" s="15"/>
      <c r="N1159" s="15"/>
      <c r="T1159" s="15"/>
      <c r="U1159" s="15"/>
    </row>
    <row r="1160" spans="12:21">
      <c r="L1160" s="15"/>
      <c r="M1160" s="15"/>
      <c r="N1160" s="15"/>
      <c r="T1160" s="15"/>
      <c r="U1160" s="15"/>
    </row>
    <row r="1161" spans="12:21">
      <c r="L1161" s="15"/>
      <c r="M1161" s="15"/>
      <c r="N1161" s="15"/>
      <c r="T1161" s="15"/>
      <c r="U1161" s="15"/>
    </row>
    <row r="1162" spans="12:21">
      <c r="L1162" s="15"/>
      <c r="M1162" s="15"/>
      <c r="N1162" s="15"/>
      <c r="T1162" s="15"/>
      <c r="U1162" s="15"/>
    </row>
    <row r="1163" spans="12:21">
      <c r="L1163" s="15"/>
      <c r="M1163" s="15"/>
      <c r="N1163" s="15"/>
      <c r="T1163" s="15"/>
      <c r="U1163" s="15"/>
    </row>
    <row r="1164" spans="12:21">
      <c r="L1164" s="15"/>
      <c r="M1164" s="15"/>
      <c r="N1164" s="15"/>
      <c r="T1164" s="15"/>
      <c r="U1164" s="15"/>
    </row>
    <row r="1165" spans="12:21">
      <c r="L1165" s="15"/>
      <c r="M1165" s="15"/>
      <c r="N1165" s="15"/>
      <c r="T1165" s="15"/>
      <c r="U1165" s="15"/>
    </row>
    <row r="1166" spans="12:21">
      <c r="L1166" s="15"/>
      <c r="M1166" s="15"/>
      <c r="N1166" s="15"/>
      <c r="T1166" s="15"/>
      <c r="U1166" s="15"/>
    </row>
    <row r="1167" spans="12:21">
      <c r="L1167" s="15"/>
      <c r="M1167" s="15"/>
      <c r="N1167" s="15"/>
      <c r="T1167" s="15"/>
      <c r="U1167" s="15"/>
    </row>
    <row r="1168" spans="12:21">
      <c r="L1168" s="15"/>
      <c r="M1168" s="15"/>
      <c r="N1168" s="15"/>
      <c r="T1168" s="15"/>
      <c r="U1168" s="15"/>
    </row>
    <row r="1169" spans="12:21">
      <c r="L1169" s="15"/>
      <c r="M1169" s="15"/>
      <c r="N1169" s="15"/>
      <c r="T1169" s="15"/>
      <c r="U1169" s="15"/>
    </row>
    <row r="1170" spans="12:21">
      <c r="L1170" s="15"/>
      <c r="M1170" s="15"/>
      <c r="N1170" s="15"/>
      <c r="T1170" s="15"/>
      <c r="U1170" s="15"/>
    </row>
    <row r="1171" spans="12:21">
      <c r="L1171" s="15"/>
      <c r="M1171" s="15"/>
      <c r="N1171" s="15"/>
      <c r="T1171" s="15"/>
      <c r="U1171" s="15"/>
    </row>
    <row r="1172" spans="12:21">
      <c r="L1172" s="15"/>
      <c r="M1172" s="15"/>
      <c r="N1172" s="15"/>
      <c r="T1172" s="15"/>
      <c r="U1172" s="15"/>
    </row>
    <row r="1173" spans="12:21">
      <c r="L1173" s="15"/>
      <c r="M1173" s="15"/>
      <c r="N1173" s="15"/>
      <c r="T1173" s="15"/>
      <c r="U1173" s="15"/>
    </row>
    <row r="1174" spans="12:21">
      <c r="L1174" s="15"/>
      <c r="M1174" s="15"/>
      <c r="N1174" s="15"/>
      <c r="T1174" s="15"/>
      <c r="U1174" s="15"/>
    </row>
    <row r="1175" spans="12:21">
      <c r="L1175" s="15"/>
      <c r="M1175" s="15"/>
      <c r="N1175" s="15"/>
      <c r="T1175" s="15"/>
      <c r="U1175" s="15"/>
    </row>
    <row r="1176" spans="12:21">
      <c r="L1176" s="15"/>
      <c r="M1176" s="15"/>
      <c r="N1176" s="15"/>
      <c r="T1176" s="15"/>
      <c r="U1176" s="15"/>
    </row>
    <row r="1177" spans="12:21">
      <c r="L1177" s="15"/>
      <c r="M1177" s="15"/>
      <c r="N1177" s="15"/>
      <c r="T1177" s="15"/>
      <c r="U1177" s="15"/>
    </row>
    <row r="1178" spans="12:21">
      <c r="L1178" s="15"/>
      <c r="M1178" s="15"/>
      <c r="N1178" s="15"/>
      <c r="T1178" s="15"/>
      <c r="U1178" s="15"/>
    </row>
    <row r="1179" spans="12:21">
      <c r="L1179" s="15"/>
      <c r="M1179" s="15"/>
      <c r="N1179" s="15"/>
      <c r="T1179" s="15"/>
      <c r="U1179" s="15"/>
    </row>
    <row r="1180" spans="12:21">
      <c r="L1180" s="15"/>
      <c r="M1180" s="15"/>
      <c r="N1180" s="15"/>
      <c r="T1180" s="15"/>
      <c r="U1180" s="15"/>
    </row>
    <row r="1181" spans="12:21">
      <c r="L1181" s="15"/>
      <c r="M1181" s="15"/>
      <c r="N1181" s="15"/>
      <c r="T1181" s="15"/>
      <c r="U1181" s="15"/>
    </row>
    <row r="1182" spans="12:21">
      <c r="L1182" s="15"/>
      <c r="M1182" s="15"/>
      <c r="N1182" s="15"/>
      <c r="T1182" s="15"/>
      <c r="U1182" s="15"/>
    </row>
    <row r="1183" spans="12:21">
      <c r="L1183" s="15"/>
      <c r="M1183" s="15"/>
      <c r="N1183" s="15"/>
      <c r="T1183" s="15"/>
      <c r="U1183" s="15"/>
    </row>
    <row r="1184" spans="12:21">
      <c r="L1184" s="15"/>
      <c r="M1184" s="15"/>
      <c r="N1184" s="15"/>
      <c r="T1184" s="15"/>
      <c r="U1184" s="15"/>
    </row>
    <row r="1185" spans="12:21">
      <c r="L1185" s="15"/>
      <c r="M1185" s="15"/>
      <c r="N1185" s="15"/>
      <c r="T1185" s="15"/>
      <c r="U1185" s="15"/>
    </row>
    <row r="1186" spans="12:21">
      <c r="L1186" s="15"/>
      <c r="M1186" s="15"/>
      <c r="N1186" s="15"/>
      <c r="T1186" s="15"/>
      <c r="U1186" s="15"/>
    </row>
    <row r="1187" spans="12:21">
      <c r="L1187" s="15"/>
      <c r="M1187" s="15"/>
      <c r="N1187" s="15"/>
      <c r="T1187" s="15"/>
      <c r="U1187" s="15"/>
    </row>
    <row r="1188" spans="12:21">
      <c r="L1188" s="15"/>
      <c r="M1188" s="15"/>
      <c r="N1188" s="15"/>
      <c r="T1188" s="15"/>
      <c r="U1188" s="15"/>
    </row>
    <row r="1189" spans="12:21">
      <c r="L1189" s="15"/>
      <c r="M1189" s="15"/>
      <c r="N1189" s="15"/>
      <c r="T1189" s="15"/>
      <c r="U1189" s="15"/>
    </row>
    <row r="1190" spans="12:21">
      <c r="L1190" s="15"/>
      <c r="M1190" s="15"/>
      <c r="N1190" s="15"/>
      <c r="T1190" s="15"/>
      <c r="U1190" s="15"/>
    </row>
    <row r="1191" spans="12:21">
      <c r="L1191" s="15"/>
      <c r="M1191" s="15"/>
      <c r="N1191" s="15"/>
      <c r="T1191" s="15"/>
      <c r="U1191" s="15"/>
    </row>
    <row r="1192" spans="12:21">
      <c r="L1192" s="15"/>
      <c r="M1192" s="15"/>
      <c r="N1192" s="15"/>
      <c r="T1192" s="15"/>
      <c r="U1192" s="15"/>
    </row>
    <row r="1193" spans="12:21">
      <c r="L1193" s="15"/>
      <c r="M1193" s="15"/>
      <c r="N1193" s="15"/>
      <c r="T1193" s="15"/>
      <c r="U1193" s="15"/>
    </row>
    <row r="1194" spans="12:21">
      <c r="L1194" s="15"/>
      <c r="M1194" s="15"/>
      <c r="N1194" s="15"/>
      <c r="T1194" s="15"/>
      <c r="U1194" s="15"/>
    </row>
    <row r="1195" spans="12:21">
      <c r="L1195" s="15"/>
      <c r="M1195" s="15"/>
      <c r="N1195" s="15"/>
      <c r="T1195" s="15"/>
      <c r="U1195" s="15"/>
    </row>
    <row r="1196" spans="12:21">
      <c r="L1196" s="15"/>
      <c r="M1196" s="15"/>
      <c r="N1196" s="15"/>
      <c r="T1196" s="15"/>
      <c r="U1196" s="15"/>
    </row>
    <row r="1197" spans="12:21">
      <c r="L1197" s="15"/>
      <c r="M1197" s="15"/>
      <c r="N1197" s="15"/>
      <c r="T1197" s="15"/>
      <c r="U1197" s="15"/>
    </row>
    <row r="1198" spans="12:21">
      <c r="L1198" s="15"/>
      <c r="M1198" s="15"/>
      <c r="N1198" s="15"/>
      <c r="T1198" s="15"/>
      <c r="U1198" s="15"/>
    </row>
    <row r="1199" spans="12:21">
      <c r="L1199" s="15"/>
      <c r="M1199" s="15"/>
      <c r="N1199" s="15"/>
      <c r="T1199" s="15"/>
      <c r="U1199" s="15"/>
    </row>
    <row r="1200" spans="12:21">
      <c r="L1200" s="15"/>
      <c r="M1200" s="15"/>
      <c r="N1200" s="15"/>
      <c r="T1200" s="15"/>
      <c r="U1200" s="15"/>
    </row>
    <row r="1201" spans="12:21">
      <c r="L1201" s="15"/>
      <c r="M1201" s="15"/>
      <c r="N1201" s="15"/>
      <c r="T1201" s="15"/>
      <c r="U1201" s="15"/>
    </row>
    <row r="1202" spans="12:21">
      <c r="L1202" s="15"/>
      <c r="M1202" s="15"/>
      <c r="N1202" s="15"/>
      <c r="T1202" s="15"/>
      <c r="U1202" s="15"/>
    </row>
    <row r="1203" spans="12:21">
      <c r="L1203" s="15"/>
      <c r="M1203" s="15"/>
      <c r="N1203" s="15"/>
      <c r="T1203" s="15"/>
      <c r="U1203" s="15"/>
    </row>
    <row r="1204" spans="12:21">
      <c r="L1204" s="15"/>
      <c r="M1204" s="15"/>
      <c r="N1204" s="15"/>
      <c r="T1204" s="15"/>
      <c r="U1204" s="15"/>
    </row>
    <row r="1205" spans="12:21">
      <c r="L1205" s="15"/>
      <c r="M1205" s="15"/>
      <c r="N1205" s="15"/>
      <c r="T1205" s="15"/>
      <c r="U1205" s="15"/>
    </row>
    <row r="1206" spans="12:21">
      <c r="L1206" s="15"/>
      <c r="M1206" s="15"/>
      <c r="N1206" s="15"/>
      <c r="T1206" s="15"/>
      <c r="U1206" s="15"/>
    </row>
    <row r="1207" spans="12:21">
      <c r="L1207" s="15"/>
      <c r="M1207" s="15"/>
      <c r="N1207" s="15"/>
      <c r="T1207" s="15"/>
      <c r="U1207" s="15"/>
    </row>
    <row r="1208" spans="12:21">
      <c r="L1208" s="15"/>
      <c r="M1208" s="15"/>
      <c r="N1208" s="15"/>
      <c r="T1208" s="15"/>
      <c r="U1208" s="15"/>
    </row>
    <row r="1209" spans="12:21">
      <c r="L1209" s="15"/>
      <c r="M1209" s="15"/>
      <c r="N1209" s="15"/>
      <c r="T1209" s="15"/>
      <c r="U1209" s="15"/>
    </row>
    <row r="1210" spans="12:21">
      <c r="L1210" s="15"/>
      <c r="M1210" s="15"/>
      <c r="N1210" s="15"/>
      <c r="T1210" s="15"/>
      <c r="U1210" s="15"/>
    </row>
    <row r="1211" spans="12:21">
      <c r="L1211" s="15"/>
      <c r="M1211" s="15"/>
      <c r="N1211" s="15"/>
      <c r="T1211" s="15"/>
      <c r="U1211" s="15"/>
    </row>
    <row r="1212" spans="12:21">
      <c r="L1212" s="15"/>
      <c r="M1212" s="15"/>
      <c r="N1212" s="15"/>
      <c r="T1212" s="15"/>
      <c r="U1212" s="15"/>
    </row>
    <row r="1213" spans="12:21">
      <c r="L1213" s="15"/>
      <c r="M1213" s="15"/>
      <c r="N1213" s="15"/>
      <c r="T1213" s="15"/>
      <c r="U1213" s="15"/>
    </row>
    <row r="1214" spans="12:21">
      <c r="L1214" s="15"/>
      <c r="M1214" s="15"/>
      <c r="N1214" s="15"/>
      <c r="T1214" s="15"/>
      <c r="U1214" s="15"/>
    </row>
    <row r="1215" spans="12:21">
      <c r="L1215" s="15"/>
      <c r="M1215" s="15"/>
      <c r="N1215" s="15"/>
      <c r="T1215" s="15"/>
      <c r="U1215" s="15"/>
    </row>
    <row r="1216" spans="12:21">
      <c r="L1216" s="15"/>
      <c r="M1216" s="15"/>
      <c r="N1216" s="15"/>
      <c r="T1216" s="15"/>
      <c r="U1216" s="15"/>
    </row>
    <row r="1217" spans="12:21">
      <c r="L1217" s="15"/>
      <c r="M1217" s="15"/>
      <c r="N1217" s="15"/>
      <c r="T1217" s="15"/>
      <c r="U1217" s="15"/>
    </row>
    <row r="1218" spans="12:21">
      <c r="L1218" s="15"/>
      <c r="M1218" s="15"/>
      <c r="N1218" s="15"/>
      <c r="T1218" s="15"/>
      <c r="U1218" s="15"/>
    </row>
    <row r="1219" spans="12:21">
      <c r="L1219" s="15"/>
      <c r="M1219" s="15"/>
      <c r="N1219" s="15"/>
      <c r="T1219" s="15"/>
      <c r="U1219" s="15"/>
    </row>
    <row r="1220" spans="12:21">
      <c r="L1220" s="15"/>
      <c r="M1220" s="15"/>
      <c r="N1220" s="15"/>
      <c r="T1220" s="15"/>
      <c r="U1220" s="15"/>
    </row>
    <row r="1221" spans="12:21">
      <c r="L1221" s="15"/>
      <c r="M1221" s="15"/>
      <c r="N1221" s="15"/>
      <c r="T1221" s="15"/>
      <c r="U1221" s="15"/>
    </row>
    <row r="1222" spans="12:21">
      <c r="L1222" s="15"/>
      <c r="M1222" s="15"/>
      <c r="N1222" s="15"/>
      <c r="T1222" s="15"/>
      <c r="U1222" s="15"/>
    </row>
    <row r="1223" spans="12:21">
      <c r="L1223" s="15"/>
      <c r="M1223" s="15"/>
      <c r="N1223" s="15"/>
      <c r="T1223" s="15"/>
      <c r="U1223" s="15"/>
    </row>
    <row r="1224" spans="12:21">
      <c r="L1224" s="15"/>
      <c r="M1224" s="15"/>
      <c r="N1224" s="15"/>
      <c r="T1224" s="15"/>
      <c r="U1224" s="15"/>
    </row>
    <row r="1225" spans="12:21">
      <c r="L1225" s="15"/>
      <c r="M1225" s="15"/>
      <c r="N1225" s="15"/>
      <c r="T1225" s="15"/>
      <c r="U1225" s="15"/>
    </row>
    <row r="1226" spans="12:21">
      <c r="L1226" s="15"/>
      <c r="M1226" s="15"/>
      <c r="N1226" s="15"/>
      <c r="T1226" s="15"/>
      <c r="U1226" s="15"/>
    </row>
    <row r="1227" spans="12:21">
      <c r="L1227" s="15"/>
      <c r="M1227" s="15"/>
      <c r="N1227" s="15"/>
      <c r="T1227" s="15"/>
      <c r="U1227" s="15"/>
    </row>
    <row r="1228" spans="12:21">
      <c r="L1228" s="15"/>
      <c r="M1228" s="15"/>
      <c r="N1228" s="15"/>
      <c r="T1228" s="15"/>
      <c r="U1228" s="15"/>
    </row>
    <row r="1229" spans="12:21">
      <c r="L1229" s="15"/>
      <c r="M1229" s="15"/>
      <c r="N1229" s="15"/>
      <c r="T1229" s="15"/>
      <c r="U1229" s="15"/>
    </row>
    <row r="1230" spans="12:21">
      <c r="L1230" s="15"/>
      <c r="M1230" s="15"/>
      <c r="N1230" s="15"/>
      <c r="T1230" s="15"/>
      <c r="U1230" s="15"/>
    </row>
    <row r="1231" spans="12:21">
      <c r="L1231" s="15"/>
      <c r="M1231" s="15"/>
      <c r="N1231" s="15"/>
      <c r="T1231" s="15"/>
      <c r="U1231" s="15"/>
    </row>
    <row r="1232" spans="12:21">
      <c r="L1232" s="15"/>
      <c r="M1232" s="15"/>
      <c r="N1232" s="15"/>
      <c r="T1232" s="15"/>
      <c r="U1232" s="15"/>
    </row>
    <row r="1233" spans="12:21">
      <c r="L1233" s="15"/>
      <c r="M1233" s="15"/>
      <c r="N1233" s="15"/>
      <c r="T1233" s="15"/>
      <c r="U1233" s="15"/>
    </row>
    <row r="1234" spans="12:21">
      <c r="L1234" s="15"/>
      <c r="M1234" s="15"/>
      <c r="N1234" s="15"/>
      <c r="T1234" s="15"/>
      <c r="U1234" s="15"/>
    </row>
    <row r="1235" spans="12:21">
      <c r="L1235" s="15"/>
      <c r="M1235" s="15"/>
      <c r="N1235" s="15"/>
      <c r="T1235" s="15"/>
      <c r="U1235" s="15"/>
    </row>
    <row r="1236" spans="12:21">
      <c r="L1236" s="15"/>
      <c r="M1236" s="15"/>
      <c r="N1236" s="15"/>
      <c r="T1236" s="15"/>
      <c r="U1236" s="15"/>
    </row>
    <row r="1237" spans="12:21">
      <c r="L1237" s="15"/>
      <c r="M1237" s="15"/>
      <c r="N1237" s="15"/>
      <c r="T1237" s="15"/>
      <c r="U1237" s="15"/>
    </row>
    <row r="1238" spans="12:21">
      <c r="L1238" s="15"/>
      <c r="M1238" s="15"/>
      <c r="N1238" s="15"/>
      <c r="T1238" s="15"/>
      <c r="U1238" s="15"/>
    </row>
    <row r="1239" spans="12:21">
      <c r="L1239" s="15"/>
      <c r="M1239" s="15"/>
      <c r="N1239" s="15"/>
      <c r="T1239" s="15"/>
      <c r="U1239" s="15"/>
    </row>
    <row r="1240" spans="12:21">
      <c r="L1240" s="15"/>
      <c r="M1240" s="15"/>
      <c r="N1240" s="15"/>
      <c r="T1240" s="15"/>
      <c r="U1240" s="15"/>
    </row>
    <row r="1241" spans="12:21">
      <c r="L1241" s="15"/>
      <c r="M1241" s="15"/>
      <c r="N1241" s="15"/>
      <c r="T1241" s="15"/>
      <c r="U1241" s="15"/>
    </row>
    <row r="1242" spans="12:21">
      <c r="L1242" s="15"/>
      <c r="M1242" s="15"/>
      <c r="N1242" s="15"/>
      <c r="T1242" s="15"/>
      <c r="U1242" s="15"/>
    </row>
    <row r="1243" spans="12:21">
      <c r="L1243" s="15"/>
      <c r="M1243" s="15"/>
      <c r="N1243" s="15"/>
      <c r="T1243" s="15"/>
      <c r="U1243" s="15"/>
    </row>
    <row r="1244" spans="12:21">
      <c r="L1244" s="15"/>
      <c r="M1244" s="15"/>
      <c r="N1244" s="15"/>
      <c r="T1244" s="15"/>
      <c r="U1244" s="15"/>
    </row>
    <row r="1245" spans="12:21">
      <c r="L1245" s="15"/>
      <c r="M1245" s="15"/>
      <c r="N1245" s="15"/>
      <c r="T1245" s="15"/>
      <c r="U1245" s="15"/>
    </row>
    <row r="1246" spans="12:21">
      <c r="L1246" s="15"/>
      <c r="M1246" s="15"/>
      <c r="N1246" s="15"/>
      <c r="T1246" s="15"/>
      <c r="U1246" s="15"/>
    </row>
    <row r="1247" spans="12:21">
      <c r="L1247" s="15"/>
      <c r="M1247" s="15"/>
      <c r="N1247" s="15"/>
      <c r="T1247" s="15"/>
      <c r="U1247" s="15"/>
    </row>
    <row r="1248" spans="12:21">
      <c r="L1248" s="15"/>
      <c r="M1248" s="15"/>
      <c r="N1248" s="15"/>
      <c r="T1248" s="15"/>
      <c r="U1248" s="15"/>
    </row>
    <row r="1249" spans="12:21">
      <c r="L1249" s="15"/>
      <c r="M1249" s="15"/>
      <c r="N1249" s="15"/>
      <c r="T1249" s="15"/>
      <c r="U1249" s="15"/>
    </row>
    <row r="1250" spans="12:21">
      <c r="L1250" s="15"/>
      <c r="M1250" s="15"/>
      <c r="N1250" s="15"/>
      <c r="T1250" s="15"/>
      <c r="U1250" s="15"/>
    </row>
    <row r="1251" spans="12:21">
      <c r="L1251" s="15"/>
      <c r="M1251" s="15"/>
      <c r="N1251" s="15"/>
      <c r="T1251" s="15"/>
      <c r="U1251" s="15"/>
    </row>
    <row r="1252" spans="12:21">
      <c r="L1252" s="15"/>
      <c r="M1252" s="15"/>
      <c r="N1252" s="15"/>
      <c r="T1252" s="15"/>
      <c r="U1252" s="15"/>
    </row>
    <row r="1253" spans="12:21">
      <c r="L1253" s="15"/>
      <c r="M1253" s="15"/>
      <c r="N1253" s="15"/>
      <c r="T1253" s="15"/>
      <c r="U1253" s="15"/>
    </row>
    <row r="1254" spans="12:21">
      <c r="L1254" s="15"/>
      <c r="M1254" s="15"/>
      <c r="N1254" s="15"/>
      <c r="T1254" s="15"/>
      <c r="U1254" s="15"/>
    </row>
    <row r="1255" spans="12:21">
      <c r="L1255" s="15"/>
      <c r="M1255" s="15"/>
      <c r="N1255" s="15"/>
      <c r="T1255" s="15"/>
      <c r="U1255" s="15"/>
    </row>
    <row r="1256" spans="12:21">
      <c r="L1256" s="15"/>
      <c r="M1256" s="15"/>
      <c r="N1256" s="15"/>
      <c r="T1256" s="15"/>
      <c r="U1256" s="15"/>
    </row>
    <row r="1257" spans="12:21">
      <c r="L1257" s="15"/>
      <c r="M1257" s="15"/>
      <c r="N1257" s="15"/>
      <c r="T1257" s="15"/>
      <c r="U1257" s="15"/>
    </row>
    <row r="1258" spans="12:21">
      <c r="L1258" s="15"/>
      <c r="M1258" s="15"/>
      <c r="N1258" s="15"/>
      <c r="T1258" s="15"/>
      <c r="U1258" s="15"/>
    </row>
    <row r="1259" spans="12:21">
      <c r="L1259" s="15"/>
      <c r="M1259" s="15"/>
      <c r="N1259" s="15"/>
      <c r="T1259" s="15"/>
      <c r="U1259" s="15"/>
    </row>
    <row r="1260" spans="12:21">
      <c r="L1260" s="15"/>
      <c r="M1260" s="15"/>
      <c r="N1260" s="15"/>
      <c r="T1260" s="15"/>
      <c r="U1260" s="15"/>
    </row>
    <row r="1261" spans="12:21">
      <c r="L1261" s="15"/>
      <c r="M1261" s="15"/>
      <c r="N1261" s="15"/>
      <c r="T1261" s="15"/>
      <c r="U1261" s="15"/>
    </row>
    <row r="1262" spans="12:21">
      <c r="L1262" s="15"/>
      <c r="M1262" s="15"/>
      <c r="N1262" s="15"/>
      <c r="T1262" s="15"/>
      <c r="U1262" s="15"/>
    </row>
    <row r="1263" spans="12:21">
      <c r="L1263" s="15"/>
      <c r="M1263" s="15"/>
      <c r="N1263" s="15"/>
      <c r="T1263" s="15"/>
      <c r="U1263" s="15"/>
    </row>
    <row r="1264" spans="12:21">
      <c r="L1264" s="15"/>
      <c r="M1264" s="15"/>
      <c r="N1264" s="15"/>
      <c r="T1264" s="15"/>
      <c r="U1264" s="15"/>
    </row>
    <row r="1265" spans="12:21">
      <c r="L1265" s="15"/>
      <c r="M1265" s="15"/>
      <c r="N1265" s="15"/>
      <c r="T1265" s="15"/>
      <c r="U1265" s="15"/>
    </row>
    <row r="1266" spans="12:21">
      <c r="L1266" s="15"/>
      <c r="M1266" s="15"/>
      <c r="N1266" s="15"/>
      <c r="T1266" s="15"/>
      <c r="U1266" s="15"/>
    </row>
    <row r="1267" spans="12:21">
      <c r="L1267" s="15"/>
      <c r="M1267" s="15"/>
      <c r="N1267" s="15"/>
      <c r="T1267" s="15"/>
      <c r="U1267" s="15"/>
    </row>
    <row r="1268" spans="12:21">
      <c r="L1268" s="15"/>
      <c r="M1268" s="15"/>
      <c r="N1268" s="15"/>
      <c r="T1268" s="15"/>
      <c r="U1268" s="15"/>
    </row>
    <row r="1269" spans="12:21">
      <c r="L1269" s="15"/>
      <c r="M1269" s="15"/>
      <c r="N1269" s="15"/>
      <c r="T1269" s="15"/>
      <c r="U1269" s="15"/>
    </row>
    <row r="1270" spans="12:21">
      <c r="L1270" s="15"/>
      <c r="M1270" s="15"/>
      <c r="N1270" s="15"/>
      <c r="T1270" s="15"/>
      <c r="U1270" s="15"/>
    </row>
    <row r="1271" spans="12:21">
      <c r="L1271" s="15"/>
      <c r="M1271" s="15"/>
      <c r="N1271" s="15"/>
      <c r="T1271" s="15"/>
      <c r="U1271" s="15"/>
    </row>
    <row r="1272" spans="12:21">
      <c r="L1272" s="15"/>
      <c r="M1272" s="15"/>
      <c r="N1272" s="15"/>
      <c r="T1272" s="15"/>
      <c r="U1272" s="15"/>
    </row>
    <row r="1273" spans="12:21">
      <c r="L1273" s="15"/>
      <c r="M1273" s="15"/>
      <c r="N1273" s="15"/>
      <c r="T1273" s="15"/>
      <c r="U1273" s="15"/>
    </row>
    <row r="1274" spans="12:21">
      <c r="L1274" s="15"/>
      <c r="M1274" s="15"/>
      <c r="N1274" s="15"/>
      <c r="T1274" s="15"/>
      <c r="U1274" s="15"/>
    </row>
    <row r="1275" spans="12:21">
      <c r="L1275" s="15"/>
      <c r="M1275" s="15"/>
      <c r="N1275" s="15"/>
      <c r="T1275" s="15"/>
      <c r="U1275" s="15"/>
    </row>
    <row r="1276" spans="12:21">
      <c r="L1276" s="15"/>
      <c r="M1276" s="15"/>
      <c r="N1276" s="15"/>
      <c r="T1276" s="15"/>
      <c r="U1276" s="15"/>
    </row>
    <row r="1277" spans="12:21">
      <c r="L1277" s="15"/>
      <c r="M1277" s="15"/>
      <c r="N1277" s="15"/>
      <c r="T1277" s="15"/>
      <c r="U1277" s="15"/>
    </row>
    <row r="1278" spans="12:21">
      <c r="L1278" s="15"/>
      <c r="M1278" s="15"/>
      <c r="N1278" s="15"/>
      <c r="T1278" s="15"/>
      <c r="U1278" s="15"/>
    </row>
    <row r="1279" spans="12:21">
      <c r="L1279" s="15"/>
      <c r="M1279" s="15"/>
      <c r="N1279" s="15"/>
      <c r="T1279" s="15"/>
      <c r="U1279" s="15"/>
    </row>
    <row r="1280" spans="12:21">
      <c r="L1280" s="15"/>
      <c r="M1280" s="15"/>
      <c r="N1280" s="15"/>
      <c r="T1280" s="15"/>
      <c r="U1280" s="15"/>
    </row>
    <row r="1281" spans="12:21">
      <c r="L1281" s="15"/>
      <c r="M1281" s="15"/>
      <c r="N1281" s="15"/>
      <c r="T1281" s="15"/>
      <c r="U1281" s="15"/>
    </row>
    <row r="1282" spans="12:21">
      <c r="L1282" s="15"/>
      <c r="M1282" s="15"/>
      <c r="N1282" s="15"/>
      <c r="T1282" s="15"/>
      <c r="U1282" s="15"/>
    </row>
    <row r="1283" spans="12:21">
      <c r="L1283" s="15"/>
      <c r="M1283" s="15"/>
      <c r="N1283" s="15"/>
      <c r="T1283" s="15"/>
      <c r="U1283" s="15"/>
    </row>
    <row r="1284" spans="12:21">
      <c r="L1284" s="15"/>
      <c r="M1284" s="15"/>
      <c r="N1284" s="15"/>
      <c r="T1284" s="15"/>
      <c r="U1284" s="15"/>
    </row>
    <row r="1285" spans="12:21">
      <c r="L1285" s="15"/>
      <c r="M1285" s="15"/>
      <c r="N1285" s="15"/>
      <c r="T1285" s="15"/>
      <c r="U1285" s="15"/>
    </row>
    <row r="1286" spans="12:21">
      <c r="L1286" s="15"/>
      <c r="M1286" s="15"/>
      <c r="N1286" s="15"/>
      <c r="T1286" s="15"/>
      <c r="U1286" s="15"/>
    </row>
    <row r="1287" spans="12:21">
      <c r="L1287" s="15"/>
      <c r="M1287" s="15"/>
      <c r="N1287" s="15"/>
      <c r="T1287" s="15"/>
      <c r="U1287" s="15"/>
    </row>
    <row r="1288" spans="12:21">
      <c r="L1288" s="15"/>
      <c r="M1288" s="15"/>
      <c r="N1288" s="15"/>
      <c r="T1288" s="15"/>
      <c r="U1288" s="15"/>
    </row>
    <row r="1289" spans="12:21">
      <c r="L1289" s="15"/>
      <c r="M1289" s="15"/>
      <c r="N1289" s="15"/>
      <c r="T1289" s="15"/>
      <c r="U1289" s="15"/>
    </row>
    <row r="1290" spans="12:21">
      <c r="L1290" s="15"/>
      <c r="M1290" s="15"/>
      <c r="N1290" s="15"/>
      <c r="T1290" s="15"/>
      <c r="U1290" s="15"/>
    </row>
    <row r="1291" spans="12:21">
      <c r="L1291" s="15"/>
      <c r="M1291" s="15"/>
      <c r="N1291" s="15"/>
      <c r="T1291" s="15"/>
      <c r="U1291" s="15"/>
    </row>
    <row r="1292" spans="12:21">
      <c r="L1292" s="15"/>
      <c r="M1292" s="15"/>
      <c r="N1292" s="15"/>
      <c r="T1292" s="15"/>
      <c r="U1292" s="15"/>
    </row>
    <row r="1293" spans="12:21">
      <c r="L1293" s="15"/>
      <c r="M1293" s="15"/>
      <c r="N1293" s="15"/>
      <c r="T1293" s="15"/>
      <c r="U1293" s="15"/>
    </row>
    <row r="1294" spans="12:21">
      <c r="L1294" s="15"/>
      <c r="M1294" s="15"/>
      <c r="N1294" s="15"/>
      <c r="T1294" s="15"/>
      <c r="U1294" s="15"/>
    </row>
    <row r="1295" spans="12:21">
      <c r="L1295" s="15"/>
      <c r="M1295" s="15"/>
      <c r="N1295" s="15"/>
      <c r="T1295" s="15"/>
      <c r="U1295" s="15"/>
    </row>
    <row r="1296" spans="12:21">
      <c r="L1296" s="15"/>
      <c r="M1296" s="15"/>
      <c r="N1296" s="15"/>
      <c r="T1296" s="15"/>
      <c r="U1296" s="15"/>
    </row>
    <row r="1297" spans="12:21">
      <c r="L1297" s="15"/>
      <c r="M1297" s="15"/>
      <c r="N1297" s="15"/>
      <c r="T1297" s="15"/>
      <c r="U1297" s="15"/>
    </row>
    <row r="1298" spans="12:21">
      <c r="L1298" s="15"/>
      <c r="M1298" s="15"/>
      <c r="N1298" s="15"/>
      <c r="T1298" s="15"/>
      <c r="U1298" s="15"/>
    </row>
    <row r="1299" spans="12:21">
      <c r="L1299" s="15"/>
      <c r="M1299" s="15"/>
      <c r="N1299" s="15"/>
      <c r="T1299" s="15"/>
      <c r="U1299" s="15"/>
    </row>
    <row r="1300" spans="12:21">
      <c r="L1300" s="15"/>
      <c r="M1300" s="15"/>
      <c r="N1300" s="15"/>
      <c r="T1300" s="15"/>
      <c r="U1300" s="15"/>
    </row>
    <row r="1301" spans="12:21">
      <c r="L1301" s="15"/>
      <c r="M1301" s="15"/>
      <c r="N1301" s="15"/>
      <c r="T1301" s="15"/>
      <c r="U1301" s="15"/>
    </row>
    <row r="1302" spans="12:21">
      <c r="L1302" s="15"/>
      <c r="M1302" s="15"/>
      <c r="N1302" s="15"/>
      <c r="T1302" s="15"/>
      <c r="U1302" s="15"/>
    </row>
    <row r="1303" spans="12:21">
      <c r="L1303" s="15"/>
      <c r="M1303" s="15"/>
      <c r="N1303" s="15"/>
      <c r="T1303" s="15"/>
      <c r="U1303" s="15"/>
    </row>
    <row r="1304" spans="12:21">
      <c r="L1304" s="15"/>
      <c r="M1304" s="15"/>
      <c r="N1304" s="15"/>
      <c r="T1304" s="15"/>
      <c r="U1304" s="15"/>
    </row>
    <row r="1305" spans="12:21">
      <c r="L1305" s="15"/>
      <c r="M1305" s="15"/>
      <c r="N1305" s="15"/>
      <c r="T1305" s="15"/>
      <c r="U1305" s="15"/>
    </row>
    <row r="1306" spans="12:21">
      <c r="L1306" s="15"/>
      <c r="M1306" s="15"/>
      <c r="N1306" s="15"/>
      <c r="T1306" s="15"/>
      <c r="U1306" s="15"/>
    </row>
    <row r="1307" spans="12:21">
      <c r="L1307" s="15"/>
      <c r="M1307" s="15"/>
      <c r="N1307" s="15"/>
      <c r="T1307" s="15"/>
      <c r="U1307" s="15"/>
    </row>
    <row r="1308" spans="12:21">
      <c r="L1308" s="15"/>
      <c r="M1308" s="15"/>
      <c r="N1308" s="15"/>
      <c r="T1308" s="15"/>
      <c r="U1308" s="15"/>
    </row>
    <row r="1309" spans="12:21">
      <c r="L1309" s="15"/>
      <c r="M1309" s="15"/>
      <c r="N1309" s="15"/>
      <c r="T1309" s="15"/>
      <c r="U1309" s="15"/>
    </row>
    <row r="1310" spans="12:21">
      <c r="L1310" s="15"/>
      <c r="M1310" s="15"/>
      <c r="N1310" s="15"/>
      <c r="T1310" s="15"/>
      <c r="U1310" s="15"/>
    </row>
    <row r="1311" spans="12:21">
      <c r="L1311" s="15"/>
      <c r="M1311" s="15"/>
      <c r="N1311" s="15"/>
      <c r="T1311" s="15"/>
      <c r="U1311" s="15"/>
    </row>
    <row r="1312" spans="12:21">
      <c r="L1312" s="15"/>
      <c r="M1312" s="15"/>
      <c r="N1312" s="15"/>
      <c r="T1312" s="15"/>
      <c r="U1312" s="15"/>
    </row>
    <row r="1313" spans="12:21">
      <c r="L1313" s="15"/>
      <c r="M1313" s="15"/>
      <c r="N1313" s="15"/>
      <c r="T1313" s="15"/>
      <c r="U1313" s="15"/>
    </row>
    <row r="1314" spans="12:21">
      <c r="L1314" s="15"/>
      <c r="M1314" s="15"/>
      <c r="N1314" s="15"/>
      <c r="T1314" s="15"/>
      <c r="U1314" s="15"/>
    </row>
    <row r="1315" spans="12:21">
      <c r="L1315" s="15"/>
      <c r="M1315" s="15"/>
      <c r="N1315" s="15"/>
      <c r="T1315" s="15"/>
      <c r="U1315" s="15"/>
    </row>
    <row r="1316" spans="12:21">
      <c r="L1316" s="15"/>
      <c r="M1316" s="15"/>
      <c r="N1316" s="15"/>
      <c r="T1316" s="15"/>
      <c r="U1316" s="15"/>
    </row>
    <row r="1317" spans="12:21">
      <c r="L1317" s="15"/>
      <c r="M1317" s="15"/>
      <c r="N1317" s="15"/>
      <c r="T1317" s="15"/>
      <c r="U1317" s="15"/>
    </row>
    <row r="1318" spans="12:21">
      <c r="L1318" s="15"/>
      <c r="M1318" s="15"/>
      <c r="N1318" s="15"/>
      <c r="T1318" s="15"/>
      <c r="U1318" s="15"/>
    </row>
    <row r="1319" spans="12:21">
      <c r="L1319" s="15"/>
      <c r="M1319" s="15"/>
      <c r="N1319" s="15"/>
      <c r="T1319" s="15"/>
      <c r="U1319" s="15"/>
    </row>
    <row r="1320" spans="12:21">
      <c r="L1320" s="15"/>
      <c r="M1320" s="15"/>
      <c r="N1320" s="15"/>
      <c r="T1320" s="15"/>
      <c r="U1320" s="15"/>
    </row>
    <row r="1321" spans="12:21">
      <c r="L1321" s="15"/>
      <c r="M1321" s="15"/>
      <c r="N1321" s="15"/>
      <c r="T1321" s="15"/>
      <c r="U1321" s="15"/>
    </row>
    <row r="1322" spans="12:21">
      <c r="L1322" s="15"/>
      <c r="M1322" s="15"/>
      <c r="N1322" s="15"/>
      <c r="T1322" s="15"/>
      <c r="U1322" s="15"/>
    </row>
    <row r="1323" spans="12:21">
      <c r="L1323" s="15"/>
      <c r="M1323" s="15"/>
      <c r="N1323" s="15"/>
      <c r="T1323" s="15"/>
      <c r="U1323" s="15"/>
    </row>
    <row r="1324" spans="12:21">
      <c r="L1324" s="15"/>
      <c r="M1324" s="15"/>
      <c r="N1324" s="15"/>
      <c r="T1324" s="15"/>
      <c r="U1324" s="15"/>
    </row>
    <row r="1325" spans="12:21">
      <c r="L1325" s="15"/>
      <c r="M1325" s="15"/>
      <c r="N1325" s="15"/>
      <c r="T1325" s="15"/>
      <c r="U1325" s="15"/>
    </row>
    <row r="1326" spans="12:21">
      <c r="L1326" s="15"/>
      <c r="M1326" s="15"/>
      <c r="N1326" s="15"/>
      <c r="T1326" s="15"/>
      <c r="U1326" s="15"/>
    </row>
    <row r="1327" spans="12:21">
      <c r="L1327" s="15"/>
      <c r="M1327" s="15"/>
      <c r="N1327" s="15"/>
      <c r="T1327" s="15"/>
      <c r="U1327" s="15"/>
    </row>
    <row r="1328" spans="12:21">
      <c r="L1328" s="15"/>
      <c r="M1328" s="15"/>
      <c r="N1328" s="15"/>
      <c r="T1328" s="15"/>
      <c r="U1328" s="15"/>
    </row>
    <row r="1329" spans="12:21">
      <c r="L1329" s="15"/>
      <c r="M1329" s="15"/>
      <c r="N1329" s="15"/>
      <c r="T1329" s="15"/>
      <c r="U1329" s="15"/>
    </row>
    <row r="1330" spans="12:21">
      <c r="L1330" s="15"/>
      <c r="M1330" s="15"/>
      <c r="N1330" s="15"/>
      <c r="T1330" s="15"/>
      <c r="U1330" s="15"/>
    </row>
    <row r="1331" spans="12:21">
      <c r="L1331" s="15"/>
      <c r="M1331" s="15"/>
      <c r="N1331" s="15"/>
      <c r="T1331" s="15"/>
      <c r="U1331" s="15"/>
    </row>
    <row r="1332" spans="12:21">
      <c r="L1332" s="15"/>
      <c r="M1332" s="15"/>
      <c r="N1332" s="15"/>
      <c r="T1332" s="15"/>
      <c r="U1332" s="15"/>
    </row>
    <row r="1333" spans="12:21">
      <c r="L1333" s="15"/>
      <c r="M1333" s="15"/>
      <c r="N1333" s="15"/>
      <c r="T1333" s="15"/>
      <c r="U1333" s="15"/>
    </row>
    <row r="1334" spans="12:21">
      <c r="L1334" s="15"/>
      <c r="M1334" s="15"/>
      <c r="N1334" s="15"/>
      <c r="T1334" s="15"/>
      <c r="U1334" s="15"/>
    </row>
    <row r="1335" spans="12:21">
      <c r="L1335" s="15"/>
      <c r="M1335" s="15"/>
      <c r="N1335" s="15"/>
      <c r="T1335" s="15"/>
      <c r="U1335" s="15"/>
    </row>
    <row r="1336" spans="12:21">
      <c r="L1336" s="15"/>
      <c r="M1336" s="15"/>
      <c r="N1336" s="15"/>
      <c r="T1336" s="15"/>
      <c r="U1336" s="15"/>
    </row>
    <row r="1337" spans="12:21">
      <c r="L1337" s="15"/>
      <c r="M1337" s="15"/>
      <c r="N1337" s="15"/>
      <c r="T1337" s="15"/>
      <c r="U1337" s="15"/>
    </row>
    <row r="1338" spans="12:21">
      <c r="L1338" s="15"/>
      <c r="M1338" s="15"/>
      <c r="N1338" s="15"/>
      <c r="T1338" s="15"/>
      <c r="U1338" s="15"/>
    </row>
    <row r="1339" spans="12:21">
      <c r="L1339" s="15"/>
      <c r="M1339" s="15"/>
      <c r="N1339" s="15"/>
      <c r="T1339" s="15"/>
      <c r="U1339" s="15"/>
    </row>
    <row r="1340" spans="12:21">
      <c r="L1340" s="15"/>
      <c r="M1340" s="15"/>
      <c r="N1340" s="15"/>
      <c r="T1340" s="15"/>
      <c r="U1340" s="15"/>
    </row>
    <row r="1341" spans="12:21">
      <c r="L1341" s="15"/>
      <c r="M1341" s="15"/>
      <c r="N1341" s="15"/>
      <c r="T1341" s="15"/>
      <c r="U1341" s="15"/>
    </row>
    <row r="1342" spans="12:21">
      <c r="L1342" s="15"/>
      <c r="M1342" s="15"/>
      <c r="N1342" s="15"/>
      <c r="T1342" s="15"/>
      <c r="U1342" s="15"/>
    </row>
    <row r="1343" spans="12:21">
      <c r="L1343" s="15"/>
      <c r="M1343" s="15"/>
      <c r="N1343" s="15"/>
      <c r="T1343" s="15"/>
      <c r="U1343" s="15"/>
    </row>
    <row r="1344" spans="12:21">
      <c r="L1344" s="15"/>
      <c r="M1344" s="15"/>
      <c r="N1344" s="15"/>
      <c r="T1344" s="15"/>
      <c r="U1344" s="15"/>
    </row>
    <row r="1345" spans="12:21">
      <c r="L1345" s="15"/>
      <c r="M1345" s="15"/>
      <c r="N1345" s="15"/>
      <c r="T1345" s="15"/>
      <c r="U1345" s="15"/>
    </row>
    <row r="1346" spans="12:21">
      <c r="L1346" s="15"/>
      <c r="M1346" s="15"/>
      <c r="N1346" s="15"/>
      <c r="T1346" s="15"/>
      <c r="U1346" s="15"/>
    </row>
    <row r="1347" spans="12:21">
      <c r="L1347" s="15"/>
      <c r="M1347" s="15"/>
      <c r="N1347" s="15"/>
      <c r="T1347" s="15"/>
      <c r="U1347" s="15"/>
    </row>
    <row r="1348" spans="12:21">
      <c r="L1348" s="15"/>
      <c r="M1348" s="15"/>
      <c r="N1348" s="15"/>
      <c r="T1348" s="15"/>
      <c r="U1348" s="15"/>
    </row>
    <row r="1349" spans="12:21">
      <c r="L1349" s="15"/>
      <c r="M1349" s="15"/>
      <c r="N1349" s="15"/>
      <c r="T1349" s="15"/>
      <c r="U1349" s="15"/>
    </row>
    <row r="1350" spans="12:21">
      <c r="L1350" s="15"/>
      <c r="M1350" s="15"/>
      <c r="N1350" s="15"/>
      <c r="T1350" s="15"/>
      <c r="U1350" s="15"/>
    </row>
    <row r="1351" spans="12:21">
      <c r="L1351" s="15"/>
      <c r="M1351" s="15"/>
      <c r="N1351" s="15"/>
      <c r="T1351" s="15"/>
      <c r="U1351" s="15"/>
    </row>
    <row r="1352" spans="12:21">
      <c r="L1352" s="15"/>
      <c r="M1352" s="15"/>
      <c r="N1352" s="15"/>
      <c r="T1352" s="15"/>
      <c r="U1352" s="15"/>
    </row>
    <row r="1353" spans="12:21">
      <c r="L1353" s="15"/>
      <c r="M1353" s="15"/>
      <c r="N1353" s="15"/>
      <c r="T1353" s="15"/>
      <c r="U1353" s="15"/>
    </row>
    <row r="1354" spans="12:21">
      <c r="L1354" s="15"/>
      <c r="M1354" s="15"/>
      <c r="N1354" s="15"/>
      <c r="T1354" s="15"/>
      <c r="U1354" s="15"/>
    </row>
    <row r="1355" spans="12:21">
      <c r="L1355" s="15"/>
      <c r="M1355" s="15"/>
      <c r="N1355" s="15"/>
      <c r="T1355" s="15"/>
      <c r="U1355" s="15"/>
    </row>
    <row r="1356" spans="12:21">
      <c r="L1356" s="15"/>
      <c r="M1356" s="15"/>
      <c r="N1356" s="15"/>
      <c r="T1356" s="15"/>
      <c r="U1356" s="15"/>
    </row>
    <row r="1357" spans="12:21">
      <c r="L1357" s="15"/>
      <c r="M1357" s="15"/>
      <c r="N1357" s="15"/>
      <c r="T1357" s="15"/>
      <c r="U1357" s="15"/>
    </row>
    <row r="1358" spans="12:21">
      <c r="L1358" s="15"/>
      <c r="M1358" s="15"/>
      <c r="N1358" s="15"/>
      <c r="T1358" s="15"/>
      <c r="U1358" s="15"/>
    </row>
    <row r="1359" spans="12:21">
      <c r="L1359" s="15"/>
      <c r="M1359" s="15"/>
      <c r="N1359" s="15"/>
      <c r="T1359" s="15"/>
      <c r="U1359" s="15"/>
    </row>
    <row r="1360" spans="12:21">
      <c r="L1360" s="15"/>
      <c r="M1360" s="15"/>
      <c r="N1360" s="15"/>
      <c r="T1360" s="15"/>
      <c r="U1360" s="15"/>
    </row>
    <row r="1361" spans="12:21">
      <c r="L1361" s="15"/>
      <c r="M1361" s="15"/>
      <c r="N1361" s="15"/>
      <c r="T1361" s="15"/>
      <c r="U1361" s="15"/>
    </row>
    <row r="1362" spans="12:21">
      <c r="L1362" s="15"/>
      <c r="M1362" s="15"/>
      <c r="N1362" s="15"/>
      <c r="T1362" s="15"/>
      <c r="U1362" s="15"/>
    </row>
    <row r="1363" spans="12:21">
      <c r="L1363" s="15"/>
      <c r="M1363" s="15"/>
      <c r="N1363" s="15"/>
      <c r="T1363" s="15"/>
      <c r="U1363" s="15"/>
    </row>
    <row r="1364" spans="12:21">
      <c r="L1364" s="15"/>
      <c r="M1364" s="15"/>
      <c r="N1364" s="15"/>
      <c r="T1364" s="15"/>
      <c r="U1364" s="15"/>
    </row>
    <row r="1365" spans="12:21">
      <c r="L1365" s="15"/>
      <c r="M1365" s="15"/>
      <c r="N1365" s="15"/>
      <c r="T1365" s="15"/>
      <c r="U1365" s="15"/>
    </row>
    <row r="1366" spans="12:21">
      <c r="L1366" s="15"/>
      <c r="M1366" s="15"/>
      <c r="N1366" s="15"/>
      <c r="T1366" s="15"/>
      <c r="U1366" s="15"/>
    </row>
    <row r="1367" spans="12:21">
      <c r="L1367" s="15"/>
      <c r="M1367" s="15"/>
      <c r="N1367" s="15"/>
      <c r="T1367" s="15"/>
      <c r="U1367" s="15"/>
    </row>
    <row r="1368" spans="12:21">
      <c r="L1368" s="15"/>
      <c r="M1368" s="15"/>
      <c r="N1368" s="15"/>
      <c r="T1368" s="15"/>
      <c r="U1368" s="15"/>
    </row>
    <row r="1369" spans="12:21">
      <c r="L1369" s="15"/>
      <c r="M1369" s="15"/>
      <c r="N1369" s="15"/>
      <c r="T1369" s="15"/>
      <c r="U1369" s="15"/>
    </row>
    <row r="1370" spans="12:21">
      <c r="L1370" s="15"/>
      <c r="M1370" s="15"/>
      <c r="N1370" s="15"/>
      <c r="T1370" s="15"/>
      <c r="U1370" s="15"/>
    </row>
    <row r="1371" spans="12:21">
      <c r="L1371" s="15"/>
      <c r="M1371" s="15"/>
      <c r="N1371" s="15"/>
      <c r="T1371" s="15"/>
      <c r="U1371" s="15"/>
    </row>
    <row r="1372" spans="12:21">
      <c r="L1372" s="15"/>
      <c r="M1372" s="15"/>
      <c r="N1372" s="15"/>
      <c r="T1372" s="15"/>
      <c r="U1372" s="15"/>
    </row>
    <row r="1373" spans="12:21">
      <c r="L1373" s="15"/>
      <c r="M1373" s="15"/>
      <c r="N1373" s="15"/>
      <c r="T1373" s="15"/>
      <c r="U1373" s="15"/>
    </row>
    <row r="1374" spans="12:21">
      <c r="L1374" s="15"/>
      <c r="M1374" s="15"/>
      <c r="N1374" s="15"/>
      <c r="T1374" s="15"/>
      <c r="U1374" s="15"/>
    </row>
    <row r="1375" spans="12:21">
      <c r="L1375" s="15"/>
      <c r="M1375" s="15"/>
      <c r="N1375" s="15"/>
      <c r="T1375" s="15"/>
      <c r="U1375" s="15"/>
    </row>
    <row r="1376" spans="12:21">
      <c r="L1376" s="15"/>
      <c r="M1376" s="15"/>
      <c r="N1376" s="15"/>
      <c r="T1376" s="15"/>
      <c r="U1376" s="15"/>
    </row>
    <row r="1377" spans="12:21">
      <c r="L1377" s="15"/>
      <c r="M1377" s="15"/>
      <c r="N1377" s="15"/>
      <c r="T1377" s="15"/>
      <c r="U1377" s="15"/>
    </row>
    <row r="1378" spans="12:21">
      <c r="L1378" s="15"/>
      <c r="M1378" s="15"/>
      <c r="N1378" s="15"/>
      <c r="T1378" s="15"/>
      <c r="U1378" s="15"/>
    </row>
    <row r="1379" spans="12:21">
      <c r="L1379" s="15"/>
      <c r="M1379" s="15"/>
      <c r="N1379" s="15"/>
      <c r="T1379" s="15"/>
      <c r="U1379" s="15"/>
    </row>
    <row r="1380" spans="12:21">
      <c r="L1380" s="15"/>
      <c r="M1380" s="15"/>
      <c r="N1380" s="15"/>
      <c r="T1380" s="15"/>
      <c r="U1380" s="15"/>
    </row>
    <row r="1381" spans="12:21">
      <c r="L1381" s="15"/>
      <c r="M1381" s="15"/>
      <c r="N1381" s="15"/>
      <c r="T1381" s="15"/>
      <c r="U1381" s="15"/>
    </row>
    <row r="1382" spans="12:21">
      <c r="L1382" s="15"/>
      <c r="M1382" s="15"/>
      <c r="N1382" s="15"/>
      <c r="T1382" s="15"/>
      <c r="U1382" s="15"/>
    </row>
    <row r="1383" spans="12:21">
      <c r="L1383" s="15"/>
      <c r="M1383" s="15"/>
      <c r="N1383" s="15"/>
      <c r="T1383" s="15"/>
      <c r="U1383" s="15"/>
    </row>
    <row r="1384" spans="12:21">
      <c r="L1384" s="15"/>
      <c r="M1384" s="15"/>
      <c r="N1384" s="15"/>
      <c r="T1384" s="15"/>
      <c r="U1384" s="15"/>
    </row>
    <row r="1385" spans="12:21">
      <c r="L1385" s="15"/>
      <c r="M1385" s="15"/>
      <c r="N1385" s="15"/>
      <c r="T1385" s="15"/>
      <c r="U1385" s="15"/>
    </row>
    <row r="1386" spans="12:21">
      <c r="L1386" s="15"/>
      <c r="M1386" s="15"/>
      <c r="N1386" s="15"/>
      <c r="T1386" s="15"/>
      <c r="U1386" s="15"/>
    </row>
    <row r="1387" spans="12:21">
      <c r="L1387" s="15"/>
      <c r="M1387" s="15"/>
      <c r="N1387" s="15"/>
      <c r="T1387" s="15"/>
      <c r="U1387" s="15"/>
    </row>
    <row r="1388" spans="12:21">
      <c r="L1388" s="15"/>
      <c r="M1388" s="15"/>
      <c r="N1388" s="15"/>
      <c r="T1388" s="15"/>
      <c r="U1388" s="15"/>
    </row>
    <row r="1389" spans="12:21">
      <c r="L1389" s="15"/>
      <c r="M1389" s="15"/>
      <c r="N1389" s="15"/>
      <c r="T1389" s="15"/>
      <c r="U1389" s="15"/>
    </row>
    <row r="1390" spans="12:21">
      <c r="L1390" s="15"/>
      <c r="M1390" s="15"/>
      <c r="N1390" s="15"/>
      <c r="T1390" s="15"/>
      <c r="U1390" s="15"/>
    </row>
    <row r="1391" spans="12:21">
      <c r="L1391" s="15"/>
      <c r="M1391" s="15"/>
      <c r="N1391" s="15"/>
      <c r="T1391" s="15"/>
      <c r="U1391" s="15"/>
    </row>
    <row r="1392" spans="12:21">
      <c r="L1392" s="15"/>
      <c r="M1392" s="15"/>
      <c r="N1392" s="15"/>
      <c r="T1392" s="15"/>
      <c r="U1392" s="15"/>
    </row>
    <row r="1393" spans="12:21">
      <c r="L1393" s="15"/>
      <c r="M1393" s="15"/>
      <c r="N1393" s="15"/>
      <c r="T1393" s="15"/>
      <c r="U1393" s="15"/>
    </row>
    <row r="1394" spans="12:21">
      <c r="L1394" s="15"/>
      <c r="M1394" s="15"/>
      <c r="N1394" s="15"/>
      <c r="T1394" s="15"/>
      <c r="U1394" s="15"/>
    </row>
    <row r="1395" spans="12:21">
      <c r="L1395" s="15"/>
      <c r="M1395" s="15"/>
      <c r="N1395" s="15"/>
      <c r="T1395" s="15"/>
      <c r="U1395" s="15"/>
    </row>
    <row r="1396" spans="12:21">
      <c r="L1396" s="15"/>
      <c r="M1396" s="15"/>
      <c r="N1396" s="15"/>
      <c r="T1396" s="15"/>
      <c r="U1396" s="15"/>
    </row>
    <row r="1397" spans="12:21">
      <c r="L1397" s="15"/>
      <c r="M1397" s="15"/>
      <c r="N1397" s="15"/>
      <c r="T1397" s="15"/>
      <c r="U1397" s="15"/>
    </row>
    <row r="1398" spans="12:21">
      <c r="L1398" s="15"/>
      <c r="M1398" s="15"/>
      <c r="N1398" s="15"/>
      <c r="T1398" s="15"/>
      <c r="U1398" s="15"/>
    </row>
    <row r="1399" spans="12:21">
      <c r="L1399" s="15"/>
      <c r="M1399" s="15"/>
      <c r="N1399" s="15"/>
      <c r="T1399" s="15"/>
      <c r="U1399" s="15"/>
    </row>
    <row r="1400" spans="12:21">
      <c r="L1400" s="15"/>
      <c r="M1400" s="15"/>
      <c r="N1400" s="15"/>
      <c r="T1400" s="15"/>
      <c r="U1400" s="15"/>
    </row>
    <row r="1401" spans="12:21">
      <c r="L1401" s="15"/>
      <c r="M1401" s="15"/>
      <c r="N1401" s="15"/>
      <c r="T1401" s="15"/>
      <c r="U1401" s="15"/>
    </row>
    <row r="1402" spans="12:21">
      <c r="L1402" s="15"/>
      <c r="M1402" s="15"/>
      <c r="N1402" s="15"/>
      <c r="T1402" s="15"/>
      <c r="U1402" s="15"/>
    </row>
    <row r="1403" spans="12:21">
      <c r="L1403" s="15"/>
      <c r="M1403" s="15"/>
      <c r="N1403" s="15"/>
      <c r="T1403" s="15"/>
      <c r="U1403" s="15"/>
    </row>
    <row r="1404" spans="12:21">
      <c r="L1404" s="15"/>
      <c r="M1404" s="15"/>
      <c r="N1404" s="15"/>
      <c r="T1404" s="15"/>
      <c r="U1404" s="15"/>
    </row>
    <row r="1405" spans="12:21">
      <c r="L1405" s="15"/>
      <c r="M1405" s="15"/>
      <c r="N1405" s="15"/>
      <c r="T1405" s="15"/>
      <c r="U1405" s="15"/>
    </row>
    <row r="1406" spans="12:21">
      <c r="L1406" s="15"/>
      <c r="M1406" s="15"/>
      <c r="N1406" s="15"/>
      <c r="T1406" s="15"/>
      <c r="U1406" s="15"/>
    </row>
    <row r="1407" spans="12:21">
      <c r="L1407" s="15"/>
      <c r="M1407" s="15"/>
      <c r="N1407" s="15"/>
      <c r="T1407" s="15"/>
      <c r="U1407" s="15"/>
    </row>
    <row r="1408" spans="12:21">
      <c r="L1408" s="15"/>
      <c r="M1408" s="15"/>
      <c r="N1408" s="15"/>
      <c r="T1408" s="15"/>
      <c r="U1408" s="15"/>
    </row>
    <row r="1409" spans="12:21">
      <c r="L1409" s="15"/>
      <c r="M1409" s="15"/>
      <c r="N1409" s="15"/>
      <c r="T1409" s="15"/>
      <c r="U1409" s="15"/>
    </row>
    <row r="1410" spans="12:21">
      <c r="L1410" s="15"/>
      <c r="M1410" s="15"/>
      <c r="N1410" s="15"/>
      <c r="T1410" s="15"/>
      <c r="U1410" s="15"/>
    </row>
    <row r="1411" spans="12:21">
      <c r="L1411" s="15"/>
      <c r="M1411" s="15"/>
      <c r="N1411" s="15"/>
      <c r="T1411" s="15"/>
      <c r="U1411" s="15"/>
    </row>
    <row r="1412" spans="12:21">
      <c r="L1412" s="15"/>
      <c r="M1412" s="15"/>
      <c r="N1412" s="15"/>
      <c r="T1412" s="15"/>
      <c r="U1412" s="15"/>
    </row>
    <row r="1413" spans="12:21">
      <c r="L1413" s="15"/>
      <c r="M1413" s="15"/>
      <c r="N1413" s="15"/>
      <c r="T1413" s="15"/>
      <c r="U1413" s="15"/>
    </row>
    <row r="1414" spans="12:21">
      <c r="L1414" s="15"/>
      <c r="M1414" s="15"/>
      <c r="N1414" s="15"/>
      <c r="T1414" s="15"/>
      <c r="U1414" s="15"/>
    </row>
    <row r="1415" spans="12:21">
      <c r="L1415" s="15"/>
      <c r="M1415" s="15"/>
      <c r="N1415" s="15"/>
      <c r="T1415" s="15"/>
      <c r="U1415" s="15"/>
    </row>
    <row r="1416" spans="12:21">
      <c r="L1416" s="15"/>
      <c r="M1416" s="15"/>
      <c r="N1416" s="15"/>
      <c r="T1416" s="15"/>
      <c r="U1416" s="15"/>
    </row>
    <row r="1417" spans="12:21">
      <c r="L1417" s="15"/>
      <c r="M1417" s="15"/>
      <c r="N1417" s="15"/>
      <c r="T1417" s="15"/>
      <c r="U1417" s="15"/>
    </row>
    <row r="1418" spans="12:21">
      <c r="L1418" s="15"/>
      <c r="M1418" s="15"/>
      <c r="N1418" s="15"/>
      <c r="T1418" s="15"/>
      <c r="U1418" s="15"/>
    </row>
    <row r="1419" spans="12:21">
      <c r="L1419" s="15"/>
      <c r="M1419" s="15"/>
      <c r="N1419" s="15"/>
      <c r="T1419" s="15"/>
      <c r="U1419" s="15"/>
    </row>
    <row r="1420" spans="12:21">
      <c r="L1420" s="15"/>
      <c r="M1420" s="15"/>
      <c r="N1420" s="15"/>
      <c r="T1420" s="15"/>
      <c r="U1420" s="15"/>
    </row>
    <row r="1421" spans="12:21">
      <c r="L1421" s="15"/>
      <c r="M1421" s="15"/>
      <c r="N1421" s="15"/>
      <c r="T1421" s="15"/>
      <c r="U1421" s="15"/>
    </row>
    <row r="1422" spans="12:21">
      <c r="L1422" s="15"/>
      <c r="M1422" s="15"/>
      <c r="N1422" s="15"/>
      <c r="T1422" s="15"/>
      <c r="U1422" s="15"/>
    </row>
    <row r="1423" spans="12:21">
      <c r="L1423" s="15"/>
      <c r="M1423" s="15"/>
      <c r="N1423" s="15"/>
      <c r="T1423" s="15"/>
      <c r="U1423" s="15"/>
    </row>
    <row r="1424" spans="12:21">
      <c r="L1424" s="15"/>
      <c r="M1424" s="15"/>
      <c r="N1424" s="15"/>
      <c r="T1424" s="15"/>
      <c r="U1424" s="15"/>
    </row>
    <row r="1425" spans="12:21">
      <c r="L1425" s="15"/>
      <c r="M1425" s="15"/>
      <c r="N1425" s="15"/>
      <c r="T1425" s="15"/>
      <c r="U1425" s="15"/>
    </row>
    <row r="1426" spans="12:21">
      <c r="L1426" s="15"/>
      <c r="M1426" s="15"/>
      <c r="N1426" s="15"/>
      <c r="T1426" s="15"/>
      <c r="U1426" s="15"/>
    </row>
    <row r="1427" spans="12:21">
      <c r="L1427" s="15"/>
      <c r="M1427" s="15"/>
      <c r="N1427" s="15"/>
      <c r="T1427" s="15"/>
      <c r="U1427" s="15"/>
    </row>
    <row r="1428" spans="12:21">
      <c r="L1428" s="15"/>
      <c r="M1428" s="15"/>
      <c r="N1428" s="15"/>
      <c r="T1428" s="15"/>
      <c r="U1428" s="15"/>
    </row>
    <row r="1429" spans="12:21">
      <c r="L1429" s="15"/>
      <c r="M1429" s="15"/>
      <c r="N1429" s="15"/>
      <c r="T1429" s="15"/>
      <c r="U1429" s="15"/>
    </row>
    <row r="1430" spans="12:21">
      <c r="L1430" s="15"/>
      <c r="M1430" s="15"/>
      <c r="N1430" s="15"/>
      <c r="T1430" s="15"/>
      <c r="U1430" s="15"/>
    </row>
    <row r="1431" spans="12:21">
      <c r="L1431" s="15"/>
      <c r="M1431" s="15"/>
      <c r="N1431" s="15"/>
      <c r="T1431" s="15"/>
      <c r="U1431" s="15"/>
    </row>
    <row r="1432" spans="12:21">
      <c r="L1432" s="15"/>
      <c r="M1432" s="15"/>
      <c r="N1432" s="15"/>
      <c r="T1432" s="15"/>
      <c r="U1432" s="15"/>
    </row>
    <row r="1433" spans="12:21">
      <c r="L1433" s="15"/>
      <c r="M1433" s="15"/>
      <c r="N1433" s="15"/>
      <c r="T1433" s="15"/>
      <c r="U1433" s="15"/>
    </row>
    <row r="1434" spans="12:21">
      <c r="L1434" s="15"/>
      <c r="M1434" s="15"/>
      <c r="N1434" s="15"/>
      <c r="T1434" s="15"/>
      <c r="U1434" s="15"/>
    </row>
    <row r="1435" spans="12:21">
      <c r="L1435" s="15"/>
      <c r="M1435" s="15"/>
      <c r="N1435" s="15"/>
      <c r="T1435" s="15"/>
      <c r="U1435" s="15"/>
    </row>
    <row r="1436" spans="12:21">
      <c r="L1436" s="15"/>
      <c r="M1436" s="15"/>
      <c r="N1436" s="15"/>
      <c r="T1436" s="15"/>
      <c r="U1436" s="15"/>
    </row>
    <row r="1437" spans="12:21">
      <c r="L1437" s="15"/>
      <c r="M1437" s="15"/>
      <c r="N1437" s="15"/>
      <c r="T1437" s="15"/>
      <c r="U1437" s="15"/>
    </row>
    <row r="1438" spans="12:21">
      <c r="L1438" s="15"/>
      <c r="M1438" s="15"/>
      <c r="N1438" s="15"/>
      <c r="T1438" s="15"/>
      <c r="U1438" s="15"/>
    </row>
    <row r="1439" spans="12:21">
      <c r="L1439" s="15"/>
      <c r="M1439" s="15"/>
      <c r="N1439" s="15"/>
      <c r="T1439" s="15"/>
      <c r="U1439" s="15"/>
    </row>
    <row r="1440" spans="12:21">
      <c r="L1440" s="15"/>
      <c r="M1440" s="15"/>
      <c r="N1440" s="15"/>
      <c r="T1440" s="15"/>
      <c r="U1440" s="15"/>
    </row>
    <row r="1441" spans="12:21">
      <c r="L1441" s="15"/>
      <c r="M1441" s="15"/>
      <c r="N1441" s="15"/>
      <c r="T1441" s="15"/>
      <c r="U1441" s="15"/>
    </row>
    <row r="1442" spans="12:21">
      <c r="L1442" s="15"/>
      <c r="M1442" s="15"/>
      <c r="N1442" s="15"/>
      <c r="T1442" s="15"/>
      <c r="U1442" s="15"/>
    </row>
    <row r="1443" spans="12:21">
      <c r="L1443" s="15"/>
      <c r="M1443" s="15"/>
      <c r="N1443" s="15"/>
      <c r="T1443" s="15"/>
      <c r="U1443" s="15"/>
    </row>
    <row r="1444" spans="12:21">
      <c r="L1444" s="15"/>
      <c r="M1444" s="15"/>
      <c r="N1444" s="15"/>
      <c r="T1444" s="15"/>
      <c r="U1444" s="15"/>
    </row>
    <row r="1445" spans="12:21">
      <c r="L1445" s="15"/>
      <c r="M1445" s="15"/>
      <c r="N1445" s="15"/>
      <c r="T1445" s="15"/>
      <c r="U1445" s="15"/>
    </row>
    <row r="1446" spans="12:21">
      <c r="L1446" s="15"/>
      <c r="M1446" s="15"/>
      <c r="N1446" s="15"/>
      <c r="T1446" s="15"/>
      <c r="U1446" s="15"/>
    </row>
    <row r="1447" spans="12:21">
      <c r="L1447" s="15"/>
      <c r="M1447" s="15"/>
      <c r="N1447" s="15"/>
      <c r="T1447" s="15"/>
      <c r="U1447" s="15"/>
    </row>
    <row r="1448" spans="12:21">
      <c r="L1448" s="15"/>
      <c r="M1448" s="15"/>
      <c r="N1448" s="15"/>
      <c r="T1448" s="15"/>
      <c r="U1448" s="15"/>
    </row>
    <row r="1449" spans="12:21">
      <c r="L1449" s="15"/>
      <c r="M1449" s="15"/>
      <c r="N1449" s="15"/>
      <c r="T1449" s="15"/>
      <c r="U1449" s="15"/>
    </row>
    <row r="1450" spans="12:21">
      <c r="L1450" s="15"/>
      <c r="M1450" s="15"/>
      <c r="N1450" s="15"/>
      <c r="T1450" s="15"/>
      <c r="U1450" s="15"/>
    </row>
    <row r="1451" spans="12:21">
      <c r="L1451" s="15"/>
      <c r="M1451" s="15"/>
      <c r="N1451" s="15"/>
      <c r="T1451" s="15"/>
      <c r="U1451" s="15"/>
    </row>
    <row r="1452" spans="12:21">
      <c r="L1452" s="15"/>
      <c r="M1452" s="15"/>
      <c r="N1452" s="15"/>
      <c r="T1452" s="15"/>
      <c r="U1452" s="15"/>
    </row>
    <row r="1453" spans="12:21">
      <c r="L1453" s="15"/>
      <c r="M1453" s="15"/>
      <c r="N1453" s="15"/>
      <c r="T1453" s="15"/>
      <c r="U1453" s="15"/>
    </row>
    <row r="1454" spans="12:21">
      <c r="L1454" s="15"/>
      <c r="M1454" s="15"/>
      <c r="N1454" s="15"/>
      <c r="T1454" s="15"/>
      <c r="U1454" s="15"/>
    </row>
    <row r="1455" spans="12:21">
      <c r="L1455" s="15"/>
      <c r="M1455" s="15"/>
      <c r="N1455" s="15"/>
      <c r="T1455" s="15"/>
      <c r="U1455" s="15"/>
    </row>
    <row r="1456" spans="12:21">
      <c r="L1456" s="15"/>
      <c r="M1456" s="15"/>
      <c r="N1456" s="15"/>
      <c r="T1456" s="15"/>
      <c r="U1456" s="15"/>
    </row>
    <row r="1457" spans="12:21">
      <c r="L1457" s="15"/>
      <c r="M1457" s="15"/>
      <c r="N1457" s="15"/>
      <c r="T1457" s="15"/>
      <c r="U1457" s="15"/>
    </row>
    <row r="1458" spans="12:21">
      <c r="L1458" s="15"/>
      <c r="M1458" s="15"/>
      <c r="N1458" s="15"/>
      <c r="T1458" s="15"/>
      <c r="U1458" s="15"/>
    </row>
    <row r="1459" spans="12:21">
      <c r="L1459" s="15"/>
      <c r="M1459" s="15"/>
      <c r="N1459" s="15"/>
      <c r="T1459" s="15"/>
      <c r="U1459" s="15"/>
    </row>
    <row r="1460" spans="12:21">
      <c r="L1460" s="15"/>
      <c r="M1460" s="15"/>
      <c r="N1460" s="15"/>
      <c r="T1460" s="15"/>
      <c r="U1460" s="15"/>
    </row>
    <row r="1461" spans="12:21">
      <c r="L1461" s="15"/>
      <c r="M1461" s="15"/>
      <c r="N1461" s="15"/>
      <c r="T1461" s="15"/>
      <c r="U1461" s="15"/>
    </row>
    <row r="1462" spans="12:21">
      <c r="L1462" s="15"/>
      <c r="M1462" s="15"/>
      <c r="N1462" s="15"/>
      <c r="T1462" s="15"/>
      <c r="U1462" s="15"/>
    </row>
    <row r="1463" spans="12:21">
      <c r="L1463" s="15"/>
      <c r="M1463" s="15"/>
      <c r="N1463" s="15"/>
      <c r="T1463" s="15"/>
      <c r="U1463" s="15"/>
    </row>
    <row r="1464" spans="12:21">
      <c r="L1464" s="15"/>
      <c r="M1464" s="15"/>
      <c r="N1464" s="15"/>
      <c r="T1464" s="15"/>
      <c r="U1464" s="15"/>
    </row>
    <row r="1465" spans="12:21">
      <c r="L1465" s="15"/>
      <c r="M1465" s="15"/>
      <c r="N1465" s="15"/>
      <c r="T1465" s="15"/>
      <c r="U1465" s="15"/>
    </row>
    <row r="1466" spans="12:21">
      <c r="L1466" s="15"/>
      <c r="M1466" s="15"/>
      <c r="N1466" s="15"/>
      <c r="T1466" s="15"/>
      <c r="U1466" s="15"/>
    </row>
    <row r="1467" spans="12:21">
      <c r="L1467" s="15"/>
      <c r="M1467" s="15"/>
      <c r="N1467" s="15"/>
      <c r="T1467" s="15"/>
      <c r="U1467" s="15"/>
    </row>
    <row r="1468" spans="12:21">
      <c r="L1468" s="15"/>
      <c r="M1468" s="15"/>
      <c r="N1468" s="15"/>
      <c r="T1468" s="15"/>
      <c r="U1468" s="15"/>
    </row>
    <row r="1469" spans="12:21">
      <c r="L1469" s="15"/>
      <c r="M1469" s="15"/>
      <c r="N1469" s="15"/>
      <c r="T1469" s="15"/>
      <c r="U1469" s="15"/>
    </row>
    <row r="1470" spans="12:21">
      <c r="L1470" s="15"/>
      <c r="M1470" s="15"/>
      <c r="N1470" s="15"/>
      <c r="T1470" s="15"/>
      <c r="U1470" s="15"/>
    </row>
    <row r="1471" spans="12:21">
      <c r="L1471" s="15"/>
      <c r="M1471" s="15"/>
      <c r="N1471" s="15"/>
      <c r="T1471" s="15"/>
      <c r="U1471" s="15"/>
    </row>
    <row r="1472" spans="12:21">
      <c r="L1472" s="15"/>
      <c r="M1472" s="15"/>
      <c r="N1472" s="15"/>
      <c r="T1472" s="15"/>
      <c r="U1472" s="15"/>
    </row>
    <row r="1473" spans="12:21">
      <c r="L1473" s="15"/>
      <c r="M1473" s="15"/>
      <c r="N1473" s="15"/>
      <c r="T1473" s="15"/>
      <c r="U1473" s="15"/>
    </row>
    <row r="1474" spans="12:21">
      <c r="L1474" s="15"/>
      <c r="M1474" s="15"/>
      <c r="N1474" s="15"/>
      <c r="T1474" s="15"/>
      <c r="U1474" s="15"/>
    </row>
    <row r="1475" spans="12:21">
      <c r="L1475" s="15"/>
      <c r="M1475" s="15"/>
      <c r="N1475" s="15"/>
      <c r="T1475" s="15"/>
      <c r="U1475" s="15"/>
    </row>
    <row r="1476" spans="12:21">
      <c r="L1476" s="15"/>
      <c r="M1476" s="15"/>
      <c r="N1476" s="15"/>
      <c r="T1476" s="15"/>
      <c r="U1476" s="15"/>
    </row>
    <row r="1477" spans="12:21">
      <c r="L1477" s="15"/>
      <c r="M1477" s="15"/>
      <c r="N1477" s="15"/>
      <c r="T1477" s="15"/>
      <c r="U1477" s="15"/>
    </row>
    <row r="1478" spans="12:21">
      <c r="L1478" s="15"/>
      <c r="M1478" s="15"/>
      <c r="N1478" s="15"/>
      <c r="T1478" s="15"/>
      <c r="U1478" s="15"/>
    </row>
    <row r="1479" spans="12:21">
      <c r="L1479" s="15"/>
      <c r="M1479" s="15"/>
      <c r="N1479" s="15"/>
      <c r="T1479" s="15"/>
      <c r="U1479" s="15"/>
    </row>
    <row r="1480" spans="12:21">
      <c r="L1480" s="15"/>
      <c r="M1480" s="15"/>
      <c r="N1480" s="15"/>
      <c r="T1480" s="15"/>
      <c r="U1480" s="15"/>
    </row>
    <row r="1481" spans="12:21">
      <c r="L1481" s="15"/>
      <c r="M1481" s="15"/>
      <c r="N1481" s="15"/>
      <c r="T1481" s="15"/>
      <c r="U1481" s="15"/>
    </row>
    <row r="1482" spans="12:21">
      <c r="L1482" s="15"/>
      <c r="M1482" s="15"/>
      <c r="N1482" s="15"/>
      <c r="T1482" s="15"/>
      <c r="U1482" s="15"/>
    </row>
    <row r="1483" spans="12:21">
      <c r="L1483" s="15"/>
      <c r="M1483" s="15"/>
      <c r="N1483" s="15"/>
      <c r="T1483" s="15"/>
      <c r="U1483" s="15"/>
    </row>
    <row r="1484" spans="12:21">
      <c r="L1484" s="15"/>
      <c r="M1484" s="15"/>
      <c r="N1484" s="15"/>
      <c r="T1484" s="15"/>
      <c r="U1484" s="15"/>
    </row>
    <row r="1485" spans="12:21">
      <c r="L1485" s="15"/>
      <c r="M1485" s="15"/>
      <c r="N1485" s="15"/>
      <c r="T1485" s="15"/>
      <c r="U1485" s="15"/>
    </row>
    <row r="1486" spans="12:21">
      <c r="L1486" s="15"/>
      <c r="M1486" s="15"/>
      <c r="N1486" s="15"/>
      <c r="T1486" s="15"/>
      <c r="U1486" s="15"/>
    </row>
    <row r="1487" spans="12:21">
      <c r="L1487" s="15"/>
      <c r="M1487" s="15"/>
      <c r="N1487" s="15"/>
      <c r="T1487" s="15"/>
      <c r="U1487" s="15"/>
    </row>
    <row r="1488" spans="12:21">
      <c r="L1488" s="15"/>
      <c r="M1488" s="15"/>
      <c r="N1488" s="15"/>
      <c r="T1488" s="15"/>
      <c r="U1488" s="15"/>
    </row>
    <row r="1489" spans="12:21">
      <c r="L1489" s="15"/>
      <c r="M1489" s="15"/>
      <c r="N1489" s="15"/>
      <c r="T1489" s="15"/>
      <c r="U1489" s="15"/>
    </row>
    <row r="1490" spans="12:21">
      <c r="L1490" s="15"/>
      <c r="M1490" s="15"/>
      <c r="N1490" s="15"/>
      <c r="T1490" s="15"/>
      <c r="U1490" s="15"/>
    </row>
    <row r="1491" spans="12:21">
      <c r="L1491" s="15"/>
      <c r="M1491" s="15"/>
      <c r="N1491" s="15"/>
      <c r="T1491" s="15"/>
      <c r="U1491" s="15"/>
    </row>
    <row r="1492" spans="12:21">
      <c r="L1492" s="15"/>
      <c r="M1492" s="15"/>
      <c r="N1492" s="15"/>
      <c r="T1492" s="15"/>
      <c r="U1492" s="15"/>
    </row>
    <row r="1493" spans="12:21">
      <c r="L1493" s="15"/>
      <c r="M1493" s="15"/>
      <c r="N1493" s="15"/>
      <c r="T1493" s="15"/>
      <c r="U1493" s="15"/>
    </row>
    <row r="1494" spans="12:21">
      <c r="L1494" s="15"/>
      <c r="M1494" s="15"/>
      <c r="N1494" s="15"/>
      <c r="T1494" s="15"/>
      <c r="U1494" s="15"/>
    </row>
    <row r="1495" spans="12:21">
      <c r="L1495" s="15"/>
      <c r="M1495" s="15"/>
      <c r="N1495" s="15"/>
      <c r="T1495" s="15"/>
      <c r="U1495" s="15"/>
    </row>
    <row r="1496" spans="12:21">
      <c r="L1496" s="15"/>
      <c r="M1496" s="15"/>
      <c r="N1496" s="15"/>
      <c r="T1496" s="15"/>
      <c r="U1496" s="15"/>
    </row>
    <row r="1497" spans="12:21">
      <c r="L1497" s="15"/>
      <c r="M1497" s="15"/>
      <c r="N1497" s="15"/>
      <c r="T1497" s="15"/>
      <c r="U1497" s="15"/>
    </row>
    <row r="1498" spans="12:21">
      <c r="L1498" s="15"/>
      <c r="M1498" s="15"/>
      <c r="N1498" s="15"/>
      <c r="T1498" s="15"/>
      <c r="U1498" s="15"/>
    </row>
    <row r="1499" spans="12:21">
      <c r="L1499" s="15"/>
      <c r="M1499" s="15"/>
      <c r="N1499" s="15"/>
      <c r="T1499" s="15"/>
      <c r="U1499" s="15"/>
    </row>
    <row r="1500" spans="12:21">
      <c r="L1500" s="15"/>
      <c r="M1500" s="15"/>
      <c r="N1500" s="15"/>
      <c r="T1500" s="15"/>
      <c r="U1500" s="15"/>
    </row>
    <row r="1501" spans="12:21">
      <c r="L1501" s="15"/>
      <c r="M1501" s="15"/>
      <c r="N1501" s="15"/>
      <c r="T1501" s="15"/>
      <c r="U1501" s="15"/>
    </row>
    <row r="1502" spans="12:21">
      <c r="L1502" s="15"/>
      <c r="M1502" s="15"/>
      <c r="N1502" s="15"/>
      <c r="T1502" s="15"/>
      <c r="U1502" s="15"/>
    </row>
    <row r="1503" spans="12:21">
      <c r="L1503" s="15"/>
      <c r="M1503" s="15"/>
      <c r="N1503" s="15"/>
      <c r="T1503" s="15"/>
      <c r="U1503" s="15"/>
    </row>
    <row r="1504" spans="12:21">
      <c r="L1504" s="15"/>
      <c r="M1504" s="15"/>
      <c r="N1504" s="15"/>
      <c r="T1504" s="15"/>
      <c r="U1504" s="15"/>
    </row>
    <row r="1505" spans="12:21">
      <c r="L1505" s="15"/>
      <c r="M1505" s="15"/>
      <c r="N1505" s="15"/>
      <c r="T1505" s="15"/>
      <c r="U1505" s="15"/>
    </row>
    <row r="1506" spans="12:21">
      <c r="L1506" s="15"/>
      <c r="M1506" s="15"/>
      <c r="N1506" s="15"/>
      <c r="T1506" s="15"/>
      <c r="U1506" s="15"/>
    </row>
    <row r="1507" spans="12:21">
      <c r="L1507" s="15"/>
      <c r="M1507" s="15"/>
      <c r="N1507" s="15"/>
      <c r="T1507" s="15"/>
      <c r="U1507" s="15"/>
    </row>
    <row r="1508" spans="12:21">
      <c r="L1508" s="15"/>
      <c r="M1508" s="15"/>
      <c r="N1508" s="15"/>
      <c r="T1508" s="15"/>
      <c r="U1508" s="15"/>
    </row>
    <row r="1509" spans="12:21">
      <c r="L1509" s="15"/>
      <c r="M1509" s="15"/>
      <c r="N1509" s="15"/>
      <c r="T1509" s="15"/>
      <c r="U1509" s="15"/>
    </row>
    <row r="1510" spans="12:21">
      <c r="L1510" s="15"/>
      <c r="M1510" s="15"/>
      <c r="N1510" s="15"/>
      <c r="T1510" s="15"/>
      <c r="U1510" s="15"/>
    </row>
    <row r="1511" spans="12:21">
      <c r="L1511" s="15"/>
      <c r="M1511" s="15"/>
      <c r="N1511" s="15"/>
      <c r="T1511" s="15"/>
      <c r="U1511" s="15"/>
    </row>
    <row r="1512" spans="12:21">
      <c r="L1512" s="15"/>
      <c r="M1512" s="15"/>
      <c r="N1512" s="15"/>
      <c r="T1512" s="15"/>
      <c r="U1512" s="15"/>
    </row>
    <row r="1513" spans="12:21">
      <c r="L1513" s="15"/>
      <c r="M1513" s="15"/>
      <c r="N1513" s="15"/>
      <c r="T1513" s="15"/>
      <c r="U1513" s="15"/>
    </row>
    <row r="1514" spans="12:21">
      <c r="L1514" s="15"/>
      <c r="M1514" s="15"/>
      <c r="N1514" s="15"/>
      <c r="T1514" s="15"/>
      <c r="U1514" s="15"/>
    </row>
    <row r="1515" spans="12:21">
      <c r="L1515" s="15"/>
      <c r="M1515" s="15"/>
      <c r="N1515" s="15"/>
      <c r="T1515" s="15"/>
      <c r="U1515" s="15"/>
    </row>
    <row r="1516" spans="12:21">
      <c r="L1516" s="15"/>
      <c r="M1516" s="15"/>
      <c r="N1516" s="15"/>
      <c r="T1516" s="15"/>
      <c r="U1516" s="15"/>
    </row>
    <row r="1517" spans="12:21">
      <c r="L1517" s="15"/>
      <c r="M1517" s="15"/>
      <c r="N1517" s="15"/>
      <c r="T1517" s="15"/>
      <c r="U1517" s="15"/>
    </row>
    <row r="1518" spans="12:21">
      <c r="L1518" s="15"/>
      <c r="M1518" s="15"/>
      <c r="N1518" s="15"/>
      <c r="T1518" s="15"/>
      <c r="U1518" s="15"/>
    </row>
    <row r="1519" spans="12:21">
      <c r="L1519" s="15"/>
      <c r="M1519" s="15"/>
      <c r="N1519" s="15"/>
      <c r="T1519" s="15"/>
      <c r="U1519" s="15"/>
    </row>
    <row r="1520" spans="12:21">
      <c r="L1520" s="15"/>
      <c r="M1520" s="15"/>
      <c r="N1520" s="15"/>
      <c r="T1520" s="15"/>
      <c r="U1520" s="15"/>
    </row>
    <row r="1521" spans="12:21">
      <c r="L1521" s="15"/>
      <c r="M1521" s="15"/>
      <c r="N1521" s="15"/>
      <c r="T1521" s="15"/>
      <c r="U1521" s="15"/>
    </row>
    <row r="1522" spans="12:21">
      <c r="L1522" s="15"/>
      <c r="M1522" s="15"/>
      <c r="N1522" s="15"/>
      <c r="T1522" s="15"/>
      <c r="U1522" s="15"/>
    </row>
    <row r="1523" spans="12:21">
      <c r="L1523" s="15"/>
      <c r="M1523" s="15"/>
      <c r="N1523" s="15"/>
      <c r="T1523" s="15"/>
      <c r="U1523" s="15"/>
    </row>
    <row r="1524" spans="12:21">
      <c r="L1524" s="15"/>
      <c r="M1524" s="15"/>
      <c r="N1524" s="15"/>
      <c r="T1524" s="15"/>
      <c r="U1524" s="15"/>
    </row>
    <row r="1525" spans="12:21">
      <c r="L1525" s="15"/>
      <c r="M1525" s="15"/>
      <c r="N1525" s="15"/>
      <c r="T1525" s="15"/>
      <c r="U1525" s="15"/>
    </row>
    <row r="1526" spans="12:21">
      <c r="L1526" s="15"/>
      <c r="M1526" s="15"/>
      <c r="N1526" s="15"/>
      <c r="T1526" s="15"/>
      <c r="U1526" s="15"/>
    </row>
    <row r="1527" spans="12:21">
      <c r="L1527" s="15"/>
      <c r="M1527" s="15"/>
      <c r="N1527" s="15"/>
      <c r="T1527" s="15"/>
      <c r="U1527" s="15"/>
    </row>
    <row r="1528" spans="12:21">
      <c r="L1528" s="15"/>
      <c r="M1528" s="15"/>
      <c r="N1528" s="15"/>
      <c r="T1528" s="15"/>
      <c r="U1528" s="15"/>
    </row>
    <row r="1529" spans="12:21">
      <c r="L1529" s="15"/>
      <c r="M1529" s="15"/>
      <c r="N1529" s="15"/>
      <c r="T1529" s="15"/>
      <c r="U1529" s="15"/>
    </row>
    <row r="1530" spans="12:21">
      <c r="L1530" s="15"/>
      <c r="M1530" s="15"/>
      <c r="N1530" s="15"/>
      <c r="T1530" s="15"/>
      <c r="U1530" s="15"/>
    </row>
    <row r="1531" spans="12:21">
      <c r="L1531" s="15"/>
      <c r="M1531" s="15"/>
      <c r="N1531" s="15"/>
      <c r="T1531" s="15"/>
      <c r="U1531" s="15"/>
    </row>
    <row r="1532" spans="12:21">
      <c r="L1532" s="15"/>
      <c r="M1532" s="15"/>
      <c r="N1532" s="15"/>
      <c r="T1532" s="15"/>
      <c r="U1532" s="15"/>
    </row>
    <row r="1533" spans="12:21">
      <c r="L1533" s="15"/>
      <c r="M1533" s="15"/>
      <c r="N1533" s="15"/>
      <c r="T1533" s="15"/>
      <c r="U1533" s="15"/>
    </row>
    <row r="1534" spans="12:21">
      <c r="L1534" s="15"/>
      <c r="M1534" s="15"/>
      <c r="N1534" s="15"/>
      <c r="T1534" s="15"/>
      <c r="U1534" s="15"/>
    </row>
    <row r="1535" spans="12:21">
      <c r="L1535" s="15"/>
      <c r="M1535" s="15"/>
      <c r="N1535" s="15"/>
      <c r="T1535" s="15"/>
      <c r="U1535" s="15"/>
    </row>
    <row r="1536" spans="12:21">
      <c r="L1536" s="15"/>
      <c r="M1536" s="15"/>
      <c r="N1536" s="15"/>
      <c r="T1536" s="15"/>
      <c r="U1536" s="15"/>
    </row>
    <row r="1537" spans="12:21">
      <c r="L1537" s="15"/>
      <c r="M1537" s="15"/>
      <c r="N1537" s="15"/>
      <c r="T1537" s="15"/>
      <c r="U1537" s="15"/>
    </row>
    <row r="1538" spans="12:21">
      <c r="L1538" s="15"/>
      <c r="M1538" s="15"/>
      <c r="N1538" s="15"/>
      <c r="T1538" s="15"/>
      <c r="U1538" s="15"/>
    </row>
    <row r="1539" spans="12:21">
      <c r="L1539" s="15"/>
      <c r="M1539" s="15"/>
      <c r="N1539" s="15"/>
      <c r="T1539" s="15"/>
      <c r="U1539" s="15"/>
    </row>
    <row r="1540" spans="12:21">
      <c r="L1540" s="15"/>
      <c r="M1540" s="15"/>
      <c r="N1540" s="15"/>
      <c r="T1540" s="15"/>
      <c r="U1540" s="15"/>
    </row>
    <row r="1541" spans="12:21">
      <c r="L1541" s="15"/>
      <c r="M1541" s="15"/>
      <c r="N1541" s="15"/>
      <c r="T1541" s="15"/>
      <c r="U1541" s="15"/>
    </row>
    <row r="1542" spans="12:21">
      <c r="L1542" s="15"/>
      <c r="M1542" s="15"/>
      <c r="N1542" s="15"/>
      <c r="T1542" s="15"/>
      <c r="U1542" s="15"/>
    </row>
    <row r="1543" spans="12:21">
      <c r="L1543" s="15"/>
      <c r="M1543" s="15"/>
      <c r="N1543" s="15"/>
      <c r="T1543" s="15"/>
      <c r="U1543" s="15"/>
    </row>
    <row r="1544" spans="12:21">
      <c r="L1544" s="15"/>
      <c r="M1544" s="15"/>
      <c r="N1544" s="15"/>
      <c r="T1544" s="15"/>
      <c r="U1544" s="15"/>
    </row>
    <row r="1545" spans="12:21">
      <c r="L1545" s="15"/>
      <c r="M1545" s="15"/>
      <c r="N1545" s="15"/>
      <c r="T1545" s="15"/>
      <c r="U1545" s="15"/>
    </row>
    <row r="1546" spans="12:21">
      <c r="L1546" s="15"/>
      <c r="M1546" s="15"/>
      <c r="N1546" s="15"/>
      <c r="T1546" s="15"/>
      <c r="U1546" s="15"/>
    </row>
    <row r="1547" spans="12:21">
      <c r="L1547" s="15"/>
      <c r="M1547" s="15"/>
      <c r="N1547" s="15"/>
      <c r="T1547" s="15"/>
      <c r="U1547" s="15"/>
    </row>
    <row r="1548" spans="12:21">
      <c r="L1548" s="15"/>
      <c r="M1548" s="15"/>
      <c r="N1548" s="15"/>
      <c r="T1548" s="15"/>
      <c r="U1548" s="15"/>
    </row>
    <row r="1549" spans="12:21">
      <c r="L1549" s="15"/>
      <c r="M1549" s="15"/>
      <c r="N1549" s="15"/>
      <c r="T1549" s="15"/>
      <c r="U1549" s="15"/>
    </row>
    <row r="1550" spans="12:21">
      <c r="L1550" s="15"/>
      <c r="M1550" s="15"/>
      <c r="N1550" s="15"/>
      <c r="T1550" s="15"/>
      <c r="U1550" s="15"/>
    </row>
    <row r="1551" spans="12:21">
      <c r="L1551" s="15"/>
      <c r="M1551" s="15"/>
      <c r="N1551" s="15"/>
      <c r="T1551" s="15"/>
      <c r="U1551" s="15"/>
    </row>
    <row r="1552" spans="12:21">
      <c r="L1552" s="15"/>
      <c r="M1552" s="15"/>
      <c r="N1552" s="15"/>
      <c r="T1552" s="15"/>
      <c r="U1552" s="15"/>
    </row>
    <row r="1553" spans="12:21">
      <c r="L1553" s="15"/>
      <c r="M1553" s="15"/>
      <c r="N1553" s="15"/>
      <c r="T1553" s="15"/>
      <c r="U1553" s="15"/>
    </row>
    <row r="1554" spans="12:21">
      <c r="L1554" s="15"/>
      <c r="M1554" s="15"/>
      <c r="N1554" s="15"/>
      <c r="T1554" s="15"/>
      <c r="U1554" s="15"/>
    </row>
    <row r="1555" spans="12:21">
      <c r="L1555" s="15"/>
      <c r="M1555" s="15"/>
      <c r="N1555" s="15"/>
      <c r="T1555" s="15"/>
      <c r="U1555" s="15"/>
    </row>
    <row r="1556" spans="12:21">
      <c r="L1556" s="15"/>
      <c r="M1556" s="15"/>
      <c r="N1556" s="15"/>
      <c r="T1556" s="15"/>
      <c r="U1556" s="15"/>
    </row>
    <row r="1557" spans="12:21">
      <c r="L1557" s="15"/>
      <c r="M1557" s="15"/>
      <c r="N1557" s="15"/>
      <c r="T1557" s="15"/>
      <c r="U1557" s="15"/>
    </row>
    <row r="1558" spans="12:21">
      <c r="L1558" s="15"/>
      <c r="M1558" s="15"/>
      <c r="N1558" s="15"/>
      <c r="T1558" s="15"/>
      <c r="U1558" s="15"/>
    </row>
    <row r="1559" spans="12:21">
      <c r="L1559" s="15"/>
      <c r="M1559" s="15"/>
      <c r="N1559" s="15"/>
      <c r="T1559" s="15"/>
      <c r="U1559" s="15"/>
    </row>
    <row r="1560" spans="12:21">
      <c r="L1560" s="15"/>
      <c r="M1560" s="15"/>
      <c r="N1560" s="15"/>
      <c r="T1560" s="15"/>
      <c r="U1560" s="15"/>
    </row>
    <row r="1561" spans="12:21">
      <c r="L1561" s="15"/>
      <c r="M1561" s="15"/>
      <c r="N1561" s="15"/>
      <c r="T1561" s="15"/>
      <c r="U1561" s="15"/>
    </row>
    <row r="1562" spans="12:21">
      <c r="L1562" s="15"/>
      <c r="M1562" s="15"/>
      <c r="N1562" s="15"/>
      <c r="T1562" s="15"/>
      <c r="U1562" s="15"/>
    </row>
    <row r="1563" spans="12:21">
      <c r="L1563" s="15"/>
      <c r="M1563" s="15"/>
      <c r="N1563" s="15"/>
      <c r="T1563" s="15"/>
      <c r="U1563" s="15"/>
    </row>
    <row r="1564" spans="12:21">
      <c r="L1564" s="15"/>
      <c r="M1564" s="15"/>
      <c r="N1564" s="15"/>
      <c r="T1564" s="15"/>
      <c r="U1564" s="15"/>
    </row>
    <row r="1565" spans="12:21">
      <c r="L1565" s="15"/>
      <c r="M1565" s="15"/>
      <c r="N1565" s="15"/>
      <c r="T1565" s="15"/>
      <c r="U1565" s="15"/>
    </row>
    <row r="1566" spans="12:21">
      <c r="L1566" s="15"/>
      <c r="M1566" s="15"/>
      <c r="N1566" s="15"/>
      <c r="T1566" s="15"/>
      <c r="U1566" s="15"/>
    </row>
    <row r="1567" spans="12:21">
      <c r="L1567" s="15"/>
      <c r="M1567" s="15"/>
      <c r="N1567" s="15"/>
      <c r="T1567" s="15"/>
      <c r="U1567" s="15"/>
    </row>
    <row r="1568" spans="12:21">
      <c r="L1568" s="15"/>
      <c r="M1568" s="15"/>
      <c r="N1568" s="15"/>
      <c r="T1568" s="15"/>
      <c r="U1568" s="15"/>
    </row>
    <row r="1569" spans="12:21">
      <c r="L1569" s="15"/>
      <c r="M1569" s="15"/>
      <c r="N1569" s="15"/>
      <c r="T1569" s="15"/>
      <c r="U1569" s="15"/>
    </row>
    <row r="1570" spans="12:21">
      <c r="L1570" s="15"/>
      <c r="M1570" s="15"/>
      <c r="N1570" s="15"/>
      <c r="T1570" s="15"/>
      <c r="U1570" s="15"/>
    </row>
    <row r="1571" spans="12:21">
      <c r="L1571" s="15"/>
      <c r="M1571" s="15"/>
      <c r="N1571" s="15"/>
      <c r="T1571" s="15"/>
      <c r="U1571" s="15"/>
    </row>
    <row r="1572" spans="12:21">
      <c r="L1572" s="15"/>
      <c r="M1572" s="15"/>
      <c r="N1572" s="15"/>
      <c r="T1572" s="15"/>
      <c r="U1572" s="15"/>
    </row>
    <row r="1573" spans="12:21">
      <c r="L1573" s="15"/>
      <c r="M1573" s="15"/>
      <c r="N1573" s="15"/>
      <c r="T1573" s="15"/>
      <c r="U1573" s="15"/>
    </row>
    <row r="1574" spans="12:21">
      <c r="L1574" s="15"/>
      <c r="M1574" s="15"/>
      <c r="N1574" s="15"/>
      <c r="T1574" s="15"/>
      <c r="U1574" s="15"/>
    </row>
    <row r="1575" spans="12:21">
      <c r="L1575" s="15"/>
      <c r="M1575" s="15"/>
      <c r="N1575" s="15"/>
      <c r="T1575" s="15"/>
      <c r="U1575" s="15"/>
    </row>
    <row r="1576" spans="12:21">
      <c r="L1576" s="15"/>
      <c r="M1576" s="15"/>
      <c r="N1576" s="15"/>
      <c r="T1576" s="15"/>
      <c r="U1576" s="15"/>
    </row>
    <row r="1577" spans="12:21">
      <c r="L1577" s="15"/>
      <c r="M1577" s="15"/>
      <c r="N1577" s="15"/>
      <c r="T1577" s="15"/>
      <c r="U1577" s="15"/>
    </row>
    <row r="1578" spans="12:21">
      <c r="L1578" s="15"/>
      <c r="M1578" s="15"/>
      <c r="N1578" s="15"/>
      <c r="T1578" s="15"/>
      <c r="U1578" s="15"/>
    </row>
    <row r="1579" spans="12:21">
      <c r="L1579" s="15"/>
      <c r="M1579" s="15"/>
      <c r="N1579" s="15"/>
      <c r="T1579" s="15"/>
      <c r="U1579" s="15"/>
    </row>
    <row r="1580" spans="12:21">
      <c r="L1580" s="15"/>
      <c r="M1580" s="15"/>
      <c r="N1580" s="15"/>
      <c r="T1580" s="15"/>
      <c r="U1580" s="15"/>
    </row>
    <row r="1581" spans="12:21">
      <c r="L1581" s="15"/>
      <c r="M1581" s="15"/>
      <c r="N1581" s="15"/>
      <c r="T1581" s="15"/>
      <c r="U1581" s="15"/>
    </row>
    <row r="1582" spans="12:21">
      <c r="L1582" s="15"/>
      <c r="M1582" s="15"/>
      <c r="N1582" s="15"/>
      <c r="T1582" s="15"/>
      <c r="U1582" s="15"/>
    </row>
    <row r="1583" spans="12:21">
      <c r="L1583" s="15"/>
      <c r="M1583" s="15"/>
      <c r="N1583" s="15"/>
      <c r="T1583" s="15"/>
      <c r="U1583" s="15"/>
    </row>
    <row r="1584" spans="12:21">
      <c r="L1584" s="15"/>
      <c r="M1584" s="15"/>
      <c r="N1584" s="15"/>
      <c r="T1584" s="15"/>
      <c r="U1584" s="15"/>
    </row>
    <row r="1585" spans="12:21">
      <c r="L1585" s="15"/>
      <c r="M1585" s="15"/>
      <c r="N1585" s="15"/>
      <c r="T1585" s="15"/>
      <c r="U1585" s="15"/>
    </row>
    <row r="1586" spans="12:21">
      <c r="L1586" s="15"/>
      <c r="M1586" s="15"/>
      <c r="N1586" s="15"/>
      <c r="T1586" s="15"/>
      <c r="U1586" s="15"/>
    </row>
    <row r="1587" spans="12:21">
      <c r="L1587" s="15"/>
      <c r="M1587" s="15"/>
      <c r="N1587" s="15"/>
      <c r="T1587" s="15"/>
      <c r="U1587" s="15"/>
    </row>
    <row r="1588" spans="12:21">
      <c r="L1588" s="15"/>
      <c r="M1588" s="15"/>
      <c r="N1588" s="15"/>
      <c r="T1588" s="15"/>
      <c r="U1588" s="15"/>
    </row>
    <row r="1589" spans="12:21">
      <c r="L1589" s="15"/>
      <c r="M1589" s="15"/>
      <c r="N1589" s="15"/>
      <c r="T1589" s="15"/>
      <c r="U1589" s="15"/>
    </row>
    <row r="1590" spans="12:21">
      <c r="L1590" s="15"/>
      <c r="M1590" s="15"/>
      <c r="N1590" s="15"/>
      <c r="T1590" s="15"/>
      <c r="U1590" s="15"/>
    </row>
    <row r="1591" spans="12:21">
      <c r="L1591" s="15"/>
      <c r="M1591" s="15"/>
      <c r="N1591" s="15"/>
      <c r="T1591" s="15"/>
      <c r="U1591" s="15"/>
    </row>
    <row r="1592" spans="12:21">
      <c r="L1592" s="15"/>
      <c r="M1592" s="15"/>
      <c r="N1592" s="15"/>
      <c r="T1592" s="15"/>
      <c r="U1592" s="15"/>
    </row>
    <row r="1593" spans="12:21">
      <c r="L1593" s="15"/>
      <c r="M1593" s="15"/>
      <c r="N1593" s="15"/>
      <c r="T1593" s="15"/>
      <c r="U1593" s="15"/>
    </row>
    <row r="1594" spans="12:21">
      <c r="L1594" s="15"/>
      <c r="M1594" s="15"/>
      <c r="N1594" s="15"/>
      <c r="T1594" s="15"/>
      <c r="U1594" s="15"/>
    </row>
    <row r="1595" spans="12:21">
      <c r="L1595" s="15"/>
      <c r="M1595" s="15"/>
      <c r="N1595" s="15"/>
      <c r="T1595" s="15"/>
      <c r="U1595" s="15"/>
    </row>
    <row r="1596" spans="12:21">
      <c r="L1596" s="15"/>
      <c r="M1596" s="15"/>
      <c r="N1596" s="15"/>
      <c r="T1596" s="15"/>
      <c r="U1596" s="15"/>
    </row>
    <row r="1597" spans="12:21">
      <c r="L1597" s="15"/>
      <c r="M1597" s="15"/>
      <c r="N1597" s="15"/>
      <c r="T1597" s="15"/>
      <c r="U1597" s="15"/>
    </row>
    <row r="1598" spans="12:21">
      <c r="L1598" s="15"/>
      <c r="M1598" s="15"/>
      <c r="N1598" s="15"/>
      <c r="T1598" s="15"/>
      <c r="U1598" s="15"/>
    </row>
    <row r="1599" spans="12:21">
      <c r="L1599" s="15"/>
      <c r="M1599" s="15"/>
      <c r="N1599" s="15"/>
      <c r="T1599" s="15"/>
      <c r="U1599" s="15"/>
    </row>
    <row r="1600" spans="12:21">
      <c r="L1600" s="15"/>
      <c r="M1600" s="15"/>
      <c r="N1600" s="15"/>
      <c r="T1600" s="15"/>
      <c r="U1600" s="15"/>
    </row>
    <row r="1601" spans="12:21">
      <c r="L1601" s="15"/>
      <c r="M1601" s="15"/>
      <c r="N1601" s="15"/>
      <c r="T1601" s="15"/>
      <c r="U1601" s="15"/>
    </row>
    <row r="1602" spans="12:21">
      <c r="L1602" s="15"/>
      <c r="M1602" s="15"/>
      <c r="N1602" s="15"/>
      <c r="T1602" s="15"/>
      <c r="U1602" s="15"/>
    </row>
    <row r="1603" spans="12:21">
      <c r="L1603" s="15"/>
      <c r="M1603" s="15"/>
      <c r="N1603" s="15"/>
      <c r="T1603" s="15"/>
      <c r="U1603" s="15"/>
    </row>
    <row r="1604" spans="12:21">
      <c r="L1604" s="15"/>
      <c r="M1604" s="15"/>
      <c r="N1604" s="15"/>
      <c r="T1604" s="15"/>
      <c r="U1604" s="15"/>
    </row>
    <row r="1605" spans="12:21">
      <c r="L1605" s="15"/>
      <c r="M1605" s="15"/>
      <c r="N1605" s="15"/>
      <c r="T1605" s="15"/>
      <c r="U1605" s="15"/>
    </row>
    <row r="1606" spans="12:21">
      <c r="L1606" s="15"/>
      <c r="M1606" s="15"/>
      <c r="N1606" s="15"/>
      <c r="T1606" s="15"/>
      <c r="U1606" s="15"/>
    </row>
    <row r="1607" spans="12:21">
      <c r="L1607" s="15"/>
      <c r="M1607" s="15"/>
      <c r="N1607" s="15"/>
      <c r="T1607" s="15"/>
      <c r="U1607" s="15"/>
    </row>
    <row r="1608" spans="12:21">
      <c r="L1608" s="15"/>
      <c r="M1608" s="15"/>
      <c r="N1608" s="15"/>
      <c r="T1608" s="15"/>
      <c r="U1608" s="15"/>
    </row>
    <row r="1609" spans="12:21">
      <c r="L1609" s="15"/>
      <c r="M1609" s="15"/>
      <c r="N1609" s="15"/>
      <c r="T1609" s="15"/>
      <c r="U1609" s="15"/>
    </row>
    <row r="1610" spans="12:21">
      <c r="L1610" s="15"/>
      <c r="M1610" s="15"/>
      <c r="N1610" s="15"/>
      <c r="T1610" s="15"/>
      <c r="U1610" s="15"/>
    </row>
    <row r="1611" spans="12:21">
      <c r="L1611" s="15"/>
      <c r="M1611" s="15"/>
      <c r="N1611" s="15"/>
      <c r="T1611" s="15"/>
      <c r="U1611" s="15"/>
    </row>
    <row r="1612" spans="12:21">
      <c r="L1612" s="15"/>
      <c r="M1612" s="15"/>
      <c r="N1612" s="15"/>
      <c r="T1612" s="15"/>
      <c r="U1612" s="15"/>
    </row>
    <row r="1613" spans="12:21">
      <c r="L1613" s="15"/>
      <c r="M1613" s="15"/>
      <c r="N1613" s="15"/>
      <c r="T1613" s="15"/>
      <c r="U1613" s="15"/>
    </row>
    <row r="1614" spans="12:21">
      <c r="L1614" s="15"/>
      <c r="M1614" s="15"/>
      <c r="N1614" s="15"/>
      <c r="T1614" s="15"/>
      <c r="U1614" s="15"/>
    </row>
    <row r="1615" spans="12:21">
      <c r="L1615" s="15"/>
      <c r="M1615" s="15"/>
      <c r="N1615" s="15"/>
      <c r="T1615" s="15"/>
      <c r="U1615" s="15"/>
    </row>
    <row r="1616" spans="12:21">
      <c r="L1616" s="15"/>
      <c r="M1616" s="15"/>
      <c r="N1616" s="15"/>
      <c r="T1616" s="15"/>
      <c r="U1616" s="15"/>
    </row>
    <row r="1617" spans="12:21">
      <c r="L1617" s="15"/>
      <c r="M1617" s="15"/>
      <c r="N1617" s="15"/>
      <c r="T1617" s="15"/>
      <c r="U1617" s="15"/>
    </row>
    <row r="1618" spans="12:21">
      <c r="L1618" s="15"/>
      <c r="M1618" s="15"/>
      <c r="N1618" s="15"/>
      <c r="T1618" s="15"/>
      <c r="U1618" s="15"/>
    </row>
    <row r="1619" spans="12:21">
      <c r="L1619" s="15"/>
      <c r="M1619" s="15"/>
      <c r="N1619" s="15"/>
      <c r="T1619" s="15"/>
      <c r="U1619" s="15"/>
    </row>
    <row r="1620" spans="12:21">
      <c r="L1620" s="15"/>
      <c r="M1620" s="15"/>
      <c r="N1620" s="15"/>
      <c r="T1620" s="15"/>
      <c r="U1620" s="15"/>
    </row>
    <row r="1621" spans="12:21">
      <c r="L1621" s="15"/>
      <c r="M1621" s="15"/>
      <c r="N1621" s="15"/>
      <c r="T1621" s="15"/>
      <c r="U1621" s="15"/>
    </row>
    <row r="1622" spans="12:21">
      <c r="L1622" s="15"/>
      <c r="M1622" s="15"/>
      <c r="N1622" s="15"/>
      <c r="T1622" s="15"/>
      <c r="U1622" s="15"/>
    </row>
    <row r="1623" spans="12:21">
      <c r="L1623" s="15"/>
      <c r="M1623" s="15"/>
      <c r="N1623" s="15"/>
      <c r="T1623" s="15"/>
      <c r="U1623" s="15"/>
    </row>
    <row r="1624" spans="12:21">
      <c r="L1624" s="15"/>
      <c r="M1624" s="15"/>
      <c r="N1624" s="15"/>
      <c r="T1624" s="15"/>
      <c r="U1624" s="15"/>
    </row>
    <row r="1625" spans="12:21">
      <c r="L1625" s="15"/>
      <c r="M1625" s="15"/>
      <c r="N1625" s="15"/>
      <c r="T1625" s="15"/>
      <c r="U1625" s="15"/>
    </row>
    <row r="1626" spans="12:21">
      <c r="L1626" s="15"/>
      <c r="M1626" s="15"/>
      <c r="N1626" s="15"/>
      <c r="T1626" s="15"/>
      <c r="U1626" s="15"/>
    </row>
    <row r="1627" spans="12:21">
      <c r="L1627" s="15"/>
      <c r="M1627" s="15"/>
      <c r="N1627" s="15"/>
      <c r="T1627" s="15"/>
      <c r="U1627" s="15"/>
    </row>
    <row r="1628" spans="12:21">
      <c r="L1628" s="15"/>
      <c r="M1628" s="15"/>
      <c r="N1628" s="15"/>
      <c r="T1628" s="15"/>
      <c r="U1628" s="15"/>
    </row>
    <row r="1629" spans="12:21">
      <c r="L1629" s="15"/>
      <c r="M1629" s="15"/>
      <c r="N1629" s="15"/>
      <c r="T1629" s="15"/>
      <c r="U1629" s="15"/>
    </row>
    <row r="1630" spans="12:21">
      <c r="L1630" s="15"/>
      <c r="M1630" s="15"/>
      <c r="N1630" s="15"/>
      <c r="T1630" s="15"/>
      <c r="U1630" s="15"/>
    </row>
    <row r="1631" spans="12:21">
      <c r="L1631" s="15"/>
      <c r="M1631" s="15"/>
      <c r="N1631" s="15"/>
      <c r="T1631" s="15"/>
      <c r="U1631" s="15"/>
    </row>
    <row r="1632" spans="12:21">
      <c r="L1632" s="15"/>
      <c r="M1632" s="15"/>
      <c r="N1632" s="15"/>
      <c r="T1632" s="15"/>
      <c r="U1632" s="15"/>
    </row>
    <row r="1633" spans="12:21">
      <c r="L1633" s="15"/>
      <c r="M1633" s="15"/>
      <c r="N1633" s="15"/>
      <c r="T1633" s="15"/>
      <c r="U1633" s="15"/>
    </row>
    <row r="1634" spans="12:21">
      <c r="L1634" s="15"/>
      <c r="M1634" s="15"/>
      <c r="N1634" s="15"/>
      <c r="T1634" s="15"/>
      <c r="U1634" s="15"/>
    </row>
    <row r="1635" spans="12:21">
      <c r="L1635" s="15"/>
      <c r="M1635" s="15"/>
      <c r="N1635" s="15"/>
      <c r="T1635" s="15"/>
      <c r="U1635" s="15"/>
    </row>
    <row r="1636" spans="12:21">
      <c r="L1636" s="15"/>
      <c r="M1636" s="15"/>
      <c r="N1636" s="15"/>
      <c r="T1636" s="15"/>
      <c r="U1636" s="15"/>
    </row>
    <row r="1637" spans="12:21">
      <c r="L1637" s="15"/>
      <c r="M1637" s="15"/>
      <c r="N1637" s="15"/>
      <c r="T1637" s="15"/>
      <c r="U1637" s="15"/>
    </row>
    <row r="1638" spans="12:21">
      <c r="L1638" s="15"/>
      <c r="M1638" s="15"/>
      <c r="N1638" s="15"/>
      <c r="T1638" s="15"/>
      <c r="U1638" s="15"/>
    </row>
    <row r="1639" spans="12:21">
      <c r="L1639" s="15"/>
      <c r="M1639" s="15"/>
      <c r="N1639" s="15"/>
      <c r="T1639" s="15"/>
      <c r="U1639" s="15"/>
    </row>
    <row r="1640" spans="12:21">
      <c r="L1640" s="15"/>
      <c r="M1640" s="15"/>
      <c r="N1640" s="15"/>
      <c r="T1640" s="15"/>
      <c r="U1640" s="15"/>
    </row>
    <row r="1641" spans="12:21">
      <c r="L1641" s="15"/>
      <c r="M1641" s="15"/>
      <c r="N1641" s="15"/>
      <c r="T1641" s="15"/>
      <c r="U1641" s="15"/>
    </row>
    <row r="1642" spans="12:21">
      <c r="L1642" s="15"/>
      <c r="M1642" s="15"/>
      <c r="N1642" s="15"/>
      <c r="T1642" s="15"/>
      <c r="U1642" s="15"/>
    </row>
    <row r="1643" spans="12:21">
      <c r="L1643" s="15"/>
      <c r="M1643" s="15"/>
      <c r="N1643" s="15"/>
      <c r="T1643" s="15"/>
      <c r="U1643" s="15"/>
    </row>
    <row r="1644" spans="12:21">
      <c r="L1644" s="15"/>
      <c r="M1644" s="15"/>
      <c r="N1644" s="15"/>
      <c r="T1644" s="15"/>
      <c r="U1644" s="15"/>
    </row>
    <row r="1645" spans="12:21">
      <c r="L1645" s="15"/>
      <c r="M1645" s="15"/>
      <c r="N1645" s="15"/>
      <c r="T1645" s="15"/>
      <c r="U1645" s="15"/>
    </row>
    <row r="1646" spans="12:21">
      <c r="L1646" s="15"/>
      <c r="M1646" s="15"/>
      <c r="N1646" s="15"/>
      <c r="T1646" s="15"/>
      <c r="U1646" s="15"/>
    </row>
    <row r="1647" spans="12:21">
      <c r="L1647" s="15"/>
      <c r="M1647" s="15"/>
      <c r="N1647" s="15"/>
      <c r="T1647" s="15"/>
      <c r="U1647" s="15"/>
    </row>
    <row r="1648" spans="12:21">
      <c r="L1648" s="15"/>
      <c r="M1648" s="15"/>
      <c r="N1648" s="15"/>
      <c r="T1648" s="15"/>
      <c r="U1648" s="15"/>
    </row>
    <row r="1649" spans="12:21">
      <c r="L1649" s="15"/>
      <c r="M1649" s="15"/>
      <c r="N1649" s="15"/>
      <c r="T1649" s="15"/>
      <c r="U1649" s="15"/>
    </row>
    <row r="1650" spans="12:21">
      <c r="L1650" s="15"/>
      <c r="M1650" s="15"/>
      <c r="N1650" s="15"/>
      <c r="T1650" s="15"/>
      <c r="U1650" s="15"/>
    </row>
    <row r="1651" spans="12:21">
      <c r="L1651" s="15"/>
      <c r="M1651" s="15"/>
      <c r="N1651" s="15"/>
      <c r="T1651" s="15"/>
      <c r="U1651" s="15"/>
    </row>
    <row r="1652" spans="12:21">
      <c r="L1652" s="15"/>
      <c r="M1652" s="15"/>
      <c r="N1652" s="15"/>
      <c r="T1652" s="15"/>
      <c r="U1652" s="15"/>
    </row>
    <row r="1653" spans="12:21">
      <c r="L1653" s="15"/>
      <c r="M1653" s="15"/>
      <c r="N1653" s="15"/>
      <c r="T1653" s="15"/>
      <c r="U1653" s="15"/>
    </row>
    <row r="1654" spans="12:21">
      <c r="L1654" s="15"/>
      <c r="M1654" s="15"/>
      <c r="N1654" s="15"/>
      <c r="T1654" s="15"/>
      <c r="U1654" s="15"/>
    </row>
    <row r="1655" spans="12:21">
      <c r="L1655" s="15"/>
      <c r="M1655" s="15"/>
      <c r="N1655" s="15"/>
      <c r="T1655" s="15"/>
      <c r="U1655" s="15"/>
    </row>
    <row r="1656" spans="12:21">
      <c r="L1656" s="15"/>
      <c r="M1656" s="15"/>
      <c r="N1656" s="15"/>
      <c r="T1656" s="15"/>
      <c r="U1656" s="15"/>
    </row>
    <row r="1657" spans="12:21">
      <c r="L1657" s="15"/>
      <c r="M1657" s="15"/>
      <c r="N1657" s="15"/>
      <c r="T1657" s="15"/>
      <c r="U1657" s="15"/>
    </row>
    <row r="1658" spans="12:21">
      <c r="L1658" s="15"/>
      <c r="M1658" s="15"/>
      <c r="N1658" s="15"/>
      <c r="T1658" s="15"/>
      <c r="U1658" s="15"/>
    </row>
    <row r="1659" spans="12:21">
      <c r="L1659" s="15"/>
      <c r="M1659" s="15"/>
      <c r="N1659" s="15"/>
      <c r="T1659" s="15"/>
      <c r="U1659" s="15"/>
    </row>
    <row r="1660" spans="12:21">
      <c r="L1660" s="15"/>
      <c r="M1660" s="15"/>
      <c r="N1660" s="15"/>
      <c r="T1660" s="15"/>
      <c r="U1660" s="15"/>
    </row>
    <row r="1661" spans="12:21">
      <c r="L1661" s="15"/>
      <c r="M1661" s="15"/>
      <c r="N1661" s="15"/>
      <c r="T1661" s="15"/>
      <c r="U1661" s="15"/>
    </row>
    <row r="1662" spans="12:21">
      <c r="L1662" s="15"/>
      <c r="M1662" s="15"/>
      <c r="N1662" s="15"/>
      <c r="T1662" s="15"/>
      <c r="U1662" s="15"/>
    </row>
    <row r="1663" spans="12:21">
      <c r="L1663" s="15"/>
      <c r="M1663" s="15"/>
      <c r="N1663" s="15"/>
      <c r="T1663" s="15"/>
      <c r="U1663" s="15"/>
    </row>
    <row r="1664" spans="12:21">
      <c r="L1664" s="15"/>
      <c r="M1664" s="15"/>
      <c r="N1664" s="15"/>
      <c r="T1664" s="15"/>
      <c r="U1664" s="15"/>
    </row>
    <row r="1665" spans="12:21">
      <c r="L1665" s="15"/>
      <c r="M1665" s="15"/>
      <c r="N1665" s="15"/>
      <c r="T1665" s="15"/>
      <c r="U1665" s="15"/>
    </row>
    <row r="1666" spans="12:21">
      <c r="L1666" s="15"/>
      <c r="M1666" s="15"/>
      <c r="N1666" s="15"/>
      <c r="T1666" s="15"/>
      <c r="U1666" s="15"/>
    </row>
    <row r="1667" spans="12:21">
      <c r="L1667" s="15"/>
      <c r="M1667" s="15"/>
      <c r="N1667" s="15"/>
      <c r="T1667" s="15"/>
      <c r="U1667" s="15"/>
    </row>
    <row r="1668" spans="12:21">
      <c r="L1668" s="15"/>
      <c r="M1668" s="15"/>
      <c r="N1668" s="15"/>
      <c r="T1668" s="15"/>
      <c r="U1668" s="15"/>
    </row>
    <row r="1669" spans="12:21">
      <c r="L1669" s="15"/>
      <c r="M1669" s="15"/>
      <c r="N1669" s="15"/>
      <c r="T1669" s="15"/>
      <c r="U1669" s="15"/>
    </row>
    <row r="1670" spans="12:21">
      <c r="L1670" s="15"/>
      <c r="M1670" s="15"/>
      <c r="N1670" s="15"/>
      <c r="T1670" s="15"/>
      <c r="U1670" s="15"/>
    </row>
    <row r="1671" spans="12:21">
      <c r="L1671" s="15"/>
      <c r="M1671" s="15"/>
      <c r="N1671" s="15"/>
      <c r="T1671" s="15"/>
      <c r="U1671" s="15"/>
    </row>
    <row r="1672" spans="12:21">
      <c r="L1672" s="15"/>
      <c r="M1672" s="15"/>
      <c r="N1672" s="15"/>
      <c r="T1672" s="15"/>
      <c r="U1672" s="15"/>
    </row>
    <row r="1673" spans="12:21">
      <c r="L1673" s="15"/>
      <c r="M1673" s="15"/>
      <c r="N1673" s="15"/>
      <c r="T1673" s="15"/>
      <c r="U1673" s="15"/>
    </row>
    <row r="1674" spans="12:21">
      <c r="L1674" s="15"/>
      <c r="M1674" s="15"/>
      <c r="N1674" s="15"/>
      <c r="T1674" s="15"/>
      <c r="U1674" s="15"/>
    </row>
    <row r="1675" spans="12:21">
      <c r="L1675" s="15"/>
      <c r="M1675" s="15"/>
      <c r="N1675" s="15"/>
      <c r="T1675" s="15"/>
      <c r="U1675" s="15"/>
    </row>
    <row r="1676" spans="12:21">
      <c r="L1676" s="15"/>
      <c r="M1676" s="15"/>
      <c r="N1676" s="15"/>
      <c r="T1676" s="15"/>
      <c r="U1676" s="15"/>
    </row>
    <row r="1677" spans="12:21">
      <c r="L1677" s="15"/>
      <c r="M1677" s="15"/>
      <c r="N1677" s="15"/>
      <c r="T1677" s="15"/>
      <c r="U1677" s="15"/>
    </row>
    <row r="1678" spans="12:21">
      <c r="L1678" s="15"/>
      <c r="M1678" s="15"/>
      <c r="N1678" s="15"/>
      <c r="T1678" s="15"/>
      <c r="U1678" s="15"/>
    </row>
    <row r="1679" spans="12:21">
      <c r="L1679" s="15"/>
      <c r="M1679" s="15"/>
      <c r="N1679" s="15"/>
      <c r="T1679" s="15"/>
      <c r="U1679" s="15"/>
    </row>
    <row r="1680" spans="12:21">
      <c r="L1680" s="15"/>
      <c r="M1680" s="15"/>
      <c r="N1680" s="15"/>
      <c r="T1680" s="15"/>
      <c r="U1680" s="15"/>
    </row>
    <row r="1681" spans="12:21">
      <c r="L1681" s="15"/>
      <c r="M1681" s="15"/>
      <c r="N1681" s="15"/>
      <c r="T1681" s="15"/>
      <c r="U1681" s="15"/>
    </row>
    <row r="1682" spans="12:21">
      <c r="L1682" s="15"/>
      <c r="M1682" s="15"/>
      <c r="N1682" s="15"/>
      <c r="T1682" s="15"/>
      <c r="U1682" s="15"/>
    </row>
    <row r="1683" spans="12:21">
      <c r="L1683" s="15"/>
      <c r="M1683" s="15"/>
      <c r="N1683" s="15"/>
      <c r="T1683" s="15"/>
      <c r="U1683" s="15"/>
    </row>
    <row r="1684" spans="12:21">
      <c r="L1684" s="15"/>
      <c r="M1684" s="15"/>
      <c r="N1684" s="15"/>
      <c r="T1684" s="15"/>
      <c r="U1684" s="15"/>
    </row>
    <row r="1685" spans="12:21">
      <c r="L1685" s="15"/>
      <c r="M1685" s="15"/>
      <c r="N1685" s="15"/>
      <c r="T1685" s="15"/>
      <c r="U1685" s="15"/>
    </row>
    <row r="1686" spans="12:21">
      <c r="L1686" s="15"/>
      <c r="M1686" s="15"/>
      <c r="N1686" s="15"/>
      <c r="T1686" s="15"/>
      <c r="U1686" s="15"/>
    </row>
    <row r="1687" spans="12:21">
      <c r="L1687" s="15"/>
      <c r="M1687" s="15"/>
      <c r="N1687" s="15"/>
      <c r="T1687" s="15"/>
      <c r="U1687" s="15"/>
    </row>
    <row r="1688" spans="12:21">
      <c r="L1688" s="15"/>
      <c r="M1688" s="15"/>
      <c r="N1688" s="15"/>
      <c r="T1688" s="15"/>
      <c r="U1688" s="15"/>
    </row>
    <row r="1689" spans="12:21">
      <c r="L1689" s="15"/>
      <c r="M1689" s="15"/>
      <c r="N1689" s="15"/>
      <c r="T1689" s="15"/>
      <c r="U1689" s="15"/>
    </row>
    <row r="1690" spans="12:21">
      <c r="L1690" s="15"/>
      <c r="M1690" s="15"/>
      <c r="N1690" s="15"/>
      <c r="T1690" s="15"/>
      <c r="U1690" s="15"/>
    </row>
    <row r="1691" spans="12:21">
      <c r="L1691" s="15"/>
      <c r="M1691" s="15"/>
      <c r="N1691" s="15"/>
      <c r="T1691" s="15"/>
      <c r="U1691" s="15"/>
    </row>
    <row r="1692" spans="12:21">
      <c r="L1692" s="15"/>
      <c r="M1692" s="15"/>
      <c r="N1692" s="15"/>
      <c r="T1692" s="15"/>
      <c r="U1692" s="15"/>
    </row>
    <row r="1693" spans="12:21">
      <c r="L1693" s="15"/>
      <c r="M1693" s="15"/>
      <c r="N1693" s="15"/>
      <c r="T1693" s="15"/>
      <c r="U1693" s="15"/>
    </row>
    <row r="1694" spans="12:21">
      <c r="L1694" s="15"/>
      <c r="M1694" s="15"/>
      <c r="N1694" s="15"/>
      <c r="T1694" s="15"/>
      <c r="U1694" s="15"/>
    </row>
    <row r="1695" spans="12:21">
      <c r="L1695" s="15"/>
      <c r="M1695" s="15"/>
      <c r="N1695" s="15"/>
      <c r="T1695" s="15"/>
      <c r="U1695" s="15"/>
    </row>
    <row r="1696" spans="12:21">
      <c r="L1696" s="15"/>
      <c r="M1696" s="15"/>
      <c r="N1696" s="15"/>
      <c r="T1696" s="15"/>
      <c r="U1696" s="15"/>
    </row>
    <row r="1697" spans="12:21">
      <c r="L1697" s="15"/>
      <c r="M1697" s="15"/>
      <c r="N1697" s="15"/>
      <c r="T1697" s="15"/>
      <c r="U1697" s="15"/>
    </row>
    <row r="1698" spans="12:21">
      <c r="L1698" s="15"/>
      <c r="M1698" s="15"/>
      <c r="N1698" s="15"/>
      <c r="T1698" s="15"/>
      <c r="U1698" s="15"/>
    </row>
    <row r="1699" spans="12:21">
      <c r="L1699" s="15"/>
      <c r="M1699" s="15"/>
      <c r="N1699" s="15"/>
      <c r="T1699" s="15"/>
      <c r="U1699" s="15"/>
    </row>
    <row r="1700" spans="12:21">
      <c r="L1700" s="15"/>
      <c r="M1700" s="15"/>
      <c r="N1700" s="15"/>
      <c r="T1700" s="15"/>
      <c r="U1700" s="15"/>
    </row>
    <row r="1701" spans="12:21">
      <c r="L1701" s="15"/>
      <c r="M1701" s="15"/>
      <c r="N1701" s="15"/>
      <c r="T1701" s="15"/>
      <c r="U1701" s="15"/>
    </row>
    <row r="1702" spans="12:21">
      <c r="L1702" s="15"/>
      <c r="M1702" s="15"/>
      <c r="N1702" s="15"/>
      <c r="T1702" s="15"/>
      <c r="U1702" s="15"/>
    </row>
    <row r="1703" spans="12:21">
      <c r="L1703" s="15"/>
      <c r="M1703" s="15"/>
      <c r="N1703" s="15"/>
      <c r="T1703" s="15"/>
      <c r="U1703" s="15"/>
    </row>
    <row r="1704" spans="12:21">
      <c r="L1704" s="15"/>
      <c r="M1704" s="15"/>
      <c r="N1704" s="15"/>
      <c r="T1704" s="15"/>
      <c r="U1704" s="15"/>
    </row>
    <row r="1705" spans="12:21">
      <c r="L1705" s="15"/>
      <c r="M1705" s="15"/>
      <c r="N1705" s="15"/>
      <c r="T1705" s="15"/>
      <c r="U1705" s="15"/>
    </row>
    <row r="1706" spans="12:21">
      <c r="L1706" s="15"/>
      <c r="M1706" s="15"/>
      <c r="N1706" s="15"/>
      <c r="T1706" s="15"/>
      <c r="U1706" s="15"/>
    </row>
    <row r="1707" spans="12:21">
      <c r="L1707" s="15"/>
      <c r="M1707" s="15"/>
      <c r="N1707" s="15"/>
      <c r="T1707" s="15"/>
      <c r="U1707" s="15"/>
    </row>
    <row r="1708" spans="12:21">
      <c r="L1708" s="15"/>
      <c r="M1708" s="15"/>
      <c r="N1708" s="15"/>
      <c r="T1708" s="15"/>
      <c r="U1708" s="15"/>
    </row>
    <row r="1709" spans="12:21">
      <c r="L1709" s="15"/>
      <c r="M1709" s="15"/>
      <c r="N1709" s="15"/>
      <c r="T1709" s="15"/>
      <c r="U1709" s="15"/>
    </row>
    <row r="1710" spans="12:21">
      <c r="L1710" s="15"/>
      <c r="M1710" s="15"/>
      <c r="N1710" s="15"/>
      <c r="T1710" s="15"/>
      <c r="U1710" s="15"/>
    </row>
    <row r="1711" spans="12:21">
      <c r="L1711" s="15"/>
      <c r="M1711" s="15"/>
      <c r="N1711" s="15"/>
      <c r="T1711" s="15"/>
      <c r="U1711" s="15"/>
    </row>
    <row r="1712" spans="12:21">
      <c r="L1712" s="15"/>
      <c r="M1712" s="15"/>
      <c r="N1712" s="15"/>
      <c r="T1712" s="15"/>
      <c r="U1712" s="15"/>
    </row>
    <row r="1713" spans="12:21">
      <c r="L1713" s="15"/>
      <c r="M1713" s="15"/>
      <c r="N1713" s="15"/>
      <c r="T1713" s="15"/>
      <c r="U1713" s="15"/>
    </row>
    <row r="1714" spans="12:21">
      <c r="L1714" s="15"/>
      <c r="M1714" s="15"/>
      <c r="N1714" s="15"/>
      <c r="T1714" s="15"/>
      <c r="U1714" s="15"/>
    </row>
    <row r="1715" spans="12:21">
      <c r="L1715" s="15"/>
      <c r="M1715" s="15"/>
      <c r="N1715" s="15"/>
      <c r="T1715" s="15"/>
      <c r="U1715" s="15"/>
    </row>
    <row r="1716" spans="12:21">
      <c r="L1716" s="15"/>
      <c r="M1716" s="15"/>
      <c r="N1716" s="15"/>
      <c r="T1716" s="15"/>
      <c r="U1716" s="15"/>
    </row>
    <row r="1717" spans="12:21">
      <c r="L1717" s="15"/>
      <c r="M1717" s="15"/>
      <c r="N1717" s="15"/>
      <c r="T1717" s="15"/>
      <c r="U1717" s="15"/>
    </row>
    <row r="1718" spans="12:21">
      <c r="L1718" s="15"/>
      <c r="M1718" s="15"/>
      <c r="N1718" s="15"/>
      <c r="T1718" s="15"/>
      <c r="U1718" s="15"/>
    </row>
    <row r="1719" spans="12:21">
      <c r="L1719" s="15"/>
      <c r="M1719" s="15"/>
      <c r="N1719" s="15"/>
      <c r="T1719" s="15"/>
      <c r="U1719" s="15"/>
    </row>
    <row r="1720" spans="12:21">
      <c r="L1720" s="15"/>
      <c r="M1720" s="15"/>
      <c r="N1720" s="15"/>
      <c r="T1720" s="15"/>
      <c r="U1720" s="15"/>
    </row>
    <row r="1721" spans="12:21">
      <c r="L1721" s="15"/>
      <c r="M1721" s="15"/>
      <c r="N1721" s="15"/>
      <c r="T1721" s="15"/>
      <c r="U1721" s="15"/>
    </row>
    <row r="1722" spans="12:21">
      <c r="L1722" s="15"/>
      <c r="M1722" s="15"/>
      <c r="N1722" s="15"/>
      <c r="T1722" s="15"/>
      <c r="U1722" s="15"/>
    </row>
    <row r="1723" spans="12:21">
      <c r="L1723" s="15"/>
      <c r="M1723" s="15"/>
      <c r="N1723" s="15"/>
      <c r="T1723" s="15"/>
      <c r="U1723" s="15"/>
    </row>
    <row r="1724" spans="12:21">
      <c r="L1724" s="15"/>
      <c r="M1724" s="15"/>
      <c r="N1724" s="15"/>
      <c r="T1724" s="15"/>
      <c r="U1724" s="15"/>
    </row>
    <row r="1725" spans="12:21">
      <c r="L1725" s="15"/>
      <c r="M1725" s="15"/>
      <c r="N1725" s="15"/>
      <c r="T1725" s="15"/>
      <c r="U1725" s="15"/>
    </row>
    <row r="1726" spans="12:21">
      <c r="L1726" s="15"/>
      <c r="M1726" s="15"/>
      <c r="N1726" s="15"/>
      <c r="T1726" s="15"/>
      <c r="U1726" s="15"/>
    </row>
    <row r="1727" spans="12:21">
      <c r="L1727" s="15"/>
      <c r="M1727" s="15"/>
      <c r="N1727" s="15"/>
      <c r="T1727" s="15"/>
      <c r="U1727" s="15"/>
    </row>
    <row r="1728" spans="12:21">
      <c r="L1728" s="15"/>
      <c r="M1728" s="15"/>
      <c r="N1728" s="15"/>
      <c r="T1728" s="15"/>
      <c r="U1728" s="15"/>
    </row>
    <row r="1729" spans="12:21">
      <c r="L1729" s="15"/>
      <c r="M1729" s="15"/>
      <c r="N1729" s="15"/>
      <c r="T1729" s="15"/>
      <c r="U1729" s="15"/>
    </row>
    <row r="1730" spans="12:21">
      <c r="L1730" s="15"/>
      <c r="M1730" s="15"/>
      <c r="N1730" s="15"/>
      <c r="T1730" s="15"/>
      <c r="U1730" s="15"/>
    </row>
    <row r="1731" spans="12:21">
      <c r="L1731" s="15"/>
      <c r="M1731" s="15"/>
      <c r="N1731" s="15"/>
      <c r="T1731" s="15"/>
      <c r="U1731" s="15"/>
    </row>
    <row r="1732" spans="12:21">
      <c r="L1732" s="15"/>
      <c r="M1732" s="15"/>
      <c r="N1732" s="15"/>
      <c r="T1732" s="15"/>
      <c r="U1732" s="15"/>
    </row>
    <row r="1733" spans="12:21">
      <c r="L1733" s="15"/>
      <c r="M1733" s="15"/>
      <c r="N1733" s="15"/>
      <c r="T1733" s="15"/>
      <c r="U1733" s="15"/>
    </row>
    <row r="1734" spans="12:21">
      <c r="L1734" s="15"/>
      <c r="M1734" s="15"/>
      <c r="N1734" s="15"/>
      <c r="T1734" s="15"/>
      <c r="U1734" s="15"/>
    </row>
    <row r="1735" spans="12:21">
      <c r="L1735" s="15"/>
      <c r="M1735" s="15"/>
      <c r="N1735" s="15"/>
      <c r="T1735" s="15"/>
      <c r="U1735" s="15"/>
    </row>
    <row r="1736" spans="12:21">
      <c r="L1736" s="15"/>
      <c r="M1736" s="15"/>
      <c r="N1736" s="15"/>
      <c r="T1736" s="15"/>
      <c r="U1736" s="15"/>
    </row>
    <row r="1737" spans="12:21">
      <c r="L1737" s="15"/>
      <c r="M1737" s="15"/>
      <c r="N1737" s="15"/>
      <c r="T1737" s="15"/>
      <c r="U1737" s="15"/>
    </row>
    <row r="1738" spans="12:21">
      <c r="L1738" s="15"/>
      <c r="M1738" s="15"/>
      <c r="N1738" s="15"/>
      <c r="T1738" s="15"/>
      <c r="U1738" s="15"/>
    </row>
    <row r="1739" spans="12:21">
      <c r="L1739" s="15"/>
      <c r="M1739" s="15"/>
      <c r="N1739" s="15"/>
      <c r="T1739" s="15"/>
      <c r="U1739" s="15"/>
    </row>
    <row r="1740" spans="12:21">
      <c r="L1740" s="15"/>
      <c r="M1740" s="15"/>
      <c r="N1740" s="15"/>
      <c r="T1740" s="15"/>
      <c r="U1740" s="15"/>
    </row>
    <row r="1741" spans="12:21">
      <c r="L1741" s="15"/>
      <c r="M1741" s="15"/>
      <c r="N1741" s="15"/>
      <c r="T1741" s="15"/>
      <c r="U1741" s="15"/>
    </row>
    <row r="1742" spans="12:21">
      <c r="L1742" s="15"/>
      <c r="M1742" s="15"/>
      <c r="N1742" s="15"/>
      <c r="T1742" s="15"/>
      <c r="U1742" s="15"/>
    </row>
    <row r="1743" spans="12:21">
      <c r="L1743" s="15"/>
      <c r="M1743" s="15"/>
      <c r="N1743" s="15"/>
      <c r="T1743" s="15"/>
      <c r="U1743" s="15"/>
    </row>
    <row r="1744" spans="12:21">
      <c r="L1744" s="15"/>
      <c r="M1744" s="15"/>
      <c r="N1744" s="15"/>
      <c r="T1744" s="15"/>
      <c r="U1744" s="15"/>
    </row>
    <row r="1745" spans="12:21">
      <c r="L1745" s="15"/>
      <c r="M1745" s="15"/>
      <c r="N1745" s="15"/>
      <c r="T1745" s="15"/>
      <c r="U1745" s="15"/>
    </row>
    <row r="1746" spans="12:21">
      <c r="L1746" s="15"/>
      <c r="M1746" s="15"/>
      <c r="N1746" s="15"/>
      <c r="T1746" s="15"/>
      <c r="U1746" s="15"/>
    </row>
    <row r="1747" spans="12:21">
      <c r="L1747" s="15"/>
      <c r="M1747" s="15"/>
      <c r="N1747" s="15"/>
      <c r="T1747" s="15"/>
      <c r="U1747" s="15"/>
    </row>
    <row r="1748" spans="12:21">
      <c r="L1748" s="15"/>
      <c r="M1748" s="15"/>
      <c r="N1748" s="15"/>
      <c r="T1748" s="15"/>
      <c r="U1748" s="15"/>
    </row>
    <row r="1749" spans="12:21">
      <c r="L1749" s="15"/>
      <c r="M1749" s="15"/>
      <c r="N1749" s="15"/>
      <c r="T1749" s="15"/>
      <c r="U1749" s="15"/>
    </row>
    <row r="1750" spans="12:21">
      <c r="L1750" s="15"/>
      <c r="M1750" s="15"/>
      <c r="N1750" s="15"/>
      <c r="T1750" s="15"/>
      <c r="U1750" s="15"/>
    </row>
    <row r="1751" spans="12:21">
      <c r="L1751" s="15"/>
      <c r="M1751" s="15"/>
      <c r="N1751" s="15"/>
      <c r="T1751" s="15"/>
      <c r="U1751" s="15"/>
    </row>
    <row r="1752" spans="12:21">
      <c r="L1752" s="15"/>
      <c r="M1752" s="15"/>
      <c r="N1752" s="15"/>
      <c r="T1752" s="15"/>
      <c r="U1752" s="15"/>
    </row>
    <row r="1753" spans="12:21">
      <c r="L1753" s="15"/>
      <c r="M1753" s="15"/>
      <c r="N1753" s="15"/>
      <c r="T1753" s="15"/>
      <c r="U1753" s="15"/>
    </row>
    <row r="1754" spans="12:21">
      <c r="L1754" s="15"/>
      <c r="M1754" s="15"/>
      <c r="N1754" s="15"/>
      <c r="T1754" s="15"/>
      <c r="U1754" s="15"/>
    </row>
    <row r="1755" spans="12:21">
      <c r="L1755" s="15"/>
      <c r="M1755" s="15"/>
      <c r="N1755" s="15"/>
      <c r="T1755" s="15"/>
      <c r="U1755" s="15"/>
    </row>
    <row r="1756" spans="12:21">
      <c r="L1756" s="15"/>
      <c r="M1756" s="15"/>
      <c r="N1756" s="15"/>
      <c r="T1756" s="15"/>
      <c r="U1756" s="15"/>
    </row>
    <row r="1757" spans="12:21">
      <c r="L1757" s="15"/>
      <c r="M1757" s="15"/>
      <c r="N1757" s="15"/>
      <c r="T1757" s="15"/>
      <c r="U1757" s="15"/>
    </row>
    <row r="1758" spans="12:21">
      <c r="L1758" s="15"/>
      <c r="M1758" s="15"/>
      <c r="N1758" s="15"/>
      <c r="T1758" s="15"/>
      <c r="U1758" s="15"/>
    </row>
    <row r="1759" spans="12:21">
      <c r="L1759" s="15"/>
      <c r="M1759" s="15"/>
      <c r="N1759" s="15"/>
      <c r="T1759" s="15"/>
      <c r="U1759" s="15"/>
    </row>
    <row r="1760" spans="12:21">
      <c r="L1760" s="15"/>
      <c r="M1760" s="15"/>
      <c r="N1760" s="15"/>
      <c r="T1760" s="15"/>
      <c r="U1760" s="15"/>
    </row>
    <row r="1761" spans="12:21">
      <c r="L1761" s="15"/>
      <c r="M1761" s="15"/>
      <c r="N1761" s="15"/>
      <c r="T1761" s="15"/>
      <c r="U1761" s="15"/>
    </row>
    <row r="1762" spans="12:21">
      <c r="L1762" s="15"/>
      <c r="M1762" s="15"/>
      <c r="N1762" s="15"/>
      <c r="T1762" s="15"/>
      <c r="U1762" s="15"/>
    </row>
    <row r="1763" spans="12:21">
      <c r="L1763" s="15"/>
      <c r="M1763" s="15"/>
      <c r="N1763" s="15"/>
      <c r="T1763" s="15"/>
      <c r="U1763" s="15"/>
    </row>
    <row r="1764" spans="12:21">
      <c r="L1764" s="15"/>
      <c r="M1764" s="15"/>
      <c r="N1764" s="15"/>
      <c r="T1764" s="15"/>
      <c r="U1764" s="15"/>
    </row>
    <row r="1765" spans="12:21">
      <c r="L1765" s="15"/>
      <c r="M1765" s="15"/>
      <c r="N1765" s="15"/>
      <c r="T1765" s="15"/>
      <c r="U1765" s="15"/>
    </row>
    <row r="1766" spans="12:21">
      <c r="L1766" s="15"/>
      <c r="M1766" s="15"/>
      <c r="N1766" s="15"/>
      <c r="T1766" s="15"/>
      <c r="U1766" s="15"/>
    </row>
    <row r="1767" spans="12:21">
      <c r="L1767" s="15"/>
      <c r="M1767" s="15"/>
      <c r="N1767" s="15"/>
      <c r="T1767" s="15"/>
      <c r="U1767" s="15"/>
    </row>
    <row r="1768" spans="12:21">
      <c r="L1768" s="15"/>
      <c r="M1768" s="15"/>
      <c r="N1768" s="15"/>
      <c r="T1768" s="15"/>
      <c r="U1768" s="15"/>
    </row>
    <row r="1769" spans="12:21">
      <c r="L1769" s="15"/>
      <c r="M1769" s="15"/>
      <c r="N1769" s="15"/>
      <c r="T1769" s="15"/>
      <c r="U1769" s="15"/>
    </row>
    <row r="1770" spans="12:21">
      <c r="L1770" s="15"/>
      <c r="M1770" s="15"/>
      <c r="N1770" s="15"/>
      <c r="T1770" s="15"/>
      <c r="U1770" s="15"/>
    </row>
    <row r="1771" spans="12:21">
      <c r="L1771" s="15"/>
      <c r="M1771" s="15"/>
      <c r="N1771" s="15"/>
      <c r="T1771" s="15"/>
      <c r="U1771" s="15"/>
    </row>
    <row r="1772" spans="12:21">
      <c r="L1772" s="15"/>
      <c r="M1772" s="15"/>
      <c r="N1772" s="15"/>
      <c r="T1772" s="15"/>
      <c r="U1772" s="15"/>
    </row>
    <row r="1773" spans="12:21">
      <c r="L1773" s="15"/>
      <c r="M1773" s="15"/>
      <c r="N1773" s="15"/>
      <c r="T1773" s="15"/>
      <c r="U1773" s="15"/>
    </row>
    <row r="1774" spans="12:21">
      <c r="L1774" s="15"/>
      <c r="M1774" s="15"/>
      <c r="N1774" s="15"/>
      <c r="T1774" s="15"/>
      <c r="U1774" s="15"/>
    </row>
    <row r="1775" spans="12:21">
      <c r="L1775" s="15"/>
      <c r="M1775" s="15"/>
      <c r="N1775" s="15"/>
      <c r="T1775" s="15"/>
      <c r="U1775" s="15"/>
    </row>
    <row r="1776" spans="12:21">
      <c r="L1776" s="15"/>
      <c r="M1776" s="15"/>
      <c r="N1776" s="15"/>
      <c r="T1776" s="15"/>
      <c r="U1776" s="15"/>
    </row>
    <row r="1777" spans="12:21">
      <c r="L1777" s="15"/>
      <c r="M1777" s="15"/>
      <c r="N1777" s="15"/>
      <c r="T1777" s="15"/>
      <c r="U1777" s="15"/>
    </row>
    <row r="1778" spans="12:21">
      <c r="L1778" s="15"/>
      <c r="M1778" s="15"/>
      <c r="N1778" s="15"/>
      <c r="T1778" s="15"/>
      <c r="U1778" s="15"/>
    </row>
    <row r="1779" spans="12:21">
      <c r="L1779" s="15"/>
      <c r="M1779" s="15"/>
      <c r="N1779" s="15"/>
      <c r="T1779" s="15"/>
      <c r="U1779" s="15"/>
    </row>
    <row r="1780" spans="12:21">
      <c r="L1780" s="15"/>
      <c r="M1780" s="15"/>
      <c r="N1780" s="15"/>
      <c r="T1780" s="15"/>
      <c r="U1780" s="15"/>
    </row>
    <row r="1781" spans="12:21">
      <c r="L1781" s="15"/>
      <c r="M1781" s="15"/>
      <c r="N1781" s="15"/>
      <c r="T1781" s="15"/>
      <c r="U1781" s="15"/>
    </row>
    <row r="1782" spans="12:21">
      <c r="L1782" s="15"/>
      <c r="M1782" s="15"/>
      <c r="N1782" s="15"/>
      <c r="T1782" s="15"/>
      <c r="U1782" s="15"/>
    </row>
    <row r="1783" spans="12:21">
      <c r="L1783" s="15"/>
      <c r="M1783" s="15"/>
      <c r="N1783" s="15"/>
      <c r="T1783" s="15"/>
      <c r="U1783" s="15"/>
    </row>
    <row r="1784" spans="12:21">
      <c r="L1784" s="15"/>
      <c r="M1784" s="15"/>
      <c r="N1784" s="15"/>
      <c r="T1784" s="15"/>
      <c r="U1784" s="15"/>
    </row>
    <row r="1785" spans="12:21">
      <c r="L1785" s="15"/>
      <c r="M1785" s="15"/>
      <c r="N1785" s="15"/>
      <c r="T1785" s="15"/>
      <c r="U1785" s="15"/>
    </row>
    <row r="1786" spans="12:21">
      <c r="L1786" s="15"/>
      <c r="M1786" s="15"/>
      <c r="N1786" s="15"/>
      <c r="T1786" s="15"/>
      <c r="U1786" s="15"/>
    </row>
    <row r="1787" spans="12:21">
      <c r="L1787" s="15"/>
      <c r="M1787" s="15"/>
      <c r="N1787" s="15"/>
      <c r="T1787" s="15"/>
      <c r="U1787" s="15"/>
    </row>
    <row r="1788" spans="12:21">
      <c r="L1788" s="15"/>
      <c r="M1788" s="15"/>
      <c r="N1788" s="15"/>
      <c r="T1788" s="15"/>
      <c r="U1788" s="15"/>
    </row>
    <row r="1789" spans="12:21">
      <c r="L1789" s="15"/>
      <c r="M1789" s="15"/>
      <c r="N1789" s="15"/>
      <c r="T1789" s="15"/>
      <c r="U1789" s="15"/>
    </row>
    <row r="1790" spans="12:21">
      <c r="L1790" s="15"/>
      <c r="M1790" s="15"/>
      <c r="N1790" s="15"/>
      <c r="T1790" s="15"/>
      <c r="U1790" s="15"/>
    </row>
    <row r="1791" spans="12:21">
      <c r="L1791" s="15"/>
      <c r="M1791" s="15"/>
      <c r="N1791" s="15"/>
      <c r="T1791" s="15"/>
      <c r="U1791" s="15"/>
    </row>
    <row r="1792" spans="12:21">
      <c r="L1792" s="15"/>
      <c r="M1792" s="15"/>
      <c r="N1792" s="15"/>
      <c r="T1792" s="15"/>
      <c r="U1792" s="15"/>
    </row>
    <row r="1793" spans="12:21">
      <c r="L1793" s="15"/>
      <c r="M1793" s="15"/>
      <c r="N1793" s="15"/>
      <c r="T1793" s="15"/>
      <c r="U1793" s="15"/>
    </row>
    <row r="1794" spans="12:21">
      <c r="L1794" s="15"/>
      <c r="M1794" s="15"/>
      <c r="N1794" s="15"/>
      <c r="T1794" s="15"/>
      <c r="U1794" s="15"/>
    </row>
    <row r="1795" spans="12:21">
      <c r="L1795" s="15"/>
      <c r="M1795" s="15"/>
      <c r="N1795" s="15"/>
      <c r="T1795" s="15"/>
      <c r="U1795" s="15"/>
    </row>
    <row r="1796" spans="12:21">
      <c r="L1796" s="15"/>
      <c r="M1796" s="15"/>
      <c r="N1796" s="15"/>
      <c r="T1796" s="15"/>
      <c r="U1796" s="15"/>
    </row>
    <row r="1797" spans="12:21">
      <c r="L1797" s="15"/>
      <c r="M1797" s="15"/>
      <c r="N1797" s="15"/>
      <c r="T1797" s="15"/>
      <c r="U1797" s="15"/>
    </row>
    <row r="1798" spans="12:21">
      <c r="L1798" s="15"/>
      <c r="M1798" s="15"/>
      <c r="N1798" s="15"/>
      <c r="T1798" s="15"/>
      <c r="U1798" s="15"/>
    </row>
    <row r="1799" spans="12:21">
      <c r="L1799" s="15"/>
      <c r="M1799" s="15"/>
      <c r="N1799" s="15"/>
      <c r="T1799" s="15"/>
      <c r="U1799" s="15"/>
    </row>
    <row r="1800" spans="12:21">
      <c r="L1800" s="15"/>
      <c r="M1800" s="15"/>
      <c r="N1800" s="15"/>
      <c r="T1800" s="15"/>
      <c r="U1800" s="15"/>
    </row>
    <row r="1801" spans="12:21">
      <c r="L1801" s="15"/>
      <c r="M1801" s="15"/>
      <c r="N1801" s="15"/>
      <c r="T1801" s="15"/>
      <c r="U1801" s="15"/>
    </row>
    <row r="1802" spans="12:21">
      <c r="L1802" s="15"/>
      <c r="M1802" s="15"/>
      <c r="N1802" s="15"/>
      <c r="T1802" s="15"/>
      <c r="U1802" s="15"/>
    </row>
    <row r="1803" spans="12:21">
      <c r="L1803" s="15"/>
      <c r="M1803" s="15"/>
      <c r="N1803" s="15"/>
      <c r="T1803" s="15"/>
      <c r="U1803" s="15"/>
    </row>
    <row r="1804" spans="12:21">
      <c r="L1804" s="15"/>
      <c r="M1804" s="15"/>
      <c r="N1804" s="15"/>
      <c r="T1804" s="15"/>
      <c r="U1804" s="15"/>
    </row>
    <row r="1805" spans="12:21">
      <c r="L1805" s="15"/>
      <c r="M1805" s="15"/>
      <c r="N1805" s="15"/>
      <c r="T1805" s="15"/>
      <c r="U1805" s="15"/>
    </row>
    <row r="1806" spans="12:21">
      <c r="L1806" s="15"/>
      <c r="M1806" s="15"/>
      <c r="N1806" s="15"/>
      <c r="T1806" s="15"/>
      <c r="U1806" s="15"/>
    </row>
    <row r="1807" spans="12:21">
      <c r="L1807" s="15"/>
      <c r="M1807" s="15"/>
      <c r="N1807" s="15"/>
      <c r="T1807" s="15"/>
      <c r="U1807" s="15"/>
    </row>
    <row r="1808" spans="12:21">
      <c r="L1808" s="15"/>
      <c r="M1808" s="15"/>
      <c r="N1808" s="15"/>
      <c r="T1808" s="15"/>
      <c r="U1808" s="15"/>
    </row>
    <row r="1809" spans="12:21">
      <c r="L1809" s="15"/>
      <c r="M1809" s="15"/>
      <c r="N1809" s="15"/>
      <c r="T1809" s="15"/>
      <c r="U1809" s="15"/>
    </row>
    <row r="1810" spans="12:21">
      <c r="L1810" s="15"/>
      <c r="M1810" s="15"/>
      <c r="N1810" s="15"/>
      <c r="T1810" s="15"/>
      <c r="U1810" s="15"/>
    </row>
    <row r="1811" spans="12:21">
      <c r="L1811" s="15"/>
      <c r="M1811" s="15"/>
      <c r="N1811" s="15"/>
      <c r="T1811" s="15"/>
      <c r="U1811" s="15"/>
    </row>
    <row r="1812" spans="12:21">
      <c r="L1812" s="15"/>
      <c r="M1812" s="15"/>
      <c r="N1812" s="15"/>
      <c r="T1812" s="15"/>
      <c r="U1812" s="15"/>
    </row>
    <row r="1813" spans="12:21">
      <c r="L1813" s="15"/>
      <c r="M1813" s="15"/>
      <c r="N1813" s="15"/>
      <c r="T1813" s="15"/>
      <c r="U1813" s="15"/>
    </row>
    <row r="1814" spans="12:21">
      <c r="L1814" s="15"/>
      <c r="M1814" s="15"/>
      <c r="N1814" s="15"/>
      <c r="T1814" s="15"/>
      <c r="U1814" s="15"/>
    </row>
    <row r="1815" spans="12:21">
      <c r="L1815" s="15"/>
      <c r="M1815" s="15"/>
      <c r="N1815" s="15"/>
      <c r="T1815" s="15"/>
      <c r="U1815" s="15"/>
    </row>
    <row r="1816" spans="12:21">
      <c r="L1816" s="15"/>
      <c r="M1816" s="15"/>
      <c r="N1816" s="15"/>
      <c r="T1816" s="15"/>
      <c r="U1816" s="15"/>
    </row>
    <row r="1817" spans="12:21">
      <c r="L1817" s="15"/>
      <c r="M1817" s="15"/>
      <c r="N1817" s="15"/>
      <c r="T1817" s="15"/>
      <c r="U1817" s="15"/>
    </row>
    <row r="1818" spans="12:21">
      <c r="L1818" s="15"/>
      <c r="M1818" s="15"/>
      <c r="N1818" s="15"/>
      <c r="T1818" s="15"/>
      <c r="U1818" s="15"/>
    </row>
    <row r="1819" spans="12:21">
      <c r="L1819" s="15"/>
      <c r="M1819" s="15"/>
      <c r="N1819" s="15"/>
      <c r="T1819" s="15"/>
      <c r="U1819" s="15"/>
    </row>
    <row r="1820" spans="12:21">
      <c r="L1820" s="15"/>
      <c r="M1820" s="15"/>
      <c r="N1820" s="15"/>
      <c r="T1820" s="15"/>
      <c r="U1820" s="15"/>
    </row>
    <row r="1821" spans="12:21">
      <c r="L1821" s="15"/>
      <c r="M1821" s="15"/>
      <c r="N1821" s="15"/>
      <c r="T1821" s="15"/>
      <c r="U1821" s="15"/>
    </row>
    <row r="1822" spans="12:21">
      <c r="L1822" s="15"/>
      <c r="M1822" s="15"/>
      <c r="N1822" s="15"/>
      <c r="T1822" s="15"/>
      <c r="U1822" s="15"/>
    </row>
    <row r="1823" spans="12:21">
      <c r="L1823" s="15"/>
      <c r="M1823" s="15"/>
      <c r="N1823" s="15"/>
      <c r="T1823" s="15"/>
      <c r="U1823" s="15"/>
    </row>
    <row r="1824" spans="12:21">
      <c r="L1824" s="15"/>
      <c r="M1824" s="15"/>
      <c r="N1824" s="15"/>
      <c r="T1824" s="15"/>
      <c r="U1824" s="15"/>
    </row>
    <row r="1825" spans="12:21">
      <c r="L1825" s="15"/>
      <c r="M1825" s="15"/>
      <c r="N1825" s="15"/>
      <c r="T1825" s="15"/>
      <c r="U1825" s="15"/>
    </row>
    <row r="1826" spans="12:21">
      <c r="L1826" s="15"/>
      <c r="M1826" s="15"/>
      <c r="N1826" s="15"/>
      <c r="T1826" s="15"/>
      <c r="U1826" s="15"/>
    </row>
    <row r="1827" spans="12:21">
      <c r="L1827" s="15"/>
      <c r="M1827" s="15"/>
      <c r="N1827" s="15"/>
      <c r="T1827" s="15"/>
      <c r="U1827" s="15"/>
    </row>
    <row r="1828" spans="12:21">
      <c r="L1828" s="15"/>
      <c r="M1828" s="15"/>
      <c r="N1828" s="15"/>
      <c r="T1828" s="15"/>
      <c r="U1828" s="15"/>
    </row>
    <row r="1829" spans="12:21">
      <c r="L1829" s="15"/>
      <c r="M1829" s="15"/>
      <c r="N1829" s="15"/>
      <c r="T1829" s="15"/>
      <c r="U1829" s="15"/>
    </row>
    <row r="1830" spans="12:21">
      <c r="L1830" s="15"/>
      <c r="M1830" s="15"/>
      <c r="N1830" s="15"/>
      <c r="T1830" s="15"/>
      <c r="U1830" s="15"/>
    </row>
    <row r="1831" spans="12:21">
      <c r="L1831" s="15"/>
      <c r="M1831" s="15"/>
      <c r="N1831" s="15"/>
      <c r="T1831" s="15"/>
      <c r="U1831" s="15"/>
    </row>
    <row r="1832" spans="12:21">
      <c r="L1832" s="15"/>
      <c r="M1832" s="15"/>
      <c r="N1832" s="15"/>
      <c r="T1832" s="15"/>
      <c r="U1832" s="15"/>
    </row>
    <row r="1833" spans="12:21">
      <c r="L1833" s="15"/>
      <c r="M1833" s="15"/>
      <c r="N1833" s="15"/>
      <c r="T1833" s="15"/>
      <c r="U1833" s="15"/>
    </row>
    <row r="1834" spans="12:21">
      <c r="L1834" s="15"/>
      <c r="M1834" s="15"/>
      <c r="N1834" s="15"/>
      <c r="T1834" s="15"/>
      <c r="U1834" s="15"/>
    </row>
    <row r="1835" spans="12:21">
      <c r="L1835" s="15"/>
      <c r="M1835" s="15"/>
      <c r="N1835" s="15"/>
      <c r="T1835" s="15"/>
      <c r="U1835" s="15"/>
    </row>
    <row r="1836" spans="12:21">
      <c r="L1836" s="15"/>
      <c r="M1836" s="15"/>
      <c r="N1836" s="15"/>
      <c r="T1836" s="15"/>
      <c r="U1836" s="15"/>
    </row>
    <row r="1837" spans="12:21">
      <c r="L1837" s="15"/>
      <c r="M1837" s="15"/>
      <c r="N1837" s="15"/>
      <c r="T1837" s="15"/>
      <c r="U1837" s="15"/>
    </row>
    <row r="1838" spans="12:21">
      <c r="L1838" s="15"/>
      <c r="M1838" s="15"/>
      <c r="N1838" s="15"/>
      <c r="T1838" s="15"/>
      <c r="U1838" s="15"/>
    </row>
    <row r="1839" spans="12:21">
      <c r="L1839" s="15"/>
      <c r="M1839" s="15"/>
      <c r="N1839" s="15"/>
      <c r="T1839" s="15"/>
      <c r="U1839" s="15"/>
    </row>
    <row r="1840" spans="12:21">
      <c r="L1840" s="15"/>
      <c r="M1840" s="15"/>
      <c r="N1840" s="15"/>
      <c r="T1840" s="15"/>
      <c r="U1840" s="15"/>
    </row>
    <row r="1841" spans="12:21">
      <c r="L1841" s="15"/>
      <c r="M1841" s="15"/>
      <c r="N1841" s="15"/>
      <c r="T1841" s="15"/>
      <c r="U1841" s="15"/>
    </row>
    <row r="1842" spans="12:21">
      <c r="L1842" s="15"/>
      <c r="M1842" s="15"/>
      <c r="N1842" s="15"/>
      <c r="T1842" s="15"/>
      <c r="U1842" s="15"/>
    </row>
    <row r="1843" spans="12:21">
      <c r="L1843" s="15"/>
      <c r="M1843" s="15"/>
      <c r="N1843" s="15"/>
      <c r="T1843" s="15"/>
      <c r="U1843" s="15"/>
    </row>
    <row r="1844" spans="12:21">
      <c r="L1844" s="15"/>
      <c r="M1844" s="15"/>
      <c r="N1844" s="15"/>
      <c r="T1844" s="15"/>
      <c r="U1844" s="15"/>
    </row>
    <row r="1845" spans="12:21">
      <c r="L1845" s="15"/>
      <c r="M1845" s="15"/>
      <c r="N1845" s="15"/>
      <c r="T1845" s="15"/>
      <c r="U1845" s="15"/>
    </row>
    <row r="1846" spans="12:21">
      <c r="L1846" s="15"/>
      <c r="M1846" s="15"/>
      <c r="N1846" s="15"/>
      <c r="T1846" s="15"/>
      <c r="U1846" s="15"/>
    </row>
    <row r="1847" spans="12:21">
      <c r="L1847" s="15"/>
      <c r="M1847" s="15"/>
      <c r="N1847" s="15"/>
      <c r="T1847" s="15"/>
      <c r="U1847" s="15"/>
    </row>
    <row r="1848" spans="12:21">
      <c r="L1848" s="15"/>
      <c r="M1848" s="15"/>
      <c r="N1848" s="15"/>
      <c r="T1848" s="15"/>
      <c r="U1848" s="15"/>
    </row>
    <row r="1849" spans="12:21">
      <c r="L1849" s="15"/>
      <c r="M1849" s="15"/>
      <c r="N1849" s="15"/>
      <c r="T1849" s="15"/>
      <c r="U1849" s="15"/>
    </row>
    <row r="1850" spans="12:21">
      <c r="L1850" s="15"/>
      <c r="M1850" s="15"/>
      <c r="N1850" s="15"/>
      <c r="T1850" s="15"/>
      <c r="U1850" s="15"/>
    </row>
    <row r="1851" spans="12:21">
      <c r="L1851" s="15"/>
      <c r="M1851" s="15"/>
      <c r="N1851" s="15"/>
      <c r="T1851" s="15"/>
      <c r="U1851" s="15"/>
    </row>
    <row r="1852" spans="12:21">
      <c r="L1852" s="15"/>
      <c r="M1852" s="15"/>
      <c r="N1852" s="15"/>
      <c r="T1852" s="15"/>
      <c r="U1852" s="15"/>
    </row>
    <row r="1853" spans="12:21">
      <c r="L1853" s="15"/>
      <c r="M1853" s="15"/>
      <c r="N1853" s="15"/>
      <c r="T1853" s="15"/>
      <c r="U1853" s="15"/>
    </row>
    <row r="1854" spans="12:21">
      <c r="L1854" s="15"/>
      <c r="M1854" s="15"/>
      <c r="N1854" s="15"/>
      <c r="T1854" s="15"/>
      <c r="U1854" s="15"/>
    </row>
    <row r="1855" spans="12:21">
      <c r="L1855" s="15"/>
      <c r="M1855" s="15"/>
      <c r="N1855" s="15"/>
      <c r="T1855" s="15"/>
      <c r="U1855" s="15"/>
    </row>
    <row r="1856" spans="12:21">
      <c r="L1856" s="15"/>
      <c r="M1856" s="15"/>
      <c r="N1856" s="15"/>
      <c r="T1856" s="15"/>
      <c r="U1856" s="15"/>
    </row>
    <row r="1857" spans="12:21">
      <c r="L1857" s="15"/>
      <c r="M1857" s="15"/>
      <c r="N1857" s="15"/>
      <c r="T1857" s="15"/>
      <c r="U1857" s="15"/>
    </row>
    <row r="1858" spans="12:21">
      <c r="L1858" s="15"/>
      <c r="M1858" s="15"/>
      <c r="N1858" s="15"/>
      <c r="T1858" s="15"/>
      <c r="U1858" s="15"/>
    </row>
    <row r="1859" spans="12:21">
      <c r="L1859" s="15"/>
      <c r="M1859" s="15"/>
      <c r="N1859" s="15"/>
      <c r="T1859" s="15"/>
      <c r="U1859" s="15"/>
    </row>
    <row r="1860" spans="12:21">
      <c r="L1860" s="15"/>
      <c r="M1860" s="15"/>
      <c r="N1860" s="15"/>
      <c r="T1860" s="15"/>
      <c r="U1860" s="15"/>
    </row>
    <row r="1861" spans="12:21">
      <c r="L1861" s="15"/>
      <c r="M1861" s="15"/>
      <c r="N1861" s="15"/>
      <c r="T1861" s="15"/>
      <c r="U1861" s="15"/>
    </row>
    <row r="1862" spans="12:21">
      <c r="L1862" s="15"/>
      <c r="M1862" s="15"/>
      <c r="N1862" s="15"/>
      <c r="T1862" s="15"/>
      <c r="U1862" s="15"/>
    </row>
    <row r="1863" spans="12:21">
      <c r="L1863" s="15"/>
      <c r="M1863" s="15"/>
      <c r="N1863" s="15"/>
      <c r="T1863" s="15"/>
      <c r="U1863" s="15"/>
    </row>
    <row r="1864" spans="12:21">
      <c r="L1864" s="15"/>
      <c r="M1864" s="15"/>
      <c r="N1864" s="15"/>
      <c r="T1864" s="15"/>
      <c r="U1864" s="15"/>
    </row>
    <row r="1865" spans="12:21">
      <c r="L1865" s="15"/>
      <c r="M1865" s="15"/>
      <c r="N1865" s="15"/>
      <c r="T1865" s="15"/>
      <c r="U1865" s="15"/>
    </row>
    <row r="1866" spans="12:21">
      <c r="L1866" s="15"/>
      <c r="M1866" s="15"/>
      <c r="N1866" s="15"/>
      <c r="T1866" s="15"/>
      <c r="U1866" s="15"/>
    </row>
    <row r="1867" spans="12:21">
      <c r="L1867" s="15"/>
      <c r="M1867" s="15"/>
      <c r="N1867" s="15"/>
      <c r="T1867" s="15"/>
      <c r="U1867" s="15"/>
    </row>
    <row r="1868" spans="12:21">
      <c r="L1868" s="15"/>
      <c r="M1868" s="15"/>
      <c r="N1868" s="15"/>
      <c r="T1868" s="15"/>
      <c r="U1868" s="15"/>
    </row>
    <row r="1869" spans="12:21">
      <c r="L1869" s="15"/>
      <c r="M1869" s="15"/>
      <c r="N1869" s="15"/>
      <c r="T1869" s="15"/>
      <c r="U1869" s="15"/>
    </row>
    <row r="1870" spans="12:21">
      <c r="L1870" s="15"/>
      <c r="M1870" s="15"/>
      <c r="N1870" s="15"/>
      <c r="T1870" s="15"/>
      <c r="U1870" s="15"/>
    </row>
    <row r="1871" spans="12:21">
      <c r="L1871" s="15"/>
      <c r="M1871" s="15"/>
      <c r="N1871" s="15"/>
      <c r="T1871" s="15"/>
      <c r="U1871" s="15"/>
    </row>
    <row r="1872" spans="12:21">
      <c r="L1872" s="15"/>
      <c r="M1872" s="15"/>
      <c r="N1872" s="15"/>
      <c r="T1872" s="15"/>
      <c r="U1872" s="15"/>
    </row>
    <row r="1873" spans="12:21">
      <c r="L1873" s="15"/>
      <c r="M1873" s="15"/>
      <c r="N1873" s="15"/>
      <c r="T1873" s="15"/>
      <c r="U1873" s="15"/>
    </row>
    <row r="1874" spans="12:21">
      <c r="L1874" s="15"/>
      <c r="M1874" s="15"/>
      <c r="N1874" s="15"/>
      <c r="T1874" s="15"/>
      <c r="U1874" s="15"/>
    </row>
    <row r="1875" spans="12:21">
      <c r="L1875" s="15"/>
      <c r="M1875" s="15"/>
      <c r="N1875" s="15"/>
      <c r="T1875" s="15"/>
      <c r="U1875" s="15"/>
    </row>
    <row r="1876" spans="12:21">
      <c r="L1876" s="15"/>
      <c r="M1876" s="15"/>
      <c r="N1876" s="15"/>
      <c r="T1876" s="15"/>
      <c r="U1876" s="15"/>
    </row>
    <row r="1877" spans="12:21">
      <c r="L1877" s="15"/>
      <c r="M1877" s="15"/>
      <c r="N1877" s="15"/>
      <c r="T1877" s="15"/>
      <c r="U1877" s="15"/>
    </row>
    <row r="1878" spans="12:21">
      <c r="L1878" s="15"/>
      <c r="M1878" s="15"/>
      <c r="N1878" s="15"/>
      <c r="T1878" s="15"/>
      <c r="U1878" s="15"/>
    </row>
    <row r="1879" spans="12:21">
      <c r="L1879" s="15"/>
      <c r="M1879" s="15"/>
      <c r="N1879" s="15"/>
      <c r="T1879" s="15"/>
      <c r="U1879" s="15"/>
    </row>
    <row r="1880" spans="12:21">
      <c r="L1880" s="15"/>
      <c r="M1880" s="15"/>
      <c r="N1880" s="15"/>
      <c r="T1880" s="15"/>
      <c r="U1880" s="15"/>
    </row>
    <row r="1881" spans="12:21">
      <c r="L1881" s="15"/>
      <c r="M1881" s="15"/>
      <c r="N1881" s="15"/>
      <c r="T1881" s="15"/>
      <c r="U1881" s="15"/>
    </row>
    <row r="1882" spans="12:21">
      <c r="L1882" s="15"/>
      <c r="M1882" s="15"/>
      <c r="N1882" s="15"/>
      <c r="T1882" s="15"/>
      <c r="U1882" s="15"/>
    </row>
    <row r="1883" spans="12:21">
      <c r="L1883" s="15"/>
      <c r="M1883" s="15"/>
      <c r="N1883" s="15"/>
      <c r="T1883" s="15"/>
      <c r="U1883" s="15"/>
    </row>
    <row r="1884" spans="12:21">
      <c r="L1884" s="15"/>
      <c r="M1884" s="15"/>
      <c r="N1884" s="15"/>
      <c r="T1884" s="15"/>
      <c r="U1884" s="15"/>
    </row>
    <row r="1885" spans="12:21">
      <c r="L1885" s="15"/>
      <c r="M1885" s="15"/>
      <c r="N1885" s="15"/>
      <c r="T1885" s="15"/>
      <c r="U1885" s="15"/>
    </row>
    <row r="1886" spans="12:21">
      <c r="L1886" s="15"/>
      <c r="M1886" s="15"/>
      <c r="N1886" s="15"/>
      <c r="T1886" s="15"/>
      <c r="U1886" s="15"/>
    </row>
    <row r="1887" spans="12:21">
      <c r="L1887" s="15"/>
      <c r="M1887" s="15"/>
      <c r="N1887" s="15"/>
      <c r="T1887" s="15"/>
      <c r="U1887" s="15"/>
    </row>
    <row r="1888" spans="12:21">
      <c r="L1888" s="15"/>
      <c r="M1888" s="15"/>
      <c r="N1888" s="15"/>
      <c r="T1888" s="15"/>
      <c r="U1888" s="15"/>
    </row>
    <row r="1889" spans="12:21">
      <c r="L1889" s="15"/>
      <c r="M1889" s="15"/>
      <c r="N1889" s="15"/>
      <c r="T1889" s="15"/>
      <c r="U1889" s="15"/>
    </row>
    <row r="1890" spans="12:21">
      <c r="L1890" s="15"/>
      <c r="M1890" s="15"/>
      <c r="N1890" s="15"/>
      <c r="T1890" s="15"/>
      <c r="U1890" s="15"/>
    </row>
    <row r="1891" spans="12:21">
      <c r="L1891" s="15"/>
      <c r="M1891" s="15"/>
      <c r="N1891" s="15"/>
      <c r="T1891" s="15"/>
      <c r="U1891" s="15"/>
    </row>
    <row r="1892" spans="12:21">
      <c r="L1892" s="15"/>
      <c r="M1892" s="15"/>
      <c r="N1892" s="15"/>
      <c r="T1892" s="15"/>
      <c r="U1892" s="15"/>
    </row>
    <row r="1893" spans="12:21">
      <c r="L1893" s="15"/>
      <c r="M1893" s="15"/>
      <c r="N1893" s="15"/>
      <c r="T1893" s="15"/>
      <c r="U1893" s="15"/>
    </row>
    <row r="1894" spans="12:21">
      <c r="L1894" s="15"/>
      <c r="M1894" s="15"/>
      <c r="N1894" s="15"/>
      <c r="T1894" s="15"/>
      <c r="U1894" s="15"/>
    </row>
    <row r="1895" spans="12:21">
      <c r="L1895" s="15"/>
      <c r="M1895" s="15"/>
      <c r="N1895" s="15"/>
      <c r="T1895" s="15"/>
      <c r="U1895" s="15"/>
    </row>
    <row r="1896" spans="12:21">
      <c r="L1896" s="15"/>
      <c r="M1896" s="15"/>
      <c r="N1896" s="15"/>
      <c r="T1896" s="15"/>
      <c r="U1896" s="15"/>
    </row>
    <row r="1897" spans="12:21">
      <c r="L1897" s="15"/>
      <c r="M1897" s="15"/>
      <c r="N1897" s="15"/>
      <c r="T1897" s="15"/>
      <c r="U1897" s="15"/>
    </row>
    <row r="1898" spans="12:21">
      <c r="L1898" s="15"/>
      <c r="M1898" s="15"/>
      <c r="N1898" s="15"/>
      <c r="T1898" s="15"/>
      <c r="U1898" s="15"/>
    </row>
    <row r="1899" spans="12:21">
      <c r="L1899" s="15"/>
      <c r="M1899" s="15"/>
      <c r="N1899" s="15"/>
      <c r="T1899" s="15"/>
      <c r="U1899" s="15"/>
    </row>
    <row r="1900" spans="12:21">
      <c r="L1900" s="15"/>
      <c r="M1900" s="15"/>
      <c r="N1900" s="15"/>
      <c r="T1900" s="15"/>
      <c r="U1900" s="15"/>
    </row>
    <row r="1901" spans="12:21">
      <c r="L1901" s="15"/>
      <c r="M1901" s="15"/>
      <c r="N1901" s="15"/>
      <c r="T1901" s="15"/>
      <c r="U1901" s="15"/>
    </row>
    <row r="1902" spans="12:21">
      <c r="L1902" s="15"/>
      <c r="M1902" s="15"/>
      <c r="N1902" s="15"/>
      <c r="T1902" s="15"/>
      <c r="U1902" s="15"/>
    </row>
    <row r="1903" spans="12:21">
      <c r="L1903" s="15"/>
      <c r="M1903" s="15"/>
      <c r="N1903" s="15"/>
      <c r="T1903" s="15"/>
      <c r="U1903" s="15"/>
    </row>
    <row r="1904" spans="12:21">
      <c r="L1904" s="15"/>
      <c r="M1904" s="15"/>
      <c r="N1904" s="15"/>
      <c r="T1904" s="15"/>
      <c r="U1904" s="15"/>
    </row>
    <row r="1905" spans="12:21">
      <c r="L1905" s="15"/>
      <c r="M1905" s="15"/>
      <c r="N1905" s="15"/>
      <c r="T1905" s="15"/>
      <c r="U1905" s="15"/>
    </row>
    <row r="1906" spans="12:21">
      <c r="L1906" s="15"/>
      <c r="M1906" s="15"/>
      <c r="N1906" s="15"/>
      <c r="T1906" s="15"/>
      <c r="U1906" s="15"/>
    </row>
    <row r="1907" spans="12:21">
      <c r="L1907" s="15"/>
      <c r="M1907" s="15"/>
      <c r="N1907" s="15"/>
      <c r="T1907" s="15"/>
      <c r="U1907" s="15"/>
    </row>
    <row r="1908" spans="12:21">
      <c r="L1908" s="15"/>
      <c r="M1908" s="15"/>
      <c r="N1908" s="15"/>
      <c r="T1908" s="15"/>
      <c r="U1908" s="15"/>
    </row>
    <row r="1909" spans="12:21">
      <c r="L1909" s="15"/>
      <c r="M1909" s="15"/>
      <c r="N1909" s="15"/>
      <c r="T1909" s="15"/>
      <c r="U1909" s="15"/>
    </row>
    <row r="1910" spans="12:21">
      <c r="L1910" s="15"/>
      <c r="M1910" s="15"/>
      <c r="N1910" s="15"/>
      <c r="T1910" s="15"/>
      <c r="U1910" s="15"/>
    </row>
    <row r="1911" spans="12:21">
      <c r="L1911" s="15"/>
      <c r="M1911" s="15"/>
      <c r="N1911" s="15"/>
      <c r="T1911" s="15"/>
      <c r="U1911" s="15"/>
    </row>
    <row r="1912" spans="12:21">
      <c r="L1912" s="15"/>
      <c r="M1912" s="15"/>
      <c r="N1912" s="15"/>
      <c r="T1912" s="15"/>
      <c r="U1912" s="15"/>
    </row>
    <row r="1913" spans="12:21">
      <c r="L1913" s="15"/>
      <c r="M1913" s="15"/>
      <c r="N1913" s="15"/>
      <c r="T1913" s="15"/>
      <c r="U1913" s="15"/>
    </row>
    <row r="1914" spans="12:21">
      <c r="L1914" s="15"/>
      <c r="M1914" s="15"/>
      <c r="N1914" s="15"/>
      <c r="T1914" s="15"/>
      <c r="U1914" s="15"/>
    </row>
    <row r="1915" spans="12:21">
      <c r="L1915" s="15"/>
      <c r="M1915" s="15"/>
      <c r="N1915" s="15"/>
      <c r="T1915" s="15"/>
      <c r="U1915" s="15"/>
    </row>
    <row r="1916" spans="12:21">
      <c r="L1916" s="15"/>
      <c r="M1916" s="15"/>
      <c r="N1916" s="15"/>
      <c r="T1916" s="15"/>
      <c r="U1916" s="15"/>
    </row>
    <row r="1917" spans="12:21">
      <c r="L1917" s="15"/>
      <c r="M1917" s="15"/>
      <c r="N1917" s="15"/>
      <c r="T1917" s="15"/>
      <c r="U1917" s="15"/>
    </row>
    <row r="1918" spans="12:21">
      <c r="L1918" s="15"/>
      <c r="M1918" s="15"/>
      <c r="N1918" s="15"/>
      <c r="T1918" s="15"/>
      <c r="U1918" s="15"/>
    </row>
    <row r="1919" spans="12:21">
      <c r="L1919" s="15"/>
      <c r="M1919" s="15"/>
      <c r="N1919" s="15"/>
      <c r="T1919" s="15"/>
      <c r="U1919" s="15"/>
    </row>
    <row r="1920" spans="12:21">
      <c r="N1920" s="15"/>
    </row>
  </sheetData>
  <mergeCells count="75">
    <mergeCell ref="B719:C733"/>
    <mergeCell ref="B734:C748"/>
    <mergeCell ref="A719:A733"/>
    <mergeCell ref="A734:A748"/>
    <mergeCell ref="V1:W1"/>
    <mergeCell ref="B582:C596"/>
    <mergeCell ref="B612:C626"/>
    <mergeCell ref="B659:C673"/>
    <mergeCell ref="B689:C703"/>
    <mergeCell ref="B501:C515"/>
    <mergeCell ref="B516:C532"/>
    <mergeCell ref="B644:C658"/>
    <mergeCell ref="B674:C688"/>
    <mergeCell ref="B704:C718"/>
    <mergeCell ref="B533:C549"/>
    <mergeCell ref="B550:C566"/>
    <mergeCell ref="B567:C581"/>
    <mergeCell ref="B597:C611"/>
    <mergeCell ref="B627:C643"/>
    <mergeCell ref="B409:C425"/>
    <mergeCell ref="B426:C440"/>
    <mergeCell ref="B456:C470"/>
    <mergeCell ref="B471:C485"/>
    <mergeCell ref="B486:C500"/>
    <mergeCell ref="C6:W6"/>
    <mergeCell ref="C7:W7"/>
    <mergeCell ref="A471:A515"/>
    <mergeCell ref="A516:A718"/>
    <mergeCell ref="A208:A252"/>
    <mergeCell ref="A330:A346"/>
    <mergeCell ref="A347:A408"/>
    <mergeCell ref="A409:A470"/>
    <mergeCell ref="A253:A329"/>
    <mergeCell ref="B441:C455"/>
    <mergeCell ref="B208:C222"/>
    <mergeCell ref="B223:C237"/>
    <mergeCell ref="B238:C252"/>
    <mergeCell ref="B394:C408"/>
    <mergeCell ref="B253:C269"/>
    <mergeCell ref="B379:C393"/>
    <mergeCell ref="B364:C378"/>
    <mergeCell ref="B270:B299"/>
    <mergeCell ref="B300:B329"/>
    <mergeCell ref="C315:C329"/>
    <mergeCell ref="C270:C284"/>
    <mergeCell ref="C300:C314"/>
    <mergeCell ref="C285:C299"/>
    <mergeCell ref="A16:C18"/>
    <mergeCell ref="B178:C192"/>
    <mergeCell ref="B193:C207"/>
    <mergeCell ref="B330:C346"/>
    <mergeCell ref="B347:C363"/>
    <mergeCell ref="B22:C38"/>
    <mergeCell ref="B39:C55"/>
    <mergeCell ref="B56:C72"/>
    <mergeCell ref="B73:B117"/>
    <mergeCell ref="B118:B162"/>
    <mergeCell ref="C148:C162"/>
    <mergeCell ref="B163:C177"/>
    <mergeCell ref="C8:W8"/>
    <mergeCell ref="D9:U9"/>
    <mergeCell ref="A19:C21"/>
    <mergeCell ref="C88:C102"/>
    <mergeCell ref="C73:C87"/>
    <mergeCell ref="F13:U13"/>
    <mergeCell ref="V13:V14"/>
    <mergeCell ref="A22:A207"/>
    <mergeCell ref="A13:C14"/>
    <mergeCell ref="D13:D14"/>
    <mergeCell ref="E13:E14"/>
    <mergeCell ref="C133:C147"/>
    <mergeCell ref="C103:C117"/>
    <mergeCell ref="C118:C132"/>
    <mergeCell ref="W13:W14"/>
    <mergeCell ref="A15:W15"/>
  </mergeCells>
  <pageMargins left="0.19685039370078741" right="0.70866141732283472" top="0.74803149606299213" bottom="0.19685039370078741" header="0.31496062992125984" footer="0.19685039370078741"/>
  <pageSetup paperSize="9" scale="31" fitToHeight="2" orientation="portrait" r:id="rId1"/>
  <rowBreaks count="4" manualBreakCount="4">
    <brk id="346" max="22" man="1"/>
    <brk id="363" max="22" man="1"/>
    <brk id="596" max="22" man="1"/>
    <brk id="626" max="2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C000"/>
  </sheetPr>
  <dimension ref="A1:AB1829"/>
  <sheetViews>
    <sheetView view="pageBreakPreview" zoomScale="70" zoomScaleNormal="70" zoomScaleSheetLayoutView="70" workbookViewId="0">
      <pane xSplit="5" ySplit="15" topLeftCell="I16" activePane="bottomRight" state="frozen"/>
      <selection activeCell="C5" sqref="C5:W5"/>
      <selection pane="topRight" activeCell="C5" sqref="C5:W5"/>
      <selection pane="bottomLeft" activeCell="C5" sqref="C5:W5"/>
      <selection pane="bottomRight" activeCell="S83" sqref="S83"/>
    </sheetView>
  </sheetViews>
  <sheetFormatPr defaultColWidth="9.33203125" defaultRowHeight="23.35" customHeight="1"/>
  <cols>
    <col min="1" max="1" width="10.44140625" style="249" customWidth="1"/>
    <col min="2" max="2" width="6.44140625" style="249" customWidth="1"/>
    <col min="3" max="3" width="7" style="155" customWidth="1"/>
    <col min="4" max="4" width="33.5546875" style="155" customWidth="1"/>
    <col min="5" max="5" width="15.109375" style="1" customWidth="1"/>
    <col min="6" max="6" width="12.44140625" style="15" customWidth="1"/>
    <col min="7" max="11" width="11.44140625" style="15" customWidth="1"/>
    <col min="12" max="12" width="12" style="16" customWidth="1"/>
    <col min="13" max="13" width="11.44140625" style="16" customWidth="1"/>
    <col min="14" max="14" width="11.21875" style="17" customWidth="1"/>
    <col min="15" max="17" width="11.44140625" style="15" customWidth="1"/>
    <col min="18" max="18" width="13" style="15" customWidth="1"/>
    <col min="19" max="19" width="12.21875" style="15" customWidth="1"/>
    <col min="20" max="20" width="13.44140625" style="16" customWidth="1"/>
    <col min="21" max="21" width="13.5546875" style="16" customWidth="1"/>
    <col min="22" max="22" width="14.44140625" style="78" customWidth="1"/>
    <col min="23" max="23" width="15.44140625" style="15" customWidth="1"/>
    <col min="24" max="24" width="14.21875" style="13" customWidth="1"/>
    <col min="25" max="25" width="9.6640625" style="13" bestFit="1" customWidth="1"/>
    <col min="26" max="27" width="13.44140625" style="13" customWidth="1"/>
    <col min="28" max="16384" width="9.33203125" style="13"/>
  </cols>
  <sheetData>
    <row r="1" spans="1:27" s="377" customFormat="1" ht="25.7" customHeight="1">
      <c r="A1" s="545" t="s">
        <v>100</v>
      </c>
      <c r="B1" s="343"/>
      <c r="C1" s="372"/>
      <c r="D1" s="372"/>
      <c r="E1" s="493" t="s">
        <v>131</v>
      </c>
      <c r="F1" s="472">
        <v>1754</v>
      </c>
      <c r="G1" s="472">
        <v>494078</v>
      </c>
      <c r="H1" s="472">
        <v>593002</v>
      </c>
      <c r="I1" s="472">
        <v>395468</v>
      </c>
      <c r="J1" s="472">
        <v>73788</v>
      </c>
      <c r="K1" s="472">
        <v>91578</v>
      </c>
      <c r="L1" s="472"/>
      <c r="M1" s="472"/>
      <c r="N1" s="472">
        <v>90319</v>
      </c>
      <c r="O1" s="472">
        <v>86533</v>
      </c>
      <c r="P1" s="472">
        <v>77444</v>
      </c>
      <c r="Q1" s="472">
        <v>98443</v>
      </c>
      <c r="R1" s="472">
        <v>111436</v>
      </c>
      <c r="S1" s="472">
        <v>1035895</v>
      </c>
      <c r="T1" s="472">
        <v>3149738</v>
      </c>
      <c r="U1" s="329">
        <f>T1/1000</f>
        <v>3149.7379999999998</v>
      </c>
      <c r="V1" s="681" t="s">
        <v>3</v>
      </c>
      <c r="W1" s="681"/>
    </row>
    <row r="2" spans="1:27" ht="18.2" customHeight="1">
      <c r="E2" s="385"/>
      <c r="F2" s="476">
        <f>F1/1000</f>
        <v>1.754</v>
      </c>
      <c r="G2" s="476">
        <f t="shared" ref="G2:K2" si="0">G1/1000</f>
        <v>494.07799999999997</v>
      </c>
      <c r="H2" s="476">
        <f t="shared" si="0"/>
        <v>593.00199999999995</v>
      </c>
      <c r="I2" s="476">
        <f t="shared" si="0"/>
        <v>395.46800000000002</v>
      </c>
      <c r="J2" s="476">
        <f t="shared" si="0"/>
        <v>73.787999999999997</v>
      </c>
      <c r="K2" s="476">
        <f t="shared" si="0"/>
        <v>91.578000000000003</v>
      </c>
      <c r="L2" s="476"/>
      <c r="M2" s="476"/>
      <c r="N2" s="476">
        <f>N1/1000</f>
        <v>90.319000000000003</v>
      </c>
      <c r="O2" s="476">
        <f t="shared" ref="O2:S2" si="1">O1/1000</f>
        <v>86.533000000000001</v>
      </c>
      <c r="P2" s="476">
        <f t="shared" si="1"/>
        <v>77.444000000000003</v>
      </c>
      <c r="Q2" s="476">
        <f t="shared" si="1"/>
        <v>98.442999999999998</v>
      </c>
      <c r="R2" s="476">
        <f t="shared" si="1"/>
        <v>111.43600000000001</v>
      </c>
      <c r="S2" s="476">
        <f t="shared" si="1"/>
        <v>1035.895</v>
      </c>
      <c r="T2" s="479">
        <f>SUM(F2:S2)</f>
        <v>3149.7379999999998</v>
      </c>
      <c r="U2" s="329">
        <f>U1-V18</f>
        <v>0</v>
      </c>
    </row>
    <row r="3" spans="1:27" s="459" customFormat="1" ht="16.3">
      <c r="A3" s="456"/>
      <c r="B3" s="456"/>
      <c r="C3" s="155"/>
      <c r="D3" s="155"/>
      <c r="E3" s="385"/>
      <c r="F3" s="477">
        <f>F2-F17-F18</f>
        <v>0</v>
      </c>
      <c r="G3" s="477">
        <f t="shared" ref="G3:K3" si="2">G2-G17-G18</f>
        <v>0</v>
      </c>
      <c r="H3" s="477">
        <f t="shared" si="2"/>
        <v>0</v>
      </c>
      <c r="I3" s="477">
        <f t="shared" si="2"/>
        <v>0</v>
      </c>
      <c r="J3" s="477">
        <f t="shared" si="2"/>
        <v>0</v>
      </c>
      <c r="K3" s="477">
        <f t="shared" si="2"/>
        <v>0</v>
      </c>
      <c r="L3" s="477"/>
      <c r="M3" s="477"/>
      <c r="N3" s="477">
        <f>N2-N17-N18</f>
        <v>0</v>
      </c>
      <c r="O3" s="477">
        <f t="shared" ref="O3" si="3">O2-O17-O18</f>
        <v>0</v>
      </c>
      <c r="P3" s="477">
        <f t="shared" ref="P3" si="4">P2-P17-P18</f>
        <v>0</v>
      </c>
      <c r="Q3" s="477">
        <f t="shared" ref="Q3" si="5">Q2-Q17-Q18</f>
        <v>0</v>
      </c>
      <c r="R3" s="477">
        <f t="shared" ref="R3" si="6">R2-R17-R18</f>
        <v>0</v>
      </c>
      <c r="S3" s="477">
        <f t="shared" ref="S3" si="7">S2-S17-S18</f>
        <v>0</v>
      </c>
      <c r="T3" s="478">
        <f>SUM(F3:S3)</f>
        <v>0</v>
      </c>
      <c r="U3" s="329">
        <f>U1-V16</f>
        <v>0</v>
      </c>
      <c r="V3" s="458"/>
      <c r="W3" s="457"/>
    </row>
    <row r="4" spans="1:27" s="3" customFormat="1" ht="23.35" customHeight="1">
      <c r="A4" s="155"/>
      <c r="B4" s="155"/>
      <c r="C4" s="158"/>
      <c r="D4" s="159"/>
      <c r="E4" s="4"/>
      <c r="F4" s="439"/>
      <c r="G4" s="439"/>
      <c r="H4" s="439"/>
      <c r="I4" s="438"/>
      <c r="J4" s="438"/>
      <c r="K4" s="438"/>
      <c r="L4" s="1"/>
      <c r="M4" s="1"/>
      <c r="N4" s="438"/>
      <c r="O4" s="438"/>
      <c r="P4" s="438"/>
      <c r="Q4" s="438"/>
      <c r="R4" s="438"/>
      <c r="S4" s="438"/>
      <c r="T4" s="1"/>
      <c r="U4" s="1"/>
      <c r="V4" s="77"/>
      <c r="W4" s="1"/>
      <c r="Y4" s="163"/>
      <c r="Z4" s="293"/>
      <c r="AA4" s="270"/>
    </row>
    <row r="5" spans="1:27" s="7" customFormat="1" ht="23.35" customHeight="1">
      <c r="A5" s="162"/>
      <c r="B5" s="162"/>
      <c r="Y5" s="163"/>
      <c r="Z5" s="293"/>
      <c r="AA5" s="270"/>
    </row>
    <row r="6" spans="1:27" s="7" customFormat="1" ht="23.35" customHeight="1">
      <c r="A6" s="162"/>
      <c r="B6" s="162"/>
      <c r="C6" s="680" t="s">
        <v>85</v>
      </c>
      <c r="D6" s="680"/>
      <c r="E6" s="680"/>
      <c r="F6" s="680"/>
      <c r="G6" s="680"/>
      <c r="H6" s="680"/>
      <c r="I6" s="680"/>
      <c r="J6" s="680"/>
      <c r="K6" s="680"/>
      <c r="L6" s="680"/>
      <c r="M6" s="680"/>
      <c r="N6" s="680"/>
      <c r="O6" s="680"/>
      <c r="P6" s="680"/>
      <c r="Q6" s="680"/>
      <c r="R6" s="680"/>
      <c r="S6" s="680"/>
      <c r="T6" s="680"/>
      <c r="U6" s="680"/>
      <c r="V6" s="680"/>
      <c r="W6" s="680"/>
      <c r="Y6" s="163"/>
      <c r="Z6" s="293"/>
      <c r="AA6" s="270"/>
    </row>
    <row r="7" spans="1:27" s="7" customFormat="1" ht="23.35" customHeight="1">
      <c r="A7" s="162"/>
      <c r="B7" s="162"/>
      <c r="D7" s="514"/>
      <c r="E7" s="514"/>
      <c r="F7" s="674" t="s">
        <v>114</v>
      </c>
      <c r="G7" s="674"/>
      <c r="H7" s="674"/>
      <c r="I7" s="674"/>
      <c r="J7" s="674"/>
      <c r="K7" s="674"/>
      <c r="L7" s="674"/>
      <c r="M7" s="674"/>
      <c r="N7" s="674"/>
      <c r="O7" s="674"/>
      <c r="P7" s="674"/>
      <c r="Q7" s="674"/>
      <c r="R7" s="674"/>
      <c r="S7" s="514"/>
      <c r="T7" s="514"/>
      <c r="U7" s="514"/>
      <c r="V7" s="514"/>
      <c r="W7" s="514"/>
      <c r="Y7" s="163"/>
      <c r="Z7" s="293"/>
      <c r="AA7" s="270"/>
    </row>
    <row r="8" spans="1:27" s="7" customFormat="1" ht="15.65">
      <c r="A8" s="162"/>
      <c r="B8" s="162"/>
      <c r="D8" s="513"/>
      <c r="E8" s="513"/>
      <c r="F8" s="513"/>
      <c r="G8" s="613" t="str">
        <f>серпень!C8</f>
        <v>станом на 01.09.2025</v>
      </c>
      <c r="H8" s="613"/>
      <c r="I8" s="613"/>
      <c r="J8" s="613"/>
      <c r="K8" s="613"/>
      <c r="L8" s="613"/>
      <c r="M8" s="613"/>
      <c r="N8" s="613"/>
      <c r="O8" s="613"/>
      <c r="P8" s="613"/>
      <c r="Q8" s="613"/>
      <c r="R8" s="513"/>
      <c r="S8" s="513"/>
      <c r="T8" s="513"/>
      <c r="U8" s="513"/>
      <c r="V8" s="513"/>
      <c r="W8" s="513"/>
    </row>
    <row r="9" spans="1:27" s="3" customFormat="1" ht="12.55">
      <c r="A9" s="155"/>
      <c r="B9" s="155"/>
      <c r="C9" s="155"/>
      <c r="D9" s="164"/>
      <c r="E9" s="1"/>
      <c r="F9" s="1"/>
      <c r="G9" s="1"/>
      <c r="H9" s="290"/>
      <c r="I9" s="290"/>
      <c r="J9" s="1"/>
      <c r="K9" s="1"/>
      <c r="L9" s="1"/>
      <c r="M9" s="1"/>
      <c r="N9" s="1"/>
      <c r="O9" s="290"/>
      <c r="P9" s="1"/>
      <c r="Q9" s="1"/>
      <c r="R9" s="1"/>
      <c r="S9" s="1"/>
      <c r="T9" s="1"/>
      <c r="U9" s="1"/>
      <c r="V9" s="77"/>
      <c r="W9" s="1"/>
      <c r="Y9" s="344">
        <f>L368-L373</f>
        <v>2.7450000000000001</v>
      </c>
    </row>
    <row r="10" spans="1:27" s="3" customFormat="1" ht="20.7" customHeight="1">
      <c r="A10" s="155"/>
      <c r="B10" s="155"/>
      <c r="C10" s="155"/>
      <c r="D10" s="164"/>
      <c r="E10" s="1" t="s">
        <v>126</v>
      </c>
      <c r="F10" s="376"/>
      <c r="G10" s="376">
        <v>495617.66</v>
      </c>
      <c r="H10" s="376">
        <v>589476.24</v>
      </c>
      <c r="I10" s="376">
        <v>367363.54</v>
      </c>
      <c r="J10" s="376">
        <v>105075.46</v>
      </c>
      <c r="K10" s="376">
        <v>92041.34</v>
      </c>
      <c r="L10" s="1"/>
      <c r="M10" s="1"/>
      <c r="N10" s="376">
        <v>90112.51</v>
      </c>
      <c r="O10" s="376">
        <v>86722.68</v>
      </c>
      <c r="P10" s="376"/>
      <c r="Q10" s="376"/>
      <c r="R10" s="376"/>
      <c r="S10" s="376"/>
      <c r="T10" s="1"/>
      <c r="U10" s="1"/>
      <c r="V10" s="77"/>
      <c r="W10" s="1"/>
    </row>
    <row r="11" spans="1:27" s="3" customFormat="1" ht="13.15" customHeight="1">
      <c r="A11" s="155"/>
      <c r="B11" s="155"/>
      <c r="C11" s="155"/>
      <c r="D11" s="164"/>
      <c r="E11" s="1"/>
      <c r="F11" s="328">
        <f>F10/1000</f>
        <v>0</v>
      </c>
      <c r="G11" s="328">
        <f t="shared" ref="G11:J11" si="8">G10/1000</f>
        <v>495.61799999999999</v>
      </c>
      <c r="H11" s="328">
        <f t="shared" si="8"/>
        <v>589.476</v>
      </c>
      <c r="I11" s="328">
        <f t="shared" si="8"/>
        <v>367.36399999999998</v>
      </c>
      <c r="J11" s="328">
        <f t="shared" si="8"/>
        <v>105.075</v>
      </c>
      <c r="K11" s="328">
        <f>K10/1000</f>
        <v>92.040999999999997</v>
      </c>
      <c r="L11" s="1"/>
      <c r="M11" s="1"/>
      <c r="N11" s="328">
        <f>N10/1000</f>
        <v>90.113</v>
      </c>
      <c r="O11" s="328">
        <f t="shared" ref="O11:S11" si="9">O10/1000</f>
        <v>86.722999999999999</v>
      </c>
      <c r="P11" s="328">
        <f t="shared" si="9"/>
        <v>0</v>
      </c>
      <c r="Q11" s="328">
        <f t="shared" si="9"/>
        <v>0</v>
      </c>
      <c r="R11" s="328">
        <f t="shared" si="9"/>
        <v>0</v>
      </c>
      <c r="S11" s="328">
        <f t="shared" si="9"/>
        <v>0</v>
      </c>
      <c r="T11" s="1"/>
      <c r="U11" s="1"/>
      <c r="V11" s="393"/>
      <c r="W11" s="1"/>
    </row>
    <row r="12" spans="1:27" s="36" customFormat="1" ht="16.3" customHeight="1">
      <c r="A12" s="525"/>
      <c r="B12" s="525"/>
      <c r="C12" s="525"/>
      <c r="D12" s="526"/>
      <c r="E12" s="527"/>
      <c r="F12" s="534">
        <f>F11-F19</f>
        <v>0</v>
      </c>
      <c r="G12" s="534">
        <f t="shared" ref="G12:K12" si="10">G11-G19</f>
        <v>0</v>
      </c>
      <c r="H12" s="534">
        <f t="shared" si="10"/>
        <v>0</v>
      </c>
      <c r="I12" s="534">
        <f t="shared" si="10"/>
        <v>0</v>
      </c>
      <c r="J12" s="534">
        <f t="shared" si="10"/>
        <v>2E-3</v>
      </c>
      <c r="K12" s="534">
        <f t="shared" si="10"/>
        <v>0</v>
      </c>
      <c r="L12" s="527"/>
      <c r="M12" s="527"/>
      <c r="N12" s="534">
        <f>N11-N19</f>
        <v>0</v>
      </c>
      <c r="O12" s="534">
        <f t="shared" ref="O12" si="11">O11-O19</f>
        <v>1E-3</v>
      </c>
      <c r="P12" s="534">
        <f t="shared" ref="P12" si="12">P11-P19</f>
        <v>-78.015000000000001</v>
      </c>
      <c r="Q12" s="534">
        <f t="shared" ref="Q12" si="13">Q11-Q19</f>
        <v>-82.786000000000001</v>
      </c>
      <c r="R12" s="534">
        <f t="shared" ref="R12" si="14">R11-R19</f>
        <v>-120.13</v>
      </c>
      <c r="S12" s="534">
        <f t="shared" ref="S12" si="15">S11-S19</f>
        <v>-1378.9880000000001</v>
      </c>
      <c r="T12" s="527">
        <f>SUM(F12:S12)</f>
        <v>-1659.9159999999999</v>
      </c>
      <c r="U12" s="527"/>
      <c r="V12" s="528"/>
      <c r="W12" s="527"/>
    </row>
    <row r="13" spans="1:27" s="3" customFormat="1" ht="36.35" customHeight="1">
      <c r="A13" s="668" t="s">
        <v>5</v>
      </c>
      <c r="B13" s="668"/>
      <c r="C13" s="668"/>
      <c r="D13" s="668"/>
      <c r="E13" s="648" t="str">
        <f>серпень!E13</f>
        <v>оплата в січні 2025 за грудень 2024 року/в грудні 2024за січень 2025</v>
      </c>
      <c r="F13" s="675" t="s">
        <v>6</v>
      </c>
      <c r="G13" s="675"/>
      <c r="H13" s="675"/>
      <c r="I13" s="675"/>
      <c r="J13" s="675"/>
      <c r="K13" s="675"/>
      <c r="L13" s="675"/>
      <c r="M13" s="675"/>
      <c r="N13" s="675"/>
      <c r="O13" s="675"/>
      <c r="P13" s="675"/>
      <c r="Q13" s="675"/>
      <c r="R13" s="675"/>
      <c r="S13" s="675"/>
      <c r="T13" s="675"/>
      <c r="U13" s="675"/>
      <c r="V13" s="676" t="s">
        <v>7</v>
      </c>
      <c r="W13" s="676" t="s">
        <v>8</v>
      </c>
    </row>
    <row r="14" spans="1:27" s="3" customFormat="1" ht="39.450000000000003" customHeight="1">
      <c r="A14" s="668"/>
      <c r="B14" s="668"/>
      <c r="C14" s="668"/>
      <c r="D14" s="672"/>
      <c r="E14" s="649"/>
      <c r="F14" s="8" t="s">
        <v>9</v>
      </c>
      <c r="G14" s="8" t="s">
        <v>10</v>
      </c>
      <c r="H14" s="8" t="s">
        <v>11</v>
      </c>
      <c r="I14" s="8" t="s">
        <v>12</v>
      </c>
      <c r="J14" s="8" t="s">
        <v>13</v>
      </c>
      <c r="K14" s="8" t="s">
        <v>14</v>
      </c>
      <c r="L14" s="9" t="s">
        <v>15</v>
      </c>
      <c r="M14" s="9" t="s">
        <v>16</v>
      </c>
      <c r="N14" s="8" t="s">
        <v>17</v>
      </c>
      <c r="O14" s="8" t="s">
        <v>18</v>
      </c>
      <c r="P14" s="8" t="s">
        <v>19</v>
      </c>
      <c r="Q14" s="8" t="s">
        <v>20</v>
      </c>
      <c r="R14" s="8" t="s">
        <v>21</v>
      </c>
      <c r="S14" s="8" t="s">
        <v>22</v>
      </c>
      <c r="T14" s="9" t="s">
        <v>23</v>
      </c>
      <c r="U14" s="9" t="s">
        <v>2</v>
      </c>
      <c r="V14" s="676"/>
      <c r="W14" s="676"/>
    </row>
    <row r="15" spans="1:27" s="18" customFormat="1" ht="23.35" customHeight="1">
      <c r="A15" s="677" t="s">
        <v>94</v>
      </c>
      <c r="B15" s="678"/>
      <c r="C15" s="678"/>
      <c r="D15" s="678"/>
      <c r="E15" s="678"/>
      <c r="F15" s="678"/>
      <c r="G15" s="678"/>
      <c r="H15" s="678"/>
      <c r="I15" s="678"/>
      <c r="J15" s="678"/>
      <c r="K15" s="678"/>
      <c r="L15" s="678"/>
      <c r="M15" s="678"/>
      <c r="N15" s="678"/>
      <c r="O15" s="678"/>
      <c r="P15" s="678"/>
      <c r="Q15" s="678"/>
      <c r="R15" s="678"/>
      <c r="S15" s="678"/>
      <c r="T15" s="678"/>
      <c r="U15" s="678"/>
      <c r="V15" s="678"/>
      <c r="W15" s="679"/>
      <c r="X15" s="37"/>
    </row>
    <row r="16" spans="1:27" s="173" customFormat="1" ht="16.3" customHeight="1">
      <c r="A16" s="621">
        <v>2270</v>
      </c>
      <c r="B16" s="622"/>
      <c r="C16" s="623"/>
      <c r="D16" s="170" t="s">
        <v>0</v>
      </c>
      <c r="E16" s="171"/>
      <c r="F16" s="171">
        <f>F28+F336+F475+F522</f>
        <v>495.62</v>
      </c>
      <c r="G16" s="171">
        <f t="shared" ref="G16:K16" si="16">G28+G336+G475+G522</f>
        <v>589.47500000000002</v>
      </c>
      <c r="H16" s="171">
        <f t="shared" si="16"/>
        <v>367.36700000000002</v>
      </c>
      <c r="I16" s="171">
        <f t="shared" si="16"/>
        <v>105.07299999999999</v>
      </c>
      <c r="J16" s="171">
        <f t="shared" si="16"/>
        <v>92.040999999999997</v>
      </c>
      <c r="K16" s="171">
        <f t="shared" si="16"/>
        <v>90.064999999999998</v>
      </c>
      <c r="L16" s="171">
        <f>SUM(F16:K16)</f>
        <v>1739.6410000000001</v>
      </c>
      <c r="M16" s="171">
        <f t="shared" ref="M16:M18" si="17">L16/6</f>
        <v>289.94</v>
      </c>
      <c r="N16" s="171">
        <f>N28+N336+N475+N522</f>
        <v>86.721999999999994</v>
      </c>
      <c r="O16" s="171">
        <f t="shared" ref="O16:S16" si="18">O28+O336+O475+O522</f>
        <v>74.673000000000002</v>
      </c>
      <c r="P16" s="171">
        <f t="shared" si="18"/>
        <v>82.262</v>
      </c>
      <c r="Q16" s="171">
        <f t="shared" si="18"/>
        <v>115.095</v>
      </c>
      <c r="R16" s="171">
        <f t="shared" si="18"/>
        <v>350.53</v>
      </c>
      <c r="S16" s="171">
        <f t="shared" si="18"/>
        <v>1037.403</v>
      </c>
      <c r="T16" s="171">
        <f>SUM(N16:S16)</f>
        <v>1746.6849999999999</v>
      </c>
      <c r="U16" s="171">
        <f>T16+L16</f>
        <v>3486.326</v>
      </c>
      <c r="V16" s="171">
        <f>V28+V336+V475+V522</f>
        <v>3149.7379999999998</v>
      </c>
      <c r="W16" s="171">
        <f>V16-U16</f>
        <v>-336.58800000000002</v>
      </c>
      <c r="X16" s="172"/>
    </row>
    <row r="17" spans="1:26" s="173" customFormat="1" ht="16.3" customHeight="1">
      <c r="A17" s="624"/>
      <c r="B17" s="625"/>
      <c r="C17" s="626"/>
      <c r="D17" s="174" t="s">
        <v>55</v>
      </c>
      <c r="E17" s="171"/>
      <c r="F17" s="171">
        <f t="shared" ref="F17:K17" si="19">F29+F337+F476+F540</f>
        <v>0</v>
      </c>
      <c r="G17" s="171">
        <f t="shared" si="19"/>
        <v>0</v>
      </c>
      <c r="H17" s="171">
        <f t="shared" si="19"/>
        <v>0</v>
      </c>
      <c r="I17" s="171">
        <f t="shared" si="19"/>
        <v>0</v>
      </c>
      <c r="J17" s="171">
        <f t="shared" si="19"/>
        <v>0</v>
      </c>
      <c r="K17" s="171">
        <f t="shared" si="19"/>
        <v>0</v>
      </c>
      <c r="L17" s="171">
        <f t="shared" ref="L17:L18" si="20">SUM(F17:K17)</f>
        <v>0</v>
      </c>
      <c r="M17" s="171">
        <f>L17/6</f>
        <v>0</v>
      </c>
      <c r="N17" s="171">
        <f t="shared" ref="N17:S17" si="21">N29+N337+N476+N540</f>
        <v>0</v>
      </c>
      <c r="O17" s="171">
        <f t="shared" si="21"/>
        <v>0</v>
      </c>
      <c r="P17" s="171">
        <f t="shared" si="21"/>
        <v>0</v>
      </c>
      <c r="Q17" s="171">
        <f t="shared" si="21"/>
        <v>0</v>
      </c>
      <c r="R17" s="171">
        <f t="shared" si="21"/>
        <v>0</v>
      </c>
      <c r="S17" s="171">
        <f t="shared" si="21"/>
        <v>0</v>
      </c>
      <c r="T17" s="171">
        <f t="shared" ref="T17:T18" si="22">SUM(N17:S17)</f>
        <v>0</v>
      </c>
      <c r="U17" s="171">
        <f>T17+L17</f>
        <v>0</v>
      </c>
      <c r="V17" s="171">
        <f>V29+V337+V476+V540</f>
        <v>0</v>
      </c>
      <c r="W17" s="171">
        <f t="shared" ref="W17:W18" si="23">V17-U17</f>
        <v>0</v>
      </c>
      <c r="X17" s="172"/>
    </row>
    <row r="18" spans="1:26" s="173" customFormat="1" ht="16.3" customHeight="1">
      <c r="A18" s="627"/>
      <c r="B18" s="628"/>
      <c r="C18" s="629"/>
      <c r="D18" s="170" t="s">
        <v>24</v>
      </c>
      <c r="E18" s="171"/>
      <c r="F18" s="171">
        <f>F30+F338+F477+F524</f>
        <v>1.754</v>
      </c>
      <c r="G18" s="171">
        <f t="shared" ref="G18:K18" si="24">G30+G338+G477+G524</f>
        <v>494.07799999999997</v>
      </c>
      <c r="H18" s="171">
        <f t="shared" si="24"/>
        <v>593.00199999999995</v>
      </c>
      <c r="I18" s="171">
        <f t="shared" si="24"/>
        <v>395.46800000000002</v>
      </c>
      <c r="J18" s="171">
        <f t="shared" si="24"/>
        <v>73.787999999999997</v>
      </c>
      <c r="K18" s="171">
        <f t="shared" si="24"/>
        <v>91.578000000000003</v>
      </c>
      <c r="L18" s="171">
        <f t="shared" si="20"/>
        <v>1649.6679999999999</v>
      </c>
      <c r="M18" s="171">
        <f t="shared" si="17"/>
        <v>274.94499999999999</v>
      </c>
      <c r="N18" s="171">
        <f>N30+N338+N477+N524</f>
        <v>90.319000000000003</v>
      </c>
      <c r="O18" s="171">
        <f t="shared" ref="O18:S18" si="25">O30+O338+O477+O524</f>
        <v>86.533000000000001</v>
      </c>
      <c r="P18" s="171">
        <f t="shared" si="25"/>
        <v>77.444000000000003</v>
      </c>
      <c r="Q18" s="171">
        <f t="shared" si="25"/>
        <v>98.442999999999998</v>
      </c>
      <c r="R18" s="171">
        <f t="shared" si="25"/>
        <v>111.43600000000001</v>
      </c>
      <c r="S18" s="171">
        <f t="shared" si="25"/>
        <v>1035.895</v>
      </c>
      <c r="T18" s="171">
        <f t="shared" si="22"/>
        <v>1500.07</v>
      </c>
      <c r="U18" s="171">
        <f>T18+L18</f>
        <v>3149.7379999999998</v>
      </c>
      <c r="V18" s="171">
        <f>V30+V338+V477+V524</f>
        <v>3149.7379999999998</v>
      </c>
      <c r="W18" s="171">
        <f t="shared" si="23"/>
        <v>0</v>
      </c>
      <c r="X18" s="172"/>
    </row>
    <row r="19" spans="1:26" s="116" customFormat="1" ht="16.3" customHeight="1">
      <c r="A19" s="630">
        <v>2270</v>
      </c>
      <c r="B19" s="631"/>
      <c r="C19" s="632"/>
      <c r="D19" s="115" t="s">
        <v>25</v>
      </c>
      <c r="E19" s="62">
        <f t="shared" ref="E19:J19" si="26">E33+E341+E480+E527</f>
        <v>0</v>
      </c>
      <c r="F19" s="62">
        <f t="shared" si="26"/>
        <v>0</v>
      </c>
      <c r="G19" s="62">
        <f t="shared" si="26"/>
        <v>495.61799999999999</v>
      </c>
      <c r="H19" s="62">
        <f t="shared" si="26"/>
        <v>589.476</v>
      </c>
      <c r="I19" s="62">
        <f t="shared" si="26"/>
        <v>367.36399999999998</v>
      </c>
      <c r="J19" s="62">
        <f t="shared" si="26"/>
        <v>105.07299999999999</v>
      </c>
      <c r="K19" s="62">
        <f>K33+K341+K480+K527</f>
        <v>92.040999999999997</v>
      </c>
      <c r="L19" s="62">
        <f t="shared" ref="L19:L21" si="27">SUM(F19:K19)</f>
        <v>1649.5719999999999</v>
      </c>
      <c r="M19" s="62">
        <f t="shared" ref="M19:M21" si="28">L19/6</f>
        <v>274.92899999999997</v>
      </c>
      <c r="N19" s="62">
        <f t="shared" ref="N19:R19" si="29">N33+N341+N480+N527</f>
        <v>90.113</v>
      </c>
      <c r="O19" s="62">
        <f t="shared" si="29"/>
        <v>86.721999999999994</v>
      </c>
      <c r="P19" s="62">
        <f t="shared" si="29"/>
        <v>78.015000000000001</v>
      </c>
      <c r="Q19" s="62">
        <f t="shared" si="29"/>
        <v>82.786000000000001</v>
      </c>
      <c r="R19" s="62">
        <f t="shared" si="29"/>
        <v>120.13</v>
      </c>
      <c r="S19" s="62">
        <f>S33+S341+S480+S527</f>
        <v>1378.9880000000001</v>
      </c>
      <c r="T19" s="62">
        <f>SUM(N19:S19)</f>
        <v>1836.7539999999999</v>
      </c>
      <c r="U19" s="62">
        <f t="shared" ref="U19:U21" si="30">T19+L19</f>
        <v>3486.326</v>
      </c>
      <c r="V19" s="62">
        <f>V33+V341+V480+V527</f>
        <v>3149.7379999999998</v>
      </c>
      <c r="W19" s="62">
        <f>V19-U19</f>
        <v>-336.58800000000002</v>
      </c>
      <c r="X19" s="63">
        <f>U16-U19</f>
        <v>0</v>
      </c>
    </row>
    <row r="20" spans="1:26" s="116" customFormat="1" ht="16.3" customHeight="1">
      <c r="A20" s="633"/>
      <c r="B20" s="634"/>
      <c r="C20" s="635"/>
      <c r="D20" s="115" t="s">
        <v>55</v>
      </c>
      <c r="E20" s="62"/>
      <c r="F20" s="62">
        <f t="shared" ref="F20:K21" si="31">F34+F342+F481+F528</f>
        <v>0</v>
      </c>
      <c r="G20" s="62">
        <f t="shared" si="31"/>
        <v>0</v>
      </c>
      <c r="H20" s="62">
        <f t="shared" si="31"/>
        <v>0</v>
      </c>
      <c r="I20" s="62">
        <f t="shared" si="31"/>
        <v>0</v>
      </c>
      <c r="J20" s="62">
        <f t="shared" si="31"/>
        <v>0</v>
      </c>
      <c r="K20" s="62">
        <f t="shared" si="31"/>
        <v>0</v>
      </c>
      <c r="L20" s="62">
        <f t="shared" si="27"/>
        <v>0</v>
      </c>
      <c r="M20" s="62">
        <f t="shared" si="28"/>
        <v>0</v>
      </c>
      <c r="N20" s="62">
        <f t="shared" ref="N20:S21" si="32">N34+N342+N481+N528</f>
        <v>0</v>
      </c>
      <c r="O20" s="62">
        <f t="shared" si="32"/>
        <v>0</v>
      </c>
      <c r="P20" s="62">
        <f t="shared" si="32"/>
        <v>0</v>
      </c>
      <c r="Q20" s="62">
        <f t="shared" si="32"/>
        <v>0</v>
      </c>
      <c r="R20" s="62">
        <f t="shared" si="32"/>
        <v>0</v>
      </c>
      <c r="S20" s="62">
        <f t="shared" si="32"/>
        <v>0</v>
      </c>
      <c r="T20" s="62">
        <f t="shared" ref="T20:T21" si="33">SUM(N20:S20)</f>
        <v>0</v>
      </c>
      <c r="U20" s="62">
        <f t="shared" si="30"/>
        <v>0</v>
      </c>
      <c r="V20" s="62">
        <f t="shared" ref="V20" si="34">V34+V342+V481+V528</f>
        <v>0</v>
      </c>
      <c r="W20" s="62">
        <f t="shared" ref="W20:W21" si="35">V20-U20</f>
        <v>0</v>
      </c>
      <c r="X20" s="63">
        <f>U17-U20</f>
        <v>0</v>
      </c>
    </row>
    <row r="21" spans="1:26" s="116" customFormat="1" ht="16.3" customHeight="1">
      <c r="A21" s="636"/>
      <c r="B21" s="637"/>
      <c r="C21" s="638"/>
      <c r="D21" s="115" t="s">
        <v>24</v>
      </c>
      <c r="E21" s="62"/>
      <c r="F21" s="62">
        <f t="shared" si="31"/>
        <v>0</v>
      </c>
      <c r="G21" s="62">
        <f t="shared" si="31"/>
        <v>495.61799999999999</v>
      </c>
      <c r="H21" s="62">
        <f t="shared" si="31"/>
        <v>589.476</v>
      </c>
      <c r="I21" s="62">
        <f t="shared" si="31"/>
        <v>367.36399999999998</v>
      </c>
      <c r="J21" s="62">
        <f t="shared" si="31"/>
        <v>105.07299999999999</v>
      </c>
      <c r="K21" s="62">
        <f t="shared" si="31"/>
        <v>92.040999999999997</v>
      </c>
      <c r="L21" s="62">
        <f t="shared" si="27"/>
        <v>1649.5719999999999</v>
      </c>
      <c r="M21" s="62">
        <f t="shared" si="28"/>
        <v>274.92899999999997</v>
      </c>
      <c r="N21" s="62">
        <f t="shared" si="32"/>
        <v>90.113</v>
      </c>
      <c r="O21" s="62">
        <f t="shared" si="32"/>
        <v>86.721999999999994</v>
      </c>
      <c r="P21" s="62">
        <f t="shared" si="32"/>
        <v>78.015000000000001</v>
      </c>
      <c r="Q21" s="62">
        <f t="shared" si="32"/>
        <v>82.786000000000001</v>
      </c>
      <c r="R21" s="62">
        <f t="shared" si="32"/>
        <v>120.13</v>
      </c>
      <c r="S21" s="62">
        <f t="shared" si="32"/>
        <v>1378.9880000000001</v>
      </c>
      <c r="T21" s="62">
        <f t="shared" si="33"/>
        <v>1836.7539999999999</v>
      </c>
      <c r="U21" s="62">
        <f t="shared" si="30"/>
        <v>3486.326</v>
      </c>
      <c r="V21" s="62">
        <f t="shared" ref="V21" si="36">V35+V343+V482+V529</f>
        <v>3149.7379999999998</v>
      </c>
      <c r="W21" s="62">
        <f t="shared" si="35"/>
        <v>-336.58800000000002</v>
      </c>
      <c r="X21" s="63">
        <f>U18-U21</f>
        <v>-336.58800000000002</v>
      </c>
    </row>
    <row r="22" spans="1:26" s="186" customFormat="1" ht="18" customHeight="1">
      <c r="A22" s="609">
        <v>2271</v>
      </c>
      <c r="B22" s="580" t="s">
        <v>86</v>
      </c>
      <c r="C22" s="575"/>
      <c r="D22" s="178" t="str">
        <f>серпень!D22</f>
        <v>факт. нат.п-ки 2023</v>
      </c>
      <c r="E22" s="179"/>
      <c r="F22" s="180">
        <f t="shared" ref="F22:K24" si="37">F56+F163+F208+F253</f>
        <v>362.5</v>
      </c>
      <c r="G22" s="180">
        <f t="shared" si="37"/>
        <v>178.6</v>
      </c>
      <c r="H22" s="180">
        <f t="shared" si="37"/>
        <v>137.19999999999999</v>
      </c>
      <c r="I22" s="180">
        <f t="shared" si="37"/>
        <v>0.6</v>
      </c>
      <c r="J22" s="180">
        <f t="shared" si="37"/>
        <v>0.6</v>
      </c>
      <c r="K22" s="180">
        <f t="shared" si="37"/>
        <v>0.6</v>
      </c>
      <c r="L22" s="181">
        <f t="shared" ref="L22:L23" si="38">SUM(F22:K22)</f>
        <v>680.1</v>
      </c>
      <c r="M22" s="181">
        <f>L22/6</f>
        <v>113.4</v>
      </c>
      <c r="N22" s="180">
        <f t="shared" ref="N22:S24" si="39">N56+N163+N208+N253</f>
        <v>0.6</v>
      </c>
      <c r="O22" s="180">
        <f t="shared" si="39"/>
        <v>0.6</v>
      </c>
      <c r="P22" s="180">
        <f t="shared" si="39"/>
        <v>0.6</v>
      </c>
      <c r="Q22" s="180">
        <f t="shared" si="39"/>
        <v>0.6</v>
      </c>
      <c r="R22" s="180">
        <f t="shared" si="39"/>
        <v>17.399999999999999</v>
      </c>
      <c r="S22" s="180">
        <f t="shared" si="39"/>
        <v>221.9</v>
      </c>
      <c r="T22" s="181">
        <f t="shared" ref="T22:T23" si="40">SUM(N22:S22)</f>
        <v>241.7</v>
      </c>
      <c r="U22" s="182">
        <f>T22+L22</f>
        <v>921.8</v>
      </c>
      <c r="V22" s="183">
        <f>V56+V163+V208+V253</f>
        <v>914.6</v>
      </c>
      <c r="W22" s="184"/>
      <c r="X22" s="185"/>
    </row>
    <row r="23" spans="1:26" s="186" customFormat="1" ht="18" customHeight="1">
      <c r="A23" s="610"/>
      <c r="B23" s="576"/>
      <c r="C23" s="577"/>
      <c r="D23" s="178" t="str">
        <f>серпень!D23</f>
        <v>факт. нат.п-ки 2024</v>
      </c>
      <c r="E23" s="179"/>
      <c r="F23" s="180">
        <f t="shared" si="37"/>
        <v>145.4</v>
      </c>
      <c r="G23" s="180">
        <f t="shared" si="37"/>
        <v>130</v>
      </c>
      <c r="H23" s="180">
        <f t="shared" si="37"/>
        <v>121</v>
      </c>
      <c r="I23" s="180">
        <f t="shared" si="37"/>
        <v>1.5</v>
      </c>
      <c r="J23" s="180">
        <f t="shared" si="37"/>
        <v>1.5</v>
      </c>
      <c r="K23" s="180">
        <f t="shared" si="37"/>
        <v>1.5</v>
      </c>
      <c r="L23" s="181">
        <f t="shared" si="38"/>
        <v>400.9</v>
      </c>
      <c r="M23" s="181">
        <f>L23/6</f>
        <v>66.8</v>
      </c>
      <c r="N23" s="180">
        <f t="shared" si="39"/>
        <v>1.5</v>
      </c>
      <c r="O23" s="180">
        <f t="shared" si="39"/>
        <v>1.5</v>
      </c>
      <c r="P23" s="180">
        <f t="shared" si="39"/>
        <v>1.5</v>
      </c>
      <c r="Q23" s="180">
        <f t="shared" si="39"/>
        <v>1.5</v>
      </c>
      <c r="R23" s="180">
        <f t="shared" si="39"/>
        <v>97</v>
      </c>
      <c r="S23" s="180">
        <f t="shared" si="39"/>
        <v>222.9</v>
      </c>
      <c r="T23" s="181">
        <f t="shared" si="40"/>
        <v>325.89999999999998</v>
      </c>
      <c r="U23" s="182">
        <f t="shared" ref="U23:U24" si="41">T23+L23</f>
        <v>726.8</v>
      </c>
      <c r="V23" s="183">
        <f>V57+V164+V209+V254</f>
        <v>708.6</v>
      </c>
      <c r="W23" s="184"/>
      <c r="X23" s="185"/>
    </row>
    <row r="24" spans="1:26" s="186" customFormat="1" ht="18" customHeight="1">
      <c r="A24" s="610"/>
      <c r="B24" s="576"/>
      <c r="C24" s="577"/>
      <c r="D24" s="178" t="str">
        <f>серпень!D24</f>
        <v>факт. нат.п-ки 2025</v>
      </c>
      <c r="E24" s="179"/>
      <c r="F24" s="263">
        <f>F58+F165+F210+F255</f>
        <v>169.8</v>
      </c>
      <c r="G24" s="263">
        <f t="shared" si="37"/>
        <v>187.4</v>
      </c>
      <c r="H24" s="263">
        <f t="shared" si="37"/>
        <v>105.6</v>
      </c>
      <c r="I24" s="264">
        <f t="shared" si="37"/>
        <v>0</v>
      </c>
      <c r="J24" s="263">
        <f t="shared" si="37"/>
        <v>0</v>
      </c>
      <c r="K24" s="263">
        <f t="shared" si="37"/>
        <v>0</v>
      </c>
      <c r="L24" s="181">
        <f t="shared" ref="L24" si="42">SUM(F24:K24)</f>
        <v>462.8</v>
      </c>
      <c r="M24" s="181">
        <f>L24/6</f>
        <v>77.099999999999994</v>
      </c>
      <c r="N24" s="263">
        <f>N58+N165+N210+N255</f>
        <v>0</v>
      </c>
      <c r="O24" s="263">
        <f t="shared" si="39"/>
        <v>0</v>
      </c>
      <c r="P24" s="263">
        <f t="shared" si="39"/>
        <v>0</v>
      </c>
      <c r="Q24" s="263">
        <f t="shared" si="39"/>
        <v>0</v>
      </c>
      <c r="R24" s="263">
        <f t="shared" si="39"/>
        <v>95.4</v>
      </c>
      <c r="S24" s="263">
        <f t="shared" si="39"/>
        <v>324.3</v>
      </c>
      <c r="T24" s="181">
        <f t="shared" ref="T24" si="43">SUM(N24:S24)</f>
        <v>419.7</v>
      </c>
      <c r="U24" s="182">
        <f t="shared" si="41"/>
        <v>882.5</v>
      </c>
      <c r="V24" s="183">
        <f>V58+V165+V210+V255</f>
        <v>811.6</v>
      </c>
      <c r="W24" s="184">
        <f>V24-U24</f>
        <v>-70.900000000000006</v>
      </c>
      <c r="X24" s="185"/>
    </row>
    <row r="25" spans="1:26" s="190" customFormat="1" ht="18" customHeight="1">
      <c r="A25" s="610"/>
      <c r="B25" s="576"/>
      <c r="C25" s="577"/>
      <c r="D25" s="187" t="str">
        <f>серпень!D25</f>
        <v>тариф, грн.</v>
      </c>
      <c r="E25" s="188"/>
      <c r="F25" s="188">
        <f>F26/F24*1000</f>
        <v>2530.83</v>
      </c>
      <c r="G25" s="188">
        <f t="shared" ref="G25:W25" si="44">G26/G24*1000</f>
        <v>2695.6669999999999</v>
      </c>
      <c r="H25" s="188">
        <f t="shared" si="44"/>
        <v>2717.2629999999999</v>
      </c>
      <c r="I25" s="188" t="e">
        <f t="shared" si="44"/>
        <v>#DIV/0!</v>
      </c>
      <c r="J25" s="188" t="e">
        <f t="shared" si="44"/>
        <v>#DIV/0!</v>
      </c>
      <c r="K25" s="188" t="e">
        <f t="shared" si="44"/>
        <v>#DIV/0!</v>
      </c>
      <c r="L25" s="188">
        <f t="shared" si="44"/>
        <v>2640.1170000000002</v>
      </c>
      <c r="M25" s="188">
        <f t="shared" si="44"/>
        <v>2641.2579999999998</v>
      </c>
      <c r="N25" s="188" t="e">
        <f t="shared" si="44"/>
        <v>#DIV/0!</v>
      </c>
      <c r="O25" s="188" t="e">
        <f>O26/O24*1000</f>
        <v>#DIV/0!</v>
      </c>
      <c r="P25" s="188" t="e">
        <f>P26/P24*1000</f>
        <v>#DIV/0!</v>
      </c>
      <c r="Q25" s="188" t="e">
        <f>Q26/Q24*1000</f>
        <v>#DIV/0!</v>
      </c>
      <c r="R25" s="188">
        <f>R26/R24*1000</f>
        <v>2522.2750000000001</v>
      </c>
      <c r="S25" s="188">
        <f>S26/S24*1000</f>
        <v>2748.3780000000002</v>
      </c>
      <c r="T25" s="188">
        <f t="shared" si="44"/>
        <v>2696.9839999999999</v>
      </c>
      <c r="U25" s="188">
        <f t="shared" si="44"/>
        <v>2667.1610000000001</v>
      </c>
      <c r="V25" s="188">
        <f t="shared" si="44"/>
        <v>2546.7829999999999</v>
      </c>
      <c r="W25" s="189">
        <f t="shared" si="44"/>
        <v>4045.1480000000001</v>
      </c>
      <c r="X25" s="185"/>
    </row>
    <row r="26" spans="1:26" s="196" customFormat="1" ht="18" customHeight="1">
      <c r="A26" s="610"/>
      <c r="B26" s="576"/>
      <c r="C26" s="577"/>
      <c r="D26" s="191" t="str">
        <f>серпень!D26</f>
        <v>сума, тис.грн.</v>
      </c>
      <c r="E26" s="192"/>
      <c r="F26" s="193">
        <f>F60+F167+F212+F257</f>
        <v>429.73500000000001</v>
      </c>
      <c r="G26" s="193">
        <f t="shared" ref="G26:K26" si="45">G60+G167+G212+G257</f>
        <v>505.16800000000001</v>
      </c>
      <c r="H26" s="193">
        <f t="shared" si="45"/>
        <v>286.94299999999998</v>
      </c>
      <c r="I26" s="193">
        <f t="shared" si="45"/>
        <v>0</v>
      </c>
      <c r="J26" s="193">
        <f t="shared" si="45"/>
        <v>0</v>
      </c>
      <c r="K26" s="193">
        <f t="shared" si="45"/>
        <v>0</v>
      </c>
      <c r="L26" s="194">
        <f t="shared" ref="L26:L31" si="46">SUM(F26:K26)</f>
        <v>1221.846</v>
      </c>
      <c r="M26" s="194">
        <f t="shared" ref="M26:M31" si="47">L26/6</f>
        <v>203.64099999999999</v>
      </c>
      <c r="N26" s="193">
        <f t="shared" ref="N26:S26" si="48">N60+N167+N212+N257</f>
        <v>0</v>
      </c>
      <c r="O26" s="193">
        <f t="shared" si="48"/>
        <v>0</v>
      </c>
      <c r="P26" s="193">
        <f t="shared" si="48"/>
        <v>0</v>
      </c>
      <c r="Q26" s="193">
        <f t="shared" si="48"/>
        <v>0</v>
      </c>
      <c r="R26" s="193">
        <f t="shared" si="48"/>
        <v>240.625</v>
      </c>
      <c r="S26" s="193">
        <f t="shared" si="48"/>
        <v>891.29899999999998</v>
      </c>
      <c r="T26" s="194">
        <f>SUM(N26:S26)</f>
        <v>1131.924</v>
      </c>
      <c r="U26" s="194">
        <f>T26+L26</f>
        <v>2353.77</v>
      </c>
      <c r="V26" s="171">
        <f>V60+V167+V212+V257</f>
        <v>2066.9690000000001</v>
      </c>
      <c r="W26" s="193">
        <f>W60+W167+W212+W257</f>
        <v>-286.80099999999999</v>
      </c>
    </row>
    <row r="27" spans="1:26" s="196" customFormat="1" ht="18" customHeight="1">
      <c r="A27" s="610"/>
      <c r="B27" s="576"/>
      <c r="C27" s="577"/>
      <c r="D27" s="174" t="str">
        <f>серпень!D27</f>
        <v>абоненська плата, тис.грн.</v>
      </c>
      <c r="E27" s="192"/>
      <c r="F27" s="278">
        <f>F44</f>
        <v>57.100999999999999</v>
      </c>
      <c r="G27" s="278">
        <f t="shared" ref="G27:K27" si="49">G44+G258</f>
        <v>57.317</v>
      </c>
      <c r="H27" s="278">
        <f t="shared" si="49"/>
        <v>57.317</v>
      </c>
      <c r="I27" s="278">
        <f t="shared" si="49"/>
        <v>57.317</v>
      </c>
      <c r="J27" s="278">
        <f t="shared" si="49"/>
        <v>57.317</v>
      </c>
      <c r="K27" s="278">
        <f t="shared" si="49"/>
        <v>57.268999999999998</v>
      </c>
      <c r="L27" s="194">
        <f t="shared" si="46"/>
        <v>343.63799999999998</v>
      </c>
      <c r="M27" s="194">
        <f t="shared" si="47"/>
        <v>57.273000000000003</v>
      </c>
      <c r="N27" s="278">
        <f>N44+N258</f>
        <v>57.317</v>
      </c>
      <c r="O27" s="278">
        <f t="shared" ref="O27:S27" si="50">O44+O258</f>
        <v>57.317</v>
      </c>
      <c r="P27" s="278">
        <f t="shared" si="50"/>
        <v>57.619</v>
      </c>
      <c r="Q27" s="278">
        <f t="shared" si="50"/>
        <v>57.667000000000002</v>
      </c>
      <c r="R27" s="278">
        <f t="shared" si="50"/>
        <v>57.667000000000002</v>
      </c>
      <c r="S27" s="278">
        <f t="shared" si="50"/>
        <v>57.667000000000002</v>
      </c>
      <c r="T27" s="194">
        <f>SUM(N27:S27)</f>
        <v>345.25400000000002</v>
      </c>
      <c r="U27" s="194">
        <f>T27+L27</f>
        <v>688.89200000000005</v>
      </c>
      <c r="V27" s="171">
        <f t="shared" ref="V27" si="51">V44+V258</f>
        <v>689.4</v>
      </c>
      <c r="W27" s="193">
        <f>W61+W168+W213+W258</f>
        <v>0.50800000000000001</v>
      </c>
      <c r="X27" s="195"/>
    </row>
    <row r="28" spans="1:26" s="196" customFormat="1" ht="18" customHeight="1">
      <c r="A28" s="610"/>
      <c r="B28" s="576"/>
      <c r="C28" s="577"/>
      <c r="D28" s="174" t="str">
        <f>серпень!D28</f>
        <v>разом сума тис. грн+абонплата</v>
      </c>
      <c r="E28" s="192"/>
      <c r="F28" s="193">
        <f>F26+F27</f>
        <v>486.83600000000001</v>
      </c>
      <c r="G28" s="193">
        <f t="shared" ref="G28:K28" si="52">G26+G27</f>
        <v>562.48500000000001</v>
      </c>
      <c r="H28" s="193">
        <f t="shared" si="52"/>
        <v>344.26</v>
      </c>
      <c r="I28" s="193">
        <f t="shared" si="52"/>
        <v>57.317</v>
      </c>
      <c r="J28" s="193">
        <f t="shared" si="52"/>
        <v>57.317</v>
      </c>
      <c r="K28" s="193">
        <f t="shared" si="52"/>
        <v>57.268999999999998</v>
      </c>
      <c r="L28" s="194">
        <f t="shared" si="46"/>
        <v>1565.4839999999999</v>
      </c>
      <c r="M28" s="194">
        <f t="shared" si="47"/>
        <v>260.91399999999999</v>
      </c>
      <c r="N28" s="193">
        <f>N26+N27</f>
        <v>57.317</v>
      </c>
      <c r="O28" s="193">
        <f t="shared" ref="O28" si="53">O26+O27</f>
        <v>57.317</v>
      </c>
      <c r="P28" s="193">
        <f t="shared" ref="P28" si="54">P26+P27</f>
        <v>57.619</v>
      </c>
      <c r="Q28" s="193">
        <f t="shared" ref="Q28" si="55">Q26+Q27</f>
        <v>57.667000000000002</v>
      </c>
      <c r="R28" s="193">
        <f t="shared" ref="R28" si="56">R26+R27</f>
        <v>298.29199999999997</v>
      </c>
      <c r="S28" s="193">
        <f t="shared" ref="S28" si="57">S26+S27</f>
        <v>948.96600000000001</v>
      </c>
      <c r="T28" s="194">
        <f t="shared" ref="T28:T29" si="58">SUM(N28:S28)</f>
        <v>1477.1780000000001</v>
      </c>
      <c r="U28" s="194">
        <f t="shared" ref="U28:U29" si="59">T28+L28</f>
        <v>3042.6619999999998</v>
      </c>
      <c r="V28" s="171">
        <f>V45+V259</f>
        <v>2756.3690000000001</v>
      </c>
      <c r="W28" s="278">
        <f t="shared" ref="W28" si="60">W26+W27</f>
        <v>-286.29300000000001</v>
      </c>
      <c r="X28" s="195"/>
      <c r="Z28" s="197"/>
    </row>
    <row r="29" spans="1:26" s="196" customFormat="1" ht="18" customHeight="1">
      <c r="A29" s="610"/>
      <c r="B29" s="576"/>
      <c r="C29" s="577"/>
      <c r="D29" s="174" t="str">
        <f>серпень!D29</f>
        <v>дотація</v>
      </c>
      <c r="E29" s="192"/>
      <c r="F29" s="193">
        <f t="shared" ref="F29:K31" si="61">F63+F168+F213+F260</f>
        <v>0</v>
      </c>
      <c r="G29" s="193">
        <f t="shared" si="61"/>
        <v>0</v>
      </c>
      <c r="H29" s="193">
        <f t="shared" si="61"/>
        <v>0</v>
      </c>
      <c r="I29" s="193">
        <f t="shared" si="61"/>
        <v>0</v>
      </c>
      <c r="J29" s="193">
        <f t="shared" si="61"/>
        <v>0</v>
      </c>
      <c r="K29" s="193">
        <f t="shared" si="61"/>
        <v>0</v>
      </c>
      <c r="L29" s="194">
        <f t="shared" si="46"/>
        <v>0</v>
      </c>
      <c r="M29" s="194">
        <f t="shared" si="47"/>
        <v>0</v>
      </c>
      <c r="N29" s="193">
        <f t="shared" ref="N29:S31" si="62">N63+N168+N213+N260</f>
        <v>0</v>
      </c>
      <c r="O29" s="193">
        <f t="shared" si="62"/>
        <v>0</v>
      </c>
      <c r="P29" s="193">
        <f t="shared" si="62"/>
        <v>0</v>
      </c>
      <c r="Q29" s="193">
        <f t="shared" si="62"/>
        <v>0</v>
      </c>
      <c r="R29" s="193">
        <f t="shared" si="62"/>
        <v>0</v>
      </c>
      <c r="S29" s="193">
        <f t="shared" si="62"/>
        <v>0</v>
      </c>
      <c r="T29" s="194">
        <f t="shared" si="58"/>
        <v>0</v>
      </c>
      <c r="U29" s="194">
        <f t="shared" si="59"/>
        <v>0</v>
      </c>
      <c r="V29" s="171">
        <f>V63+V168+V213+V260</f>
        <v>0</v>
      </c>
      <c r="W29" s="192">
        <f t="shared" ref="W29" si="63">W63+W169+W214+W260</f>
        <v>0</v>
      </c>
      <c r="X29" s="195"/>
      <c r="Y29" s="197"/>
    </row>
    <row r="30" spans="1:26" s="196" customFormat="1" ht="18" customHeight="1">
      <c r="A30" s="610"/>
      <c r="B30" s="576"/>
      <c r="C30" s="577"/>
      <c r="D30" s="174" t="str">
        <f>серпень!D30</f>
        <v>місцевий (план), тис.грн</v>
      </c>
      <c r="E30" s="192"/>
      <c r="F30" s="193">
        <f t="shared" si="61"/>
        <v>0</v>
      </c>
      <c r="G30" s="193">
        <f t="shared" si="61"/>
        <v>486.83800000000002</v>
      </c>
      <c r="H30" s="193">
        <f t="shared" si="61"/>
        <v>562.48599999999999</v>
      </c>
      <c r="I30" s="193">
        <f t="shared" si="61"/>
        <v>344.286</v>
      </c>
      <c r="J30" s="193">
        <f t="shared" si="61"/>
        <v>57.35</v>
      </c>
      <c r="K30" s="193">
        <f t="shared" si="61"/>
        <v>57.35</v>
      </c>
      <c r="L30" s="194">
        <f t="shared" si="46"/>
        <v>1508.31</v>
      </c>
      <c r="M30" s="194">
        <f t="shared" si="47"/>
        <v>251.38499999999999</v>
      </c>
      <c r="N30" s="193">
        <f t="shared" si="62"/>
        <v>57.45</v>
      </c>
      <c r="O30" s="193">
        <f t="shared" si="62"/>
        <v>57.15</v>
      </c>
      <c r="P30" s="193">
        <f t="shared" si="62"/>
        <v>57.45</v>
      </c>
      <c r="Q30" s="193">
        <f t="shared" si="62"/>
        <v>57.45</v>
      </c>
      <c r="R30" s="193">
        <f t="shared" si="62"/>
        <v>57.45</v>
      </c>
      <c r="S30" s="193">
        <f t="shared" si="62"/>
        <v>961.10900000000004</v>
      </c>
      <c r="T30" s="194">
        <f>SUM(N30:S30)</f>
        <v>1248.059</v>
      </c>
      <c r="U30" s="194">
        <f>T30+L30</f>
        <v>2756.3690000000001</v>
      </c>
      <c r="V30" s="171">
        <f>V64+V169+V214+V261</f>
        <v>2756.3690000000001</v>
      </c>
      <c r="W30" s="192">
        <f>W64+W169+W214</f>
        <v>0</v>
      </c>
      <c r="X30" s="195"/>
      <c r="Y30" s="197"/>
    </row>
    <row r="31" spans="1:26" s="186" customFormat="1" ht="18" customHeight="1">
      <c r="A31" s="610"/>
      <c r="B31" s="576"/>
      <c r="C31" s="577"/>
      <c r="D31" s="178" t="str">
        <f>серпень!D31</f>
        <v>касові нат.п-ки 2025</v>
      </c>
      <c r="E31" s="180">
        <f>E65+E170+E215+E262</f>
        <v>0</v>
      </c>
      <c r="F31" s="179">
        <f>F65+F170+F215+F262</f>
        <v>0</v>
      </c>
      <c r="G31" s="179">
        <f t="shared" si="61"/>
        <v>169.8</v>
      </c>
      <c r="H31" s="179">
        <f t="shared" si="61"/>
        <v>187.4</v>
      </c>
      <c r="I31" s="179">
        <f t="shared" si="61"/>
        <v>105.6</v>
      </c>
      <c r="J31" s="179">
        <f t="shared" si="61"/>
        <v>0</v>
      </c>
      <c r="K31" s="179">
        <f t="shared" si="61"/>
        <v>0</v>
      </c>
      <c r="L31" s="181">
        <f t="shared" si="46"/>
        <v>462.8</v>
      </c>
      <c r="M31" s="181">
        <f t="shared" si="47"/>
        <v>77.099999999999994</v>
      </c>
      <c r="N31" s="179">
        <f>N65+N170+N215+N262</f>
        <v>0</v>
      </c>
      <c r="O31" s="179">
        <f t="shared" si="62"/>
        <v>0</v>
      </c>
      <c r="P31" s="179">
        <f t="shared" si="62"/>
        <v>0</v>
      </c>
      <c r="Q31" s="179">
        <f t="shared" si="62"/>
        <v>0</v>
      </c>
      <c r="R31" s="179">
        <f t="shared" si="62"/>
        <v>0</v>
      </c>
      <c r="S31" s="179">
        <f t="shared" si="62"/>
        <v>419.7</v>
      </c>
      <c r="T31" s="181">
        <f>SUM(N31:S31)</f>
        <v>419.7</v>
      </c>
      <c r="U31" s="181">
        <f>T31+L31</f>
        <v>882.5</v>
      </c>
      <c r="V31" s="183">
        <f t="shared" ref="V31:W31" si="64">V65+V170+V215</f>
        <v>811.6</v>
      </c>
      <c r="W31" s="184">
        <f t="shared" si="64"/>
        <v>-70.900000000000006</v>
      </c>
      <c r="X31" s="279">
        <f>U24-U31</f>
        <v>0</v>
      </c>
    </row>
    <row r="32" spans="1:26" s="190" customFormat="1" ht="18" customHeight="1">
      <c r="A32" s="610"/>
      <c r="B32" s="576"/>
      <c r="C32" s="577"/>
      <c r="D32" s="187" t="str">
        <f>серпень!D32</f>
        <v>тариф, грн.</v>
      </c>
      <c r="E32" s="188" t="e">
        <f t="shared" ref="E32:K32" si="65">E33/E31*1000</f>
        <v>#DIV/0!</v>
      </c>
      <c r="F32" s="188" t="e">
        <f t="shared" si="65"/>
        <v>#DIV/0!</v>
      </c>
      <c r="G32" s="188">
        <f t="shared" si="65"/>
        <v>2867.114</v>
      </c>
      <c r="H32" s="188">
        <f t="shared" si="65"/>
        <v>3001.5210000000002</v>
      </c>
      <c r="I32" s="188">
        <f t="shared" si="65"/>
        <v>3260.038</v>
      </c>
      <c r="J32" s="188" t="e">
        <f t="shared" si="65"/>
        <v>#DIV/0!</v>
      </c>
      <c r="K32" s="188" t="e">
        <f t="shared" si="65"/>
        <v>#DIV/0!</v>
      </c>
      <c r="L32" s="188">
        <f>L33/L31*1000</f>
        <v>3258.8919999999998</v>
      </c>
      <c r="M32" s="188">
        <f>M33/M31*1000</f>
        <v>3260.2979999999998</v>
      </c>
      <c r="N32" s="188" t="e">
        <f t="shared" ref="N32:S32" si="66">N33/N31*1000</f>
        <v>#DIV/0!</v>
      </c>
      <c r="O32" s="188" t="e">
        <f t="shared" si="66"/>
        <v>#DIV/0!</v>
      </c>
      <c r="P32" s="188" t="e">
        <f t="shared" si="66"/>
        <v>#DIV/0!</v>
      </c>
      <c r="Q32" s="188" t="e">
        <f t="shared" si="66"/>
        <v>#DIV/0!</v>
      </c>
      <c r="R32" s="188" t="e">
        <f t="shared" si="66"/>
        <v>#DIV/0!</v>
      </c>
      <c r="S32" s="188">
        <f t="shared" si="66"/>
        <v>2971.556</v>
      </c>
      <c r="T32" s="188">
        <f>T33/T31*1000</f>
        <v>3656.0569999999998</v>
      </c>
      <c r="U32" s="188">
        <f>U33/U31*1000</f>
        <v>3447.7759999999998</v>
      </c>
      <c r="V32" s="188">
        <f>V33/V31*1000</f>
        <v>3396.2159999999999</v>
      </c>
      <c r="W32" s="189">
        <f>W33/W31*1000</f>
        <v>4037.9830000000002</v>
      </c>
      <c r="X32" s="185"/>
    </row>
    <row r="33" spans="1:25" s="176" customFormat="1" ht="18" customHeight="1">
      <c r="A33" s="610"/>
      <c r="B33" s="576"/>
      <c r="C33" s="577"/>
      <c r="D33" s="198" t="str">
        <f>серпень!D33</f>
        <v>касові видатки, тис.грн.</v>
      </c>
      <c r="E33" s="199">
        <f t="shared" ref="E33" si="67">E67+E172+E217+E264</f>
        <v>0</v>
      </c>
      <c r="F33" s="199">
        <f>F67+F172+F217+F264</f>
        <v>0</v>
      </c>
      <c r="G33" s="199">
        <f t="shared" ref="G33:K33" si="68">G67+G172+G217+G264</f>
        <v>486.83600000000001</v>
      </c>
      <c r="H33" s="199">
        <f t="shared" si="68"/>
        <v>562.48500000000001</v>
      </c>
      <c r="I33" s="199">
        <f t="shared" si="68"/>
        <v>344.26</v>
      </c>
      <c r="J33" s="199">
        <f t="shared" si="68"/>
        <v>57.317</v>
      </c>
      <c r="K33" s="199">
        <f t="shared" si="68"/>
        <v>57.317</v>
      </c>
      <c r="L33" s="199">
        <f>SUM(F33:K33)</f>
        <v>1508.2149999999999</v>
      </c>
      <c r="M33" s="199">
        <f>L33/6</f>
        <v>251.369</v>
      </c>
      <c r="N33" s="199">
        <f>N67+N172+N217+N264</f>
        <v>57.317</v>
      </c>
      <c r="O33" s="199">
        <f t="shared" ref="O33:S33" si="69">O67+O172+O217+O264</f>
        <v>57.317</v>
      </c>
      <c r="P33" s="199">
        <f t="shared" si="69"/>
        <v>57.317</v>
      </c>
      <c r="Q33" s="199">
        <f t="shared" si="69"/>
        <v>57.667000000000002</v>
      </c>
      <c r="R33" s="199">
        <f t="shared" si="69"/>
        <v>57.667000000000002</v>
      </c>
      <c r="S33" s="199">
        <f t="shared" si="69"/>
        <v>1247.162</v>
      </c>
      <c r="T33" s="199">
        <f>SUM(N33:S33)</f>
        <v>1534.4469999999999</v>
      </c>
      <c r="U33" s="199">
        <f>T33+L33</f>
        <v>3042.6619999999998</v>
      </c>
      <c r="V33" s="175">
        <f>V67+V172+V217+V264</f>
        <v>2756.3690000000001</v>
      </c>
      <c r="W33" s="200">
        <f>W67+W172+W217+W264</f>
        <v>-286.29300000000001</v>
      </c>
      <c r="X33" s="176">
        <f>U28-U33</f>
        <v>0</v>
      </c>
    </row>
    <row r="34" spans="1:25" s="176" customFormat="1" ht="18" customHeight="1">
      <c r="A34" s="610"/>
      <c r="B34" s="576"/>
      <c r="C34" s="577"/>
      <c r="D34" s="201" t="str">
        <f>серпень!D34</f>
        <v>дотація</v>
      </c>
      <c r="E34" s="199"/>
      <c r="F34" s="199">
        <f t="shared" ref="F34:K35" si="70">F68+F173+F218+F265</f>
        <v>0</v>
      </c>
      <c r="G34" s="199">
        <f t="shared" si="70"/>
        <v>0</v>
      </c>
      <c r="H34" s="199">
        <f t="shared" si="70"/>
        <v>0</v>
      </c>
      <c r="I34" s="199">
        <f t="shared" si="70"/>
        <v>0</v>
      </c>
      <c r="J34" s="199">
        <f t="shared" si="70"/>
        <v>0</v>
      </c>
      <c r="K34" s="199">
        <f t="shared" si="70"/>
        <v>0</v>
      </c>
      <c r="L34" s="199">
        <f>SUM(F34:K34)</f>
        <v>0</v>
      </c>
      <c r="M34" s="199">
        <f>L34/6</f>
        <v>0</v>
      </c>
      <c r="N34" s="199">
        <f t="shared" ref="N34:S35" si="71">N68+N173+N218+N265</f>
        <v>0</v>
      </c>
      <c r="O34" s="199">
        <f t="shared" si="71"/>
        <v>0</v>
      </c>
      <c r="P34" s="199">
        <f t="shared" si="71"/>
        <v>0</v>
      </c>
      <c r="Q34" s="199">
        <f t="shared" si="71"/>
        <v>0</v>
      </c>
      <c r="R34" s="199">
        <f t="shared" si="71"/>
        <v>0</v>
      </c>
      <c r="S34" s="199">
        <f t="shared" si="71"/>
        <v>0</v>
      </c>
      <c r="T34" s="199">
        <f>SUM(N34:S34)</f>
        <v>0</v>
      </c>
      <c r="U34" s="199">
        <f>T34+L34</f>
        <v>0</v>
      </c>
      <c r="V34" s="175">
        <f>V68+V173+V218+V265</f>
        <v>0</v>
      </c>
      <c r="W34" s="200">
        <f>V34-U34</f>
        <v>0</v>
      </c>
      <c r="X34" s="176">
        <f>U29-U34</f>
        <v>0</v>
      </c>
    </row>
    <row r="35" spans="1:25" s="176" customFormat="1" ht="18" customHeight="1">
      <c r="A35" s="610"/>
      <c r="B35" s="576"/>
      <c r="C35" s="577"/>
      <c r="D35" s="201" t="str">
        <f>серпень!D35</f>
        <v xml:space="preserve">місцевий </v>
      </c>
      <c r="E35" s="199"/>
      <c r="F35" s="199">
        <f t="shared" si="70"/>
        <v>0</v>
      </c>
      <c r="G35" s="199">
        <f t="shared" si="70"/>
        <v>486.83600000000001</v>
      </c>
      <c r="H35" s="199">
        <f t="shared" si="70"/>
        <v>562.48500000000001</v>
      </c>
      <c r="I35" s="199">
        <f t="shared" si="70"/>
        <v>344.26</v>
      </c>
      <c r="J35" s="199">
        <f t="shared" si="70"/>
        <v>57.317</v>
      </c>
      <c r="K35" s="199">
        <f t="shared" si="70"/>
        <v>57.317</v>
      </c>
      <c r="L35" s="199">
        <f>SUM(F35:K35)</f>
        <v>1508.2149999999999</v>
      </c>
      <c r="M35" s="199">
        <f>L35/6</f>
        <v>251.369</v>
      </c>
      <c r="N35" s="199">
        <f t="shared" si="71"/>
        <v>57.317</v>
      </c>
      <c r="O35" s="199">
        <f t="shared" si="71"/>
        <v>57.317</v>
      </c>
      <c r="P35" s="199">
        <f t="shared" si="71"/>
        <v>57.317</v>
      </c>
      <c r="Q35" s="199">
        <f t="shared" si="71"/>
        <v>57.667000000000002</v>
      </c>
      <c r="R35" s="199">
        <f t="shared" si="71"/>
        <v>57.667000000000002</v>
      </c>
      <c r="S35" s="199">
        <f t="shared" si="71"/>
        <v>1247.162</v>
      </c>
      <c r="T35" s="199">
        <f>SUM(N35:S35)</f>
        <v>1534.4469999999999</v>
      </c>
      <c r="U35" s="199">
        <f>T35+L35</f>
        <v>3042.6619999999998</v>
      </c>
      <c r="V35" s="175">
        <f>V69+V174+V219+V266</f>
        <v>2756.3690000000001</v>
      </c>
      <c r="W35" s="200">
        <f>V35-U35</f>
        <v>-286.29300000000001</v>
      </c>
      <c r="X35" s="176">
        <f>U30-U35</f>
        <v>-286.29300000000001</v>
      </c>
    </row>
    <row r="36" spans="1:25" s="205" customFormat="1" ht="18" customHeight="1">
      <c r="A36" s="610"/>
      <c r="B36" s="576"/>
      <c r="C36" s="577"/>
      <c r="D36" s="202" t="str">
        <f>серпень!D36</f>
        <v>план</v>
      </c>
      <c r="E36" s="203"/>
      <c r="F36" s="203">
        <f t="shared" ref="F36:K36" si="72">F30</f>
        <v>0</v>
      </c>
      <c r="G36" s="203">
        <f t="shared" si="72"/>
        <v>486.83800000000002</v>
      </c>
      <c r="H36" s="203">
        <f t="shared" si="72"/>
        <v>562.48599999999999</v>
      </c>
      <c r="I36" s="203">
        <f>I30</f>
        <v>344.286</v>
      </c>
      <c r="J36" s="203">
        <f>J30</f>
        <v>57.35</v>
      </c>
      <c r="K36" s="203">
        <f t="shared" si="72"/>
        <v>57.35</v>
      </c>
      <c r="L36" s="203">
        <f>SUM(F36:K36)</f>
        <v>1508.31</v>
      </c>
      <c r="M36" s="203">
        <f>L36/6</f>
        <v>251.38499999999999</v>
      </c>
      <c r="N36" s="203">
        <f t="shared" ref="N36:S36" si="73">N30+N29</f>
        <v>57.45</v>
      </c>
      <c r="O36" s="203">
        <f t="shared" si="73"/>
        <v>57.15</v>
      </c>
      <c r="P36" s="203">
        <f t="shared" si="73"/>
        <v>57.45</v>
      </c>
      <c r="Q36" s="203">
        <f t="shared" si="73"/>
        <v>57.45</v>
      </c>
      <c r="R36" s="203">
        <f t="shared" si="73"/>
        <v>57.45</v>
      </c>
      <c r="S36" s="203">
        <f t="shared" si="73"/>
        <v>961.10900000000004</v>
      </c>
      <c r="T36" s="203">
        <f>SUM(N36:S36)</f>
        <v>1248.059</v>
      </c>
      <c r="U36" s="203">
        <f>T36+L36</f>
        <v>2756.3690000000001</v>
      </c>
      <c r="V36" s="204">
        <f>V70+V175+V220+V267</f>
        <v>2756.3690000000001</v>
      </c>
      <c r="W36" s="203">
        <f>V36-U36</f>
        <v>0</v>
      </c>
    </row>
    <row r="37" spans="1:25" s="205" customFormat="1" ht="18" customHeight="1">
      <c r="A37" s="610"/>
      <c r="B37" s="576"/>
      <c r="C37" s="577"/>
      <c r="D37" s="202" t="str">
        <f>серпень!D37</f>
        <v xml:space="preserve">відхилення </v>
      </c>
      <c r="E37" s="203"/>
      <c r="F37" s="203">
        <f t="shared" ref="F37:K37" si="74">F33-F36</f>
        <v>0</v>
      </c>
      <c r="G37" s="203">
        <f t="shared" si="74"/>
        <v>-2E-3</v>
      </c>
      <c r="H37" s="203">
        <f t="shared" si="74"/>
        <v>-1E-3</v>
      </c>
      <c r="I37" s="203">
        <f t="shared" si="74"/>
        <v>-2.5999999999999999E-2</v>
      </c>
      <c r="J37" s="203">
        <f t="shared" si="74"/>
        <v>-3.3000000000000002E-2</v>
      </c>
      <c r="K37" s="203">
        <f t="shared" si="74"/>
        <v>-3.3000000000000002E-2</v>
      </c>
      <c r="L37" s="203"/>
      <c r="M37" s="203"/>
      <c r="N37" s="203">
        <f t="shared" ref="N37:S37" si="75">N33-N36</f>
        <v>-0.13300000000000001</v>
      </c>
      <c r="O37" s="203">
        <f t="shared" si="75"/>
        <v>0.16700000000000001</v>
      </c>
      <c r="P37" s="203">
        <f t="shared" si="75"/>
        <v>-0.13300000000000001</v>
      </c>
      <c r="Q37" s="203">
        <f t="shared" si="75"/>
        <v>0.217</v>
      </c>
      <c r="R37" s="203">
        <f t="shared" si="75"/>
        <v>0.217</v>
      </c>
      <c r="S37" s="203">
        <f t="shared" si="75"/>
        <v>286.053</v>
      </c>
      <c r="T37" s="203"/>
      <c r="U37" s="203"/>
      <c r="V37" s="203"/>
      <c r="W37" s="203"/>
    </row>
    <row r="38" spans="1:25" s="205" customFormat="1" ht="18" customHeight="1">
      <c r="A38" s="610"/>
      <c r="B38" s="576"/>
      <c r="C38" s="577"/>
      <c r="D38" s="202" t="str">
        <f>серпень!D38</f>
        <v>відхилення з наростаючим</v>
      </c>
      <c r="E38" s="203"/>
      <c r="F38" s="203">
        <f>F37</f>
        <v>0</v>
      </c>
      <c r="G38" s="203">
        <f>G37+F38</f>
        <v>-2E-3</v>
      </c>
      <c r="H38" s="203">
        <f>H37+G38</f>
        <v>-3.0000000000000001E-3</v>
      </c>
      <c r="I38" s="203">
        <f>I37+H38</f>
        <v>-2.9000000000000001E-2</v>
      </c>
      <c r="J38" s="203">
        <f>J37+I38</f>
        <v>-6.2E-2</v>
      </c>
      <c r="K38" s="203">
        <f>K37+J38</f>
        <v>-9.5000000000000001E-2</v>
      </c>
      <c r="L38" s="203"/>
      <c r="M38" s="203"/>
      <c r="N38" s="203">
        <f>N37+K38</f>
        <v>-0.22800000000000001</v>
      </c>
      <c r="O38" s="203">
        <f>O37+N38</f>
        <v>-6.0999999999999999E-2</v>
      </c>
      <c r="P38" s="203">
        <f>P37+O38</f>
        <v>-0.19400000000000001</v>
      </c>
      <c r="Q38" s="203">
        <f>Q37+P38</f>
        <v>2.3E-2</v>
      </c>
      <c r="R38" s="203">
        <f>R37+Q38</f>
        <v>0.24</v>
      </c>
      <c r="S38" s="203">
        <f>S37+R38</f>
        <v>286.29300000000001</v>
      </c>
      <c r="T38" s="203"/>
      <c r="U38" s="203"/>
      <c r="V38" s="203"/>
      <c r="W38" s="203"/>
    </row>
    <row r="39" spans="1:25" s="206" customFormat="1" ht="18" customHeight="1">
      <c r="A39" s="610"/>
      <c r="B39" s="581" t="s">
        <v>71</v>
      </c>
      <c r="C39" s="581"/>
      <c r="D39" s="178" t="str">
        <f>серпень!D39</f>
        <v>факт. нат.п-ки 2023</v>
      </c>
      <c r="E39" s="179"/>
      <c r="F39" s="180">
        <f t="shared" ref="F39:K40" si="76">F56+F163+F208</f>
        <v>362.5</v>
      </c>
      <c r="G39" s="180">
        <f t="shared" si="76"/>
        <v>178.6</v>
      </c>
      <c r="H39" s="180">
        <f t="shared" si="76"/>
        <v>137.19999999999999</v>
      </c>
      <c r="I39" s="180">
        <f t="shared" si="76"/>
        <v>0.6</v>
      </c>
      <c r="J39" s="180">
        <f t="shared" si="76"/>
        <v>0.6</v>
      </c>
      <c r="K39" s="180">
        <f t="shared" si="76"/>
        <v>0.6</v>
      </c>
      <c r="L39" s="181">
        <f>SUM(F39:K39)</f>
        <v>680.1</v>
      </c>
      <c r="M39" s="181">
        <f>L39/6</f>
        <v>113.4</v>
      </c>
      <c r="N39" s="180">
        <f t="shared" ref="N39:S40" si="77">N56+N163+N208</f>
        <v>0.6</v>
      </c>
      <c r="O39" s="180">
        <f t="shared" si="77"/>
        <v>0.6</v>
      </c>
      <c r="P39" s="180">
        <f t="shared" si="77"/>
        <v>0.6</v>
      </c>
      <c r="Q39" s="180">
        <f t="shared" si="77"/>
        <v>0.6</v>
      </c>
      <c r="R39" s="180">
        <f t="shared" si="77"/>
        <v>17.399999999999999</v>
      </c>
      <c r="S39" s="180">
        <f t="shared" si="77"/>
        <v>221.9</v>
      </c>
      <c r="T39" s="181">
        <f>SUM(N39:S39)</f>
        <v>241.7</v>
      </c>
      <c r="U39" s="182">
        <f>T39+L39</f>
        <v>921.8</v>
      </c>
      <c r="V39" s="183">
        <f>V56+V163</f>
        <v>914.6</v>
      </c>
      <c r="W39" s="184"/>
    </row>
    <row r="40" spans="1:25" s="206" customFormat="1" ht="18" customHeight="1">
      <c r="A40" s="610"/>
      <c r="B40" s="581"/>
      <c r="C40" s="581"/>
      <c r="D40" s="178" t="str">
        <f>серпень!D40</f>
        <v>факт. нат.п-ки 2024</v>
      </c>
      <c r="E40" s="179"/>
      <c r="F40" s="180">
        <f t="shared" si="76"/>
        <v>145.4</v>
      </c>
      <c r="G40" s="180">
        <f t="shared" si="76"/>
        <v>130</v>
      </c>
      <c r="H40" s="180">
        <f t="shared" si="76"/>
        <v>121</v>
      </c>
      <c r="I40" s="180">
        <f t="shared" si="76"/>
        <v>1.5</v>
      </c>
      <c r="J40" s="180">
        <f t="shared" si="76"/>
        <v>1.5</v>
      </c>
      <c r="K40" s="180">
        <f t="shared" si="76"/>
        <v>1.5</v>
      </c>
      <c r="L40" s="181">
        <f>SUM(F40:K40)</f>
        <v>400.9</v>
      </c>
      <c r="M40" s="181">
        <f>L40/6</f>
        <v>66.8</v>
      </c>
      <c r="N40" s="180">
        <f t="shared" si="77"/>
        <v>1.5</v>
      </c>
      <c r="O40" s="180">
        <f t="shared" si="77"/>
        <v>1.5</v>
      </c>
      <c r="P40" s="180">
        <f t="shared" si="77"/>
        <v>1.5</v>
      </c>
      <c r="Q40" s="180">
        <f t="shared" si="77"/>
        <v>1.5</v>
      </c>
      <c r="R40" s="180">
        <f t="shared" si="77"/>
        <v>97</v>
      </c>
      <c r="S40" s="180">
        <f t="shared" si="77"/>
        <v>222.9</v>
      </c>
      <c r="T40" s="181">
        <f>SUM(N40:S40)</f>
        <v>325.89999999999998</v>
      </c>
      <c r="U40" s="182">
        <f>T40+L40</f>
        <v>726.8</v>
      </c>
      <c r="V40" s="183">
        <f>V57+V164</f>
        <v>708.6</v>
      </c>
      <c r="W40" s="184"/>
    </row>
    <row r="41" spans="1:25" s="206" customFormat="1" ht="18" customHeight="1">
      <c r="A41" s="610"/>
      <c r="B41" s="581"/>
      <c r="C41" s="581"/>
      <c r="D41" s="178" t="str">
        <f>серпень!D41</f>
        <v>факт. нат.п-ки 2025</v>
      </c>
      <c r="E41" s="179"/>
      <c r="F41" s="180">
        <f>F90+F135+F165+F210</f>
        <v>169.8</v>
      </c>
      <c r="G41" s="180">
        <f t="shared" ref="G41:K41" si="78">G90+G135+G165+G210</f>
        <v>187.4</v>
      </c>
      <c r="H41" s="180">
        <f t="shared" si="78"/>
        <v>105.6</v>
      </c>
      <c r="I41" s="180">
        <f t="shared" si="78"/>
        <v>0</v>
      </c>
      <c r="J41" s="180">
        <f t="shared" si="78"/>
        <v>0</v>
      </c>
      <c r="K41" s="180">
        <f t="shared" si="78"/>
        <v>0</v>
      </c>
      <c r="L41" s="181">
        <f>SUM(F41:K41)</f>
        <v>462.8</v>
      </c>
      <c r="M41" s="181">
        <f>L41/6</f>
        <v>77.099999999999994</v>
      </c>
      <c r="N41" s="180">
        <f>N90+N135+N165+N210</f>
        <v>0</v>
      </c>
      <c r="O41" s="180">
        <f t="shared" ref="O41:S41" si="79">O90+O135+O165+O210</f>
        <v>0</v>
      </c>
      <c r="P41" s="180">
        <f t="shared" si="79"/>
        <v>0</v>
      </c>
      <c r="Q41" s="180">
        <f t="shared" si="79"/>
        <v>0</v>
      </c>
      <c r="R41" s="180">
        <f t="shared" si="79"/>
        <v>95.4</v>
      </c>
      <c r="S41" s="180">
        <f t="shared" si="79"/>
        <v>324.3</v>
      </c>
      <c r="T41" s="181">
        <f>SUM(N41:S41)</f>
        <v>419.7</v>
      </c>
      <c r="U41" s="182">
        <f>T41+L41</f>
        <v>882.5</v>
      </c>
      <c r="V41" s="264">
        <f t="shared" ref="V41" si="80">V58+V165+V210</f>
        <v>811.6</v>
      </c>
      <c r="W41" s="184">
        <f>V41-U41</f>
        <v>-70.900000000000006</v>
      </c>
    </row>
    <row r="42" spans="1:25" s="206" customFormat="1" ht="18" customHeight="1">
      <c r="A42" s="610"/>
      <c r="B42" s="581"/>
      <c r="C42" s="581"/>
      <c r="D42" s="187" t="str">
        <f>серпень!D42</f>
        <v>тариф, грн.</v>
      </c>
      <c r="E42" s="188"/>
      <c r="F42" s="188">
        <f t="shared" ref="F42:S42" si="81">F43/F41*1000</f>
        <v>2530.83</v>
      </c>
      <c r="G42" s="188">
        <f t="shared" si="81"/>
        <v>2695.6669999999999</v>
      </c>
      <c r="H42" s="188">
        <f t="shared" si="81"/>
        <v>2717.2629999999999</v>
      </c>
      <c r="I42" s="188" t="e">
        <f>I43/I41*1000</f>
        <v>#DIV/0!</v>
      </c>
      <c r="J42" s="188" t="e">
        <f>J43/J41*1000</f>
        <v>#DIV/0!</v>
      </c>
      <c r="K42" s="188" t="e">
        <f t="shared" si="81"/>
        <v>#DIV/0!</v>
      </c>
      <c r="L42" s="188">
        <f t="shared" si="81"/>
        <v>2640.1170000000002</v>
      </c>
      <c r="M42" s="188">
        <f t="shared" si="81"/>
        <v>2641.2579999999998</v>
      </c>
      <c r="N42" s="188" t="e">
        <f t="shared" si="81"/>
        <v>#DIV/0!</v>
      </c>
      <c r="O42" s="188" t="e">
        <f t="shared" si="81"/>
        <v>#DIV/0!</v>
      </c>
      <c r="P42" s="188" t="e">
        <f t="shared" si="81"/>
        <v>#DIV/0!</v>
      </c>
      <c r="Q42" s="188" t="e">
        <f t="shared" si="81"/>
        <v>#DIV/0!</v>
      </c>
      <c r="R42" s="188">
        <f t="shared" si="81"/>
        <v>2522.2750000000001</v>
      </c>
      <c r="S42" s="188">
        <f t="shared" si="81"/>
        <v>2748.3780000000002</v>
      </c>
      <c r="T42" s="188">
        <f>T43/T41*1000</f>
        <v>2696.9839999999999</v>
      </c>
      <c r="U42" s="188">
        <f>U43/U41*1000</f>
        <v>2667.1610000000001</v>
      </c>
      <c r="V42" s="188">
        <f>V43/V41*1000</f>
        <v>2546.7829999999999</v>
      </c>
      <c r="W42" s="189">
        <f>W43/W41*1000</f>
        <v>4045.1480000000001</v>
      </c>
    </row>
    <row r="43" spans="1:25" s="206" customFormat="1" ht="18" customHeight="1">
      <c r="A43" s="610"/>
      <c r="B43" s="581"/>
      <c r="C43" s="581"/>
      <c r="D43" s="191" t="str">
        <f>серпень!D43</f>
        <v>сума, тис.грн.</v>
      </c>
      <c r="E43" s="192"/>
      <c r="F43" s="193">
        <f>F92+F137+F167+F212</f>
        <v>429.73500000000001</v>
      </c>
      <c r="G43" s="193">
        <f t="shared" ref="G43:K43" si="82">G92+G137+G167+G212</f>
        <v>505.16800000000001</v>
      </c>
      <c r="H43" s="193">
        <f t="shared" si="82"/>
        <v>286.94299999999998</v>
      </c>
      <c r="I43" s="193">
        <f t="shared" si="82"/>
        <v>0</v>
      </c>
      <c r="J43" s="193">
        <f t="shared" si="82"/>
        <v>0</v>
      </c>
      <c r="K43" s="193">
        <f t="shared" si="82"/>
        <v>0</v>
      </c>
      <c r="L43" s="194">
        <f t="shared" ref="L43:L48" si="83">SUM(F43:K43)</f>
        <v>1221.846</v>
      </c>
      <c r="M43" s="194">
        <f t="shared" ref="M43:M48" si="84">L43/6</f>
        <v>203.64099999999999</v>
      </c>
      <c r="N43" s="193">
        <f>N92+N137+N167+N212</f>
        <v>0</v>
      </c>
      <c r="O43" s="193">
        <f t="shared" ref="O43:S43" si="85">O92+O137+O167+O212</f>
        <v>0</v>
      </c>
      <c r="P43" s="193">
        <f t="shared" si="85"/>
        <v>0</v>
      </c>
      <c r="Q43" s="193">
        <f t="shared" si="85"/>
        <v>0</v>
      </c>
      <c r="R43" s="193">
        <f t="shared" si="85"/>
        <v>240.625</v>
      </c>
      <c r="S43" s="193">
        <f t="shared" si="85"/>
        <v>891.29899999999998</v>
      </c>
      <c r="T43" s="194">
        <f>SUM(N43:S43)</f>
        <v>1131.924</v>
      </c>
      <c r="U43" s="194">
        <f>T43+L43</f>
        <v>2353.77</v>
      </c>
      <c r="V43" s="171">
        <f>V60+V167+V212</f>
        <v>2066.9690000000001</v>
      </c>
      <c r="W43" s="193">
        <f>V43-U43</f>
        <v>-286.80099999999999</v>
      </c>
    </row>
    <row r="44" spans="1:25" s="206" customFormat="1" ht="18" customHeight="1">
      <c r="A44" s="610"/>
      <c r="B44" s="581"/>
      <c r="C44" s="581"/>
      <c r="D44" s="174" t="str">
        <f>серпень!D44</f>
        <v>абоненська плата, тис.грн.</v>
      </c>
      <c r="E44" s="192"/>
      <c r="F44" s="193">
        <f>F77+F107+F152</f>
        <v>57.100999999999999</v>
      </c>
      <c r="G44" s="193">
        <f t="shared" ref="G44:K44" si="86">G77+G107+G152</f>
        <v>57.317</v>
      </c>
      <c r="H44" s="193">
        <f t="shared" si="86"/>
        <v>57.317</v>
      </c>
      <c r="I44" s="193">
        <f t="shared" si="86"/>
        <v>57.317</v>
      </c>
      <c r="J44" s="193">
        <f t="shared" si="86"/>
        <v>57.317</v>
      </c>
      <c r="K44" s="193">
        <f t="shared" si="86"/>
        <v>57.268999999999998</v>
      </c>
      <c r="L44" s="194">
        <f t="shared" si="83"/>
        <v>343.63799999999998</v>
      </c>
      <c r="M44" s="194">
        <f t="shared" si="84"/>
        <v>57.273000000000003</v>
      </c>
      <c r="N44" s="193">
        <f>N77+N107+N152</f>
        <v>57.317</v>
      </c>
      <c r="O44" s="193">
        <f t="shared" ref="O44:S44" si="87">O77+O107+O152</f>
        <v>57.317</v>
      </c>
      <c r="P44" s="193">
        <f t="shared" si="87"/>
        <v>57.619</v>
      </c>
      <c r="Q44" s="193">
        <f t="shared" si="87"/>
        <v>57.667000000000002</v>
      </c>
      <c r="R44" s="193">
        <f t="shared" si="87"/>
        <v>57.667000000000002</v>
      </c>
      <c r="S44" s="193">
        <f t="shared" si="87"/>
        <v>57.667000000000002</v>
      </c>
      <c r="T44" s="194">
        <f t="shared" ref="T44:T46" si="88">SUM(N44:S44)</f>
        <v>345.25400000000002</v>
      </c>
      <c r="U44" s="194">
        <f t="shared" ref="U44:U46" si="89">T44+L44</f>
        <v>688.89200000000005</v>
      </c>
      <c r="V44" s="193">
        <f t="shared" ref="V44" si="90">V77+V107+V152</f>
        <v>689.4</v>
      </c>
      <c r="W44" s="193">
        <f t="shared" ref="W44:W45" si="91">V44-U44</f>
        <v>0.50800000000000001</v>
      </c>
    </row>
    <row r="45" spans="1:25" s="206" customFormat="1" ht="18" customHeight="1">
      <c r="A45" s="610"/>
      <c r="B45" s="581"/>
      <c r="C45" s="581"/>
      <c r="D45" s="174" t="str">
        <f>серпень!D45</f>
        <v>разом сума тис. грн+абонплата</v>
      </c>
      <c r="E45" s="192"/>
      <c r="F45" s="193">
        <f>F43+F44</f>
        <v>486.83600000000001</v>
      </c>
      <c r="G45" s="193">
        <f t="shared" ref="G45:K45" si="92">G43+G44</f>
        <v>562.48500000000001</v>
      </c>
      <c r="H45" s="193">
        <f t="shared" si="92"/>
        <v>344.26</v>
      </c>
      <c r="I45" s="193">
        <f t="shared" si="92"/>
        <v>57.317</v>
      </c>
      <c r="J45" s="193">
        <f t="shared" si="92"/>
        <v>57.317</v>
      </c>
      <c r="K45" s="193">
        <f t="shared" si="92"/>
        <v>57.268999999999998</v>
      </c>
      <c r="L45" s="194">
        <f t="shared" si="83"/>
        <v>1565.4839999999999</v>
      </c>
      <c r="M45" s="194">
        <f t="shared" si="84"/>
        <v>260.91399999999999</v>
      </c>
      <c r="N45" s="193">
        <f t="shared" ref="N45:S45" si="93">N43+N44</f>
        <v>57.317</v>
      </c>
      <c r="O45" s="193">
        <f t="shared" si="93"/>
        <v>57.317</v>
      </c>
      <c r="P45" s="193">
        <f t="shared" si="93"/>
        <v>57.619</v>
      </c>
      <c r="Q45" s="193">
        <f t="shared" si="93"/>
        <v>57.667000000000002</v>
      </c>
      <c r="R45" s="193">
        <f t="shared" si="93"/>
        <v>298.29199999999997</v>
      </c>
      <c r="S45" s="193">
        <f t="shared" si="93"/>
        <v>948.96600000000001</v>
      </c>
      <c r="T45" s="194">
        <f t="shared" ref="T45" si="94">SUM(N45:S45)</f>
        <v>1477.1780000000001</v>
      </c>
      <c r="U45" s="194">
        <f t="shared" si="89"/>
        <v>3042.6619999999998</v>
      </c>
      <c r="V45" s="193">
        <f t="shared" ref="V45" si="95">V43+V44</f>
        <v>2756.3690000000001</v>
      </c>
      <c r="W45" s="193">
        <f t="shared" si="91"/>
        <v>-286.29300000000001</v>
      </c>
    </row>
    <row r="46" spans="1:25" s="206" customFormat="1" ht="18" customHeight="1">
      <c r="A46" s="610"/>
      <c r="B46" s="581"/>
      <c r="C46" s="581"/>
      <c r="D46" s="174" t="str">
        <f>серпень!D46</f>
        <v>дотація</v>
      </c>
      <c r="E46" s="192"/>
      <c r="F46" s="193">
        <f>F63+F168+F213</f>
        <v>0</v>
      </c>
      <c r="G46" s="193">
        <f t="shared" ref="G46:K47" si="96">G63+G168+G213</f>
        <v>0</v>
      </c>
      <c r="H46" s="193">
        <f t="shared" si="96"/>
        <v>0</v>
      </c>
      <c r="I46" s="193">
        <f t="shared" si="96"/>
        <v>0</v>
      </c>
      <c r="J46" s="193">
        <f t="shared" si="96"/>
        <v>0</v>
      </c>
      <c r="K46" s="193">
        <f t="shared" si="96"/>
        <v>0</v>
      </c>
      <c r="L46" s="194">
        <f t="shared" si="83"/>
        <v>0</v>
      </c>
      <c r="M46" s="194">
        <f t="shared" si="84"/>
        <v>0</v>
      </c>
      <c r="N46" s="193">
        <f t="shared" ref="N46:S47" si="97">N63+N168+N213</f>
        <v>0</v>
      </c>
      <c r="O46" s="193">
        <f t="shared" si="97"/>
        <v>0</v>
      </c>
      <c r="P46" s="193">
        <f t="shared" si="97"/>
        <v>0</v>
      </c>
      <c r="Q46" s="193">
        <f t="shared" si="97"/>
        <v>0</v>
      </c>
      <c r="R46" s="193">
        <f t="shared" si="97"/>
        <v>0</v>
      </c>
      <c r="S46" s="193">
        <f t="shared" si="97"/>
        <v>0</v>
      </c>
      <c r="T46" s="194">
        <f t="shared" si="88"/>
        <v>0</v>
      </c>
      <c r="U46" s="194">
        <f t="shared" si="89"/>
        <v>0</v>
      </c>
      <c r="V46" s="171">
        <f t="shared" ref="V46:V47" si="98">V63+V168+V213</f>
        <v>0</v>
      </c>
      <c r="W46" s="192">
        <f>V46-U46</f>
        <v>0</v>
      </c>
    </row>
    <row r="47" spans="1:25" s="206" customFormat="1" ht="18" customHeight="1">
      <c r="A47" s="610"/>
      <c r="B47" s="581"/>
      <c r="C47" s="581"/>
      <c r="D47" s="174" t="str">
        <f>серпень!D47</f>
        <v>місцевий (план), тис.грн</v>
      </c>
      <c r="E47" s="192"/>
      <c r="F47" s="193">
        <f>F64+F169+F214</f>
        <v>0</v>
      </c>
      <c r="G47" s="193">
        <f t="shared" si="96"/>
        <v>486.83800000000002</v>
      </c>
      <c r="H47" s="193">
        <f t="shared" si="96"/>
        <v>562.48599999999999</v>
      </c>
      <c r="I47" s="193">
        <f t="shared" si="96"/>
        <v>344.286</v>
      </c>
      <c r="J47" s="193">
        <f t="shared" si="96"/>
        <v>57.35</v>
      </c>
      <c r="K47" s="193">
        <f t="shared" si="96"/>
        <v>57.35</v>
      </c>
      <c r="L47" s="194">
        <f t="shared" si="83"/>
        <v>1508.31</v>
      </c>
      <c r="M47" s="194">
        <f t="shared" si="84"/>
        <v>251.38499999999999</v>
      </c>
      <c r="N47" s="193">
        <f t="shared" si="97"/>
        <v>57.45</v>
      </c>
      <c r="O47" s="193">
        <f t="shared" si="97"/>
        <v>57.15</v>
      </c>
      <c r="P47" s="193">
        <f t="shared" si="97"/>
        <v>57.45</v>
      </c>
      <c r="Q47" s="193">
        <f t="shared" si="97"/>
        <v>57.45</v>
      </c>
      <c r="R47" s="193">
        <f t="shared" si="97"/>
        <v>57.45</v>
      </c>
      <c r="S47" s="193">
        <f t="shared" si="97"/>
        <v>961.10900000000004</v>
      </c>
      <c r="T47" s="194">
        <f>SUM(N47:S47)</f>
        <v>1248.059</v>
      </c>
      <c r="U47" s="194">
        <f>T47+L47</f>
        <v>2756.3690000000001</v>
      </c>
      <c r="V47" s="171">
        <f t="shared" si="98"/>
        <v>2756.3690000000001</v>
      </c>
      <c r="W47" s="192">
        <f>V47-U47</f>
        <v>0</v>
      </c>
    </row>
    <row r="48" spans="1:25" s="206" customFormat="1" ht="18" customHeight="1">
      <c r="A48" s="610"/>
      <c r="B48" s="581"/>
      <c r="C48" s="581"/>
      <c r="D48" s="178" t="str">
        <f>серпень!D48</f>
        <v>касові нат.п-ки 2025</v>
      </c>
      <c r="E48" s="179">
        <f t="shared" ref="E48" si="99">E65+E170+E215</f>
        <v>0</v>
      </c>
      <c r="F48" s="264">
        <f>F95+F140+F170+F215</f>
        <v>0</v>
      </c>
      <c r="G48" s="264">
        <f t="shared" ref="G48:K48" si="100">G95+G140+G170+G215</f>
        <v>169.8</v>
      </c>
      <c r="H48" s="264">
        <f t="shared" si="100"/>
        <v>187.4</v>
      </c>
      <c r="I48" s="264">
        <f t="shared" si="100"/>
        <v>105.6</v>
      </c>
      <c r="J48" s="264">
        <f t="shared" si="100"/>
        <v>0</v>
      </c>
      <c r="K48" s="264">
        <f t="shared" si="100"/>
        <v>0</v>
      </c>
      <c r="L48" s="181">
        <f t="shared" si="83"/>
        <v>462.8</v>
      </c>
      <c r="M48" s="181">
        <f t="shared" si="84"/>
        <v>77.099999999999994</v>
      </c>
      <c r="N48" s="264">
        <f t="shared" ref="N48" si="101">N95+N140+N170+N215</f>
        <v>0</v>
      </c>
      <c r="O48" s="264">
        <f t="shared" ref="O48:S48" si="102">O95+O140+O170+O215</f>
        <v>0</v>
      </c>
      <c r="P48" s="264">
        <f t="shared" si="102"/>
        <v>0</v>
      </c>
      <c r="Q48" s="264">
        <f t="shared" si="102"/>
        <v>0</v>
      </c>
      <c r="R48" s="264">
        <f t="shared" si="102"/>
        <v>0</v>
      </c>
      <c r="S48" s="180">
        <f t="shared" si="102"/>
        <v>419.7</v>
      </c>
      <c r="T48" s="181">
        <f>SUM(N48:S48)</f>
        <v>419.7</v>
      </c>
      <c r="U48" s="181">
        <f>T48+L48</f>
        <v>882.5</v>
      </c>
      <c r="V48" s="260">
        <f t="shared" ref="V48" si="103">V80+V95+V110+V125+V140+V155+V170+V215</f>
        <v>854.21600000000001</v>
      </c>
      <c r="W48" s="184">
        <f>V48-U48</f>
        <v>-28.3</v>
      </c>
      <c r="X48" s="206">
        <f>U41-U48</f>
        <v>0</v>
      </c>
      <c r="Y48" s="176"/>
    </row>
    <row r="49" spans="1:24" s="206" customFormat="1" ht="18" customHeight="1">
      <c r="A49" s="610"/>
      <c r="B49" s="581"/>
      <c r="C49" s="581"/>
      <c r="D49" s="187" t="str">
        <f>серпень!D49</f>
        <v>тариф, грн.</v>
      </c>
      <c r="E49" s="188" t="e">
        <f t="shared" ref="E49:S49" si="104">E50/E48*1000</f>
        <v>#DIV/0!</v>
      </c>
      <c r="F49" s="188" t="e">
        <f t="shared" si="104"/>
        <v>#DIV/0!</v>
      </c>
      <c r="G49" s="188">
        <f t="shared" si="104"/>
        <v>2867.114</v>
      </c>
      <c r="H49" s="188">
        <f t="shared" si="104"/>
        <v>3001.5210000000002</v>
      </c>
      <c r="I49" s="188">
        <f>I50/I48*1000</f>
        <v>3260.038</v>
      </c>
      <c r="J49" s="188" t="e">
        <f>J50/J48*1000</f>
        <v>#DIV/0!</v>
      </c>
      <c r="K49" s="188" t="e">
        <f t="shared" si="104"/>
        <v>#DIV/0!</v>
      </c>
      <c r="L49" s="188">
        <f t="shared" si="104"/>
        <v>3258.8919999999998</v>
      </c>
      <c r="M49" s="188">
        <f t="shared" si="104"/>
        <v>3260.2979999999998</v>
      </c>
      <c r="N49" s="188" t="e">
        <f t="shared" si="104"/>
        <v>#DIV/0!</v>
      </c>
      <c r="O49" s="188" t="e">
        <f t="shared" si="104"/>
        <v>#DIV/0!</v>
      </c>
      <c r="P49" s="188" t="e">
        <f t="shared" si="104"/>
        <v>#DIV/0!</v>
      </c>
      <c r="Q49" s="188" t="e">
        <f t="shared" si="104"/>
        <v>#DIV/0!</v>
      </c>
      <c r="R49" s="188" t="e">
        <f t="shared" si="104"/>
        <v>#DIV/0!</v>
      </c>
      <c r="S49" s="188">
        <f t="shared" si="104"/>
        <v>2971.556</v>
      </c>
      <c r="T49" s="188">
        <f>T50/T48*1000</f>
        <v>3656.0569999999998</v>
      </c>
      <c r="U49" s="188">
        <f>U50/U48*1000</f>
        <v>3447.7759999999998</v>
      </c>
      <c r="V49" s="188">
        <f>V50/V48*1000</f>
        <v>3226.7820000000002</v>
      </c>
      <c r="W49" s="189">
        <f>W50/W48*1000</f>
        <v>10116.36</v>
      </c>
    </row>
    <row r="50" spans="1:24" s="176" customFormat="1" ht="18" customHeight="1">
      <c r="A50" s="610"/>
      <c r="B50" s="581"/>
      <c r="C50" s="581"/>
      <c r="D50" s="198" t="str">
        <f>серпень!D50</f>
        <v>касові видатки, тис.грн.</v>
      </c>
      <c r="E50" s="199">
        <f t="shared" ref="E50" si="105">E67+E172+E217</f>
        <v>0</v>
      </c>
      <c r="F50" s="199">
        <f>F67+F172+F217</f>
        <v>0</v>
      </c>
      <c r="G50" s="199">
        <f t="shared" ref="F50:K52" si="106">G67+G172+G217</f>
        <v>486.83600000000001</v>
      </c>
      <c r="H50" s="199">
        <f t="shared" si="106"/>
        <v>562.48500000000001</v>
      </c>
      <c r="I50" s="199">
        <f t="shared" si="106"/>
        <v>344.26</v>
      </c>
      <c r="J50" s="199">
        <f t="shared" si="106"/>
        <v>57.317</v>
      </c>
      <c r="K50" s="199">
        <f t="shared" si="106"/>
        <v>57.317</v>
      </c>
      <c r="L50" s="199">
        <f>SUM(F50:K50)</f>
        <v>1508.2149999999999</v>
      </c>
      <c r="M50" s="199">
        <f>L50/6</f>
        <v>251.369</v>
      </c>
      <c r="N50" s="199">
        <f>N67+N172+N217</f>
        <v>57.317</v>
      </c>
      <c r="O50" s="199">
        <f t="shared" ref="O50:S50" si="107">O67+O172+O217</f>
        <v>57.317</v>
      </c>
      <c r="P50" s="199">
        <f t="shared" si="107"/>
        <v>57.317</v>
      </c>
      <c r="Q50" s="199">
        <f t="shared" si="107"/>
        <v>57.667000000000002</v>
      </c>
      <c r="R50" s="199">
        <f t="shared" si="107"/>
        <v>57.667000000000002</v>
      </c>
      <c r="S50" s="199">
        <f t="shared" si="107"/>
        <v>1247.162</v>
      </c>
      <c r="T50" s="199">
        <f>SUM(N50:S50)</f>
        <v>1534.4469999999999</v>
      </c>
      <c r="U50" s="199">
        <f>T50+L50</f>
        <v>3042.6619999999998</v>
      </c>
      <c r="V50" s="175">
        <f>V67+V172+V217</f>
        <v>2756.3690000000001</v>
      </c>
      <c r="W50" s="200">
        <f>V50-U50</f>
        <v>-286.29300000000001</v>
      </c>
      <c r="X50" s="176">
        <f>U45-U50</f>
        <v>0</v>
      </c>
    </row>
    <row r="51" spans="1:24" s="176" customFormat="1" ht="18" customHeight="1">
      <c r="A51" s="610"/>
      <c r="B51" s="581"/>
      <c r="C51" s="581"/>
      <c r="D51" s="201" t="str">
        <f>серпень!D51</f>
        <v>дотація</v>
      </c>
      <c r="E51" s="199"/>
      <c r="F51" s="199">
        <f>F68+F173+F218</f>
        <v>0</v>
      </c>
      <c r="G51" s="199">
        <f t="shared" si="106"/>
        <v>0</v>
      </c>
      <c r="H51" s="199">
        <f t="shared" si="106"/>
        <v>0</v>
      </c>
      <c r="I51" s="199">
        <f t="shared" si="106"/>
        <v>0</v>
      </c>
      <c r="J51" s="199">
        <f t="shared" si="106"/>
        <v>0</v>
      </c>
      <c r="K51" s="199">
        <f t="shared" si="106"/>
        <v>0</v>
      </c>
      <c r="L51" s="199">
        <f>SUM(F51:K51)</f>
        <v>0</v>
      </c>
      <c r="M51" s="199">
        <f>L51/6</f>
        <v>0</v>
      </c>
      <c r="N51" s="199">
        <f t="shared" ref="N51:S52" si="108">N68+N173+N218</f>
        <v>0</v>
      </c>
      <c r="O51" s="199">
        <f t="shared" si="108"/>
        <v>0</v>
      </c>
      <c r="P51" s="199">
        <f t="shared" si="108"/>
        <v>0</v>
      </c>
      <c r="Q51" s="199">
        <f t="shared" si="108"/>
        <v>0</v>
      </c>
      <c r="R51" s="199">
        <f t="shared" si="108"/>
        <v>0</v>
      </c>
      <c r="S51" s="199">
        <f t="shared" si="108"/>
        <v>0</v>
      </c>
      <c r="T51" s="199">
        <f>SUM(N51:S51)</f>
        <v>0</v>
      </c>
      <c r="U51" s="199">
        <f>T51+L51</f>
        <v>0</v>
      </c>
      <c r="V51" s="175">
        <f>V68+V173+V218</f>
        <v>0</v>
      </c>
      <c r="W51" s="200">
        <f>V51-U51</f>
        <v>0</v>
      </c>
      <c r="X51" s="176">
        <f>U46-U51</f>
        <v>0</v>
      </c>
    </row>
    <row r="52" spans="1:24" s="176" customFormat="1" ht="18" customHeight="1">
      <c r="A52" s="610"/>
      <c r="B52" s="581"/>
      <c r="C52" s="581"/>
      <c r="D52" s="201" t="str">
        <f>серпень!D52</f>
        <v xml:space="preserve">місцевий </v>
      </c>
      <c r="E52" s="199"/>
      <c r="F52" s="199">
        <f t="shared" si="106"/>
        <v>0</v>
      </c>
      <c r="G52" s="199">
        <f t="shared" si="106"/>
        <v>486.83600000000001</v>
      </c>
      <c r="H52" s="199">
        <f t="shared" si="106"/>
        <v>562.48500000000001</v>
      </c>
      <c r="I52" s="199">
        <f>I69+I174+I219</f>
        <v>344.26</v>
      </c>
      <c r="J52" s="199">
        <f t="shared" si="106"/>
        <v>57.317</v>
      </c>
      <c r="K52" s="199">
        <f t="shared" si="106"/>
        <v>57.317</v>
      </c>
      <c r="L52" s="199">
        <f>SUM(F52:K52)</f>
        <v>1508.2149999999999</v>
      </c>
      <c r="M52" s="199">
        <f>L52/6</f>
        <v>251.369</v>
      </c>
      <c r="N52" s="199">
        <f t="shared" si="108"/>
        <v>57.317</v>
      </c>
      <c r="O52" s="199">
        <f t="shared" si="108"/>
        <v>57.317</v>
      </c>
      <c r="P52" s="199">
        <f t="shared" si="108"/>
        <v>57.317</v>
      </c>
      <c r="Q52" s="199">
        <f t="shared" si="108"/>
        <v>57.667000000000002</v>
      </c>
      <c r="R52" s="199">
        <f t="shared" si="108"/>
        <v>57.667000000000002</v>
      </c>
      <c r="S52" s="199">
        <f t="shared" si="108"/>
        <v>1247.162</v>
      </c>
      <c r="T52" s="199">
        <f>SUM(N52:S52)</f>
        <v>1534.4469999999999</v>
      </c>
      <c r="U52" s="199">
        <f>T52+L52</f>
        <v>3042.6619999999998</v>
      </c>
      <c r="V52" s="175">
        <f>V69+V174+V219</f>
        <v>2756.3690000000001</v>
      </c>
      <c r="W52" s="200">
        <f>V52-U52</f>
        <v>-286.29300000000001</v>
      </c>
      <c r="X52" s="176">
        <f>U47-U52</f>
        <v>-286.29300000000001</v>
      </c>
    </row>
    <row r="53" spans="1:24" s="205" customFormat="1" ht="18" customHeight="1">
      <c r="A53" s="610"/>
      <c r="B53" s="581"/>
      <c r="C53" s="581"/>
      <c r="D53" s="202" t="str">
        <f>серпень!D53</f>
        <v>план</v>
      </c>
      <c r="E53" s="203"/>
      <c r="F53" s="203">
        <f t="shared" ref="F53:K53" si="109">F47</f>
        <v>0</v>
      </c>
      <c r="G53" s="203">
        <f t="shared" si="109"/>
        <v>486.83800000000002</v>
      </c>
      <c r="H53" s="203">
        <f t="shared" si="109"/>
        <v>562.48599999999999</v>
      </c>
      <c r="I53" s="203">
        <f t="shared" si="109"/>
        <v>344.286</v>
      </c>
      <c r="J53" s="203">
        <f t="shared" si="109"/>
        <v>57.35</v>
      </c>
      <c r="K53" s="203">
        <f t="shared" si="109"/>
        <v>57.35</v>
      </c>
      <c r="L53" s="203">
        <f>SUM(F53:K53)</f>
        <v>1508.31</v>
      </c>
      <c r="M53" s="203">
        <f>L53/6</f>
        <v>251.38499999999999</v>
      </c>
      <c r="N53" s="203">
        <f>N47+N46</f>
        <v>57.45</v>
      </c>
      <c r="O53" s="203">
        <f t="shared" ref="O53:S53" si="110">O47+O46</f>
        <v>57.15</v>
      </c>
      <c r="P53" s="203">
        <f t="shared" si="110"/>
        <v>57.45</v>
      </c>
      <c r="Q53" s="203">
        <f t="shared" si="110"/>
        <v>57.45</v>
      </c>
      <c r="R53" s="203">
        <f t="shared" si="110"/>
        <v>57.45</v>
      </c>
      <c r="S53" s="203">
        <f t="shared" si="110"/>
        <v>961.10900000000004</v>
      </c>
      <c r="T53" s="203">
        <f>SUM(N53:S53)</f>
        <v>1248.059</v>
      </c>
      <c r="U53" s="203">
        <f>T53+L53</f>
        <v>2756.3690000000001</v>
      </c>
      <c r="V53" s="204">
        <f>V47+V46</f>
        <v>2756.3690000000001</v>
      </c>
      <c r="W53" s="203">
        <f>V53-U53</f>
        <v>0</v>
      </c>
    </row>
    <row r="54" spans="1:24" s="205" customFormat="1" ht="18" customHeight="1">
      <c r="A54" s="610"/>
      <c r="B54" s="581"/>
      <c r="C54" s="581"/>
      <c r="D54" s="202" t="str">
        <f>серпень!D54</f>
        <v xml:space="preserve">відхилення </v>
      </c>
      <c r="E54" s="203"/>
      <c r="F54" s="203">
        <f t="shared" ref="F54:K54" si="111">F50-F53</f>
        <v>0</v>
      </c>
      <c r="G54" s="203">
        <f t="shared" si="111"/>
        <v>-2E-3</v>
      </c>
      <c r="H54" s="203">
        <f t="shared" si="111"/>
        <v>-1E-3</v>
      </c>
      <c r="I54" s="203">
        <f t="shared" si="111"/>
        <v>-2.5999999999999999E-2</v>
      </c>
      <c r="J54" s="203">
        <f t="shared" si="111"/>
        <v>-3.3000000000000002E-2</v>
      </c>
      <c r="K54" s="203">
        <f t="shared" si="111"/>
        <v>-3.3000000000000002E-2</v>
      </c>
      <c r="L54" s="203"/>
      <c r="M54" s="203"/>
      <c r="N54" s="203">
        <f t="shared" ref="N54:S54" si="112">N50-N53</f>
        <v>-0.13300000000000001</v>
      </c>
      <c r="O54" s="203">
        <f t="shared" si="112"/>
        <v>0.16700000000000001</v>
      </c>
      <c r="P54" s="203">
        <f t="shared" si="112"/>
        <v>-0.13300000000000001</v>
      </c>
      <c r="Q54" s="203">
        <f t="shared" si="112"/>
        <v>0.217</v>
      </c>
      <c r="R54" s="203">
        <f t="shared" si="112"/>
        <v>0.217</v>
      </c>
      <c r="S54" s="203">
        <f t="shared" si="112"/>
        <v>286.053</v>
      </c>
      <c r="T54" s="203"/>
      <c r="U54" s="203"/>
      <c r="V54" s="203"/>
      <c r="W54" s="203"/>
    </row>
    <row r="55" spans="1:24" s="205" customFormat="1" ht="18" customHeight="1">
      <c r="A55" s="610"/>
      <c r="B55" s="581"/>
      <c r="C55" s="581"/>
      <c r="D55" s="202" t="str">
        <f>серпень!D55</f>
        <v>відхилення з наростаючим</v>
      </c>
      <c r="E55" s="203"/>
      <c r="F55" s="203">
        <f>F54</f>
        <v>0</v>
      </c>
      <c r="G55" s="203">
        <f>G54+F55</f>
        <v>-2E-3</v>
      </c>
      <c r="H55" s="203">
        <f>H54+G55</f>
        <v>-3.0000000000000001E-3</v>
      </c>
      <c r="I55" s="203">
        <f>I54+H55</f>
        <v>-2.9000000000000001E-2</v>
      </c>
      <c r="J55" s="203">
        <f>J54+I55</f>
        <v>-6.2E-2</v>
      </c>
      <c r="K55" s="203">
        <f>K54+J55</f>
        <v>-9.5000000000000001E-2</v>
      </c>
      <c r="L55" s="203"/>
      <c r="M55" s="203"/>
      <c r="N55" s="203">
        <f>N54+K55</f>
        <v>-0.22800000000000001</v>
      </c>
      <c r="O55" s="203">
        <f>O54+N55</f>
        <v>-6.0999999999999999E-2</v>
      </c>
      <c r="P55" s="203">
        <f>P54+O55</f>
        <v>-0.19400000000000001</v>
      </c>
      <c r="Q55" s="203">
        <f>Q54+P55</f>
        <v>2.3E-2</v>
      </c>
      <c r="R55" s="203">
        <f>R54+Q55</f>
        <v>0.24</v>
      </c>
      <c r="S55" s="203">
        <f>S54+R55</f>
        <v>286.29300000000001</v>
      </c>
      <c r="T55" s="203"/>
      <c r="U55" s="203"/>
      <c r="V55" s="203"/>
      <c r="W55" s="203"/>
    </row>
    <row r="56" spans="1:24" s="209" customFormat="1" ht="18" customHeight="1">
      <c r="A56" s="610"/>
      <c r="B56" s="580" t="s">
        <v>53</v>
      </c>
      <c r="C56" s="575"/>
      <c r="D56" s="178" t="str">
        <f>серпень!D56</f>
        <v>факт. нат.п-ки 2023</v>
      </c>
      <c r="E56" s="179"/>
      <c r="F56" s="180">
        <f t="shared" ref="F56:K57" si="113">F73+F88+F103+F118+F133+F148</f>
        <v>362.5</v>
      </c>
      <c r="G56" s="180">
        <f t="shared" si="113"/>
        <v>178.6</v>
      </c>
      <c r="H56" s="180">
        <f t="shared" si="113"/>
        <v>137.19999999999999</v>
      </c>
      <c r="I56" s="180">
        <f t="shared" si="113"/>
        <v>0.6</v>
      </c>
      <c r="J56" s="180">
        <f t="shared" si="113"/>
        <v>0.6</v>
      </c>
      <c r="K56" s="180">
        <f t="shared" si="113"/>
        <v>0.6</v>
      </c>
      <c r="L56" s="207">
        <f>SUM(F56:K56)</f>
        <v>680.1</v>
      </c>
      <c r="M56" s="207">
        <f>L56/6</f>
        <v>113.4</v>
      </c>
      <c r="N56" s="180">
        <f t="shared" ref="N56:S57" si="114">N73+N88+N103+N118+N133+N148</f>
        <v>0.6</v>
      </c>
      <c r="O56" s="180">
        <f t="shared" si="114"/>
        <v>0.6</v>
      </c>
      <c r="P56" s="180">
        <f t="shared" si="114"/>
        <v>0.6</v>
      </c>
      <c r="Q56" s="180">
        <f t="shared" si="114"/>
        <v>0.6</v>
      </c>
      <c r="R56" s="180">
        <f t="shared" si="114"/>
        <v>17.399999999999999</v>
      </c>
      <c r="S56" s="180">
        <f t="shared" si="114"/>
        <v>221.9</v>
      </c>
      <c r="T56" s="207">
        <f>SUM(N56:S56)</f>
        <v>241.7</v>
      </c>
      <c r="U56" s="208">
        <f>T56+L56</f>
        <v>921.8</v>
      </c>
      <c r="V56" s="183">
        <f>V88+V133</f>
        <v>914.6</v>
      </c>
      <c r="W56" s="184"/>
    </row>
    <row r="57" spans="1:24" s="209" customFormat="1" ht="18.649999999999999" customHeight="1">
      <c r="A57" s="610"/>
      <c r="B57" s="576"/>
      <c r="C57" s="577"/>
      <c r="D57" s="178" t="str">
        <f>серпень!D57</f>
        <v>факт. нат.п-ки 2024</v>
      </c>
      <c r="E57" s="179"/>
      <c r="F57" s="180">
        <f t="shared" si="113"/>
        <v>145.4</v>
      </c>
      <c r="G57" s="180">
        <f t="shared" si="113"/>
        <v>130</v>
      </c>
      <c r="H57" s="180">
        <f t="shared" si="113"/>
        <v>121</v>
      </c>
      <c r="I57" s="180">
        <f t="shared" si="113"/>
        <v>1.5</v>
      </c>
      <c r="J57" s="180">
        <f t="shared" si="113"/>
        <v>1.5</v>
      </c>
      <c r="K57" s="180">
        <f t="shared" si="113"/>
        <v>1.5</v>
      </c>
      <c r="L57" s="207">
        <f>SUM(F57:K57)</f>
        <v>400.9</v>
      </c>
      <c r="M57" s="207">
        <f>L57/6</f>
        <v>66.8</v>
      </c>
      <c r="N57" s="179">
        <f t="shared" si="114"/>
        <v>1.5</v>
      </c>
      <c r="O57" s="179">
        <f t="shared" si="114"/>
        <v>1.5</v>
      </c>
      <c r="P57" s="179">
        <f t="shared" si="114"/>
        <v>1.5</v>
      </c>
      <c r="Q57" s="179">
        <f t="shared" si="114"/>
        <v>1.5</v>
      </c>
      <c r="R57" s="179">
        <f t="shared" si="114"/>
        <v>97</v>
      </c>
      <c r="S57" s="179">
        <f t="shared" si="114"/>
        <v>222.9</v>
      </c>
      <c r="T57" s="207">
        <f>SUM(N57:S57)</f>
        <v>325.89999999999998</v>
      </c>
      <c r="U57" s="208">
        <f>T57+L57</f>
        <v>726.8</v>
      </c>
      <c r="V57" s="183">
        <f>V89+V134</f>
        <v>708.6</v>
      </c>
      <c r="W57" s="184"/>
    </row>
    <row r="58" spans="1:24" s="209" customFormat="1" ht="18" customHeight="1">
      <c r="A58" s="610"/>
      <c r="B58" s="576"/>
      <c r="C58" s="577"/>
      <c r="D58" s="178" t="str">
        <f>серпень!D58</f>
        <v>факт. нат.п-ки 2025</v>
      </c>
      <c r="E58" s="179"/>
      <c r="F58" s="180">
        <f>F90+F135</f>
        <v>169.8</v>
      </c>
      <c r="G58" s="180">
        <f t="shared" ref="G58:K58" si="115">G90+G135</f>
        <v>187.4</v>
      </c>
      <c r="H58" s="180">
        <f t="shared" si="115"/>
        <v>105.6</v>
      </c>
      <c r="I58" s="180">
        <f t="shared" si="115"/>
        <v>0</v>
      </c>
      <c r="J58" s="180">
        <f t="shared" si="115"/>
        <v>0</v>
      </c>
      <c r="K58" s="180">
        <f t="shared" si="115"/>
        <v>0</v>
      </c>
      <c r="L58" s="337">
        <f>SUM(F58:K58)</f>
        <v>462.8</v>
      </c>
      <c r="M58" s="337">
        <f>L58/6</f>
        <v>77.133330000000001</v>
      </c>
      <c r="N58" s="180">
        <f>N90+N135</f>
        <v>0</v>
      </c>
      <c r="O58" s="180">
        <f t="shared" ref="O58:S58" si="116">O90+O135</f>
        <v>0</v>
      </c>
      <c r="P58" s="180">
        <f t="shared" si="116"/>
        <v>0</v>
      </c>
      <c r="Q58" s="180">
        <f t="shared" si="116"/>
        <v>0</v>
      </c>
      <c r="R58" s="180">
        <f t="shared" si="116"/>
        <v>95.4</v>
      </c>
      <c r="S58" s="180">
        <f t="shared" si="116"/>
        <v>324.3</v>
      </c>
      <c r="T58" s="416">
        <f>SUM(N58:S58)</f>
        <v>419.7</v>
      </c>
      <c r="U58" s="417">
        <f>T58+L58</f>
        <v>882.5</v>
      </c>
      <c r="V58" s="233">
        <f>V90+V135</f>
        <v>811.6</v>
      </c>
      <c r="W58" s="184">
        <f>V58-U58</f>
        <v>-70.900000000000006</v>
      </c>
    </row>
    <row r="59" spans="1:24" s="209" customFormat="1" ht="18" customHeight="1">
      <c r="A59" s="610"/>
      <c r="B59" s="576"/>
      <c r="C59" s="577"/>
      <c r="D59" s="187" t="str">
        <f>серпень!D59</f>
        <v>тариф, грн.</v>
      </c>
      <c r="E59" s="188"/>
      <c r="F59" s="188">
        <f t="shared" ref="F59:S59" si="117">F60/F58*1000</f>
        <v>2530.83</v>
      </c>
      <c r="G59" s="188">
        <f t="shared" si="117"/>
        <v>2695.6669999999999</v>
      </c>
      <c r="H59" s="188">
        <f t="shared" si="117"/>
        <v>2717.2629999999999</v>
      </c>
      <c r="I59" s="188" t="e">
        <f>I60/I58*1000</f>
        <v>#DIV/0!</v>
      </c>
      <c r="J59" s="188" t="e">
        <f>J60/J58*1000</f>
        <v>#DIV/0!</v>
      </c>
      <c r="K59" s="188" t="e">
        <f t="shared" si="117"/>
        <v>#DIV/0!</v>
      </c>
      <c r="L59" s="188">
        <f t="shared" si="117"/>
        <v>2640.1170000000002</v>
      </c>
      <c r="M59" s="188">
        <f t="shared" si="117"/>
        <v>2640.1170000000002</v>
      </c>
      <c r="N59" s="188" t="e">
        <f t="shared" si="117"/>
        <v>#DIV/0!</v>
      </c>
      <c r="O59" s="188" t="e">
        <f t="shared" si="117"/>
        <v>#DIV/0!</v>
      </c>
      <c r="P59" s="188" t="e">
        <f t="shared" si="117"/>
        <v>#DIV/0!</v>
      </c>
      <c r="Q59" s="188" t="e">
        <f t="shared" si="117"/>
        <v>#DIV/0!</v>
      </c>
      <c r="R59" s="188">
        <f t="shared" si="117"/>
        <v>2522.2750000000001</v>
      </c>
      <c r="S59" s="188">
        <f t="shared" si="117"/>
        <v>2748.3780000000002</v>
      </c>
      <c r="T59" s="188">
        <f>T60/T58*1000</f>
        <v>2696.9839999999999</v>
      </c>
      <c r="U59" s="188">
        <f>U60/U58*1000</f>
        <v>2667.1610000000001</v>
      </c>
      <c r="V59" s="188">
        <f>V60/V58*1000</f>
        <v>2546.7829999999999</v>
      </c>
      <c r="W59" s="189">
        <f>W60/W58*1000</f>
        <v>4045.1480000000001</v>
      </c>
    </row>
    <row r="60" spans="1:24" s="209" customFormat="1" ht="18" customHeight="1">
      <c r="A60" s="610"/>
      <c r="B60" s="576"/>
      <c r="C60" s="577"/>
      <c r="D60" s="191" t="str">
        <f>серпень!D60</f>
        <v>сума, тис.грн.</v>
      </c>
      <c r="E60" s="192"/>
      <c r="F60" s="192">
        <f>F92+F137</f>
        <v>429.73500000000001</v>
      </c>
      <c r="G60" s="192">
        <f t="shared" ref="G60:K60" si="118">G92+G137</f>
        <v>505.16800000000001</v>
      </c>
      <c r="H60" s="192">
        <f t="shared" si="118"/>
        <v>286.94299999999998</v>
      </c>
      <c r="I60" s="192">
        <f t="shared" si="118"/>
        <v>0</v>
      </c>
      <c r="J60" s="192">
        <f t="shared" si="118"/>
        <v>0</v>
      </c>
      <c r="K60" s="192">
        <f t="shared" si="118"/>
        <v>0</v>
      </c>
      <c r="L60" s="192">
        <f t="shared" ref="L60:L65" si="119">SUM(F60:K60)</f>
        <v>1221.846</v>
      </c>
      <c r="M60" s="192">
        <f t="shared" ref="M60:M65" si="120">L60/6</f>
        <v>203.64099999999999</v>
      </c>
      <c r="N60" s="192">
        <f>N92+N137</f>
        <v>0</v>
      </c>
      <c r="O60" s="192">
        <f t="shared" ref="O60:S60" si="121">O92+O137</f>
        <v>0</v>
      </c>
      <c r="P60" s="192">
        <f t="shared" si="121"/>
        <v>0</v>
      </c>
      <c r="Q60" s="192">
        <f t="shared" si="121"/>
        <v>0</v>
      </c>
      <c r="R60" s="192">
        <f t="shared" si="121"/>
        <v>240.625</v>
      </c>
      <c r="S60" s="192">
        <f t="shared" si="121"/>
        <v>891.29899999999998</v>
      </c>
      <c r="T60" s="192">
        <f t="shared" ref="T60:T65" si="122">SUM(N60:S60)</f>
        <v>1131.924</v>
      </c>
      <c r="U60" s="192">
        <f t="shared" ref="U60:U65" si="123">T60+L60</f>
        <v>2353.77</v>
      </c>
      <c r="V60" s="193">
        <f t="shared" ref="V60" si="124">V92+V137</f>
        <v>2066.9690000000001</v>
      </c>
      <c r="W60" s="193">
        <f>V60-U60</f>
        <v>-286.80099999999999</v>
      </c>
    </row>
    <row r="61" spans="1:24" s="209" customFormat="1" ht="18" customHeight="1">
      <c r="A61" s="610"/>
      <c r="B61" s="576"/>
      <c r="C61" s="577"/>
      <c r="D61" s="174" t="str">
        <f>серпень!D61</f>
        <v>абоненська плата, тис.грн.</v>
      </c>
      <c r="E61" s="192"/>
      <c r="F61" s="192">
        <f>F77+F107+F152</f>
        <v>57.100999999999999</v>
      </c>
      <c r="G61" s="192">
        <f t="shared" ref="G61:K61" si="125">G77+G107+G152</f>
        <v>57.317</v>
      </c>
      <c r="H61" s="192">
        <f t="shared" si="125"/>
        <v>57.317</v>
      </c>
      <c r="I61" s="192">
        <f t="shared" si="125"/>
        <v>57.317</v>
      </c>
      <c r="J61" s="192">
        <f t="shared" si="125"/>
        <v>57.317</v>
      </c>
      <c r="K61" s="192">
        <f t="shared" si="125"/>
        <v>57.268999999999998</v>
      </c>
      <c r="L61" s="192">
        <f t="shared" si="119"/>
        <v>343.63799999999998</v>
      </c>
      <c r="M61" s="192">
        <f t="shared" si="120"/>
        <v>57.273000000000003</v>
      </c>
      <c r="N61" s="192">
        <f>N77+N107+N152</f>
        <v>57.317</v>
      </c>
      <c r="O61" s="192">
        <f t="shared" ref="O61:S61" si="126">O77+O107+O152</f>
        <v>57.317</v>
      </c>
      <c r="P61" s="192">
        <f t="shared" si="126"/>
        <v>57.619</v>
      </c>
      <c r="Q61" s="192">
        <f t="shared" si="126"/>
        <v>57.667000000000002</v>
      </c>
      <c r="R61" s="192">
        <f t="shared" si="126"/>
        <v>57.667000000000002</v>
      </c>
      <c r="S61" s="192">
        <f t="shared" si="126"/>
        <v>57.667000000000002</v>
      </c>
      <c r="T61" s="192">
        <f t="shared" si="122"/>
        <v>345.25400000000002</v>
      </c>
      <c r="U61" s="192">
        <f>T61+L61</f>
        <v>688.89200000000005</v>
      </c>
      <c r="V61" s="193">
        <f>V77+V107+V152</f>
        <v>689.4</v>
      </c>
      <c r="W61" s="193">
        <f>V61-U61</f>
        <v>0.50800000000000001</v>
      </c>
    </row>
    <row r="62" spans="1:24" s="209" customFormat="1" ht="18" customHeight="1">
      <c r="A62" s="610"/>
      <c r="B62" s="576"/>
      <c r="C62" s="577"/>
      <c r="D62" s="174" t="str">
        <f>серпень!D62</f>
        <v>разом сума тис. грн+абонплата</v>
      </c>
      <c r="E62" s="192"/>
      <c r="F62" s="192">
        <f>F60+F61</f>
        <v>486.83600000000001</v>
      </c>
      <c r="G62" s="192">
        <f t="shared" ref="G62:K62" si="127">G60+G61</f>
        <v>562.48500000000001</v>
      </c>
      <c r="H62" s="192">
        <f t="shared" si="127"/>
        <v>344.26</v>
      </c>
      <c r="I62" s="192">
        <f t="shared" si="127"/>
        <v>57.317</v>
      </c>
      <c r="J62" s="192">
        <f t="shared" si="127"/>
        <v>57.317</v>
      </c>
      <c r="K62" s="192">
        <f t="shared" si="127"/>
        <v>57.268999999999998</v>
      </c>
      <c r="L62" s="192">
        <f t="shared" si="119"/>
        <v>1565.4839999999999</v>
      </c>
      <c r="M62" s="192">
        <f t="shared" si="120"/>
        <v>260.91399999999999</v>
      </c>
      <c r="N62" s="192">
        <f t="shared" ref="N62:S62" si="128">N60+N61</f>
        <v>57.317</v>
      </c>
      <c r="O62" s="192">
        <f t="shared" si="128"/>
        <v>57.317</v>
      </c>
      <c r="P62" s="192">
        <f t="shared" si="128"/>
        <v>57.619</v>
      </c>
      <c r="Q62" s="192">
        <f t="shared" si="128"/>
        <v>57.667000000000002</v>
      </c>
      <c r="R62" s="192">
        <f t="shared" si="128"/>
        <v>298.29199999999997</v>
      </c>
      <c r="S62" s="192">
        <f t="shared" si="128"/>
        <v>948.96600000000001</v>
      </c>
      <c r="T62" s="192">
        <f t="shared" si="122"/>
        <v>1477.1780000000001</v>
      </c>
      <c r="U62" s="192">
        <f t="shared" si="123"/>
        <v>3042.6619999999998</v>
      </c>
      <c r="V62" s="193">
        <f>V60+V61</f>
        <v>2756.3690000000001</v>
      </c>
      <c r="W62" s="193">
        <f t="shared" ref="W62:W63" si="129">V62-U62</f>
        <v>-286.29300000000001</v>
      </c>
    </row>
    <row r="63" spans="1:24" s="209" customFormat="1" ht="18" customHeight="1">
      <c r="A63" s="610"/>
      <c r="B63" s="576"/>
      <c r="C63" s="577"/>
      <c r="D63" s="174" t="str">
        <f>серпень!D63</f>
        <v>дотація</v>
      </c>
      <c r="E63" s="210"/>
      <c r="F63" s="192">
        <f t="shared" ref="F63:K64" si="130">F78+F93+F108+F123+F138+F153</f>
        <v>0</v>
      </c>
      <c r="G63" s="192">
        <f t="shared" si="130"/>
        <v>0</v>
      </c>
      <c r="H63" s="192">
        <f t="shared" si="130"/>
        <v>0</v>
      </c>
      <c r="I63" s="192">
        <f t="shared" si="130"/>
        <v>0</v>
      </c>
      <c r="J63" s="192">
        <f t="shared" si="130"/>
        <v>0</v>
      </c>
      <c r="K63" s="192">
        <f t="shared" si="130"/>
        <v>0</v>
      </c>
      <c r="L63" s="192">
        <f t="shared" si="119"/>
        <v>0</v>
      </c>
      <c r="M63" s="192">
        <f t="shared" si="120"/>
        <v>0</v>
      </c>
      <c r="N63" s="192">
        <f t="shared" ref="N63:S64" si="131">N78+N93+N108+N123+N138+N153</f>
        <v>0</v>
      </c>
      <c r="O63" s="192">
        <f t="shared" si="131"/>
        <v>0</v>
      </c>
      <c r="P63" s="192">
        <f t="shared" si="131"/>
        <v>0</v>
      </c>
      <c r="Q63" s="192">
        <f t="shared" si="131"/>
        <v>0</v>
      </c>
      <c r="R63" s="192">
        <f t="shared" si="131"/>
        <v>0</v>
      </c>
      <c r="S63" s="192">
        <f t="shared" si="131"/>
        <v>0</v>
      </c>
      <c r="T63" s="192">
        <f t="shared" si="122"/>
        <v>0</v>
      </c>
      <c r="U63" s="192">
        <f t="shared" si="123"/>
        <v>0</v>
      </c>
      <c r="V63" s="193">
        <f t="shared" ref="V63" si="132">V78+V93+V108+V123+V138+V153</f>
        <v>0</v>
      </c>
      <c r="W63" s="211">
        <f t="shared" si="129"/>
        <v>0</v>
      </c>
    </row>
    <row r="64" spans="1:24" s="209" customFormat="1" ht="18" customHeight="1">
      <c r="A64" s="610"/>
      <c r="B64" s="576"/>
      <c r="C64" s="577"/>
      <c r="D64" s="174" t="str">
        <f>серпень!D64</f>
        <v>місцевий (план), тис.грн</v>
      </c>
      <c r="E64" s="210"/>
      <c r="F64" s="192">
        <f>F79+F94+F109+F124+F139+F154</f>
        <v>0</v>
      </c>
      <c r="G64" s="192">
        <f t="shared" si="130"/>
        <v>486.83800000000002</v>
      </c>
      <c r="H64" s="192">
        <f t="shared" si="130"/>
        <v>562.48599999999999</v>
      </c>
      <c r="I64" s="192">
        <f t="shared" si="130"/>
        <v>344.286</v>
      </c>
      <c r="J64" s="192">
        <f t="shared" si="130"/>
        <v>57.35</v>
      </c>
      <c r="K64" s="192">
        <f t="shared" si="130"/>
        <v>57.35</v>
      </c>
      <c r="L64" s="192">
        <f t="shared" si="119"/>
        <v>1508.31</v>
      </c>
      <c r="M64" s="192">
        <f t="shared" si="120"/>
        <v>251.38499999999999</v>
      </c>
      <c r="N64" s="192">
        <f t="shared" si="131"/>
        <v>57.45</v>
      </c>
      <c r="O64" s="192">
        <f t="shared" si="131"/>
        <v>57.15</v>
      </c>
      <c r="P64" s="192">
        <f t="shared" si="131"/>
        <v>57.45</v>
      </c>
      <c r="Q64" s="192">
        <f t="shared" si="131"/>
        <v>57.45</v>
      </c>
      <c r="R64" s="192">
        <f t="shared" si="131"/>
        <v>57.45</v>
      </c>
      <c r="S64" s="192">
        <f t="shared" si="131"/>
        <v>961.10900000000004</v>
      </c>
      <c r="T64" s="192">
        <f t="shared" si="122"/>
        <v>1248.059</v>
      </c>
      <c r="U64" s="192">
        <f t="shared" si="123"/>
        <v>2756.3690000000001</v>
      </c>
      <c r="V64" s="193">
        <f>V79+V94+V109+V124+V139+V154</f>
        <v>2756.3690000000001</v>
      </c>
      <c r="W64" s="193">
        <f>V64-U64</f>
        <v>0</v>
      </c>
    </row>
    <row r="65" spans="1:24" s="209" customFormat="1" ht="18" customHeight="1">
      <c r="A65" s="610"/>
      <c r="B65" s="576"/>
      <c r="C65" s="577"/>
      <c r="D65" s="178" t="str">
        <f>серпень!D65</f>
        <v>касові нат.п-ки 2025</v>
      </c>
      <c r="E65" s="260">
        <f>E80+E95+E110+E125+E140+E155</f>
        <v>0</v>
      </c>
      <c r="F65" s="179">
        <f>F95+F140</f>
        <v>0</v>
      </c>
      <c r="G65" s="179">
        <f t="shared" ref="G65:K65" si="133">G95+G140</f>
        <v>169.8</v>
      </c>
      <c r="H65" s="179">
        <f t="shared" si="133"/>
        <v>187.4</v>
      </c>
      <c r="I65" s="179">
        <f t="shared" si="133"/>
        <v>105.6</v>
      </c>
      <c r="J65" s="179">
        <f t="shared" si="133"/>
        <v>0</v>
      </c>
      <c r="K65" s="179">
        <f t="shared" si="133"/>
        <v>0</v>
      </c>
      <c r="L65" s="324">
        <f t="shared" si="119"/>
        <v>462.8</v>
      </c>
      <c r="M65" s="324">
        <f t="shared" si="120"/>
        <v>77.132999999999996</v>
      </c>
      <c r="N65" s="179">
        <f>N95+N140</f>
        <v>0</v>
      </c>
      <c r="O65" s="179">
        <f t="shared" ref="O65:S65" si="134">O95+O140</f>
        <v>0</v>
      </c>
      <c r="P65" s="179">
        <f t="shared" si="134"/>
        <v>0</v>
      </c>
      <c r="Q65" s="179">
        <f t="shared" si="134"/>
        <v>0</v>
      </c>
      <c r="R65" s="179">
        <f t="shared" si="134"/>
        <v>0</v>
      </c>
      <c r="S65" s="179">
        <f t="shared" si="134"/>
        <v>419.7</v>
      </c>
      <c r="T65" s="324">
        <f t="shared" si="122"/>
        <v>419.7</v>
      </c>
      <c r="U65" s="324">
        <f t="shared" si="123"/>
        <v>882.5</v>
      </c>
      <c r="V65" s="179">
        <f t="shared" ref="V65" si="135">V95+V140</f>
        <v>811.6</v>
      </c>
      <c r="W65" s="184">
        <f>V65-U65</f>
        <v>-70.900000000000006</v>
      </c>
      <c r="X65" s="209">
        <f>U58-U65</f>
        <v>0</v>
      </c>
    </row>
    <row r="66" spans="1:24" s="209" customFormat="1" ht="18" customHeight="1">
      <c r="A66" s="610"/>
      <c r="B66" s="576"/>
      <c r="C66" s="577"/>
      <c r="D66" s="187" t="str">
        <f>серпень!D66</f>
        <v>тариф, грн.</v>
      </c>
      <c r="E66" s="188" t="e">
        <f t="shared" ref="E66:S66" si="136">E67/E65*1000</f>
        <v>#DIV/0!</v>
      </c>
      <c r="F66" s="188" t="e">
        <f t="shared" si="136"/>
        <v>#DIV/0!</v>
      </c>
      <c r="G66" s="188">
        <f t="shared" si="136"/>
        <v>2867.114</v>
      </c>
      <c r="H66" s="188">
        <f t="shared" si="136"/>
        <v>3001.5210000000002</v>
      </c>
      <c r="I66" s="188">
        <f>I67/I65*1000</f>
        <v>3260.038</v>
      </c>
      <c r="J66" s="188" t="e">
        <f>J67/J65*1000</f>
        <v>#DIV/0!</v>
      </c>
      <c r="K66" s="188" t="e">
        <f t="shared" si="136"/>
        <v>#DIV/0!</v>
      </c>
      <c r="L66" s="188">
        <f t="shared" si="136"/>
        <v>3258.8919999999998</v>
      </c>
      <c r="M66" s="188">
        <f t="shared" si="136"/>
        <v>3258.9029999999998</v>
      </c>
      <c r="N66" s="188" t="e">
        <f t="shared" si="136"/>
        <v>#DIV/0!</v>
      </c>
      <c r="O66" s="188" t="e">
        <f t="shared" si="136"/>
        <v>#DIV/0!</v>
      </c>
      <c r="P66" s="188" t="e">
        <f t="shared" si="136"/>
        <v>#DIV/0!</v>
      </c>
      <c r="Q66" s="188" t="e">
        <f t="shared" si="136"/>
        <v>#DIV/0!</v>
      </c>
      <c r="R66" s="188" t="e">
        <f t="shared" si="136"/>
        <v>#DIV/0!</v>
      </c>
      <c r="S66" s="188">
        <f t="shared" si="136"/>
        <v>2971.556</v>
      </c>
      <c r="T66" s="188">
        <f>T67/T65*1000</f>
        <v>3656.0569999999998</v>
      </c>
      <c r="U66" s="188">
        <f>U67/U65*1000</f>
        <v>3447.7759999999998</v>
      </c>
      <c r="V66" s="188">
        <f>V67/V65*1000</f>
        <v>3396.2159999999999</v>
      </c>
      <c r="W66" s="189">
        <f>W67/W65*1000</f>
        <v>4037.9830000000002</v>
      </c>
    </row>
    <row r="67" spans="1:24" s="213" customFormat="1" ht="18" customHeight="1">
      <c r="A67" s="610"/>
      <c r="B67" s="576"/>
      <c r="C67" s="577"/>
      <c r="D67" s="198" t="str">
        <f>серпень!D67</f>
        <v>касові видатки, тис.грн.</v>
      </c>
      <c r="E67" s="199">
        <f>E82+E97+E112+E127+E142+E157+E279+E294+E309+E324</f>
        <v>0</v>
      </c>
      <c r="F67" s="199">
        <f>F82+F97+F112+F127+F142+F157</f>
        <v>0</v>
      </c>
      <c r="G67" s="199">
        <f t="shared" ref="G67:K67" si="137">G82+G97+G112+G127+G142+G157</f>
        <v>486.83600000000001</v>
      </c>
      <c r="H67" s="199">
        <f t="shared" si="137"/>
        <v>562.48500000000001</v>
      </c>
      <c r="I67" s="199">
        <f t="shared" si="137"/>
        <v>344.26</v>
      </c>
      <c r="J67" s="199">
        <f t="shared" si="137"/>
        <v>57.317</v>
      </c>
      <c r="K67" s="199">
        <f t="shared" si="137"/>
        <v>57.317</v>
      </c>
      <c r="L67" s="175">
        <f>SUM(F67:K67)</f>
        <v>1508.2149999999999</v>
      </c>
      <c r="M67" s="199">
        <f>L67/6</f>
        <v>251.369</v>
      </c>
      <c r="N67" s="199">
        <f>N82+N97+N112+N127+N142+N157</f>
        <v>57.317</v>
      </c>
      <c r="O67" s="199">
        <f t="shared" ref="O67:S67" si="138">O82+O97+O112+O127+O142+O157</f>
        <v>57.317</v>
      </c>
      <c r="P67" s="199">
        <f t="shared" si="138"/>
        <v>57.317</v>
      </c>
      <c r="Q67" s="199">
        <f t="shared" si="138"/>
        <v>57.667000000000002</v>
      </c>
      <c r="R67" s="199">
        <f t="shared" si="138"/>
        <v>57.667000000000002</v>
      </c>
      <c r="S67" s="199">
        <f t="shared" si="138"/>
        <v>1247.162</v>
      </c>
      <c r="T67" s="199">
        <f>SUM(N67:S67)</f>
        <v>1534.4469999999999</v>
      </c>
      <c r="U67" s="199">
        <f>T67+L67</f>
        <v>3042.6619999999998</v>
      </c>
      <c r="V67" s="199">
        <f t="shared" ref="V67:V69" si="139">V82+V97+V112+V127+V142+V157</f>
        <v>2756.3690000000001</v>
      </c>
      <c r="W67" s="175">
        <f>V67-U67</f>
        <v>-286.29300000000001</v>
      </c>
      <c r="X67" s="213">
        <f>U62-U67</f>
        <v>0</v>
      </c>
    </row>
    <row r="68" spans="1:24" s="213" customFormat="1" ht="18" customHeight="1">
      <c r="A68" s="610"/>
      <c r="B68" s="576"/>
      <c r="C68" s="577"/>
      <c r="D68" s="201" t="str">
        <f>серпень!D68</f>
        <v>дотація</v>
      </c>
      <c r="E68" s="212"/>
      <c r="F68" s="199">
        <f t="shared" ref="F68:K69" si="140">F83+F98+F113+F128+F143+F158</f>
        <v>0</v>
      </c>
      <c r="G68" s="199">
        <f t="shared" si="140"/>
        <v>0</v>
      </c>
      <c r="H68" s="199">
        <f t="shared" si="140"/>
        <v>0</v>
      </c>
      <c r="I68" s="199">
        <f t="shared" si="140"/>
        <v>0</v>
      </c>
      <c r="J68" s="199">
        <f t="shared" si="140"/>
        <v>0</v>
      </c>
      <c r="K68" s="199">
        <f t="shared" si="140"/>
        <v>0</v>
      </c>
      <c r="L68" s="175">
        <f>SUM(F68:K68)</f>
        <v>0</v>
      </c>
      <c r="M68" s="199">
        <f>L68/6</f>
        <v>0</v>
      </c>
      <c r="N68" s="199">
        <f t="shared" ref="N68:S69" si="141">N83+N98+N113+N128+N143+N158</f>
        <v>0</v>
      </c>
      <c r="O68" s="199">
        <f t="shared" si="141"/>
        <v>0</v>
      </c>
      <c r="P68" s="199">
        <f t="shared" si="141"/>
        <v>0</v>
      </c>
      <c r="Q68" s="199">
        <f t="shared" si="141"/>
        <v>0</v>
      </c>
      <c r="R68" s="199">
        <f t="shared" si="141"/>
        <v>0</v>
      </c>
      <c r="S68" s="199">
        <f t="shared" si="141"/>
        <v>0</v>
      </c>
      <c r="T68" s="199">
        <f>SUM(N68:S68)</f>
        <v>0</v>
      </c>
      <c r="U68" s="199">
        <f>T68+L68</f>
        <v>0</v>
      </c>
      <c r="V68" s="199">
        <f t="shared" si="139"/>
        <v>0</v>
      </c>
      <c r="W68" s="175">
        <f>V68-U68</f>
        <v>0</v>
      </c>
      <c r="X68" s="213">
        <f>U63-U68</f>
        <v>0</v>
      </c>
    </row>
    <row r="69" spans="1:24" s="213" customFormat="1" ht="18" customHeight="1">
      <c r="A69" s="610"/>
      <c r="B69" s="576"/>
      <c r="C69" s="577"/>
      <c r="D69" s="201" t="str">
        <f>серпень!D69</f>
        <v xml:space="preserve">місцевий </v>
      </c>
      <c r="E69" s="212"/>
      <c r="F69" s="199">
        <f t="shared" si="140"/>
        <v>0</v>
      </c>
      <c r="G69" s="199">
        <f t="shared" si="140"/>
        <v>486.83600000000001</v>
      </c>
      <c r="H69" s="199">
        <f t="shared" si="140"/>
        <v>562.48500000000001</v>
      </c>
      <c r="I69" s="199">
        <f t="shared" si="140"/>
        <v>344.26</v>
      </c>
      <c r="J69" s="199">
        <f t="shared" si="140"/>
        <v>57.317</v>
      </c>
      <c r="K69" s="199">
        <f t="shared" si="140"/>
        <v>57.317</v>
      </c>
      <c r="L69" s="175">
        <f>SUM(F69:K69)</f>
        <v>1508.2149999999999</v>
      </c>
      <c r="M69" s="199">
        <f>L69/6</f>
        <v>251.369</v>
      </c>
      <c r="N69" s="199">
        <f t="shared" si="141"/>
        <v>57.317</v>
      </c>
      <c r="O69" s="199">
        <f t="shared" si="141"/>
        <v>57.317</v>
      </c>
      <c r="P69" s="199">
        <f t="shared" si="141"/>
        <v>57.317</v>
      </c>
      <c r="Q69" s="199">
        <f t="shared" si="141"/>
        <v>57.667000000000002</v>
      </c>
      <c r="R69" s="199">
        <f t="shared" si="141"/>
        <v>57.667000000000002</v>
      </c>
      <c r="S69" s="199">
        <f t="shared" si="141"/>
        <v>1247.162</v>
      </c>
      <c r="T69" s="199">
        <f>SUM(N69:S69)</f>
        <v>1534.4469999999999</v>
      </c>
      <c r="U69" s="199">
        <f>T69+L69</f>
        <v>3042.6619999999998</v>
      </c>
      <c r="V69" s="199">
        <f t="shared" si="139"/>
        <v>2756.3690000000001</v>
      </c>
      <c r="W69" s="175">
        <f>V69-U69</f>
        <v>-286.29300000000001</v>
      </c>
      <c r="X69" s="213">
        <f>U64-U69</f>
        <v>-286.29300000000001</v>
      </c>
    </row>
    <row r="70" spans="1:24" s="214" customFormat="1" ht="18" customHeight="1">
      <c r="A70" s="610"/>
      <c r="B70" s="576"/>
      <c r="C70" s="577"/>
      <c r="D70" s="202" t="str">
        <f>серпень!D70</f>
        <v>план</v>
      </c>
      <c r="E70" s="203"/>
      <c r="F70" s="203">
        <f t="shared" ref="F70:K70" si="142">F64</f>
        <v>0</v>
      </c>
      <c r="G70" s="203">
        <f t="shared" si="142"/>
        <v>486.83800000000002</v>
      </c>
      <c r="H70" s="203">
        <f t="shared" si="142"/>
        <v>562.48599999999999</v>
      </c>
      <c r="I70" s="203">
        <f t="shared" si="142"/>
        <v>344.286</v>
      </c>
      <c r="J70" s="203">
        <f t="shared" si="142"/>
        <v>57.35</v>
      </c>
      <c r="K70" s="203">
        <f t="shared" si="142"/>
        <v>57.35</v>
      </c>
      <c r="L70" s="204">
        <f>SUM(F70:K70)</f>
        <v>1508.31</v>
      </c>
      <c r="M70" s="203">
        <f>L70/6</f>
        <v>251.38499999999999</v>
      </c>
      <c r="N70" s="203">
        <f>N64+N63</f>
        <v>57.45</v>
      </c>
      <c r="O70" s="203">
        <f t="shared" ref="O70:R70" si="143">O64+O63</f>
        <v>57.15</v>
      </c>
      <c r="P70" s="203">
        <f t="shared" si="143"/>
        <v>57.45</v>
      </c>
      <c r="Q70" s="203">
        <f t="shared" si="143"/>
        <v>57.45</v>
      </c>
      <c r="R70" s="203">
        <f t="shared" si="143"/>
        <v>57.45</v>
      </c>
      <c r="S70" s="204">
        <f>S64+S63</f>
        <v>961.10900000000004</v>
      </c>
      <c r="T70" s="203">
        <f>SUM(N70:S70)</f>
        <v>1248.059</v>
      </c>
      <c r="U70" s="203">
        <f>T70+L70</f>
        <v>2756.3690000000001</v>
      </c>
      <c r="V70" s="203">
        <f>V64+V63</f>
        <v>2756.3690000000001</v>
      </c>
      <c r="W70" s="204">
        <f>V70-U70</f>
        <v>0</v>
      </c>
    </row>
    <row r="71" spans="1:24" s="214" customFormat="1" ht="18" customHeight="1">
      <c r="A71" s="610"/>
      <c r="B71" s="576"/>
      <c r="C71" s="577"/>
      <c r="D71" s="202" t="str">
        <f>серпень!D71</f>
        <v xml:space="preserve">відхилення </v>
      </c>
      <c r="E71" s="203"/>
      <c r="F71" s="203">
        <f t="shared" ref="F71:K71" si="144">F67-F70</f>
        <v>0</v>
      </c>
      <c r="G71" s="203">
        <f t="shared" si="144"/>
        <v>-2E-3</v>
      </c>
      <c r="H71" s="203">
        <f t="shared" si="144"/>
        <v>-1E-3</v>
      </c>
      <c r="I71" s="203">
        <f t="shared" si="144"/>
        <v>-2.5999999999999999E-2</v>
      </c>
      <c r="J71" s="203">
        <f t="shared" si="144"/>
        <v>-3.3000000000000002E-2</v>
      </c>
      <c r="K71" s="203">
        <f t="shared" si="144"/>
        <v>-3.3000000000000002E-2</v>
      </c>
      <c r="L71" s="203"/>
      <c r="M71" s="203"/>
      <c r="N71" s="203">
        <f>N67-N70</f>
        <v>-0.13300000000000001</v>
      </c>
      <c r="O71" s="203">
        <f t="shared" ref="O71:S71" si="145">O67-O70</f>
        <v>0.16700000000000001</v>
      </c>
      <c r="P71" s="203">
        <f t="shared" si="145"/>
        <v>-0.13300000000000001</v>
      </c>
      <c r="Q71" s="203">
        <f t="shared" si="145"/>
        <v>0.217</v>
      </c>
      <c r="R71" s="203">
        <f t="shared" si="145"/>
        <v>0.217</v>
      </c>
      <c r="S71" s="203">
        <f t="shared" si="145"/>
        <v>286.053</v>
      </c>
      <c r="T71" s="203"/>
      <c r="U71" s="203"/>
      <c r="V71" s="203"/>
      <c r="W71" s="203"/>
    </row>
    <row r="72" spans="1:24" s="214" customFormat="1" ht="18" customHeight="1">
      <c r="A72" s="610"/>
      <c r="B72" s="578"/>
      <c r="C72" s="579"/>
      <c r="D72" s="202" t="str">
        <f>серпень!D72</f>
        <v>відхилення з наростаючим</v>
      </c>
      <c r="E72" s="203"/>
      <c r="F72" s="203">
        <f>F71</f>
        <v>0</v>
      </c>
      <c r="G72" s="203">
        <f>G71+F72</f>
        <v>-2E-3</v>
      </c>
      <c r="H72" s="203">
        <f>H71+G72</f>
        <v>-3.0000000000000001E-3</v>
      </c>
      <c r="I72" s="203">
        <f>I71+H72</f>
        <v>-2.9000000000000001E-2</v>
      </c>
      <c r="J72" s="203">
        <f>J71+I72</f>
        <v>-6.2E-2</v>
      </c>
      <c r="K72" s="203">
        <f>K71+J72</f>
        <v>-9.5000000000000001E-2</v>
      </c>
      <c r="L72" s="203"/>
      <c r="M72" s="203"/>
      <c r="N72" s="203">
        <f>N71+K72</f>
        <v>-0.22800000000000001</v>
      </c>
      <c r="O72" s="203">
        <f>O71+N72</f>
        <v>-6.0999999999999999E-2</v>
      </c>
      <c r="P72" s="203">
        <f>P71+O72</f>
        <v>-0.19400000000000001</v>
      </c>
      <c r="Q72" s="203">
        <f>Q71+P72</f>
        <v>2.3E-2</v>
      </c>
      <c r="R72" s="203">
        <f>R71+Q72</f>
        <v>0.24</v>
      </c>
      <c r="S72" s="203">
        <f>S71+R72</f>
        <v>286.29300000000001</v>
      </c>
      <c r="T72" s="203"/>
      <c r="U72" s="203"/>
      <c r="V72" s="203"/>
      <c r="W72" s="203"/>
    </row>
    <row r="73" spans="1:24" s="214" customFormat="1" ht="18" customHeight="1">
      <c r="A73" s="610"/>
      <c r="B73" s="582" t="s">
        <v>54</v>
      </c>
      <c r="C73" s="582" t="s">
        <v>98</v>
      </c>
      <c r="D73" s="178" t="str">
        <f>серпень!D73</f>
        <v>факт. нат.п-ки 2023</v>
      </c>
      <c r="E73" s="179"/>
      <c r="F73" s="399">
        <v>0.55135800000000001</v>
      </c>
      <c r="G73" s="399">
        <v>0.55135800000000001</v>
      </c>
      <c r="H73" s="342">
        <v>0.55135800000000001</v>
      </c>
      <c r="I73" s="342">
        <v>0.55135800000000001</v>
      </c>
      <c r="J73" s="342">
        <v>0.55135800000000001</v>
      </c>
      <c r="K73" s="342">
        <v>0.55135800000000001</v>
      </c>
      <c r="L73" s="400">
        <f>SUM(F73:K73)</f>
        <v>3.3081480000000001</v>
      </c>
      <c r="M73" s="400">
        <f>L73/6</f>
        <v>0.55135800000000001</v>
      </c>
      <c r="N73" s="342">
        <v>0.55135800000000001</v>
      </c>
      <c r="O73" s="342">
        <v>0.55135800000000001</v>
      </c>
      <c r="P73" s="342">
        <v>0.55135800000000001</v>
      </c>
      <c r="Q73" s="342">
        <v>0.55135800000000001</v>
      </c>
      <c r="R73" s="342">
        <v>0.55135800000000001</v>
      </c>
      <c r="S73" s="342">
        <v>0.55135800000000001</v>
      </c>
      <c r="T73" s="400">
        <f>SUM(N73:S73)</f>
        <v>3.3081480000000001</v>
      </c>
      <c r="U73" s="400">
        <f>T73+L73</f>
        <v>6.6162960000000002</v>
      </c>
      <c r="V73" s="342">
        <v>6.6162960000000002</v>
      </c>
      <c r="W73" s="184"/>
    </row>
    <row r="74" spans="1:24" s="214" customFormat="1" ht="18" customHeight="1">
      <c r="A74" s="610"/>
      <c r="B74" s="583"/>
      <c r="C74" s="583"/>
      <c r="D74" s="178" t="str">
        <f>серпень!D74</f>
        <v>факт. нат.п-ки 2024</v>
      </c>
      <c r="E74" s="179"/>
      <c r="F74" s="399">
        <v>0.54846700000000004</v>
      </c>
      <c r="G74" s="399">
        <v>0.54846700000000004</v>
      </c>
      <c r="H74" s="342">
        <v>0.54846700000000004</v>
      </c>
      <c r="I74" s="342">
        <v>0.51624199999999998</v>
      </c>
      <c r="J74" s="342">
        <v>0.53604700000000005</v>
      </c>
      <c r="K74" s="342">
        <v>0.53467200000000004</v>
      </c>
      <c r="L74" s="400">
        <f>SUM(F74:K74)</f>
        <v>3.2323620000000002</v>
      </c>
      <c r="M74" s="400">
        <f>L74/6</f>
        <v>0.53872699999999996</v>
      </c>
      <c r="N74" s="342">
        <v>0.54846700000000004</v>
      </c>
      <c r="O74" s="342">
        <v>0.54846700000000004</v>
      </c>
      <c r="P74" s="342">
        <v>0.53823299999999996</v>
      </c>
      <c r="Q74" s="342">
        <v>0.53885799999999995</v>
      </c>
      <c r="R74" s="342">
        <v>0.55135800000000001</v>
      </c>
      <c r="S74" s="342">
        <v>0.55135800000000001</v>
      </c>
      <c r="T74" s="400">
        <f>SUM(N74:S74)</f>
        <v>3.2767409999999999</v>
      </c>
      <c r="U74" s="400">
        <f>T74+L74</f>
        <v>6.5091029999999996</v>
      </c>
      <c r="V74" s="342">
        <v>6.5091029999999996</v>
      </c>
      <c r="W74" s="184"/>
    </row>
    <row r="75" spans="1:24" s="214" customFormat="1" ht="18" customHeight="1">
      <c r="A75" s="610"/>
      <c r="B75" s="583"/>
      <c r="C75" s="583"/>
      <c r="D75" s="178" t="str">
        <f>серпень!D75</f>
        <v>факт. нат.п-ки 2025</v>
      </c>
      <c r="E75" s="179"/>
      <c r="F75" s="399">
        <v>0.54846700000000004</v>
      </c>
      <c r="G75" s="399">
        <v>0.54846700000000004</v>
      </c>
      <c r="H75" s="399">
        <v>0.54846700000000004</v>
      </c>
      <c r="I75" s="399">
        <v>0.54846700000000004</v>
      </c>
      <c r="J75" s="399">
        <v>0.54846700000000004</v>
      </c>
      <c r="K75" s="399">
        <v>0.54846700000000004</v>
      </c>
      <c r="L75" s="400">
        <f>SUM(F75:K75)</f>
        <v>3.2908019999999998</v>
      </c>
      <c r="M75" s="400">
        <f>L75/6</f>
        <v>0.54846700000000004</v>
      </c>
      <c r="N75" s="399">
        <v>0.54846700000000004</v>
      </c>
      <c r="O75" s="399">
        <v>0.54846700000000004</v>
      </c>
      <c r="P75" s="399">
        <v>0.55135800000000001</v>
      </c>
      <c r="Q75" s="399">
        <v>0.55135800000000001</v>
      </c>
      <c r="R75" s="399">
        <v>0.55135800000000001</v>
      </c>
      <c r="S75" s="399">
        <v>0.55135800000000001</v>
      </c>
      <c r="T75" s="400">
        <f>SUM(N75:S75)</f>
        <v>3.3023660000000001</v>
      </c>
      <c r="U75" s="400">
        <f>T75+L75</f>
        <v>6.5931680000000004</v>
      </c>
      <c r="V75" s="342">
        <v>6.6159999999999997</v>
      </c>
      <c r="W75" s="184">
        <f>U75-V75</f>
        <v>0</v>
      </c>
    </row>
    <row r="76" spans="1:24" s="214" customFormat="1" ht="18" customHeight="1">
      <c r="A76" s="610"/>
      <c r="B76" s="583"/>
      <c r="C76" s="583"/>
      <c r="D76" s="187" t="str">
        <f>серпень!D76</f>
        <v>тариф, грн.</v>
      </c>
      <c r="E76" s="188" t="e">
        <f t="shared" ref="E76:K76" si="146">E77/E75*1000</f>
        <v>#DIV/0!</v>
      </c>
      <c r="F76" s="188">
        <f t="shared" si="146"/>
        <v>104066.425</v>
      </c>
      <c r="G76" s="188">
        <f t="shared" si="146"/>
        <v>104460.25</v>
      </c>
      <c r="H76" s="188">
        <f t="shared" si="146"/>
        <v>104460.25</v>
      </c>
      <c r="I76" s="188">
        <f t="shared" si="146"/>
        <v>104460.25</v>
      </c>
      <c r="J76" s="188">
        <f t="shared" si="146"/>
        <v>104460.25</v>
      </c>
      <c r="K76" s="188">
        <f t="shared" si="146"/>
        <v>104372.73299999999</v>
      </c>
      <c r="L76" s="217">
        <f t="shared" ref="L76:O76" si="147">L77/L75*1000</f>
        <v>104380.03</v>
      </c>
      <c r="M76" s="217">
        <f t="shared" si="147"/>
        <v>104380.03</v>
      </c>
      <c r="N76" s="217">
        <f t="shared" si="147"/>
        <v>104460.25</v>
      </c>
      <c r="O76" s="217">
        <f t="shared" si="147"/>
        <v>104460.25</v>
      </c>
      <c r="P76" s="218">
        <v>104461.02</v>
      </c>
      <c r="Q76" s="218">
        <v>104461.02</v>
      </c>
      <c r="R76" s="218">
        <v>104461.02</v>
      </c>
      <c r="S76" s="218">
        <v>104461.02</v>
      </c>
      <c r="T76" s="217">
        <f>T77/T75*1000</f>
        <v>104460.26</v>
      </c>
      <c r="U76" s="217">
        <f>U77/U75*1000</f>
        <v>104420.21</v>
      </c>
      <c r="V76" s="218">
        <f>V77/V75*1000</f>
        <v>104071.342</v>
      </c>
      <c r="W76" s="219" t="e">
        <f>W77/W75*1000</f>
        <v>#DIV/0!</v>
      </c>
    </row>
    <row r="77" spans="1:24" s="214" customFormat="1" ht="18" customHeight="1">
      <c r="A77" s="610"/>
      <c r="B77" s="583"/>
      <c r="C77" s="583"/>
      <c r="D77" s="191" t="str">
        <f>серпень!D77</f>
        <v>сума, тис.грн.</v>
      </c>
      <c r="E77" s="192"/>
      <c r="F77" s="192">
        <v>57.076999999999998</v>
      </c>
      <c r="G77" s="192">
        <v>57.292999999999999</v>
      </c>
      <c r="H77" s="192">
        <v>57.292999999999999</v>
      </c>
      <c r="I77" s="192">
        <v>57.292999999999999</v>
      </c>
      <c r="J77" s="192">
        <v>57.292999999999999</v>
      </c>
      <c r="K77" s="192">
        <f>57.293-0.048</f>
        <v>57.244999999999997</v>
      </c>
      <c r="L77" s="194">
        <f>SUM(F77:K77)</f>
        <v>343.49400000000003</v>
      </c>
      <c r="M77" s="194">
        <f>L77/6</f>
        <v>57.249000000000002</v>
      </c>
      <c r="N77" s="192">
        <v>57.292999999999999</v>
      </c>
      <c r="O77" s="52">
        <v>57.292999999999999</v>
      </c>
      <c r="P77" s="52">
        <f t="shared" ref="P77" si="148">P75*P76/1000</f>
        <v>57.594999999999999</v>
      </c>
      <c r="Q77" s="52">
        <f t="shared" ref="Q77" si="149">Q75*Q76/1000</f>
        <v>57.594999999999999</v>
      </c>
      <c r="R77" s="52">
        <f t="shared" ref="R77" si="150">R75*R76/1000</f>
        <v>57.594999999999999</v>
      </c>
      <c r="S77" s="52">
        <f t="shared" ref="S77" si="151">S75*S76/1000</f>
        <v>57.594999999999999</v>
      </c>
      <c r="T77" s="194">
        <f>SUM(N77:S77)</f>
        <v>344.96600000000001</v>
      </c>
      <c r="U77" s="194">
        <f>T77+L77</f>
        <v>688.46</v>
      </c>
      <c r="V77" s="171">
        <f>V79</f>
        <v>688.53599999999994</v>
      </c>
      <c r="W77" s="192">
        <f>V77-U77</f>
        <v>7.5999999999999998E-2</v>
      </c>
    </row>
    <row r="78" spans="1:24" s="214" customFormat="1" ht="18" customHeight="1">
      <c r="A78" s="610"/>
      <c r="B78" s="583"/>
      <c r="C78" s="583"/>
      <c r="D78" s="174" t="str">
        <f>серпень!D78</f>
        <v>дотація</v>
      </c>
      <c r="E78" s="210"/>
      <c r="F78" s="192"/>
      <c r="G78" s="192"/>
      <c r="H78" s="192"/>
      <c r="I78" s="192"/>
      <c r="J78" s="192"/>
      <c r="K78" s="192"/>
      <c r="L78" s="194">
        <f>SUM(F78:K78)</f>
        <v>0</v>
      </c>
      <c r="M78" s="194">
        <f>L78/6</f>
        <v>0</v>
      </c>
      <c r="N78" s="192"/>
      <c r="O78" s="192"/>
      <c r="P78" s="192"/>
      <c r="Q78" s="192"/>
      <c r="R78" s="192"/>
      <c r="S78" s="192"/>
      <c r="T78" s="194">
        <f>SUM(N78:S78)</f>
        <v>0</v>
      </c>
      <c r="U78" s="194">
        <f>T78+L78</f>
        <v>0</v>
      </c>
      <c r="V78" s="171"/>
      <c r="W78" s="192">
        <f>V78-U78</f>
        <v>0</v>
      </c>
    </row>
    <row r="79" spans="1:24" s="214" customFormat="1" ht="18" customHeight="1">
      <c r="A79" s="610"/>
      <c r="B79" s="583"/>
      <c r="C79" s="583"/>
      <c r="D79" s="174" t="str">
        <f>серпень!D79</f>
        <v>місцевий (план), тис.грн</v>
      </c>
      <c r="E79" s="210"/>
      <c r="F79" s="192">
        <v>0</v>
      </c>
      <c r="G79" s="192">
        <v>57.378</v>
      </c>
      <c r="H79" s="192">
        <v>57.378</v>
      </c>
      <c r="I79" s="192">
        <f>57.378-2-2</f>
        <v>53.378</v>
      </c>
      <c r="J79" s="192">
        <f>57.378+2-2.1</f>
        <v>57.277999999999999</v>
      </c>
      <c r="K79" s="192">
        <f>57.35-0.048-0.024</f>
        <v>57.277999999999999</v>
      </c>
      <c r="L79" s="194">
        <f>SUM(F79:K79)</f>
        <v>282.69</v>
      </c>
      <c r="M79" s="194">
        <f>L79/6</f>
        <v>47.115000000000002</v>
      </c>
      <c r="N79" s="192">
        <v>57.378</v>
      </c>
      <c r="O79" s="192">
        <f>57.378-0.3</f>
        <v>57.078000000000003</v>
      </c>
      <c r="P79" s="192">
        <v>57.378</v>
      </c>
      <c r="Q79" s="192">
        <v>57.378</v>
      </c>
      <c r="R79" s="192">
        <v>57.378</v>
      </c>
      <c r="S79" s="192">
        <f>114.756+2.1+2.1+0.3</f>
        <v>119.256</v>
      </c>
      <c r="T79" s="194">
        <f>SUM(N79:S79)</f>
        <v>405.846</v>
      </c>
      <c r="U79" s="194">
        <f>T79+L79</f>
        <v>688.53599999999994</v>
      </c>
      <c r="V79" s="171">
        <f>688.536</f>
        <v>688.53599999999994</v>
      </c>
      <c r="W79" s="192">
        <f>V79-U79</f>
        <v>0</v>
      </c>
    </row>
    <row r="80" spans="1:24" s="214" customFormat="1" ht="18" customHeight="1">
      <c r="A80" s="610"/>
      <c r="B80" s="583"/>
      <c r="C80" s="583"/>
      <c r="D80" s="178" t="str">
        <f>серпень!D80</f>
        <v>касові нат.п-ки 2025</v>
      </c>
      <c r="E80" s="179"/>
      <c r="F80" s="184">
        <v>0</v>
      </c>
      <c r="G80" s="396">
        <v>0.54846700000000004</v>
      </c>
      <c r="H80" s="358">
        <v>0.54846700000000004</v>
      </c>
      <c r="I80" s="358">
        <v>0.54846700000000004</v>
      </c>
      <c r="J80" s="358">
        <v>0.54846700000000004</v>
      </c>
      <c r="K80" s="396">
        <v>0.54846700000000004</v>
      </c>
      <c r="L80" s="330">
        <f>SUM(F80:K80)</f>
        <v>2.7423000000000002</v>
      </c>
      <c r="M80" s="262">
        <f>L80/6</f>
        <v>0.45700000000000002</v>
      </c>
      <c r="N80" s="399">
        <v>0.54846700000000004</v>
      </c>
      <c r="O80" s="288">
        <v>0.54846700000000004</v>
      </c>
      <c r="P80" s="288">
        <v>0.54846700000000004</v>
      </c>
      <c r="Q80" s="288">
        <v>0.55135800000000001</v>
      </c>
      <c r="R80" s="381">
        <v>0.55135800000000001</v>
      </c>
      <c r="S80" s="288">
        <f>R75+S75</f>
        <v>1.102716</v>
      </c>
      <c r="T80" s="330">
        <f>SUM(N80:S80)</f>
        <v>3.8508</v>
      </c>
      <c r="U80" s="330">
        <f>T80+L80</f>
        <v>6.5930999999999997</v>
      </c>
      <c r="V80" s="216">
        <f>V75</f>
        <v>6.6159999999999997</v>
      </c>
      <c r="W80" s="184">
        <f>V80-U80</f>
        <v>0</v>
      </c>
      <c r="X80" s="461">
        <f>U75-U80</f>
        <v>0</v>
      </c>
    </row>
    <row r="81" spans="1:24" s="214" customFormat="1" ht="18" customHeight="1">
      <c r="A81" s="610"/>
      <c r="B81" s="583"/>
      <c r="C81" s="583"/>
      <c r="D81" s="187" t="str">
        <f>серпень!D81</f>
        <v>тариф, грн.</v>
      </c>
      <c r="E81" s="188" t="e">
        <f t="shared" ref="E81:K81" si="152">E82/E80*1000</f>
        <v>#DIV/0!</v>
      </c>
      <c r="F81" s="188" t="e">
        <f t="shared" si="152"/>
        <v>#DIV/0!</v>
      </c>
      <c r="G81" s="188">
        <f t="shared" si="152"/>
        <v>104066.425</v>
      </c>
      <c r="H81" s="188">
        <f t="shared" si="152"/>
        <v>104460.25</v>
      </c>
      <c r="I81" s="188">
        <f t="shared" si="152"/>
        <v>104460.25</v>
      </c>
      <c r="J81" s="188">
        <f t="shared" si="152"/>
        <v>104460.25</v>
      </c>
      <c r="K81" s="188">
        <f t="shared" si="152"/>
        <v>104460.25</v>
      </c>
      <c r="L81" s="217">
        <f>L82/L80*1000</f>
        <v>104382.82</v>
      </c>
      <c r="M81" s="217">
        <f>M82/M80*1000</f>
        <v>104393.87</v>
      </c>
      <c r="N81" s="217">
        <v>104461.02</v>
      </c>
      <c r="O81" s="217">
        <v>104461.02</v>
      </c>
      <c r="P81" s="218">
        <v>104461.02</v>
      </c>
      <c r="Q81" s="218">
        <v>104461.02</v>
      </c>
      <c r="R81" s="218">
        <v>104461.02</v>
      </c>
      <c r="S81" s="218">
        <v>104461.02</v>
      </c>
      <c r="T81" s="217">
        <f>T82/T80*1000</f>
        <v>104448.69</v>
      </c>
      <c r="U81" s="217">
        <f>U82/U80*1000</f>
        <v>104421.29</v>
      </c>
      <c r="V81" s="218">
        <f>V82/V80*1000</f>
        <v>104071.342</v>
      </c>
      <c r="W81" s="219" t="e">
        <f>W82/W80*1000</f>
        <v>#DIV/0!</v>
      </c>
    </row>
    <row r="82" spans="1:24" s="214" customFormat="1" ht="18" customHeight="1">
      <c r="A82" s="610"/>
      <c r="B82" s="583"/>
      <c r="C82" s="583"/>
      <c r="D82" s="198" t="str">
        <f>серпень!D82</f>
        <v>касові видатки, тис.грн.</v>
      </c>
      <c r="E82" s="220"/>
      <c r="F82" s="199">
        <v>0</v>
      </c>
      <c r="G82" s="199">
        <v>57.076999999999998</v>
      </c>
      <c r="H82" s="199">
        <v>57.292999999999999</v>
      </c>
      <c r="I82" s="199">
        <v>57.292999999999999</v>
      </c>
      <c r="J82" s="199">
        <v>57.292999999999999</v>
      </c>
      <c r="K82" s="199">
        <f>57.31745-0.024</f>
        <v>57.292999999999999</v>
      </c>
      <c r="L82" s="199">
        <f>SUM(F82:K82)</f>
        <v>286.24900000000002</v>
      </c>
      <c r="M82" s="199">
        <f>L82/6</f>
        <v>47.707999999999998</v>
      </c>
      <c r="N82" s="199">
        <f>57.293</f>
        <v>57.292999999999999</v>
      </c>
      <c r="O82" s="199">
        <v>57.292999999999999</v>
      </c>
      <c r="P82" s="199">
        <f>57.293</f>
        <v>57.292999999999999</v>
      </c>
      <c r="Q82" s="199">
        <f t="shared" ref="Q82" si="153">Q80*Q81/1000</f>
        <v>57.594999999999999</v>
      </c>
      <c r="R82" s="199">
        <f t="shared" ref="R82" si="154">R80*R81/1000</f>
        <v>57.594999999999999</v>
      </c>
      <c r="S82" s="199">
        <f>S80*S81/1000-0.001-0.048</f>
        <v>115.142</v>
      </c>
      <c r="T82" s="199">
        <f>SUM(N82:S82)</f>
        <v>402.21100000000001</v>
      </c>
      <c r="U82" s="199">
        <f>T82+L82</f>
        <v>688.46</v>
      </c>
      <c r="V82" s="199">
        <f>V77</f>
        <v>688.53599999999994</v>
      </c>
      <c r="W82" s="221">
        <f>V82-U82</f>
        <v>7.5999999999999998E-2</v>
      </c>
      <c r="X82" s="214">
        <f>U77-U82</f>
        <v>0</v>
      </c>
    </row>
    <row r="83" spans="1:24" s="214" customFormat="1" ht="18" customHeight="1">
      <c r="A83" s="610"/>
      <c r="B83" s="583"/>
      <c r="C83" s="583"/>
      <c r="D83" s="201" t="str">
        <f>серпень!D83</f>
        <v>дотація</v>
      </c>
      <c r="E83" s="220"/>
      <c r="F83" s="61">
        <v>0</v>
      </c>
      <c r="G83" s="61">
        <v>0</v>
      </c>
      <c r="H83" s="61">
        <v>0</v>
      </c>
      <c r="I83" s="61">
        <v>0</v>
      </c>
      <c r="J83" s="61">
        <v>0</v>
      </c>
      <c r="K83" s="61">
        <v>0</v>
      </c>
      <c r="L83" s="199">
        <f>SUM(F83:K83)</f>
        <v>0</v>
      </c>
      <c r="M83" s="199">
        <f>L83/6</f>
        <v>0</v>
      </c>
      <c r="N83" s="61">
        <v>0</v>
      </c>
      <c r="O83" s="61">
        <v>0</v>
      </c>
      <c r="P83" s="61">
        <v>0</v>
      </c>
      <c r="Q83" s="61">
        <v>0</v>
      </c>
      <c r="R83" s="61">
        <v>0</v>
      </c>
      <c r="S83" s="61">
        <v>0</v>
      </c>
      <c r="T83" s="199">
        <f>SUM(N83:S83)</f>
        <v>0</v>
      </c>
      <c r="U83" s="199">
        <f>T83+L83</f>
        <v>0</v>
      </c>
      <c r="V83" s="199">
        <f>V78</f>
        <v>0</v>
      </c>
      <c r="W83" s="221">
        <f>V83-U83</f>
        <v>0</v>
      </c>
      <c r="X83" s="214">
        <f>U78-U83</f>
        <v>0</v>
      </c>
    </row>
    <row r="84" spans="1:24" s="214" customFormat="1" ht="18" customHeight="1">
      <c r="A84" s="610"/>
      <c r="B84" s="583"/>
      <c r="C84" s="583"/>
      <c r="D84" s="201" t="str">
        <f>серпень!D84</f>
        <v xml:space="preserve">місцевий </v>
      </c>
      <c r="E84" s="220"/>
      <c r="F84" s="61">
        <f t="shared" ref="F84:K84" si="155">F82-F83</f>
        <v>0</v>
      </c>
      <c r="G84" s="61">
        <f t="shared" si="155"/>
        <v>57.076999999999998</v>
      </c>
      <c r="H84" s="61">
        <f t="shared" si="155"/>
        <v>57.292999999999999</v>
      </c>
      <c r="I84" s="61">
        <f t="shared" si="155"/>
        <v>57.292999999999999</v>
      </c>
      <c r="J84" s="61">
        <f t="shared" si="155"/>
        <v>57.292999999999999</v>
      </c>
      <c r="K84" s="61">
        <f t="shared" si="155"/>
        <v>57.292999999999999</v>
      </c>
      <c r="L84" s="199">
        <f>SUM(F84:K84)</f>
        <v>286.24900000000002</v>
      </c>
      <c r="M84" s="199">
        <f>L84/6</f>
        <v>47.707999999999998</v>
      </c>
      <c r="N84" s="61">
        <f t="shared" ref="N84:S84" si="156">N82-N83</f>
        <v>57.292999999999999</v>
      </c>
      <c r="O84" s="61">
        <f t="shared" si="156"/>
        <v>57.292999999999999</v>
      </c>
      <c r="P84" s="61">
        <f t="shared" si="156"/>
        <v>57.292999999999999</v>
      </c>
      <c r="Q84" s="61">
        <f t="shared" si="156"/>
        <v>57.594999999999999</v>
      </c>
      <c r="R84" s="61">
        <f t="shared" si="156"/>
        <v>57.594999999999999</v>
      </c>
      <c r="S84" s="61">
        <f t="shared" si="156"/>
        <v>115.142</v>
      </c>
      <c r="T84" s="199">
        <f>SUM(N84:S84)</f>
        <v>402.21100000000001</v>
      </c>
      <c r="U84" s="199">
        <f>T84+L84</f>
        <v>688.46</v>
      </c>
      <c r="V84" s="199">
        <f>V79</f>
        <v>688.53599999999994</v>
      </c>
      <c r="W84" s="221">
        <f>V84-U84</f>
        <v>7.5999999999999998E-2</v>
      </c>
      <c r="X84" s="214">
        <f>U79-U84</f>
        <v>7.5999999999999998E-2</v>
      </c>
    </row>
    <row r="85" spans="1:24" s="214" customFormat="1" ht="18" customHeight="1">
      <c r="A85" s="610"/>
      <c r="B85" s="583"/>
      <c r="C85" s="583"/>
      <c r="D85" s="202" t="str">
        <f>серпень!D85</f>
        <v>план</v>
      </c>
      <c r="E85" s="203"/>
      <c r="F85" s="203">
        <f t="shared" ref="F85:K85" si="157">F78+F79</f>
        <v>0</v>
      </c>
      <c r="G85" s="203">
        <f t="shared" si="157"/>
        <v>57.378</v>
      </c>
      <c r="H85" s="203">
        <f t="shared" si="157"/>
        <v>57.378</v>
      </c>
      <c r="I85" s="203">
        <f t="shared" si="157"/>
        <v>53.378</v>
      </c>
      <c r="J85" s="203">
        <f t="shared" si="157"/>
        <v>57.277999999999999</v>
      </c>
      <c r="K85" s="203">
        <f t="shared" si="157"/>
        <v>57.277999999999999</v>
      </c>
      <c r="L85" s="203">
        <f>SUM(F85:K85)</f>
        <v>282.69</v>
      </c>
      <c r="M85" s="203">
        <f>L85/6</f>
        <v>47.115000000000002</v>
      </c>
      <c r="N85" s="203">
        <f t="shared" ref="N85:S85" si="158">N79+N78</f>
        <v>57.378</v>
      </c>
      <c r="O85" s="203">
        <f t="shared" si="158"/>
        <v>57.078000000000003</v>
      </c>
      <c r="P85" s="203">
        <f t="shared" si="158"/>
        <v>57.378</v>
      </c>
      <c r="Q85" s="203">
        <f t="shared" si="158"/>
        <v>57.378</v>
      </c>
      <c r="R85" s="203">
        <f t="shared" si="158"/>
        <v>57.378</v>
      </c>
      <c r="S85" s="203">
        <f t="shared" si="158"/>
        <v>119.256</v>
      </c>
      <c r="T85" s="203">
        <f>SUM(N85:S85)</f>
        <v>405.846</v>
      </c>
      <c r="U85" s="203">
        <f>T85+L85</f>
        <v>688.53599999999994</v>
      </c>
      <c r="V85" s="203">
        <f>V82</f>
        <v>688.53599999999994</v>
      </c>
      <c r="W85" s="203">
        <f>V85-U85</f>
        <v>0</v>
      </c>
    </row>
    <row r="86" spans="1:24" s="214" customFormat="1" ht="18" customHeight="1">
      <c r="A86" s="610"/>
      <c r="B86" s="583"/>
      <c r="C86" s="583"/>
      <c r="D86" s="202" t="str">
        <f>серпень!D86</f>
        <v xml:space="preserve">відхилення </v>
      </c>
      <c r="E86" s="203"/>
      <c r="F86" s="203">
        <f t="shared" ref="F86:K86" si="159">F82-F85</f>
        <v>0</v>
      </c>
      <c r="G86" s="203">
        <f t="shared" si="159"/>
        <v>-0.30099999999999999</v>
      </c>
      <c r="H86" s="203">
        <f t="shared" si="159"/>
        <v>-8.5000000000000006E-2</v>
      </c>
      <c r="I86" s="203">
        <f t="shared" si="159"/>
        <v>3.915</v>
      </c>
      <c r="J86" s="203">
        <f t="shared" si="159"/>
        <v>1.4999999999999999E-2</v>
      </c>
      <c r="K86" s="203">
        <f t="shared" si="159"/>
        <v>1.4999999999999999E-2</v>
      </c>
      <c r="L86" s="203"/>
      <c r="M86" s="203"/>
      <c r="N86" s="203">
        <f t="shared" ref="N86:S86" si="160">N82-N85</f>
        <v>-8.5000000000000006E-2</v>
      </c>
      <c r="O86" s="203">
        <f t="shared" si="160"/>
        <v>0.215</v>
      </c>
      <c r="P86" s="203">
        <f t="shared" si="160"/>
        <v>-8.5000000000000006E-2</v>
      </c>
      <c r="Q86" s="203">
        <f t="shared" si="160"/>
        <v>0.217</v>
      </c>
      <c r="R86" s="203">
        <f t="shared" si="160"/>
        <v>0.217</v>
      </c>
      <c r="S86" s="203">
        <f t="shared" si="160"/>
        <v>-4.1139999999999999</v>
      </c>
      <c r="T86" s="203"/>
      <c r="U86" s="203"/>
      <c r="V86" s="203"/>
      <c r="W86" s="203"/>
    </row>
    <row r="87" spans="1:24" s="214" customFormat="1" ht="25.2" customHeight="1">
      <c r="A87" s="610"/>
      <c r="B87" s="583"/>
      <c r="C87" s="584"/>
      <c r="D87" s="202" t="str">
        <f>серпень!D87</f>
        <v>відхилення з наростаючим</v>
      </c>
      <c r="E87" s="203"/>
      <c r="F87" s="203">
        <f>F86</f>
        <v>0</v>
      </c>
      <c r="G87" s="203">
        <f>G86+F87</f>
        <v>-0.30099999999999999</v>
      </c>
      <c r="H87" s="203">
        <f>H86+G87</f>
        <v>-0.38600000000000001</v>
      </c>
      <c r="I87" s="203">
        <f>I86+H87</f>
        <v>3.5289999999999999</v>
      </c>
      <c r="J87" s="203">
        <f>J86+I87</f>
        <v>3.544</v>
      </c>
      <c r="K87" s="203">
        <f>K86+J87</f>
        <v>3.5590000000000002</v>
      </c>
      <c r="L87" s="203"/>
      <c r="M87" s="203"/>
      <c r="N87" s="203">
        <f>N86+K87</f>
        <v>3.4740000000000002</v>
      </c>
      <c r="O87" s="203">
        <f>O86+N87</f>
        <v>3.6890000000000001</v>
      </c>
      <c r="P87" s="203">
        <f>P86+O87</f>
        <v>3.6040000000000001</v>
      </c>
      <c r="Q87" s="203">
        <f>Q86+P87</f>
        <v>3.8210000000000002</v>
      </c>
      <c r="R87" s="203">
        <f>R86+Q87</f>
        <v>4.0380000000000003</v>
      </c>
      <c r="S87" s="203">
        <f>S86+R87</f>
        <v>-7.5999999999999998E-2</v>
      </c>
      <c r="T87" s="203"/>
      <c r="U87" s="203"/>
      <c r="V87" s="203"/>
      <c r="W87" s="203"/>
    </row>
    <row r="88" spans="1:24" s="47" customFormat="1" ht="19.600000000000001" customHeight="1">
      <c r="A88" s="610"/>
      <c r="B88" s="583"/>
      <c r="C88" s="582" t="s">
        <v>99</v>
      </c>
      <c r="D88" s="178" t="str">
        <f>серпень!D88</f>
        <v>факт. нат.п-ки 2023</v>
      </c>
      <c r="E88" s="11"/>
      <c r="F88" s="38">
        <v>275.10000000000002</v>
      </c>
      <c r="G88" s="38">
        <v>138.69999999999999</v>
      </c>
      <c r="H88" s="11">
        <v>102</v>
      </c>
      <c r="I88" s="11">
        <v>0</v>
      </c>
      <c r="J88" s="11">
        <v>0</v>
      </c>
      <c r="K88" s="11">
        <v>0</v>
      </c>
      <c r="L88" s="65">
        <f>SUM(F88:K88)</f>
        <v>515.79999999999995</v>
      </c>
      <c r="M88" s="65">
        <f>L88/6</f>
        <v>86</v>
      </c>
      <c r="N88" s="11">
        <v>0</v>
      </c>
      <c r="O88" s="11">
        <v>0</v>
      </c>
      <c r="P88" s="11">
        <v>0</v>
      </c>
      <c r="Q88" s="11">
        <v>0</v>
      </c>
      <c r="R88" s="11">
        <v>4.9000000000000004</v>
      </c>
      <c r="S88" s="11">
        <v>147.30000000000001</v>
      </c>
      <c r="T88" s="65">
        <f>SUM(N88:S88)</f>
        <v>152.19999999999999</v>
      </c>
      <c r="U88" s="65">
        <f>T88+L88</f>
        <v>668</v>
      </c>
      <c r="V88" s="11">
        <v>668</v>
      </c>
      <c r="W88" s="38"/>
    </row>
    <row r="89" spans="1:24" s="47" customFormat="1" ht="19.600000000000001" customHeight="1">
      <c r="A89" s="610"/>
      <c r="B89" s="583"/>
      <c r="C89" s="583"/>
      <c r="D89" s="178" t="str">
        <f>серпень!D89</f>
        <v>факт. нат.п-ки 2024</v>
      </c>
      <c r="E89" s="11"/>
      <c r="F89" s="38">
        <v>86</v>
      </c>
      <c r="G89" s="38">
        <v>94.9</v>
      </c>
      <c r="H89" s="265">
        <v>85</v>
      </c>
      <c r="I89" s="265">
        <v>0</v>
      </c>
      <c r="J89" s="265">
        <v>0</v>
      </c>
      <c r="K89" s="265">
        <v>0</v>
      </c>
      <c r="L89" s="65">
        <f>SUM(F89:K89)</f>
        <v>265.89999999999998</v>
      </c>
      <c r="M89" s="65">
        <f>L89/6</f>
        <v>44.3</v>
      </c>
      <c r="N89" s="11">
        <v>0</v>
      </c>
      <c r="O89" s="11">
        <v>0</v>
      </c>
      <c r="P89" s="11">
        <v>0</v>
      </c>
      <c r="Q89" s="11">
        <v>0</v>
      </c>
      <c r="R89" s="11">
        <v>57.4</v>
      </c>
      <c r="S89" s="11">
        <v>147.30000000000001</v>
      </c>
      <c r="T89" s="65">
        <f>SUM(N89:S89)</f>
        <v>204.7</v>
      </c>
      <c r="U89" s="65">
        <f>T89+L89</f>
        <v>470.6</v>
      </c>
      <c r="V89" s="11">
        <v>470.6</v>
      </c>
      <c r="W89" s="38"/>
    </row>
    <row r="90" spans="1:24" s="47" customFormat="1" ht="19.600000000000001" customHeight="1">
      <c r="A90" s="610"/>
      <c r="B90" s="583"/>
      <c r="C90" s="583"/>
      <c r="D90" s="178" t="str">
        <f>серпень!D90</f>
        <v>факт. нат.п-ки 2025</v>
      </c>
      <c r="E90" s="11"/>
      <c r="F90" s="38">
        <v>116.9</v>
      </c>
      <c r="G90" s="38">
        <v>135.4</v>
      </c>
      <c r="H90" s="265">
        <v>77.8</v>
      </c>
      <c r="I90" s="265">
        <v>0</v>
      </c>
      <c r="J90" s="265">
        <v>0</v>
      </c>
      <c r="K90" s="265">
        <v>0</v>
      </c>
      <c r="L90" s="65">
        <f>SUM(F90:K90)</f>
        <v>330.1</v>
      </c>
      <c r="M90" s="65">
        <f>L90/6</f>
        <v>55</v>
      </c>
      <c r="N90" s="11">
        <v>0</v>
      </c>
      <c r="O90" s="11">
        <v>0</v>
      </c>
      <c r="P90" s="11">
        <v>0</v>
      </c>
      <c r="Q90" s="11">
        <v>0</v>
      </c>
      <c r="R90" s="11">
        <v>57.4</v>
      </c>
      <c r="S90" s="11">
        <f>109.3+38+98.7</f>
        <v>246</v>
      </c>
      <c r="T90" s="65">
        <f>SUM(N90:S90)</f>
        <v>303.39999999999998</v>
      </c>
      <c r="U90" s="65">
        <f>T90+L90</f>
        <v>633.5</v>
      </c>
      <c r="V90" s="11">
        <v>569.29999999999995</v>
      </c>
      <c r="W90" s="38">
        <f>U90-V90</f>
        <v>64.2</v>
      </c>
    </row>
    <row r="91" spans="1:24" s="47" customFormat="1" ht="16.3" customHeight="1">
      <c r="A91" s="610"/>
      <c r="B91" s="583"/>
      <c r="C91" s="583"/>
      <c r="D91" s="187" t="str">
        <f>серпень!D91</f>
        <v>тариф, грн.</v>
      </c>
      <c r="E91" s="49" t="e">
        <f t="shared" ref="E91:K91" si="161">E92/E90*1000</f>
        <v>#DIV/0!</v>
      </c>
      <c r="F91" s="49">
        <f t="shared" si="161"/>
        <v>2927.2629999999999</v>
      </c>
      <c r="G91" s="49">
        <f t="shared" si="161"/>
        <v>3095.739</v>
      </c>
      <c r="H91" s="49">
        <f t="shared" si="161"/>
        <v>3097.3910000000001</v>
      </c>
      <c r="I91" s="49" t="e">
        <f t="shared" si="161"/>
        <v>#DIV/0!</v>
      </c>
      <c r="J91" s="49" t="e">
        <f t="shared" si="161"/>
        <v>#DIV/0!</v>
      </c>
      <c r="K91" s="49" t="e">
        <f t="shared" si="161"/>
        <v>#DIV/0!</v>
      </c>
      <c r="L91" s="217">
        <f>L92/L90*1000</f>
        <v>3036.46</v>
      </c>
      <c r="M91" s="217">
        <f>M92/M90*1000</f>
        <v>3037.38</v>
      </c>
      <c r="N91" s="217" t="e">
        <f>N92/N90*1000</f>
        <v>#DIV/0!</v>
      </c>
      <c r="O91" s="68">
        <v>3096.37</v>
      </c>
      <c r="P91" s="68">
        <v>3096.37</v>
      </c>
      <c r="Q91" s="68">
        <v>3096.37</v>
      </c>
      <c r="R91" s="68">
        <v>3096.37</v>
      </c>
      <c r="S91" s="68">
        <v>3096.37</v>
      </c>
      <c r="T91" s="121">
        <f>T92/T90*1000</f>
        <v>3096.37</v>
      </c>
      <c r="U91" s="121">
        <f>U92/U90*1000</f>
        <v>3065.15</v>
      </c>
      <c r="V91" s="68">
        <f>V92/V90*1000</f>
        <v>2926.3009999999999</v>
      </c>
      <c r="W91" s="14">
        <f>W92/W90*1000</f>
        <v>-4296.4489999999996</v>
      </c>
    </row>
    <row r="92" spans="1:24" s="47" customFormat="1" ht="16.3" customHeight="1">
      <c r="A92" s="610"/>
      <c r="B92" s="583"/>
      <c r="C92" s="583"/>
      <c r="D92" s="191" t="str">
        <f>серпень!D92</f>
        <v>сума, тис.грн.</v>
      </c>
      <c r="E92" s="52"/>
      <c r="F92" s="52">
        <v>342.197</v>
      </c>
      <c r="G92" s="52">
        <v>419.16300000000001</v>
      </c>
      <c r="H92" s="52">
        <v>240.977</v>
      </c>
      <c r="I92" s="52">
        <v>0</v>
      </c>
      <c r="J92" s="52">
        <v>0</v>
      </c>
      <c r="K92" s="52">
        <v>0</v>
      </c>
      <c r="L92" s="69">
        <f>SUM(F92:K92)</f>
        <v>1002.337</v>
      </c>
      <c r="M92" s="69">
        <f>L92/6</f>
        <v>167.05600000000001</v>
      </c>
      <c r="N92" s="52">
        <v>0</v>
      </c>
      <c r="O92" s="52">
        <f t="shared" ref="O92" si="162">O90*O91/1000</f>
        <v>0</v>
      </c>
      <c r="P92" s="52">
        <f t="shared" ref="P92" si="163">P90*P91/1000</f>
        <v>0</v>
      </c>
      <c r="Q92" s="52">
        <f t="shared" ref="Q92" si="164">Q90*Q91/1000</f>
        <v>0</v>
      </c>
      <c r="R92" s="52">
        <f t="shared" ref="R92" si="165">R90*R91/1000</f>
        <v>177.732</v>
      </c>
      <c r="S92" s="52">
        <f>S90*S91/1000-0.001</f>
        <v>761.70600000000002</v>
      </c>
      <c r="T92" s="69">
        <f>SUM(N92:S92)</f>
        <v>939.43799999999999</v>
      </c>
      <c r="U92" s="69">
        <f>T92+L92</f>
        <v>1941.7750000000001</v>
      </c>
      <c r="V92" s="70">
        <f>V93+V94</f>
        <v>1665.943</v>
      </c>
      <c r="W92" s="53">
        <f>V92-U92</f>
        <v>-275.83199999999999</v>
      </c>
    </row>
    <row r="93" spans="1:24" s="47" customFormat="1" ht="16.3" customHeight="1">
      <c r="A93" s="610"/>
      <c r="B93" s="583"/>
      <c r="C93" s="583"/>
      <c r="D93" s="174" t="str">
        <f>серпень!D93</f>
        <v>дотація</v>
      </c>
      <c r="E93" s="56"/>
      <c r="F93" s="52"/>
      <c r="G93" s="52"/>
      <c r="H93" s="52"/>
      <c r="I93" s="52"/>
      <c r="J93" s="52"/>
      <c r="K93" s="52"/>
      <c r="L93" s="69">
        <f>SUM(F93:K93)</f>
        <v>0</v>
      </c>
      <c r="M93" s="69">
        <f>L93/6</f>
        <v>0</v>
      </c>
      <c r="N93" s="52"/>
      <c r="O93" s="52"/>
      <c r="P93" s="52"/>
      <c r="Q93" s="52"/>
      <c r="R93" s="52"/>
      <c r="S93" s="52"/>
      <c r="T93" s="69">
        <f>SUM(N93:S93)</f>
        <v>0</v>
      </c>
      <c r="U93" s="69">
        <f>T93+L93</f>
        <v>0</v>
      </c>
      <c r="V93" s="70"/>
      <c r="W93" s="53">
        <f>V93-U93</f>
        <v>0</v>
      </c>
    </row>
    <row r="94" spans="1:24" s="47" customFormat="1" ht="16.3" customHeight="1">
      <c r="A94" s="610"/>
      <c r="B94" s="583"/>
      <c r="C94" s="583"/>
      <c r="D94" s="174" t="str">
        <f>серпень!D94</f>
        <v>місцевий (план), тис.грн</v>
      </c>
      <c r="E94" s="56"/>
      <c r="F94" s="52">
        <f>240.875-240.875</f>
        <v>0</v>
      </c>
      <c r="G94" s="52">
        <f>251.662+81.943-0.046</f>
        <v>333.55900000000003</v>
      </c>
      <c r="H94" s="52">
        <f>277.706+171.719</f>
        <v>449.42500000000001</v>
      </c>
      <c r="I94" s="52">
        <f>248.736-19+4</f>
        <v>233.73599999999999</v>
      </c>
      <c r="J94" s="52">
        <v>0</v>
      </c>
      <c r="K94" s="52">
        <v>0</v>
      </c>
      <c r="L94" s="69">
        <f>SUM(F94:K94)</f>
        <v>1016.72</v>
      </c>
      <c r="M94" s="69">
        <f>L94/6</f>
        <v>169.453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f>887.839-81.897-171.719+15</f>
        <v>649.22299999999996</v>
      </c>
      <c r="T94" s="69">
        <f>SUM(N94:S94)</f>
        <v>649.22299999999996</v>
      </c>
      <c r="U94" s="69">
        <f>T94+L94</f>
        <v>1665.943</v>
      </c>
      <c r="V94" s="70">
        <v>1665.943</v>
      </c>
      <c r="W94" s="53">
        <f>V94-U94</f>
        <v>0</v>
      </c>
    </row>
    <row r="95" spans="1:24" s="47" customFormat="1" ht="16.3" customHeight="1">
      <c r="A95" s="610"/>
      <c r="B95" s="583"/>
      <c r="C95" s="583"/>
      <c r="D95" s="178" t="str">
        <f>серпень!D95</f>
        <v>касові нат.п-ки 2025</v>
      </c>
      <c r="E95" s="11"/>
      <c r="F95" s="38">
        <v>0</v>
      </c>
      <c r="G95" s="38">
        <v>116.9</v>
      </c>
      <c r="H95" s="38">
        <v>135.4</v>
      </c>
      <c r="I95" s="265">
        <v>77.8</v>
      </c>
      <c r="J95" s="11">
        <v>0</v>
      </c>
      <c r="K95" s="261">
        <v>0</v>
      </c>
      <c r="L95" s="65">
        <f>SUM(F95:K95)</f>
        <v>330.1</v>
      </c>
      <c r="M95" s="65">
        <f>L95/6</f>
        <v>55</v>
      </c>
      <c r="N95" s="11"/>
      <c r="O95" s="11"/>
      <c r="P95" s="11"/>
      <c r="Q95" s="11"/>
      <c r="R95" s="11"/>
      <c r="S95" s="11">
        <f>R90+S90</f>
        <v>303.39999999999998</v>
      </c>
      <c r="T95" s="65">
        <f>SUM(N95:S95)</f>
        <v>303.39999999999998</v>
      </c>
      <c r="U95" s="65">
        <f>T95+L95</f>
        <v>633.5</v>
      </c>
      <c r="V95" s="11">
        <f>V90</f>
        <v>569.29999999999995</v>
      </c>
      <c r="W95" s="38">
        <f>V95-U95</f>
        <v>-64.2</v>
      </c>
      <c r="X95" s="47">
        <f>U90-U95</f>
        <v>0</v>
      </c>
    </row>
    <row r="96" spans="1:24" s="47" customFormat="1" ht="16.3" customHeight="1">
      <c r="A96" s="610"/>
      <c r="B96" s="583"/>
      <c r="C96" s="583"/>
      <c r="D96" s="187" t="str">
        <f>серпень!D96</f>
        <v>тариф, грн.</v>
      </c>
      <c r="E96" s="49" t="e">
        <f t="shared" ref="E96:K96" si="166">E97/E95*1000</f>
        <v>#DIV/0!</v>
      </c>
      <c r="F96" s="49" t="e">
        <f t="shared" si="166"/>
        <v>#DIV/0!</v>
      </c>
      <c r="G96" s="49">
        <f t="shared" si="166"/>
        <v>2927.2629999999999</v>
      </c>
      <c r="H96" s="49">
        <f t="shared" si="166"/>
        <v>3095.739</v>
      </c>
      <c r="I96" s="49">
        <f t="shared" si="166"/>
        <v>3097.3910000000001</v>
      </c>
      <c r="J96" s="49" t="e">
        <f t="shared" si="166"/>
        <v>#DIV/0!</v>
      </c>
      <c r="K96" s="49" t="e">
        <f t="shared" si="166"/>
        <v>#DIV/0!</v>
      </c>
      <c r="L96" s="217">
        <f>L97/L95*1000</f>
        <v>3036.46</v>
      </c>
      <c r="M96" s="217">
        <f>M97/M95*1000</f>
        <v>3037.38</v>
      </c>
      <c r="N96" s="217" t="e">
        <f>N97/N95*1000</f>
        <v>#DIV/0!</v>
      </c>
      <c r="O96" s="68">
        <v>3096.37</v>
      </c>
      <c r="P96" s="68">
        <v>3096.37</v>
      </c>
      <c r="Q96" s="68">
        <v>3096.37</v>
      </c>
      <c r="R96" s="68">
        <v>3096.37</v>
      </c>
      <c r="S96" s="68">
        <v>3096.37</v>
      </c>
      <c r="T96" s="121">
        <f>T97/T95*1000</f>
        <v>3096.37</v>
      </c>
      <c r="U96" s="121">
        <f>U97/U95*1000</f>
        <v>3065.15</v>
      </c>
      <c r="V96" s="68">
        <f>V97/V95*1000</f>
        <v>2926.3009999999999</v>
      </c>
      <c r="W96" s="14">
        <f>W97/W95*1000</f>
        <v>4296.4489999999996</v>
      </c>
    </row>
    <row r="97" spans="1:24" s="63" customFormat="1" ht="17.55" customHeight="1">
      <c r="A97" s="610"/>
      <c r="B97" s="583"/>
      <c r="C97" s="583"/>
      <c r="D97" s="198" t="str">
        <f>серпень!D97</f>
        <v>касові видатки, тис.грн.</v>
      </c>
      <c r="E97" s="71"/>
      <c r="F97" s="61">
        <v>0</v>
      </c>
      <c r="G97" s="61">
        <v>342.197</v>
      </c>
      <c r="H97" s="61">
        <v>419.16300000000001</v>
      </c>
      <c r="I97" s="61">
        <v>240.977</v>
      </c>
      <c r="J97" s="61">
        <v>0</v>
      </c>
      <c r="K97" s="61">
        <v>0</v>
      </c>
      <c r="L97" s="61">
        <f>SUM(F97:K97)</f>
        <v>1002.337</v>
      </c>
      <c r="M97" s="61">
        <f>L97/6</f>
        <v>167.05600000000001</v>
      </c>
      <c r="N97" s="61">
        <v>0</v>
      </c>
      <c r="O97" s="61">
        <f t="shared" ref="O97" si="167">O95*O96/1000</f>
        <v>0</v>
      </c>
      <c r="P97" s="61">
        <f t="shared" ref="P97" si="168">P95*P96/1000</f>
        <v>0</v>
      </c>
      <c r="Q97" s="61">
        <f t="shared" ref="Q97" si="169">Q95*Q96/1000</f>
        <v>0</v>
      </c>
      <c r="R97" s="61">
        <f t="shared" ref="R97" si="170">R95*R96/1000</f>
        <v>0</v>
      </c>
      <c r="S97" s="61">
        <f>S95*S96/1000-0.001</f>
        <v>939.43799999999999</v>
      </c>
      <c r="T97" s="61">
        <f>SUM(N97:S97)</f>
        <v>939.43799999999999</v>
      </c>
      <c r="U97" s="61">
        <f>T97+L97</f>
        <v>1941.7750000000001</v>
      </c>
      <c r="V97" s="61">
        <f>V92</f>
        <v>1665.943</v>
      </c>
      <c r="W97" s="72">
        <f>V97-U97</f>
        <v>-275.83199999999999</v>
      </c>
      <c r="X97" s="63">
        <f>U92-U97</f>
        <v>0</v>
      </c>
    </row>
    <row r="98" spans="1:24" s="63" customFormat="1" ht="17.55" customHeight="1">
      <c r="A98" s="610"/>
      <c r="B98" s="583"/>
      <c r="C98" s="583"/>
      <c r="D98" s="201" t="str">
        <f>серпень!D98</f>
        <v>дотація</v>
      </c>
      <c r="E98" s="71"/>
      <c r="F98" s="61">
        <v>0</v>
      </c>
      <c r="G98" s="61">
        <v>0</v>
      </c>
      <c r="H98" s="61">
        <v>0</v>
      </c>
      <c r="I98" s="61">
        <v>0</v>
      </c>
      <c r="J98" s="61">
        <v>0</v>
      </c>
      <c r="K98" s="61">
        <v>0</v>
      </c>
      <c r="L98" s="61">
        <f>SUM(F98:K98)</f>
        <v>0</v>
      </c>
      <c r="M98" s="61">
        <f>L98/6</f>
        <v>0</v>
      </c>
      <c r="N98" s="61">
        <v>0</v>
      </c>
      <c r="O98" s="61">
        <v>0</v>
      </c>
      <c r="P98" s="61">
        <v>0</v>
      </c>
      <c r="Q98" s="61">
        <v>0</v>
      </c>
      <c r="R98" s="61">
        <v>0</v>
      </c>
      <c r="S98" s="61">
        <v>0</v>
      </c>
      <c r="T98" s="61">
        <f>SUM(N98:S98)</f>
        <v>0</v>
      </c>
      <c r="U98" s="61">
        <f>T98+L98</f>
        <v>0</v>
      </c>
      <c r="V98" s="61">
        <f>V93</f>
        <v>0</v>
      </c>
      <c r="W98" s="72">
        <f>V98-U98</f>
        <v>0</v>
      </c>
      <c r="X98" s="63">
        <f>U93-U98</f>
        <v>0</v>
      </c>
    </row>
    <row r="99" spans="1:24" s="63" customFormat="1" ht="17.55" customHeight="1">
      <c r="A99" s="610"/>
      <c r="B99" s="583"/>
      <c r="C99" s="583"/>
      <c r="D99" s="201" t="str">
        <f>серпень!D99</f>
        <v xml:space="preserve">місцевий </v>
      </c>
      <c r="E99" s="71"/>
      <c r="F99" s="61">
        <f t="shared" ref="F99:K99" si="171">F97-F98</f>
        <v>0</v>
      </c>
      <c r="G99" s="61">
        <f t="shared" si="171"/>
        <v>342.197</v>
      </c>
      <c r="H99" s="61">
        <f t="shared" si="171"/>
        <v>419.16300000000001</v>
      </c>
      <c r="I99" s="61">
        <f t="shared" si="171"/>
        <v>240.977</v>
      </c>
      <c r="J99" s="61">
        <f t="shared" si="171"/>
        <v>0</v>
      </c>
      <c r="K99" s="61">
        <f t="shared" si="171"/>
        <v>0</v>
      </c>
      <c r="L99" s="61">
        <f>SUM(F99:K99)</f>
        <v>1002.337</v>
      </c>
      <c r="M99" s="61">
        <f>L99/6</f>
        <v>167.05600000000001</v>
      </c>
      <c r="N99" s="61">
        <f t="shared" ref="N99:S99" si="172">N97-N98</f>
        <v>0</v>
      </c>
      <c r="O99" s="61">
        <f t="shared" si="172"/>
        <v>0</v>
      </c>
      <c r="P99" s="61">
        <f t="shared" si="172"/>
        <v>0</v>
      </c>
      <c r="Q99" s="61">
        <f t="shared" si="172"/>
        <v>0</v>
      </c>
      <c r="R99" s="61">
        <f t="shared" si="172"/>
        <v>0</v>
      </c>
      <c r="S99" s="61">
        <f t="shared" si="172"/>
        <v>939.43799999999999</v>
      </c>
      <c r="T99" s="61">
        <f>SUM(N99:S99)</f>
        <v>939.43799999999999</v>
      </c>
      <c r="U99" s="61">
        <f>T99+L99</f>
        <v>1941.7750000000001</v>
      </c>
      <c r="V99" s="61">
        <f>V94</f>
        <v>1665.943</v>
      </c>
      <c r="W99" s="72">
        <f>V99-U99</f>
        <v>-275.83199999999999</v>
      </c>
      <c r="X99" s="63">
        <f>U94-U99</f>
        <v>-275.83199999999999</v>
      </c>
    </row>
    <row r="100" spans="1:24" s="43" customFormat="1" ht="23.35" customHeight="1">
      <c r="A100" s="610"/>
      <c r="B100" s="583"/>
      <c r="C100" s="583"/>
      <c r="D100" s="202" t="str">
        <f>серпень!D100</f>
        <v>план</v>
      </c>
      <c r="E100" s="42"/>
      <c r="F100" s="42">
        <f t="shared" ref="F100:K100" si="173">F93+F94</f>
        <v>0</v>
      </c>
      <c r="G100" s="42">
        <f t="shared" si="173"/>
        <v>333.55900000000003</v>
      </c>
      <c r="H100" s="42">
        <f t="shared" si="173"/>
        <v>449.42500000000001</v>
      </c>
      <c r="I100" s="42">
        <f t="shared" si="173"/>
        <v>233.73599999999999</v>
      </c>
      <c r="J100" s="42">
        <f t="shared" si="173"/>
        <v>0</v>
      </c>
      <c r="K100" s="42">
        <f t="shared" si="173"/>
        <v>0</v>
      </c>
      <c r="L100" s="42">
        <f>SUM(F100:K100)</f>
        <v>1016.72</v>
      </c>
      <c r="M100" s="42">
        <f>L100/6</f>
        <v>169.453</v>
      </c>
      <c r="N100" s="42">
        <f t="shared" ref="N100:S100" si="174">N94+N93</f>
        <v>0</v>
      </c>
      <c r="O100" s="42">
        <f t="shared" si="174"/>
        <v>0</v>
      </c>
      <c r="P100" s="42">
        <f t="shared" si="174"/>
        <v>0</v>
      </c>
      <c r="Q100" s="42">
        <f t="shared" si="174"/>
        <v>0</v>
      </c>
      <c r="R100" s="42">
        <f t="shared" si="174"/>
        <v>0</v>
      </c>
      <c r="S100" s="42">
        <f t="shared" si="174"/>
        <v>649.22299999999996</v>
      </c>
      <c r="T100" s="42">
        <f>SUM(N100:S100)</f>
        <v>649.22299999999996</v>
      </c>
      <c r="U100" s="42">
        <f>T100+L100</f>
        <v>1665.943</v>
      </c>
      <c r="V100" s="42">
        <f>V97</f>
        <v>1665.943</v>
      </c>
      <c r="W100" s="42">
        <f>V100-U100</f>
        <v>0</v>
      </c>
    </row>
    <row r="101" spans="1:24" s="43" customFormat="1" ht="23.35" customHeight="1">
      <c r="A101" s="610"/>
      <c r="B101" s="583"/>
      <c r="C101" s="583"/>
      <c r="D101" s="202" t="str">
        <f>серпень!D101</f>
        <v xml:space="preserve">відхилення </v>
      </c>
      <c r="E101" s="42"/>
      <c r="F101" s="42">
        <f t="shared" ref="F101:K101" si="175">F97-F100</f>
        <v>0</v>
      </c>
      <c r="G101" s="42">
        <f t="shared" si="175"/>
        <v>8.6379999999999999</v>
      </c>
      <c r="H101" s="42">
        <f t="shared" si="175"/>
        <v>-30.262</v>
      </c>
      <c r="I101" s="42">
        <f t="shared" si="175"/>
        <v>7.2409999999999997</v>
      </c>
      <c r="J101" s="42">
        <f t="shared" si="175"/>
        <v>0</v>
      </c>
      <c r="K101" s="42">
        <f t="shared" si="175"/>
        <v>0</v>
      </c>
      <c r="L101" s="42"/>
      <c r="M101" s="42"/>
      <c r="N101" s="42">
        <f t="shared" ref="N101:S101" si="176">N97-N100</f>
        <v>0</v>
      </c>
      <c r="O101" s="42">
        <f t="shared" si="176"/>
        <v>0</v>
      </c>
      <c r="P101" s="42">
        <f t="shared" si="176"/>
        <v>0</v>
      </c>
      <c r="Q101" s="42">
        <f t="shared" si="176"/>
        <v>0</v>
      </c>
      <c r="R101" s="42">
        <f t="shared" si="176"/>
        <v>0</v>
      </c>
      <c r="S101" s="42">
        <f t="shared" si="176"/>
        <v>290.21499999999997</v>
      </c>
      <c r="T101" s="42"/>
      <c r="U101" s="42"/>
      <c r="V101" s="42"/>
      <c r="W101" s="42"/>
    </row>
    <row r="102" spans="1:24" s="43" customFormat="1" ht="23.35" customHeight="1">
      <c r="A102" s="610"/>
      <c r="B102" s="583"/>
      <c r="C102" s="584"/>
      <c r="D102" s="202" t="str">
        <f>серпень!D102</f>
        <v>відхилення з наростаючим</v>
      </c>
      <c r="E102" s="42"/>
      <c r="F102" s="42">
        <f>F101</f>
        <v>0</v>
      </c>
      <c r="G102" s="42">
        <f>G101+F102</f>
        <v>8.6379999999999999</v>
      </c>
      <c r="H102" s="42">
        <f>H101+G102</f>
        <v>-21.623999999999999</v>
      </c>
      <c r="I102" s="42">
        <f>I101+H102</f>
        <v>-14.382999999999999</v>
      </c>
      <c r="J102" s="42">
        <f>J101+I102</f>
        <v>-14.382999999999999</v>
      </c>
      <c r="K102" s="42">
        <f>K101+J102</f>
        <v>-14.382999999999999</v>
      </c>
      <c r="L102" s="42"/>
      <c r="M102" s="42"/>
      <c r="N102" s="42">
        <f>N101+K102</f>
        <v>-14.382999999999999</v>
      </c>
      <c r="O102" s="42">
        <f>O101+N102</f>
        <v>-14.382999999999999</v>
      </c>
      <c r="P102" s="42">
        <f>P101+O102</f>
        <v>-14.382999999999999</v>
      </c>
      <c r="Q102" s="42">
        <f>Q101+P102</f>
        <v>-14.382999999999999</v>
      </c>
      <c r="R102" s="42">
        <f>R101+Q102</f>
        <v>-14.382999999999999</v>
      </c>
      <c r="S102" s="42">
        <f>S101+R102</f>
        <v>275.83199999999999</v>
      </c>
      <c r="T102" s="42"/>
      <c r="U102" s="42"/>
      <c r="V102" s="42"/>
      <c r="W102" s="42"/>
    </row>
    <row r="103" spans="1:24" s="43" customFormat="1" ht="18" customHeight="1">
      <c r="A103" s="610"/>
      <c r="B103" s="583"/>
      <c r="C103" s="582" t="s">
        <v>96</v>
      </c>
      <c r="D103" s="178" t="str">
        <f>серпень!D103</f>
        <v>факт. нат.п-ки 2023</v>
      </c>
      <c r="E103" s="179"/>
      <c r="F103" s="184"/>
      <c r="G103" s="184"/>
      <c r="H103" s="179"/>
      <c r="I103" s="179"/>
      <c r="J103" s="179"/>
      <c r="K103" s="179"/>
      <c r="L103" s="215">
        <f>SUM(F103:K103)</f>
        <v>0</v>
      </c>
      <c r="M103" s="215">
        <f>L103/6</f>
        <v>0</v>
      </c>
      <c r="N103" s="179"/>
      <c r="O103" s="179"/>
      <c r="P103" s="179"/>
      <c r="Q103" s="179"/>
      <c r="R103" s="179"/>
      <c r="S103" s="179"/>
      <c r="T103" s="215">
        <f>SUM(N103:S103)</f>
        <v>0</v>
      </c>
      <c r="U103" s="215">
        <f>T103+L103</f>
        <v>0</v>
      </c>
      <c r="V103" s="179"/>
      <c r="W103" s="184"/>
    </row>
    <row r="104" spans="1:24" s="43" customFormat="1" ht="18" customHeight="1">
      <c r="A104" s="610"/>
      <c r="B104" s="583"/>
      <c r="C104" s="583"/>
      <c r="D104" s="178" t="str">
        <f>серпень!D104</f>
        <v>факт. нат.п-ки 2024</v>
      </c>
      <c r="E104" s="179"/>
      <c r="F104" s="184">
        <v>1</v>
      </c>
      <c r="G104" s="184">
        <v>1</v>
      </c>
      <c r="H104" s="184">
        <v>1</v>
      </c>
      <c r="I104" s="184">
        <v>1</v>
      </c>
      <c r="J104" s="184">
        <v>1</v>
      </c>
      <c r="K104" s="184">
        <v>1</v>
      </c>
      <c r="L104" s="215">
        <f>SUM(F104:K104)</f>
        <v>6</v>
      </c>
      <c r="M104" s="215">
        <f>L104/6</f>
        <v>1</v>
      </c>
      <c r="N104" s="184">
        <v>1</v>
      </c>
      <c r="O104" s="184">
        <v>1</v>
      </c>
      <c r="P104" s="184">
        <v>1</v>
      </c>
      <c r="Q104" s="184">
        <v>1</v>
      </c>
      <c r="R104" s="184">
        <v>1</v>
      </c>
      <c r="S104" s="184">
        <v>1</v>
      </c>
      <c r="T104" s="215">
        <f>SUM(N104:S104)</f>
        <v>6</v>
      </c>
      <c r="U104" s="215">
        <f>T104+L104</f>
        <v>12</v>
      </c>
      <c r="V104" s="179">
        <v>12</v>
      </c>
      <c r="W104" s="184"/>
    </row>
    <row r="105" spans="1:24" s="43" customFormat="1" ht="18" customHeight="1">
      <c r="A105" s="610"/>
      <c r="B105" s="583"/>
      <c r="C105" s="583"/>
      <c r="D105" s="178" t="str">
        <f>серпень!D105</f>
        <v>факт. нат.п-ки 2025</v>
      </c>
      <c r="E105" s="179"/>
      <c r="F105" s="184">
        <v>0</v>
      </c>
      <c r="G105" s="184">
        <v>0</v>
      </c>
      <c r="H105" s="184">
        <v>0</v>
      </c>
      <c r="I105" s="184">
        <v>0</v>
      </c>
      <c r="J105" s="184">
        <v>0</v>
      </c>
      <c r="K105" s="184">
        <v>0</v>
      </c>
      <c r="L105" s="215">
        <f>SUM(F105:K105)</f>
        <v>0</v>
      </c>
      <c r="M105" s="215">
        <f>L105/6</f>
        <v>0</v>
      </c>
      <c r="N105" s="184">
        <v>0</v>
      </c>
      <c r="O105" s="184">
        <v>0</v>
      </c>
      <c r="P105" s="184">
        <v>2</v>
      </c>
      <c r="Q105" s="184">
        <v>2</v>
      </c>
      <c r="R105" s="184">
        <v>2</v>
      </c>
      <c r="S105" s="184">
        <v>2</v>
      </c>
      <c r="T105" s="215">
        <f>SUM(N105:S105)</f>
        <v>8</v>
      </c>
      <c r="U105" s="215">
        <f>T105+L105</f>
        <v>8</v>
      </c>
      <c r="V105" s="179">
        <v>24</v>
      </c>
      <c r="W105" s="184">
        <f>U105-V105</f>
        <v>-16</v>
      </c>
    </row>
    <row r="106" spans="1:24" s="43" customFormat="1" ht="18" customHeight="1">
      <c r="A106" s="610"/>
      <c r="B106" s="583"/>
      <c r="C106" s="583"/>
      <c r="D106" s="187" t="str">
        <f>серпень!D106</f>
        <v>тариф, грн.</v>
      </c>
      <c r="E106" s="188" t="e">
        <f t="shared" ref="E106" si="177">E107/E105*1000</f>
        <v>#DIV/0!</v>
      </c>
      <c r="F106" s="188">
        <v>24</v>
      </c>
      <c r="G106" s="188">
        <v>24</v>
      </c>
      <c r="H106" s="188">
        <v>24</v>
      </c>
      <c r="I106" s="188">
        <v>24</v>
      </c>
      <c r="J106" s="188">
        <v>24</v>
      </c>
      <c r="K106" s="188">
        <v>24</v>
      </c>
      <c r="L106" s="217" t="e">
        <f t="shared" ref="L106:M106" si="178">L107/L105*1000</f>
        <v>#DIV/0!</v>
      </c>
      <c r="M106" s="217" t="e">
        <f t="shared" si="178"/>
        <v>#DIV/0!</v>
      </c>
      <c r="N106" s="217">
        <v>24</v>
      </c>
      <c r="O106" s="217">
        <v>24</v>
      </c>
      <c r="P106" s="217">
        <v>24</v>
      </c>
      <c r="Q106" s="217">
        <v>24</v>
      </c>
      <c r="R106" s="217">
        <v>24</v>
      </c>
      <c r="S106" s="188">
        <v>24</v>
      </c>
      <c r="T106" s="217">
        <f>T107/T105*1000</f>
        <v>18</v>
      </c>
      <c r="U106" s="217">
        <f>U107/U105*1000</f>
        <v>18</v>
      </c>
      <c r="V106" s="218">
        <f>V107/V105*1000</f>
        <v>24</v>
      </c>
      <c r="W106" s="219">
        <f>W107/W105*1000</f>
        <v>-27</v>
      </c>
    </row>
    <row r="107" spans="1:24" s="43" customFormat="1" ht="18" customHeight="1">
      <c r="A107" s="610"/>
      <c r="B107" s="583"/>
      <c r="C107" s="583"/>
      <c r="D107" s="191" t="str">
        <f>серпень!D107</f>
        <v>сума, тис.грн.</v>
      </c>
      <c r="E107" s="192"/>
      <c r="F107" s="192">
        <v>0</v>
      </c>
      <c r="G107" s="192">
        <v>0</v>
      </c>
      <c r="H107" s="192">
        <f t="shared" ref="H107:J107" si="179">H105*H106/1000</f>
        <v>0</v>
      </c>
      <c r="I107" s="192">
        <f t="shared" si="179"/>
        <v>0</v>
      </c>
      <c r="J107" s="192">
        <f t="shared" si="179"/>
        <v>0</v>
      </c>
      <c r="K107" s="192">
        <v>0</v>
      </c>
      <c r="L107" s="194">
        <f>SUM(F107:K107)</f>
        <v>0</v>
      </c>
      <c r="M107" s="194">
        <f>L107/6</f>
        <v>0</v>
      </c>
      <c r="N107" s="192">
        <v>0</v>
      </c>
      <c r="O107" s="192">
        <v>0</v>
      </c>
      <c r="P107" s="192">
        <v>0</v>
      </c>
      <c r="Q107" s="192">
        <f t="shared" ref="Q107" si="180">Q105*Q106/1000</f>
        <v>4.8000000000000001E-2</v>
      </c>
      <c r="R107" s="192">
        <f t="shared" ref="R107" si="181">R105*R106/1000</f>
        <v>4.8000000000000001E-2</v>
      </c>
      <c r="S107" s="192">
        <f t="shared" ref="S107" si="182">S105*S106/1000</f>
        <v>4.8000000000000001E-2</v>
      </c>
      <c r="T107" s="194">
        <f>SUM(N107:S107)</f>
        <v>0.14399999999999999</v>
      </c>
      <c r="U107" s="194">
        <f>T107+L107</f>
        <v>0.14399999999999999</v>
      </c>
      <c r="V107" s="171">
        <f>V108+V109</f>
        <v>0.57599999999999996</v>
      </c>
      <c r="W107" s="192">
        <f>V107-U107</f>
        <v>0.432</v>
      </c>
    </row>
    <row r="108" spans="1:24" s="43" customFormat="1" ht="18" customHeight="1">
      <c r="A108" s="610"/>
      <c r="B108" s="583"/>
      <c r="C108" s="583"/>
      <c r="D108" s="174" t="str">
        <f>серпень!D108</f>
        <v>дотація</v>
      </c>
      <c r="E108" s="210"/>
      <c r="F108" s="192"/>
      <c r="G108" s="192"/>
      <c r="H108" s="192"/>
      <c r="I108" s="192"/>
      <c r="J108" s="192"/>
      <c r="K108" s="192"/>
      <c r="L108" s="194">
        <f>SUM(F108:K108)</f>
        <v>0</v>
      </c>
      <c r="M108" s="194">
        <f>L108/6</f>
        <v>0</v>
      </c>
      <c r="N108" s="192"/>
      <c r="O108" s="192"/>
      <c r="P108" s="192"/>
      <c r="Q108" s="192"/>
      <c r="R108" s="192"/>
      <c r="S108" s="192"/>
      <c r="T108" s="194">
        <f>SUM(N108:S108)</f>
        <v>0</v>
      </c>
      <c r="U108" s="194">
        <f>T108+L108</f>
        <v>0</v>
      </c>
      <c r="V108" s="171"/>
      <c r="W108" s="192">
        <f>V108-U108</f>
        <v>0</v>
      </c>
    </row>
    <row r="109" spans="1:24" s="43" customFormat="1" ht="18" customHeight="1">
      <c r="A109" s="610"/>
      <c r="B109" s="583"/>
      <c r="C109" s="583"/>
      <c r="D109" s="174" t="str">
        <f>серпень!D109</f>
        <v>місцевий (план), тис.грн</v>
      </c>
      <c r="E109" s="210"/>
      <c r="F109" s="192">
        <v>0</v>
      </c>
      <c r="G109" s="192">
        <v>4.8000000000000001E-2</v>
      </c>
      <c r="H109" s="192">
        <v>4.8000000000000001E-2</v>
      </c>
      <c r="I109" s="192">
        <v>4.8000000000000001E-2</v>
      </c>
      <c r="J109" s="192">
        <v>4.8000000000000001E-2</v>
      </c>
      <c r="K109" s="192">
        <v>4.8000000000000001E-2</v>
      </c>
      <c r="L109" s="194">
        <f>SUM(F109:K109)</f>
        <v>0.24</v>
      </c>
      <c r="M109" s="194">
        <f>L109/6</f>
        <v>0.04</v>
      </c>
      <c r="N109" s="192">
        <v>4.8000000000000001E-2</v>
      </c>
      <c r="O109" s="192">
        <v>4.8000000000000001E-2</v>
      </c>
      <c r="P109" s="192">
        <v>4.8000000000000001E-2</v>
      </c>
      <c r="Q109" s="192">
        <v>4.8000000000000001E-2</v>
      </c>
      <c r="R109" s="192">
        <v>4.8000000000000001E-2</v>
      </c>
      <c r="S109" s="192">
        <v>9.6000000000000002E-2</v>
      </c>
      <c r="T109" s="194">
        <f>SUM(N109:S109)</f>
        <v>0.33600000000000002</v>
      </c>
      <c r="U109" s="194">
        <f>T109+L109</f>
        <v>0.57599999999999996</v>
      </c>
      <c r="V109" s="171">
        <v>0.57599999999999996</v>
      </c>
      <c r="W109" s="192">
        <f>V109-U109</f>
        <v>0</v>
      </c>
    </row>
    <row r="110" spans="1:24" s="43" customFormat="1" ht="18" customHeight="1">
      <c r="A110" s="610"/>
      <c r="B110" s="583"/>
      <c r="C110" s="583"/>
      <c r="D110" s="178" t="str">
        <f>серпень!D110</f>
        <v>касові нат.п-ки 2025</v>
      </c>
      <c r="E110" s="179"/>
      <c r="F110" s="184"/>
      <c r="G110" s="184">
        <v>0</v>
      </c>
      <c r="H110" s="184">
        <v>0</v>
      </c>
      <c r="I110" s="184">
        <v>0</v>
      </c>
      <c r="J110" s="184">
        <v>0</v>
      </c>
      <c r="K110" s="184">
        <v>0</v>
      </c>
      <c r="L110" s="215">
        <f>SUM(F110:K110)</f>
        <v>0</v>
      </c>
      <c r="M110" s="215">
        <f>L110/6</f>
        <v>0</v>
      </c>
      <c r="N110" s="184">
        <v>2</v>
      </c>
      <c r="O110" s="184">
        <v>0</v>
      </c>
      <c r="P110" s="184">
        <v>0</v>
      </c>
      <c r="Q110" s="184">
        <v>2</v>
      </c>
      <c r="R110" s="184">
        <v>2</v>
      </c>
      <c r="S110" s="179">
        <v>2</v>
      </c>
      <c r="T110" s="215">
        <f>SUM(N110:S110)</f>
        <v>8</v>
      </c>
      <c r="U110" s="215">
        <f>T110+L110</f>
        <v>8</v>
      </c>
      <c r="V110" s="179">
        <f>V105</f>
        <v>24</v>
      </c>
      <c r="W110" s="184">
        <f>V110-U110</f>
        <v>16</v>
      </c>
      <c r="X110" s="47">
        <f>U105-U110</f>
        <v>0</v>
      </c>
    </row>
    <row r="111" spans="1:24" s="43" customFormat="1" ht="18" customHeight="1">
      <c r="A111" s="610"/>
      <c r="B111" s="583"/>
      <c r="C111" s="583"/>
      <c r="D111" s="187" t="str">
        <f>серпень!D111</f>
        <v>тариф, грн.</v>
      </c>
      <c r="E111" s="188" t="e">
        <f t="shared" ref="E111:F111" si="183">E112/E110*1000</f>
        <v>#DIV/0!</v>
      </c>
      <c r="F111" s="188" t="e">
        <f t="shared" si="183"/>
        <v>#DIV/0!</v>
      </c>
      <c r="G111" s="188">
        <v>24</v>
      </c>
      <c r="H111" s="188">
        <v>24</v>
      </c>
      <c r="I111" s="188">
        <v>24</v>
      </c>
      <c r="J111" s="188">
        <v>24</v>
      </c>
      <c r="K111" s="188">
        <v>24</v>
      </c>
      <c r="L111" s="217" t="e">
        <f>L112/L110*1000</f>
        <v>#DIV/0!</v>
      </c>
      <c r="M111" s="217" t="e">
        <f>M112/M110*1000</f>
        <v>#DIV/0!</v>
      </c>
      <c r="N111" s="217">
        <v>24</v>
      </c>
      <c r="O111" s="217">
        <v>24</v>
      </c>
      <c r="P111" s="217">
        <v>24</v>
      </c>
      <c r="Q111" s="217">
        <v>24</v>
      </c>
      <c r="R111" s="217">
        <v>24</v>
      </c>
      <c r="S111" s="217">
        <v>24</v>
      </c>
      <c r="T111" s="217">
        <f>T112/T110*1000</f>
        <v>18</v>
      </c>
      <c r="U111" s="217">
        <f>U112/U110*1000</f>
        <v>18</v>
      </c>
      <c r="V111" s="218">
        <f>V112/V110*1000</f>
        <v>24</v>
      </c>
      <c r="W111" s="219">
        <f>W112/W110*1000</f>
        <v>27</v>
      </c>
      <c r="X111" s="47"/>
    </row>
    <row r="112" spans="1:24" s="43" customFormat="1" ht="18" customHeight="1">
      <c r="A112" s="610"/>
      <c r="B112" s="583"/>
      <c r="C112" s="583"/>
      <c r="D112" s="198" t="str">
        <f>серпень!D112</f>
        <v>касові видатки, тис.грн.</v>
      </c>
      <c r="E112" s="220"/>
      <c r="F112" s="199">
        <v>0</v>
      </c>
      <c r="G112" s="199">
        <f t="shared" ref="G112:J112" si="184">G110*G111/1000</f>
        <v>0</v>
      </c>
      <c r="H112" s="199">
        <f t="shared" si="184"/>
        <v>0</v>
      </c>
      <c r="I112" s="199">
        <f t="shared" si="184"/>
        <v>0</v>
      </c>
      <c r="J112" s="199">
        <f t="shared" si="184"/>
        <v>0</v>
      </c>
      <c r="K112" s="199">
        <v>0</v>
      </c>
      <c r="L112" s="199">
        <f>SUM(F112:K112)</f>
        <v>0</v>
      </c>
      <c r="M112" s="199">
        <f>L112/6</f>
        <v>0</v>
      </c>
      <c r="N112" s="199">
        <v>0</v>
      </c>
      <c r="O112" s="199">
        <f t="shared" ref="O112:S112" si="185">O110*O111/1000</f>
        <v>0</v>
      </c>
      <c r="P112" s="199">
        <v>0</v>
      </c>
      <c r="Q112" s="199">
        <f t="shared" si="185"/>
        <v>4.8000000000000001E-2</v>
      </c>
      <c r="R112" s="199">
        <f t="shared" si="185"/>
        <v>4.8000000000000001E-2</v>
      </c>
      <c r="S112" s="199">
        <f t="shared" si="185"/>
        <v>4.8000000000000001E-2</v>
      </c>
      <c r="T112" s="199">
        <f>SUM(N112:S112)</f>
        <v>0.14399999999999999</v>
      </c>
      <c r="U112" s="199">
        <f>T112+L112</f>
        <v>0.14399999999999999</v>
      </c>
      <c r="V112" s="199">
        <f>V107</f>
        <v>0.57599999999999996</v>
      </c>
      <c r="W112" s="221">
        <f>V112-U112</f>
        <v>0.432</v>
      </c>
      <c r="X112" s="63">
        <f>U107-U112</f>
        <v>0</v>
      </c>
    </row>
    <row r="113" spans="1:24" s="43" customFormat="1" ht="18" customHeight="1">
      <c r="A113" s="610"/>
      <c r="B113" s="583"/>
      <c r="C113" s="583"/>
      <c r="D113" s="201" t="str">
        <f>серпень!D113</f>
        <v>дотація</v>
      </c>
      <c r="E113" s="220"/>
      <c r="F113" s="61">
        <v>0</v>
      </c>
      <c r="G113" s="61">
        <v>0</v>
      </c>
      <c r="H113" s="61">
        <v>0</v>
      </c>
      <c r="I113" s="61">
        <v>0</v>
      </c>
      <c r="J113" s="61">
        <v>0</v>
      </c>
      <c r="K113" s="61">
        <v>0</v>
      </c>
      <c r="L113" s="199">
        <f>SUM(F113:K113)</f>
        <v>0</v>
      </c>
      <c r="M113" s="199">
        <f>L113/6</f>
        <v>0</v>
      </c>
      <c r="N113" s="61">
        <v>0</v>
      </c>
      <c r="O113" s="61">
        <v>0</v>
      </c>
      <c r="P113" s="61">
        <v>0</v>
      </c>
      <c r="Q113" s="61">
        <v>0</v>
      </c>
      <c r="R113" s="61">
        <v>0</v>
      </c>
      <c r="S113" s="61">
        <v>0</v>
      </c>
      <c r="T113" s="199">
        <f>SUM(N113:S113)</f>
        <v>0</v>
      </c>
      <c r="U113" s="199">
        <f>T113+L113</f>
        <v>0</v>
      </c>
      <c r="V113" s="199">
        <f>V108</f>
        <v>0</v>
      </c>
      <c r="W113" s="221">
        <f>V113-U113</f>
        <v>0</v>
      </c>
      <c r="X113" s="63">
        <f>U108-U113</f>
        <v>0</v>
      </c>
    </row>
    <row r="114" spans="1:24" s="43" customFormat="1" ht="18" customHeight="1">
      <c r="A114" s="610"/>
      <c r="B114" s="583"/>
      <c r="C114" s="583"/>
      <c r="D114" s="201" t="str">
        <f>серпень!D114</f>
        <v xml:space="preserve">місцевий </v>
      </c>
      <c r="E114" s="220"/>
      <c r="F114" s="61">
        <f t="shared" ref="F114:K114" si="186">F112-F113</f>
        <v>0</v>
      </c>
      <c r="G114" s="61">
        <f t="shared" si="186"/>
        <v>0</v>
      </c>
      <c r="H114" s="61">
        <f t="shared" si="186"/>
        <v>0</v>
      </c>
      <c r="I114" s="61">
        <f t="shared" si="186"/>
        <v>0</v>
      </c>
      <c r="J114" s="61">
        <f t="shared" si="186"/>
        <v>0</v>
      </c>
      <c r="K114" s="61">
        <f t="shared" si="186"/>
        <v>0</v>
      </c>
      <c r="L114" s="199">
        <f>SUM(F114:K114)</f>
        <v>0</v>
      </c>
      <c r="M114" s="199">
        <f>L114/6</f>
        <v>0</v>
      </c>
      <c r="N114" s="61">
        <f t="shared" ref="N114:S114" si="187">N112-N113</f>
        <v>0</v>
      </c>
      <c r="O114" s="61">
        <f t="shared" si="187"/>
        <v>0</v>
      </c>
      <c r="P114" s="61">
        <f t="shared" si="187"/>
        <v>0</v>
      </c>
      <c r="Q114" s="61">
        <f t="shared" si="187"/>
        <v>4.8000000000000001E-2</v>
      </c>
      <c r="R114" s="61">
        <f t="shared" si="187"/>
        <v>4.8000000000000001E-2</v>
      </c>
      <c r="S114" s="61">
        <f t="shared" si="187"/>
        <v>4.8000000000000001E-2</v>
      </c>
      <c r="T114" s="199">
        <f>SUM(N114:S114)</f>
        <v>0.14399999999999999</v>
      </c>
      <c r="U114" s="199">
        <f>T114+L114</f>
        <v>0.14399999999999999</v>
      </c>
      <c r="V114" s="199">
        <f>V109</f>
        <v>0.57599999999999996</v>
      </c>
      <c r="W114" s="221">
        <f>V114-U114</f>
        <v>0.432</v>
      </c>
      <c r="X114" s="63">
        <f>U109-U114</f>
        <v>0.432</v>
      </c>
    </row>
    <row r="115" spans="1:24" s="43" customFormat="1" ht="18" customHeight="1">
      <c r="A115" s="610"/>
      <c r="B115" s="583"/>
      <c r="C115" s="583"/>
      <c r="D115" s="202" t="str">
        <f>серпень!D115</f>
        <v>план</v>
      </c>
      <c r="E115" s="203"/>
      <c r="F115" s="203">
        <f t="shared" ref="F115:K115" si="188">F108+F109</f>
        <v>0</v>
      </c>
      <c r="G115" s="203">
        <f t="shared" si="188"/>
        <v>4.8000000000000001E-2</v>
      </c>
      <c r="H115" s="203">
        <f t="shared" si="188"/>
        <v>4.8000000000000001E-2</v>
      </c>
      <c r="I115" s="203">
        <f t="shared" si="188"/>
        <v>4.8000000000000001E-2</v>
      </c>
      <c r="J115" s="203">
        <f t="shared" si="188"/>
        <v>4.8000000000000001E-2</v>
      </c>
      <c r="K115" s="203">
        <f t="shared" si="188"/>
        <v>4.8000000000000001E-2</v>
      </c>
      <c r="L115" s="203">
        <f>SUM(F115:K115)</f>
        <v>0.24</v>
      </c>
      <c r="M115" s="203">
        <f>L115/6</f>
        <v>0.04</v>
      </c>
      <c r="N115" s="203">
        <f t="shared" ref="N115:S115" si="189">N109+N108</f>
        <v>4.8000000000000001E-2</v>
      </c>
      <c r="O115" s="203">
        <f t="shared" si="189"/>
        <v>4.8000000000000001E-2</v>
      </c>
      <c r="P115" s="203">
        <f t="shared" si="189"/>
        <v>4.8000000000000001E-2</v>
      </c>
      <c r="Q115" s="203">
        <f t="shared" si="189"/>
        <v>4.8000000000000001E-2</v>
      </c>
      <c r="R115" s="203">
        <f t="shared" si="189"/>
        <v>4.8000000000000001E-2</v>
      </c>
      <c r="S115" s="203">
        <f t="shared" si="189"/>
        <v>9.6000000000000002E-2</v>
      </c>
      <c r="T115" s="203">
        <f>SUM(N115:S115)</f>
        <v>0.33600000000000002</v>
      </c>
      <c r="U115" s="203">
        <f>T115+L115</f>
        <v>0.57599999999999996</v>
      </c>
      <c r="V115" s="203">
        <f>V112</f>
        <v>0.57599999999999996</v>
      </c>
      <c r="W115" s="203">
        <f>V115-U115</f>
        <v>0</v>
      </c>
    </row>
    <row r="116" spans="1:24" s="43" customFormat="1" ht="18" customHeight="1">
      <c r="A116" s="610"/>
      <c r="B116" s="583"/>
      <c r="C116" s="583"/>
      <c r="D116" s="202" t="str">
        <f>серпень!D116</f>
        <v xml:space="preserve">відхилення </v>
      </c>
      <c r="E116" s="203"/>
      <c r="F116" s="203">
        <f t="shared" ref="F116:K116" si="190">F112-F115</f>
        <v>0</v>
      </c>
      <c r="G116" s="203">
        <f t="shared" si="190"/>
        <v>-4.8000000000000001E-2</v>
      </c>
      <c r="H116" s="203">
        <f t="shared" si="190"/>
        <v>-4.8000000000000001E-2</v>
      </c>
      <c r="I116" s="203">
        <f t="shared" si="190"/>
        <v>-4.8000000000000001E-2</v>
      </c>
      <c r="J116" s="203">
        <f t="shared" si="190"/>
        <v>-4.8000000000000001E-2</v>
      </c>
      <c r="K116" s="203">
        <f t="shared" si="190"/>
        <v>-4.8000000000000001E-2</v>
      </c>
      <c r="L116" s="203"/>
      <c r="M116" s="203"/>
      <c r="N116" s="203">
        <f t="shared" ref="N116:S116" si="191">N112-N115</f>
        <v>-4.8000000000000001E-2</v>
      </c>
      <c r="O116" s="203">
        <f t="shared" si="191"/>
        <v>-4.8000000000000001E-2</v>
      </c>
      <c r="P116" s="203">
        <f t="shared" si="191"/>
        <v>-4.8000000000000001E-2</v>
      </c>
      <c r="Q116" s="203">
        <f t="shared" si="191"/>
        <v>0</v>
      </c>
      <c r="R116" s="203">
        <f t="shared" si="191"/>
        <v>0</v>
      </c>
      <c r="S116" s="203">
        <f t="shared" si="191"/>
        <v>-4.8000000000000001E-2</v>
      </c>
      <c r="T116" s="203"/>
      <c r="U116" s="203"/>
      <c r="V116" s="203"/>
      <c r="W116" s="203"/>
    </row>
    <row r="117" spans="1:24" s="43" customFormat="1" ht="18" customHeight="1">
      <c r="A117" s="610"/>
      <c r="B117" s="583"/>
      <c r="C117" s="584"/>
      <c r="D117" s="202" t="str">
        <f>серпень!D117</f>
        <v>відхилення з наростаючим</v>
      </c>
      <c r="E117" s="203"/>
      <c r="F117" s="203">
        <f>F116</f>
        <v>0</v>
      </c>
      <c r="G117" s="203">
        <f>G116+F117</f>
        <v>-4.8000000000000001E-2</v>
      </c>
      <c r="H117" s="203">
        <f>H116+G117</f>
        <v>-9.6000000000000002E-2</v>
      </c>
      <c r="I117" s="203">
        <f>I116+H117</f>
        <v>-0.14399999999999999</v>
      </c>
      <c r="J117" s="203">
        <f>J116+I117</f>
        <v>-0.192</v>
      </c>
      <c r="K117" s="203">
        <f>K116+J117</f>
        <v>-0.24</v>
      </c>
      <c r="L117" s="203"/>
      <c r="M117" s="203"/>
      <c r="N117" s="203">
        <f>N116+K117</f>
        <v>-0.28799999999999998</v>
      </c>
      <c r="O117" s="203">
        <f>O116+N117</f>
        <v>-0.33600000000000002</v>
      </c>
      <c r="P117" s="203">
        <f>P116+O117</f>
        <v>-0.38400000000000001</v>
      </c>
      <c r="Q117" s="203">
        <f>Q116+P117</f>
        <v>-0.38400000000000001</v>
      </c>
      <c r="R117" s="203">
        <f>R116+Q117</f>
        <v>-0.38400000000000001</v>
      </c>
      <c r="S117" s="203">
        <f>S116+R117</f>
        <v>-0.432</v>
      </c>
      <c r="T117" s="203"/>
      <c r="U117" s="203"/>
      <c r="V117" s="203"/>
      <c r="W117" s="203"/>
    </row>
    <row r="118" spans="1:24" s="43" customFormat="1" ht="18" hidden="1" customHeight="1">
      <c r="A118" s="610"/>
      <c r="B118" s="581" t="s">
        <v>57</v>
      </c>
      <c r="C118" s="582" t="s">
        <v>98</v>
      </c>
      <c r="D118" s="178" t="str">
        <f>серпень!D118</f>
        <v>факт. нат.п-ки 2023</v>
      </c>
      <c r="E118" s="179"/>
      <c r="F118" s="184"/>
      <c r="G118" s="184"/>
      <c r="H118" s="179"/>
      <c r="I118" s="179"/>
      <c r="J118" s="179"/>
      <c r="K118" s="179"/>
      <c r="L118" s="215">
        <f>SUM(F118:K118)</f>
        <v>0</v>
      </c>
      <c r="M118" s="215">
        <f>L118/6</f>
        <v>0</v>
      </c>
      <c r="N118" s="179"/>
      <c r="O118" s="179"/>
      <c r="P118" s="179"/>
      <c r="Q118" s="179"/>
      <c r="R118" s="179"/>
      <c r="S118" s="179"/>
      <c r="T118" s="215">
        <f>SUM(N118:S118)</f>
        <v>0</v>
      </c>
      <c r="U118" s="215">
        <f>T118+L118</f>
        <v>0</v>
      </c>
      <c r="V118" s="179"/>
      <c r="W118" s="184"/>
    </row>
    <row r="119" spans="1:24" s="43" customFormat="1" ht="18" hidden="1" customHeight="1">
      <c r="A119" s="610"/>
      <c r="B119" s="581"/>
      <c r="C119" s="583"/>
      <c r="D119" s="178" t="str">
        <f>серпень!D119</f>
        <v>факт. нат.п-ки 2024</v>
      </c>
      <c r="E119" s="179"/>
      <c r="F119" s="184"/>
      <c r="G119" s="184"/>
      <c r="H119" s="179"/>
      <c r="I119" s="179"/>
      <c r="J119" s="179"/>
      <c r="K119" s="179"/>
      <c r="L119" s="215">
        <f>SUM(F119:K119)</f>
        <v>0</v>
      </c>
      <c r="M119" s="215">
        <f>L119/6</f>
        <v>0</v>
      </c>
      <c r="N119" s="179"/>
      <c r="O119" s="179"/>
      <c r="P119" s="179"/>
      <c r="Q119" s="179"/>
      <c r="R119" s="179"/>
      <c r="S119" s="179"/>
      <c r="T119" s="215">
        <f>SUM(N119:S119)</f>
        <v>0</v>
      </c>
      <c r="U119" s="215">
        <f>T119+L119</f>
        <v>0</v>
      </c>
      <c r="V119" s="179"/>
      <c r="W119" s="184"/>
    </row>
    <row r="120" spans="1:24" s="43" customFormat="1" ht="18" hidden="1" customHeight="1">
      <c r="A120" s="610"/>
      <c r="B120" s="581"/>
      <c r="C120" s="583"/>
      <c r="D120" s="178" t="str">
        <f>серпень!D120</f>
        <v>факт. нат.п-ки 2025</v>
      </c>
      <c r="E120" s="179"/>
      <c r="F120" s="184"/>
      <c r="G120" s="184"/>
      <c r="H120" s="179"/>
      <c r="I120" s="216"/>
      <c r="J120" s="179"/>
      <c r="K120" s="179"/>
      <c r="L120" s="215">
        <f>SUM(F120:K120)</f>
        <v>0</v>
      </c>
      <c r="M120" s="215">
        <f>L120/6</f>
        <v>0</v>
      </c>
      <c r="N120" s="179"/>
      <c r="O120" s="179"/>
      <c r="P120" s="179"/>
      <c r="Q120" s="179"/>
      <c r="R120" s="179"/>
      <c r="S120" s="179"/>
      <c r="T120" s="215">
        <f>SUM(N120:S120)</f>
        <v>0</v>
      </c>
      <c r="U120" s="215">
        <f>T120+L120</f>
        <v>0</v>
      </c>
      <c r="V120" s="179"/>
      <c r="W120" s="184">
        <f>U120-V120</f>
        <v>0</v>
      </c>
    </row>
    <row r="121" spans="1:24" s="43" customFormat="1" ht="18" hidden="1" customHeight="1">
      <c r="A121" s="610"/>
      <c r="B121" s="581"/>
      <c r="C121" s="583"/>
      <c r="D121" s="187" t="str">
        <f>серпень!D121</f>
        <v>тариф, грн.</v>
      </c>
      <c r="E121" s="188"/>
      <c r="F121" s="188"/>
      <c r="G121" s="188"/>
      <c r="H121" s="188"/>
      <c r="I121" s="188"/>
      <c r="J121" s="188"/>
      <c r="K121" s="188"/>
      <c r="L121" s="217" t="e">
        <f>L122/L120*1000</f>
        <v>#DIV/0!</v>
      </c>
      <c r="M121" s="217" t="e">
        <f>M122/M120*1000</f>
        <v>#DIV/0!</v>
      </c>
      <c r="N121" s="188"/>
      <c r="O121" s="188"/>
      <c r="P121" s="188"/>
      <c r="Q121" s="188"/>
      <c r="R121" s="188"/>
      <c r="S121" s="188"/>
      <c r="T121" s="217" t="e">
        <f>T122/T120*1000</f>
        <v>#DIV/0!</v>
      </c>
      <c r="U121" s="217" t="e">
        <f>U122/U120*1000</f>
        <v>#DIV/0!</v>
      </c>
      <c r="V121" s="218" t="e">
        <f>V122/V120*1000</f>
        <v>#DIV/0!</v>
      </c>
      <c r="W121" s="219" t="e">
        <f>W122/W120*1000</f>
        <v>#DIV/0!</v>
      </c>
    </row>
    <row r="122" spans="1:24" s="43" customFormat="1" ht="18" hidden="1" customHeight="1">
      <c r="A122" s="610"/>
      <c r="B122" s="581"/>
      <c r="C122" s="583"/>
      <c r="D122" s="191" t="str">
        <f>серпень!D122</f>
        <v>сума, тис.грн.</v>
      </c>
      <c r="E122" s="192"/>
      <c r="F122" s="192"/>
      <c r="G122" s="192"/>
      <c r="H122" s="192"/>
      <c r="I122" s="192"/>
      <c r="J122" s="192"/>
      <c r="K122" s="192"/>
      <c r="L122" s="194">
        <f>SUM(F122:K122)</f>
        <v>0</v>
      </c>
      <c r="M122" s="194">
        <f>L122/6</f>
        <v>0</v>
      </c>
      <c r="N122" s="192"/>
      <c r="O122" s="192"/>
      <c r="P122" s="192"/>
      <c r="Q122" s="192"/>
      <c r="R122" s="192"/>
      <c r="S122" s="192"/>
      <c r="T122" s="194">
        <f>SUM(N122:S122)</f>
        <v>0</v>
      </c>
      <c r="U122" s="194">
        <f>T122+L122</f>
        <v>0</v>
      </c>
      <c r="V122" s="171">
        <f>V123+V124</f>
        <v>0</v>
      </c>
      <c r="W122" s="192">
        <f>V122-U122</f>
        <v>0</v>
      </c>
    </row>
    <row r="123" spans="1:24" s="43" customFormat="1" ht="18" hidden="1" customHeight="1">
      <c r="A123" s="610"/>
      <c r="B123" s="581"/>
      <c r="C123" s="583"/>
      <c r="D123" s="174" t="str">
        <f>серпень!D123</f>
        <v>дотація</v>
      </c>
      <c r="E123" s="210"/>
      <c r="F123" s="192"/>
      <c r="G123" s="192"/>
      <c r="H123" s="192"/>
      <c r="I123" s="192"/>
      <c r="J123" s="192"/>
      <c r="K123" s="192"/>
      <c r="L123" s="194">
        <f>SUM(F123:K123)</f>
        <v>0</v>
      </c>
      <c r="M123" s="194">
        <f>L123/6</f>
        <v>0</v>
      </c>
      <c r="N123" s="192"/>
      <c r="O123" s="192"/>
      <c r="P123" s="192"/>
      <c r="Q123" s="192"/>
      <c r="R123" s="192"/>
      <c r="S123" s="192"/>
      <c r="T123" s="194">
        <f>SUM(N123:S123)</f>
        <v>0</v>
      </c>
      <c r="U123" s="194">
        <f>T123+L123</f>
        <v>0</v>
      </c>
      <c r="V123" s="171"/>
      <c r="W123" s="192">
        <f>V123-U123</f>
        <v>0</v>
      </c>
    </row>
    <row r="124" spans="1:24" s="43" customFormat="1" ht="18" hidden="1" customHeight="1">
      <c r="A124" s="610"/>
      <c r="B124" s="581"/>
      <c r="C124" s="583"/>
      <c r="D124" s="174" t="str">
        <f>серпень!D124</f>
        <v>місцевий (план), тис.грн</v>
      </c>
      <c r="E124" s="210"/>
      <c r="F124" s="192"/>
      <c r="G124" s="192"/>
      <c r="H124" s="192"/>
      <c r="I124" s="192"/>
      <c r="J124" s="192"/>
      <c r="K124" s="192"/>
      <c r="L124" s="194">
        <f>SUM(F124:K124)</f>
        <v>0</v>
      </c>
      <c r="M124" s="194">
        <f>L124/6</f>
        <v>0</v>
      </c>
      <c r="N124" s="192"/>
      <c r="O124" s="192"/>
      <c r="P124" s="192"/>
      <c r="Q124" s="192"/>
      <c r="R124" s="192"/>
      <c r="S124" s="192"/>
      <c r="T124" s="194">
        <f>SUM(N124:S124)</f>
        <v>0</v>
      </c>
      <c r="U124" s="194">
        <f>T124+L124</f>
        <v>0</v>
      </c>
      <c r="V124" s="171"/>
      <c r="W124" s="192">
        <f>V124-U124</f>
        <v>0</v>
      </c>
    </row>
    <row r="125" spans="1:24" s="43" customFormat="1" ht="18" hidden="1" customHeight="1">
      <c r="A125" s="610"/>
      <c r="B125" s="581"/>
      <c r="C125" s="583"/>
      <c r="D125" s="178" t="str">
        <f>серпень!D125</f>
        <v>касові нат.п-ки 2025</v>
      </c>
      <c r="E125" s="179"/>
      <c r="F125" s="184"/>
      <c r="G125" s="184"/>
      <c r="H125" s="179"/>
      <c r="I125" s="179"/>
      <c r="J125" s="216"/>
      <c r="K125" s="179"/>
      <c r="L125" s="215">
        <f>SUM(F125:K125)</f>
        <v>0</v>
      </c>
      <c r="M125" s="215">
        <f>L125/6</f>
        <v>0</v>
      </c>
      <c r="N125" s="179"/>
      <c r="O125" s="179"/>
      <c r="P125" s="179"/>
      <c r="Q125" s="179"/>
      <c r="R125" s="179"/>
      <c r="S125" s="179"/>
      <c r="T125" s="215">
        <f>SUM(N125:S125)</f>
        <v>0</v>
      </c>
      <c r="U125" s="215">
        <f>T125+L125</f>
        <v>0</v>
      </c>
      <c r="V125" s="179">
        <f>V120</f>
        <v>0</v>
      </c>
      <c r="W125" s="184">
        <f>V125-U125</f>
        <v>0</v>
      </c>
      <c r="X125" s="47">
        <f>U120-U125</f>
        <v>0</v>
      </c>
    </row>
    <row r="126" spans="1:24" s="43" customFormat="1" ht="18" hidden="1" customHeight="1">
      <c r="A126" s="610"/>
      <c r="B126" s="581"/>
      <c r="C126" s="583"/>
      <c r="D126" s="187" t="str">
        <f>серпень!D126</f>
        <v>тариф, грн.</v>
      </c>
      <c r="E126" s="188" t="e">
        <f t="shared" ref="E126" si="192">E127/E125*1000</f>
        <v>#DIV/0!</v>
      </c>
      <c r="F126" s="188"/>
      <c r="G126" s="188"/>
      <c r="H126" s="188"/>
      <c r="I126" s="188"/>
      <c r="J126" s="188"/>
      <c r="K126" s="188"/>
      <c r="L126" s="217" t="e">
        <f>L127/L125*1000</f>
        <v>#DIV/0!</v>
      </c>
      <c r="M126" s="217" t="e">
        <f>M127/M125*1000</f>
        <v>#DIV/0!</v>
      </c>
      <c r="N126" s="188"/>
      <c r="O126" s="188"/>
      <c r="P126" s="188"/>
      <c r="Q126" s="188"/>
      <c r="R126" s="188"/>
      <c r="S126" s="188"/>
      <c r="T126" s="217" t="e">
        <f>T127/T125*1000</f>
        <v>#DIV/0!</v>
      </c>
      <c r="U126" s="217" t="e">
        <f>U127/U125*1000</f>
        <v>#DIV/0!</v>
      </c>
      <c r="V126" s="218" t="e">
        <f>V127/V125*1000</f>
        <v>#DIV/0!</v>
      </c>
      <c r="W126" s="219" t="e">
        <f>W127/W125*1000</f>
        <v>#DIV/0!</v>
      </c>
      <c r="X126" s="47"/>
    </row>
    <row r="127" spans="1:24" s="43" customFormat="1" ht="18" hidden="1" customHeight="1">
      <c r="A127" s="610"/>
      <c r="B127" s="581"/>
      <c r="C127" s="583"/>
      <c r="D127" s="198" t="str">
        <f>серпень!D127</f>
        <v>касові видатки, тис.грн.</v>
      </c>
      <c r="E127" s="220"/>
      <c r="F127" s="199"/>
      <c r="G127" s="199"/>
      <c r="H127" s="199"/>
      <c r="I127" s="199"/>
      <c r="J127" s="199"/>
      <c r="K127" s="199"/>
      <c r="L127" s="199">
        <f>SUM(F127:K127)</f>
        <v>0</v>
      </c>
      <c r="M127" s="199">
        <f>L127/6</f>
        <v>0</v>
      </c>
      <c r="N127" s="199"/>
      <c r="O127" s="199"/>
      <c r="P127" s="199"/>
      <c r="Q127" s="199"/>
      <c r="R127" s="199"/>
      <c r="S127" s="199"/>
      <c r="T127" s="199">
        <f>SUM(N127:S127)</f>
        <v>0</v>
      </c>
      <c r="U127" s="199">
        <f>T127+L127</f>
        <v>0</v>
      </c>
      <c r="V127" s="199">
        <f>V122</f>
        <v>0</v>
      </c>
      <c r="W127" s="221">
        <f>V127-U127</f>
        <v>0</v>
      </c>
      <c r="X127" s="63">
        <f>U122-U127</f>
        <v>0</v>
      </c>
    </row>
    <row r="128" spans="1:24" s="43" customFormat="1" ht="18" hidden="1" customHeight="1">
      <c r="A128" s="610"/>
      <c r="B128" s="581"/>
      <c r="C128" s="583"/>
      <c r="D128" s="201" t="str">
        <f>серпень!D128</f>
        <v>дотація</v>
      </c>
      <c r="E128" s="220"/>
      <c r="F128" s="199"/>
      <c r="G128" s="199"/>
      <c r="H128" s="199"/>
      <c r="I128" s="199"/>
      <c r="J128" s="199"/>
      <c r="K128" s="199"/>
      <c r="L128" s="199">
        <f>SUM(F128:K128)</f>
        <v>0</v>
      </c>
      <c r="M128" s="199">
        <f>L128/6</f>
        <v>0</v>
      </c>
      <c r="N128" s="199"/>
      <c r="O128" s="199"/>
      <c r="P128" s="199"/>
      <c r="Q128" s="199"/>
      <c r="R128" s="199"/>
      <c r="S128" s="199"/>
      <c r="T128" s="199">
        <f>SUM(N128:S128)</f>
        <v>0</v>
      </c>
      <c r="U128" s="199">
        <f>T128+L128</f>
        <v>0</v>
      </c>
      <c r="V128" s="199">
        <f>V123</f>
        <v>0</v>
      </c>
      <c r="W128" s="221">
        <f>V128-U128</f>
        <v>0</v>
      </c>
      <c r="X128" s="63">
        <f>U123-U128</f>
        <v>0</v>
      </c>
    </row>
    <row r="129" spans="1:24" s="43" customFormat="1" ht="18" hidden="1" customHeight="1">
      <c r="A129" s="610"/>
      <c r="B129" s="581"/>
      <c r="C129" s="583"/>
      <c r="D129" s="201" t="str">
        <f>серпень!D129</f>
        <v xml:space="preserve">місцевий </v>
      </c>
      <c r="E129" s="220"/>
      <c r="F129" s="199"/>
      <c r="G129" s="199"/>
      <c r="H129" s="199"/>
      <c r="I129" s="199"/>
      <c r="J129" s="199"/>
      <c r="K129" s="199"/>
      <c r="L129" s="199">
        <f>SUM(F129:K129)</f>
        <v>0</v>
      </c>
      <c r="M129" s="199">
        <f>L129/6</f>
        <v>0</v>
      </c>
      <c r="N129" s="199"/>
      <c r="O129" s="199"/>
      <c r="P129" s="199"/>
      <c r="Q129" s="199"/>
      <c r="R129" s="199"/>
      <c r="S129" s="199"/>
      <c r="T129" s="199">
        <f>SUM(N129:S129)</f>
        <v>0</v>
      </c>
      <c r="U129" s="199">
        <f>T129+L129</f>
        <v>0</v>
      </c>
      <c r="V129" s="199">
        <f>V124</f>
        <v>0</v>
      </c>
      <c r="W129" s="221">
        <f>V129-U129</f>
        <v>0</v>
      </c>
      <c r="X129" s="63">
        <f>U124-U129</f>
        <v>0</v>
      </c>
    </row>
    <row r="130" spans="1:24" s="43" customFormat="1" ht="18" hidden="1" customHeight="1">
      <c r="A130" s="610"/>
      <c r="B130" s="581"/>
      <c r="C130" s="583"/>
      <c r="D130" s="202" t="str">
        <f>серпень!D130</f>
        <v>план</v>
      </c>
      <c r="E130" s="203"/>
      <c r="F130" s="203">
        <f t="shared" ref="F130:K130" si="193">F123+F124</f>
        <v>0</v>
      </c>
      <c r="G130" s="203">
        <f t="shared" si="193"/>
        <v>0</v>
      </c>
      <c r="H130" s="203">
        <f t="shared" si="193"/>
        <v>0</v>
      </c>
      <c r="I130" s="203">
        <f t="shared" si="193"/>
        <v>0</v>
      </c>
      <c r="J130" s="203">
        <f t="shared" si="193"/>
        <v>0</v>
      </c>
      <c r="K130" s="203">
        <f t="shared" si="193"/>
        <v>0</v>
      </c>
      <c r="L130" s="203">
        <f>SUM(F130:K130)</f>
        <v>0</v>
      </c>
      <c r="M130" s="203">
        <f>L130/6</f>
        <v>0</v>
      </c>
      <c r="N130" s="203">
        <f t="shared" ref="N130:S130" si="194">N124+N123</f>
        <v>0</v>
      </c>
      <c r="O130" s="203">
        <f t="shared" si="194"/>
        <v>0</v>
      </c>
      <c r="P130" s="203">
        <f t="shared" si="194"/>
        <v>0</v>
      </c>
      <c r="Q130" s="203">
        <f t="shared" si="194"/>
        <v>0</v>
      </c>
      <c r="R130" s="203">
        <f t="shared" si="194"/>
        <v>0</v>
      </c>
      <c r="S130" s="203">
        <f t="shared" si="194"/>
        <v>0</v>
      </c>
      <c r="T130" s="203">
        <f>SUM(N130:S130)</f>
        <v>0</v>
      </c>
      <c r="U130" s="203">
        <f>T130+L130</f>
        <v>0</v>
      </c>
      <c r="V130" s="203">
        <f>V127</f>
        <v>0</v>
      </c>
      <c r="W130" s="203">
        <f>V130-U130</f>
        <v>0</v>
      </c>
    </row>
    <row r="131" spans="1:24" s="43" customFormat="1" ht="18" hidden="1" customHeight="1">
      <c r="A131" s="610"/>
      <c r="B131" s="581"/>
      <c r="C131" s="583"/>
      <c r="D131" s="202" t="str">
        <f>серпень!D131</f>
        <v xml:space="preserve">відхилення </v>
      </c>
      <c r="E131" s="203"/>
      <c r="F131" s="203">
        <f t="shared" ref="F131:K131" si="195">F127-F130</f>
        <v>0</v>
      </c>
      <c r="G131" s="203">
        <f t="shared" si="195"/>
        <v>0</v>
      </c>
      <c r="H131" s="203">
        <f t="shared" si="195"/>
        <v>0</v>
      </c>
      <c r="I131" s="203">
        <f t="shared" si="195"/>
        <v>0</v>
      </c>
      <c r="J131" s="203">
        <f t="shared" si="195"/>
        <v>0</v>
      </c>
      <c r="K131" s="203">
        <f t="shared" si="195"/>
        <v>0</v>
      </c>
      <c r="L131" s="203"/>
      <c r="M131" s="203"/>
      <c r="N131" s="203">
        <f t="shared" ref="N131:S131" si="196">N127-N130</f>
        <v>0</v>
      </c>
      <c r="O131" s="203">
        <f t="shared" si="196"/>
        <v>0</v>
      </c>
      <c r="P131" s="203">
        <f t="shared" si="196"/>
        <v>0</v>
      </c>
      <c r="Q131" s="203">
        <f t="shared" si="196"/>
        <v>0</v>
      </c>
      <c r="R131" s="203">
        <f t="shared" si="196"/>
        <v>0</v>
      </c>
      <c r="S131" s="203">
        <f t="shared" si="196"/>
        <v>0</v>
      </c>
      <c r="T131" s="203"/>
      <c r="U131" s="203"/>
      <c r="V131" s="203"/>
      <c r="W131" s="203"/>
    </row>
    <row r="132" spans="1:24" s="43" customFormat="1" ht="27.1" hidden="1" customHeight="1">
      <c r="A132" s="610"/>
      <c r="B132" s="581"/>
      <c r="C132" s="584"/>
      <c r="D132" s="202" t="str">
        <f>серпень!D132</f>
        <v>відхилення з наростаючим</v>
      </c>
      <c r="E132" s="203"/>
      <c r="F132" s="203">
        <f>F131</f>
        <v>0</v>
      </c>
      <c r="G132" s="203">
        <f>G131+F132</f>
        <v>0</v>
      </c>
      <c r="H132" s="203">
        <f>H131+G132</f>
        <v>0</v>
      </c>
      <c r="I132" s="203">
        <f>I131+H132</f>
        <v>0</v>
      </c>
      <c r="J132" s="203">
        <f>J131+I132</f>
        <v>0</v>
      </c>
      <c r="K132" s="203">
        <f>K131+J132</f>
        <v>0</v>
      </c>
      <c r="L132" s="203"/>
      <c r="M132" s="203"/>
      <c r="N132" s="203">
        <f>N131+K132</f>
        <v>0</v>
      </c>
      <c r="O132" s="203">
        <f>O131+N132</f>
        <v>0</v>
      </c>
      <c r="P132" s="203">
        <f>P131+O132</f>
        <v>0</v>
      </c>
      <c r="Q132" s="203">
        <f>Q131+P132</f>
        <v>0</v>
      </c>
      <c r="R132" s="203">
        <f>R131+Q132</f>
        <v>0</v>
      </c>
      <c r="S132" s="203">
        <f>S131+R132</f>
        <v>0</v>
      </c>
      <c r="T132" s="203"/>
      <c r="U132" s="203"/>
      <c r="V132" s="203"/>
      <c r="W132" s="203"/>
    </row>
    <row r="133" spans="1:24" s="47" customFormat="1" ht="15.05" customHeight="1">
      <c r="A133" s="610"/>
      <c r="B133" s="581"/>
      <c r="C133" s="582" t="s">
        <v>99</v>
      </c>
      <c r="D133" s="178" t="str">
        <f>серпень!D133</f>
        <v>факт. нат.п-ки 2023</v>
      </c>
      <c r="E133" s="11"/>
      <c r="F133" s="11">
        <v>86.8</v>
      </c>
      <c r="G133" s="11">
        <v>39.299999999999997</v>
      </c>
      <c r="H133" s="11">
        <v>34.6</v>
      </c>
      <c r="I133" s="11">
        <v>0</v>
      </c>
      <c r="J133" s="11">
        <v>0</v>
      </c>
      <c r="K133" s="11">
        <v>0</v>
      </c>
      <c r="L133" s="65">
        <f>SUM(F133:K133)</f>
        <v>160.69999999999999</v>
      </c>
      <c r="M133" s="65">
        <f>L133/6</f>
        <v>26.8</v>
      </c>
      <c r="N133" s="11">
        <v>0</v>
      </c>
      <c r="O133" s="11">
        <v>0</v>
      </c>
      <c r="P133" s="11">
        <v>0</v>
      </c>
      <c r="Q133" s="11">
        <v>0</v>
      </c>
      <c r="R133" s="11">
        <v>11.9</v>
      </c>
      <c r="S133" s="11">
        <v>74</v>
      </c>
      <c r="T133" s="65">
        <f>SUM(N133:S133)</f>
        <v>85.9</v>
      </c>
      <c r="U133" s="65">
        <f>T133+L133</f>
        <v>246.6</v>
      </c>
      <c r="V133" s="11">
        <v>246.6</v>
      </c>
      <c r="W133" s="38"/>
    </row>
    <row r="134" spans="1:24" s="47" customFormat="1" ht="15.05" customHeight="1">
      <c r="A134" s="610"/>
      <c r="B134" s="581"/>
      <c r="C134" s="583"/>
      <c r="D134" s="178" t="str">
        <f>серпень!D134</f>
        <v>факт. нат.п-ки 2024</v>
      </c>
      <c r="E134" s="11"/>
      <c r="F134" s="38">
        <v>57.9</v>
      </c>
      <c r="G134" s="38">
        <v>33.6</v>
      </c>
      <c r="H134" s="11">
        <v>34.5</v>
      </c>
      <c r="I134" s="11">
        <v>0</v>
      </c>
      <c r="J134" s="11">
        <v>0</v>
      </c>
      <c r="K134" s="11">
        <v>0</v>
      </c>
      <c r="L134" s="65">
        <f>SUM(F134:K134)</f>
        <v>126</v>
      </c>
      <c r="M134" s="65">
        <f>L134/6</f>
        <v>21</v>
      </c>
      <c r="N134" s="11">
        <v>0</v>
      </c>
      <c r="O134" s="11">
        <v>0</v>
      </c>
      <c r="P134" s="11">
        <v>0</v>
      </c>
      <c r="Q134" s="11">
        <v>0</v>
      </c>
      <c r="R134" s="11">
        <v>38</v>
      </c>
      <c r="S134" s="11">
        <v>74</v>
      </c>
      <c r="T134" s="65">
        <f>SUM(N134:S134)</f>
        <v>112</v>
      </c>
      <c r="U134" s="65">
        <f>T134+L134</f>
        <v>238</v>
      </c>
      <c r="V134" s="11">
        <v>238</v>
      </c>
      <c r="W134" s="38"/>
    </row>
    <row r="135" spans="1:24" s="47" customFormat="1" ht="15.05" customHeight="1">
      <c r="A135" s="610"/>
      <c r="B135" s="581"/>
      <c r="C135" s="583"/>
      <c r="D135" s="178" t="str">
        <f>серпень!D135</f>
        <v>факт. нат.п-ки 2025</v>
      </c>
      <c r="E135" s="11"/>
      <c r="F135" s="38">
        <v>52.9</v>
      </c>
      <c r="G135" s="38">
        <v>52</v>
      </c>
      <c r="H135" s="265">
        <v>27.8</v>
      </c>
      <c r="I135" s="265">
        <v>0</v>
      </c>
      <c r="J135" s="265">
        <v>0</v>
      </c>
      <c r="K135" s="265">
        <v>0</v>
      </c>
      <c r="L135" s="65">
        <f>SUM(F135:K135)</f>
        <v>132.69999999999999</v>
      </c>
      <c r="M135" s="65">
        <f>L135/6</f>
        <v>22.1</v>
      </c>
      <c r="N135" s="11">
        <v>0</v>
      </c>
      <c r="O135" s="11">
        <v>0</v>
      </c>
      <c r="P135" s="11">
        <v>0</v>
      </c>
      <c r="Q135" s="11">
        <v>0</v>
      </c>
      <c r="R135" s="11">
        <v>38</v>
      </c>
      <c r="S135" s="11">
        <v>78.3</v>
      </c>
      <c r="T135" s="65">
        <f>SUM(N135:S135)</f>
        <v>116.3</v>
      </c>
      <c r="U135" s="65">
        <f>T135+L135</f>
        <v>249</v>
      </c>
      <c r="V135" s="11">
        <v>242.3</v>
      </c>
      <c r="W135" s="38">
        <f>V135-U135</f>
        <v>-6.7</v>
      </c>
    </row>
    <row r="136" spans="1:24" s="47" customFormat="1" ht="12.55">
      <c r="A136" s="610"/>
      <c r="B136" s="581"/>
      <c r="C136" s="583"/>
      <c r="D136" s="187" t="str">
        <f>серпень!D136</f>
        <v>тариф, грн.</v>
      </c>
      <c r="E136" s="49" t="e">
        <f t="shared" ref="E136:K136" si="197">E137/E135*1000</f>
        <v>#DIV/0!</v>
      </c>
      <c r="F136" s="49">
        <f t="shared" si="197"/>
        <v>1654.7829999999999</v>
      </c>
      <c r="G136" s="49">
        <f t="shared" si="197"/>
        <v>1653.942</v>
      </c>
      <c r="H136" s="49">
        <f t="shared" si="197"/>
        <v>1653.453</v>
      </c>
      <c r="I136" s="49" t="e">
        <f t="shared" si="197"/>
        <v>#DIV/0!</v>
      </c>
      <c r="J136" s="49" t="e">
        <f t="shared" si="197"/>
        <v>#DIV/0!</v>
      </c>
      <c r="K136" s="49" t="e">
        <f t="shared" si="197"/>
        <v>#DIV/0!</v>
      </c>
      <c r="L136" s="49">
        <f t="shared" ref="L136" si="198">L137/L135*1000</f>
        <v>1654.175</v>
      </c>
      <c r="M136" s="121">
        <f>M137/M135*1000</f>
        <v>1655.43</v>
      </c>
      <c r="N136" s="121">
        <v>1655.08</v>
      </c>
      <c r="O136" s="121">
        <v>1655.08</v>
      </c>
      <c r="P136" s="121">
        <v>1655.08</v>
      </c>
      <c r="Q136" s="121">
        <v>1655.08</v>
      </c>
      <c r="R136" s="121">
        <v>1655.08</v>
      </c>
      <c r="S136" s="49">
        <v>1655.08</v>
      </c>
      <c r="T136" s="121">
        <f>T137/T135*1000</f>
        <v>1655.08</v>
      </c>
      <c r="U136" s="121">
        <f>U137/U135*1000</f>
        <v>1654.6</v>
      </c>
      <c r="V136" s="68">
        <f>V137/V135*1000</f>
        <v>1655.08</v>
      </c>
      <c r="W136" s="14">
        <f>W137/W135*1000</f>
        <v>1637.164</v>
      </c>
    </row>
    <row r="137" spans="1:24" s="47" customFormat="1" ht="18.8" customHeight="1">
      <c r="A137" s="610"/>
      <c r="B137" s="581"/>
      <c r="C137" s="583"/>
      <c r="D137" s="191" t="str">
        <f>серпень!D137</f>
        <v>сума, тис.грн.</v>
      </c>
      <c r="E137" s="52"/>
      <c r="F137" s="52">
        <v>87.537999999999997</v>
      </c>
      <c r="G137" s="52">
        <v>86.004999999999995</v>
      </c>
      <c r="H137" s="52">
        <v>45.966000000000001</v>
      </c>
      <c r="I137" s="52">
        <v>0</v>
      </c>
      <c r="J137" s="52">
        <v>0</v>
      </c>
      <c r="K137" s="52">
        <v>0</v>
      </c>
      <c r="L137" s="69">
        <f>SUM(F137:K137)</f>
        <v>219.50899999999999</v>
      </c>
      <c r="M137" s="69">
        <f>L137/6</f>
        <v>36.585000000000001</v>
      </c>
      <c r="N137" s="52">
        <f>N135*N136/1000</f>
        <v>0</v>
      </c>
      <c r="O137" s="52">
        <f t="shared" ref="O137" si="199">O135*O136/1000</f>
        <v>0</v>
      </c>
      <c r="P137" s="52">
        <f t="shared" ref="P137" si="200">P135*P136/1000</f>
        <v>0</v>
      </c>
      <c r="Q137" s="52">
        <f t="shared" ref="Q137" si="201">Q135*Q136/1000</f>
        <v>0</v>
      </c>
      <c r="R137" s="52">
        <f t="shared" ref="R137" si="202">R135*R136/1000</f>
        <v>62.893000000000001</v>
      </c>
      <c r="S137" s="52">
        <f t="shared" ref="S137" si="203">S135*S136/1000</f>
        <v>129.59299999999999</v>
      </c>
      <c r="T137" s="69">
        <f>SUM(N137:S137)</f>
        <v>192.48599999999999</v>
      </c>
      <c r="U137" s="69">
        <f>T137+L137</f>
        <v>411.995</v>
      </c>
      <c r="V137" s="70">
        <f>V138+V139</f>
        <v>401.02600000000001</v>
      </c>
      <c r="W137" s="53">
        <f>V137-U137</f>
        <v>-10.968999999999999</v>
      </c>
    </row>
    <row r="138" spans="1:24" s="47" customFormat="1" ht="18.8" customHeight="1">
      <c r="A138" s="610"/>
      <c r="B138" s="581"/>
      <c r="C138" s="583"/>
      <c r="D138" s="174" t="str">
        <f>серпень!D138</f>
        <v>дотація</v>
      </c>
      <c r="E138" s="56"/>
      <c r="F138" s="52"/>
      <c r="G138" s="52"/>
      <c r="H138" s="52"/>
      <c r="I138" s="52"/>
      <c r="J138" s="52"/>
      <c r="K138" s="52"/>
      <c r="L138" s="69">
        <f>SUM(F138:K138)</f>
        <v>0</v>
      </c>
      <c r="M138" s="69">
        <f>L138/6</f>
        <v>0</v>
      </c>
      <c r="N138" s="52"/>
      <c r="O138" s="52"/>
      <c r="P138" s="52"/>
      <c r="Q138" s="52"/>
      <c r="R138" s="52"/>
      <c r="S138" s="52"/>
      <c r="T138" s="69">
        <f>SUM(N138:S138)</f>
        <v>0</v>
      </c>
      <c r="U138" s="69">
        <f>T138+L138</f>
        <v>0</v>
      </c>
      <c r="V138" s="70"/>
      <c r="W138" s="53">
        <f>V138-U138</f>
        <v>0</v>
      </c>
    </row>
    <row r="139" spans="1:24" s="47" customFormat="1" ht="18.8" customHeight="1">
      <c r="A139" s="610"/>
      <c r="B139" s="581"/>
      <c r="C139" s="583"/>
      <c r="D139" s="174" t="str">
        <f>серпень!D139</f>
        <v>місцевий (план), тис.грн</v>
      </c>
      <c r="E139" s="56"/>
      <c r="F139" s="52">
        <f>43.032-43.032</f>
        <v>0</v>
      </c>
      <c r="G139" s="52">
        <v>95.828999999999994</v>
      </c>
      <c r="H139" s="52">
        <v>55.610999999999997</v>
      </c>
      <c r="I139" s="52">
        <v>57.1</v>
      </c>
      <c r="J139" s="52">
        <v>0</v>
      </c>
      <c r="K139" s="52">
        <v>0</v>
      </c>
      <c r="L139" s="69">
        <f>SUM(F139:K139)</f>
        <v>208.54</v>
      </c>
      <c r="M139" s="69">
        <f>L139/6</f>
        <v>34.756999999999998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192.48599999999999</v>
      </c>
      <c r="T139" s="69">
        <f>SUM(N139:S139)</f>
        <v>192.48599999999999</v>
      </c>
      <c r="U139" s="69">
        <f>T139+L139</f>
        <v>401.02600000000001</v>
      </c>
      <c r="V139" s="70">
        <v>401.02600000000001</v>
      </c>
      <c r="W139" s="53">
        <f>V139-U139</f>
        <v>0</v>
      </c>
    </row>
    <row r="140" spans="1:24" s="47" customFormat="1" ht="13.15" customHeight="1">
      <c r="A140" s="610"/>
      <c r="B140" s="581"/>
      <c r="C140" s="583"/>
      <c r="D140" s="178" t="str">
        <f>серпень!D140</f>
        <v>касові нат.п-ки 2025</v>
      </c>
      <c r="E140" s="11"/>
      <c r="F140" s="38">
        <v>0</v>
      </c>
      <c r="G140" s="38">
        <v>52.9</v>
      </c>
      <c r="H140" s="38">
        <v>52</v>
      </c>
      <c r="I140" s="265">
        <v>27.8</v>
      </c>
      <c r="J140" s="265">
        <v>0</v>
      </c>
      <c r="K140" s="265"/>
      <c r="L140" s="65">
        <f>SUM(F140:K140)</f>
        <v>132.69999999999999</v>
      </c>
      <c r="M140" s="65">
        <f>L140/6</f>
        <v>22.1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f>R135+S135</f>
        <v>116.3</v>
      </c>
      <c r="T140" s="65">
        <f>SUM(N140:S140)</f>
        <v>116.3</v>
      </c>
      <c r="U140" s="65">
        <f>T140+L140</f>
        <v>249</v>
      </c>
      <c r="V140" s="11">
        <f>V135</f>
        <v>242.3</v>
      </c>
      <c r="W140" s="38">
        <f>V140-U140</f>
        <v>-6.7</v>
      </c>
      <c r="X140" s="47">
        <f>U135-U140</f>
        <v>0</v>
      </c>
    </row>
    <row r="141" spans="1:24" s="47" customFormat="1" ht="12.55">
      <c r="A141" s="610"/>
      <c r="B141" s="581"/>
      <c r="C141" s="583"/>
      <c r="D141" s="187" t="str">
        <f>серпень!D141</f>
        <v>тариф, грн.</v>
      </c>
      <c r="E141" s="49" t="e">
        <f t="shared" ref="E141:K141" si="204">E142/E140*1000</f>
        <v>#DIV/0!</v>
      </c>
      <c r="F141" s="49" t="e">
        <f t="shared" si="204"/>
        <v>#DIV/0!</v>
      </c>
      <c r="G141" s="49">
        <f t="shared" si="204"/>
        <v>1654.7829999999999</v>
      </c>
      <c r="H141" s="49">
        <f t="shared" si="204"/>
        <v>1653.942</v>
      </c>
      <c r="I141" s="49">
        <f t="shared" si="204"/>
        <v>1653.453</v>
      </c>
      <c r="J141" s="49" t="e">
        <f t="shared" si="204"/>
        <v>#DIV/0!</v>
      </c>
      <c r="K141" s="49" t="e">
        <f t="shared" si="204"/>
        <v>#DIV/0!</v>
      </c>
      <c r="L141" s="49">
        <f t="shared" ref="L141" si="205">L142/L140*1000</f>
        <v>1654.175</v>
      </c>
      <c r="M141" s="121">
        <f>M142/M140*1000</f>
        <v>1655.43</v>
      </c>
      <c r="N141" s="121">
        <v>1655.08</v>
      </c>
      <c r="O141" s="121">
        <v>1655.08</v>
      </c>
      <c r="P141" s="121">
        <v>1655.08</v>
      </c>
      <c r="Q141" s="121">
        <v>1655.08</v>
      </c>
      <c r="R141" s="121">
        <v>1655.08</v>
      </c>
      <c r="S141" s="49">
        <v>1655.08</v>
      </c>
      <c r="T141" s="121">
        <f>T142/T140*1000</f>
        <v>1655.08</v>
      </c>
      <c r="U141" s="121">
        <f>U142/U140*1000</f>
        <v>1654.6</v>
      </c>
      <c r="V141" s="68">
        <f>V142/V140*1000</f>
        <v>1655.08</v>
      </c>
      <c r="W141" s="14">
        <f>W142/W140*1000</f>
        <v>1637.164</v>
      </c>
    </row>
    <row r="142" spans="1:24" s="63" customFormat="1" ht="17.7" customHeight="1">
      <c r="A142" s="610"/>
      <c r="B142" s="581"/>
      <c r="C142" s="583"/>
      <c r="D142" s="198" t="str">
        <f>серпень!D142</f>
        <v>касові видатки, тис.грн.</v>
      </c>
      <c r="E142" s="71"/>
      <c r="F142" s="61">
        <v>0</v>
      </c>
      <c r="G142" s="61">
        <v>87.537999999999997</v>
      </c>
      <c r="H142" s="61">
        <v>86.004999999999995</v>
      </c>
      <c r="I142" s="61">
        <v>45.966000000000001</v>
      </c>
      <c r="J142" s="61">
        <v>0</v>
      </c>
      <c r="K142" s="61">
        <v>0</v>
      </c>
      <c r="L142" s="61">
        <f>SUM(F142:K142)</f>
        <v>219.50899999999999</v>
      </c>
      <c r="M142" s="61">
        <f>L142/6</f>
        <v>36.585000000000001</v>
      </c>
      <c r="N142" s="61">
        <f>N140*N141/1000</f>
        <v>0</v>
      </c>
      <c r="O142" s="61">
        <f t="shared" ref="O142" si="206">O140*O141/1000</f>
        <v>0</v>
      </c>
      <c r="P142" s="61">
        <f t="shared" ref="P142" si="207">P140*P141/1000</f>
        <v>0</v>
      </c>
      <c r="Q142" s="61">
        <f t="shared" ref="Q142" si="208">Q140*Q141/1000</f>
        <v>0</v>
      </c>
      <c r="R142" s="61">
        <f t="shared" ref="R142" si="209">R140*R141/1000</f>
        <v>0</v>
      </c>
      <c r="S142" s="61">
        <f t="shared" ref="S142" si="210">S140*S141/1000</f>
        <v>192.48599999999999</v>
      </c>
      <c r="T142" s="61">
        <f>SUM(N142:S142)</f>
        <v>192.48599999999999</v>
      </c>
      <c r="U142" s="61">
        <f>T142+L142</f>
        <v>411.995</v>
      </c>
      <c r="V142" s="61">
        <f>V137</f>
        <v>401.02600000000001</v>
      </c>
      <c r="W142" s="72">
        <f>V142-U142</f>
        <v>-10.968999999999999</v>
      </c>
      <c r="X142" s="63">
        <f>U137-U142</f>
        <v>0</v>
      </c>
    </row>
    <row r="143" spans="1:24" s="63" customFormat="1" ht="17.7" customHeight="1">
      <c r="A143" s="610"/>
      <c r="B143" s="581"/>
      <c r="C143" s="583"/>
      <c r="D143" s="201" t="str">
        <f>серпень!D143</f>
        <v>дотація</v>
      </c>
      <c r="E143" s="71"/>
      <c r="F143" s="61">
        <v>0</v>
      </c>
      <c r="G143" s="61">
        <v>0</v>
      </c>
      <c r="H143" s="61">
        <v>0</v>
      </c>
      <c r="I143" s="61">
        <v>0</v>
      </c>
      <c r="J143" s="61">
        <v>0</v>
      </c>
      <c r="K143" s="61">
        <v>0</v>
      </c>
      <c r="L143" s="61">
        <f>SUM(F143:K143)</f>
        <v>0</v>
      </c>
      <c r="M143" s="61">
        <f>L143/6</f>
        <v>0</v>
      </c>
      <c r="N143" s="61">
        <v>0</v>
      </c>
      <c r="O143" s="61">
        <v>0</v>
      </c>
      <c r="P143" s="61">
        <v>0</v>
      </c>
      <c r="Q143" s="61">
        <v>0</v>
      </c>
      <c r="R143" s="61">
        <v>0</v>
      </c>
      <c r="S143" s="61">
        <v>0</v>
      </c>
      <c r="T143" s="61">
        <f>SUM(N143:S143)</f>
        <v>0</v>
      </c>
      <c r="U143" s="61">
        <f>T143+L143</f>
        <v>0</v>
      </c>
      <c r="V143" s="61">
        <f>V138</f>
        <v>0</v>
      </c>
      <c r="W143" s="72">
        <f>V143-U143</f>
        <v>0</v>
      </c>
      <c r="X143" s="63">
        <f>U138-U143</f>
        <v>0</v>
      </c>
    </row>
    <row r="144" spans="1:24" s="63" customFormat="1" ht="17.7" customHeight="1">
      <c r="A144" s="610"/>
      <c r="B144" s="581"/>
      <c r="C144" s="583"/>
      <c r="D144" s="201" t="str">
        <f>серпень!D144</f>
        <v xml:space="preserve">місцевий </v>
      </c>
      <c r="E144" s="71"/>
      <c r="F144" s="61">
        <f t="shared" ref="F144:K144" si="211">F142-F143</f>
        <v>0</v>
      </c>
      <c r="G144" s="61">
        <f t="shared" si="211"/>
        <v>87.537999999999997</v>
      </c>
      <c r="H144" s="61">
        <f t="shared" si="211"/>
        <v>86.004999999999995</v>
      </c>
      <c r="I144" s="61">
        <f t="shared" si="211"/>
        <v>45.966000000000001</v>
      </c>
      <c r="J144" s="61">
        <f t="shared" si="211"/>
        <v>0</v>
      </c>
      <c r="K144" s="61">
        <f t="shared" si="211"/>
        <v>0</v>
      </c>
      <c r="L144" s="61">
        <f>SUM(F144:K144)</f>
        <v>219.50899999999999</v>
      </c>
      <c r="M144" s="61">
        <f>L144/6</f>
        <v>36.585000000000001</v>
      </c>
      <c r="N144" s="61">
        <f t="shared" ref="N144:S144" si="212">N142-N143</f>
        <v>0</v>
      </c>
      <c r="O144" s="61">
        <f t="shared" si="212"/>
        <v>0</v>
      </c>
      <c r="P144" s="61">
        <f t="shared" si="212"/>
        <v>0</v>
      </c>
      <c r="Q144" s="61">
        <f t="shared" si="212"/>
        <v>0</v>
      </c>
      <c r="R144" s="61">
        <f t="shared" si="212"/>
        <v>0</v>
      </c>
      <c r="S144" s="61">
        <f t="shared" si="212"/>
        <v>192.48599999999999</v>
      </c>
      <c r="T144" s="61">
        <f>SUM(N144:S144)</f>
        <v>192.48599999999999</v>
      </c>
      <c r="U144" s="61">
        <f>T144+L144</f>
        <v>411.995</v>
      </c>
      <c r="V144" s="61">
        <f>V139</f>
        <v>401.02600000000001</v>
      </c>
      <c r="W144" s="72">
        <f>V144-U144</f>
        <v>-10.968999999999999</v>
      </c>
      <c r="X144" s="63">
        <f>U139-U144</f>
        <v>-10.968999999999999</v>
      </c>
    </row>
    <row r="145" spans="1:24" s="43" customFormat="1" ht="17.7" customHeight="1">
      <c r="A145" s="610"/>
      <c r="B145" s="581"/>
      <c r="C145" s="583"/>
      <c r="D145" s="202" t="str">
        <f>серпень!D145</f>
        <v>план</v>
      </c>
      <c r="E145" s="42"/>
      <c r="F145" s="42">
        <f t="shared" ref="F145:K145" si="213">F139</f>
        <v>0</v>
      </c>
      <c r="G145" s="42">
        <f t="shared" si="213"/>
        <v>95.828999999999994</v>
      </c>
      <c r="H145" s="42">
        <f t="shared" si="213"/>
        <v>55.610999999999997</v>
      </c>
      <c r="I145" s="42">
        <f t="shared" si="213"/>
        <v>57.1</v>
      </c>
      <c r="J145" s="42">
        <f t="shared" si="213"/>
        <v>0</v>
      </c>
      <c r="K145" s="42">
        <f t="shared" si="213"/>
        <v>0</v>
      </c>
      <c r="L145" s="42">
        <f>SUM(F145:K145)</f>
        <v>208.54</v>
      </c>
      <c r="M145" s="42">
        <f>L145/6</f>
        <v>34.756999999999998</v>
      </c>
      <c r="N145" s="42">
        <f t="shared" ref="N145:S145" si="214">N139+N138</f>
        <v>0</v>
      </c>
      <c r="O145" s="42">
        <f t="shared" si="214"/>
        <v>0</v>
      </c>
      <c r="P145" s="42">
        <f t="shared" si="214"/>
        <v>0</v>
      </c>
      <c r="Q145" s="42">
        <f t="shared" si="214"/>
        <v>0</v>
      </c>
      <c r="R145" s="42">
        <f t="shared" si="214"/>
        <v>0</v>
      </c>
      <c r="S145" s="42">
        <f t="shared" si="214"/>
        <v>192.48599999999999</v>
      </c>
      <c r="T145" s="42">
        <f>SUM(N145:S145)</f>
        <v>192.48599999999999</v>
      </c>
      <c r="U145" s="42">
        <f>T145+L145</f>
        <v>401.02600000000001</v>
      </c>
      <c r="V145" s="42">
        <f>V142</f>
        <v>401.02600000000001</v>
      </c>
      <c r="W145" s="42">
        <f>V145-U145</f>
        <v>0</v>
      </c>
    </row>
    <row r="146" spans="1:24" s="43" customFormat="1" ht="17.7" customHeight="1">
      <c r="A146" s="610"/>
      <c r="B146" s="581"/>
      <c r="C146" s="583"/>
      <c r="D146" s="202" t="str">
        <f>серпень!D146</f>
        <v xml:space="preserve">відхилення </v>
      </c>
      <c r="E146" s="42"/>
      <c r="F146" s="42">
        <f t="shared" ref="F146:K146" si="215">F142-F145</f>
        <v>0</v>
      </c>
      <c r="G146" s="42">
        <f t="shared" si="215"/>
        <v>-8.2910000000000004</v>
      </c>
      <c r="H146" s="42">
        <f t="shared" si="215"/>
        <v>30.393999999999998</v>
      </c>
      <c r="I146" s="42">
        <f t="shared" si="215"/>
        <v>-11.134</v>
      </c>
      <c r="J146" s="42">
        <f t="shared" si="215"/>
        <v>0</v>
      </c>
      <c r="K146" s="42">
        <f t="shared" si="215"/>
        <v>0</v>
      </c>
      <c r="L146" s="42"/>
      <c r="M146" s="42"/>
      <c r="N146" s="42">
        <f t="shared" ref="N146:S146" si="216">N142-N145</f>
        <v>0</v>
      </c>
      <c r="O146" s="42">
        <f t="shared" si="216"/>
        <v>0</v>
      </c>
      <c r="P146" s="42">
        <f t="shared" si="216"/>
        <v>0</v>
      </c>
      <c r="Q146" s="42">
        <f t="shared" si="216"/>
        <v>0</v>
      </c>
      <c r="R146" s="42">
        <f t="shared" si="216"/>
        <v>0</v>
      </c>
      <c r="S146" s="42">
        <f t="shared" si="216"/>
        <v>0</v>
      </c>
      <c r="T146" s="42"/>
      <c r="U146" s="42"/>
      <c r="V146" s="42"/>
      <c r="W146" s="42"/>
    </row>
    <row r="147" spans="1:24" s="43" customFormat="1" ht="17.7" customHeight="1">
      <c r="A147" s="610"/>
      <c r="B147" s="581"/>
      <c r="C147" s="584"/>
      <c r="D147" s="202" t="str">
        <f>серпень!D147</f>
        <v>відхилення з наростаючим</v>
      </c>
      <c r="E147" s="42"/>
      <c r="F147" s="42">
        <f>F146</f>
        <v>0</v>
      </c>
      <c r="G147" s="42">
        <f>G146+F147</f>
        <v>-8.2910000000000004</v>
      </c>
      <c r="H147" s="42">
        <f>H146+G147</f>
        <v>22.103000000000002</v>
      </c>
      <c r="I147" s="42">
        <f>I146+H147</f>
        <v>10.968999999999999</v>
      </c>
      <c r="J147" s="42">
        <f>J146+I147</f>
        <v>10.968999999999999</v>
      </c>
      <c r="K147" s="42">
        <f>K146+J147</f>
        <v>10.968999999999999</v>
      </c>
      <c r="L147" s="42"/>
      <c r="M147" s="42"/>
      <c r="N147" s="42">
        <f>N146+K147</f>
        <v>10.968999999999999</v>
      </c>
      <c r="O147" s="42">
        <f>O146+N147</f>
        <v>10.968999999999999</v>
      </c>
      <c r="P147" s="42">
        <f>P146+O147</f>
        <v>10.968999999999999</v>
      </c>
      <c r="Q147" s="42">
        <f>Q146+P147</f>
        <v>10.968999999999999</v>
      </c>
      <c r="R147" s="42">
        <f>R146+Q147</f>
        <v>10.968999999999999</v>
      </c>
      <c r="S147" s="42">
        <f>S146+R147</f>
        <v>10.968999999999999</v>
      </c>
      <c r="T147" s="42"/>
      <c r="U147" s="42"/>
      <c r="V147" s="42"/>
      <c r="W147" s="42"/>
    </row>
    <row r="148" spans="1:24" s="43" customFormat="1" ht="16.3" customHeight="1">
      <c r="A148" s="610"/>
      <c r="B148" s="581"/>
      <c r="C148" s="582" t="s">
        <v>96</v>
      </c>
      <c r="D148" s="178" t="str">
        <f>серпень!D148</f>
        <v>факт. нат.п-ки 2023</v>
      </c>
      <c r="E148" s="179"/>
      <c r="F148" s="184"/>
      <c r="G148" s="184"/>
      <c r="H148" s="179"/>
      <c r="I148" s="179"/>
      <c r="J148" s="179"/>
      <c r="K148" s="179"/>
      <c r="L148" s="215">
        <f>SUM(F148:K148)</f>
        <v>0</v>
      </c>
      <c r="M148" s="215">
        <f>L148/6</f>
        <v>0</v>
      </c>
      <c r="N148" s="179"/>
      <c r="O148" s="179"/>
      <c r="P148" s="179"/>
      <c r="Q148" s="179"/>
      <c r="R148" s="179"/>
      <c r="S148" s="179"/>
      <c r="T148" s="215">
        <f>SUM(N148:S148)</f>
        <v>0</v>
      </c>
      <c r="U148" s="215">
        <f>T148+L148</f>
        <v>0</v>
      </c>
      <c r="V148" s="179"/>
      <c r="W148" s="184"/>
    </row>
    <row r="149" spans="1:24" s="43" customFormat="1" ht="16.3" customHeight="1">
      <c r="A149" s="610"/>
      <c r="B149" s="581"/>
      <c r="C149" s="583"/>
      <c r="D149" s="178" t="str">
        <f>серпень!D149</f>
        <v>факт. нат.п-ки 2024</v>
      </c>
      <c r="E149" s="179"/>
      <c r="F149" s="184"/>
      <c r="G149" s="184"/>
      <c r="H149" s="179"/>
      <c r="I149" s="179"/>
      <c r="J149" s="179"/>
      <c r="K149" s="179"/>
      <c r="L149" s="215">
        <f>SUM(F149:K149)</f>
        <v>0</v>
      </c>
      <c r="M149" s="215">
        <f>L149/6</f>
        <v>0</v>
      </c>
      <c r="N149" s="179"/>
      <c r="O149" s="179"/>
      <c r="P149" s="179"/>
      <c r="Q149" s="179"/>
      <c r="R149" s="179"/>
      <c r="S149" s="179"/>
      <c r="T149" s="215">
        <f>SUM(N149:S149)</f>
        <v>0</v>
      </c>
      <c r="U149" s="215">
        <f>T149+L149</f>
        <v>0</v>
      </c>
      <c r="V149" s="179">
        <v>12</v>
      </c>
      <c r="W149" s="184"/>
    </row>
    <row r="150" spans="1:24" s="43" customFormat="1" ht="16.3" customHeight="1">
      <c r="A150" s="610"/>
      <c r="B150" s="581"/>
      <c r="C150" s="583"/>
      <c r="D150" s="178" t="str">
        <f>серпень!D150</f>
        <v>факт. нат.п-ки 2025</v>
      </c>
      <c r="E150" s="179"/>
      <c r="F150" s="320">
        <v>1</v>
      </c>
      <c r="G150" s="320">
        <v>1</v>
      </c>
      <c r="H150" s="320">
        <v>1</v>
      </c>
      <c r="I150" s="320">
        <v>1</v>
      </c>
      <c r="J150" s="320">
        <v>1</v>
      </c>
      <c r="K150" s="397">
        <v>1</v>
      </c>
      <c r="L150" s="262">
        <f>SUM(F150:K150)</f>
        <v>6</v>
      </c>
      <c r="M150" s="215">
        <f>L150/6</f>
        <v>1</v>
      </c>
      <c r="N150" s="397">
        <v>1</v>
      </c>
      <c r="O150" s="397">
        <v>1</v>
      </c>
      <c r="P150" s="397">
        <v>1</v>
      </c>
      <c r="Q150" s="397">
        <v>1</v>
      </c>
      <c r="R150" s="397">
        <v>1</v>
      </c>
      <c r="S150" s="397">
        <v>1</v>
      </c>
      <c r="T150" s="215">
        <f>SUM(N150:S150)</f>
        <v>6</v>
      </c>
      <c r="U150" s="215">
        <f>T150+L150</f>
        <v>12</v>
      </c>
      <c r="V150" s="179"/>
      <c r="W150" s="184">
        <f>U150-V150</f>
        <v>12</v>
      </c>
    </row>
    <row r="151" spans="1:24" s="43" customFormat="1" ht="16.3" customHeight="1">
      <c r="A151" s="610"/>
      <c r="B151" s="581"/>
      <c r="C151" s="583"/>
      <c r="D151" s="187" t="str">
        <f>серпень!D151</f>
        <v>тариф, грн.</v>
      </c>
      <c r="E151" s="188" t="e">
        <f t="shared" ref="E151" si="217">E152/E150*1000</f>
        <v>#DIV/0!</v>
      </c>
      <c r="F151" s="188">
        <v>24</v>
      </c>
      <c r="G151" s="188">
        <v>24</v>
      </c>
      <c r="H151" s="188">
        <v>24</v>
      </c>
      <c r="I151" s="188">
        <v>24</v>
      </c>
      <c r="J151" s="188">
        <v>24</v>
      </c>
      <c r="K151" s="188">
        <v>24</v>
      </c>
      <c r="L151" s="217">
        <f>L152/L150*1000</f>
        <v>24</v>
      </c>
      <c r="M151" s="217">
        <f>M152/M150*1000</f>
        <v>24</v>
      </c>
      <c r="N151" s="217">
        <v>24</v>
      </c>
      <c r="O151" s="217">
        <v>24</v>
      </c>
      <c r="P151" s="217">
        <v>24</v>
      </c>
      <c r="Q151" s="217">
        <v>24</v>
      </c>
      <c r="R151" s="217">
        <v>24</v>
      </c>
      <c r="S151" s="217">
        <v>24</v>
      </c>
      <c r="T151" s="217">
        <f>T152/T150*1000</f>
        <v>24</v>
      </c>
      <c r="U151" s="217">
        <f>U152/U150*1000</f>
        <v>24</v>
      </c>
      <c r="V151" s="218" t="e">
        <f>V152/V150*1000</f>
        <v>#DIV/0!</v>
      </c>
      <c r="W151" s="219">
        <f>W152/W150*1000</f>
        <v>0</v>
      </c>
    </row>
    <row r="152" spans="1:24" s="43" customFormat="1" ht="16.3" customHeight="1">
      <c r="A152" s="610"/>
      <c r="B152" s="581"/>
      <c r="C152" s="583"/>
      <c r="D152" s="191" t="str">
        <f>серпень!D152</f>
        <v>сума, тис.грн.</v>
      </c>
      <c r="E152" s="192"/>
      <c r="F152" s="192">
        <v>2.4E-2</v>
      </c>
      <c r="G152" s="192">
        <v>2.4E-2</v>
      </c>
      <c r="H152" s="192">
        <f t="shared" ref="H152:K152" si="218">H150*H151/1000</f>
        <v>2.4E-2</v>
      </c>
      <c r="I152" s="192">
        <f t="shared" si="218"/>
        <v>2.4E-2</v>
      </c>
      <c r="J152" s="192">
        <f t="shared" si="218"/>
        <v>2.4E-2</v>
      </c>
      <c r="K152" s="192">
        <f t="shared" si="218"/>
        <v>2.4E-2</v>
      </c>
      <c r="L152" s="194">
        <f>SUM(F152:K152)</f>
        <v>0.14399999999999999</v>
      </c>
      <c r="M152" s="194">
        <f>L152/6</f>
        <v>2.4E-2</v>
      </c>
      <c r="N152" s="192">
        <f>N150*N151/1000</f>
        <v>2.4E-2</v>
      </c>
      <c r="O152" s="192">
        <f t="shared" ref="O152" si="219">O150*O151/1000</f>
        <v>2.4E-2</v>
      </c>
      <c r="P152" s="192">
        <f t="shared" ref="P152" si="220">P150*P151/1000</f>
        <v>2.4E-2</v>
      </c>
      <c r="Q152" s="192">
        <f t="shared" ref="Q152" si="221">Q150*Q151/1000</f>
        <v>2.4E-2</v>
      </c>
      <c r="R152" s="192">
        <f t="shared" ref="R152" si="222">R150*R151/1000</f>
        <v>2.4E-2</v>
      </c>
      <c r="S152" s="192">
        <f t="shared" ref="S152" si="223">S150*S151/1000</f>
        <v>2.4E-2</v>
      </c>
      <c r="T152" s="194">
        <f>SUM(N152:S152)</f>
        <v>0.14399999999999999</v>
      </c>
      <c r="U152" s="194">
        <f>T152+L152</f>
        <v>0.28799999999999998</v>
      </c>
      <c r="V152" s="171">
        <f>V153+V154</f>
        <v>0.28799999999999998</v>
      </c>
      <c r="W152" s="192">
        <f>V152-U152</f>
        <v>0</v>
      </c>
    </row>
    <row r="153" spans="1:24" s="43" customFormat="1" ht="16.3" customHeight="1">
      <c r="A153" s="610"/>
      <c r="B153" s="581"/>
      <c r="C153" s="583"/>
      <c r="D153" s="174" t="str">
        <f>серпень!D153</f>
        <v>дотація</v>
      </c>
      <c r="E153" s="210"/>
      <c r="F153" s="192"/>
      <c r="G153" s="192"/>
      <c r="H153" s="192"/>
      <c r="I153" s="192"/>
      <c r="J153" s="192"/>
      <c r="K153" s="192"/>
      <c r="L153" s="194">
        <f>SUM(F153:K153)</f>
        <v>0</v>
      </c>
      <c r="M153" s="194">
        <f>L153/6</f>
        <v>0</v>
      </c>
      <c r="N153" s="192"/>
      <c r="O153" s="192"/>
      <c r="P153" s="192"/>
      <c r="Q153" s="192"/>
      <c r="R153" s="192"/>
      <c r="S153" s="192"/>
      <c r="T153" s="194">
        <f>SUM(N153:S153)</f>
        <v>0</v>
      </c>
      <c r="U153" s="194">
        <f>T153+L153</f>
        <v>0</v>
      </c>
      <c r="V153" s="171"/>
      <c r="W153" s="192">
        <f>V153-U153</f>
        <v>0</v>
      </c>
    </row>
    <row r="154" spans="1:24" s="43" customFormat="1" ht="16.3" customHeight="1">
      <c r="A154" s="610"/>
      <c r="B154" s="581"/>
      <c r="C154" s="583"/>
      <c r="D154" s="174" t="str">
        <f>серпень!D154</f>
        <v>місцевий (план), тис.грн</v>
      </c>
      <c r="E154" s="210"/>
      <c r="F154" s="192">
        <f>0.024-0.024</f>
        <v>0</v>
      </c>
      <c r="G154" s="192">
        <f>0.024</f>
        <v>2.4E-2</v>
      </c>
      <c r="H154" s="192">
        <v>2.4E-2</v>
      </c>
      <c r="I154" s="192">
        <v>2.4E-2</v>
      </c>
      <c r="J154" s="192">
        <v>2.4E-2</v>
      </c>
      <c r="K154" s="192">
        <v>2.4E-2</v>
      </c>
      <c r="L154" s="194">
        <f>SUM(F154:K154)</f>
        <v>0.12</v>
      </c>
      <c r="M154" s="194">
        <f>L154/6</f>
        <v>0.02</v>
      </c>
      <c r="N154" s="192">
        <v>2.4E-2</v>
      </c>
      <c r="O154" s="192">
        <v>2.4E-2</v>
      </c>
      <c r="P154" s="192">
        <v>2.4E-2</v>
      </c>
      <c r="Q154" s="192">
        <v>2.4E-2</v>
      </c>
      <c r="R154" s="192">
        <v>2.4E-2</v>
      </c>
      <c r="S154" s="192">
        <f>0.024+0.024</f>
        <v>4.8000000000000001E-2</v>
      </c>
      <c r="T154" s="194">
        <f>SUM(N154:S154)</f>
        <v>0.16800000000000001</v>
      </c>
      <c r="U154" s="194">
        <f>T154+L154</f>
        <v>0.28799999999999998</v>
      </c>
      <c r="V154" s="171">
        <f>0.576-0.288</f>
        <v>0.28799999999999998</v>
      </c>
      <c r="W154" s="192">
        <f>V154-U154</f>
        <v>0</v>
      </c>
    </row>
    <row r="155" spans="1:24" s="43" customFormat="1" ht="16.3" customHeight="1">
      <c r="A155" s="610"/>
      <c r="B155" s="581"/>
      <c r="C155" s="583"/>
      <c r="D155" s="178" t="str">
        <f>серпень!D155</f>
        <v>касові нат.п-ки 2025</v>
      </c>
      <c r="E155" s="179"/>
      <c r="F155" s="184"/>
      <c r="G155" s="398">
        <v>1</v>
      </c>
      <c r="H155" s="398">
        <v>1</v>
      </c>
      <c r="I155" s="398">
        <v>1</v>
      </c>
      <c r="J155" s="398">
        <v>1</v>
      </c>
      <c r="K155" s="398">
        <v>1</v>
      </c>
      <c r="L155" s="262">
        <f>SUM(F155:K155)</f>
        <v>5</v>
      </c>
      <c r="M155" s="215">
        <f>L155/6</f>
        <v>0.8</v>
      </c>
      <c r="N155" s="397">
        <v>1</v>
      </c>
      <c r="O155" s="397">
        <v>1</v>
      </c>
      <c r="P155" s="397">
        <v>1</v>
      </c>
      <c r="Q155" s="397">
        <v>1</v>
      </c>
      <c r="R155" s="397">
        <v>1</v>
      </c>
      <c r="S155" s="397">
        <v>2</v>
      </c>
      <c r="T155" s="215">
        <f>SUM(N155:S155)</f>
        <v>7</v>
      </c>
      <c r="U155" s="215">
        <f>T155+L155</f>
        <v>12</v>
      </c>
      <c r="V155" s="179">
        <v>12</v>
      </c>
      <c r="W155" s="184">
        <f>V155-U155</f>
        <v>0</v>
      </c>
      <c r="X155" s="47">
        <f>U150-U155</f>
        <v>0</v>
      </c>
    </row>
    <row r="156" spans="1:24" s="43" customFormat="1" ht="16.3" customHeight="1">
      <c r="A156" s="610"/>
      <c r="B156" s="581"/>
      <c r="C156" s="583"/>
      <c r="D156" s="187" t="str">
        <f>серпень!D156</f>
        <v>тариф, грн.</v>
      </c>
      <c r="E156" s="188" t="e">
        <f t="shared" ref="E156:H156" si="224">E157/E155*1000</f>
        <v>#DIV/0!</v>
      </c>
      <c r="F156" s="188" t="e">
        <f t="shared" si="224"/>
        <v>#DIV/0!</v>
      </c>
      <c r="G156" s="188">
        <f t="shared" si="224"/>
        <v>24</v>
      </c>
      <c r="H156" s="188">
        <f t="shared" si="224"/>
        <v>24</v>
      </c>
      <c r="I156" s="188">
        <v>24</v>
      </c>
      <c r="J156" s="188">
        <v>24</v>
      </c>
      <c r="K156" s="188">
        <v>24</v>
      </c>
      <c r="L156" s="217">
        <f>L157/L155*1000</f>
        <v>24</v>
      </c>
      <c r="M156" s="217">
        <f>M157/M155*1000</f>
        <v>25</v>
      </c>
      <c r="N156" s="217">
        <v>24</v>
      </c>
      <c r="O156" s="188">
        <v>24</v>
      </c>
      <c r="P156" s="188">
        <v>24</v>
      </c>
      <c r="Q156" s="188">
        <v>24</v>
      </c>
      <c r="R156" s="188">
        <v>24</v>
      </c>
      <c r="S156" s="188">
        <v>24</v>
      </c>
      <c r="T156" s="217">
        <f>T157/T155*1000</f>
        <v>24</v>
      </c>
      <c r="U156" s="217">
        <f>U157/U155*1000</f>
        <v>24</v>
      </c>
      <c r="V156" s="218">
        <f>V157/V155*1000</f>
        <v>24</v>
      </c>
      <c r="W156" s="219" t="e">
        <f>W157/W155*1000</f>
        <v>#DIV/0!</v>
      </c>
      <c r="X156" s="47"/>
    </row>
    <row r="157" spans="1:24" s="43" customFormat="1" ht="16.3" customHeight="1">
      <c r="A157" s="610"/>
      <c r="B157" s="581"/>
      <c r="C157" s="583"/>
      <c r="D157" s="198" t="str">
        <f>серпень!D157</f>
        <v>касові видатки, тис.грн.</v>
      </c>
      <c r="E157" s="220"/>
      <c r="F157" s="199">
        <v>0</v>
      </c>
      <c r="G157" s="199">
        <v>2.4E-2</v>
      </c>
      <c r="H157" s="199">
        <v>2.4E-2</v>
      </c>
      <c r="I157" s="199">
        <f t="shared" ref="I157:K157" si="225">I155*I156/1000</f>
        <v>2.4E-2</v>
      </c>
      <c r="J157" s="199">
        <f t="shared" si="225"/>
        <v>2.4E-2</v>
      </c>
      <c r="K157" s="199">
        <f t="shared" si="225"/>
        <v>2.4E-2</v>
      </c>
      <c r="L157" s="199">
        <f>SUM(F157:K157)</f>
        <v>0.12</v>
      </c>
      <c r="M157" s="199">
        <f>L157/6</f>
        <v>0.02</v>
      </c>
      <c r="N157" s="199">
        <f>N155*N156/1000</f>
        <v>2.4E-2</v>
      </c>
      <c r="O157" s="199">
        <f t="shared" ref="O157" si="226">O155*O156/1000</f>
        <v>2.4E-2</v>
      </c>
      <c r="P157" s="199">
        <f t="shared" ref="P157" si="227">P155*P156/1000</f>
        <v>2.4E-2</v>
      </c>
      <c r="Q157" s="199">
        <f t="shared" ref="Q157" si="228">Q155*Q156/1000</f>
        <v>2.4E-2</v>
      </c>
      <c r="R157" s="199">
        <f t="shared" ref="R157" si="229">R155*R156/1000</f>
        <v>2.4E-2</v>
      </c>
      <c r="S157" s="199">
        <f t="shared" ref="S157" si="230">S155*S156/1000</f>
        <v>4.8000000000000001E-2</v>
      </c>
      <c r="T157" s="199">
        <f>SUM(N157:S157)</f>
        <v>0.16800000000000001</v>
      </c>
      <c r="U157" s="199">
        <f>T157+L157</f>
        <v>0.28799999999999998</v>
      </c>
      <c r="V157" s="199">
        <f>V152</f>
        <v>0.28799999999999998</v>
      </c>
      <c r="W157" s="221">
        <f>V157-U157</f>
        <v>0</v>
      </c>
      <c r="X157" s="63">
        <f>U152-U157</f>
        <v>0</v>
      </c>
    </row>
    <row r="158" spans="1:24" s="43" customFormat="1" ht="16.3" customHeight="1">
      <c r="A158" s="610"/>
      <c r="B158" s="581"/>
      <c r="C158" s="583"/>
      <c r="D158" s="201" t="str">
        <f>серпень!D158</f>
        <v>дотація</v>
      </c>
      <c r="E158" s="220"/>
      <c r="F158" s="61">
        <v>0</v>
      </c>
      <c r="G158" s="61">
        <v>0</v>
      </c>
      <c r="H158" s="61">
        <v>0</v>
      </c>
      <c r="I158" s="61">
        <v>0</v>
      </c>
      <c r="J158" s="61">
        <v>0</v>
      </c>
      <c r="K158" s="61">
        <v>0</v>
      </c>
      <c r="L158" s="199">
        <f>SUM(F158:K158)</f>
        <v>0</v>
      </c>
      <c r="M158" s="199">
        <f>L158/6</f>
        <v>0</v>
      </c>
      <c r="N158" s="61">
        <v>0</v>
      </c>
      <c r="O158" s="61">
        <v>0</v>
      </c>
      <c r="P158" s="61">
        <v>0</v>
      </c>
      <c r="Q158" s="61">
        <v>0</v>
      </c>
      <c r="R158" s="61">
        <v>0</v>
      </c>
      <c r="S158" s="61">
        <v>0</v>
      </c>
      <c r="T158" s="199">
        <f>SUM(N158:S158)</f>
        <v>0</v>
      </c>
      <c r="U158" s="199">
        <f>T158+L158</f>
        <v>0</v>
      </c>
      <c r="V158" s="199">
        <f>V153</f>
        <v>0</v>
      </c>
      <c r="W158" s="221">
        <f>V158-U158</f>
        <v>0</v>
      </c>
      <c r="X158" s="63">
        <f>U153-U158</f>
        <v>0</v>
      </c>
    </row>
    <row r="159" spans="1:24" s="43" customFormat="1" ht="16.3" customHeight="1">
      <c r="A159" s="610"/>
      <c r="B159" s="581"/>
      <c r="C159" s="583"/>
      <c r="D159" s="201" t="str">
        <f>серпень!D159</f>
        <v xml:space="preserve">місцевий </v>
      </c>
      <c r="E159" s="220"/>
      <c r="F159" s="61">
        <f t="shared" ref="F159:K159" si="231">F157-F158</f>
        <v>0</v>
      </c>
      <c r="G159" s="61">
        <f t="shared" si="231"/>
        <v>2.4E-2</v>
      </c>
      <c r="H159" s="61">
        <f t="shared" si="231"/>
        <v>2.4E-2</v>
      </c>
      <c r="I159" s="61">
        <f t="shared" si="231"/>
        <v>2.4E-2</v>
      </c>
      <c r="J159" s="61">
        <f t="shared" si="231"/>
        <v>2.4E-2</v>
      </c>
      <c r="K159" s="61">
        <f t="shared" si="231"/>
        <v>2.4E-2</v>
      </c>
      <c r="L159" s="199">
        <f>SUM(F159:K159)</f>
        <v>0.12</v>
      </c>
      <c r="M159" s="199">
        <f>L159/6</f>
        <v>0.02</v>
      </c>
      <c r="N159" s="61">
        <f t="shared" ref="N159:S159" si="232">N157-N158</f>
        <v>2.4E-2</v>
      </c>
      <c r="O159" s="61">
        <f t="shared" si="232"/>
        <v>2.4E-2</v>
      </c>
      <c r="P159" s="61">
        <f t="shared" si="232"/>
        <v>2.4E-2</v>
      </c>
      <c r="Q159" s="61">
        <f t="shared" si="232"/>
        <v>2.4E-2</v>
      </c>
      <c r="R159" s="61">
        <f t="shared" si="232"/>
        <v>2.4E-2</v>
      </c>
      <c r="S159" s="61">
        <f t="shared" si="232"/>
        <v>4.8000000000000001E-2</v>
      </c>
      <c r="T159" s="199">
        <f>SUM(N159:S159)</f>
        <v>0.16800000000000001</v>
      </c>
      <c r="U159" s="199">
        <f>T159+L159</f>
        <v>0.28799999999999998</v>
      </c>
      <c r="V159" s="199">
        <f>V154</f>
        <v>0.28799999999999998</v>
      </c>
      <c r="W159" s="221">
        <f>V159-U159</f>
        <v>0</v>
      </c>
      <c r="X159" s="63">
        <f>U154-U159</f>
        <v>0</v>
      </c>
    </row>
    <row r="160" spans="1:24" s="43" customFormat="1" ht="16.3" customHeight="1">
      <c r="A160" s="610"/>
      <c r="B160" s="581"/>
      <c r="C160" s="583"/>
      <c r="D160" s="202" t="str">
        <f>серпень!D160</f>
        <v>план</v>
      </c>
      <c r="E160" s="203"/>
      <c r="F160" s="203">
        <f t="shared" ref="F160:K160" si="233">F153+F154</f>
        <v>0</v>
      </c>
      <c r="G160" s="203">
        <f t="shared" si="233"/>
        <v>2.4E-2</v>
      </c>
      <c r="H160" s="203">
        <f t="shared" si="233"/>
        <v>2.4E-2</v>
      </c>
      <c r="I160" s="203">
        <f t="shared" si="233"/>
        <v>2.4E-2</v>
      </c>
      <c r="J160" s="203">
        <f t="shared" si="233"/>
        <v>2.4E-2</v>
      </c>
      <c r="K160" s="203">
        <f t="shared" si="233"/>
        <v>2.4E-2</v>
      </c>
      <c r="L160" s="203">
        <f>SUM(F160:K160)</f>
        <v>0.12</v>
      </c>
      <c r="M160" s="203">
        <f>L160/6</f>
        <v>0.02</v>
      </c>
      <c r="N160" s="203">
        <f t="shared" ref="N160:S160" si="234">N154+N153</f>
        <v>2.4E-2</v>
      </c>
      <c r="O160" s="203">
        <f t="shared" si="234"/>
        <v>2.4E-2</v>
      </c>
      <c r="P160" s="203">
        <f t="shared" si="234"/>
        <v>2.4E-2</v>
      </c>
      <c r="Q160" s="203">
        <f t="shared" si="234"/>
        <v>2.4E-2</v>
      </c>
      <c r="R160" s="203">
        <f t="shared" si="234"/>
        <v>2.4E-2</v>
      </c>
      <c r="S160" s="203">
        <f t="shared" si="234"/>
        <v>4.8000000000000001E-2</v>
      </c>
      <c r="T160" s="203">
        <f>SUM(N160:S160)</f>
        <v>0.16800000000000001</v>
      </c>
      <c r="U160" s="203">
        <f>T160+L160</f>
        <v>0.28799999999999998</v>
      </c>
      <c r="V160" s="203">
        <f>V157</f>
        <v>0.28799999999999998</v>
      </c>
      <c r="W160" s="203">
        <f>V160-U160</f>
        <v>0</v>
      </c>
    </row>
    <row r="161" spans="1:24" s="43" customFormat="1" ht="16.3" customHeight="1">
      <c r="A161" s="610"/>
      <c r="B161" s="581"/>
      <c r="C161" s="583"/>
      <c r="D161" s="202" t="str">
        <f>серпень!D161</f>
        <v xml:space="preserve">відхилення </v>
      </c>
      <c r="E161" s="203"/>
      <c r="F161" s="203">
        <f t="shared" ref="F161:K161" si="235">F157-F160</f>
        <v>0</v>
      </c>
      <c r="G161" s="203">
        <f t="shared" si="235"/>
        <v>0</v>
      </c>
      <c r="H161" s="203">
        <f t="shared" si="235"/>
        <v>0</v>
      </c>
      <c r="I161" s="203">
        <f t="shared" si="235"/>
        <v>0</v>
      </c>
      <c r="J161" s="203">
        <f t="shared" si="235"/>
        <v>0</v>
      </c>
      <c r="K161" s="203">
        <f t="shared" si="235"/>
        <v>0</v>
      </c>
      <c r="L161" s="203"/>
      <c r="M161" s="203"/>
      <c r="N161" s="203">
        <f t="shared" ref="N161:S161" si="236">N157-N160</f>
        <v>0</v>
      </c>
      <c r="O161" s="203">
        <f t="shared" si="236"/>
        <v>0</v>
      </c>
      <c r="P161" s="203">
        <f t="shared" si="236"/>
        <v>0</v>
      </c>
      <c r="Q161" s="203">
        <f t="shared" si="236"/>
        <v>0</v>
      </c>
      <c r="R161" s="203">
        <f t="shared" si="236"/>
        <v>0</v>
      </c>
      <c r="S161" s="203">
        <f t="shared" si="236"/>
        <v>0</v>
      </c>
      <c r="T161" s="203"/>
      <c r="U161" s="203"/>
      <c r="V161" s="203"/>
      <c r="W161" s="203"/>
    </row>
    <row r="162" spans="1:24" s="43" customFormat="1" ht="16.3" customHeight="1">
      <c r="A162" s="610"/>
      <c r="B162" s="581"/>
      <c r="C162" s="584"/>
      <c r="D162" s="202" t="str">
        <f>серпень!D162</f>
        <v>відхилення з наростаючим</v>
      </c>
      <c r="E162" s="203"/>
      <c r="F162" s="203">
        <f>F161</f>
        <v>0</v>
      </c>
      <c r="G162" s="203">
        <f>G161+F162</f>
        <v>0</v>
      </c>
      <c r="H162" s="203">
        <f>H161+G162</f>
        <v>0</v>
      </c>
      <c r="I162" s="203">
        <f>I161+H162</f>
        <v>0</v>
      </c>
      <c r="J162" s="203">
        <f>J161+I162</f>
        <v>0</v>
      </c>
      <c r="K162" s="203">
        <f>K161+J162</f>
        <v>0</v>
      </c>
      <c r="L162" s="203"/>
      <c r="M162" s="203"/>
      <c r="N162" s="203">
        <f>N161+K162</f>
        <v>0</v>
      </c>
      <c r="O162" s="203">
        <f>O161+N162</f>
        <v>0</v>
      </c>
      <c r="P162" s="203">
        <f>P161+O162</f>
        <v>0</v>
      </c>
      <c r="Q162" s="203">
        <f>Q161+P162</f>
        <v>0</v>
      </c>
      <c r="R162" s="203">
        <f>R161+Q162</f>
        <v>0</v>
      </c>
      <c r="S162" s="203">
        <f>S161+R162</f>
        <v>0</v>
      </c>
      <c r="T162" s="203"/>
      <c r="U162" s="203"/>
      <c r="V162" s="203"/>
      <c r="W162" s="203"/>
    </row>
    <row r="163" spans="1:24" s="48" customFormat="1" ht="23.35" hidden="1" customHeight="1">
      <c r="A163" s="610"/>
      <c r="B163" s="576" t="s">
        <v>61</v>
      </c>
      <c r="C163" s="577"/>
      <c r="D163" s="178" t="str">
        <f>серпень!D163</f>
        <v>факт. нат.п-ки 2023</v>
      </c>
      <c r="E163" s="11"/>
      <c r="F163" s="12">
        <f t="shared" ref="F163:K165" si="237">F178+F193</f>
        <v>0</v>
      </c>
      <c r="G163" s="12">
        <f t="shared" si="237"/>
        <v>0</v>
      </c>
      <c r="H163" s="12">
        <f t="shared" si="237"/>
        <v>0</v>
      </c>
      <c r="I163" s="12">
        <f t="shared" si="237"/>
        <v>0</v>
      </c>
      <c r="J163" s="12">
        <f t="shared" si="237"/>
        <v>0</v>
      </c>
      <c r="K163" s="12">
        <f t="shared" si="237"/>
        <v>0</v>
      </c>
      <c r="L163" s="44">
        <f>SUM(F163:K163)</f>
        <v>0</v>
      </c>
      <c r="M163" s="44">
        <f>L163/6</f>
        <v>0</v>
      </c>
      <c r="N163" s="12">
        <f t="shared" ref="N163:S165" si="238">N178+N193</f>
        <v>0</v>
      </c>
      <c r="O163" s="12">
        <f t="shared" si="238"/>
        <v>0</v>
      </c>
      <c r="P163" s="12">
        <f t="shared" si="238"/>
        <v>0</v>
      </c>
      <c r="Q163" s="12">
        <f t="shared" si="238"/>
        <v>0</v>
      </c>
      <c r="R163" s="12">
        <f t="shared" si="238"/>
        <v>0</v>
      </c>
      <c r="S163" s="12">
        <f t="shared" si="238"/>
        <v>0</v>
      </c>
      <c r="T163" s="44">
        <f>SUM(N163:S163)</f>
        <v>0</v>
      </c>
      <c r="U163" s="45">
        <f>T163+L163</f>
        <v>0</v>
      </c>
      <c r="V163" s="46">
        <f>V178+V193</f>
        <v>0</v>
      </c>
      <c r="W163" s="38">
        <f>V163-U163</f>
        <v>0</v>
      </c>
      <c r="X163" s="47"/>
    </row>
    <row r="164" spans="1:24" s="48" customFormat="1" ht="23.35" hidden="1" customHeight="1">
      <c r="A164" s="610"/>
      <c r="B164" s="576"/>
      <c r="C164" s="577"/>
      <c r="D164" s="178" t="str">
        <f>серпень!D164</f>
        <v>факт. нат.п-ки 2024</v>
      </c>
      <c r="E164" s="11"/>
      <c r="F164" s="12">
        <f t="shared" si="237"/>
        <v>0</v>
      </c>
      <c r="G164" s="12">
        <f t="shared" si="237"/>
        <v>0</v>
      </c>
      <c r="H164" s="12">
        <f t="shared" si="237"/>
        <v>0</v>
      </c>
      <c r="I164" s="12">
        <f t="shared" si="237"/>
        <v>0</v>
      </c>
      <c r="J164" s="12">
        <f t="shared" si="237"/>
        <v>0</v>
      </c>
      <c r="K164" s="12">
        <f t="shared" si="237"/>
        <v>0</v>
      </c>
      <c r="L164" s="44">
        <f>SUM(F164:K164)</f>
        <v>0</v>
      </c>
      <c r="M164" s="44">
        <f>L164/6</f>
        <v>0</v>
      </c>
      <c r="N164" s="11">
        <f t="shared" si="238"/>
        <v>0</v>
      </c>
      <c r="O164" s="11">
        <f t="shared" si="238"/>
        <v>0</v>
      </c>
      <c r="P164" s="11">
        <f t="shared" si="238"/>
        <v>0</v>
      </c>
      <c r="Q164" s="11">
        <f t="shared" si="238"/>
        <v>0</v>
      </c>
      <c r="R164" s="11">
        <f t="shared" si="238"/>
        <v>0</v>
      </c>
      <c r="S164" s="11">
        <f t="shared" si="238"/>
        <v>0</v>
      </c>
      <c r="T164" s="44">
        <f>SUM(N164:S164)</f>
        <v>0</v>
      </c>
      <c r="U164" s="45">
        <f>T164+L164</f>
        <v>0</v>
      </c>
      <c r="V164" s="46">
        <f>V179+V194</f>
        <v>0</v>
      </c>
      <c r="W164" s="38">
        <f>V164-U164</f>
        <v>0</v>
      </c>
      <c r="X164" s="47"/>
    </row>
    <row r="165" spans="1:24" s="48" customFormat="1" ht="23.35" hidden="1" customHeight="1">
      <c r="A165" s="610"/>
      <c r="B165" s="576"/>
      <c r="C165" s="577"/>
      <c r="D165" s="178" t="str">
        <f>серпень!D165</f>
        <v>факт. нат.п-ки 2025</v>
      </c>
      <c r="E165" s="11"/>
      <c r="F165" s="12">
        <f t="shared" si="237"/>
        <v>0</v>
      </c>
      <c r="G165" s="12">
        <f t="shared" si="237"/>
        <v>0</v>
      </c>
      <c r="H165" s="12">
        <f t="shared" si="237"/>
        <v>0</v>
      </c>
      <c r="I165" s="12">
        <f t="shared" si="237"/>
        <v>0</v>
      </c>
      <c r="J165" s="12">
        <f t="shared" si="237"/>
        <v>0</v>
      </c>
      <c r="K165" s="12">
        <f t="shared" si="237"/>
        <v>0</v>
      </c>
      <c r="L165" s="44">
        <f>SUM(F165:K165)</f>
        <v>0</v>
      </c>
      <c r="M165" s="44">
        <f>L165/6</f>
        <v>0</v>
      </c>
      <c r="N165" s="12">
        <f t="shared" si="238"/>
        <v>0</v>
      </c>
      <c r="O165" s="12">
        <f t="shared" si="238"/>
        <v>0</v>
      </c>
      <c r="P165" s="12">
        <f t="shared" si="238"/>
        <v>0</v>
      </c>
      <c r="Q165" s="12">
        <f t="shared" si="238"/>
        <v>0</v>
      </c>
      <c r="R165" s="12">
        <f t="shared" si="238"/>
        <v>0</v>
      </c>
      <c r="S165" s="12">
        <f t="shared" si="238"/>
        <v>0</v>
      </c>
      <c r="T165" s="44">
        <f>SUM(N165:S165)</f>
        <v>0</v>
      </c>
      <c r="U165" s="45">
        <f>T165+L165</f>
        <v>0</v>
      </c>
      <c r="V165" s="46">
        <f>V180+V195</f>
        <v>0</v>
      </c>
      <c r="W165" s="38">
        <f>V165-U165</f>
        <v>0</v>
      </c>
      <c r="X165" s="47"/>
    </row>
    <row r="166" spans="1:24" s="51" customFormat="1" ht="23.35" hidden="1" customHeight="1">
      <c r="A166" s="610"/>
      <c r="B166" s="576"/>
      <c r="C166" s="577"/>
      <c r="D166" s="187" t="str">
        <f>серпень!D166</f>
        <v>тариф, грн.</v>
      </c>
      <c r="E166" s="49"/>
      <c r="F166" s="49" t="e">
        <f>F167/F165*1000</f>
        <v>#DIV/0!</v>
      </c>
      <c r="G166" s="49" t="e">
        <f>G167/G165*1000</f>
        <v>#DIV/0!</v>
      </c>
      <c r="H166" s="49" t="e">
        <f>H167/H165*1000</f>
        <v>#DIV/0!</v>
      </c>
      <c r="I166" s="49" t="e">
        <f>I167/I165*1000</f>
        <v>#DIV/0!</v>
      </c>
      <c r="J166" s="49" t="e">
        <f>J167/J165*1000</f>
        <v>#DIV/0!</v>
      </c>
      <c r="K166" s="49" t="e">
        <f t="shared" ref="K166:S166" si="239">K167/K165*1000</f>
        <v>#DIV/0!</v>
      </c>
      <c r="L166" s="49" t="e">
        <f t="shared" si="239"/>
        <v>#DIV/0!</v>
      </c>
      <c r="M166" s="49" t="e">
        <f t="shared" si="239"/>
        <v>#DIV/0!</v>
      </c>
      <c r="N166" s="49" t="e">
        <f t="shared" si="239"/>
        <v>#DIV/0!</v>
      </c>
      <c r="O166" s="49" t="e">
        <f t="shared" si="239"/>
        <v>#DIV/0!</v>
      </c>
      <c r="P166" s="49" t="e">
        <f t="shared" si="239"/>
        <v>#DIV/0!</v>
      </c>
      <c r="Q166" s="49" t="e">
        <f t="shared" si="239"/>
        <v>#DIV/0!</v>
      </c>
      <c r="R166" s="49" t="e">
        <f t="shared" si="239"/>
        <v>#DIV/0!</v>
      </c>
      <c r="S166" s="49" t="e">
        <f t="shared" si="239"/>
        <v>#DIV/0!</v>
      </c>
      <c r="T166" s="49" t="e">
        <f>T167/T165*1000</f>
        <v>#DIV/0!</v>
      </c>
      <c r="U166" s="49" t="e">
        <f>U167/U165*1000</f>
        <v>#DIV/0!</v>
      </c>
      <c r="V166" s="49" t="e">
        <f>V167/V165*1000</f>
        <v>#DIV/0!</v>
      </c>
      <c r="W166" s="14" t="e">
        <f>W167/W165*1000</f>
        <v>#DIV/0!</v>
      </c>
      <c r="X166" s="50"/>
    </row>
    <row r="167" spans="1:24" s="55" customFormat="1" ht="23.35" hidden="1" customHeight="1">
      <c r="A167" s="610"/>
      <c r="B167" s="576"/>
      <c r="C167" s="577"/>
      <c r="D167" s="191" t="str">
        <f>серпень!D167</f>
        <v>сума, тис.грн.</v>
      </c>
      <c r="E167" s="52"/>
      <c r="F167" s="52">
        <f t="shared" ref="F167:K170" si="240">F182+F197</f>
        <v>0</v>
      </c>
      <c r="G167" s="52">
        <f t="shared" si="240"/>
        <v>0</v>
      </c>
      <c r="H167" s="52">
        <f t="shared" si="240"/>
        <v>0</v>
      </c>
      <c r="I167" s="52">
        <f t="shared" si="240"/>
        <v>0</v>
      </c>
      <c r="J167" s="52">
        <f t="shared" si="240"/>
        <v>0</v>
      </c>
      <c r="K167" s="52">
        <f t="shared" si="240"/>
        <v>0</v>
      </c>
      <c r="L167" s="52">
        <f>SUM(F167:K167)</f>
        <v>0</v>
      </c>
      <c r="M167" s="52">
        <f>L167/6</f>
        <v>0</v>
      </c>
      <c r="N167" s="52">
        <f t="shared" ref="N167:S170" si="241">N182+N197</f>
        <v>0</v>
      </c>
      <c r="O167" s="52">
        <f t="shared" si="241"/>
        <v>0</v>
      </c>
      <c r="P167" s="52">
        <f t="shared" si="241"/>
        <v>0</v>
      </c>
      <c r="Q167" s="52">
        <f t="shared" si="241"/>
        <v>0</v>
      </c>
      <c r="R167" s="52">
        <f t="shared" si="241"/>
        <v>0</v>
      </c>
      <c r="S167" s="52">
        <f t="shared" si="241"/>
        <v>0</v>
      </c>
      <c r="T167" s="52">
        <f>SUM(N167:S167)</f>
        <v>0</v>
      </c>
      <c r="U167" s="52">
        <f>T167+L167</f>
        <v>0</v>
      </c>
      <c r="V167" s="53">
        <f>V182+V197</f>
        <v>0</v>
      </c>
      <c r="W167" s="53">
        <f>V167-U167</f>
        <v>0</v>
      </c>
      <c r="X167" s="54">
        <f>9891253.845/1000</f>
        <v>9891.2540000000008</v>
      </c>
    </row>
    <row r="168" spans="1:24" s="55" customFormat="1" ht="23.35" hidden="1" customHeight="1">
      <c r="A168" s="610"/>
      <c r="B168" s="576"/>
      <c r="C168" s="577"/>
      <c r="D168" s="174" t="str">
        <f>серпень!D168</f>
        <v>дотація</v>
      </c>
      <c r="E168" s="56"/>
      <c r="F168" s="52">
        <f t="shared" si="240"/>
        <v>0</v>
      </c>
      <c r="G168" s="52">
        <f t="shared" si="240"/>
        <v>0</v>
      </c>
      <c r="H168" s="52">
        <f t="shared" si="240"/>
        <v>0</v>
      </c>
      <c r="I168" s="52">
        <f t="shared" si="240"/>
        <v>0</v>
      </c>
      <c r="J168" s="52">
        <f t="shared" si="240"/>
        <v>0</v>
      </c>
      <c r="K168" s="52">
        <f t="shared" si="240"/>
        <v>0</v>
      </c>
      <c r="L168" s="52">
        <f>SUM(F168:K168)</f>
        <v>0</v>
      </c>
      <c r="M168" s="52">
        <f>L168/6</f>
        <v>0</v>
      </c>
      <c r="N168" s="52">
        <f t="shared" si="241"/>
        <v>0</v>
      </c>
      <c r="O168" s="52">
        <f t="shared" si="241"/>
        <v>0</v>
      </c>
      <c r="P168" s="52">
        <f t="shared" si="241"/>
        <v>0</v>
      </c>
      <c r="Q168" s="52">
        <f t="shared" si="241"/>
        <v>0</v>
      </c>
      <c r="R168" s="52">
        <f t="shared" si="241"/>
        <v>0</v>
      </c>
      <c r="S168" s="52">
        <f t="shared" si="241"/>
        <v>0</v>
      </c>
      <c r="T168" s="52">
        <f>SUM(N168:S168)</f>
        <v>0</v>
      </c>
      <c r="U168" s="52">
        <f>T168+L168</f>
        <v>0</v>
      </c>
      <c r="V168" s="53">
        <f>V183+V198</f>
        <v>0</v>
      </c>
      <c r="W168" s="57">
        <f>V168-U168</f>
        <v>0</v>
      </c>
      <c r="X168" s="58"/>
    </row>
    <row r="169" spans="1:24" s="55" customFormat="1" ht="23.35" hidden="1" customHeight="1">
      <c r="A169" s="610"/>
      <c r="B169" s="576"/>
      <c r="C169" s="577"/>
      <c r="D169" s="174" t="str">
        <f>серпень!D169</f>
        <v>місцевий (план), тис.грн</v>
      </c>
      <c r="E169" s="56"/>
      <c r="F169" s="52">
        <f t="shared" si="240"/>
        <v>0</v>
      </c>
      <c r="G169" s="52">
        <f t="shared" si="240"/>
        <v>0</v>
      </c>
      <c r="H169" s="52">
        <f t="shared" si="240"/>
        <v>0</v>
      </c>
      <c r="I169" s="52">
        <f t="shared" si="240"/>
        <v>0</v>
      </c>
      <c r="J169" s="52">
        <f t="shared" si="240"/>
        <v>0</v>
      </c>
      <c r="K169" s="52">
        <f t="shared" si="240"/>
        <v>0</v>
      </c>
      <c r="L169" s="52">
        <f>SUM(F169:K169)</f>
        <v>0</v>
      </c>
      <c r="M169" s="52">
        <f>L169/6</f>
        <v>0</v>
      </c>
      <c r="N169" s="52">
        <f t="shared" si="241"/>
        <v>0</v>
      </c>
      <c r="O169" s="52">
        <f t="shared" si="241"/>
        <v>0</v>
      </c>
      <c r="P169" s="52">
        <f t="shared" si="241"/>
        <v>0</v>
      </c>
      <c r="Q169" s="52">
        <f t="shared" si="241"/>
        <v>0</v>
      </c>
      <c r="R169" s="52">
        <f t="shared" si="241"/>
        <v>0</v>
      </c>
      <c r="S169" s="52">
        <f t="shared" si="241"/>
        <v>0</v>
      </c>
      <c r="T169" s="52">
        <f>SUM(N169:S169)</f>
        <v>0</v>
      </c>
      <c r="U169" s="52">
        <f>T169+L169</f>
        <v>0</v>
      </c>
      <c r="V169" s="53">
        <f>V184+V199</f>
        <v>0</v>
      </c>
      <c r="W169" s="53">
        <f>V169-U169</f>
        <v>0</v>
      </c>
      <c r="X169" s="58"/>
    </row>
    <row r="170" spans="1:24" s="48" customFormat="1" ht="23.35" hidden="1" customHeight="1">
      <c r="A170" s="610"/>
      <c r="B170" s="576"/>
      <c r="C170" s="577"/>
      <c r="D170" s="178" t="str">
        <f>серпень!D170</f>
        <v>касові нат.п-ки 2025</v>
      </c>
      <c r="E170" s="11">
        <f>E185+E200</f>
        <v>0</v>
      </c>
      <c r="F170" s="11">
        <f t="shared" si="240"/>
        <v>0</v>
      </c>
      <c r="G170" s="11">
        <f t="shared" si="240"/>
        <v>0</v>
      </c>
      <c r="H170" s="11">
        <f t="shared" si="240"/>
        <v>0</v>
      </c>
      <c r="I170" s="11">
        <f t="shared" si="240"/>
        <v>0</v>
      </c>
      <c r="J170" s="11">
        <f t="shared" si="240"/>
        <v>0</v>
      </c>
      <c r="K170" s="11">
        <f t="shared" si="240"/>
        <v>0</v>
      </c>
      <c r="L170" s="44">
        <f>SUM(F170:K170)</f>
        <v>0</v>
      </c>
      <c r="M170" s="44">
        <f>L170/6</f>
        <v>0</v>
      </c>
      <c r="N170" s="11">
        <f t="shared" si="241"/>
        <v>0</v>
      </c>
      <c r="O170" s="11">
        <f t="shared" si="241"/>
        <v>0</v>
      </c>
      <c r="P170" s="11">
        <f t="shared" si="241"/>
        <v>0</v>
      </c>
      <c r="Q170" s="11">
        <f t="shared" si="241"/>
        <v>0</v>
      </c>
      <c r="R170" s="11">
        <f t="shared" si="241"/>
        <v>0</v>
      </c>
      <c r="S170" s="11">
        <f t="shared" si="241"/>
        <v>0</v>
      </c>
      <c r="T170" s="44">
        <f>SUM(N170:S170)</f>
        <v>0</v>
      </c>
      <c r="U170" s="44">
        <f>T170+L170</f>
        <v>0</v>
      </c>
      <c r="V170" s="38">
        <f>V185+V200</f>
        <v>0</v>
      </c>
      <c r="W170" s="38">
        <f>V170-U170</f>
        <v>0</v>
      </c>
      <c r="X170" s="47">
        <f>U165-U170</f>
        <v>0</v>
      </c>
    </row>
    <row r="171" spans="1:24" s="51" customFormat="1" ht="23.35" hidden="1" customHeight="1">
      <c r="A171" s="610"/>
      <c r="B171" s="576"/>
      <c r="C171" s="577"/>
      <c r="D171" s="187" t="str">
        <f>серпень!D171</f>
        <v>тариф, грн.</v>
      </c>
      <c r="E171" s="49" t="e">
        <f t="shared" ref="E171:S171" si="242">E172/E170*1000</f>
        <v>#DIV/0!</v>
      </c>
      <c r="F171" s="49" t="e">
        <f t="shared" si="242"/>
        <v>#DIV/0!</v>
      </c>
      <c r="G171" s="49" t="e">
        <f t="shared" si="242"/>
        <v>#DIV/0!</v>
      </c>
      <c r="H171" s="49" t="e">
        <f t="shared" si="242"/>
        <v>#DIV/0!</v>
      </c>
      <c r="I171" s="49" t="e">
        <f t="shared" si="242"/>
        <v>#DIV/0!</v>
      </c>
      <c r="J171" s="49" t="e">
        <f t="shared" si="242"/>
        <v>#DIV/0!</v>
      </c>
      <c r="K171" s="49" t="e">
        <f t="shared" si="242"/>
        <v>#DIV/0!</v>
      </c>
      <c r="L171" s="49" t="e">
        <f t="shared" si="242"/>
        <v>#DIV/0!</v>
      </c>
      <c r="M171" s="49" t="e">
        <f t="shared" si="242"/>
        <v>#DIV/0!</v>
      </c>
      <c r="N171" s="49" t="e">
        <f t="shared" si="242"/>
        <v>#DIV/0!</v>
      </c>
      <c r="O171" s="49" t="e">
        <f t="shared" si="242"/>
        <v>#DIV/0!</v>
      </c>
      <c r="P171" s="49" t="e">
        <f t="shared" si="242"/>
        <v>#DIV/0!</v>
      </c>
      <c r="Q171" s="49" t="e">
        <f t="shared" si="242"/>
        <v>#DIV/0!</v>
      </c>
      <c r="R171" s="49" t="e">
        <f t="shared" si="242"/>
        <v>#DIV/0!</v>
      </c>
      <c r="S171" s="49" t="e">
        <f t="shared" si="242"/>
        <v>#DIV/0!</v>
      </c>
      <c r="T171" s="49" t="e">
        <f>T172/T170*1000</f>
        <v>#DIV/0!</v>
      </c>
      <c r="U171" s="49" t="e">
        <f>U172/U170*1000</f>
        <v>#DIV/0!</v>
      </c>
      <c r="V171" s="49" t="e">
        <f>V172/V170*1000</f>
        <v>#DIV/0!</v>
      </c>
      <c r="W171" s="14" t="e">
        <f>W172/W170*1000</f>
        <v>#DIV/0!</v>
      </c>
      <c r="X171" s="59"/>
    </row>
    <row r="172" spans="1:24" s="63" customFormat="1" ht="23.35" hidden="1" customHeight="1">
      <c r="A172" s="610"/>
      <c r="B172" s="576"/>
      <c r="C172" s="577"/>
      <c r="D172" s="198" t="str">
        <f>серпень!D172</f>
        <v>касові видатки, тис.грн.</v>
      </c>
      <c r="E172" s="60">
        <f t="shared" ref="E172:K174" si="243">E187+E202</f>
        <v>0</v>
      </c>
      <c r="F172" s="61">
        <f t="shared" si="243"/>
        <v>0</v>
      </c>
      <c r="G172" s="61">
        <f t="shared" si="243"/>
        <v>0</v>
      </c>
      <c r="H172" s="61">
        <f t="shared" si="243"/>
        <v>0</v>
      </c>
      <c r="I172" s="61">
        <f t="shared" si="243"/>
        <v>0</v>
      </c>
      <c r="J172" s="61">
        <f t="shared" si="243"/>
        <v>0</v>
      </c>
      <c r="K172" s="61">
        <f t="shared" si="243"/>
        <v>0</v>
      </c>
      <c r="L172" s="61">
        <f>SUM(F172:K172)</f>
        <v>0</v>
      </c>
      <c r="M172" s="61">
        <f>L172/6</f>
        <v>0</v>
      </c>
      <c r="N172" s="61">
        <f t="shared" ref="N172:S174" si="244">N187+N202</f>
        <v>0</v>
      </c>
      <c r="O172" s="61">
        <f t="shared" si="244"/>
        <v>0</v>
      </c>
      <c r="P172" s="61">
        <f t="shared" si="244"/>
        <v>0</v>
      </c>
      <c r="Q172" s="61">
        <f t="shared" si="244"/>
        <v>0</v>
      </c>
      <c r="R172" s="61">
        <f t="shared" si="244"/>
        <v>0</v>
      </c>
      <c r="S172" s="61">
        <f t="shared" si="244"/>
        <v>0</v>
      </c>
      <c r="T172" s="61">
        <f>SUM(N172:S172)</f>
        <v>0</v>
      </c>
      <c r="U172" s="61">
        <f>T172+L172</f>
        <v>0</v>
      </c>
      <c r="V172" s="62">
        <f>V187+V202</f>
        <v>0</v>
      </c>
      <c r="W172" s="62">
        <f>V172-U172</f>
        <v>0</v>
      </c>
      <c r="X172" s="63">
        <f>U167-U172</f>
        <v>0</v>
      </c>
    </row>
    <row r="173" spans="1:24" s="63" customFormat="1" ht="23.35" hidden="1" customHeight="1">
      <c r="A173" s="610"/>
      <c r="B173" s="576"/>
      <c r="C173" s="577"/>
      <c r="D173" s="201" t="str">
        <f>серпень!D173</f>
        <v>дотація</v>
      </c>
      <c r="E173" s="60"/>
      <c r="F173" s="61">
        <f t="shared" si="243"/>
        <v>0</v>
      </c>
      <c r="G173" s="61">
        <f t="shared" si="243"/>
        <v>0</v>
      </c>
      <c r="H173" s="61">
        <f t="shared" si="243"/>
        <v>0</v>
      </c>
      <c r="I173" s="61">
        <f t="shared" si="243"/>
        <v>0</v>
      </c>
      <c r="J173" s="61">
        <f>J188+J203</f>
        <v>0</v>
      </c>
      <c r="K173" s="61">
        <f t="shared" si="243"/>
        <v>0</v>
      </c>
      <c r="L173" s="61">
        <f>SUM(F173:K173)</f>
        <v>0</v>
      </c>
      <c r="M173" s="61">
        <f>L173/6</f>
        <v>0</v>
      </c>
      <c r="N173" s="61">
        <f t="shared" si="244"/>
        <v>0</v>
      </c>
      <c r="O173" s="61">
        <f t="shared" si="244"/>
        <v>0</v>
      </c>
      <c r="P173" s="61">
        <f t="shared" si="244"/>
        <v>0</v>
      </c>
      <c r="Q173" s="61">
        <f t="shared" si="244"/>
        <v>0</v>
      </c>
      <c r="R173" s="61">
        <f t="shared" si="244"/>
        <v>0</v>
      </c>
      <c r="S173" s="61">
        <f t="shared" si="244"/>
        <v>0</v>
      </c>
      <c r="T173" s="61">
        <f>SUM(N173:S173)</f>
        <v>0</v>
      </c>
      <c r="U173" s="61">
        <f>T173+L173</f>
        <v>0</v>
      </c>
      <c r="V173" s="62">
        <f>V188+V203</f>
        <v>0</v>
      </c>
      <c r="W173" s="62">
        <f>V173-U173</f>
        <v>0</v>
      </c>
      <c r="X173" s="63">
        <f>U168-U173</f>
        <v>0</v>
      </c>
    </row>
    <row r="174" spans="1:24" s="63" customFormat="1" ht="23.35" hidden="1" customHeight="1">
      <c r="A174" s="610"/>
      <c r="B174" s="576"/>
      <c r="C174" s="577"/>
      <c r="D174" s="201" t="str">
        <f>серпень!D174</f>
        <v xml:space="preserve">місцевий </v>
      </c>
      <c r="E174" s="60"/>
      <c r="F174" s="61">
        <f t="shared" si="243"/>
        <v>0</v>
      </c>
      <c r="G174" s="61">
        <f t="shared" si="243"/>
        <v>0</v>
      </c>
      <c r="H174" s="61">
        <f t="shared" si="243"/>
        <v>0</v>
      </c>
      <c r="I174" s="61">
        <f t="shared" si="243"/>
        <v>0</v>
      </c>
      <c r="J174" s="61">
        <f>J189+J204</f>
        <v>0</v>
      </c>
      <c r="K174" s="61">
        <f t="shared" si="243"/>
        <v>0</v>
      </c>
      <c r="L174" s="61">
        <f>SUM(F174:K174)</f>
        <v>0</v>
      </c>
      <c r="M174" s="61">
        <f>L174/6</f>
        <v>0</v>
      </c>
      <c r="N174" s="61">
        <f t="shared" si="244"/>
        <v>0</v>
      </c>
      <c r="O174" s="61">
        <f t="shared" si="244"/>
        <v>0</v>
      </c>
      <c r="P174" s="61">
        <f t="shared" si="244"/>
        <v>0</v>
      </c>
      <c r="Q174" s="61">
        <f t="shared" si="244"/>
        <v>0</v>
      </c>
      <c r="R174" s="61">
        <f t="shared" si="244"/>
        <v>0</v>
      </c>
      <c r="S174" s="61">
        <f t="shared" si="244"/>
        <v>0</v>
      </c>
      <c r="T174" s="61">
        <f>SUM(N174:S174)</f>
        <v>0</v>
      </c>
      <c r="U174" s="61">
        <f>T174+L174</f>
        <v>0</v>
      </c>
      <c r="V174" s="62">
        <f>V189+V204</f>
        <v>0</v>
      </c>
      <c r="W174" s="62">
        <f>V174-U174</f>
        <v>0</v>
      </c>
      <c r="X174" s="63">
        <f>U169-U174</f>
        <v>0</v>
      </c>
    </row>
    <row r="175" spans="1:24" s="43" customFormat="1" ht="23.35" hidden="1" customHeight="1">
      <c r="A175" s="610"/>
      <c r="B175" s="576"/>
      <c r="C175" s="577"/>
      <c r="D175" s="202" t="str">
        <f>серпень!D175</f>
        <v>план</v>
      </c>
      <c r="E175" s="42"/>
      <c r="F175" s="42">
        <f t="shared" ref="F175:K175" si="245">F169</f>
        <v>0</v>
      </c>
      <c r="G175" s="42">
        <f t="shared" si="245"/>
        <v>0</v>
      </c>
      <c r="H175" s="42">
        <f t="shared" si="245"/>
        <v>0</v>
      </c>
      <c r="I175" s="42">
        <f t="shared" si="245"/>
        <v>0</v>
      </c>
      <c r="J175" s="42">
        <f t="shared" si="245"/>
        <v>0</v>
      </c>
      <c r="K175" s="42">
        <f t="shared" si="245"/>
        <v>0</v>
      </c>
      <c r="L175" s="42">
        <f>SUM(F175:K175)</f>
        <v>0</v>
      </c>
      <c r="M175" s="42">
        <f>L175/6</f>
        <v>0</v>
      </c>
      <c r="N175" s="42">
        <f t="shared" ref="N175:S175" si="246">N169+N168</f>
        <v>0</v>
      </c>
      <c r="O175" s="42">
        <f t="shared" si="246"/>
        <v>0</v>
      </c>
      <c r="P175" s="42">
        <f t="shared" si="246"/>
        <v>0</v>
      </c>
      <c r="Q175" s="42">
        <f t="shared" si="246"/>
        <v>0</v>
      </c>
      <c r="R175" s="42">
        <f t="shared" si="246"/>
        <v>0</v>
      </c>
      <c r="S175" s="42">
        <f t="shared" si="246"/>
        <v>0</v>
      </c>
      <c r="T175" s="42">
        <f>SUM(N175:S175)</f>
        <v>0</v>
      </c>
      <c r="U175" s="42">
        <f>T175+L175</f>
        <v>0</v>
      </c>
      <c r="V175" s="64">
        <f>V190+V205</f>
        <v>0</v>
      </c>
      <c r="W175" s="64">
        <f>V175-U175</f>
        <v>0</v>
      </c>
    </row>
    <row r="176" spans="1:24" s="43" customFormat="1" ht="23.35" hidden="1" customHeight="1">
      <c r="A176" s="610"/>
      <c r="B176" s="576"/>
      <c r="C176" s="577"/>
      <c r="D176" s="202" t="str">
        <f>серпень!D176</f>
        <v xml:space="preserve">відхилення </v>
      </c>
      <c r="E176" s="42"/>
      <c r="F176" s="42">
        <f t="shared" ref="F176:K176" si="247">F172-F175</f>
        <v>0</v>
      </c>
      <c r="G176" s="42">
        <f t="shared" si="247"/>
        <v>0</v>
      </c>
      <c r="H176" s="42">
        <f t="shared" si="247"/>
        <v>0</v>
      </c>
      <c r="I176" s="42">
        <f t="shared" si="247"/>
        <v>0</v>
      </c>
      <c r="J176" s="42">
        <f t="shared" si="247"/>
        <v>0</v>
      </c>
      <c r="K176" s="42">
        <f t="shared" si="247"/>
        <v>0</v>
      </c>
      <c r="L176" s="42"/>
      <c r="M176" s="42"/>
      <c r="N176" s="42">
        <f t="shared" ref="N176:S176" si="248">N172-N175</f>
        <v>0</v>
      </c>
      <c r="O176" s="42">
        <f t="shared" si="248"/>
        <v>0</v>
      </c>
      <c r="P176" s="42">
        <f t="shared" si="248"/>
        <v>0</v>
      </c>
      <c r="Q176" s="42">
        <f t="shared" si="248"/>
        <v>0</v>
      </c>
      <c r="R176" s="42">
        <f t="shared" si="248"/>
        <v>0</v>
      </c>
      <c r="S176" s="42">
        <f t="shared" si="248"/>
        <v>0</v>
      </c>
      <c r="T176" s="42"/>
      <c r="U176" s="42"/>
      <c r="V176" s="42"/>
      <c r="W176" s="42"/>
    </row>
    <row r="177" spans="1:24" s="43" customFormat="1" ht="23.35" hidden="1" customHeight="1">
      <c r="A177" s="610"/>
      <c r="B177" s="576"/>
      <c r="C177" s="577"/>
      <c r="D177" s="202" t="str">
        <f>серпень!D177</f>
        <v>відхилення з наростаючим</v>
      </c>
      <c r="E177" s="42"/>
      <c r="F177" s="42">
        <f>F176</f>
        <v>0</v>
      </c>
      <c r="G177" s="42">
        <f>G176+F177</f>
        <v>0</v>
      </c>
      <c r="H177" s="42">
        <f>H176+G177</f>
        <v>0</v>
      </c>
      <c r="I177" s="42">
        <f>I176+H177</f>
        <v>0</v>
      </c>
      <c r="J177" s="42">
        <f>J176+I177</f>
        <v>0</v>
      </c>
      <c r="K177" s="42">
        <f>K176+J177</f>
        <v>0</v>
      </c>
      <c r="L177" s="42"/>
      <c r="M177" s="42"/>
      <c r="N177" s="42">
        <f>N176+K177</f>
        <v>0</v>
      </c>
      <c r="O177" s="42">
        <f>O176+N177</f>
        <v>0</v>
      </c>
      <c r="P177" s="42">
        <f>P176+O177</f>
        <v>0</v>
      </c>
      <c r="Q177" s="42">
        <f>Q176+P177</f>
        <v>0</v>
      </c>
      <c r="R177" s="42">
        <f>R176+Q177</f>
        <v>0</v>
      </c>
      <c r="S177" s="42">
        <f>S176+R177</f>
        <v>0</v>
      </c>
      <c r="T177" s="42"/>
      <c r="U177" s="42"/>
      <c r="V177" s="42"/>
      <c r="W177" s="42"/>
    </row>
    <row r="178" spans="1:24" s="47" customFormat="1" ht="23.35" hidden="1" customHeight="1">
      <c r="A178" s="610"/>
      <c r="B178" s="581" t="s">
        <v>89</v>
      </c>
      <c r="C178" s="581"/>
      <c r="D178" s="178" t="str">
        <f>серпень!D178</f>
        <v>факт. нат.п-ки 2023</v>
      </c>
      <c r="E178" s="11"/>
      <c r="F178" s="12"/>
      <c r="G178" s="12"/>
      <c r="H178" s="12"/>
      <c r="I178" s="12"/>
      <c r="J178" s="12"/>
      <c r="K178" s="12"/>
      <c r="L178" s="65">
        <f>SUM(F178:K178)</f>
        <v>0</v>
      </c>
      <c r="M178" s="65">
        <f>L178/6</f>
        <v>0</v>
      </c>
      <c r="N178" s="12"/>
      <c r="O178" s="12"/>
      <c r="P178" s="12"/>
      <c r="Q178" s="12"/>
      <c r="R178" s="12"/>
      <c r="S178" s="12"/>
      <c r="T178" s="65">
        <f>SUM(N178:S178)</f>
        <v>0</v>
      </c>
      <c r="U178" s="66">
        <f>T178+L178</f>
        <v>0</v>
      </c>
      <c r="V178" s="67"/>
      <c r="W178" s="38">
        <f>V178-U178</f>
        <v>0</v>
      </c>
    </row>
    <row r="179" spans="1:24" s="47" customFormat="1" ht="23.35" hidden="1" customHeight="1">
      <c r="A179" s="610"/>
      <c r="B179" s="581"/>
      <c r="C179" s="581"/>
      <c r="D179" s="178" t="str">
        <f>серпень!D179</f>
        <v>факт. нат.п-ки 2024</v>
      </c>
      <c r="E179" s="11"/>
      <c r="F179" s="12"/>
      <c r="G179" s="12"/>
      <c r="H179" s="12"/>
      <c r="I179" s="12"/>
      <c r="J179" s="12"/>
      <c r="K179" s="12"/>
      <c r="L179" s="65">
        <f>SUM(F179:K179)</f>
        <v>0</v>
      </c>
      <c r="M179" s="65">
        <f>L179/6</f>
        <v>0</v>
      </c>
      <c r="N179" s="11"/>
      <c r="O179" s="11"/>
      <c r="P179" s="11"/>
      <c r="Q179" s="11"/>
      <c r="R179" s="11"/>
      <c r="S179" s="11"/>
      <c r="T179" s="65">
        <f>SUM(N179:S179)</f>
        <v>0</v>
      </c>
      <c r="U179" s="66">
        <f>T179+L179</f>
        <v>0</v>
      </c>
      <c r="V179" s="67"/>
      <c r="W179" s="38">
        <f>V179-U179</f>
        <v>0</v>
      </c>
    </row>
    <row r="180" spans="1:24" s="47" customFormat="1" ht="23.35" hidden="1" customHeight="1">
      <c r="A180" s="610"/>
      <c r="B180" s="581"/>
      <c r="C180" s="581"/>
      <c r="D180" s="178" t="str">
        <f>серпень!D180</f>
        <v>факт. нат.п-ки 2025</v>
      </c>
      <c r="E180" s="11"/>
      <c r="F180" s="12"/>
      <c r="G180" s="12"/>
      <c r="H180" s="12"/>
      <c r="I180" s="12"/>
      <c r="J180" s="12"/>
      <c r="K180" s="12"/>
      <c r="L180" s="65">
        <f>SUM(F180:K180)</f>
        <v>0</v>
      </c>
      <c r="M180" s="65">
        <f>L180/6</f>
        <v>0</v>
      </c>
      <c r="N180" s="12"/>
      <c r="O180" s="12"/>
      <c r="P180" s="12"/>
      <c r="Q180" s="12"/>
      <c r="R180" s="12"/>
      <c r="S180" s="11"/>
      <c r="T180" s="65">
        <f>SUM(N180:S180)</f>
        <v>0</v>
      </c>
      <c r="U180" s="66">
        <f>T180+L180</f>
        <v>0</v>
      </c>
      <c r="V180" s="11"/>
      <c r="W180" s="38">
        <f>V180-U180</f>
        <v>0</v>
      </c>
    </row>
    <row r="181" spans="1:24" s="47" customFormat="1" ht="23.35" hidden="1" customHeight="1">
      <c r="A181" s="610"/>
      <c r="B181" s="581"/>
      <c r="C181" s="581"/>
      <c r="D181" s="187" t="str">
        <f>серпень!D181</f>
        <v>тариф, грн.</v>
      </c>
      <c r="E181" s="49"/>
      <c r="F181" s="49">
        <v>2665.4160000000002</v>
      </c>
      <c r="G181" s="49">
        <v>2665.4160000000002</v>
      </c>
      <c r="H181" s="49">
        <v>2665.4160000000002</v>
      </c>
      <c r="I181" s="49">
        <v>2665.4160000000002</v>
      </c>
      <c r="J181" s="49">
        <v>2665.4160000000002</v>
      </c>
      <c r="K181" s="49">
        <v>2665.4160000000002</v>
      </c>
      <c r="L181" s="49" t="e">
        <f>L182/L180*1000</f>
        <v>#DIV/0!</v>
      </c>
      <c r="M181" s="49" t="e">
        <f>M182/M180*1000</f>
        <v>#DIV/0!</v>
      </c>
      <c r="N181" s="49">
        <v>2665.4160000000002</v>
      </c>
      <c r="O181" s="49">
        <v>2665.4160000000002</v>
      </c>
      <c r="P181" s="49">
        <v>2665.4160000000002</v>
      </c>
      <c r="Q181" s="49">
        <v>2665.4160000000002</v>
      </c>
      <c r="R181" s="49">
        <v>2665.4160000000002</v>
      </c>
      <c r="S181" s="49">
        <v>2665.4160000000002</v>
      </c>
      <c r="T181" s="49" t="e">
        <f>T182/T180*1000</f>
        <v>#DIV/0!</v>
      </c>
      <c r="U181" s="49" t="e">
        <f>U182/U180*1000</f>
        <v>#DIV/0!</v>
      </c>
      <c r="V181" s="68" t="e">
        <f>V182/V180*1000</f>
        <v>#DIV/0!</v>
      </c>
      <c r="W181" s="14" t="e">
        <f>W182/W180*1000</f>
        <v>#DIV/0!</v>
      </c>
    </row>
    <row r="182" spans="1:24" s="47" customFormat="1" ht="23.35" hidden="1" customHeight="1">
      <c r="A182" s="610"/>
      <c r="B182" s="581"/>
      <c r="C182" s="581"/>
      <c r="D182" s="191" t="str">
        <f>серпень!D182</f>
        <v>сума, тис.грн.</v>
      </c>
      <c r="E182" s="52"/>
      <c r="F182" s="52">
        <f t="shared" ref="F182:K182" si="249">F180*F181/1000</f>
        <v>0</v>
      </c>
      <c r="G182" s="52">
        <f t="shared" si="249"/>
        <v>0</v>
      </c>
      <c r="H182" s="52">
        <f t="shared" si="249"/>
        <v>0</v>
      </c>
      <c r="I182" s="52">
        <f t="shared" si="249"/>
        <v>0</v>
      </c>
      <c r="J182" s="52">
        <f t="shared" si="249"/>
        <v>0</v>
      </c>
      <c r="K182" s="52">
        <f t="shared" si="249"/>
        <v>0</v>
      </c>
      <c r="L182" s="69">
        <f>SUM(F182:K182)</f>
        <v>0</v>
      </c>
      <c r="M182" s="69">
        <f>L182/6</f>
        <v>0</v>
      </c>
      <c r="N182" s="52">
        <f t="shared" ref="N182:S182" si="250">N180*N181/1000</f>
        <v>0</v>
      </c>
      <c r="O182" s="52">
        <f t="shared" si="250"/>
        <v>0</v>
      </c>
      <c r="P182" s="52">
        <f t="shared" si="250"/>
        <v>0</v>
      </c>
      <c r="Q182" s="52">
        <f t="shared" si="250"/>
        <v>0</v>
      </c>
      <c r="R182" s="52">
        <f t="shared" si="250"/>
        <v>0</v>
      </c>
      <c r="S182" s="52">
        <f t="shared" si="250"/>
        <v>0</v>
      </c>
      <c r="T182" s="69">
        <f>SUM(N182:S182)</f>
        <v>0</v>
      </c>
      <c r="U182" s="69">
        <f>T182+L182</f>
        <v>0</v>
      </c>
      <c r="V182" s="70">
        <f>V183+V184</f>
        <v>0</v>
      </c>
      <c r="W182" s="53">
        <f>V182-U182</f>
        <v>0</v>
      </c>
    </row>
    <row r="183" spans="1:24" s="47" customFormat="1" ht="23.35" hidden="1" customHeight="1">
      <c r="A183" s="610"/>
      <c r="B183" s="581"/>
      <c r="C183" s="581"/>
      <c r="D183" s="174" t="str">
        <f>серпень!D183</f>
        <v>дотація</v>
      </c>
      <c r="E183" s="56"/>
      <c r="F183" s="52"/>
      <c r="G183" s="52"/>
      <c r="H183" s="52"/>
      <c r="I183" s="52"/>
      <c r="J183" s="52"/>
      <c r="K183" s="52"/>
      <c r="L183" s="69">
        <f>SUM(F183:K183)</f>
        <v>0</v>
      </c>
      <c r="M183" s="69">
        <f>L183/6</f>
        <v>0</v>
      </c>
      <c r="N183" s="52"/>
      <c r="O183" s="52"/>
      <c r="P183" s="52"/>
      <c r="Q183" s="52"/>
      <c r="R183" s="52"/>
      <c r="S183" s="52"/>
      <c r="T183" s="69">
        <f>SUM(N183:S183)</f>
        <v>0</v>
      </c>
      <c r="U183" s="69">
        <f>T183+L183</f>
        <v>0</v>
      </c>
      <c r="V183" s="70"/>
      <c r="W183" s="53">
        <f>V183-U183</f>
        <v>0</v>
      </c>
    </row>
    <row r="184" spans="1:24" s="47" customFormat="1" ht="23.35" hidden="1" customHeight="1">
      <c r="A184" s="610"/>
      <c r="B184" s="581"/>
      <c r="C184" s="581"/>
      <c r="D184" s="174" t="str">
        <f>серпень!D184</f>
        <v>місцевий (план), тис.грн</v>
      </c>
      <c r="E184" s="56"/>
      <c r="F184" s="52"/>
      <c r="G184" s="52"/>
      <c r="H184" s="52"/>
      <c r="I184" s="52"/>
      <c r="J184" s="52"/>
      <c r="K184" s="52"/>
      <c r="L184" s="69">
        <f>SUM(F184:K184)</f>
        <v>0</v>
      </c>
      <c r="M184" s="69">
        <f>L184/6</f>
        <v>0</v>
      </c>
      <c r="N184" s="52"/>
      <c r="O184" s="52"/>
      <c r="P184" s="52"/>
      <c r="Q184" s="52"/>
      <c r="R184" s="52"/>
      <c r="S184" s="52"/>
      <c r="T184" s="69">
        <f>SUM(N184:S184)</f>
        <v>0</v>
      </c>
      <c r="U184" s="69">
        <f>T184+L184</f>
        <v>0</v>
      </c>
      <c r="V184" s="70"/>
      <c r="W184" s="53">
        <f>V184-U184</f>
        <v>0</v>
      </c>
    </row>
    <row r="185" spans="1:24" s="47" customFormat="1" ht="23.35" hidden="1" customHeight="1">
      <c r="A185" s="610"/>
      <c r="B185" s="581"/>
      <c r="C185" s="581"/>
      <c r="D185" s="178" t="str">
        <f>серпень!D185</f>
        <v>касові нат.п-ки 2025</v>
      </c>
      <c r="E185" s="11"/>
      <c r="F185" s="11"/>
      <c r="G185" s="11"/>
      <c r="H185" s="11"/>
      <c r="I185" s="11"/>
      <c r="J185" s="11"/>
      <c r="K185" s="11"/>
      <c r="L185" s="65">
        <f>SUM(F185:K185)</f>
        <v>0</v>
      </c>
      <c r="M185" s="65">
        <f>L185/6</f>
        <v>0</v>
      </c>
      <c r="N185" s="11"/>
      <c r="O185" s="11"/>
      <c r="P185" s="11"/>
      <c r="Q185" s="11"/>
      <c r="R185" s="11"/>
      <c r="S185" s="11">
        <f>S180+R180</f>
        <v>0</v>
      </c>
      <c r="T185" s="65">
        <f>SUM(N185:S185)</f>
        <v>0</v>
      </c>
      <c r="U185" s="65">
        <f>T185+L185</f>
        <v>0</v>
      </c>
      <c r="V185" s="11">
        <f>V180</f>
        <v>0</v>
      </c>
      <c r="W185" s="38">
        <f>V185-U185</f>
        <v>0</v>
      </c>
      <c r="X185" s="47">
        <f>U180-U185</f>
        <v>0</v>
      </c>
    </row>
    <row r="186" spans="1:24" s="47" customFormat="1" ht="23.35" hidden="1" customHeight="1">
      <c r="A186" s="610"/>
      <c r="B186" s="581"/>
      <c r="C186" s="581"/>
      <c r="D186" s="187" t="str">
        <f>серпень!D186</f>
        <v>тариф, грн.</v>
      </c>
      <c r="E186" s="49" t="e">
        <f>E187/E185*1000</f>
        <v>#DIV/0!</v>
      </c>
      <c r="F186" s="49">
        <v>2665.4160000000002</v>
      </c>
      <c r="G186" s="49">
        <v>2665.4160000000002</v>
      </c>
      <c r="H186" s="49">
        <v>2665.4160000000002</v>
      </c>
      <c r="I186" s="49">
        <v>2665.4160000000002</v>
      </c>
      <c r="J186" s="49">
        <v>2665.4160000000002</v>
      </c>
      <c r="K186" s="49">
        <v>2665.4160000000002</v>
      </c>
      <c r="L186" s="49" t="e">
        <f>L187/L185*1000</f>
        <v>#DIV/0!</v>
      </c>
      <c r="M186" s="49" t="e">
        <f>M187/M185*1000</f>
        <v>#DIV/0!</v>
      </c>
      <c r="N186" s="49">
        <v>2665.4160000000002</v>
      </c>
      <c r="O186" s="49">
        <v>2665.4160000000002</v>
      </c>
      <c r="P186" s="49">
        <v>2665.4160000000002</v>
      </c>
      <c r="Q186" s="49">
        <v>2665.4160000000002</v>
      </c>
      <c r="R186" s="49">
        <v>2665.4160000000002</v>
      </c>
      <c r="S186" s="49">
        <v>2665.4160000000002</v>
      </c>
      <c r="T186" s="49" t="e">
        <f>T187/T185*1000</f>
        <v>#DIV/0!</v>
      </c>
      <c r="U186" s="49" t="e">
        <f>U187/U185*1000</f>
        <v>#DIV/0!</v>
      </c>
      <c r="V186" s="68" t="e">
        <f>V187/V185*1000</f>
        <v>#DIV/0!</v>
      </c>
      <c r="W186" s="14" t="e">
        <f>W187/W185*1000</f>
        <v>#DIV/0!</v>
      </c>
    </row>
    <row r="187" spans="1:24" s="63" customFormat="1" ht="23.35" hidden="1" customHeight="1">
      <c r="A187" s="610"/>
      <c r="B187" s="581"/>
      <c r="C187" s="581"/>
      <c r="D187" s="198" t="str">
        <f>серпень!D187</f>
        <v>касові видатки, тис.грн.</v>
      </c>
      <c r="E187" s="71"/>
      <c r="F187" s="61">
        <f t="shared" ref="F187:K187" si="251">F185*F186/1000</f>
        <v>0</v>
      </c>
      <c r="G187" s="61">
        <f t="shared" si="251"/>
        <v>0</v>
      </c>
      <c r="H187" s="61">
        <f t="shared" si="251"/>
        <v>0</v>
      </c>
      <c r="I187" s="61">
        <f t="shared" si="251"/>
        <v>0</v>
      </c>
      <c r="J187" s="61">
        <f t="shared" si="251"/>
        <v>0</v>
      </c>
      <c r="K187" s="61">
        <f t="shared" si="251"/>
        <v>0</v>
      </c>
      <c r="L187" s="61">
        <f>SUM(F187:K187)</f>
        <v>0</v>
      </c>
      <c r="M187" s="61">
        <f>L187/6</f>
        <v>0</v>
      </c>
      <c r="N187" s="61">
        <f t="shared" ref="N187:S187" si="252">N185*N186/1000</f>
        <v>0</v>
      </c>
      <c r="O187" s="61">
        <f t="shared" si="252"/>
        <v>0</v>
      </c>
      <c r="P187" s="61">
        <f t="shared" si="252"/>
        <v>0</v>
      </c>
      <c r="Q187" s="61">
        <f t="shared" si="252"/>
        <v>0</v>
      </c>
      <c r="R187" s="61">
        <f t="shared" si="252"/>
        <v>0</v>
      </c>
      <c r="S187" s="61">
        <f t="shared" si="252"/>
        <v>0</v>
      </c>
      <c r="T187" s="61">
        <f>SUM(N187:S187)</f>
        <v>0</v>
      </c>
      <c r="U187" s="61">
        <f>T187+L187</f>
        <v>0</v>
      </c>
      <c r="V187" s="61">
        <f>V182</f>
        <v>0</v>
      </c>
      <c r="W187" s="72">
        <f>V187-U187</f>
        <v>0</v>
      </c>
      <c r="X187" s="63">
        <f>U182-U187</f>
        <v>0</v>
      </c>
    </row>
    <row r="188" spans="1:24" s="63" customFormat="1" ht="23.35" hidden="1" customHeight="1">
      <c r="A188" s="610"/>
      <c r="B188" s="581"/>
      <c r="C188" s="581"/>
      <c r="D188" s="201" t="str">
        <f>серпень!D188</f>
        <v>дотація</v>
      </c>
      <c r="E188" s="71"/>
      <c r="F188" s="61"/>
      <c r="G188" s="61"/>
      <c r="H188" s="61"/>
      <c r="I188" s="61"/>
      <c r="J188" s="61"/>
      <c r="K188" s="61"/>
      <c r="L188" s="61">
        <f>SUM(F188:K188)</f>
        <v>0</v>
      </c>
      <c r="M188" s="61">
        <f>L188/6</f>
        <v>0</v>
      </c>
      <c r="N188" s="61"/>
      <c r="O188" s="61"/>
      <c r="P188" s="61"/>
      <c r="Q188" s="61"/>
      <c r="R188" s="61"/>
      <c r="S188" s="61"/>
      <c r="T188" s="61">
        <f>SUM(N188:S188)</f>
        <v>0</v>
      </c>
      <c r="U188" s="61">
        <f>T188+L188</f>
        <v>0</v>
      </c>
      <c r="V188" s="61">
        <f>V183</f>
        <v>0</v>
      </c>
      <c r="W188" s="72">
        <f>V188-U188</f>
        <v>0</v>
      </c>
      <c r="X188" s="63">
        <f>U183-U188</f>
        <v>0</v>
      </c>
    </row>
    <row r="189" spans="1:24" s="63" customFormat="1" ht="23.35" hidden="1" customHeight="1">
      <c r="A189" s="610"/>
      <c r="B189" s="581"/>
      <c r="C189" s="581"/>
      <c r="D189" s="201" t="str">
        <f>серпень!D189</f>
        <v xml:space="preserve">місцевий </v>
      </c>
      <c r="E189" s="71"/>
      <c r="F189" s="61">
        <f t="shared" ref="F189:K189" si="253">F187-F188</f>
        <v>0</v>
      </c>
      <c r="G189" s="61">
        <f t="shared" si="253"/>
        <v>0</v>
      </c>
      <c r="H189" s="61">
        <f t="shared" si="253"/>
        <v>0</v>
      </c>
      <c r="I189" s="61">
        <f t="shared" si="253"/>
        <v>0</v>
      </c>
      <c r="J189" s="61">
        <f t="shared" si="253"/>
        <v>0</v>
      </c>
      <c r="K189" s="61">
        <f t="shared" si="253"/>
        <v>0</v>
      </c>
      <c r="L189" s="61">
        <f>SUM(F189:K189)</f>
        <v>0</v>
      </c>
      <c r="M189" s="61">
        <f>L189/6</f>
        <v>0</v>
      </c>
      <c r="N189" s="61">
        <f t="shared" ref="N189:S189" si="254">N187-N188</f>
        <v>0</v>
      </c>
      <c r="O189" s="61">
        <f t="shared" si="254"/>
        <v>0</v>
      </c>
      <c r="P189" s="61">
        <f t="shared" si="254"/>
        <v>0</v>
      </c>
      <c r="Q189" s="61">
        <f t="shared" si="254"/>
        <v>0</v>
      </c>
      <c r="R189" s="61">
        <f t="shared" si="254"/>
        <v>0</v>
      </c>
      <c r="S189" s="61">
        <f t="shared" si="254"/>
        <v>0</v>
      </c>
      <c r="T189" s="61">
        <f>SUM(N189:S189)</f>
        <v>0</v>
      </c>
      <c r="U189" s="61">
        <f>T189+L189</f>
        <v>0</v>
      </c>
      <c r="V189" s="61">
        <f>V184</f>
        <v>0</v>
      </c>
      <c r="W189" s="72">
        <f>V189-U189</f>
        <v>0</v>
      </c>
      <c r="X189" s="63">
        <f>U184-U189</f>
        <v>0</v>
      </c>
    </row>
    <row r="190" spans="1:24" s="43" customFormat="1" ht="23.35" hidden="1" customHeight="1">
      <c r="A190" s="610"/>
      <c r="B190" s="581"/>
      <c r="C190" s="581"/>
      <c r="D190" s="202" t="str">
        <f>серпень!D190</f>
        <v>план</v>
      </c>
      <c r="E190" s="42"/>
      <c r="F190" s="42">
        <f t="shared" ref="F190:K190" si="255">F184</f>
        <v>0</v>
      </c>
      <c r="G190" s="42">
        <f t="shared" si="255"/>
        <v>0</v>
      </c>
      <c r="H190" s="42">
        <f t="shared" si="255"/>
        <v>0</v>
      </c>
      <c r="I190" s="42">
        <f t="shared" si="255"/>
        <v>0</v>
      </c>
      <c r="J190" s="42">
        <f t="shared" si="255"/>
        <v>0</v>
      </c>
      <c r="K190" s="42">
        <f t="shared" si="255"/>
        <v>0</v>
      </c>
      <c r="L190" s="42">
        <f>SUM(F190:K190)</f>
        <v>0</v>
      </c>
      <c r="M190" s="42">
        <f>L190/6</f>
        <v>0</v>
      </c>
      <c r="N190" s="42">
        <f t="shared" ref="N190:S190" si="256">N184+N183</f>
        <v>0</v>
      </c>
      <c r="O190" s="42">
        <f t="shared" si="256"/>
        <v>0</v>
      </c>
      <c r="P190" s="42">
        <f t="shared" si="256"/>
        <v>0</v>
      </c>
      <c r="Q190" s="42">
        <f t="shared" si="256"/>
        <v>0</v>
      </c>
      <c r="R190" s="42">
        <f t="shared" si="256"/>
        <v>0</v>
      </c>
      <c r="S190" s="42">
        <f t="shared" si="256"/>
        <v>0</v>
      </c>
      <c r="T190" s="42">
        <f>SUM(N190:S190)</f>
        <v>0</v>
      </c>
      <c r="U190" s="42">
        <f>T190+L190</f>
        <v>0</v>
      </c>
      <c r="V190" s="42">
        <f>V187</f>
        <v>0</v>
      </c>
      <c r="W190" s="42">
        <f>V190-U190</f>
        <v>0</v>
      </c>
    </row>
    <row r="191" spans="1:24" s="43" customFormat="1" ht="23.35" hidden="1" customHeight="1">
      <c r="A191" s="610"/>
      <c r="B191" s="581"/>
      <c r="C191" s="581"/>
      <c r="D191" s="202" t="str">
        <f>серпень!D191</f>
        <v xml:space="preserve">відхилення </v>
      </c>
      <c r="E191" s="42"/>
      <c r="F191" s="42">
        <f t="shared" ref="F191:K191" si="257">F187-F190</f>
        <v>0</v>
      </c>
      <c r="G191" s="42">
        <f t="shared" si="257"/>
        <v>0</v>
      </c>
      <c r="H191" s="42">
        <f t="shared" si="257"/>
        <v>0</v>
      </c>
      <c r="I191" s="42">
        <f t="shared" si="257"/>
        <v>0</v>
      </c>
      <c r="J191" s="42">
        <f t="shared" si="257"/>
        <v>0</v>
      </c>
      <c r="K191" s="42">
        <f t="shared" si="257"/>
        <v>0</v>
      </c>
      <c r="L191" s="42"/>
      <c r="M191" s="42"/>
      <c r="N191" s="42">
        <f t="shared" ref="N191:S191" si="258">N187-N190</f>
        <v>0</v>
      </c>
      <c r="O191" s="42">
        <f t="shared" si="258"/>
        <v>0</v>
      </c>
      <c r="P191" s="42">
        <f t="shared" si="258"/>
        <v>0</v>
      </c>
      <c r="Q191" s="42">
        <f t="shared" si="258"/>
        <v>0</v>
      </c>
      <c r="R191" s="42">
        <f t="shared" si="258"/>
        <v>0</v>
      </c>
      <c r="S191" s="42">
        <f t="shared" si="258"/>
        <v>0</v>
      </c>
      <c r="T191" s="42"/>
      <c r="U191" s="42"/>
      <c r="V191" s="42"/>
      <c r="W191" s="42"/>
    </row>
    <row r="192" spans="1:24" s="43" customFormat="1" ht="23.35" hidden="1" customHeight="1">
      <c r="A192" s="610"/>
      <c r="B192" s="581"/>
      <c r="C192" s="581"/>
      <c r="D192" s="202" t="str">
        <f>серпень!D192</f>
        <v>відхилення з наростаючим</v>
      </c>
      <c r="E192" s="42"/>
      <c r="F192" s="42">
        <f>F191</f>
        <v>0</v>
      </c>
      <c r="G192" s="42">
        <f>G191+F192</f>
        <v>0</v>
      </c>
      <c r="H192" s="42">
        <f>H191+G192</f>
        <v>0</v>
      </c>
      <c r="I192" s="42">
        <f>I191+H192</f>
        <v>0</v>
      </c>
      <c r="J192" s="42">
        <f>J191+I192</f>
        <v>0</v>
      </c>
      <c r="K192" s="42">
        <f>K191+J192</f>
        <v>0</v>
      </c>
      <c r="L192" s="42"/>
      <c r="M192" s="42"/>
      <c r="N192" s="42">
        <f>N191+K192</f>
        <v>0</v>
      </c>
      <c r="O192" s="42">
        <f>O191+N192</f>
        <v>0</v>
      </c>
      <c r="P192" s="42">
        <f>P191+O192</f>
        <v>0</v>
      </c>
      <c r="Q192" s="42">
        <f>Q191+P192</f>
        <v>0</v>
      </c>
      <c r="R192" s="42">
        <f>R191+Q192</f>
        <v>0</v>
      </c>
      <c r="S192" s="42">
        <f>S191+R192</f>
        <v>0</v>
      </c>
      <c r="T192" s="42"/>
      <c r="U192" s="42"/>
      <c r="V192" s="42"/>
      <c r="W192" s="42"/>
    </row>
    <row r="193" spans="1:24" s="48" customFormat="1" ht="23.35" hidden="1" customHeight="1">
      <c r="A193" s="610"/>
      <c r="B193" s="576" t="s">
        <v>69</v>
      </c>
      <c r="C193" s="577"/>
      <c r="D193" s="178" t="str">
        <f>серпень!D193</f>
        <v>факт. нат.п-ки 2023</v>
      </c>
      <c r="E193" s="11"/>
      <c r="F193" s="12"/>
      <c r="G193" s="12"/>
      <c r="H193" s="12"/>
      <c r="I193" s="12"/>
      <c r="J193" s="12"/>
      <c r="K193" s="12"/>
      <c r="L193" s="65">
        <f>SUM(F193:K193)</f>
        <v>0</v>
      </c>
      <c r="M193" s="65">
        <f>L193/6</f>
        <v>0</v>
      </c>
      <c r="N193" s="12"/>
      <c r="O193" s="12"/>
      <c r="P193" s="12"/>
      <c r="Q193" s="12"/>
      <c r="R193" s="12"/>
      <c r="S193" s="12"/>
      <c r="T193" s="65">
        <f>SUM(N193:S193)</f>
        <v>0</v>
      </c>
      <c r="U193" s="66">
        <f>T193+L193</f>
        <v>0</v>
      </c>
      <c r="V193" s="67"/>
      <c r="W193" s="38">
        <f>V193-U193</f>
        <v>0</v>
      </c>
      <c r="X193" s="47"/>
    </row>
    <row r="194" spans="1:24" s="48" customFormat="1" ht="23.35" hidden="1" customHeight="1">
      <c r="A194" s="610"/>
      <c r="B194" s="576"/>
      <c r="C194" s="577"/>
      <c r="D194" s="178" t="str">
        <f>серпень!D194</f>
        <v>факт. нат.п-ки 2024</v>
      </c>
      <c r="E194" s="11"/>
      <c r="F194" s="12"/>
      <c r="G194" s="12"/>
      <c r="H194" s="12"/>
      <c r="I194" s="12"/>
      <c r="J194" s="12"/>
      <c r="K194" s="12"/>
      <c r="L194" s="65">
        <f>SUM(F194:K194)</f>
        <v>0</v>
      </c>
      <c r="M194" s="65">
        <f>L194/6</f>
        <v>0</v>
      </c>
      <c r="N194" s="11"/>
      <c r="O194" s="11"/>
      <c r="P194" s="11"/>
      <c r="Q194" s="11"/>
      <c r="R194" s="11"/>
      <c r="S194" s="11"/>
      <c r="T194" s="65">
        <f>SUM(N194:S194)</f>
        <v>0</v>
      </c>
      <c r="U194" s="66">
        <f>T194+L194</f>
        <v>0</v>
      </c>
      <c r="V194" s="67"/>
      <c r="W194" s="38">
        <f>V194-U194</f>
        <v>0</v>
      </c>
      <c r="X194" s="47"/>
    </row>
    <row r="195" spans="1:24" s="48" customFormat="1" ht="23.35" hidden="1" customHeight="1">
      <c r="A195" s="610"/>
      <c r="B195" s="576"/>
      <c r="C195" s="577"/>
      <c r="D195" s="178" t="str">
        <f>серпень!D195</f>
        <v>факт. нат.п-ки 2025</v>
      </c>
      <c r="E195" s="11"/>
      <c r="F195" s="12"/>
      <c r="G195" s="12"/>
      <c r="H195" s="12"/>
      <c r="I195" s="12"/>
      <c r="J195" s="12"/>
      <c r="K195" s="12"/>
      <c r="L195" s="65">
        <f>SUM(F195:K195)</f>
        <v>0</v>
      </c>
      <c r="M195" s="65">
        <f>L195/6</f>
        <v>0</v>
      </c>
      <c r="N195" s="12"/>
      <c r="O195" s="12"/>
      <c r="P195" s="12"/>
      <c r="Q195" s="12"/>
      <c r="R195" s="12"/>
      <c r="S195" s="11"/>
      <c r="T195" s="65">
        <f>SUM(N195:S195)</f>
        <v>0</v>
      </c>
      <c r="U195" s="66">
        <f>T195+L195</f>
        <v>0</v>
      </c>
      <c r="V195" s="11"/>
      <c r="W195" s="38">
        <f>V195-U195</f>
        <v>0</v>
      </c>
      <c r="X195" s="47"/>
    </row>
    <row r="196" spans="1:24" s="51" customFormat="1" ht="23.35" hidden="1" customHeight="1">
      <c r="A196" s="610"/>
      <c r="B196" s="576"/>
      <c r="C196" s="577"/>
      <c r="D196" s="187" t="str">
        <f>серпень!D196</f>
        <v>тариф, грн.</v>
      </c>
      <c r="E196" s="49"/>
      <c r="F196" s="49">
        <v>1441.6559999999999</v>
      </c>
      <c r="G196" s="49">
        <v>1441.6559999999999</v>
      </c>
      <c r="H196" s="49">
        <v>1441.6559999999999</v>
      </c>
      <c r="I196" s="49">
        <v>1441.6559999999999</v>
      </c>
      <c r="J196" s="49">
        <v>1441.6559999999999</v>
      </c>
      <c r="K196" s="49">
        <v>1441.6559999999999</v>
      </c>
      <c r="L196" s="49" t="e">
        <f>L197/L195*1000</f>
        <v>#DIV/0!</v>
      </c>
      <c r="M196" s="49" t="e">
        <f>M197/M195*1000</f>
        <v>#DIV/0!</v>
      </c>
      <c r="N196" s="49">
        <v>1441.6559999999999</v>
      </c>
      <c r="O196" s="49">
        <v>1441.6559999999999</v>
      </c>
      <c r="P196" s="49">
        <v>1441.6559999999999</v>
      </c>
      <c r="Q196" s="49">
        <v>1441.6559999999999</v>
      </c>
      <c r="R196" s="49">
        <v>1441.6559999999999</v>
      </c>
      <c r="S196" s="49">
        <v>1441.6559999999999</v>
      </c>
      <c r="T196" s="49" t="e">
        <f>T197/T195*1000</f>
        <v>#DIV/0!</v>
      </c>
      <c r="U196" s="49" t="e">
        <f>U197/U195*1000</f>
        <v>#DIV/0!</v>
      </c>
      <c r="V196" s="68" t="e">
        <f>V197/V195*1000</f>
        <v>#DIV/0!</v>
      </c>
      <c r="W196" s="14" t="e">
        <f>W197/W195*1000</f>
        <v>#DIV/0!</v>
      </c>
      <c r="X196" s="59"/>
    </row>
    <row r="197" spans="1:24" s="55" customFormat="1" ht="23.35" hidden="1" customHeight="1">
      <c r="A197" s="610"/>
      <c r="B197" s="576"/>
      <c r="C197" s="577"/>
      <c r="D197" s="191" t="str">
        <f>серпень!D197</f>
        <v>сума, тис.грн.</v>
      </c>
      <c r="E197" s="52"/>
      <c r="F197" s="52">
        <f t="shared" ref="F197:K197" si="259">F195*F196/1000</f>
        <v>0</v>
      </c>
      <c r="G197" s="52">
        <f t="shared" si="259"/>
        <v>0</v>
      </c>
      <c r="H197" s="52">
        <f t="shared" si="259"/>
        <v>0</v>
      </c>
      <c r="I197" s="52">
        <f t="shared" si="259"/>
        <v>0</v>
      </c>
      <c r="J197" s="52">
        <f t="shared" si="259"/>
        <v>0</v>
      </c>
      <c r="K197" s="52">
        <f t="shared" si="259"/>
        <v>0</v>
      </c>
      <c r="L197" s="69">
        <f>SUM(F197:K197)</f>
        <v>0</v>
      </c>
      <c r="M197" s="69">
        <f>L197/6</f>
        <v>0</v>
      </c>
      <c r="N197" s="52">
        <f t="shared" ref="N197:S197" si="260">N195*N196/1000</f>
        <v>0</v>
      </c>
      <c r="O197" s="52">
        <f t="shared" si="260"/>
        <v>0</v>
      </c>
      <c r="P197" s="52">
        <f t="shared" si="260"/>
        <v>0</v>
      </c>
      <c r="Q197" s="52">
        <f t="shared" si="260"/>
        <v>0</v>
      </c>
      <c r="R197" s="52">
        <f t="shared" si="260"/>
        <v>0</v>
      </c>
      <c r="S197" s="52">
        <f t="shared" si="260"/>
        <v>0</v>
      </c>
      <c r="T197" s="69">
        <f>SUM(N197:S197)</f>
        <v>0</v>
      </c>
      <c r="U197" s="69">
        <f>T197+L197</f>
        <v>0</v>
      </c>
      <c r="V197" s="70">
        <f>V198+V199</f>
        <v>0</v>
      </c>
      <c r="W197" s="53">
        <f>V197-U197</f>
        <v>0</v>
      </c>
      <c r="X197" s="54">
        <f>2726951.723/1000</f>
        <v>2726.9520000000002</v>
      </c>
    </row>
    <row r="198" spans="1:24" s="55" customFormat="1" ht="23.35" hidden="1" customHeight="1">
      <c r="A198" s="610"/>
      <c r="B198" s="576"/>
      <c r="C198" s="577"/>
      <c r="D198" s="174" t="str">
        <f>серпень!D198</f>
        <v>дотація</v>
      </c>
      <c r="E198" s="56"/>
      <c r="F198" s="52"/>
      <c r="G198" s="52"/>
      <c r="H198" s="52"/>
      <c r="I198" s="52"/>
      <c r="J198" s="52"/>
      <c r="K198" s="52"/>
      <c r="L198" s="69">
        <f>SUM(F198:K198)</f>
        <v>0</v>
      </c>
      <c r="M198" s="69">
        <f>L198/6</f>
        <v>0</v>
      </c>
      <c r="N198" s="52"/>
      <c r="O198" s="52"/>
      <c r="P198" s="52"/>
      <c r="Q198" s="52"/>
      <c r="R198" s="52"/>
      <c r="S198" s="52"/>
      <c r="T198" s="69">
        <f>SUM(N198:S198)</f>
        <v>0</v>
      </c>
      <c r="U198" s="69">
        <f>T198+L198</f>
        <v>0</v>
      </c>
      <c r="V198" s="70">
        <v>0</v>
      </c>
      <c r="W198" s="53">
        <f>V198-U198</f>
        <v>0</v>
      </c>
      <c r="X198" s="58"/>
    </row>
    <row r="199" spans="1:24" s="55" customFormat="1" ht="23.35" hidden="1" customHeight="1">
      <c r="A199" s="610"/>
      <c r="B199" s="576"/>
      <c r="C199" s="577"/>
      <c r="D199" s="174" t="str">
        <f>серпень!D199</f>
        <v>місцевий (план), тис.грн</v>
      </c>
      <c r="E199" s="56"/>
      <c r="F199" s="52"/>
      <c r="G199" s="52"/>
      <c r="H199" s="52"/>
      <c r="I199" s="52"/>
      <c r="J199" s="52"/>
      <c r="K199" s="52"/>
      <c r="L199" s="69">
        <f>SUM(F199:K199)</f>
        <v>0</v>
      </c>
      <c r="M199" s="69">
        <f>L199/6</f>
        <v>0</v>
      </c>
      <c r="N199" s="52"/>
      <c r="O199" s="52"/>
      <c r="P199" s="52"/>
      <c r="Q199" s="52"/>
      <c r="R199" s="52"/>
      <c r="S199" s="52"/>
      <c r="T199" s="69">
        <f>SUM(N199:S199)</f>
        <v>0</v>
      </c>
      <c r="U199" s="69">
        <f>T199+L199</f>
        <v>0</v>
      </c>
      <c r="V199" s="70"/>
      <c r="W199" s="53">
        <f>V199-U199</f>
        <v>0</v>
      </c>
      <c r="X199" s="58"/>
    </row>
    <row r="200" spans="1:24" s="48" customFormat="1" ht="23.35" hidden="1" customHeight="1">
      <c r="A200" s="610"/>
      <c r="B200" s="576"/>
      <c r="C200" s="577"/>
      <c r="D200" s="178" t="str">
        <f>серпень!D200</f>
        <v>касові нат.п-ки 2025</v>
      </c>
      <c r="E200" s="11"/>
      <c r="F200" s="11"/>
      <c r="G200" s="11"/>
      <c r="H200" s="11"/>
      <c r="I200" s="11"/>
      <c r="J200" s="11"/>
      <c r="K200" s="11"/>
      <c r="L200" s="65">
        <f>SUM(F200:K200)</f>
        <v>0</v>
      </c>
      <c r="M200" s="65">
        <f>L200/6</f>
        <v>0</v>
      </c>
      <c r="N200" s="11"/>
      <c r="O200" s="11"/>
      <c r="P200" s="11"/>
      <c r="Q200" s="11"/>
      <c r="R200" s="11"/>
      <c r="S200" s="11">
        <f>S195+R195</f>
        <v>0</v>
      </c>
      <c r="T200" s="65">
        <f>SUM(N200:S200)</f>
        <v>0</v>
      </c>
      <c r="U200" s="65">
        <f>T200+L200</f>
        <v>0</v>
      </c>
      <c r="V200" s="11">
        <f>V195</f>
        <v>0</v>
      </c>
      <c r="W200" s="38">
        <f>V200-U200</f>
        <v>0</v>
      </c>
      <c r="X200" s="47">
        <f>U195-U200</f>
        <v>0</v>
      </c>
    </row>
    <row r="201" spans="1:24" s="51" customFormat="1" ht="23.35" hidden="1" customHeight="1">
      <c r="A201" s="610"/>
      <c r="B201" s="576"/>
      <c r="C201" s="577"/>
      <c r="D201" s="187" t="str">
        <f>серпень!D201</f>
        <v>тариф, грн.</v>
      </c>
      <c r="E201" s="49" t="e">
        <f>E202/E200*1000</f>
        <v>#DIV/0!</v>
      </c>
      <c r="F201" s="49">
        <v>1441.6559999999999</v>
      </c>
      <c r="G201" s="49">
        <v>1441.6559999999999</v>
      </c>
      <c r="H201" s="49">
        <v>1441.6559999999999</v>
      </c>
      <c r="I201" s="49">
        <v>1441.6559999999999</v>
      </c>
      <c r="J201" s="49">
        <v>1441.6559999999999</v>
      </c>
      <c r="K201" s="49">
        <v>1441.6559999999999</v>
      </c>
      <c r="L201" s="49" t="e">
        <f>L202/L200*1000</f>
        <v>#DIV/0!</v>
      </c>
      <c r="M201" s="49" t="e">
        <f>M202/M200*1000</f>
        <v>#DIV/0!</v>
      </c>
      <c r="N201" s="49">
        <v>1441.6559999999999</v>
      </c>
      <c r="O201" s="49">
        <v>1441.6559999999999</v>
      </c>
      <c r="P201" s="49">
        <v>1441.6559999999999</v>
      </c>
      <c r="Q201" s="49">
        <v>1441.6559999999999</v>
      </c>
      <c r="R201" s="49">
        <v>1441.6559999999999</v>
      </c>
      <c r="S201" s="49">
        <v>1441.6559999999999</v>
      </c>
      <c r="T201" s="49" t="e">
        <f>T202/T200*1000</f>
        <v>#DIV/0!</v>
      </c>
      <c r="U201" s="49" t="e">
        <f>U202/U200*1000</f>
        <v>#DIV/0!</v>
      </c>
      <c r="V201" s="68" t="e">
        <f>V202/V200*1000</f>
        <v>#DIV/0!</v>
      </c>
      <c r="W201" s="14" t="e">
        <f>W202/W200*1000</f>
        <v>#DIV/0!</v>
      </c>
      <c r="X201" s="59"/>
    </row>
    <row r="202" spans="1:24" s="63" customFormat="1" ht="23.35" hidden="1" customHeight="1">
      <c r="A202" s="610"/>
      <c r="B202" s="576"/>
      <c r="C202" s="577"/>
      <c r="D202" s="198" t="str">
        <f>серпень!D202</f>
        <v>касові видатки, тис.грн.</v>
      </c>
      <c r="E202" s="71"/>
      <c r="F202" s="61">
        <f t="shared" ref="F202:K202" si="261">F200*F201/1000</f>
        <v>0</v>
      </c>
      <c r="G202" s="61">
        <f t="shared" si="261"/>
        <v>0</v>
      </c>
      <c r="H202" s="61">
        <f t="shared" si="261"/>
        <v>0</v>
      </c>
      <c r="I202" s="61">
        <f t="shared" si="261"/>
        <v>0</v>
      </c>
      <c r="J202" s="61">
        <f t="shared" si="261"/>
        <v>0</v>
      </c>
      <c r="K202" s="61">
        <f t="shared" si="261"/>
        <v>0</v>
      </c>
      <c r="L202" s="61">
        <f>SUM(F202:K202)</f>
        <v>0</v>
      </c>
      <c r="M202" s="61">
        <f>L202/6</f>
        <v>0</v>
      </c>
      <c r="N202" s="61">
        <f t="shared" ref="N202:S202" si="262">N200*N201/1000</f>
        <v>0</v>
      </c>
      <c r="O202" s="61">
        <f t="shared" si="262"/>
        <v>0</v>
      </c>
      <c r="P202" s="61">
        <f t="shared" si="262"/>
        <v>0</v>
      </c>
      <c r="Q202" s="61">
        <f t="shared" si="262"/>
        <v>0</v>
      </c>
      <c r="R202" s="61">
        <f t="shared" si="262"/>
        <v>0</v>
      </c>
      <c r="S202" s="61">
        <f t="shared" si="262"/>
        <v>0</v>
      </c>
      <c r="T202" s="61">
        <f>SUM(N202:S202)</f>
        <v>0</v>
      </c>
      <c r="U202" s="61">
        <f>T202+L202</f>
        <v>0</v>
      </c>
      <c r="V202" s="61">
        <f>V197</f>
        <v>0</v>
      </c>
      <c r="W202" s="72">
        <f>V202-U202</f>
        <v>0</v>
      </c>
      <c r="X202" s="63">
        <f>U197-U202</f>
        <v>0</v>
      </c>
    </row>
    <row r="203" spans="1:24" s="63" customFormat="1" ht="23.35" hidden="1" customHeight="1">
      <c r="A203" s="610"/>
      <c r="B203" s="576"/>
      <c r="C203" s="577"/>
      <c r="D203" s="201" t="str">
        <f>серпень!D203</f>
        <v>дотація</v>
      </c>
      <c r="E203" s="71"/>
      <c r="F203" s="61"/>
      <c r="G203" s="61"/>
      <c r="H203" s="61"/>
      <c r="I203" s="61"/>
      <c r="J203" s="61"/>
      <c r="K203" s="61"/>
      <c r="L203" s="61">
        <f>SUM(F203:K203)</f>
        <v>0</v>
      </c>
      <c r="M203" s="61">
        <f>L203/6</f>
        <v>0</v>
      </c>
      <c r="N203" s="61"/>
      <c r="O203" s="61"/>
      <c r="P203" s="61"/>
      <c r="Q203" s="61"/>
      <c r="R203" s="61"/>
      <c r="S203" s="61"/>
      <c r="T203" s="61">
        <f>SUM(N203:S203)</f>
        <v>0</v>
      </c>
      <c r="U203" s="61">
        <f>T203+L203</f>
        <v>0</v>
      </c>
      <c r="V203" s="61">
        <f>V198</f>
        <v>0</v>
      </c>
      <c r="W203" s="72">
        <f>V203-U203</f>
        <v>0</v>
      </c>
      <c r="X203" s="63">
        <f>U198-U203</f>
        <v>0</v>
      </c>
    </row>
    <row r="204" spans="1:24" s="63" customFormat="1" ht="23.35" hidden="1" customHeight="1">
      <c r="A204" s="610"/>
      <c r="B204" s="576"/>
      <c r="C204" s="577"/>
      <c r="D204" s="201" t="str">
        <f>серпень!D204</f>
        <v xml:space="preserve">місцевий </v>
      </c>
      <c r="E204" s="71"/>
      <c r="F204" s="61">
        <f t="shared" ref="F204:K204" si="263">F202-F203</f>
        <v>0</v>
      </c>
      <c r="G204" s="61">
        <f t="shared" si="263"/>
        <v>0</v>
      </c>
      <c r="H204" s="61">
        <f t="shared" si="263"/>
        <v>0</v>
      </c>
      <c r="I204" s="61">
        <f t="shared" si="263"/>
        <v>0</v>
      </c>
      <c r="J204" s="61">
        <f t="shared" si="263"/>
        <v>0</v>
      </c>
      <c r="K204" s="61">
        <f t="shared" si="263"/>
        <v>0</v>
      </c>
      <c r="L204" s="61">
        <f>SUM(F204:K204)</f>
        <v>0</v>
      </c>
      <c r="M204" s="61">
        <f>L204/6</f>
        <v>0</v>
      </c>
      <c r="N204" s="61">
        <f t="shared" ref="N204:S204" si="264">N202-N203</f>
        <v>0</v>
      </c>
      <c r="O204" s="61">
        <f t="shared" si="264"/>
        <v>0</v>
      </c>
      <c r="P204" s="61">
        <f t="shared" si="264"/>
        <v>0</v>
      </c>
      <c r="Q204" s="61">
        <f t="shared" si="264"/>
        <v>0</v>
      </c>
      <c r="R204" s="61">
        <f t="shared" si="264"/>
        <v>0</v>
      </c>
      <c r="S204" s="61">
        <f t="shared" si="264"/>
        <v>0</v>
      </c>
      <c r="T204" s="61">
        <f>SUM(N204:S204)</f>
        <v>0</v>
      </c>
      <c r="U204" s="61">
        <f>T204+L204</f>
        <v>0</v>
      </c>
      <c r="V204" s="61">
        <f>V199</f>
        <v>0</v>
      </c>
      <c r="W204" s="72">
        <f>V204-U204</f>
        <v>0</v>
      </c>
      <c r="X204" s="63">
        <f>U199-U204</f>
        <v>0</v>
      </c>
    </row>
    <row r="205" spans="1:24" s="43" customFormat="1" ht="23.35" hidden="1" customHeight="1">
      <c r="A205" s="610"/>
      <c r="B205" s="576"/>
      <c r="C205" s="577"/>
      <c r="D205" s="202" t="str">
        <f>серпень!D205</f>
        <v>план</v>
      </c>
      <c r="E205" s="42"/>
      <c r="F205" s="42">
        <f t="shared" ref="F205:K205" si="265">F199</f>
        <v>0</v>
      </c>
      <c r="G205" s="42">
        <f t="shared" si="265"/>
        <v>0</v>
      </c>
      <c r="H205" s="42">
        <f t="shared" si="265"/>
        <v>0</v>
      </c>
      <c r="I205" s="42">
        <f t="shared" si="265"/>
        <v>0</v>
      </c>
      <c r="J205" s="42">
        <f t="shared" si="265"/>
        <v>0</v>
      </c>
      <c r="K205" s="42">
        <f t="shared" si="265"/>
        <v>0</v>
      </c>
      <c r="L205" s="42">
        <f>SUM(F205:K205)</f>
        <v>0</v>
      </c>
      <c r="M205" s="42">
        <f>L205/6</f>
        <v>0</v>
      </c>
      <c r="N205" s="42">
        <f t="shared" ref="N205:S205" si="266">N199+N198</f>
        <v>0</v>
      </c>
      <c r="O205" s="42">
        <f t="shared" si="266"/>
        <v>0</v>
      </c>
      <c r="P205" s="42">
        <f t="shared" si="266"/>
        <v>0</v>
      </c>
      <c r="Q205" s="42">
        <f t="shared" si="266"/>
        <v>0</v>
      </c>
      <c r="R205" s="42">
        <f t="shared" si="266"/>
        <v>0</v>
      </c>
      <c r="S205" s="42">
        <f t="shared" si="266"/>
        <v>0</v>
      </c>
      <c r="T205" s="42">
        <f>SUM(N205:S205)</f>
        <v>0</v>
      </c>
      <c r="U205" s="42">
        <f>T205+L205</f>
        <v>0</v>
      </c>
      <c r="V205" s="42">
        <f>V202</f>
        <v>0</v>
      </c>
      <c r="W205" s="42">
        <f>V205-U205</f>
        <v>0</v>
      </c>
    </row>
    <row r="206" spans="1:24" s="43" customFormat="1" ht="23.35" hidden="1" customHeight="1">
      <c r="A206" s="610"/>
      <c r="B206" s="576"/>
      <c r="C206" s="577"/>
      <c r="D206" s="202" t="str">
        <f>серпень!D206</f>
        <v xml:space="preserve">відхилення </v>
      </c>
      <c r="E206" s="42"/>
      <c r="F206" s="42">
        <f t="shared" ref="F206:K206" si="267">F202-F205</f>
        <v>0</v>
      </c>
      <c r="G206" s="42">
        <f t="shared" si="267"/>
        <v>0</v>
      </c>
      <c r="H206" s="42">
        <f t="shared" si="267"/>
        <v>0</v>
      </c>
      <c r="I206" s="42">
        <f t="shared" si="267"/>
        <v>0</v>
      </c>
      <c r="J206" s="42">
        <f t="shared" si="267"/>
        <v>0</v>
      </c>
      <c r="K206" s="42">
        <f t="shared" si="267"/>
        <v>0</v>
      </c>
      <c r="L206" s="42"/>
      <c r="M206" s="42"/>
      <c r="N206" s="42">
        <f t="shared" ref="N206:S206" si="268">N202-N205</f>
        <v>0</v>
      </c>
      <c r="O206" s="42">
        <f t="shared" si="268"/>
        <v>0</v>
      </c>
      <c r="P206" s="42">
        <f t="shared" si="268"/>
        <v>0</v>
      </c>
      <c r="Q206" s="42">
        <f t="shared" si="268"/>
        <v>0</v>
      </c>
      <c r="R206" s="42">
        <f t="shared" si="268"/>
        <v>0</v>
      </c>
      <c r="S206" s="42">
        <f t="shared" si="268"/>
        <v>0</v>
      </c>
      <c r="T206" s="42"/>
      <c r="U206" s="42"/>
      <c r="V206" s="42"/>
      <c r="W206" s="42"/>
    </row>
    <row r="207" spans="1:24" s="43" customFormat="1" ht="23.35" hidden="1" customHeight="1">
      <c r="A207" s="611"/>
      <c r="B207" s="578"/>
      <c r="C207" s="579"/>
      <c r="D207" s="202" t="str">
        <f>серпень!D207</f>
        <v>відхилення з наростаючим</v>
      </c>
      <c r="E207" s="42"/>
      <c r="F207" s="42">
        <f>F206</f>
        <v>0</v>
      </c>
      <c r="G207" s="42">
        <f>G206+F207</f>
        <v>0</v>
      </c>
      <c r="H207" s="42">
        <f>H206+G207</f>
        <v>0</v>
      </c>
      <c r="I207" s="42">
        <f>I206+H207</f>
        <v>0</v>
      </c>
      <c r="J207" s="42">
        <f>J206+I207</f>
        <v>0</v>
      </c>
      <c r="K207" s="42">
        <f>K206+J207</f>
        <v>0</v>
      </c>
      <c r="L207" s="42"/>
      <c r="M207" s="42"/>
      <c r="N207" s="42">
        <f>N206+K207</f>
        <v>0</v>
      </c>
      <c r="O207" s="42">
        <f>O206+N207</f>
        <v>0</v>
      </c>
      <c r="P207" s="42">
        <f>P206+O207</f>
        <v>0</v>
      </c>
      <c r="Q207" s="42">
        <f>Q206+P207</f>
        <v>0</v>
      </c>
      <c r="R207" s="42">
        <f>R206+Q207</f>
        <v>0</v>
      </c>
      <c r="S207" s="42">
        <f>S206+R207</f>
        <v>0</v>
      </c>
      <c r="T207" s="42"/>
      <c r="U207" s="42"/>
      <c r="V207" s="42"/>
      <c r="W207" s="42"/>
    </row>
    <row r="208" spans="1:24" s="47" customFormat="1" ht="23.35" hidden="1" customHeight="1">
      <c r="A208" s="609"/>
      <c r="B208" s="580" t="s">
        <v>92</v>
      </c>
      <c r="C208" s="575"/>
      <c r="D208" s="178" t="str">
        <f>серпень!D208</f>
        <v>факт. нат.п-ки 2023</v>
      </c>
      <c r="E208" s="11"/>
      <c r="F208" s="12">
        <f t="shared" ref="F208:K210" si="269">F223+F238</f>
        <v>0</v>
      </c>
      <c r="G208" s="12">
        <f t="shared" si="269"/>
        <v>0</v>
      </c>
      <c r="H208" s="12">
        <f t="shared" si="269"/>
        <v>0</v>
      </c>
      <c r="I208" s="12">
        <f t="shared" si="269"/>
        <v>0</v>
      </c>
      <c r="J208" s="12">
        <f t="shared" si="269"/>
        <v>0</v>
      </c>
      <c r="K208" s="12">
        <f t="shared" si="269"/>
        <v>0</v>
      </c>
      <c r="L208" s="44">
        <f>SUM(F208:K208)</f>
        <v>0</v>
      </c>
      <c r="M208" s="44">
        <f>L208/6</f>
        <v>0</v>
      </c>
      <c r="N208" s="12">
        <f t="shared" ref="N208:S210" si="270">N223+N238</f>
        <v>0</v>
      </c>
      <c r="O208" s="12">
        <f t="shared" si="270"/>
        <v>0</v>
      </c>
      <c r="P208" s="12">
        <f t="shared" si="270"/>
        <v>0</v>
      </c>
      <c r="Q208" s="12">
        <f t="shared" si="270"/>
        <v>0</v>
      </c>
      <c r="R208" s="12">
        <f t="shared" si="270"/>
        <v>0</v>
      </c>
      <c r="S208" s="12">
        <f t="shared" si="270"/>
        <v>0</v>
      </c>
      <c r="T208" s="44">
        <f>SUM(N208:S208)</f>
        <v>0</v>
      </c>
      <c r="U208" s="45">
        <f>T208+L208</f>
        <v>0</v>
      </c>
      <c r="V208" s="46">
        <f>V223+V238</f>
        <v>0</v>
      </c>
      <c r="W208" s="38">
        <f>V208-U208</f>
        <v>0</v>
      </c>
    </row>
    <row r="209" spans="1:24" s="47" customFormat="1" ht="23.35" hidden="1" customHeight="1">
      <c r="A209" s="610"/>
      <c r="B209" s="576"/>
      <c r="C209" s="577"/>
      <c r="D209" s="178" t="str">
        <f>серпень!D209</f>
        <v>факт. нат.п-ки 2024</v>
      </c>
      <c r="E209" s="11"/>
      <c r="F209" s="12">
        <f t="shared" si="269"/>
        <v>0</v>
      </c>
      <c r="G209" s="12">
        <f t="shared" si="269"/>
        <v>0</v>
      </c>
      <c r="H209" s="12">
        <f t="shared" si="269"/>
        <v>0</v>
      </c>
      <c r="I209" s="12">
        <f t="shared" si="269"/>
        <v>0</v>
      </c>
      <c r="J209" s="12">
        <f>J224+J239</f>
        <v>0</v>
      </c>
      <c r="K209" s="12">
        <f t="shared" si="269"/>
        <v>0</v>
      </c>
      <c r="L209" s="44">
        <f>SUM(F209:K209)</f>
        <v>0</v>
      </c>
      <c r="M209" s="44">
        <f>L209/6</f>
        <v>0</v>
      </c>
      <c r="N209" s="11">
        <f t="shared" si="270"/>
        <v>0</v>
      </c>
      <c r="O209" s="11">
        <f t="shared" si="270"/>
        <v>0</v>
      </c>
      <c r="P209" s="11">
        <f t="shared" si="270"/>
        <v>0</v>
      </c>
      <c r="Q209" s="11">
        <f t="shared" si="270"/>
        <v>0</v>
      </c>
      <c r="R209" s="11">
        <f t="shared" si="270"/>
        <v>0</v>
      </c>
      <c r="S209" s="11">
        <f t="shared" si="270"/>
        <v>0</v>
      </c>
      <c r="T209" s="44">
        <f>SUM(N209:S209)</f>
        <v>0</v>
      </c>
      <c r="U209" s="45">
        <f>T209+L209</f>
        <v>0</v>
      </c>
      <c r="V209" s="46">
        <f>V224+V239</f>
        <v>0</v>
      </c>
      <c r="W209" s="38">
        <f>V209-U209</f>
        <v>0</v>
      </c>
    </row>
    <row r="210" spans="1:24" s="47" customFormat="1" ht="23.35" hidden="1" customHeight="1">
      <c r="A210" s="610"/>
      <c r="B210" s="576"/>
      <c r="C210" s="577"/>
      <c r="D210" s="178" t="str">
        <f>серпень!D210</f>
        <v>факт. нат.п-ки 2025</v>
      </c>
      <c r="E210" s="11"/>
      <c r="F210" s="12">
        <f t="shared" si="269"/>
        <v>0</v>
      </c>
      <c r="G210" s="12">
        <f t="shared" si="269"/>
        <v>0</v>
      </c>
      <c r="H210" s="12">
        <f t="shared" si="269"/>
        <v>0</v>
      </c>
      <c r="I210" s="12">
        <f t="shared" si="269"/>
        <v>0</v>
      </c>
      <c r="J210" s="12">
        <f>J225+J240</f>
        <v>0</v>
      </c>
      <c r="K210" s="12">
        <f t="shared" si="269"/>
        <v>0</v>
      </c>
      <c r="L210" s="44">
        <f>SUM(F210:K210)</f>
        <v>0</v>
      </c>
      <c r="M210" s="44">
        <f>L210/6</f>
        <v>0</v>
      </c>
      <c r="N210" s="12">
        <f t="shared" si="270"/>
        <v>0</v>
      </c>
      <c r="O210" s="12">
        <f t="shared" si="270"/>
        <v>0</v>
      </c>
      <c r="P210" s="12">
        <f t="shared" si="270"/>
        <v>0</v>
      </c>
      <c r="Q210" s="12">
        <f t="shared" si="270"/>
        <v>0</v>
      </c>
      <c r="R210" s="12">
        <f t="shared" si="270"/>
        <v>0</v>
      </c>
      <c r="S210" s="12">
        <f t="shared" si="270"/>
        <v>0</v>
      </c>
      <c r="T210" s="44">
        <f>SUM(N210:S210)</f>
        <v>0</v>
      </c>
      <c r="U210" s="45">
        <f>T210+L210</f>
        <v>0</v>
      </c>
      <c r="V210" s="46">
        <f>V225+V240</f>
        <v>0</v>
      </c>
      <c r="W210" s="38">
        <f>V210-U210</f>
        <v>0</v>
      </c>
    </row>
    <row r="211" spans="1:24" s="47" customFormat="1" ht="23.35" hidden="1" customHeight="1">
      <c r="A211" s="610"/>
      <c r="B211" s="576"/>
      <c r="C211" s="577"/>
      <c r="D211" s="187" t="str">
        <f>серпень!D211</f>
        <v>тариф, грн.</v>
      </c>
      <c r="E211" s="49"/>
      <c r="F211" s="49" t="e">
        <f>F212/F210*1000</f>
        <v>#DIV/0!</v>
      </c>
      <c r="G211" s="49" t="e">
        <f>G212/G210*1000</f>
        <v>#DIV/0!</v>
      </c>
      <c r="H211" s="49" t="e">
        <f>H212/H210*1000</f>
        <v>#DIV/0!</v>
      </c>
      <c r="I211" s="49" t="e">
        <f>I212/I210*1000</f>
        <v>#DIV/0!</v>
      </c>
      <c r="J211" s="49" t="e">
        <f>J212/J210*1000</f>
        <v>#DIV/0!</v>
      </c>
      <c r="K211" s="49" t="e">
        <f t="shared" ref="K211:S211" si="271">K212/K210*1000</f>
        <v>#DIV/0!</v>
      </c>
      <c r="L211" s="49" t="e">
        <f t="shared" si="271"/>
        <v>#DIV/0!</v>
      </c>
      <c r="M211" s="49" t="e">
        <f t="shared" si="271"/>
        <v>#DIV/0!</v>
      </c>
      <c r="N211" s="49" t="e">
        <f t="shared" si="271"/>
        <v>#DIV/0!</v>
      </c>
      <c r="O211" s="49" t="e">
        <f t="shared" si="271"/>
        <v>#DIV/0!</v>
      </c>
      <c r="P211" s="49" t="e">
        <f t="shared" si="271"/>
        <v>#DIV/0!</v>
      </c>
      <c r="Q211" s="49" t="e">
        <f t="shared" si="271"/>
        <v>#DIV/0!</v>
      </c>
      <c r="R211" s="49" t="e">
        <f t="shared" si="271"/>
        <v>#DIV/0!</v>
      </c>
      <c r="S211" s="49" t="e">
        <f t="shared" si="271"/>
        <v>#DIV/0!</v>
      </c>
      <c r="T211" s="49" t="e">
        <f>T212/T210*1000</f>
        <v>#DIV/0!</v>
      </c>
      <c r="U211" s="49" t="e">
        <f>U212/U210*1000</f>
        <v>#DIV/0!</v>
      </c>
      <c r="V211" s="49" t="e">
        <f>V212/V210*1000</f>
        <v>#DIV/0!</v>
      </c>
      <c r="W211" s="14" t="e">
        <f>W212/W210*1000</f>
        <v>#DIV/0!</v>
      </c>
    </row>
    <row r="212" spans="1:24" s="47" customFormat="1" ht="23.35" hidden="1" customHeight="1">
      <c r="A212" s="610"/>
      <c r="B212" s="576"/>
      <c r="C212" s="577"/>
      <c r="D212" s="191" t="str">
        <f>серпень!D212</f>
        <v>сума, тис.грн.</v>
      </c>
      <c r="E212" s="52"/>
      <c r="F212" s="52">
        <f t="shared" ref="F212:K215" si="272">F227+F242</f>
        <v>0</v>
      </c>
      <c r="G212" s="52">
        <f t="shared" si="272"/>
        <v>0</v>
      </c>
      <c r="H212" s="52">
        <f t="shared" si="272"/>
        <v>0</v>
      </c>
      <c r="I212" s="52">
        <f t="shared" si="272"/>
        <v>0</v>
      </c>
      <c r="J212" s="52">
        <f t="shared" si="272"/>
        <v>0</v>
      </c>
      <c r="K212" s="52">
        <f t="shared" si="272"/>
        <v>0</v>
      </c>
      <c r="L212" s="52">
        <f>SUM(F212:K212)</f>
        <v>0</v>
      </c>
      <c r="M212" s="52">
        <f>L212/6</f>
        <v>0</v>
      </c>
      <c r="N212" s="52">
        <f t="shared" ref="N212:S215" si="273">N227+N242</f>
        <v>0</v>
      </c>
      <c r="O212" s="52">
        <f t="shared" si="273"/>
        <v>0</v>
      </c>
      <c r="P212" s="52">
        <f t="shared" si="273"/>
        <v>0</v>
      </c>
      <c r="Q212" s="52">
        <f t="shared" si="273"/>
        <v>0</v>
      </c>
      <c r="R212" s="52">
        <f t="shared" si="273"/>
        <v>0</v>
      </c>
      <c r="S212" s="52">
        <f t="shared" si="273"/>
        <v>0</v>
      </c>
      <c r="T212" s="52">
        <f>SUM(N212:S212)</f>
        <v>0</v>
      </c>
      <c r="U212" s="52">
        <f>T212+L212</f>
        <v>0</v>
      </c>
      <c r="V212" s="53">
        <f>V227+V242</f>
        <v>0</v>
      </c>
      <c r="W212" s="53">
        <f>V212-U212</f>
        <v>0</v>
      </c>
    </row>
    <row r="213" spans="1:24" s="47" customFormat="1" ht="23.35" hidden="1" customHeight="1">
      <c r="A213" s="610"/>
      <c r="B213" s="576"/>
      <c r="C213" s="577"/>
      <c r="D213" s="174" t="str">
        <f>серпень!D213</f>
        <v>дотація</v>
      </c>
      <c r="E213" s="56"/>
      <c r="F213" s="52">
        <f t="shared" si="272"/>
        <v>0</v>
      </c>
      <c r="G213" s="52">
        <f t="shared" si="272"/>
        <v>0</v>
      </c>
      <c r="H213" s="52">
        <f t="shared" si="272"/>
        <v>0</v>
      </c>
      <c r="I213" s="52">
        <f t="shared" si="272"/>
        <v>0</v>
      </c>
      <c r="J213" s="52">
        <f>J228+J243</f>
        <v>0</v>
      </c>
      <c r="K213" s="52">
        <f t="shared" si="272"/>
        <v>0</v>
      </c>
      <c r="L213" s="52">
        <f>SUM(F213:K213)</f>
        <v>0</v>
      </c>
      <c r="M213" s="52">
        <f>L213/6</f>
        <v>0</v>
      </c>
      <c r="N213" s="52">
        <f t="shared" si="273"/>
        <v>0</v>
      </c>
      <c r="O213" s="52">
        <f t="shared" si="273"/>
        <v>0</v>
      </c>
      <c r="P213" s="52">
        <f t="shared" si="273"/>
        <v>0</v>
      </c>
      <c r="Q213" s="52">
        <f t="shared" si="273"/>
        <v>0</v>
      </c>
      <c r="R213" s="52">
        <f t="shared" si="273"/>
        <v>0</v>
      </c>
      <c r="S213" s="52">
        <f t="shared" si="273"/>
        <v>0</v>
      </c>
      <c r="T213" s="52">
        <f>SUM(N213:S213)</f>
        <v>0</v>
      </c>
      <c r="U213" s="52">
        <f>T213+L213</f>
        <v>0</v>
      </c>
      <c r="V213" s="53">
        <f>V228+V243</f>
        <v>0</v>
      </c>
      <c r="W213" s="57">
        <f>V213-U213</f>
        <v>0</v>
      </c>
    </row>
    <row r="214" spans="1:24" s="47" customFormat="1" ht="23.35" hidden="1" customHeight="1">
      <c r="A214" s="610"/>
      <c r="B214" s="576"/>
      <c r="C214" s="577"/>
      <c r="D214" s="174" t="str">
        <f>серпень!D214</f>
        <v>місцевий (план), тис.грн</v>
      </c>
      <c r="E214" s="56"/>
      <c r="F214" s="52">
        <f t="shared" si="272"/>
        <v>0</v>
      </c>
      <c r="G214" s="52">
        <f t="shared" si="272"/>
        <v>0</v>
      </c>
      <c r="H214" s="52">
        <f t="shared" si="272"/>
        <v>0</v>
      </c>
      <c r="I214" s="52">
        <f t="shared" si="272"/>
        <v>0</v>
      </c>
      <c r="J214" s="52">
        <f>J229+J244</f>
        <v>0</v>
      </c>
      <c r="K214" s="52">
        <f t="shared" si="272"/>
        <v>0</v>
      </c>
      <c r="L214" s="52">
        <f>SUM(F214:K214)</f>
        <v>0</v>
      </c>
      <c r="M214" s="52">
        <f>L214/6</f>
        <v>0</v>
      </c>
      <c r="N214" s="52">
        <f t="shared" si="273"/>
        <v>0</v>
      </c>
      <c r="O214" s="52">
        <f t="shared" si="273"/>
        <v>0</v>
      </c>
      <c r="P214" s="52">
        <f t="shared" si="273"/>
        <v>0</v>
      </c>
      <c r="Q214" s="52">
        <f t="shared" si="273"/>
        <v>0</v>
      </c>
      <c r="R214" s="52">
        <f t="shared" si="273"/>
        <v>0</v>
      </c>
      <c r="S214" s="52">
        <f t="shared" si="273"/>
        <v>0</v>
      </c>
      <c r="T214" s="52">
        <f>SUM(N214:S214)</f>
        <v>0</v>
      </c>
      <c r="U214" s="52">
        <f>T214+L214</f>
        <v>0</v>
      </c>
      <c r="V214" s="53">
        <f>V229+V244</f>
        <v>0</v>
      </c>
      <c r="W214" s="53">
        <f>V214-U214</f>
        <v>0</v>
      </c>
    </row>
    <row r="215" spans="1:24" s="47" customFormat="1" ht="23.35" hidden="1" customHeight="1">
      <c r="A215" s="610"/>
      <c r="B215" s="576"/>
      <c r="C215" s="577"/>
      <c r="D215" s="178" t="str">
        <f>серпень!D215</f>
        <v>касові нат.п-ки 2025</v>
      </c>
      <c r="E215" s="11">
        <f>E230+E245</f>
        <v>0</v>
      </c>
      <c r="F215" s="11">
        <f t="shared" si="272"/>
        <v>0</v>
      </c>
      <c r="G215" s="11">
        <f t="shared" si="272"/>
        <v>0</v>
      </c>
      <c r="H215" s="11">
        <f t="shared" si="272"/>
        <v>0</v>
      </c>
      <c r="I215" s="11">
        <f t="shared" si="272"/>
        <v>0</v>
      </c>
      <c r="J215" s="11">
        <f>J230+J245</f>
        <v>0</v>
      </c>
      <c r="K215" s="11">
        <f t="shared" si="272"/>
        <v>0</v>
      </c>
      <c r="L215" s="44">
        <f>SUM(F215:K215)</f>
        <v>0</v>
      </c>
      <c r="M215" s="44">
        <f>L215/6</f>
        <v>0</v>
      </c>
      <c r="N215" s="11">
        <f t="shared" si="273"/>
        <v>0</v>
      </c>
      <c r="O215" s="11">
        <f t="shared" si="273"/>
        <v>0</v>
      </c>
      <c r="P215" s="11">
        <f t="shared" si="273"/>
        <v>0</v>
      </c>
      <c r="Q215" s="11">
        <f t="shared" si="273"/>
        <v>0</v>
      </c>
      <c r="R215" s="11">
        <f t="shared" si="273"/>
        <v>0</v>
      </c>
      <c r="S215" s="11">
        <f t="shared" si="273"/>
        <v>0</v>
      </c>
      <c r="T215" s="44">
        <f>SUM(N215:S215)</f>
        <v>0</v>
      </c>
      <c r="U215" s="44">
        <f>T215+L215</f>
        <v>0</v>
      </c>
      <c r="V215" s="38">
        <f>V230+V245</f>
        <v>0</v>
      </c>
      <c r="W215" s="38">
        <f>V215-U215</f>
        <v>0</v>
      </c>
      <c r="X215" s="47">
        <f>U210-U215</f>
        <v>0</v>
      </c>
    </row>
    <row r="216" spans="1:24" s="47" customFormat="1" ht="23.35" hidden="1" customHeight="1">
      <c r="A216" s="610"/>
      <c r="B216" s="576"/>
      <c r="C216" s="577"/>
      <c r="D216" s="187" t="str">
        <f>серпень!D216</f>
        <v>тариф, грн.</v>
      </c>
      <c r="E216" s="49" t="e">
        <f t="shared" ref="E216:S216" si="274">E217/E215*1000</f>
        <v>#DIV/0!</v>
      </c>
      <c r="F216" s="49" t="e">
        <f t="shared" si="274"/>
        <v>#DIV/0!</v>
      </c>
      <c r="G216" s="49" t="e">
        <f t="shared" si="274"/>
        <v>#DIV/0!</v>
      </c>
      <c r="H216" s="49" t="e">
        <f t="shared" si="274"/>
        <v>#DIV/0!</v>
      </c>
      <c r="I216" s="49" t="e">
        <f t="shared" si="274"/>
        <v>#DIV/0!</v>
      </c>
      <c r="J216" s="49" t="e">
        <f t="shared" si="274"/>
        <v>#DIV/0!</v>
      </c>
      <c r="K216" s="49" t="e">
        <f t="shared" si="274"/>
        <v>#DIV/0!</v>
      </c>
      <c r="L216" s="49" t="e">
        <f t="shared" si="274"/>
        <v>#DIV/0!</v>
      </c>
      <c r="M216" s="49" t="e">
        <f t="shared" si="274"/>
        <v>#DIV/0!</v>
      </c>
      <c r="N216" s="49" t="e">
        <f t="shared" si="274"/>
        <v>#DIV/0!</v>
      </c>
      <c r="O216" s="49" t="e">
        <f t="shared" si="274"/>
        <v>#DIV/0!</v>
      </c>
      <c r="P216" s="49" t="e">
        <f t="shared" si="274"/>
        <v>#DIV/0!</v>
      </c>
      <c r="Q216" s="49" t="e">
        <f t="shared" si="274"/>
        <v>#DIV/0!</v>
      </c>
      <c r="R216" s="49" t="e">
        <f t="shared" si="274"/>
        <v>#DIV/0!</v>
      </c>
      <c r="S216" s="49" t="e">
        <f t="shared" si="274"/>
        <v>#DIV/0!</v>
      </c>
      <c r="T216" s="49" t="e">
        <f>T217/T215*1000</f>
        <v>#DIV/0!</v>
      </c>
      <c r="U216" s="49" t="e">
        <f>U217/U215*1000</f>
        <v>#DIV/0!</v>
      </c>
      <c r="V216" s="49" t="e">
        <f>V217/V215*1000</f>
        <v>#DIV/0!</v>
      </c>
      <c r="W216" s="14" t="e">
        <f>W217/W215*1000</f>
        <v>#DIV/0!</v>
      </c>
    </row>
    <row r="217" spans="1:24" s="63" customFormat="1" ht="23.35" hidden="1" customHeight="1">
      <c r="A217" s="610"/>
      <c r="B217" s="576"/>
      <c r="C217" s="577"/>
      <c r="D217" s="198" t="str">
        <f>серпень!D217</f>
        <v>касові видатки, тис.грн.</v>
      </c>
      <c r="E217" s="60">
        <f t="shared" ref="E217:K219" si="275">E232+E247</f>
        <v>0</v>
      </c>
      <c r="F217" s="61">
        <f t="shared" si="275"/>
        <v>0</v>
      </c>
      <c r="G217" s="61">
        <f t="shared" si="275"/>
        <v>0</v>
      </c>
      <c r="H217" s="61">
        <f t="shared" si="275"/>
        <v>0</v>
      </c>
      <c r="I217" s="61">
        <f t="shared" si="275"/>
        <v>0</v>
      </c>
      <c r="J217" s="61">
        <f t="shared" si="275"/>
        <v>0</v>
      </c>
      <c r="K217" s="61">
        <f t="shared" si="275"/>
        <v>0</v>
      </c>
      <c r="L217" s="61">
        <f>SUM(F217:K217)</f>
        <v>0</v>
      </c>
      <c r="M217" s="61">
        <f>L217/6</f>
        <v>0</v>
      </c>
      <c r="N217" s="61">
        <f t="shared" ref="N217:S219" si="276">N232+N247</f>
        <v>0</v>
      </c>
      <c r="O217" s="61">
        <f t="shared" si="276"/>
        <v>0</v>
      </c>
      <c r="P217" s="61">
        <f t="shared" si="276"/>
        <v>0</v>
      </c>
      <c r="Q217" s="61">
        <f t="shared" si="276"/>
        <v>0</v>
      </c>
      <c r="R217" s="61">
        <f t="shared" si="276"/>
        <v>0</v>
      </c>
      <c r="S217" s="61">
        <f t="shared" si="276"/>
        <v>0</v>
      </c>
      <c r="T217" s="61">
        <f>SUM(N217:S217)</f>
        <v>0</v>
      </c>
      <c r="U217" s="61">
        <f>T217+L217</f>
        <v>0</v>
      </c>
      <c r="V217" s="62">
        <f>V232+V247</f>
        <v>0</v>
      </c>
      <c r="W217" s="62">
        <f>V217-U217</f>
        <v>0</v>
      </c>
      <c r="X217" s="63">
        <f>U212-U217</f>
        <v>0</v>
      </c>
    </row>
    <row r="218" spans="1:24" s="63" customFormat="1" ht="23.35" hidden="1" customHeight="1">
      <c r="A218" s="610"/>
      <c r="B218" s="576"/>
      <c r="C218" s="577"/>
      <c r="D218" s="201" t="str">
        <f>серпень!D218</f>
        <v>дотація</v>
      </c>
      <c r="E218" s="60"/>
      <c r="F218" s="61">
        <f t="shared" si="275"/>
        <v>0</v>
      </c>
      <c r="G218" s="61">
        <f t="shared" si="275"/>
        <v>0</v>
      </c>
      <c r="H218" s="61">
        <f t="shared" si="275"/>
        <v>0</v>
      </c>
      <c r="I218" s="61">
        <f t="shared" si="275"/>
        <v>0</v>
      </c>
      <c r="J218" s="61">
        <f>J233+J248</f>
        <v>0</v>
      </c>
      <c r="K218" s="61">
        <f t="shared" si="275"/>
        <v>0</v>
      </c>
      <c r="L218" s="61">
        <f>SUM(F218:K218)</f>
        <v>0</v>
      </c>
      <c r="M218" s="61">
        <f>L218/6</f>
        <v>0</v>
      </c>
      <c r="N218" s="61">
        <f t="shared" si="276"/>
        <v>0</v>
      </c>
      <c r="O218" s="61">
        <f t="shared" si="276"/>
        <v>0</v>
      </c>
      <c r="P218" s="61">
        <f t="shared" si="276"/>
        <v>0</v>
      </c>
      <c r="Q218" s="61">
        <f t="shared" si="276"/>
        <v>0</v>
      </c>
      <c r="R218" s="61">
        <f t="shared" si="276"/>
        <v>0</v>
      </c>
      <c r="S218" s="61">
        <f t="shared" si="276"/>
        <v>0</v>
      </c>
      <c r="T218" s="61">
        <f>SUM(N218:S218)</f>
        <v>0</v>
      </c>
      <c r="U218" s="61">
        <f>T218+L218</f>
        <v>0</v>
      </c>
      <c r="V218" s="62">
        <f>V233+V248</f>
        <v>0</v>
      </c>
      <c r="W218" s="62">
        <f>V218-U218</f>
        <v>0</v>
      </c>
      <c r="X218" s="63">
        <f>U213-U218</f>
        <v>0</v>
      </c>
    </row>
    <row r="219" spans="1:24" s="63" customFormat="1" ht="23.35" hidden="1" customHeight="1">
      <c r="A219" s="610"/>
      <c r="B219" s="576"/>
      <c r="C219" s="577"/>
      <c r="D219" s="201" t="str">
        <f>серпень!D219</f>
        <v xml:space="preserve">місцевий </v>
      </c>
      <c r="E219" s="60"/>
      <c r="F219" s="61">
        <f t="shared" si="275"/>
        <v>0</v>
      </c>
      <c r="G219" s="61">
        <f t="shared" si="275"/>
        <v>0</v>
      </c>
      <c r="H219" s="61">
        <f t="shared" si="275"/>
        <v>0</v>
      </c>
      <c r="I219" s="61">
        <f t="shared" si="275"/>
        <v>0</v>
      </c>
      <c r="J219" s="61">
        <f>J234+J249</f>
        <v>0</v>
      </c>
      <c r="K219" s="61">
        <f t="shared" si="275"/>
        <v>0</v>
      </c>
      <c r="L219" s="61">
        <f>SUM(F219:K219)</f>
        <v>0</v>
      </c>
      <c r="M219" s="61">
        <f>L219/6</f>
        <v>0</v>
      </c>
      <c r="N219" s="61">
        <f t="shared" si="276"/>
        <v>0</v>
      </c>
      <c r="O219" s="61">
        <f t="shared" si="276"/>
        <v>0</v>
      </c>
      <c r="P219" s="61">
        <f t="shared" si="276"/>
        <v>0</v>
      </c>
      <c r="Q219" s="61">
        <f t="shared" si="276"/>
        <v>0</v>
      </c>
      <c r="R219" s="61">
        <f t="shared" si="276"/>
        <v>0</v>
      </c>
      <c r="S219" s="61">
        <f t="shared" si="276"/>
        <v>0</v>
      </c>
      <c r="T219" s="61">
        <f>SUM(N219:S219)</f>
        <v>0</v>
      </c>
      <c r="U219" s="61">
        <f>T219+L219</f>
        <v>0</v>
      </c>
      <c r="V219" s="62">
        <f>V234+V249</f>
        <v>0</v>
      </c>
      <c r="W219" s="62">
        <f>V219-U219</f>
        <v>0</v>
      </c>
      <c r="X219" s="63">
        <f>U214-U219</f>
        <v>0</v>
      </c>
    </row>
    <row r="220" spans="1:24" s="43" customFormat="1" ht="23.35" hidden="1" customHeight="1">
      <c r="A220" s="610"/>
      <c r="B220" s="576"/>
      <c r="C220" s="577"/>
      <c r="D220" s="202" t="str">
        <f>серпень!D220</f>
        <v>план</v>
      </c>
      <c r="E220" s="42"/>
      <c r="F220" s="42">
        <f t="shared" ref="F220:K220" si="277">F214</f>
        <v>0</v>
      </c>
      <c r="G220" s="42">
        <f t="shared" si="277"/>
        <v>0</v>
      </c>
      <c r="H220" s="42">
        <f t="shared" si="277"/>
        <v>0</v>
      </c>
      <c r="I220" s="42">
        <f t="shared" si="277"/>
        <v>0</v>
      </c>
      <c r="J220" s="42">
        <f t="shared" si="277"/>
        <v>0</v>
      </c>
      <c r="K220" s="42">
        <f t="shared" si="277"/>
        <v>0</v>
      </c>
      <c r="L220" s="42">
        <f>SUM(F220:K220)</f>
        <v>0</v>
      </c>
      <c r="M220" s="42">
        <f>L220/6</f>
        <v>0</v>
      </c>
      <c r="N220" s="42">
        <f t="shared" ref="N220:S220" si="278">N214+N213</f>
        <v>0</v>
      </c>
      <c r="O220" s="42">
        <f t="shared" si="278"/>
        <v>0</v>
      </c>
      <c r="P220" s="42">
        <f t="shared" si="278"/>
        <v>0</v>
      </c>
      <c r="Q220" s="42">
        <f t="shared" si="278"/>
        <v>0</v>
      </c>
      <c r="R220" s="42">
        <f t="shared" si="278"/>
        <v>0</v>
      </c>
      <c r="S220" s="42">
        <f t="shared" si="278"/>
        <v>0</v>
      </c>
      <c r="T220" s="42">
        <f>SUM(N220:S220)</f>
        <v>0</v>
      </c>
      <c r="U220" s="42">
        <f>T220+L220</f>
        <v>0</v>
      </c>
      <c r="V220" s="64">
        <f>V235+V250</f>
        <v>0</v>
      </c>
      <c r="W220" s="64">
        <f>V220-U220</f>
        <v>0</v>
      </c>
    </row>
    <row r="221" spans="1:24" s="43" customFormat="1" ht="23.35" hidden="1" customHeight="1">
      <c r="A221" s="610"/>
      <c r="B221" s="576"/>
      <c r="C221" s="577"/>
      <c r="D221" s="202" t="str">
        <f>серпень!D221</f>
        <v xml:space="preserve">відхилення </v>
      </c>
      <c r="E221" s="42"/>
      <c r="F221" s="42">
        <f t="shared" ref="F221:K221" si="279">F217-F220</f>
        <v>0</v>
      </c>
      <c r="G221" s="42">
        <f t="shared" si="279"/>
        <v>0</v>
      </c>
      <c r="H221" s="42">
        <f t="shared" si="279"/>
        <v>0</v>
      </c>
      <c r="I221" s="42">
        <f t="shared" si="279"/>
        <v>0</v>
      </c>
      <c r="J221" s="42">
        <f t="shared" si="279"/>
        <v>0</v>
      </c>
      <c r="K221" s="42">
        <f t="shared" si="279"/>
        <v>0</v>
      </c>
      <c r="L221" s="42"/>
      <c r="M221" s="42"/>
      <c r="N221" s="42">
        <f t="shared" ref="N221:S221" si="280">N217-N220</f>
        <v>0</v>
      </c>
      <c r="O221" s="42">
        <f t="shared" si="280"/>
        <v>0</v>
      </c>
      <c r="P221" s="42">
        <f t="shared" si="280"/>
        <v>0</v>
      </c>
      <c r="Q221" s="42">
        <f t="shared" si="280"/>
        <v>0</v>
      </c>
      <c r="R221" s="42">
        <f t="shared" si="280"/>
        <v>0</v>
      </c>
      <c r="S221" s="42">
        <f t="shared" si="280"/>
        <v>0</v>
      </c>
      <c r="T221" s="42"/>
      <c r="U221" s="42"/>
      <c r="V221" s="42"/>
      <c r="W221" s="42"/>
    </row>
    <row r="222" spans="1:24" s="43" customFormat="1" ht="23.35" hidden="1" customHeight="1">
      <c r="A222" s="610"/>
      <c r="B222" s="576"/>
      <c r="C222" s="577"/>
      <c r="D222" s="202" t="str">
        <f>серпень!D222</f>
        <v>відхилення з наростаючим</v>
      </c>
      <c r="E222" s="42"/>
      <c r="F222" s="42">
        <f>F221</f>
        <v>0</v>
      </c>
      <c r="G222" s="42">
        <f>G221+F222</f>
        <v>0</v>
      </c>
      <c r="H222" s="42">
        <f>H221+G222</f>
        <v>0</v>
      </c>
      <c r="I222" s="42">
        <f>I221+H222</f>
        <v>0</v>
      </c>
      <c r="J222" s="42">
        <f>J221+I222</f>
        <v>0</v>
      </c>
      <c r="K222" s="42">
        <f>K221+J222</f>
        <v>0</v>
      </c>
      <c r="L222" s="42"/>
      <c r="M222" s="42"/>
      <c r="N222" s="42">
        <f>N221+K222</f>
        <v>0</v>
      </c>
      <c r="O222" s="42">
        <f>O221+N222</f>
        <v>0</v>
      </c>
      <c r="P222" s="42">
        <f>P221+O222</f>
        <v>0</v>
      </c>
      <c r="Q222" s="42">
        <f>Q221+P222</f>
        <v>0</v>
      </c>
      <c r="R222" s="42">
        <f>R221+Q222</f>
        <v>0</v>
      </c>
      <c r="S222" s="42">
        <f>S221+R222</f>
        <v>0</v>
      </c>
      <c r="T222" s="42"/>
      <c r="U222" s="42"/>
      <c r="V222" s="42"/>
      <c r="W222" s="42"/>
    </row>
    <row r="223" spans="1:24" s="48" customFormat="1" ht="23.35" hidden="1" customHeight="1">
      <c r="A223" s="610"/>
      <c r="B223" s="581" t="s">
        <v>91</v>
      </c>
      <c r="C223" s="581"/>
      <c r="D223" s="178" t="str">
        <f>серпень!D223</f>
        <v>факт. нат.п-ки 2023</v>
      </c>
      <c r="E223" s="11"/>
      <c r="F223" s="12"/>
      <c r="G223" s="12"/>
      <c r="H223" s="12"/>
      <c r="I223" s="12"/>
      <c r="J223" s="12"/>
      <c r="K223" s="12"/>
      <c r="L223" s="65">
        <f>SUM(F223:K223)</f>
        <v>0</v>
      </c>
      <c r="M223" s="65">
        <f>L223/6</f>
        <v>0</v>
      </c>
      <c r="N223" s="12"/>
      <c r="O223" s="12"/>
      <c r="P223" s="12"/>
      <c r="Q223" s="12"/>
      <c r="R223" s="12"/>
      <c r="S223" s="12"/>
      <c r="T223" s="65">
        <f>SUM(N223:S223)</f>
        <v>0</v>
      </c>
      <c r="U223" s="66">
        <f>T223+L223</f>
        <v>0</v>
      </c>
      <c r="V223" s="67"/>
      <c r="W223" s="38">
        <f>V223-U223</f>
        <v>0</v>
      </c>
      <c r="X223" s="47"/>
    </row>
    <row r="224" spans="1:24" s="48" customFormat="1" ht="23.35" hidden="1" customHeight="1">
      <c r="A224" s="610"/>
      <c r="B224" s="581"/>
      <c r="C224" s="581"/>
      <c r="D224" s="178" t="str">
        <f>серпень!D224</f>
        <v>факт. нат.п-ки 2024</v>
      </c>
      <c r="E224" s="11"/>
      <c r="F224" s="12"/>
      <c r="G224" s="12"/>
      <c r="H224" s="12"/>
      <c r="I224" s="12"/>
      <c r="J224" s="12"/>
      <c r="K224" s="12"/>
      <c r="L224" s="65">
        <f>SUM(F224:K224)</f>
        <v>0</v>
      </c>
      <c r="M224" s="65">
        <f>L224/6</f>
        <v>0</v>
      </c>
      <c r="N224" s="11"/>
      <c r="O224" s="11"/>
      <c r="P224" s="11"/>
      <c r="Q224" s="11"/>
      <c r="R224" s="11"/>
      <c r="S224" s="11"/>
      <c r="T224" s="65">
        <f>SUM(N224:S224)</f>
        <v>0</v>
      </c>
      <c r="U224" s="66">
        <f>T224+L224</f>
        <v>0</v>
      </c>
      <c r="V224" s="67"/>
      <c r="W224" s="38">
        <f>V224-U224</f>
        <v>0</v>
      </c>
      <c r="X224" s="47"/>
    </row>
    <row r="225" spans="1:24" s="48" customFormat="1" ht="23.35" hidden="1" customHeight="1">
      <c r="A225" s="610"/>
      <c r="B225" s="581"/>
      <c r="C225" s="581"/>
      <c r="D225" s="178" t="str">
        <f>серпень!D225</f>
        <v>факт. нат.п-ки 2025</v>
      </c>
      <c r="E225" s="11"/>
      <c r="F225" s="12"/>
      <c r="G225" s="12"/>
      <c r="H225" s="12"/>
      <c r="I225" s="12"/>
      <c r="J225" s="12"/>
      <c r="K225" s="12"/>
      <c r="L225" s="65">
        <f>SUM(F225:K225)</f>
        <v>0</v>
      </c>
      <c r="M225" s="65">
        <f>L225/6</f>
        <v>0</v>
      </c>
      <c r="N225" s="12"/>
      <c r="O225" s="12"/>
      <c r="P225" s="12"/>
      <c r="Q225" s="12"/>
      <c r="R225" s="12"/>
      <c r="S225" s="11"/>
      <c r="T225" s="65">
        <f>SUM(N225:S225)</f>
        <v>0</v>
      </c>
      <c r="U225" s="66">
        <f>T225+L225</f>
        <v>0</v>
      </c>
      <c r="V225" s="11"/>
      <c r="W225" s="38">
        <f>V225-U225</f>
        <v>0</v>
      </c>
      <c r="X225" s="47"/>
    </row>
    <row r="226" spans="1:24" s="51" customFormat="1" ht="23.35" hidden="1" customHeight="1">
      <c r="A226" s="610"/>
      <c r="B226" s="581"/>
      <c r="C226" s="581"/>
      <c r="D226" s="187" t="str">
        <f>серпень!D226</f>
        <v>тариф, грн.</v>
      </c>
      <c r="E226" s="49"/>
      <c r="F226" s="49">
        <v>3501.96</v>
      </c>
      <c r="G226" s="49">
        <v>3501.96</v>
      </c>
      <c r="H226" s="49">
        <v>3501.96</v>
      </c>
      <c r="I226" s="49">
        <v>3501.96</v>
      </c>
      <c r="J226" s="49">
        <v>3501.96</v>
      </c>
      <c r="K226" s="49">
        <v>3501.96</v>
      </c>
      <c r="L226" s="49" t="e">
        <f>L227/L225*1000</f>
        <v>#DIV/0!</v>
      </c>
      <c r="M226" s="49" t="e">
        <f>M227/M225*1000</f>
        <v>#DIV/0!</v>
      </c>
      <c r="N226" s="49">
        <v>3501.96</v>
      </c>
      <c r="O226" s="49">
        <v>3501.96</v>
      </c>
      <c r="P226" s="49">
        <v>3501.96</v>
      </c>
      <c r="Q226" s="49">
        <v>3501.96</v>
      </c>
      <c r="R226" s="49">
        <v>3501.96</v>
      </c>
      <c r="S226" s="49">
        <v>3501.96</v>
      </c>
      <c r="T226" s="49" t="e">
        <f>T227/T225*1000</f>
        <v>#DIV/0!</v>
      </c>
      <c r="U226" s="49" t="e">
        <f>U227/U225*1000</f>
        <v>#DIV/0!</v>
      </c>
      <c r="V226" s="68" t="e">
        <f>V227/V225*1000</f>
        <v>#DIV/0!</v>
      </c>
      <c r="W226" s="14" t="e">
        <f>W227/W225*1000</f>
        <v>#DIV/0!</v>
      </c>
      <c r="X226" s="59"/>
    </row>
    <row r="227" spans="1:24" s="55" customFormat="1" ht="23.35" hidden="1" customHeight="1">
      <c r="A227" s="610"/>
      <c r="B227" s="581"/>
      <c r="C227" s="581"/>
      <c r="D227" s="191" t="str">
        <f>серпень!D227</f>
        <v>сума, тис.грн.</v>
      </c>
      <c r="E227" s="52"/>
      <c r="F227" s="52">
        <f t="shared" ref="F227:K227" si="281">F225*F226/1000</f>
        <v>0</v>
      </c>
      <c r="G227" s="52">
        <f t="shared" si="281"/>
        <v>0</v>
      </c>
      <c r="H227" s="52">
        <f t="shared" si="281"/>
        <v>0</v>
      </c>
      <c r="I227" s="52">
        <f t="shared" si="281"/>
        <v>0</v>
      </c>
      <c r="J227" s="52">
        <f t="shared" si="281"/>
        <v>0</v>
      </c>
      <c r="K227" s="52">
        <f t="shared" si="281"/>
        <v>0</v>
      </c>
      <c r="L227" s="69">
        <f>SUM(F227:K227)</f>
        <v>0</v>
      </c>
      <c r="M227" s="69">
        <f>L227/6</f>
        <v>0</v>
      </c>
      <c r="N227" s="52">
        <f t="shared" ref="N227:S227" si="282">N225*N226/1000</f>
        <v>0</v>
      </c>
      <c r="O227" s="52">
        <f t="shared" si="282"/>
        <v>0</v>
      </c>
      <c r="P227" s="52">
        <f t="shared" si="282"/>
        <v>0</v>
      </c>
      <c r="Q227" s="52">
        <f t="shared" si="282"/>
        <v>0</v>
      </c>
      <c r="R227" s="52">
        <f t="shared" si="282"/>
        <v>0</v>
      </c>
      <c r="S227" s="52">
        <f t="shared" si="282"/>
        <v>0</v>
      </c>
      <c r="T227" s="69">
        <f>SUM(N227:S227)</f>
        <v>0</v>
      </c>
      <c r="U227" s="69">
        <f>T227+L227</f>
        <v>0</v>
      </c>
      <c r="V227" s="70">
        <f>V228+V229</f>
        <v>0</v>
      </c>
      <c r="W227" s="53">
        <f>V227-U227</f>
        <v>0</v>
      </c>
      <c r="X227" s="54">
        <f>2726951.723/1000</f>
        <v>2726.9520000000002</v>
      </c>
    </row>
    <row r="228" spans="1:24" s="55" customFormat="1" ht="23.35" hidden="1" customHeight="1">
      <c r="A228" s="610"/>
      <c r="B228" s="581"/>
      <c r="C228" s="581"/>
      <c r="D228" s="174" t="str">
        <f>серпень!D228</f>
        <v>дотація</v>
      </c>
      <c r="E228" s="56"/>
      <c r="F228" s="52"/>
      <c r="G228" s="52"/>
      <c r="H228" s="52"/>
      <c r="I228" s="52"/>
      <c r="J228" s="52"/>
      <c r="K228" s="52"/>
      <c r="L228" s="69">
        <f>SUM(F228:K228)</f>
        <v>0</v>
      </c>
      <c r="M228" s="69">
        <f>L228/6</f>
        <v>0</v>
      </c>
      <c r="N228" s="52"/>
      <c r="O228" s="52"/>
      <c r="P228" s="52"/>
      <c r="Q228" s="52"/>
      <c r="R228" s="52"/>
      <c r="S228" s="52"/>
      <c r="T228" s="69">
        <f>SUM(N228:S228)</f>
        <v>0</v>
      </c>
      <c r="U228" s="69">
        <f>T228+L228</f>
        <v>0</v>
      </c>
      <c r="V228" s="70">
        <v>0</v>
      </c>
      <c r="W228" s="53">
        <f>V228-U228</f>
        <v>0</v>
      </c>
      <c r="X228" s="58"/>
    </row>
    <row r="229" spans="1:24" s="55" customFormat="1" ht="23.35" hidden="1" customHeight="1">
      <c r="A229" s="610"/>
      <c r="B229" s="581"/>
      <c r="C229" s="581"/>
      <c r="D229" s="174" t="str">
        <f>серпень!D229</f>
        <v>місцевий (план), тис.грн</v>
      </c>
      <c r="E229" s="56"/>
      <c r="F229" s="52"/>
      <c r="G229" s="52"/>
      <c r="H229" s="52"/>
      <c r="I229" s="52"/>
      <c r="J229" s="52"/>
      <c r="K229" s="52"/>
      <c r="L229" s="69">
        <f>SUM(F229:K229)</f>
        <v>0</v>
      </c>
      <c r="M229" s="69">
        <f>L229/6</f>
        <v>0</v>
      </c>
      <c r="N229" s="52"/>
      <c r="O229" s="52"/>
      <c r="P229" s="52"/>
      <c r="Q229" s="52"/>
      <c r="R229" s="52"/>
      <c r="S229" s="52"/>
      <c r="T229" s="69">
        <f>SUM(N229:S229)</f>
        <v>0</v>
      </c>
      <c r="U229" s="69">
        <f>T229+L229</f>
        <v>0</v>
      </c>
      <c r="V229" s="70"/>
      <c r="W229" s="53">
        <f>V229-U229</f>
        <v>0</v>
      </c>
      <c r="X229" s="58"/>
    </row>
    <row r="230" spans="1:24" s="48" customFormat="1" ht="23.35" hidden="1" customHeight="1">
      <c r="A230" s="610"/>
      <c r="B230" s="581"/>
      <c r="C230" s="581"/>
      <c r="D230" s="178" t="str">
        <f>серпень!D230</f>
        <v>касові нат.п-ки 2025</v>
      </c>
      <c r="E230" s="11"/>
      <c r="F230" s="11"/>
      <c r="G230" s="11"/>
      <c r="H230" s="11"/>
      <c r="I230" s="11"/>
      <c r="J230" s="11"/>
      <c r="K230" s="11"/>
      <c r="L230" s="65">
        <f>SUM(F230:K230)</f>
        <v>0</v>
      </c>
      <c r="M230" s="65">
        <f>L230/6</f>
        <v>0</v>
      </c>
      <c r="N230" s="11"/>
      <c r="O230" s="11"/>
      <c r="P230" s="11"/>
      <c r="Q230" s="11"/>
      <c r="R230" s="11"/>
      <c r="S230" s="11">
        <f>S225+R225</f>
        <v>0</v>
      </c>
      <c r="T230" s="65">
        <f>SUM(N230:S230)</f>
        <v>0</v>
      </c>
      <c r="U230" s="65">
        <f>T230+L230</f>
        <v>0</v>
      </c>
      <c r="V230" s="11">
        <f>V225</f>
        <v>0</v>
      </c>
      <c r="W230" s="38">
        <f>V230-U230</f>
        <v>0</v>
      </c>
      <c r="X230" s="47">
        <f>U225-U230</f>
        <v>0</v>
      </c>
    </row>
    <row r="231" spans="1:24" s="51" customFormat="1" ht="23.35" hidden="1" customHeight="1">
      <c r="A231" s="610"/>
      <c r="B231" s="581"/>
      <c r="C231" s="581"/>
      <c r="D231" s="187" t="str">
        <f>серпень!D231</f>
        <v>тариф, грн.</v>
      </c>
      <c r="E231" s="49" t="e">
        <f>E232/E230*1000</f>
        <v>#DIV/0!</v>
      </c>
      <c r="F231" s="49">
        <v>3501.96</v>
      </c>
      <c r="G231" s="49">
        <v>3501.96</v>
      </c>
      <c r="H231" s="49">
        <v>3501.96</v>
      </c>
      <c r="I231" s="49">
        <v>3501.96</v>
      </c>
      <c r="J231" s="49">
        <v>3501.96</v>
      </c>
      <c r="K231" s="49">
        <v>3501.96</v>
      </c>
      <c r="L231" s="49" t="e">
        <f>L232/L230*1000</f>
        <v>#DIV/0!</v>
      </c>
      <c r="M231" s="49" t="e">
        <f>M232/M230*1000</f>
        <v>#DIV/0!</v>
      </c>
      <c r="N231" s="49">
        <v>3501.96</v>
      </c>
      <c r="O231" s="49">
        <v>3501.96</v>
      </c>
      <c r="P231" s="49">
        <v>3501.96</v>
      </c>
      <c r="Q231" s="49">
        <v>3501.96</v>
      </c>
      <c r="R231" s="49">
        <v>3501.96</v>
      </c>
      <c r="S231" s="49">
        <v>3501.96</v>
      </c>
      <c r="T231" s="49" t="e">
        <f>T232/T230*1000</f>
        <v>#DIV/0!</v>
      </c>
      <c r="U231" s="49" t="e">
        <f>U232/U230*1000</f>
        <v>#DIV/0!</v>
      </c>
      <c r="V231" s="68" t="e">
        <f>V232/V230*1000</f>
        <v>#DIV/0!</v>
      </c>
      <c r="W231" s="14" t="e">
        <f>W232/W230*1000</f>
        <v>#DIV/0!</v>
      </c>
      <c r="X231" s="59"/>
    </row>
    <row r="232" spans="1:24" s="63" customFormat="1" ht="23.35" hidden="1" customHeight="1">
      <c r="A232" s="610"/>
      <c r="B232" s="581"/>
      <c r="C232" s="581"/>
      <c r="D232" s="198" t="str">
        <f>серпень!D232</f>
        <v>касові видатки, тис.грн.</v>
      </c>
      <c r="E232" s="71"/>
      <c r="F232" s="61">
        <f t="shared" ref="F232:K232" si="283">F230*F231/1000</f>
        <v>0</v>
      </c>
      <c r="G232" s="61">
        <f t="shared" si="283"/>
        <v>0</v>
      </c>
      <c r="H232" s="61">
        <f t="shared" si="283"/>
        <v>0</v>
      </c>
      <c r="I232" s="61">
        <f t="shared" si="283"/>
        <v>0</v>
      </c>
      <c r="J232" s="61">
        <f t="shared" si="283"/>
        <v>0</v>
      </c>
      <c r="K232" s="61">
        <f t="shared" si="283"/>
        <v>0</v>
      </c>
      <c r="L232" s="61">
        <f>SUM(F232:K232)</f>
        <v>0</v>
      </c>
      <c r="M232" s="61">
        <f>L232/6</f>
        <v>0</v>
      </c>
      <c r="N232" s="61">
        <f t="shared" ref="N232:S232" si="284">N230*N231/1000</f>
        <v>0</v>
      </c>
      <c r="O232" s="61">
        <f t="shared" si="284"/>
        <v>0</v>
      </c>
      <c r="P232" s="61">
        <f t="shared" si="284"/>
        <v>0</v>
      </c>
      <c r="Q232" s="61">
        <f t="shared" si="284"/>
        <v>0</v>
      </c>
      <c r="R232" s="61">
        <f t="shared" si="284"/>
        <v>0</v>
      </c>
      <c r="S232" s="61">
        <f t="shared" si="284"/>
        <v>0</v>
      </c>
      <c r="T232" s="61">
        <f>SUM(N232:S232)</f>
        <v>0</v>
      </c>
      <c r="U232" s="61">
        <f>T232+L232</f>
        <v>0</v>
      </c>
      <c r="V232" s="61">
        <f>V227</f>
        <v>0</v>
      </c>
      <c r="W232" s="72">
        <f>V232-U232</f>
        <v>0</v>
      </c>
      <c r="X232" s="63">
        <f>U227-U232</f>
        <v>0</v>
      </c>
    </row>
    <row r="233" spans="1:24" s="63" customFormat="1" ht="23.35" hidden="1" customHeight="1">
      <c r="A233" s="610"/>
      <c r="B233" s="581"/>
      <c r="C233" s="581"/>
      <c r="D233" s="201" t="str">
        <f>серпень!D233</f>
        <v>дотація</v>
      </c>
      <c r="E233" s="71"/>
      <c r="F233" s="61"/>
      <c r="G233" s="61"/>
      <c r="H233" s="61"/>
      <c r="I233" s="61"/>
      <c r="J233" s="61"/>
      <c r="K233" s="61"/>
      <c r="L233" s="61">
        <f>SUM(F233:K233)</f>
        <v>0</v>
      </c>
      <c r="M233" s="61">
        <f>L233/6</f>
        <v>0</v>
      </c>
      <c r="N233" s="61"/>
      <c r="O233" s="61"/>
      <c r="P233" s="61"/>
      <c r="Q233" s="61"/>
      <c r="R233" s="61"/>
      <c r="S233" s="61"/>
      <c r="T233" s="61">
        <f>SUM(N233:S233)</f>
        <v>0</v>
      </c>
      <c r="U233" s="61">
        <f>T233+L233</f>
        <v>0</v>
      </c>
      <c r="V233" s="61">
        <f>V228</f>
        <v>0</v>
      </c>
      <c r="W233" s="72">
        <f>V233-U233</f>
        <v>0</v>
      </c>
      <c r="X233" s="63">
        <f>U228-U233</f>
        <v>0</v>
      </c>
    </row>
    <row r="234" spans="1:24" s="63" customFormat="1" ht="23.35" hidden="1" customHeight="1">
      <c r="A234" s="610"/>
      <c r="B234" s="581"/>
      <c r="C234" s="581"/>
      <c r="D234" s="201" t="str">
        <f>серпень!D234</f>
        <v xml:space="preserve">місцевий </v>
      </c>
      <c r="E234" s="71"/>
      <c r="F234" s="61">
        <f t="shared" ref="F234:K234" si="285">F232-F233</f>
        <v>0</v>
      </c>
      <c r="G234" s="61">
        <f t="shared" si="285"/>
        <v>0</v>
      </c>
      <c r="H234" s="61">
        <f t="shared" si="285"/>
        <v>0</v>
      </c>
      <c r="I234" s="61">
        <f t="shared" si="285"/>
        <v>0</v>
      </c>
      <c r="J234" s="61">
        <f t="shared" si="285"/>
        <v>0</v>
      </c>
      <c r="K234" s="61">
        <f t="shared" si="285"/>
        <v>0</v>
      </c>
      <c r="L234" s="61">
        <f>SUM(F234:K234)</f>
        <v>0</v>
      </c>
      <c r="M234" s="61">
        <f>L234/6</f>
        <v>0</v>
      </c>
      <c r="N234" s="61">
        <f t="shared" ref="N234:S234" si="286">N232-N233</f>
        <v>0</v>
      </c>
      <c r="O234" s="61">
        <f t="shared" si="286"/>
        <v>0</v>
      </c>
      <c r="P234" s="61">
        <f t="shared" si="286"/>
        <v>0</v>
      </c>
      <c r="Q234" s="61">
        <f t="shared" si="286"/>
        <v>0</v>
      </c>
      <c r="R234" s="61">
        <f t="shared" si="286"/>
        <v>0</v>
      </c>
      <c r="S234" s="61">
        <f t="shared" si="286"/>
        <v>0</v>
      </c>
      <c r="T234" s="61">
        <f>SUM(N234:S234)</f>
        <v>0</v>
      </c>
      <c r="U234" s="61">
        <f>T234+L234</f>
        <v>0</v>
      </c>
      <c r="V234" s="61">
        <f>V229</f>
        <v>0</v>
      </c>
      <c r="W234" s="72">
        <f>V234-U234</f>
        <v>0</v>
      </c>
      <c r="X234" s="63">
        <f>U229-U234</f>
        <v>0</v>
      </c>
    </row>
    <row r="235" spans="1:24" s="43" customFormat="1" ht="23.35" hidden="1" customHeight="1">
      <c r="A235" s="610"/>
      <c r="B235" s="581"/>
      <c r="C235" s="581"/>
      <c r="D235" s="202" t="str">
        <f>серпень!D235</f>
        <v>план</v>
      </c>
      <c r="E235" s="42"/>
      <c r="F235" s="42">
        <f t="shared" ref="F235:K235" si="287">F229</f>
        <v>0</v>
      </c>
      <c r="G235" s="42">
        <f t="shared" si="287"/>
        <v>0</v>
      </c>
      <c r="H235" s="42">
        <f t="shared" si="287"/>
        <v>0</v>
      </c>
      <c r="I235" s="42">
        <f t="shared" si="287"/>
        <v>0</v>
      </c>
      <c r="J235" s="42">
        <f t="shared" si="287"/>
        <v>0</v>
      </c>
      <c r="K235" s="42">
        <f t="shared" si="287"/>
        <v>0</v>
      </c>
      <c r="L235" s="42">
        <f>SUM(F235:K235)</f>
        <v>0</v>
      </c>
      <c r="M235" s="42">
        <f>L235/6</f>
        <v>0</v>
      </c>
      <c r="N235" s="42">
        <f t="shared" ref="N235:S235" si="288">N229+N228</f>
        <v>0</v>
      </c>
      <c r="O235" s="42">
        <f t="shared" si="288"/>
        <v>0</v>
      </c>
      <c r="P235" s="42">
        <f t="shared" si="288"/>
        <v>0</v>
      </c>
      <c r="Q235" s="42">
        <f t="shared" si="288"/>
        <v>0</v>
      </c>
      <c r="R235" s="42">
        <f t="shared" si="288"/>
        <v>0</v>
      </c>
      <c r="S235" s="42">
        <f t="shared" si="288"/>
        <v>0</v>
      </c>
      <c r="T235" s="42">
        <f>SUM(N235:S235)</f>
        <v>0</v>
      </c>
      <c r="U235" s="42">
        <f>T235+L235</f>
        <v>0</v>
      </c>
      <c r="V235" s="42">
        <f>V232</f>
        <v>0</v>
      </c>
      <c r="W235" s="42">
        <f>V235-U235</f>
        <v>0</v>
      </c>
    </row>
    <row r="236" spans="1:24" s="43" customFormat="1" ht="23.35" hidden="1" customHeight="1">
      <c r="A236" s="610"/>
      <c r="B236" s="581"/>
      <c r="C236" s="581"/>
      <c r="D236" s="202" t="str">
        <f>серпень!D236</f>
        <v xml:space="preserve">відхилення </v>
      </c>
      <c r="E236" s="42"/>
      <c r="F236" s="42">
        <f t="shared" ref="F236:K236" si="289">F232-F235</f>
        <v>0</v>
      </c>
      <c r="G236" s="42">
        <f t="shared" si="289"/>
        <v>0</v>
      </c>
      <c r="H236" s="42">
        <f t="shared" si="289"/>
        <v>0</v>
      </c>
      <c r="I236" s="42">
        <f t="shared" si="289"/>
        <v>0</v>
      </c>
      <c r="J236" s="42">
        <f t="shared" si="289"/>
        <v>0</v>
      </c>
      <c r="K236" s="42">
        <f t="shared" si="289"/>
        <v>0</v>
      </c>
      <c r="L236" s="42"/>
      <c r="M236" s="42"/>
      <c r="N236" s="42">
        <f t="shared" ref="N236:S236" si="290">N232-N235</f>
        <v>0</v>
      </c>
      <c r="O236" s="42">
        <f t="shared" si="290"/>
        <v>0</v>
      </c>
      <c r="P236" s="42">
        <f t="shared" si="290"/>
        <v>0</v>
      </c>
      <c r="Q236" s="42">
        <f t="shared" si="290"/>
        <v>0</v>
      </c>
      <c r="R236" s="42">
        <f t="shared" si="290"/>
        <v>0</v>
      </c>
      <c r="S236" s="42">
        <f t="shared" si="290"/>
        <v>0</v>
      </c>
      <c r="T236" s="42"/>
      <c r="U236" s="42"/>
      <c r="V236" s="42"/>
      <c r="W236" s="42"/>
    </row>
    <row r="237" spans="1:24" s="43" customFormat="1" ht="23.35" hidden="1" customHeight="1">
      <c r="A237" s="610"/>
      <c r="B237" s="581"/>
      <c r="C237" s="581"/>
      <c r="D237" s="202" t="str">
        <f>серпень!D237</f>
        <v>відхилення з наростаючим</v>
      </c>
      <c r="E237" s="42"/>
      <c r="F237" s="42">
        <f>F236</f>
        <v>0</v>
      </c>
      <c r="G237" s="42">
        <f>G236+F237</f>
        <v>0</v>
      </c>
      <c r="H237" s="42">
        <f>H236+G237</f>
        <v>0</v>
      </c>
      <c r="I237" s="42">
        <f>I236+H237</f>
        <v>0</v>
      </c>
      <c r="J237" s="42">
        <f>J236+I237</f>
        <v>0</v>
      </c>
      <c r="K237" s="42">
        <f>K236+J237</f>
        <v>0</v>
      </c>
      <c r="L237" s="42"/>
      <c r="M237" s="42"/>
      <c r="N237" s="42">
        <f>N236+K237</f>
        <v>0</v>
      </c>
      <c r="O237" s="42">
        <f>O236+N237</f>
        <v>0</v>
      </c>
      <c r="P237" s="42">
        <f>P236+O237</f>
        <v>0</v>
      </c>
      <c r="Q237" s="42">
        <f>Q236+P237</f>
        <v>0</v>
      </c>
      <c r="R237" s="42">
        <f>R236+Q237</f>
        <v>0</v>
      </c>
      <c r="S237" s="42">
        <f>S236+R237</f>
        <v>0</v>
      </c>
      <c r="T237" s="42"/>
      <c r="U237" s="42"/>
      <c r="V237" s="42"/>
      <c r="W237" s="42"/>
    </row>
    <row r="238" spans="1:24" s="48" customFormat="1" ht="23.35" hidden="1" customHeight="1">
      <c r="A238" s="610"/>
      <c r="B238" s="576" t="s">
        <v>56</v>
      </c>
      <c r="C238" s="577"/>
      <c r="D238" s="178" t="str">
        <f>серпень!D238</f>
        <v>факт. нат.п-ки 2023</v>
      </c>
      <c r="E238" s="11"/>
      <c r="F238" s="12"/>
      <c r="G238" s="12"/>
      <c r="H238" s="12"/>
      <c r="I238" s="12"/>
      <c r="J238" s="12"/>
      <c r="K238" s="12"/>
      <c r="L238" s="65">
        <f>SUM(F238:K238)</f>
        <v>0</v>
      </c>
      <c r="M238" s="65">
        <f>L238/6</f>
        <v>0</v>
      </c>
      <c r="N238" s="12"/>
      <c r="O238" s="12"/>
      <c r="P238" s="12"/>
      <c r="Q238" s="12"/>
      <c r="R238" s="12"/>
      <c r="S238" s="12"/>
      <c r="T238" s="65">
        <f>SUM(N238:S238)</f>
        <v>0</v>
      </c>
      <c r="U238" s="66">
        <f>T238+L238</f>
        <v>0</v>
      </c>
      <c r="V238" s="67"/>
      <c r="W238" s="38">
        <f>V238-U238</f>
        <v>0</v>
      </c>
      <c r="X238" s="47"/>
    </row>
    <row r="239" spans="1:24" s="48" customFormat="1" ht="23.35" hidden="1" customHeight="1">
      <c r="A239" s="610"/>
      <c r="B239" s="576"/>
      <c r="C239" s="577"/>
      <c r="D239" s="178" t="str">
        <f>серпень!D239</f>
        <v>факт. нат.п-ки 2024</v>
      </c>
      <c r="E239" s="11"/>
      <c r="F239" s="12"/>
      <c r="G239" s="12"/>
      <c r="H239" s="12"/>
      <c r="I239" s="12"/>
      <c r="J239" s="12"/>
      <c r="K239" s="12"/>
      <c r="L239" s="65">
        <f>SUM(F239:K239)</f>
        <v>0</v>
      </c>
      <c r="M239" s="65">
        <f>L239/6</f>
        <v>0</v>
      </c>
      <c r="N239" s="11"/>
      <c r="O239" s="11"/>
      <c r="P239" s="11"/>
      <c r="Q239" s="11"/>
      <c r="R239" s="11"/>
      <c r="S239" s="11"/>
      <c r="T239" s="65">
        <f>SUM(N239:S239)</f>
        <v>0</v>
      </c>
      <c r="U239" s="66">
        <f>T239+L239</f>
        <v>0</v>
      </c>
      <c r="V239" s="67"/>
      <c r="W239" s="38">
        <f>V239-U239</f>
        <v>0</v>
      </c>
      <c r="X239" s="47"/>
    </row>
    <row r="240" spans="1:24" s="48" customFormat="1" ht="23.35" hidden="1" customHeight="1">
      <c r="A240" s="610"/>
      <c r="B240" s="576"/>
      <c r="C240" s="577"/>
      <c r="D240" s="178" t="str">
        <f>серпень!D240</f>
        <v>факт. нат.п-ки 2025</v>
      </c>
      <c r="E240" s="11"/>
      <c r="F240" s="12"/>
      <c r="G240" s="12"/>
      <c r="H240" s="12"/>
      <c r="I240" s="12"/>
      <c r="J240" s="12"/>
      <c r="K240" s="12"/>
      <c r="L240" s="65">
        <f>SUM(F240:K240)</f>
        <v>0</v>
      </c>
      <c r="M240" s="65">
        <f>L240/6</f>
        <v>0</v>
      </c>
      <c r="N240" s="12"/>
      <c r="O240" s="12"/>
      <c r="P240" s="12"/>
      <c r="Q240" s="12"/>
      <c r="R240" s="12"/>
      <c r="S240" s="11"/>
      <c r="T240" s="65">
        <f>SUM(N240:S240)</f>
        <v>0</v>
      </c>
      <c r="U240" s="66">
        <f>T240+L240</f>
        <v>0</v>
      </c>
      <c r="V240" s="11"/>
      <c r="W240" s="38">
        <f>V240-U240</f>
        <v>0</v>
      </c>
      <c r="X240" s="47"/>
    </row>
    <row r="241" spans="1:24" s="51" customFormat="1" ht="23.35" hidden="1" customHeight="1">
      <c r="A241" s="610"/>
      <c r="B241" s="576"/>
      <c r="C241" s="577"/>
      <c r="D241" s="187" t="str">
        <f>серпень!D241</f>
        <v>тариф, грн.</v>
      </c>
      <c r="E241" s="49"/>
      <c r="F241" s="49">
        <v>1655.08</v>
      </c>
      <c r="G241" s="49">
        <v>1655.08</v>
      </c>
      <c r="H241" s="49">
        <v>1655.08</v>
      </c>
      <c r="I241" s="49">
        <v>1655.08</v>
      </c>
      <c r="J241" s="49">
        <v>1655.08</v>
      </c>
      <c r="K241" s="49">
        <v>1655.08</v>
      </c>
      <c r="L241" s="49" t="e">
        <f>L242/L240*1000</f>
        <v>#DIV/0!</v>
      </c>
      <c r="M241" s="49" t="e">
        <f>M242/M240*1000</f>
        <v>#DIV/0!</v>
      </c>
      <c r="N241" s="49">
        <v>1655.08</v>
      </c>
      <c r="O241" s="49">
        <v>1655.08</v>
      </c>
      <c r="P241" s="49">
        <v>1655.08</v>
      </c>
      <c r="Q241" s="49">
        <v>1655.08</v>
      </c>
      <c r="R241" s="49">
        <v>1655.08</v>
      </c>
      <c r="S241" s="49">
        <v>1655.08</v>
      </c>
      <c r="T241" s="49" t="e">
        <f>T242/T240*1000</f>
        <v>#DIV/0!</v>
      </c>
      <c r="U241" s="49" t="e">
        <f>U242/U240*1000</f>
        <v>#DIV/0!</v>
      </c>
      <c r="V241" s="68" t="e">
        <f>V242/V240*1000</f>
        <v>#DIV/0!</v>
      </c>
      <c r="W241" s="14" t="e">
        <f>W242/W240*1000</f>
        <v>#DIV/0!</v>
      </c>
      <c r="X241" s="59"/>
    </row>
    <row r="242" spans="1:24" s="55" customFormat="1" ht="23.35" hidden="1" customHeight="1">
      <c r="A242" s="610"/>
      <c r="B242" s="576"/>
      <c r="C242" s="577"/>
      <c r="D242" s="191" t="str">
        <f>серпень!D242</f>
        <v>сума, тис.грн.</v>
      </c>
      <c r="E242" s="52"/>
      <c r="F242" s="52">
        <f t="shared" ref="F242:K242" si="291">F240*F241/1000</f>
        <v>0</v>
      </c>
      <c r="G242" s="52">
        <f t="shared" si="291"/>
        <v>0</v>
      </c>
      <c r="H242" s="52">
        <f t="shared" si="291"/>
        <v>0</v>
      </c>
      <c r="I242" s="52">
        <f t="shared" si="291"/>
        <v>0</v>
      </c>
      <c r="J242" s="52">
        <f t="shared" si="291"/>
        <v>0</v>
      </c>
      <c r="K242" s="52">
        <f t="shared" si="291"/>
        <v>0</v>
      </c>
      <c r="L242" s="69">
        <f>SUM(F242:K242)</f>
        <v>0</v>
      </c>
      <c r="M242" s="69">
        <f>L242/6</f>
        <v>0</v>
      </c>
      <c r="N242" s="52">
        <f t="shared" ref="N242:S242" si="292">N240*N241/1000</f>
        <v>0</v>
      </c>
      <c r="O242" s="52">
        <f t="shared" si="292"/>
        <v>0</v>
      </c>
      <c r="P242" s="52">
        <f t="shared" si="292"/>
        <v>0</v>
      </c>
      <c r="Q242" s="52">
        <f t="shared" si="292"/>
        <v>0</v>
      </c>
      <c r="R242" s="52">
        <f t="shared" si="292"/>
        <v>0</v>
      </c>
      <c r="S242" s="52">
        <f t="shared" si="292"/>
        <v>0</v>
      </c>
      <c r="T242" s="69">
        <f>SUM(N242:S242)</f>
        <v>0</v>
      </c>
      <c r="U242" s="69">
        <f>T242+L242</f>
        <v>0</v>
      </c>
      <c r="V242" s="70">
        <f>V243+V244</f>
        <v>0</v>
      </c>
      <c r="W242" s="53">
        <f>V242-U242</f>
        <v>0</v>
      </c>
      <c r="X242" s="54">
        <f>2726951.723/1000</f>
        <v>2726.9520000000002</v>
      </c>
    </row>
    <row r="243" spans="1:24" s="55" customFormat="1" ht="23.35" hidden="1" customHeight="1">
      <c r="A243" s="610"/>
      <c r="B243" s="576"/>
      <c r="C243" s="577"/>
      <c r="D243" s="174" t="str">
        <f>серпень!D243</f>
        <v>дотація</v>
      </c>
      <c r="E243" s="56"/>
      <c r="F243" s="52"/>
      <c r="G243" s="52"/>
      <c r="H243" s="52"/>
      <c r="I243" s="52"/>
      <c r="J243" s="52"/>
      <c r="K243" s="52"/>
      <c r="L243" s="69">
        <f>SUM(F243:K243)</f>
        <v>0</v>
      </c>
      <c r="M243" s="69">
        <f>L243/6</f>
        <v>0</v>
      </c>
      <c r="N243" s="52"/>
      <c r="O243" s="52"/>
      <c r="P243" s="52"/>
      <c r="Q243" s="52"/>
      <c r="R243" s="52"/>
      <c r="S243" s="52"/>
      <c r="T243" s="69">
        <f>SUM(N243:S243)</f>
        <v>0</v>
      </c>
      <c r="U243" s="69">
        <f>T243+L243</f>
        <v>0</v>
      </c>
      <c r="V243" s="70">
        <v>0</v>
      </c>
      <c r="W243" s="53">
        <f>V243-U243</f>
        <v>0</v>
      </c>
      <c r="X243" s="58"/>
    </row>
    <row r="244" spans="1:24" s="55" customFormat="1" ht="23.35" hidden="1" customHeight="1">
      <c r="A244" s="610"/>
      <c r="B244" s="576"/>
      <c r="C244" s="577"/>
      <c r="D244" s="174" t="str">
        <f>серпень!D244</f>
        <v>місцевий (план), тис.грн</v>
      </c>
      <c r="E244" s="56"/>
      <c r="F244" s="52"/>
      <c r="G244" s="52"/>
      <c r="H244" s="52"/>
      <c r="I244" s="52"/>
      <c r="J244" s="52"/>
      <c r="K244" s="52"/>
      <c r="L244" s="69">
        <f>SUM(F244:K244)</f>
        <v>0</v>
      </c>
      <c r="M244" s="69">
        <f>L244/6</f>
        <v>0</v>
      </c>
      <c r="N244" s="52"/>
      <c r="O244" s="52"/>
      <c r="P244" s="52"/>
      <c r="Q244" s="52"/>
      <c r="R244" s="52"/>
      <c r="S244" s="52"/>
      <c r="T244" s="69">
        <f>SUM(N244:S244)</f>
        <v>0</v>
      </c>
      <c r="U244" s="69">
        <f>T244+L244</f>
        <v>0</v>
      </c>
      <c r="V244" s="70"/>
      <c r="W244" s="53">
        <f>V244-U244</f>
        <v>0</v>
      </c>
      <c r="X244" s="58"/>
    </row>
    <row r="245" spans="1:24" s="48" customFormat="1" ht="23.35" hidden="1" customHeight="1">
      <c r="A245" s="610"/>
      <c r="B245" s="576"/>
      <c r="C245" s="577"/>
      <c r="D245" s="178" t="str">
        <f>серпень!D245</f>
        <v>касові нат.п-ки 2025</v>
      </c>
      <c r="E245" s="11"/>
      <c r="F245" s="11"/>
      <c r="G245" s="11"/>
      <c r="H245" s="11"/>
      <c r="I245" s="11"/>
      <c r="J245" s="11"/>
      <c r="K245" s="11"/>
      <c r="L245" s="65">
        <f>SUM(F245:K245)</f>
        <v>0</v>
      </c>
      <c r="M245" s="65">
        <f>L245/6</f>
        <v>0</v>
      </c>
      <c r="N245" s="11"/>
      <c r="O245" s="11"/>
      <c r="P245" s="11"/>
      <c r="Q245" s="11"/>
      <c r="R245" s="11"/>
      <c r="S245" s="11">
        <f>S240+R240</f>
        <v>0</v>
      </c>
      <c r="T245" s="65">
        <f>SUM(N245:S245)</f>
        <v>0</v>
      </c>
      <c r="U245" s="65">
        <f>T245+L245</f>
        <v>0</v>
      </c>
      <c r="V245" s="11">
        <f>V240</f>
        <v>0</v>
      </c>
      <c r="W245" s="38">
        <f>V245-U245</f>
        <v>0</v>
      </c>
      <c r="X245" s="47">
        <f>U240-U245</f>
        <v>0</v>
      </c>
    </row>
    <row r="246" spans="1:24" s="51" customFormat="1" ht="23.35" hidden="1" customHeight="1">
      <c r="A246" s="610"/>
      <c r="B246" s="576"/>
      <c r="C246" s="577"/>
      <c r="D246" s="187" t="str">
        <f>серпень!D246</f>
        <v>тариф, грн.</v>
      </c>
      <c r="E246" s="49" t="e">
        <f>E247/E245*1000</f>
        <v>#DIV/0!</v>
      </c>
      <c r="F246" s="49">
        <v>1655.08</v>
      </c>
      <c r="G246" s="49">
        <v>1655.08</v>
      </c>
      <c r="H246" s="49">
        <v>1655.08</v>
      </c>
      <c r="I246" s="49">
        <v>1655.08</v>
      </c>
      <c r="J246" s="49">
        <v>1655.08</v>
      </c>
      <c r="K246" s="49">
        <v>1655.08</v>
      </c>
      <c r="L246" s="49" t="e">
        <f>L247/L245*1000</f>
        <v>#DIV/0!</v>
      </c>
      <c r="M246" s="49" t="e">
        <f>M247/M245*1000</f>
        <v>#DIV/0!</v>
      </c>
      <c r="N246" s="49">
        <v>1655.08</v>
      </c>
      <c r="O246" s="49">
        <v>1655.08</v>
      </c>
      <c r="P246" s="49">
        <v>1655.08</v>
      </c>
      <c r="Q246" s="49">
        <v>1655.08</v>
      </c>
      <c r="R246" s="49">
        <v>1655.08</v>
      </c>
      <c r="S246" s="49">
        <v>1655.08</v>
      </c>
      <c r="T246" s="49" t="e">
        <f>T247/T245*1000</f>
        <v>#DIV/0!</v>
      </c>
      <c r="U246" s="49" t="e">
        <f>U247/U245*1000</f>
        <v>#DIV/0!</v>
      </c>
      <c r="V246" s="68" t="e">
        <f>V247/V245*1000</f>
        <v>#DIV/0!</v>
      </c>
      <c r="W246" s="14" t="e">
        <f>W247/W245*1000</f>
        <v>#DIV/0!</v>
      </c>
      <c r="X246" s="59"/>
    </row>
    <row r="247" spans="1:24" s="63" customFormat="1" ht="23.35" hidden="1" customHeight="1">
      <c r="A247" s="610"/>
      <c r="B247" s="576"/>
      <c r="C247" s="577"/>
      <c r="D247" s="198" t="str">
        <f>серпень!D247</f>
        <v>касові видатки, тис.грн.</v>
      </c>
      <c r="E247" s="71"/>
      <c r="F247" s="61">
        <f t="shared" ref="F247:K247" si="293">F245*F246/1000</f>
        <v>0</v>
      </c>
      <c r="G247" s="61">
        <f t="shared" si="293"/>
        <v>0</v>
      </c>
      <c r="H247" s="61">
        <f t="shared" si="293"/>
        <v>0</v>
      </c>
      <c r="I247" s="61">
        <f t="shared" si="293"/>
        <v>0</v>
      </c>
      <c r="J247" s="61">
        <f t="shared" si="293"/>
        <v>0</v>
      </c>
      <c r="K247" s="61">
        <f t="shared" si="293"/>
        <v>0</v>
      </c>
      <c r="L247" s="61">
        <f>SUM(F247:K247)</f>
        <v>0</v>
      </c>
      <c r="M247" s="61">
        <f>L247/6</f>
        <v>0</v>
      </c>
      <c r="N247" s="61">
        <f t="shared" ref="N247:S247" si="294">N245*N246/1000</f>
        <v>0</v>
      </c>
      <c r="O247" s="61">
        <f t="shared" si="294"/>
        <v>0</v>
      </c>
      <c r="P247" s="61">
        <f t="shared" si="294"/>
        <v>0</v>
      </c>
      <c r="Q247" s="61">
        <f t="shared" si="294"/>
        <v>0</v>
      </c>
      <c r="R247" s="61">
        <f t="shared" si="294"/>
        <v>0</v>
      </c>
      <c r="S247" s="61">
        <f t="shared" si="294"/>
        <v>0</v>
      </c>
      <c r="T247" s="61">
        <f>SUM(N247:S247)</f>
        <v>0</v>
      </c>
      <c r="U247" s="61">
        <f>T247+L247</f>
        <v>0</v>
      </c>
      <c r="V247" s="61">
        <f>V242</f>
        <v>0</v>
      </c>
      <c r="W247" s="72">
        <f>V247-U247</f>
        <v>0</v>
      </c>
      <c r="X247" s="63">
        <f>U242-U247</f>
        <v>0</v>
      </c>
    </row>
    <row r="248" spans="1:24" s="63" customFormat="1" ht="23.35" hidden="1" customHeight="1">
      <c r="A248" s="610"/>
      <c r="B248" s="576"/>
      <c r="C248" s="577"/>
      <c r="D248" s="201" t="str">
        <f>серпень!D248</f>
        <v>дотація</v>
      </c>
      <c r="E248" s="71"/>
      <c r="F248" s="61"/>
      <c r="G248" s="61"/>
      <c r="H248" s="61"/>
      <c r="I248" s="61"/>
      <c r="J248" s="61"/>
      <c r="K248" s="61"/>
      <c r="L248" s="61">
        <f>SUM(F248:K248)</f>
        <v>0</v>
      </c>
      <c r="M248" s="61">
        <f>L248/6</f>
        <v>0</v>
      </c>
      <c r="N248" s="61"/>
      <c r="O248" s="61"/>
      <c r="P248" s="61"/>
      <c r="Q248" s="61"/>
      <c r="R248" s="61"/>
      <c r="S248" s="61"/>
      <c r="T248" s="61">
        <f>SUM(N248:S248)</f>
        <v>0</v>
      </c>
      <c r="U248" s="61">
        <f>T248+L248</f>
        <v>0</v>
      </c>
      <c r="V248" s="61">
        <f>V243</f>
        <v>0</v>
      </c>
      <c r="W248" s="72">
        <f>V248-U248</f>
        <v>0</v>
      </c>
      <c r="X248" s="63">
        <f>U243-U248</f>
        <v>0</v>
      </c>
    </row>
    <row r="249" spans="1:24" s="63" customFormat="1" ht="23.35" hidden="1" customHeight="1">
      <c r="A249" s="610"/>
      <c r="B249" s="576"/>
      <c r="C249" s="577"/>
      <c r="D249" s="201" t="str">
        <f>серпень!D249</f>
        <v xml:space="preserve">місцевий </v>
      </c>
      <c r="E249" s="71"/>
      <c r="F249" s="61">
        <f t="shared" ref="F249:K249" si="295">F247-F248</f>
        <v>0</v>
      </c>
      <c r="G249" s="61">
        <f t="shared" si="295"/>
        <v>0</v>
      </c>
      <c r="H249" s="61">
        <f t="shared" si="295"/>
        <v>0</v>
      </c>
      <c r="I249" s="61">
        <f t="shared" si="295"/>
        <v>0</v>
      </c>
      <c r="J249" s="61">
        <f t="shared" si="295"/>
        <v>0</v>
      </c>
      <c r="K249" s="61">
        <f t="shared" si="295"/>
        <v>0</v>
      </c>
      <c r="L249" s="61">
        <f>SUM(F249:K249)</f>
        <v>0</v>
      </c>
      <c r="M249" s="61">
        <f>L249/6</f>
        <v>0</v>
      </c>
      <c r="N249" s="61">
        <f t="shared" ref="N249:S249" si="296">N247-N248</f>
        <v>0</v>
      </c>
      <c r="O249" s="61">
        <f t="shared" si="296"/>
        <v>0</v>
      </c>
      <c r="P249" s="61">
        <f t="shared" si="296"/>
        <v>0</v>
      </c>
      <c r="Q249" s="61">
        <f t="shared" si="296"/>
        <v>0</v>
      </c>
      <c r="R249" s="61">
        <f t="shared" si="296"/>
        <v>0</v>
      </c>
      <c r="S249" s="61">
        <f t="shared" si="296"/>
        <v>0</v>
      </c>
      <c r="T249" s="61">
        <f>SUM(N249:S249)</f>
        <v>0</v>
      </c>
      <c r="U249" s="61">
        <f>T249+L249</f>
        <v>0</v>
      </c>
      <c r="V249" s="61">
        <f>V244</f>
        <v>0</v>
      </c>
      <c r="W249" s="72">
        <f>V249-U249</f>
        <v>0</v>
      </c>
      <c r="X249" s="63">
        <f>U244-U249</f>
        <v>0</v>
      </c>
    </row>
    <row r="250" spans="1:24" s="43" customFormat="1" ht="23.35" hidden="1" customHeight="1">
      <c r="A250" s="610"/>
      <c r="B250" s="576"/>
      <c r="C250" s="577"/>
      <c r="D250" s="202" t="str">
        <f>серпень!D250</f>
        <v>план</v>
      </c>
      <c r="E250" s="42"/>
      <c r="F250" s="42">
        <f t="shared" ref="F250:K250" si="297">F244</f>
        <v>0</v>
      </c>
      <c r="G250" s="42">
        <f t="shared" si="297"/>
        <v>0</v>
      </c>
      <c r="H250" s="42">
        <f t="shared" si="297"/>
        <v>0</v>
      </c>
      <c r="I250" s="42">
        <f t="shared" si="297"/>
        <v>0</v>
      </c>
      <c r="J250" s="42">
        <f t="shared" si="297"/>
        <v>0</v>
      </c>
      <c r="K250" s="42">
        <f t="shared" si="297"/>
        <v>0</v>
      </c>
      <c r="L250" s="42">
        <f>SUM(F250:K250)</f>
        <v>0</v>
      </c>
      <c r="M250" s="42">
        <f>L250/6</f>
        <v>0</v>
      </c>
      <c r="N250" s="42">
        <f t="shared" ref="N250:S250" si="298">N244+N243</f>
        <v>0</v>
      </c>
      <c r="O250" s="42">
        <f t="shared" si="298"/>
        <v>0</v>
      </c>
      <c r="P250" s="42">
        <f t="shared" si="298"/>
        <v>0</v>
      </c>
      <c r="Q250" s="42">
        <f t="shared" si="298"/>
        <v>0</v>
      </c>
      <c r="R250" s="42">
        <f t="shared" si="298"/>
        <v>0</v>
      </c>
      <c r="S250" s="42">
        <f t="shared" si="298"/>
        <v>0</v>
      </c>
      <c r="T250" s="42">
        <f>SUM(N250:S250)</f>
        <v>0</v>
      </c>
      <c r="U250" s="42">
        <f>T250+L250</f>
        <v>0</v>
      </c>
      <c r="V250" s="42">
        <f>V247</f>
        <v>0</v>
      </c>
      <c r="W250" s="42">
        <f>V250-U250</f>
        <v>0</v>
      </c>
    </row>
    <row r="251" spans="1:24" s="43" customFormat="1" ht="23.35" hidden="1" customHeight="1">
      <c r="A251" s="610"/>
      <c r="B251" s="576"/>
      <c r="C251" s="577"/>
      <c r="D251" s="202" t="str">
        <f>серпень!D251</f>
        <v xml:space="preserve">відхилення </v>
      </c>
      <c r="E251" s="42"/>
      <c r="F251" s="42">
        <f t="shared" ref="F251:K251" si="299">F247-F250</f>
        <v>0</v>
      </c>
      <c r="G251" s="42">
        <f t="shared" si="299"/>
        <v>0</v>
      </c>
      <c r="H251" s="42">
        <f t="shared" si="299"/>
        <v>0</v>
      </c>
      <c r="I251" s="42">
        <f t="shared" si="299"/>
        <v>0</v>
      </c>
      <c r="J251" s="42">
        <f t="shared" si="299"/>
        <v>0</v>
      </c>
      <c r="K251" s="42">
        <f t="shared" si="299"/>
        <v>0</v>
      </c>
      <c r="L251" s="42"/>
      <c r="M251" s="42"/>
      <c r="N251" s="42">
        <f t="shared" ref="N251:S251" si="300">N247-N250</f>
        <v>0</v>
      </c>
      <c r="O251" s="42">
        <f t="shared" si="300"/>
        <v>0</v>
      </c>
      <c r="P251" s="42">
        <f t="shared" si="300"/>
        <v>0</v>
      </c>
      <c r="Q251" s="42">
        <f t="shared" si="300"/>
        <v>0</v>
      </c>
      <c r="R251" s="42">
        <f t="shared" si="300"/>
        <v>0</v>
      </c>
      <c r="S251" s="42">
        <f t="shared" si="300"/>
        <v>0</v>
      </c>
      <c r="T251" s="42"/>
      <c r="U251" s="42"/>
      <c r="V251" s="42"/>
      <c r="W251" s="42"/>
    </row>
    <row r="252" spans="1:24" s="43" customFormat="1" ht="23.35" hidden="1" customHeight="1">
      <c r="A252" s="611"/>
      <c r="B252" s="578"/>
      <c r="C252" s="579"/>
      <c r="D252" s="202" t="str">
        <f>серпень!D252</f>
        <v>відхилення з наростаючим</v>
      </c>
      <c r="E252" s="42"/>
      <c r="F252" s="42">
        <f>F251</f>
        <v>0</v>
      </c>
      <c r="G252" s="42">
        <f>G251+F252</f>
        <v>0</v>
      </c>
      <c r="H252" s="42">
        <f>H251+G252</f>
        <v>0</v>
      </c>
      <c r="I252" s="42">
        <f>I251+H252</f>
        <v>0</v>
      </c>
      <c r="J252" s="42">
        <f>J251+I252</f>
        <v>0</v>
      </c>
      <c r="K252" s="42">
        <f>K251+J252</f>
        <v>0</v>
      </c>
      <c r="L252" s="42"/>
      <c r="M252" s="42"/>
      <c r="N252" s="42">
        <f>N251+K252</f>
        <v>0</v>
      </c>
      <c r="O252" s="42">
        <f>O251+N252</f>
        <v>0</v>
      </c>
      <c r="P252" s="42">
        <f>P251+O252</f>
        <v>0</v>
      </c>
      <c r="Q252" s="42">
        <f>Q251+P252</f>
        <v>0</v>
      </c>
      <c r="R252" s="42">
        <f>R251+Q252</f>
        <v>0</v>
      </c>
      <c r="S252" s="42">
        <f>S251+R252</f>
        <v>0</v>
      </c>
      <c r="T252" s="42"/>
      <c r="U252" s="42"/>
      <c r="V252" s="42"/>
      <c r="W252" s="42"/>
    </row>
    <row r="253" spans="1:24" s="186" customFormat="1" ht="18" hidden="1" customHeight="1">
      <c r="A253" s="609" t="s">
        <v>58</v>
      </c>
      <c r="B253" s="659" t="s">
        <v>62</v>
      </c>
      <c r="C253" s="660"/>
      <c r="D253" s="178" t="str">
        <f>серпень!D253</f>
        <v>факт. нат.п-ки 2023</v>
      </c>
      <c r="E253" s="179"/>
      <c r="F253" s="180">
        <f t="shared" ref="F253:K255" si="301">F270+F300</f>
        <v>0</v>
      </c>
      <c r="G253" s="180">
        <f t="shared" si="301"/>
        <v>0</v>
      </c>
      <c r="H253" s="180">
        <f t="shared" si="301"/>
        <v>0</v>
      </c>
      <c r="I253" s="180">
        <f t="shared" si="301"/>
        <v>0</v>
      </c>
      <c r="J253" s="180">
        <f t="shared" si="301"/>
        <v>0</v>
      </c>
      <c r="K253" s="180">
        <f t="shared" si="301"/>
        <v>0</v>
      </c>
      <c r="L253" s="207">
        <f>SUM(F253:K253)</f>
        <v>0</v>
      </c>
      <c r="M253" s="207">
        <f>L253/6</f>
        <v>0</v>
      </c>
      <c r="N253" s="180">
        <f t="shared" ref="N253:S255" si="302">N270+N300</f>
        <v>0</v>
      </c>
      <c r="O253" s="180">
        <f t="shared" si="302"/>
        <v>0</v>
      </c>
      <c r="P253" s="180">
        <f t="shared" si="302"/>
        <v>0</v>
      </c>
      <c r="Q253" s="180">
        <f t="shared" si="302"/>
        <v>0</v>
      </c>
      <c r="R253" s="180">
        <f t="shared" si="302"/>
        <v>0</v>
      </c>
      <c r="S253" s="180">
        <f t="shared" si="302"/>
        <v>0</v>
      </c>
      <c r="T253" s="207">
        <f>SUM(N253:S253)</f>
        <v>0</v>
      </c>
      <c r="U253" s="222">
        <f>T253+L253</f>
        <v>0</v>
      </c>
      <c r="V253" s="183">
        <f>V270+V300</f>
        <v>0</v>
      </c>
      <c r="W253" s="184"/>
      <c r="X253" s="185"/>
    </row>
    <row r="254" spans="1:24" s="186" customFormat="1" ht="18" hidden="1" customHeight="1">
      <c r="A254" s="610"/>
      <c r="B254" s="661"/>
      <c r="C254" s="662"/>
      <c r="D254" s="178" t="str">
        <f>серпень!D254</f>
        <v>факт. нат.п-ки 2024</v>
      </c>
      <c r="E254" s="179"/>
      <c r="F254" s="180">
        <f t="shared" si="301"/>
        <v>0</v>
      </c>
      <c r="G254" s="180">
        <f t="shared" si="301"/>
        <v>0</v>
      </c>
      <c r="H254" s="180">
        <f t="shared" si="301"/>
        <v>0</v>
      </c>
      <c r="I254" s="180">
        <f t="shared" si="301"/>
        <v>0</v>
      </c>
      <c r="J254" s="180">
        <f t="shared" si="301"/>
        <v>0</v>
      </c>
      <c r="K254" s="180">
        <f t="shared" si="301"/>
        <v>0</v>
      </c>
      <c r="L254" s="207">
        <f>SUM(F254:K254)</f>
        <v>0</v>
      </c>
      <c r="M254" s="207">
        <f>L254/6</f>
        <v>0</v>
      </c>
      <c r="N254" s="179">
        <f t="shared" si="302"/>
        <v>0</v>
      </c>
      <c r="O254" s="179">
        <f t="shared" si="302"/>
        <v>0</v>
      </c>
      <c r="P254" s="179">
        <f t="shared" si="302"/>
        <v>0</v>
      </c>
      <c r="Q254" s="179">
        <f t="shared" si="302"/>
        <v>0</v>
      </c>
      <c r="R254" s="179">
        <f t="shared" si="302"/>
        <v>0</v>
      </c>
      <c r="S254" s="179">
        <f t="shared" si="302"/>
        <v>0</v>
      </c>
      <c r="T254" s="207">
        <f>SUM(N254:S254)</f>
        <v>0</v>
      </c>
      <c r="U254" s="222">
        <f>T254+L254</f>
        <v>0</v>
      </c>
      <c r="V254" s="183">
        <f>V271+V301</f>
        <v>0</v>
      </c>
      <c r="W254" s="184"/>
      <c r="X254" s="185"/>
    </row>
    <row r="255" spans="1:24" s="186" customFormat="1" ht="18" hidden="1" customHeight="1">
      <c r="A255" s="610"/>
      <c r="B255" s="661"/>
      <c r="C255" s="662"/>
      <c r="D255" s="178" t="str">
        <f>серпень!D255</f>
        <v>факт. нат.п-ки 2025</v>
      </c>
      <c r="E255" s="179"/>
      <c r="F255" s="180">
        <f>F272+F302</f>
        <v>0</v>
      </c>
      <c r="G255" s="180">
        <f t="shared" si="301"/>
        <v>0</v>
      </c>
      <c r="H255" s="180">
        <f t="shared" si="301"/>
        <v>0</v>
      </c>
      <c r="I255" s="180">
        <f t="shared" si="301"/>
        <v>0</v>
      </c>
      <c r="J255" s="180">
        <f t="shared" si="301"/>
        <v>0</v>
      </c>
      <c r="K255" s="180">
        <f t="shared" si="301"/>
        <v>0</v>
      </c>
      <c r="L255" s="207">
        <f>SUM(F255:K255)</f>
        <v>0</v>
      </c>
      <c r="M255" s="207">
        <f>L255/6</f>
        <v>0</v>
      </c>
      <c r="N255" s="180">
        <f>N272+N302</f>
        <v>0</v>
      </c>
      <c r="O255" s="180">
        <f t="shared" si="302"/>
        <v>0</v>
      </c>
      <c r="P255" s="180">
        <f t="shared" si="302"/>
        <v>0</v>
      </c>
      <c r="Q255" s="180">
        <f t="shared" si="302"/>
        <v>0</v>
      </c>
      <c r="R255" s="180">
        <f t="shared" si="302"/>
        <v>0</v>
      </c>
      <c r="S255" s="180">
        <f t="shared" si="302"/>
        <v>0</v>
      </c>
      <c r="T255" s="207">
        <f>SUM(N255:S255)</f>
        <v>0</v>
      </c>
      <c r="U255" s="222">
        <f>T255+L255</f>
        <v>0</v>
      </c>
      <c r="V255" s="183">
        <f>V272+V287+V302+V317</f>
        <v>0</v>
      </c>
      <c r="W255" s="184">
        <f>V255-U255</f>
        <v>0</v>
      </c>
      <c r="X255" s="185"/>
    </row>
    <row r="256" spans="1:24" s="190" customFormat="1" ht="18" hidden="1" customHeight="1">
      <c r="A256" s="610"/>
      <c r="B256" s="661"/>
      <c r="C256" s="662"/>
      <c r="D256" s="187" t="str">
        <f>серпень!D256</f>
        <v>тариф, грн.</v>
      </c>
      <c r="E256" s="188"/>
      <c r="F256" s="188" t="e">
        <f>F257/F255*1000</f>
        <v>#DIV/0!</v>
      </c>
      <c r="G256" s="188" t="e">
        <f>G257/G255*1000</f>
        <v>#DIV/0!</v>
      </c>
      <c r="H256" s="188" t="e">
        <f>H257/H255*1000</f>
        <v>#DIV/0!</v>
      </c>
      <c r="I256" s="188" t="e">
        <f>I257/I255*1000</f>
        <v>#DIV/0!</v>
      </c>
      <c r="J256" s="188" t="e">
        <f>J257/J255*1000</f>
        <v>#DIV/0!</v>
      </c>
      <c r="K256" s="188" t="e">
        <f t="shared" ref="K256:S256" si="303">K257/K255*1000</f>
        <v>#DIV/0!</v>
      </c>
      <c r="L256" s="188" t="e">
        <f t="shared" si="303"/>
        <v>#DIV/0!</v>
      </c>
      <c r="M256" s="188" t="e">
        <f t="shared" si="303"/>
        <v>#DIV/0!</v>
      </c>
      <c r="N256" s="188" t="e">
        <f t="shared" si="303"/>
        <v>#DIV/0!</v>
      </c>
      <c r="O256" s="188" t="e">
        <f t="shared" si="303"/>
        <v>#DIV/0!</v>
      </c>
      <c r="P256" s="188" t="e">
        <f t="shared" si="303"/>
        <v>#DIV/0!</v>
      </c>
      <c r="Q256" s="188" t="e">
        <f t="shared" si="303"/>
        <v>#DIV/0!</v>
      </c>
      <c r="R256" s="188" t="e">
        <f t="shared" si="303"/>
        <v>#DIV/0!</v>
      </c>
      <c r="S256" s="188" t="e">
        <f t="shared" si="303"/>
        <v>#DIV/0!</v>
      </c>
      <c r="T256" s="188" t="e">
        <f>T257/T255*1000</f>
        <v>#DIV/0!</v>
      </c>
      <c r="U256" s="188" t="e">
        <f>U257/U255*1000</f>
        <v>#DIV/0!</v>
      </c>
      <c r="V256" s="188" t="e">
        <f>V257/V255*1000</f>
        <v>#DIV/0!</v>
      </c>
      <c r="W256" s="189" t="e">
        <f>W257/W255*1000</f>
        <v>#DIV/0!</v>
      </c>
      <c r="X256" s="225"/>
    </row>
    <row r="257" spans="1:28" s="228" customFormat="1" ht="18" hidden="1" customHeight="1">
      <c r="A257" s="610"/>
      <c r="B257" s="661"/>
      <c r="C257" s="662"/>
      <c r="D257" s="191" t="str">
        <f>серпень!D257</f>
        <v>сума, тис.грн.</v>
      </c>
      <c r="E257" s="192"/>
      <c r="F257" s="192">
        <f>F274+F304</f>
        <v>0</v>
      </c>
      <c r="G257" s="192">
        <f t="shared" ref="G257:K257" si="304">G274+G304</f>
        <v>0</v>
      </c>
      <c r="H257" s="192">
        <f t="shared" si="304"/>
        <v>0</v>
      </c>
      <c r="I257" s="192">
        <f t="shared" si="304"/>
        <v>0</v>
      </c>
      <c r="J257" s="192">
        <f t="shared" si="304"/>
        <v>0</v>
      </c>
      <c r="K257" s="192">
        <f t="shared" si="304"/>
        <v>0</v>
      </c>
      <c r="L257" s="192">
        <f t="shared" ref="L257:L262" si="305">SUM(F257:K257)</f>
        <v>0</v>
      </c>
      <c r="M257" s="192">
        <f t="shared" ref="M257:M262" si="306">L257/6</f>
        <v>0</v>
      </c>
      <c r="N257" s="192">
        <f>N274+N304</f>
        <v>0</v>
      </c>
      <c r="O257" s="192">
        <f t="shared" ref="O257:S257" si="307">O274+O304</f>
        <v>0</v>
      </c>
      <c r="P257" s="192">
        <f t="shared" si="307"/>
        <v>0</v>
      </c>
      <c r="Q257" s="192">
        <f t="shared" si="307"/>
        <v>0</v>
      </c>
      <c r="R257" s="192">
        <f t="shared" si="307"/>
        <v>0</v>
      </c>
      <c r="S257" s="192">
        <f t="shared" si="307"/>
        <v>0</v>
      </c>
      <c r="T257" s="192">
        <f t="shared" ref="T257:T262" si="308">SUM(N257:S257)</f>
        <v>0</v>
      </c>
      <c r="U257" s="192">
        <f t="shared" ref="U257:U262" si="309">T257+L257</f>
        <v>0</v>
      </c>
      <c r="V257" s="193">
        <f>V274+V289+V304+V319</f>
        <v>0</v>
      </c>
      <c r="W257" s="193">
        <f t="shared" ref="W257:W262" si="310">V257-U257</f>
        <v>0</v>
      </c>
      <c r="X257" s="209"/>
      <c r="Y257" s="209"/>
      <c r="Z257" s="209"/>
      <c r="AA257" s="209"/>
      <c r="AB257" s="209"/>
    </row>
    <row r="258" spans="1:28" s="228" customFormat="1" ht="18" hidden="1" customHeight="1">
      <c r="A258" s="610"/>
      <c r="B258" s="661"/>
      <c r="C258" s="662"/>
      <c r="D258" s="174" t="str">
        <f>серпень!D258</f>
        <v>абоненська плата, тис.грн.</v>
      </c>
      <c r="E258" s="192"/>
      <c r="F258" s="192">
        <f>F289+F319</f>
        <v>0</v>
      </c>
      <c r="G258" s="192">
        <f t="shared" ref="G258:K258" si="311">G289+G319</f>
        <v>0</v>
      </c>
      <c r="H258" s="192">
        <f t="shared" si="311"/>
        <v>0</v>
      </c>
      <c r="I258" s="192">
        <f t="shared" si="311"/>
        <v>0</v>
      </c>
      <c r="J258" s="192">
        <f t="shared" si="311"/>
        <v>0</v>
      </c>
      <c r="K258" s="192">
        <f t="shared" si="311"/>
        <v>0</v>
      </c>
      <c r="L258" s="192">
        <f t="shared" si="305"/>
        <v>0</v>
      </c>
      <c r="M258" s="192">
        <f t="shared" si="306"/>
        <v>0</v>
      </c>
      <c r="N258" s="192">
        <f>N289+N319</f>
        <v>0</v>
      </c>
      <c r="O258" s="192">
        <f t="shared" ref="O258:S258" si="312">O289+O319</f>
        <v>0</v>
      </c>
      <c r="P258" s="192">
        <f t="shared" si="312"/>
        <v>0</v>
      </c>
      <c r="Q258" s="192">
        <f t="shared" si="312"/>
        <v>0</v>
      </c>
      <c r="R258" s="192">
        <f t="shared" si="312"/>
        <v>0</v>
      </c>
      <c r="S258" s="192">
        <f t="shared" si="312"/>
        <v>0</v>
      </c>
      <c r="T258" s="192">
        <f t="shared" si="308"/>
        <v>0</v>
      </c>
      <c r="U258" s="192">
        <f t="shared" si="309"/>
        <v>0</v>
      </c>
      <c r="V258" s="193">
        <f>V289+V319</f>
        <v>0</v>
      </c>
      <c r="W258" s="193">
        <f t="shared" si="310"/>
        <v>0</v>
      </c>
      <c r="X258" s="209"/>
      <c r="Y258" s="209"/>
      <c r="Z258" s="209"/>
      <c r="AA258" s="209"/>
      <c r="AB258" s="209"/>
    </row>
    <row r="259" spans="1:28" s="228" customFormat="1" ht="18" hidden="1" customHeight="1">
      <c r="A259" s="610"/>
      <c r="B259" s="661"/>
      <c r="C259" s="662"/>
      <c r="D259" s="174" t="str">
        <f>серпень!D259</f>
        <v>разом сума тис. грн+абонплата</v>
      </c>
      <c r="E259" s="192"/>
      <c r="F259" s="192">
        <f>F257+F258</f>
        <v>0</v>
      </c>
      <c r="G259" s="192">
        <f t="shared" ref="G259:K259" si="313">G257+G258</f>
        <v>0</v>
      </c>
      <c r="H259" s="192">
        <f t="shared" si="313"/>
        <v>0</v>
      </c>
      <c r="I259" s="192">
        <f t="shared" si="313"/>
        <v>0</v>
      </c>
      <c r="J259" s="192">
        <f t="shared" si="313"/>
        <v>0</v>
      </c>
      <c r="K259" s="192">
        <f t="shared" si="313"/>
        <v>0</v>
      </c>
      <c r="L259" s="192">
        <f t="shared" si="305"/>
        <v>0</v>
      </c>
      <c r="M259" s="192">
        <f t="shared" si="306"/>
        <v>0</v>
      </c>
      <c r="N259" s="192">
        <f>N257+N258</f>
        <v>0</v>
      </c>
      <c r="O259" s="192">
        <f t="shared" ref="O259:S259" si="314">O257+O258</f>
        <v>0</v>
      </c>
      <c r="P259" s="192">
        <f t="shared" si="314"/>
        <v>0</v>
      </c>
      <c r="Q259" s="192">
        <f t="shared" si="314"/>
        <v>0</v>
      </c>
      <c r="R259" s="192">
        <f t="shared" si="314"/>
        <v>0</v>
      </c>
      <c r="S259" s="192">
        <f t="shared" si="314"/>
        <v>0</v>
      </c>
      <c r="T259" s="192">
        <f t="shared" si="308"/>
        <v>0</v>
      </c>
      <c r="U259" s="192">
        <f t="shared" si="309"/>
        <v>0</v>
      </c>
      <c r="V259" s="193">
        <f>V290+V320</f>
        <v>0</v>
      </c>
      <c r="W259" s="193">
        <f t="shared" si="310"/>
        <v>0</v>
      </c>
      <c r="X259" s="209"/>
      <c r="Y259" s="209"/>
      <c r="Z259" s="209"/>
      <c r="AA259" s="209"/>
      <c r="AB259" s="209"/>
    </row>
    <row r="260" spans="1:28" s="228" customFormat="1" ht="18" hidden="1" customHeight="1">
      <c r="A260" s="610"/>
      <c r="B260" s="661"/>
      <c r="C260" s="662"/>
      <c r="D260" s="174" t="str">
        <f>серпень!D260</f>
        <v>дотація</v>
      </c>
      <c r="E260" s="210"/>
      <c r="F260" s="192">
        <f t="shared" ref="F260:K261" si="315">F275+F290+F305+F320</f>
        <v>0</v>
      </c>
      <c r="G260" s="192">
        <f t="shared" si="315"/>
        <v>0</v>
      </c>
      <c r="H260" s="192">
        <f t="shared" si="315"/>
        <v>0</v>
      </c>
      <c r="I260" s="192">
        <f t="shared" si="315"/>
        <v>0</v>
      </c>
      <c r="J260" s="192">
        <f t="shared" si="315"/>
        <v>0</v>
      </c>
      <c r="K260" s="192">
        <f t="shared" si="315"/>
        <v>0</v>
      </c>
      <c r="L260" s="192">
        <f t="shared" si="305"/>
        <v>0</v>
      </c>
      <c r="M260" s="192">
        <f t="shared" si="306"/>
        <v>0</v>
      </c>
      <c r="N260" s="192">
        <f t="shared" ref="N260:S262" si="316">N275+N290+N305+N320</f>
        <v>0</v>
      </c>
      <c r="O260" s="192">
        <f t="shared" si="316"/>
        <v>0</v>
      </c>
      <c r="P260" s="192">
        <f t="shared" si="316"/>
        <v>0</v>
      </c>
      <c r="Q260" s="192">
        <f t="shared" si="316"/>
        <v>0</v>
      </c>
      <c r="R260" s="192">
        <f t="shared" si="316"/>
        <v>0</v>
      </c>
      <c r="S260" s="192">
        <f t="shared" si="316"/>
        <v>0</v>
      </c>
      <c r="T260" s="192">
        <f t="shared" si="308"/>
        <v>0</v>
      </c>
      <c r="U260" s="192">
        <f t="shared" si="309"/>
        <v>0</v>
      </c>
      <c r="V260" s="193">
        <f t="shared" ref="V260:V262" si="317">V275+V290+V305+V320</f>
        <v>0</v>
      </c>
      <c r="W260" s="211">
        <f t="shared" si="310"/>
        <v>0</v>
      </c>
      <c r="X260" s="209"/>
      <c r="Y260" s="209"/>
      <c r="Z260" s="209"/>
      <c r="AA260" s="209"/>
      <c r="AB260" s="209"/>
    </row>
    <row r="261" spans="1:28" s="228" customFormat="1" ht="18" hidden="1" customHeight="1">
      <c r="A261" s="610"/>
      <c r="B261" s="661"/>
      <c r="C261" s="662"/>
      <c r="D261" s="174" t="str">
        <f>серпень!D261</f>
        <v>місцевий (план), тис.грн</v>
      </c>
      <c r="E261" s="210"/>
      <c r="F261" s="192">
        <f t="shared" si="315"/>
        <v>0</v>
      </c>
      <c r="G261" s="192">
        <f t="shared" si="315"/>
        <v>0</v>
      </c>
      <c r="H261" s="192">
        <f t="shared" si="315"/>
        <v>0</v>
      </c>
      <c r="I261" s="192">
        <f t="shared" si="315"/>
        <v>0</v>
      </c>
      <c r="J261" s="192">
        <f t="shared" si="315"/>
        <v>0</v>
      </c>
      <c r="K261" s="192">
        <f t="shared" si="315"/>
        <v>0</v>
      </c>
      <c r="L261" s="192">
        <f t="shared" si="305"/>
        <v>0</v>
      </c>
      <c r="M261" s="192">
        <f t="shared" si="306"/>
        <v>0</v>
      </c>
      <c r="N261" s="192">
        <f t="shared" si="316"/>
        <v>0</v>
      </c>
      <c r="O261" s="192">
        <f t="shared" si="316"/>
        <v>0</v>
      </c>
      <c r="P261" s="192">
        <f t="shared" si="316"/>
        <v>0</v>
      </c>
      <c r="Q261" s="192">
        <f t="shared" si="316"/>
        <v>0</v>
      </c>
      <c r="R261" s="192">
        <f t="shared" si="316"/>
        <v>0</v>
      </c>
      <c r="S261" s="192">
        <f t="shared" si="316"/>
        <v>0</v>
      </c>
      <c r="T261" s="192">
        <f t="shared" si="308"/>
        <v>0</v>
      </c>
      <c r="U261" s="192">
        <f t="shared" si="309"/>
        <v>0</v>
      </c>
      <c r="V261" s="193">
        <f t="shared" si="317"/>
        <v>0</v>
      </c>
      <c r="W261" s="193">
        <f t="shared" si="310"/>
        <v>0</v>
      </c>
      <c r="X261" s="209"/>
      <c r="Y261" s="209"/>
      <c r="Z261" s="209"/>
      <c r="AA261" s="209"/>
      <c r="AB261" s="209"/>
    </row>
    <row r="262" spans="1:28" s="186" customFormat="1" ht="18" hidden="1" customHeight="1">
      <c r="A262" s="610"/>
      <c r="B262" s="661"/>
      <c r="C262" s="662"/>
      <c r="D262" s="178" t="str">
        <f>серпень!D262</f>
        <v>касові нат.п-ки 2025</v>
      </c>
      <c r="E262" s="179">
        <f>E277+E307</f>
        <v>0</v>
      </c>
      <c r="F262" s="179">
        <f>F277+F307</f>
        <v>0</v>
      </c>
      <c r="G262" s="179">
        <f t="shared" ref="G262:K262" si="318">G277+G307</f>
        <v>0</v>
      </c>
      <c r="H262" s="179">
        <f t="shared" si="318"/>
        <v>0</v>
      </c>
      <c r="I262" s="179">
        <f t="shared" si="318"/>
        <v>0</v>
      </c>
      <c r="J262" s="179">
        <f t="shared" si="318"/>
        <v>0</v>
      </c>
      <c r="K262" s="179">
        <f t="shared" si="318"/>
        <v>0</v>
      </c>
      <c r="L262" s="207">
        <f t="shared" si="305"/>
        <v>0</v>
      </c>
      <c r="M262" s="207">
        <f t="shared" si="306"/>
        <v>0</v>
      </c>
      <c r="N262" s="179">
        <f t="shared" si="316"/>
        <v>0</v>
      </c>
      <c r="O262" s="179">
        <f t="shared" si="316"/>
        <v>0</v>
      </c>
      <c r="P262" s="179">
        <f t="shared" si="316"/>
        <v>0</v>
      </c>
      <c r="Q262" s="179">
        <f t="shared" si="316"/>
        <v>0</v>
      </c>
      <c r="R262" s="179">
        <f t="shared" si="316"/>
        <v>0</v>
      </c>
      <c r="S262" s="179">
        <f t="shared" si="316"/>
        <v>0</v>
      </c>
      <c r="T262" s="207">
        <f t="shared" si="308"/>
        <v>0</v>
      </c>
      <c r="U262" s="207">
        <f t="shared" si="309"/>
        <v>0</v>
      </c>
      <c r="V262" s="184">
        <f t="shared" si="317"/>
        <v>0</v>
      </c>
      <c r="W262" s="184">
        <f t="shared" si="310"/>
        <v>0</v>
      </c>
      <c r="X262" s="185">
        <f>U255-U262</f>
        <v>0</v>
      </c>
    </row>
    <row r="263" spans="1:28" s="190" customFormat="1" ht="18" hidden="1" customHeight="1">
      <c r="A263" s="610"/>
      <c r="B263" s="661"/>
      <c r="C263" s="662"/>
      <c r="D263" s="187" t="str">
        <f>серпень!D263</f>
        <v>тариф, грн.</v>
      </c>
      <c r="E263" s="188" t="e">
        <f t="shared" ref="E263:S263" si="319">E264/E262*1000</f>
        <v>#DIV/0!</v>
      </c>
      <c r="F263" s="188" t="e">
        <f t="shared" si="319"/>
        <v>#DIV/0!</v>
      </c>
      <c r="G263" s="188" t="e">
        <f t="shared" si="319"/>
        <v>#DIV/0!</v>
      </c>
      <c r="H263" s="188" t="e">
        <f t="shared" si="319"/>
        <v>#DIV/0!</v>
      </c>
      <c r="I263" s="188" t="e">
        <f t="shared" si="319"/>
        <v>#DIV/0!</v>
      </c>
      <c r="J263" s="188" t="e">
        <f t="shared" si="319"/>
        <v>#DIV/0!</v>
      </c>
      <c r="K263" s="188" t="e">
        <f t="shared" si="319"/>
        <v>#DIV/0!</v>
      </c>
      <c r="L263" s="188" t="e">
        <f t="shared" si="319"/>
        <v>#DIV/0!</v>
      </c>
      <c r="M263" s="188" t="e">
        <f t="shared" si="319"/>
        <v>#DIV/0!</v>
      </c>
      <c r="N263" s="188" t="e">
        <f t="shared" si="319"/>
        <v>#DIV/0!</v>
      </c>
      <c r="O263" s="188" t="e">
        <f t="shared" si="319"/>
        <v>#DIV/0!</v>
      </c>
      <c r="P263" s="188" t="e">
        <f t="shared" si="319"/>
        <v>#DIV/0!</v>
      </c>
      <c r="Q263" s="188" t="e">
        <f t="shared" si="319"/>
        <v>#DIV/0!</v>
      </c>
      <c r="R263" s="188" t="e">
        <f t="shared" si="319"/>
        <v>#DIV/0!</v>
      </c>
      <c r="S263" s="188" t="e">
        <f t="shared" si="319"/>
        <v>#DIV/0!</v>
      </c>
      <c r="T263" s="188" t="e">
        <f>T264/T262*1000</f>
        <v>#DIV/0!</v>
      </c>
      <c r="U263" s="188" t="e">
        <f>U264/U262*1000</f>
        <v>#DIV/0!</v>
      </c>
      <c r="V263" s="188" t="e">
        <f>V264/V262*1000</f>
        <v>#DIV/0!</v>
      </c>
      <c r="W263" s="189" t="e">
        <f>W264/W262*1000</f>
        <v>#DIV/0!</v>
      </c>
      <c r="X263" s="225"/>
    </row>
    <row r="264" spans="1:28" s="213" customFormat="1" ht="18" hidden="1" customHeight="1">
      <c r="A264" s="610"/>
      <c r="B264" s="661"/>
      <c r="C264" s="662"/>
      <c r="D264" s="198" t="str">
        <f>серпень!D264</f>
        <v>касові видатки, тис.грн.</v>
      </c>
      <c r="E264" s="212">
        <f>E279+E309</f>
        <v>0</v>
      </c>
      <c r="F264" s="199">
        <f>F279+F294+F309+F324</f>
        <v>0</v>
      </c>
      <c r="G264" s="199">
        <f t="shared" ref="G264:K264" si="320">G279+G294+G309+G324</f>
        <v>0</v>
      </c>
      <c r="H264" s="199">
        <f t="shared" si="320"/>
        <v>0</v>
      </c>
      <c r="I264" s="199">
        <f t="shared" si="320"/>
        <v>0</v>
      </c>
      <c r="J264" s="199">
        <f t="shared" si="320"/>
        <v>0</v>
      </c>
      <c r="K264" s="199">
        <f t="shared" si="320"/>
        <v>0</v>
      </c>
      <c r="L264" s="199">
        <f>SUM(F264:K264)</f>
        <v>0</v>
      </c>
      <c r="M264" s="199">
        <f>L264/6</f>
        <v>0</v>
      </c>
      <c r="N264" s="199">
        <f t="shared" ref="N264:S266" si="321">N279+N294+N309+N324</f>
        <v>0</v>
      </c>
      <c r="O264" s="199">
        <f t="shared" si="321"/>
        <v>0</v>
      </c>
      <c r="P264" s="199">
        <f t="shared" si="321"/>
        <v>0</v>
      </c>
      <c r="Q264" s="199">
        <f t="shared" si="321"/>
        <v>0</v>
      </c>
      <c r="R264" s="199">
        <f t="shared" si="321"/>
        <v>0</v>
      </c>
      <c r="S264" s="199">
        <f t="shared" si="321"/>
        <v>0</v>
      </c>
      <c r="T264" s="199">
        <f>SUM(N264:S264)</f>
        <v>0</v>
      </c>
      <c r="U264" s="199">
        <f>T264+L264</f>
        <v>0</v>
      </c>
      <c r="V264" s="175">
        <f t="shared" ref="V264:V267" si="322">V279+V294+V309+V324</f>
        <v>0</v>
      </c>
      <c r="W264" s="175">
        <f>V264-U264</f>
        <v>0</v>
      </c>
      <c r="X264" s="176">
        <f>U259-U264</f>
        <v>0</v>
      </c>
    </row>
    <row r="265" spans="1:28" s="213" customFormat="1" ht="18" hidden="1" customHeight="1">
      <c r="A265" s="610"/>
      <c r="B265" s="661"/>
      <c r="C265" s="662"/>
      <c r="D265" s="201" t="str">
        <f>серпень!D265</f>
        <v>дотація</v>
      </c>
      <c r="E265" s="212"/>
      <c r="F265" s="199">
        <f t="shared" ref="F265:K266" si="323">F280+F295+F310+F325</f>
        <v>0</v>
      </c>
      <c r="G265" s="199">
        <f t="shared" si="323"/>
        <v>0</v>
      </c>
      <c r="H265" s="199">
        <f t="shared" si="323"/>
        <v>0</v>
      </c>
      <c r="I265" s="199">
        <f t="shared" si="323"/>
        <v>0</v>
      </c>
      <c r="J265" s="199">
        <f t="shared" si="323"/>
        <v>0</v>
      </c>
      <c r="K265" s="199">
        <f t="shared" si="323"/>
        <v>0</v>
      </c>
      <c r="L265" s="199">
        <f>SUM(F265:K265)</f>
        <v>0</v>
      </c>
      <c r="M265" s="199">
        <f>L265/6</f>
        <v>0</v>
      </c>
      <c r="N265" s="199">
        <f t="shared" si="321"/>
        <v>0</v>
      </c>
      <c r="O265" s="199">
        <f t="shared" si="321"/>
        <v>0</v>
      </c>
      <c r="P265" s="199">
        <f t="shared" si="321"/>
        <v>0</v>
      </c>
      <c r="Q265" s="199">
        <f t="shared" si="321"/>
        <v>0</v>
      </c>
      <c r="R265" s="199">
        <f t="shared" si="321"/>
        <v>0</v>
      </c>
      <c r="S265" s="199">
        <f t="shared" si="321"/>
        <v>0</v>
      </c>
      <c r="T265" s="199">
        <f>SUM(N265:S265)</f>
        <v>0</v>
      </c>
      <c r="U265" s="199">
        <f>T265+L265</f>
        <v>0</v>
      </c>
      <c r="V265" s="175">
        <f t="shared" si="322"/>
        <v>0</v>
      </c>
      <c r="W265" s="175">
        <f>V265-U265</f>
        <v>0</v>
      </c>
      <c r="X265" s="176">
        <f>U260-U265</f>
        <v>0</v>
      </c>
    </row>
    <row r="266" spans="1:28" s="213" customFormat="1" ht="18" hidden="1" customHeight="1">
      <c r="A266" s="610"/>
      <c r="B266" s="661"/>
      <c r="C266" s="662"/>
      <c r="D266" s="201" t="str">
        <f>серпень!D266</f>
        <v xml:space="preserve">місцевий </v>
      </c>
      <c r="E266" s="212"/>
      <c r="F266" s="199">
        <f t="shared" si="323"/>
        <v>0</v>
      </c>
      <c r="G266" s="199">
        <f t="shared" si="323"/>
        <v>0</v>
      </c>
      <c r="H266" s="199">
        <f t="shared" si="323"/>
        <v>0</v>
      </c>
      <c r="I266" s="199">
        <f t="shared" si="323"/>
        <v>0</v>
      </c>
      <c r="J266" s="199">
        <f t="shared" si="323"/>
        <v>0</v>
      </c>
      <c r="K266" s="199">
        <f t="shared" si="323"/>
        <v>0</v>
      </c>
      <c r="L266" s="199">
        <f>SUM(F266:K266)</f>
        <v>0</v>
      </c>
      <c r="M266" s="199">
        <f>L266/6</f>
        <v>0</v>
      </c>
      <c r="N266" s="199">
        <f t="shared" si="321"/>
        <v>0</v>
      </c>
      <c r="O266" s="199">
        <f t="shared" si="321"/>
        <v>0</v>
      </c>
      <c r="P266" s="199">
        <f t="shared" si="321"/>
        <v>0</v>
      </c>
      <c r="Q266" s="199">
        <f t="shared" si="321"/>
        <v>0</v>
      </c>
      <c r="R266" s="199">
        <f t="shared" si="321"/>
        <v>0</v>
      </c>
      <c r="S266" s="199">
        <f t="shared" si="321"/>
        <v>0</v>
      </c>
      <c r="T266" s="199">
        <f>SUM(N266:S266)</f>
        <v>0</v>
      </c>
      <c r="U266" s="199">
        <f>T266+L266</f>
        <v>0</v>
      </c>
      <c r="V266" s="175">
        <f t="shared" si="322"/>
        <v>0</v>
      </c>
      <c r="W266" s="175">
        <f>V266-U266</f>
        <v>0</v>
      </c>
      <c r="X266" s="176">
        <f>U261-U266</f>
        <v>0</v>
      </c>
    </row>
    <row r="267" spans="1:28" s="205" customFormat="1" ht="18" hidden="1" customHeight="1">
      <c r="A267" s="610"/>
      <c r="B267" s="661"/>
      <c r="C267" s="662"/>
      <c r="D267" s="202" t="str">
        <f>серпень!D267</f>
        <v>план</v>
      </c>
      <c r="E267" s="203"/>
      <c r="F267" s="203">
        <f>F261</f>
        <v>0</v>
      </c>
      <c r="G267" s="203">
        <f t="shared" ref="G267:K267" si="324">G261</f>
        <v>0</v>
      </c>
      <c r="H267" s="203">
        <f t="shared" si="324"/>
        <v>0</v>
      </c>
      <c r="I267" s="203">
        <f t="shared" si="324"/>
        <v>0</v>
      </c>
      <c r="J267" s="203">
        <f t="shared" si="324"/>
        <v>0</v>
      </c>
      <c r="K267" s="203">
        <f t="shared" si="324"/>
        <v>0</v>
      </c>
      <c r="L267" s="203">
        <f>SUM(F267:K267)</f>
        <v>0</v>
      </c>
      <c r="M267" s="203">
        <f>L267/6</f>
        <v>0</v>
      </c>
      <c r="N267" s="203">
        <f t="shared" ref="N267:S267" si="325">N261+N260</f>
        <v>0</v>
      </c>
      <c r="O267" s="203">
        <f t="shared" si="325"/>
        <v>0</v>
      </c>
      <c r="P267" s="203">
        <f t="shared" si="325"/>
        <v>0</v>
      </c>
      <c r="Q267" s="203">
        <f t="shared" si="325"/>
        <v>0</v>
      </c>
      <c r="R267" s="203">
        <f t="shared" si="325"/>
        <v>0</v>
      </c>
      <c r="S267" s="203">
        <f t="shared" si="325"/>
        <v>0</v>
      </c>
      <c r="T267" s="203">
        <f>SUM(N267:S267)</f>
        <v>0</v>
      </c>
      <c r="U267" s="203">
        <f>T267+L267</f>
        <v>0</v>
      </c>
      <c r="V267" s="204">
        <f t="shared" si="322"/>
        <v>0</v>
      </c>
      <c r="W267" s="204">
        <f>V267-U267</f>
        <v>0</v>
      </c>
    </row>
    <row r="268" spans="1:28" s="205" customFormat="1" ht="18" hidden="1" customHeight="1">
      <c r="A268" s="610"/>
      <c r="B268" s="661"/>
      <c r="C268" s="662"/>
      <c r="D268" s="202" t="str">
        <f>серпень!D268</f>
        <v xml:space="preserve">відхилення </v>
      </c>
      <c r="E268" s="203"/>
      <c r="F268" s="203">
        <f t="shared" ref="F268:K268" si="326">F264-F267</f>
        <v>0</v>
      </c>
      <c r="G268" s="203">
        <f t="shared" si="326"/>
        <v>0</v>
      </c>
      <c r="H268" s="203">
        <f t="shared" si="326"/>
        <v>0</v>
      </c>
      <c r="I268" s="203">
        <f t="shared" si="326"/>
        <v>0</v>
      </c>
      <c r="J268" s="203">
        <f t="shared" si="326"/>
        <v>0</v>
      </c>
      <c r="K268" s="203">
        <f t="shared" si="326"/>
        <v>0</v>
      </c>
      <c r="L268" s="203"/>
      <c r="M268" s="203"/>
      <c r="N268" s="203">
        <f t="shared" ref="N268:S268" si="327">N264-N267</f>
        <v>0</v>
      </c>
      <c r="O268" s="203">
        <f t="shared" si="327"/>
        <v>0</v>
      </c>
      <c r="P268" s="203">
        <f t="shared" si="327"/>
        <v>0</v>
      </c>
      <c r="Q268" s="203">
        <f t="shared" si="327"/>
        <v>0</v>
      </c>
      <c r="R268" s="203">
        <f t="shared" si="327"/>
        <v>0</v>
      </c>
      <c r="S268" s="203">
        <f t="shared" si="327"/>
        <v>0</v>
      </c>
      <c r="T268" s="203"/>
      <c r="U268" s="203"/>
      <c r="V268" s="203"/>
      <c r="W268" s="203"/>
    </row>
    <row r="269" spans="1:28" s="205" customFormat="1" ht="18" hidden="1" customHeight="1">
      <c r="A269" s="610"/>
      <c r="B269" s="663"/>
      <c r="C269" s="664"/>
      <c r="D269" s="202" t="str">
        <f>серпень!D269</f>
        <v>відхилення з наростаючим</v>
      </c>
      <c r="E269" s="203"/>
      <c r="F269" s="203">
        <f>F268</f>
        <v>0</v>
      </c>
      <c r="G269" s="203">
        <f>G268+F269</f>
        <v>0</v>
      </c>
      <c r="H269" s="203">
        <f>H268+G269</f>
        <v>0</v>
      </c>
      <c r="I269" s="203">
        <f>I268+H269</f>
        <v>0</v>
      </c>
      <c r="J269" s="203">
        <f>J268+I269</f>
        <v>0</v>
      </c>
      <c r="K269" s="203">
        <f>K268+J269</f>
        <v>0</v>
      </c>
      <c r="L269" s="203"/>
      <c r="M269" s="203"/>
      <c r="N269" s="203">
        <f>N268+K269</f>
        <v>0</v>
      </c>
      <c r="O269" s="203">
        <f>O268+N269</f>
        <v>0</v>
      </c>
      <c r="P269" s="203">
        <f>P268+O269</f>
        <v>0</v>
      </c>
      <c r="Q269" s="203">
        <f>Q268+P269</f>
        <v>0</v>
      </c>
      <c r="R269" s="203">
        <f>R268+Q269</f>
        <v>0</v>
      </c>
      <c r="S269" s="203">
        <f>S268+R269</f>
        <v>0</v>
      </c>
      <c r="T269" s="203"/>
      <c r="U269" s="203"/>
      <c r="V269" s="203"/>
      <c r="W269" s="203"/>
    </row>
    <row r="270" spans="1:28" s="48" customFormat="1" ht="18" hidden="1" customHeight="1">
      <c r="A270" s="610"/>
      <c r="B270" s="582" t="s">
        <v>60</v>
      </c>
      <c r="C270" s="582" t="s">
        <v>97</v>
      </c>
      <c r="D270" s="178" t="str">
        <f>серпень!D270</f>
        <v>факт. нат.п-ки 2023</v>
      </c>
      <c r="E270" s="179"/>
      <c r="F270" s="180"/>
      <c r="G270" s="180"/>
      <c r="H270" s="180"/>
      <c r="I270" s="180"/>
      <c r="J270" s="180"/>
      <c r="K270" s="180"/>
      <c r="L270" s="215">
        <f>SUM(F270:K270)</f>
        <v>0</v>
      </c>
      <c r="M270" s="215">
        <f>L270/6</f>
        <v>0</v>
      </c>
      <c r="N270" s="180"/>
      <c r="O270" s="180"/>
      <c r="P270" s="180"/>
      <c r="Q270" s="180"/>
      <c r="R270" s="180"/>
      <c r="S270" s="180"/>
      <c r="T270" s="215">
        <f>SUM(N270:S270)</f>
        <v>0</v>
      </c>
      <c r="U270" s="226">
        <f>T270+L270</f>
        <v>0</v>
      </c>
      <c r="V270" s="227"/>
      <c r="W270" s="184">
        <f>V270-U270</f>
        <v>0</v>
      </c>
      <c r="X270" s="47"/>
    </row>
    <row r="271" spans="1:28" s="48" customFormat="1" ht="18" hidden="1" customHeight="1">
      <c r="A271" s="610"/>
      <c r="B271" s="583"/>
      <c r="C271" s="583"/>
      <c r="D271" s="178" t="str">
        <f>серпень!D271</f>
        <v>факт. нат.п-ки 2024</v>
      </c>
      <c r="E271" s="179"/>
      <c r="F271" s="180"/>
      <c r="G271" s="180"/>
      <c r="H271" s="180"/>
      <c r="I271" s="180"/>
      <c r="J271" s="180"/>
      <c r="K271" s="180"/>
      <c r="L271" s="215">
        <f>SUM(F271:K271)</f>
        <v>0</v>
      </c>
      <c r="M271" s="215">
        <f>L271/6</f>
        <v>0</v>
      </c>
      <c r="N271" s="179"/>
      <c r="O271" s="179"/>
      <c r="P271" s="179"/>
      <c r="Q271" s="179"/>
      <c r="R271" s="179"/>
      <c r="S271" s="179"/>
      <c r="T271" s="215">
        <f>SUM(N271:S271)</f>
        <v>0</v>
      </c>
      <c r="U271" s="226">
        <f>T271+L271</f>
        <v>0</v>
      </c>
      <c r="V271" s="227"/>
      <c r="W271" s="184">
        <f>V271-U271</f>
        <v>0</v>
      </c>
      <c r="X271" s="47"/>
    </row>
    <row r="272" spans="1:28" s="48" customFormat="1" ht="18" hidden="1" customHeight="1">
      <c r="A272" s="610"/>
      <c r="B272" s="583"/>
      <c r="C272" s="583"/>
      <c r="D272" s="178" t="str">
        <f>серпень!D272</f>
        <v>факт. нат.п-ки 2025</v>
      </c>
      <c r="E272" s="179"/>
      <c r="F272" s="180"/>
      <c r="G272" s="180"/>
      <c r="H272" s="180"/>
      <c r="I272" s="180"/>
      <c r="J272" s="180"/>
      <c r="K272" s="180"/>
      <c r="L272" s="215">
        <f>SUM(F272:K272)</f>
        <v>0</v>
      </c>
      <c r="M272" s="215">
        <f>L272/6</f>
        <v>0</v>
      </c>
      <c r="N272" s="180"/>
      <c r="O272" s="180"/>
      <c r="P272" s="180"/>
      <c r="Q272" s="180"/>
      <c r="R272" s="180"/>
      <c r="S272" s="179"/>
      <c r="T272" s="215">
        <f>SUM(N272:S272)</f>
        <v>0</v>
      </c>
      <c r="U272" s="226">
        <f>T272+L272</f>
        <v>0</v>
      </c>
      <c r="V272" s="179"/>
      <c r="W272" s="184">
        <f>V272-U272</f>
        <v>0</v>
      </c>
      <c r="X272" s="47"/>
    </row>
    <row r="273" spans="1:24" s="51" customFormat="1" ht="18" hidden="1" customHeight="1">
      <c r="A273" s="610"/>
      <c r="B273" s="583"/>
      <c r="C273" s="583"/>
      <c r="D273" s="187" t="str">
        <f>серпень!D273</f>
        <v>тариф, грн.</v>
      </c>
      <c r="E273" s="188"/>
      <c r="F273" s="188"/>
      <c r="G273" s="188"/>
      <c r="H273" s="188"/>
      <c r="I273" s="188"/>
      <c r="J273" s="188"/>
      <c r="K273" s="188"/>
      <c r="L273" s="188" t="e">
        <f>L274/L272*1000</f>
        <v>#DIV/0!</v>
      </c>
      <c r="M273" s="188" t="e">
        <f>M274/M272*1000</f>
        <v>#DIV/0!</v>
      </c>
      <c r="N273" s="188"/>
      <c r="O273" s="188"/>
      <c r="P273" s="188"/>
      <c r="Q273" s="188"/>
      <c r="R273" s="188"/>
      <c r="S273" s="188"/>
      <c r="T273" s="188" t="e">
        <f>T274/T272*1000</f>
        <v>#DIV/0!</v>
      </c>
      <c r="U273" s="188" t="e">
        <f>U274/U272*1000</f>
        <v>#DIV/0!</v>
      </c>
      <c r="V273" s="218" t="e">
        <f>V274/V272*1000</f>
        <v>#DIV/0!</v>
      </c>
      <c r="W273" s="189" t="e">
        <f>W274/W272*1000</f>
        <v>#DIV/0!</v>
      </c>
      <c r="X273" s="50"/>
    </row>
    <row r="274" spans="1:24" s="55" customFormat="1" ht="18" hidden="1" customHeight="1">
      <c r="A274" s="610"/>
      <c r="B274" s="583"/>
      <c r="C274" s="583"/>
      <c r="D274" s="191" t="str">
        <f>серпень!D274</f>
        <v>сума, тис.грн.</v>
      </c>
      <c r="E274" s="192"/>
      <c r="F274" s="192">
        <f t="shared" ref="F274:K274" si="328">F272*F273/1000</f>
        <v>0</v>
      </c>
      <c r="G274" s="192">
        <f t="shared" si="328"/>
        <v>0</v>
      </c>
      <c r="H274" s="192">
        <f t="shared" si="328"/>
        <v>0</v>
      </c>
      <c r="I274" s="192">
        <f t="shared" si="328"/>
        <v>0</v>
      </c>
      <c r="J274" s="192">
        <f t="shared" si="328"/>
        <v>0</v>
      </c>
      <c r="K274" s="192">
        <f t="shared" si="328"/>
        <v>0</v>
      </c>
      <c r="L274" s="194">
        <f>SUM(F274:K274)</f>
        <v>0</v>
      </c>
      <c r="M274" s="194">
        <f>L274/6</f>
        <v>0</v>
      </c>
      <c r="N274" s="192">
        <f t="shared" ref="N274:S274" si="329">N272*N273/1000</f>
        <v>0</v>
      </c>
      <c r="O274" s="192">
        <f t="shared" si="329"/>
        <v>0</v>
      </c>
      <c r="P274" s="192">
        <f t="shared" si="329"/>
        <v>0</v>
      </c>
      <c r="Q274" s="192">
        <f t="shared" si="329"/>
        <v>0</v>
      </c>
      <c r="R274" s="192">
        <f t="shared" si="329"/>
        <v>0</v>
      </c>
      <c r="S274" s="192">
        <f t="shared" si="329"/>
        <v>0</v>
      </c>
      <c r="T274" s="194">
        <f>SUM(N274:S274)</f>
        <v>0</v>
      </c>
      <c r="U274" s="194">
        <f>T274+L274</f>
        <v>0</v>
      </c>
      <c r="V274" s="171">
        <f>V275+V276</f>
        <v>0</v>
      </c>
      <c r="W274" s="193">
        <f>V274-U274</f>
        <v>0</v>
      </c>
      <c r="X274" s="54">
        <f>9891253.845/1000</f>
        <v>9891.2540000000008</v>
      </c>
    </row>
    <row r="275" spans="1:24" s="55" customFormat="1" ht="18" hidden="1" customHeight="1">
      <c r="A275" s="610"/>
      <c r="B275" s="583"/>
      <c r="C275" s="583"/>
      <c r="D275" s="174" t="str">
        <f>серпень!D275</f>
        <v>абоненська плата, тис.грн.</v>
      </c>
      <c r="E275" s="210"/>
      <c r="F275" s="192"/>
      <c r="G275" s="192"/>
      <c r="H275" s="192"/>
      <c r="I275" s="192"/>
      <c r="J275" s="192"/>
      <c r="K275" s="192"/>
      <c r="L275" s="194">
        <f>SUM(F275:K275)</f>
        <v>0</v>
      </c>
      <c r="M275" s="194">
        <f>L275/6</f>
        <v>0</v>
      </c>
      <c r="N275" s="192"/>
      <c r="O275" s="192"/>
      <c r="P275" s="192"/>
      <c r="Q275" s="192"/>
      <c r="R275" s="192"/>
      <c r="S275" s="192"/>
      <c r="T275" s="194">
        <f>SUM(N275:S275)</f>
        <v>0</v>
      </c>
      <c r="U275" s="194">
        <f>T275+L275</f>
        <v>0</v>
      </c>
      <c r="V275" s="171"/>
      <c r="W275" s="193">
        <f>V275-U275</f>
        <v>0</v>
      </c>
      <c r="X275" s="58"/>
    </row>
    <row r="276" spans="1:24" s="55" customFormat="1" ht="18" hidden="1" customHeight="1">
      <c r="A276" s="610"/>
      <c r="B276" s="583"/>
      <c r="C276" s="583"/>
      <c r="D276" s="174" t="str">
        <f>серпень!D276</f>
        <v>разом сума тис. грн+абонплата</v>
      </c>
      <c r="E276" s="210"/>
      <c r="F276" s="192"/>
      <c r="G276" s="192"/>
      <c r="H276" s="192"/>
      <c r="I276" s="192"/>
      <c r="J276" s="192"/>
      <c r="K276" s="192"/>
      <c r="L276" s="194">
        <f>SUM(F276:K276)</f>
        <v>0</v>
      </c>
      <c r="M276" s="194">
        <f>L276/6</f>
        <v>0</v>
      </c>
      <c r="N276" s="192"/>
      <c r="O276" s="192"/>
      <c r="P276" s="192"/>
      <c r="Q276" s="192"/>
      <c r="R276" s="192"/>
      <c r="S276" s="192"/>
      <c r="T276" s="194">
        <f>SUM(N276:S276)</f>
        <v>0</v>
      </c>
      <c r="U276" s="194">
        <f>T276+L276</f>
        <v>0</v>
      </c>
      <c r="V276" s="171"/>
      <c r="W276" s="193">
        <f>V276-U276</f>
        <v>0</v>
      </c>
      <c r="X276" s="58"/>
    </row>
    <row r="277" spans="1:24" s="48" customFormat="1" ht="18" hidden="1" customHeight="1">
      <c r="A277" s="610"/>
      <c r="B277" s="583"/>
      <c r="C277" s="583"/>
      <c r="D277" s="178" t="str">
        <f>серпень!D277</f>
        <v>дотація</v>
      </c>
      <c r="E277" s="179"/>
      <c r="F277" s="179"/>
      <c r="G277" s="179"/>
      <c r="H277" s="179"/>
      <c r="I277" s="179"/>
      <c r="J277" s="179"/>
      <c r="K277" s="179"/>
      <c r="L277" s="215">
        <f>SUM(F277:K277)</f>
        <v>0</v>
      </c>
      <c r="M277" s="215">
        <f>L277/6</f>
        <v>0</v>
      </c>
      <c r="N277" s="179"/>
      <c r="O277" s="179"/>
      <c r="P277" s="179"/>
      <c r="Q277" s="179"/>
      <c r="R277" s="179"/>
      <c r="S277" s="179">
        <f>S272+R272</f>
        <v>0</v>
      </c>
      <c r="T277" s="215">
        <f>SUM(N277:S277)</f>
        <v>0</v>
      </c>
      <c r="U277" s="215">
        <f>T277+L277</f>
        <v>0</v>
      </c>
      <c r="V277" s="179">
        <f>V272</f>
        <v>0</v>
      </c>
      <c r="W277" s="184">
        <f>V277-U277</f>
        <v>0</v>
      </c>
      <c r="X277" s="47">
        <f>U272-U277</f>
        <v>0</v>
      </c>
    </row>
    <row r="278" spans="1:24" s="51" customFormat="1" ht="18" hidden="1" customHeight="1">
      <c r="A278" s="610"/>
      <c r="B278" s="583"/>
      <c r="C278" s="583"/>
      <c r="D278" s="187" t="str">
        <f>серпень!D278</f>
        <v>місцевий (план), тис.грн</v>
      </c>
      <c r="E278" s="188" t="e">
        <f>E279/E277*1000</f>
        <v>#DIV/0!</v>
      </c>
      <c r="F278" s="188"/>
      <c r="G278" s="188"/>
      <c r="H278" s="188"/>
      <c r="I278" s="188"/>
      <c r="J278" s="188"/>
      <c r="K278" s="188"/>
      <c r="L278" s="188" t="e">
        <f>L279/L277*1000</f>
        <v>#DIV/0!</v>
      </c>
      <c r="M278" s="188" t="e">
        <f>M279/M277*1000</f>
        <v>#DIV/0!</v>
      </c>
      <c r="N278" s="188"/>
      <c r="O278" s="188"/>
      <c r="P278" s="188"/>
      <c r="Q278" s="188"/>
      <c r="R278" s="188"/>
      <c r="S278" s="188"/>
      <c r="T278" s="188" t="e">
        <f>T279/T277*1000</f>
        <v>#DIV/0!</v>
      </c>
      <c r="U278" s="188" t="e">
        <f>U279/U277*1000</f>
        <v>#DIV/0!</v>
      </c>
      <c r="V278" s="218" t="e">
        <f>V279/V277*1000</f>
        <v>#DIV/0!</v>
      </c>
      <c r="W278" s="189" t="e">
        <f>W279/W277*1000</f>
        <v>#DIV/0!</v>
      </c>
      <c r="X278" s="59"/>
    </row>
    <row r="279" spans="1:24" s="63" customFormat="1" ht="18" hidden="1" customHeight="1">
      <c r="A279" s="610"/>
      <c r="B279" s="583"/>
      <c r="C279" s="583"/>
      <c r="D279" s="198" t="str">
        <f>серпень!D279</f>
        <v>касові нат.п-ки 2025</v>
      </c>
      <c r="E279" s="220"/>
      <c r="F279" s="199">
        <f t="shared" ref="F279:K279" si="330">F277*F278/1000</f>
        <v>0</v>
      </c>
      <c r="G279" s="199">
        <f t="shared" si="330"/>
        <v>0</v>
      </c>
      <c r="H279" s="199">
        <f t="shared" si="330"/>
        <v>0</v>
      </c>
      <c r="I279" s="199">
        <f t="shared" si="330"/>
        <v>0</v>
      </c>
      <c r="J279" s="199">
        <f t="shared" si="330"/>
        <v>0</v>
      </c>
      <c r="K279" s="199">
        <f t="shared" si="330"/>
        <v>0</v>
      </c>
      <c r="L279" s="199">
        <f>SUM(F279:K279)</f>
        <v>0</v>
      </c>
      <c r="M279" s="199">
        <f>L279/6</f>
        <v>0</v>
      </c>
      <c r="N279" s="199">
        <f t="shared" ref="N279:S279" si="331">N277*N278/1000</f>
        <v>0</v>
      </c>
      <c r="O279" s="199">
        <f t="shared" si="331"/>
        <v>0</v>
      </c>
      <c r="P279" s="199">
        <f t="shared" si="331"/>
        <v>0</v>
      </c>
      <c r="Q279" s="199">
        <f t="shared" si="331"/>
        <v>0</v>
      </c>
      <c r="R279" s="199">
        <f t="shared" si="331"/>
        <v>0</v>
      </c>
      <c r="S279" s="199">
        <f t="shared" si="331"/>
        <v>0</v>
      </c>
      <c r="T279" s="199">
        <f>SUM(N279:S279)</f>
        <v>0</v>
      </c>
      <c r="U279" s="199">
        <f>T279+L279</f>
        <v>0</v>
      </c>
      <c r="V279" s="199">
        <f>V274</f>
        <v>0</v>
      </c>
      <c r="W279" s="221">
        <f>V279-U279</f>
        <v>0</v>
      </c>
      <c r="X279" s="63">
        <f>U274-U279</f>
        <v>0</v>
      </c>
    </row>
    <row r="280" spans="1:24" s="63" customFormat="1" ht="18" hidden="1" customHeight="1">
      <c r="A280" s="610"/>
      <c r="B280" s="583"/>
      <c r="C280" s="583"/>
      <c r="D280" s="201" t="str">
        <f>серпень!D280</f>
        <v>тариф, грн.</v>
      </c>
      <c r="E280" s="220"/>
      <c r="F280" s="199"/>
      <c r="G280" s="199"/>
      <c r="H280" s="199"/>
      <c r="I280" s="199"/>
      <c r="J280" s="199"/>
      <c r="K280" s="199"/>
      <c r="L280" s="199">
        <f>SUM(F280:K280)</f>
        <v>0</v>
      </c>
      <c r="M280" s="199">
        <f>L280/6</f>
        <v>0</v>
      </c>
      <c r="N280" s="199"/>
      <c r="O280" s="199"/>
      <c r="P280" s="199"/>
      <c r="Q280" s="199"/>
      <c r="R280" s="199"/>
      <c r="S280" s="199"/>
      <c r="T280" s="199">
        <f>SUM(N280:S280)</f>
        <v>0</v>
      </c>
      <c r="U280" s="199">
        <f>T280+L280</f>
        <v>0</v>
      </c>
      <c r="V280" s="199">
        <f>V275</f>
        <v>0</v>
      </c>
      <c r="W280" s="221">
        <f>V280-U280</f>
        <v>0</v>
      </c>
      <c r="X280" s="63">
        <f>U275-U280</f>
        <v>0</v>
      </c>
    </row>
    <row r="281" spans="1:24" s="63" customFormat="1" ht="18" hidden="1" customHeight="1">
      <c r="A281" s="610"/>
      <c r="B281" s="583"/>
      <c r="C281" s="583"/>
      <c r="D281" s="201" t="str">
        <f>серпень!D281</f>
        <v>касові видатки, тис.грн.</v>
      </c>
      <c r="E281" s="220"/>
      <c r="F281" s="199">
        <f t="shared" ref="F281:K281" si="332">F279-F280</f>
        <v>0</v>
      </c>
      <c r="G281" s="199">
        <f t="shared" si="332"/>
        <v>0</v>
      </c>
      <c r="H281" s="199">
        <f t="shared" si="332"/>
        <v>0</v>
      </c>
      <c r="I281" s="199">
        <f t="shared" si="332"/>
        <v>0</v>
      </c>
      <c r="J281" s="199">
        <f t="shared" si="332"/>
        <v>0</v>
      </c>
      <c r="K281" s="199">
        <f t="shared" si="332"/>
        <v>0</v>
      </c>
      <c r="L281" s="199">
        <f>SUM(F281:K281)</f>
        <v>0</v>
      </c>
      <c r="M281" s="199">
        <f>L281/6</f>
        <v>0</v>
      </c>
      <c r="N281" s="199">
        <f t="shared" ref="N281:S281" si="333">N279-N280</f>
        <v>0</v>
      </c>
      <c r="O281" s="199">
        <f t="shared" si="333"/>
        <v>0</v>
      </c>
      <c r="P281" s="199">
        <f t="shared" si="333"/>
        <v>0</v>
      </c>
      <c r="Q281" s="199">
        <f t="shared" si="333"/>
        <v>0</v>
      </c>
      <c r="R281" s="199">
        <f t="shared" si="333"/>
        <v>0</v>
      </c>
      <c r="S281" s="199">
        <f t="shared" si="333"/>
        <v>0</v>
      </c>
      <c r="T281" s="199">
        <f>SUM(N281:S281)</f>
        <v>0</v>
      </c>
      <c r="U281" s="199">
        <f>T281+L281</f>
        <v>0</v>
      </c>
      <c r="V281" s="199">
        <f>V276</f>
        <v>0</v>
      </c>
      <c r="W281" s="221">
        <f>V281-U281</f>
        <v>0</v>
      </c>
      <c r="X281" s="63">
        <f>U276-U281</f>
        <v>0</v>
      </c>
    </row>
    <row r="282" spans="1:24" s="43" customFormat="1" ht="18" hidden="1" customHeight="1">
      <c r="A282" s="610"/>
      <c r="B282" s="583"/>
      <c r="C282" s="583"/>
      <c r="D282" s="202" t="str">
        <f>серпень!D282</f>
        <v>дотація</v>
      </c>
      <c r="E282" s="203"/>
      <c r="F282" s="203">
        <f t="shared" ref="F282:K282" si="334">F276</f>
        <v>0</v>
      </c>
      <c r="G282" s="203">
        <f t="shared" si="334"/>
        <v>0</v>
      </c>
      <c r="H282" s="203">
        <f t="shared" si="334"/>
        <v>0</v>
      </c>
      <c r="I282" s="203">
        <f t="shared" si="334"/>
        <v>0</v>
      </c>
      <c r="J282" s="203">
        <f t="shared" si="334"/>
        <v>0</v>
      </c>
      <c r="K282" s="203">
        <f t="shared" si="334"/>
        <v>0</v>
      </c>
      <c r="L282" s="203">
        <f>SUM(F282:K282)</f>
        <v>0</v>
      </c>
      <c r="M282" s="203">
        <f>L282/6</f>
        <v>0</v>
      </c>
      <c r="N282" s="203">
        <f t="shared" ref="N282:S282" si="335">N276+N275</f>
        <v>0</v>
      </c>
      <c r="O282" s="203">
        <f t="shared" si="335"/>
        <v>0</v>
      </c>
      <c r="P282" s="203">
        <f t="shared" si="335"/>
        <v>0</v>
      </c>
      <c r="Q282" s="203">
        <f t="shared" si="335"/>
        <v>0</v>
      </c>
      <c r="R282" s="203">
        <f t="shared" si="335"/>
        <v>0</v>
      </c>
      <c r="S282" s="203">
        <f t="shared" si="335"/>
        <v>0</v>
      </c>
      <c r="T282" s="203">
        <f>SUM(N282:S282)</f>
        <v>0</v>
      </c>
      <c r="U282" s="203">
        <f>T282+L282</f>
        <v>0</v>
      </c>
      <c r="V282" s="203">
        <f>V279</f>
        <v>0</v>
      </c>
      <c r="W282" s="203">
        <f>V282-U282</f>
        <v>0</v>
      </c>
    </row>
    <row r="283" spans="1:24" s="43" customFormat="1" ht="18" hidden="1" customHeight="1">
      <c r="A283" s="610"/>
      <c r="B283" s="583"/>
      <c r="C283" s="583"/>
      <c r="D283" s="202" t="str">
        <f>серпень!D283</f>
        <v xml:space="preserve">місцевий </v>
      </c>
      <c r="E283" s="203"/>
      <c r="F283" s="203">
        <f t="shared" ref="F283:K283" si="336">F279-F282</f>
        <v>0</v>
      </c>
      <c r="G283" s="203">
        <f t="shared" si="336"/>
        <v>0</v>
      </c>
      <c r="H283" s="203">
        <f t="shared" si="336"/>
        <v>0</v>
      </c>
      <c r="I283" s="203">
        <f t="shared" si="336"/>
        <v>0</v>
      </c>
      <c r="J283" s="203">
        <f t="shared" si="336"/>
        <v>0</v>
      </c>
      <c r="K283" s="203">
        <f t="shared" si="336"/>
        <v>0</v>
      </c>
      <c r="L283" s="203"/>
      <c r="M283" s="203"/>
      <c r="N283" s="203">
        <f t="shared" ref="N283:S283" si="337">N279-N282</f>
        <v>0</v>
      </c>
      <c r="O283" s="203">
        <f t="shared" si="337"/>
        <v>0</v>
      </c>
      <c r="P283" s="203">
        <f t="shared" si="337"/>
        <v>0</v>
      </c>
      <c r="Q283" s="203">
        <f t="shared" si="337"/>
        <v>0</v>
      </c>
      <c r="R283" s="203">
        <f t="shared" si="337"/>
        <v>0</v>
      </c>
      <c r="S283" s="203">
        <f t="shared" si="337"/>
        <v>0</v>
      </c>
      <c r="T283" s="203"/>
      <c r="U283" s="203"/>
      <c r="V283" s="203"/>
      <c r="W283" s="203"/>
    </row>
    <row r="284" spans="1:24" s="43" customFormat="1" ht="18" hidden="1" customHeight="1">
      <c r="A284" s="610"/>
      <c r="B284" s="583"/>
      <c r="C284" s="584"/>
      <c r="D284" s="202" t="str">
        <f>серпень!D284</f>
        <v>план</v>
      </c>
      <c r="E284" s="203"/>
      <c r="F284" s="203">
        <f>F283</f>
        <v>0</v>
      </c>
      <c r="G284" s="203">
        <f>G283+F284</f>
        <v>0</v>
      </c>
      <c r="H284" s="203">
        <f>H283+G284</f>
        <v>0</v>
      </c>
      <c r="I284" s="203">
        <f>I283+H284</f>
        <v>0</v>
      </c>
      <c r="J284" s="203">
        <f>J283+I284</f>
        <v>0</v>
      </c>
      <c r="K284" s="203">
        <f>K283+J284</f>
        <v>0</v>
      </c>
      <c r="L284" s="203"/>
      <c r="M284" s="203"/>
      <c r="N284" s="203">
        <f>N283+K284</f>
        <v>0</v>
      </c>
      <c r="O284" s="203">
        <f>O283+N284</f>
        <v>0</v>
      </c>
      <c r="P284" s="203">
        <f>P283+O284</f>
        <v>0</v>
      </c>
      <c r="Q284" s="203">
        <f>Q283+P284</f>
        <v>0</v>
      </c>
      <c r="R284" s="203">
        <f>R283+Q284</f>
        <v>0</v>
      </c>
      <c r="S284" s="203">
        <f>S283+R284</f>
        <v>0</v>
      </c>
      <c r="T284" s="203"/>
      <c r="U284" s="203"/>
      <c r="V284" s="203"/>
      <c r="W284" s="203"/>
    </row>
    <row r="285" spans="1:24" s="43" customFormat="1" ht="18" hidden="1" customHeight="1">
      <c r="A285" s="610"/>
      <c r="B285" s="583"/>
      <c r="C285" s="582" t="s">
        <v>96</v>
      </c>
      <c r="D285" s="178" t="s">
        <v>93</v>
      </c>
      <c r="E285" s="179"/>
      <c r="F285" s="180"/>
      <c r="G285" s="180"/>
      <c r="H285" s="180"/>
      <c r="I285" s="180"/>
      <c r="J285" s="180"/>
      <c r="K285" s="180"/>
      <c r="L285" s="215">
        <f>SUM(F285:K285)</f>
        <v>0</v>
      </c>
      <c r="M285" s="215">
        <f>L285/6</f>
        <v>0</v>
      </c>
      <c r="N285" s="180"/>
      <c r="O285" s="180"/>
      <c r="P285" s="180"/>
      <c r="Q285" s="180"/>
      <c r="R285" s="180"/>
      <c r="S285" s="180"/>
      <c r="T285" s="215">
        <f>SUM(N285:S285)</f>
        <v>0</v>
      </c>
      <c r="U285" s="226">
        <f>T285+L285</f>
        <v>0</v>
      </c>
      <c r="V285" s="227"/>
      <c r="W285" s="184">
        <f>V285-U285</f>
        <v>0</v>
      </c>
    </row>
    <row r="286" spans="1:24" s="43" customFormat="1" ht="18" hidden="1" customHeight="1">
      <c r="A286" s="610"/>
      <c r="B286" s="583"/>
      <c r="C286" s="583"/>
      <c r="D286" s="178" t="s">
        <v>95</v>
      </c>
      <c r="E286" s="179"/>
      <c r="F286" s="180"/>
      <c r="G286" s="180"/>
      <c r="H286" s="180"/>
      <c r="I286" s="180"/>
      <c r="J286" s="180"/>
      <c r="K286" s="180"/>
      <c r="L286" s="215">
        <f>SUM(F286:K286)</f>
        <v>0</v>
      </c>
      <c r="M286" s="215">
        <f>L286/6</f>
        <v>0</v>
      </c>
      <c r="N286" s="179"/>
      <c r="O286" s="179"/>
      <c r="P286" s="179"/>
      <c r="Q286" s="179"/>
      <c r="R286" s="179"/>
      <c r="S286" s="179"/>
      <c r="T286" s="215">
        <f>SUM(N286:S286)</f>
        <v>0</v>
      </c>
      <c r="U286" s="226">
        <f>T286+L286</f>
        <v>0</v>
      </c>
      <c r="V286" s="227"/>
      <c r="W286" s="184">
        <f>V286-U286</f>
        <v>0</v>
      </c>
    </row>
    <row r="287" spans="1:24" s="43" customFormat="1" ht="18" hidden="1" customHeight="1">
      <c r="A287" s="610"/>
      <c r="B287" s="583"/>
      <c r="C287" s="583"/>
      <c r="D287" s="178" t="s">
        <v>105</v>
      </c>
      <c r="E287" s="179"/>
      <c r="F287" s="180"/>
      <c r="G287" s="180"/>
      <c r="H287" s="180"/>
      <c r="I287" s="180"/>
      <c r="J287" s="180"/>
      <c r="K287" s="180"/>
      <c r="L287" s="215">
        <f>SUM(F287:K287)</f>
        <v>0</v>
      </c>
      <c r="M287" s="215">
        <f>L287/6</f>
        <v>0</v>
      </c>
      <c r="N287" s="180"/>
      <c r="O287" s="180"/>
      <c r="P287" s="180"/>
      <c r="Q287" s="180"/>
      <c r="R287" s="180"/>
      <c r="S287" s="179"/>
      <c r="T287" s="215">
        <f>SUM(N287:S287)</f>
        <v>0</v>
      </c>
      <c r="U287" s="226">
        <f>T287+L287</f>
        <v>0</v>
      </c>
      <c r="V287" s="179"/>
      <c r="W287" s="184">
        <f>V287-U287</f>
        <v>0</v>
      </c>
    </row>
    <row r="288" spans="1:24" s="43" customFormat="1" ht="18" hidden="1" customHeight="1">
      <c r="A288" s="610"/>
      <c r="B288" s="583"/>
      <c r="C288" s="583"/>
      <c r="D288" s="187" t="s">
        <v>27</v>
      </c>
      <c r="E288" s="188"/>
      <c r="F288" s="188"/>
      <c r="G288" s="188"/>
      <c r="H288" s="188"/>
      <c r="I288" s="188"/>
      <c r="J288" s="188"/>
      <c r="K288" s="188"/>
      <c r="L288" s="188" t="e">
        <f>L289/L287*1000</f>
        <v>#DIV/0!</v>
      </c>
      <c r="M288" s="188" t="e">
        <f>M289/M287*1000</f>
        <v>#DIV/0!</v>
      </c>
      <c r="N288" s="188"/>
      <c r="O288" s="188"/>
      <c r="P288" s="188"/>
      <c r="Q288" s="188"/>
      <c r="R288" s="188"/>
      <c r="S288" s="188"/>
      <c r="T288" s="188" t="e">
        <f>T289/T287*1000</f>
        <v>#DIV/0!</v>
      </c>
      <c r="U288" s="188" t="e">
        <f>U289/U287*1000</f>
        <v>#DIV/0!</v>
      </c>
      <c r="V288" s="218" t="e">
        <f>V289/V287*1000</f>
        <v>#DIV/0!</v>
      </c>
      <c r="W288" s="189" t="e">
        <f>W289/W287*1000</f>
        <v>#DIV/0!</v>
      </c>
    </row>
    <row r="289" spans="1:23" s="43" customFormat="1" ht="18" hidden="1" customHeight="1">
      <c r="A289" s="610"/>
      <c r="B289" s="583"/>
      <c r="C289" s="583"/>
      <c r="D289" s="191" t="s">
        <v>0</v>
      </c>
      <c r="E289" s="192"/>
      <c r="F289" s="192">
        <f t="shared" ref="F289:K289" si="338">F287*F288/1000</f>
        <v>0</v>
      </c>
      <c r="G289" s="192">
        <f t="shared" si="338"/>
        <v>0</v>
      </c>
      <c r="H289" s="192">
        <f t="shared" si="338"/>
        <v>0</v>
      </c>
      <c r="I289" s="192">
        <f t="shared" si="338"/>
        <v>0</v>
      </c>
      <c r="J289" s="192">
        <f t="shared" si="338"/>
        <v>0</v>
      </c>
      <c r="K289" s="192">
        <f t="shared" si="338"/>
        <v>0</v>
      </c>
      <c r="L289" s="194">
        <f>SUM(F289:K289)</f>
        <v>0</v>
      </c>
      <c r="M289" s="194">
        <f>L289/6</f>
        <v>0</v>
      </c>
      <c r="N289" s="192">
        <f t="shared" ref="N289:S289" si="339">N287*N288/1000</f>
        <v>0</v>
      </c>
      <c r="O289" s="192">
        <f t="shared" si="339"/>
        <v>0</v>
      </c>
      <c r="P289" s="192">
        <f t="shared" si="339"/>
        <v>0</v>
      </c>
      <c r="Q289" s="192">
        <f t="shared" si="339"/>
        <v>0</v>
      </c>
      <c r="R289" s="192">
        <f t="shared" si="339"/>
        <v>0</v>
      </c>
      <c r="S289" s="192">
        <f t="shared" si="339"/>
        <v>0</v>
      </c>
      <c r="T289" s="194">
        <f>SUM(N289:S289)</f>
        <v>0</v>
      </c>
      <c r="U289" s="194">
        <f>T289+L289</f>
        <v>0</v>
      </c>
      <c r="V289" s="171">
        <f>V290+V291</f>
        <v>0</v>
      </c>
      <c r="W289" s="193">
        <f>V289-U289</f>
        <v>0</v>
      </c>
    </row>
    <row r="290" spans="1:23" s="43" customFormat="1" ht="18" hidden="1" customHeight="1">
      <c r="A290" s="610"/>
      <c r="B290" s="583"/>
      <c r="C290" s="583"/>
      <c r="D290" s="174" t="s">
        <v>55</v>
      </c>
      <c r="E290" s="210"/>
      <c r="F290" s="192"/>
      <c r="G290" s="192"/>
      <c r="H290" s="192"/>
      <c r="I290" s="192"/>
      <c r="J290" s="192"/>
      <c r="K290" s="192"/>
      <c r="L290" s="194">
        <f>SUM(F290:K290)</f>
        <v>0</v>
      </c>
      <c r="M290" s="194">
        <f>L290/6</f>
        <v>0</v>
      </c>
      <c r="N290" s="192"/>
      <c r="O290" s="192"/>
      <c r="P290" s="192"/>
      <c r="Q290" s="192"/>
      <c r="R290" s="192"/>
      <c r="S290" s="192"/>
      <c r="T290" s="194">
        <f>SUM(N290:S290)</f>
        <v>0</v>
      </c>
      <c r="U290" s="194">
        <f>T290+L290</f>
        <v>0</v>
      </c>
      <c r="V290" s="171"/>
      <c r="W290" s="193">
        <f>V290-U290</f>
        <v>0</v>
      </c>
    </row>
    <row r="291" spans="1:23" s="43" customFormat="1" ht="18" hidden="1" customHeight="1">
      <c r="A291" s="610"/>
      <c r="B291" s="583"/>
      <c r="C291" s="583"/>
      <c r="D291" s="174" t="s">
        <v>28</v>
      </c>
      <c r="E291" s="210"/>
      <c r="F291" s="192"/>
      <c r="G291" s="192"/>
      <c r="H291" s="192"/>
      <c r="I291" s="192"/>
      <c r="J291" s="192"/>
      <c r="K291" s="192"/>
      <c r="L291" s="194">
        <f>SUM(F291:K291)</f>
        <v>0</v>
      </c>
      <c r="M291" s="194">
        <f>L291/6</f>
        <v>0</v>
      </c>
      <c r="N291" s="192"/>
      <c r="O291" s="192"/>
      <c r="P291" s="192"/>
      <c r="Q291" s="192"/>
      <c r="R291" s="192"/>
      <c r="S291" s="192"/>
      <c r="T291" s="194">
        <f>SUM(N291:S291)</f>
        <v>0</v>
      </c>
      <c r="U291" s="194">
        <f>T291+L291</f>
        <v>0</v>
      </c>
      <c r="V291" s="171"/>
      <c r="W291" s="193">
        <f>V291-U291</f>
        <v>0</v>
      </c>
    </row>
    <row r="292" spans="1:23" s="43" customFormat="1" ht="18" hidden="1" customHeight="1">
      <c r="A292" s="610"/>
      <c r="B292" s="583"/>
      <c r="C292" s="583"/>
      <c r="D292" s="178" t="s">
        <v>106</v>
      </c>
      <c r="E292" s="179"/>
      <c r="F292" s="179"/>
      <c r="G292" s="179"/>
      <c r="H292" s="179"/>
      <c r="I292" s="179"/>
      <c r="J292" s="179"/>
      <c r="K292" s="179"/>
      <c r="L292" s="215">
        <f>SUM(F292:K292)</f>
        <v>0</v>
      </c>
      <c r="M292" s="215">
        <f>L292/6</f>
        <v>0</v>
      </c>
      <c r="N292" s="179"/>
      <c r="O292" s="179"/>
      <c r="P292" s="179"/>
      <c r="Q292" s="179"/>
      <c r="R292" s="179"/>
      <c r="S292" s="179"/>
      <c r="T292" s="215">
        <f>SUM(N292:S292)</f>
        <v>0</v>
      </c>
      <c r="U292" s="215">
        <f>T292+L292</f>
        <v>0</v>
      </c>
      <c r="V292" s="179">
        <f>V287</f>
        <v>0</v>
      </c>
      <c r="W292" s="184">
        <f>V292-U292</f>
        <v>0</v>
      </c>
    </row>
    <row r="293" spans="1:23" s="43" customFormat="1" ht="18" hidden="1" customHeight="1">
      <c r="A293" s="610"/>
      <c r="B293" s="583"/>
      <c r="C293" s="583"/>
      <c r="D293" s="187" t="s">
        <v>27</v>
      </c>
      <c r="E293" s="188" t="e">
        <f>E294/E292*1000</f>
        <v>#DIV/0!</v>
      </c>
      <c r="F293" s="188"/>
      <c r="G293" s="188"/>
      <c r="H293" s="188"/>
      <c r="I293" s="188"/>
      <c r="J293" s="188"/>
      <c r="K293" s="188"/>
      <c r="L293" s="188" t="e">
        <f>L294/L292*1000</f>
        <v>#DIV/0!</v>
      </c>
      <c r="M293" s="188" t="e">
        <f>M294/M292*1000</f>
        <v>#DIV/0!</v>
      </c>
      <c r="N293" s="188"/>
      <c r="O293" s="188"/>
      <c r="P293" s="188"/>
      <c r="Q293" s="188"/>
      <c r="R293" s="188"/>
      <c r="S293" s="188"/>
      <c r="T293" s="188" t="e">
        <f>T294/T292*1000</f>
        <v>#DIV/0!</v>
      </c>
      <c r="U293" s="188" t="e">
        <f>U294/U292*1000</f>
        <v>#DIV/0!</v>
      </c>
      <c r="V293" s="218" t="e">
        <f>V294/V292*1000</f>
        <v>#DIV/0!</v>
      </c>
      <c r="W293" s="189" t="e">
        <f>W294/W292*1000</f>
        <v>#DIV/0!</v>
      </c>
    </row>
    <row r="294" spans="1:23" s="43" customFormat="1" ht="18" hidden="1" customHeight="1">
      <c r="A294" s="610"/>
      <c r="B294" s="583"/>
      <c r="C294" s="583"/>
      <c r="D294" s="198" t="s">
        <v>25</v>
      </c>
      <c r="E294" s="220"/>
      <c r="F294" s="199">
        <f t="shared" ref="F294:K294" si="340">F292*F293/1000</f>
        <v>0</v>
      </c>
      <c r="G294" s="199">
        <f t="shared" si="340"/>
        <v>0</v>
      </c>
      <c r="H294" s="199">
        <f t="shared" si="340"/>
        <v>0</v>
      </c>
      <c r="I294" s="199">
        <f t="shared" si="340"/>
        <v>0</v>
      </c>
      <c r="J294" s="199">
        <f t="shared" si="340"/>
        <v>0</v>
      </c>
      <c r="K294" s="199">
        <f t="shared" si="340"/>
        <v>0</v>
      </c>
      <c r="L294" s="199">
        <f>SUM(F294:K294)</f>
        <v>0</v>
      </c>
      <c r="M294" s="199">
        <f>L294/6</f>
        <v>0</v>
      </c>
      <c r="N294" s="199">
        <f t="shared" ref="N294:S294" si="341">N292*N293/1000</f>
        <v>0</v>
      </c>
      <c r="O294" s="199">
        <f t="shared" si="341"/>
        <v>0</v>
      </c>
      <c r="P294" s="199">
        <f t="shared" si="341"/>
        <v>0</v>
      </c>
      <c r="Q294" s="199">
        <f t="shared" si="341"/>
        <v>0</v>
      </c>
      <c r="R294" s="199">
        <f t="shared" si="341"/>
        <v>0</v>
      </c>
      <c r="S294" s="199">
        <f t="shared" si="341"/>
        <v>0</v>
      </c>
      <c r="T294" s="199">
        <f>SUM(N294:S294)</f>
        <v>0</v>
      </c>
      <c r="U294" s="199">
        <f>T294+L294</f>
        <v>0</v>
      </c>
      <c r="V294" s="199">
        <f>V289</f>
        <v>0</v>
      </c>
      <c r="W294" s="221">
        <f>V294-U294</f>
        <v>0</v>
      </c>
    </row>
    <row r="295" spans="1:23" s="43" customFormat="1" ht="18" hidden="1" customHeight="1">
      <c r="A295" s="610"/>
      <c r="B295" s="583"/>
      <c r="C295" s="583"/>
      <c r="D295" s="201" t="s">
        <v>55</v>
      </c>
      <c r="E295" s="220"/>
      <c r="F295" s="199"/>
      <c r="G295" s="199"/>
      <c r="H295" s="199"/>
      <c r="I295" s="199"/>
      <c r="J295" s="199"/>
      <c r="K295" s="199"/>
      <c r="L295" s="199">
        <f>SUM(F295:K295)</f>
        <v>0</v>
      </c>
      <c r="M295" s="199">
        <f>L295/6</f>
        <v>0</v>
      </c>
      <c r="N295" s="199"/>
      <c r="O295" s="199"/>
      <c r="P295" s="199"/>
      <c r="Q295" s="199"/>
      <c r="R295" s="199"/>
      <c r="S295" s="199"/>
      <c r="T295" s="199">
        <f>SUM(N295:S295)</f>
        <v>0</v>
      </c>
      <c r="U295" s="199">
        <f>T295+L295</f>
        <v>0</v>
      </c>
      <c r="V295" s="199">
        <f>V290</f>
        <v>0</v>
      </c>
      <c r="W295" s="221">
        <f>V295-U295</f>
        <v>0</v>
      </c>
    </row>
    <row r="296" spans="1:23" s="43" customFormat="1" ht="18" hidden="1" customHeight="1">
      <c r="A296" s="610"/>
      <c r="B296" s="583"/>
      <c r="C296" s="583"/>
      <c r="D296" s="201" t="s">
        <v>24</v>
      </c>
      <c r="E296" s="220"/>
      <c r="F296" s="199">
        <f t="shared" ref="F296:K296" si="342">F294-F295</f>
        <v>0</v>
      </c>
      <c r="G296" s="199">
        <f t="shared" si="342"/>
        <v>0</v>
      </c>
      <c r="H296" s="199">
        <f t="shared" si="342"/>
        <v>0</v>
      </c>
      <c r="I296" s="199">
        <f t="shared" si="342"/>
        <v>0</v>
      </c>
      <c r="J296" s="199">
        <f t="shared" si="342"/>
        <v>0</v>
      </c>
      <c r="K296" s="199">
        <f t="shared" si="342"/>
        <v>0</v>
      </c>
      <c r="L296" s="199">
        <f>SUM(F296:K296)</f>
        <v>0</v>
      </c>
      <c r="M296" s="199">
        <f>L296/6</f>
        <v>0</v>
      </c>
      <c r="N296" s="199">
        <f t="shared" ref="N296:S296" si="343">N294-N295</f>
        <v>0</v>
      </c>
      <c r="O296" s="199">
        <f t="shared" si="343"/>
        <v>0</v>
      </c>
      <c r="P296" s="199">
        <f t="shared" si="343"/>
        <v>0</v>
      </c>
      <c r="Q296" s="199">
        <f t="shared" si="343"/>
        <v>0</v>
      </c>
      <c r="R296" s="199">
        <f t="shared" si="343"/>
        <v>0</v>
      </c>
      <c r="S296" s="199">
        <f t="shared" si="343"/>
        <v>0</v>
      </c>
      <c r="T296" s="199">
        <f>SUM(N296:S296)</f>
        <v>0</v>
      </c>
      <c r="U296" s="199">
        <f>T296+L296</f>
        <v>0</v>
      </c>
      <c r="V296" s="199">
        <f>V291</f>
        <v>0</v>
      </c>
      <c r="W296" s="221">
        <f>V296-U296</f>
        <v>0</v>
      </c>
    </row>
    <row r="297" spans="1:23" s="43" customFormat="1" ht="18" hidden="1" customHeight="1">
      <c r="A297" s="610"/>
      <c r="B297" s="583"/>
      <c r="C297" s="583"/>
      <c r="D297" s="202" t="s">
        <v>29</v>
      </c>
      <c r="E297" s="203"/>
      <c r="F297" s="203">
        <f t="shared" ref="F297:K297" si="344">F291</f>
        <v>0</v>
      </c>
      <c r="G297" s="203">
        <f t="shared" si="344"/>
        <v>0</v>
      </c>
      <c r="H297" s="203">
        <f t="shared" si="344"/>
        <v>0</v>
      </c>
      <c r="I297" s="203">
        <f t="shared" si="344"/>
        <v>0</v>
      </c>
      <c r="J297" s="203">
        <f t="shared" si="344"/>
        <v>0</v>
      </c>
      <c r="K297" s="203">
        <f t="shared" si="344"/>
        <v>0</v>
      </c>
      <c r="L297" s="203">
        <f>SUM(F297:K297)</f>
        <v>0</v>
      </c>
      <c r="M297" s="203">
        <f>L297/6</f>
        <v>0</v>
      </c>
      <c r="N297" s="203">
        <f t="shared" ref="N297:S297" si="345">N291+N290</f>
        <v>0</v>
      </c>
      <c r="O297" s="203">
        <f t="shared" si="345"/>
        <v>0</v>
      </c>
      <c r="P297" s="203">
        <f t="shared" si="345"/>
        <v>0</v>
      </c>
      <c r="Q297" s="203">
        <f t="shared" si="345"/>
        <v>0</v>
      </c>
      <c r="R297" s="203">
        <f t="shared" si="345"/>
        <v>0</v>
      </c>
      <c r="S297" s="203">
        <f t="shared" si="345"/>
        <v>0</v>
      </c>
      <c r="T297" s="203">
        <f>SUM(N297:S297)</f>
        <v>0</v>
      </c>
      <c r="U297" s="203">
        <f>T297+L297</f>
        <v>0</v>
      </c>
      <c r="V297" s="203">
        <f>V294</f>
        <v>0</v>
      </c>
      <c r="W297" s="203">
        <f>V297-U297</f>
        <v>0</v>
      </c>
    </row>
    <row r="298" spans="1:23" s="43" customFormat="1" ht="18" hidden="1" customHeight="1">
      <c r="A298" s="610"/>
      <c r="B298" s="583"/>
      <c r="C298" s="583"/>
      <c r="D298" s="202" t="s">
        <v>30</v>
      </c>
      <c r="E298" s="203"/>
      <c r="F298" s="203">
        <f t="shared" ref="F298:K298" si="346">F294-F297</f>
        <v>0</v>
      </c>
      <c r="G298" s="203">
        <f t="shared" si="346"/>
        <v>0</v>
      </c>
      <c r="H298" s="203">
        <f t="shared" si="346"/>
        <v>0</v>
      </c>
      <c r="I298" s="203">
        <f t="shared" si="346"/>
        <v>0</v>
      </c>
      <c r="J298" s="203">
        <f t="shared" si="346"/>
        <v>0</v>
      </c>
      <c r="K298" s="203">
        <f t="shared" si="346"/>
        <v>0</v>
      </c>
      <c r="L298" s="203"/>
      <c r="M298" s="203"/>
      <c r="N298" s="203">
        <f t="shared" ref="N298:S298" si="347">N294-N297</f>
        <v>0</v>
      </c>
      <c r="O298" s="203">
        <f t="shared" si="347"/>
        <v>0</v>
      </c>
      <c r="P298" s="203">
        <f t="shared" si="347"/>
        <v>0</v>
      </c>
      <c r="Q298" s="203">
        <f t="shared" si="347"/>
        <v>0</v>
      </c>
      <c r="R298" s="203">
        <f t="shared" si="347"/>
        <v>0</v>
      </c>
      <c r="S298" s="203">
        <f t="shared" si="347"/>
        <v>0</v>
      </c>
      <c r="T298" s="203"/>
      <c r="U298" s="203"/>
      <c r="V298" s="203"/>
      <c r="W298" s="203"/>
    </row>
    <row r="299" spans="1:23" s="43" customFormat="1" ht="18" hidden="1" customHeight="1">
      <c r="A299" s="610"/>
      <c r="B299" s="583"/>
      <c r="C299" s="584"/>
      <c r="D299" s="202" t="s">
        <v>31</v>
      </c>
      <c r="E299" s="203"/>
      <c r="F299" s="203">
        <f>F298</f>
        <v>0</v>
      </c>
      <c r="G299" s="203">
        <f>G298+F299</f>
        <v>0</v>
      </c>
      <c r="H299" s="203">
        <f>H298+G299</f>
        <v>0</v>
      </c>
      <c r="I299" s="203">
        <f>I298+H299</f>
        <v>0</v>
      </c>
      <c r="J299" s="203">
        <f>J298+I299</f>
        <v>0</v>
      </c>
      <c r="K299" s="203">
        <f>K298+J299</f>
        <v>0</v>
      </c>
      <c r="L299" s="203"/>
      <c r="M299" s="203"/>
      <c r="N299" s="203">
        <f>N298+K299</f>
        <v>0</v>
      </c>
      <c r="O299" s="203">
        <f>O298+N299</f>
        <v>0</v>
      </c>
      <c r="P299" s="203">
        <f>P298+O299</f>
        <v>0</v>
      </c>
      <c r="Q299" s="203">
        <f>Q298+P299</f>
        <v>0</v>
      </c>
      <c r="R299" s="203">
        <f>R298+Q299</f>
        <v>0</v>
      </c>
      <c r="S299" s="203">
        <f>S298+R299</f>
        <v>0</v>
      </c>
      <c r="T299" s="203"/>
      <c r="U299" s="203"/>
      <c r="V299" s="203"/>
      <c r="W299" s="203"/>
    </row>
    <row r="300" spans="1:23" s="47" customFormat="1" ht="18" hidden="1" customHeight="1">
      <c r="A300" s="610"/>
      <c r="B300" s="581" t="s">
        <v>59</v>
      </c>
      <c r="C300" s="582" t="s">
        <v>97</v>
      </c>
      <c r="D300" s="178" t="s">
        <v>93</v>
      </c>
      <c r="E300" s="179"/>
      <c r="F300" s="180"/>
      <c r="G300" s="180"/>
      <c r="H300" s="180"/>
      <c r="I300" s="180"/>
      <c r="J300" s="180"/>
      <c r="K300" s="180"/>
      <c r="L300" s="215">
        <f>SUM(F300:K300)</f>
        <v>0</v>
      </c>
      <c r="M300" s="215">
        <f>L300/6</f>
        <v>0</v>
      </c>
      <c r="N300" s="180"/>
      <c r="O300" s="180"/>
      <c r="P300" s="180"/>
      <c r="Q300" s="180"/>
      <c r="R300" s="180"/>
      <c r="S300" s="180"/>
      <c r="T300" s="215">
        <f>SUM(N300:S300)</f>
        <v>0</v>
      </c>
      <c r="U300" s="226">
        <f>T300+L300</f>
        <v>0</v>
      </c>
      <c r="V300" s="227"/>
      <c r="W300" s="184">
        <f>V300-U300</f>
        <v>0</v>
      </c>
    </row>
    <row r="301" spans="1:23" s="47" customFormat="1" ht="18" hidden="1" customHeight="1">
      <c r="A301" s="610"/>
      <c r="B301" s="581"/>
      <c r="C301" s="583"/>
      <c r="D301" s="178" t="s">
        <v>95</v>
      </c>
      <c r="E301" s="179"/>
      <c r="F301" s="180"/>
      <c r="G301" s="180"/>
      <c r="H301" s="180"/>
      <c r="I301" s="180"/>
      <c r="J301" s="180"/>
      <c r="K301" s="180"/>
      <c r="L301" s="215">
        <f>SUM(F301:K301)</f>
        <v>0</v>
      </c>
      <c r="M301" s="215">
        <f>L301/6</f>
        <v>0</v>
      </c>
      <c r="N301" s="179"/>
      <c r="O301" s="179"/>
      <c r="P301" s="179"/>
      <c r="Q301" s="179"/>
      <c r="R301" s="179"/>
      <c r="S301" s="179"/>
      <c r="T301" s="215">
        <f>SUM(N301:S301)</f>
        <v>0</v>
      </c>
      <c r="U301" s="226">
        <f>T301+L301</f>
        <v>0</v>
      </c>
      <c r="V301" s="227"/>
      <c r="W301" s="184">
        <f>V301-U301</f>
        <v>0</v>
      </c>
    </row>
    <row r="302" spans="1:23" s="47" customFormat="1" ht="18" hidden="1" customHeight="1">
      <c r="A302" s="610"/>
      <c r="B302" s="581"/>
      <c r="C302" s="583"/>
      <c r="D302" s="178" t="s">
        <v>105</v>
      </c>
      <c r="E302" s="179"/>
      <c r="F302" s="180"/>
      <c r="G302" s="180"/>
      <c r="H302" s="180"/>
      <c r="I302" s="180"/>
      <c r="J302" s="180"/>
      <c r="K302" s="180"/>
      <c r="L302" s="215">
        <f>SUM(F302:K302)</f>
        <v>0</v>
      </c>
      <c r="M302" s="215">
        <f>L302/6</f>
        <v>0</v>
      </c>
      <c r="N302" s="180"/>
      <c r="O302" s="180"/>
      <c r="P302" s="180"/>
      <c r="Q302" s="180"/>
      <c r="R302" s="180"/>
      <c r="S302" s="179"/>
      <c r="T302" s="215">
        <f>SUM(N302:S302)</f>
        <v>0</v>
      </c>
      <c r="U302" s="226">
        <f>T302+L302</f>
        <v>0</v>
      </c>
      <c r="V302" s="179"/>
      <c r="W302" s="184">
        <f>V302-U302</f>
        <v>0</v>
      </c>
    </row>
    <row r="303" spans="1:23" s="47" customFormat="1" ht="18" hidden="1" customHeight="1">
      <c r="A303" s="610"/>
      <c r="B303" s="581"/>
      <c r="C303" s="583"/>
      <c r="D303" s="187" t="s">
        <v>27</v>
      </c>
      <c r="E303" s="188"/>
      <c r="F303" s="188"/>
      <c r="G303" s="188"/>
      <c r="H303" s="188"/>
      <c r="I303" s="188"/>
      <c r="J303" s="188"/>
      <c r="K303" s="188"/>
      <c r="L303" s="188" t="e">
        <f>L304/L302*1000</f>
        <v>#DIV/0!</v>
      </c>
      <c r="M303" s="188" t="e">
        <f>M304/M302*1000</f>
        <v>#DIV/0!</v>
      </c>
      <c r="N303" s="188"/>
      <c r="O303" s="188"/>
      <c r="P303" s="188"/>
      <c r="Q303" s="188"/>
      <c r="R303" s="188"/>
      <c r="S303" s="188"/>
      <c r="T303" s="188" t="e">
        <f>T304/T302*1000</f>
        <v>#DIV/0!</v>
      </c>
      <c r="U303" s="188" t="e">
        <f>U304/U302*1000</f>
        <v>#DIV/0!</v>
      </c>
      <c r="V303" s="218" t="e">
        <f>V304/V302*1000</f>
        <v>#DIV/0!</v>
      </c>
      <c r="W303" s="189" t="e">
        <f>W304/W302*1000</f>
        <v>#DIV/0!</v>
      </c>
    </row>
    <row r="304" spans="1:23" s="47" customFormat="1" ht="18" hidden="1" customHeight="1">
      <c r="A304" s="610"/>
      <c r="B304" s="581"/>
      <c r="C304" s="583"/>
      <c r="D304" s="191" t="s">
        <v>0</v>
      </c>
      <c r="E304" s="192"/>
      <c r="F304" s="192">
        <f t="shared" ref="F304:K304" si="348">F302*F303/1000</f>
        <v>0</v>
      </c>
      <c r="G304" s="192">
        <f t="shared" si="348"/>
        <v>0</v>
      </c>
      <c r="H304" s="192">
        <f t="shared" si="348"/>
        <v>0</v>
      </c>
      <c r="I304" s="192">
        <f t="shared" si="348"/>
        <v>0</v>
      </c>
      <c r="J304" s="192">
        <f t="shared" si="348"/>
        <v>0</v>
      </c>
      <c r="K304" s="192">
        <f t="shared" si="348"/>
        <v>0</v>
      </c>
      <c r="L304" s="194">
        <f>SUM(F304:K304)</f>
        <v>0</v>
      </c>
      <c r="M304" s="194">
        <f>L304/6</f>
        <v>0</v>
      </c>
      <c r="N304" s="192">
        <f t="shared" ref="N304:S304" si="349">N302*N303/1000</f>
        <v>0</v>
      </c>
      <c r="O304" s="192">
        <f t="shared" si="349"/>
        <v>0</v>
      </c>
      <c r="P304" s="192">
        <f t="shared" si="349"/>
        <v>0</v>
      </c>
      <c r="Q304" s="192">
        <f t="shared" si="349"/>
        <v>0</v>
      </c>
      <c r="R304" s="192">
        <f t="shared" si="349"/>
        <v>0</v>
      </c>
      <c r="S304" s="192">
        <f t="shared" si="349"/>
        <v>0</v>
      </c>
      <c r="T304" s="194">
        <f>SUM(N304:S304)</f>
        <v>0</v>
      </c>
      <c r="U304" s="194">
        <f>T304+L304</f>
        <v>0</v>
      </c>
      <c r="V304" s="171">
        <f>V305+V306</f>
        <v>0</v>
      </c>
      <c r="W304" s="193">
        <f>V304-U304</f>
        <v>0</v>
      </c>
    </row>
    <row r="305" spans="1:24" s="47" customFormat="1" ht="18" hidden="1" customHeight="1">
      <c r="A305" s="610"/>
      <c r="B305" s="581"/>
      <c r="C305" s="583"/>
      <c r="D305" s="174" t="s">
        <v>55</v>
      </c>
      <c r="E305" s="210"/>
      <c r="F305" s="192"/>
      <c r="G305" s="192"/>
      <c r="H305" s="192"/>
      <c r="I305" s="192"/>
      <c r="J305" s="192"/>
      <c r="K305" s="192"/>
      <c r="L305" s="194">
        <f>SUM(F305:K305)</f>
        <v>0</v>
      </c>
      <c r="M305" s="194">
        <f>L305/6</f>
        <v>0</v>
      </c>
      <c r="N305" s="192"/>
      <c r="O305" s="192"/>
      <c r="P305" s="192"/>
      <c r="Q305" s="192"/>
      <c r="R305" s="192"/>
      <c r="S305" s="192"/>
      <c r="T305" s="194">
        <f>SUM(N305:S305)</f>
        <v>0</v>
      </c>
      <c r="U305" s="194">
        <f>T305+L305</f>
        <v>0</v>
      </c>
      <c r="V305" s="171"/>
      <c r="W305" s="193">
        <f>V305-U305</f>
        <v>0</v>
      </c>
    </row>
    <row r="306" spans="1:24" s="47" customFormat="1" ht="18" hidden="1" customHeight="1">
      <c r="A306" s="610"/>
      <c r="B306" s="581"/>
      <c r="C306" s="583"/>
      <c r="D306" s="174" t="s">
        <v>28</v>
      </c>
      <c r="E306" s="210"/>
      <c r="F306" s="192"/>
      <c r="G306" s="192"/>
      <c r="H306" s="192"/>
      <c r="I306" s="192"/>
      <c r="J306" s="192"/>
      <c r="K306" s="192"/>
      <c r="L306" s="194">
        <f>SUM(F306:K306)</f>
        <v>0</v>
      </c>
      <c r="M306" s="194">
        <f>L306/6</f>
        <v>0</v>
      </c>
      <c r="N306" s="192"/>
      <c r="O306" s="192"/>
      <c r="P306" s="192"/>
      <c r="Q306" s="192"/>
      <c r="R306" s="192"/>
      <c r="S306" s="192"/>
      <c r="T306" s="194">
        <f>SUM(N306:S306)</f>
        <v>0</v>
      </c>
      <c r="U306" s="194">
        <f>T306+L306</f>
        <v>0</v>
      </c>
      <c r="V306" s="171"/>
      <c r="W306" s="193">
        <f>V306-U306</f>
        <v>0</v>
      </c>
    </row>
    <row r="307" spans="1:24" s="47" customFormat="1" ht="18" hidden="1" customHeight="1">
      <c r="A307" s="610"/>
      <c r="B307" s="581"/>
      <c r="C307" s="583"/>
      <c r="D307" s="178" t="s">
        <v>106</v>
      </c>
      <c r="E307" s="179"/>
      <c r="F307" s="179"/>
      <c r="G307" s="179"/>
      <c r="H307" s="179"/>
      <c r="I307" s="179"/>
      <c r="J307" s="179"/>
      <c r="K307" s="179"/>
      <c r="L307" s="215">
        <f>SUM(F307:K307)</f>
        <v>0</v>
      </c>
      <c r="M307" s="215">
        <f>L307/6</f>
        <v>0</v>
      </c>
      <c r="N307" s="179"/>
      <c r="O307" s="179"/>
      <c r="P307" s="179"/>
      <c r="Q307" s="179"/>
      <c r="R307" s="179"/>
      <c r="S307" s="179">
        <f>S302+R302</f>
        <v>0</v>
      </c>
      <c r="T307" s="215">
        <f>SUM(N307:S307)</f>
        <v>0</v>
      </c>
      <c r="U307" s="215">
        <f>T307+L307</f>
        <v>0</v>
      </c>
      <c r="V307" s="179">
        <f>V302</f>
        <v>0</v>
      </c>
      <c r="W307" s="184">
        <f>V307-U307</f>
        <v>0</v>
      </c>
      <c r="X307" s="47">
        <f>U302-U307</f>
        <v>0</v>
      </c>
    </row>
    <row r="308" spans="1:24" s="47" customFormat="1" ht="18" hidden="1" customHeight="1">
      <c r="A308" s="610"/>
      <c r="B308" s="581"/>
      <c r="C308" s="583"/>
      <c r="D308" s="187" t="s">
        <v>27</v>
      </c>
      <c r="E308" s="188" t="e">
        <f>E309/E307*1000</f>
        <v>#DIV/0!</v>
      </c>
      <c r="F308" s="188"/>
      <c r="G308" s="188"/>
      <c r="H308" s="188"/>
      <c r="I308" s="188"/>
      <c r="J308" s="188"/>
      <c r="K308" s="188"/>
      <c r="L308" s="188" t="e">
        <f>L309/L307*1000</f>
        <v>#DIV/0!</v>
      </c>
      <c r="M308" s="188" t="e">
        <f>M309/M307*1000</f>
        <v>#DIV/0!</v>
      </c>
      <c r="N308" s="188"/>
      <c r="O308" s="188"/>
      <c r="P308" s="188"/>
      <c r="Q308" s="188"/>
      <c r="R308" s="188"/>
      <c r="S308" s="188"/>
      <c r="T308" s="188" t="e">
        <f>T309/T307*1000</f>
        <v>#DIV/0!</v>
      </c>
      <c r="U308" s="188" t="e">
        <f>U309/U307*1000</f>
        <v>#DIV/0!</v>
      </c>
      <c r="V308" s="218" t="e">
        <f>V309/V307*1000</f>
        <v>#DIV/0!</v>
      </c>
      <c r="W308" s="189" t="e">
        <f>W309/W307*1000</f>
        <v>#DIV/0!</v>
      </c>
    </row>
    <row r="309" spans="1:24" s="63" customFormat="1" ht="18" hidden="1" customHeight="1">
      <c r="A309" s="610"/>
      <c r="B309" s="581"/>
      <c r="C309" s="583"/>
      <c r="D309" s="198" t="s">
        <v>25</v>
      </c>
      <c r="E309" s="220"/>
      <c r="F309" s="199">
        <f t="shared" ref="F309:K309" si="350">F307*F308/1000</f>
        <v>0</v>
      </c>
      <c r="G309" s="199">
        <f t="shared" si="350"/>
        <v>0</v>
      </c>
      <c r="H309" s="199">
        <f t="shared" si="350"/>
        <v>0</v>
      </c>
      <c r="I309" s="199">
        <f t="shared" si="350"/>
        <v>0</v>
      </c>
      <c r="J309" s="199">
        <f t="shared" si="350"/>
        <v>0</v>
      </c>
      <c r="K309" s="199">
        <f t="shared" si="350"/>
        <v>0</v>
      </c>
      <c r="L309" s="199">
        <f>SUM(F309:K309)</f>
        <v>0</v>
      </c>
      <c r="M309" s="199">
        <f>L309/6</f>
        <v>0</v>
      </c>
      <c r="N309" s="199">
        <f t="shared" ref="N309:S309" si="351">N307*N308/1000</f>
        <v>0</v>
      </c>
      <c r="O309" s="199">
        <f t="shared" si="351"/>
        <v>0</v>
      </c>
      <c r="P309" s="199">
        <f t="shared" si="351"/>
        <v>0</v>
      </c>
      <c r="Q309" s="199">
        <f t="shared" si="351"/>
        <v>0</v>
      </c>
      <c r="R309" s="199">
        <f t="shared" si="351"/>
        <v>0</v>
      </c>
      <c r="S309" s="199">
        <f t="shared" si="351"/>
        <v>0</v>
      </c>
      <c r="T309" s="199">
        <f>SUM(N309:S309)</f>
        <v>0</v>
      </c>
      <c r="U309" s="199">
        <f>T309+L309</f>
        <v>0</v>
      </c>
      <c r="V309" s="199">
        <f>V304</f>
        <v>0</v>
      </c>
      <c r="W309" s="221">
        <f>V309-U309</f>
        <v>0</v>
      </c>
      <c r="X309" s="63">
        <f>U304-U309</f>
        <v>0</v>
      </c>
    </row>
    <row r="310" spans="1:24" s="63" customFormat="1" ht="18" hidden="1" customHeight="1">
      <c r="A310" s="610"/>
      <c r="B310" s="581"/>
      <c r="C310" s="583"/>
      <c r="D310" s="201" t="s">
        <v>55</v>
      </c>
      <c r="E310" s="220"/>
      <c r="F310" s="199"/>
      <c r="G310" s="199"/>
      <c r="H310" s="199"/>
      <c r="I310" s="199"/>
      <c r="J310" s="199"/>
      <c r="K310" s="199"/>
      <c r="L310" s="199">
        <f>SUM(F310:K310)</f>
        <v>0</v>
      </c>
      <c r="M310" s="199">
        <f>L310/6</f>
        <v>0</v>
      </c>
      <c r="N310" s="199"/>
      <c r="O310" s="199"/>
      <c r="P310" s="199"/>
      <c r="Q310" s="199"/>
      <c r="R310" s="199"/>
      <c r="S310" s="199"/>
      <c r="T310" s="199">
        <f>SUM(N310:S310)</f>
        <v>0</v>
      </c>
      <c r="U310" s="199">
        <f>T310+L310</f>
        <v>0</v>
      </c>
      <c r="V310" s="199">
        <f>V305</f>
        <v>0</v>
      </c>
      <c r="W310" s="221">
        <f>V310-U310</f>
        <v>0</v>
      </c>
      <c r="X310" s="63">
        <f>U305-U310</f>
        <v>0</v>
      </c>
    </row>
    <row r="311" spans="1:24" s="63" customFormat="1" ht="18" hidden="1" customHeight="1">
      <c r="A311" s="610"/>
      <c r="B311" s="581"/>
      <c r="C311" s="583"/>
      <c r="D311" s="201" t="s">
        <v>24</v>
      </c>
      <c r="E311" s="220"/>
      <c r="F311" s="199">
        <f t="shared" ref="F311:K311" si="352">F309-F310</f>
        <v>0</v>
      </c>
      <c r="G311" s="199">
        <f t="shared" si="352"/>
        <v>0</v>
      </c>
      <c r="H311" s="199">
        <f t="shared" si="352"/>
        <v>0</v>
      </c>
      <c r="I311" s="199">
        <f t="shared" si="352"/>
        <v>0</v>
      </c>
      <c r="J311" s="199">
        <f t="shared" si="352"/>
        <v>0</v>
      </c>
      <c r="K311" s="199">
        <f t="shared" si="352"/>
        <v>0</v>
      </c>
      <c r="L311" s="199">
        <f>SUM(F311:K311)</f>
        <v>0</v>
      </c>
      <c r="M311" s="199">
        <f>L311/6</f>
        <v>0</v>
      </c>
      <c r="N311" s="199">
        <f t="shared" ref="N311:S311" si="353">N309-N310</f>
        <v>0</v>
      </c>
      <c r="O311" s="199">
        <f t="shared" si="353"/>
        <v>0</v>
      </c>
      <c r="P311" s="199">
        <f t="shared" si="353"/>
        <v>0</v>
      </c>
      <c r="Q311" s="199">
        <f t="shared" si="353"/>
        <v>0</v>
      </c>
      <c r="R311" s="199">
        <f t="shared" si="353"/>
        <v>0</v>
      </c>
      <c r="S311" s="199">
        <f t="shared" si="353"/>
        <v>0</v>
      </c>
      <c r="T311" s="199">
        <f>SUM(N311:S311)</f>
        <v>0</v>
      </c>
      <c r="U311" s="199">
        <f>T311+L311</f>
        <v>0</v>
      </c>
      <c r="V311" s="199">
        <f>V306</f>
        <v>0</v>
      </c>
      <c r="W311" s="221">
        <f>V311-U311</f>
        <v>0</v>
      </c>
      <c r="X311" s="63">
        <f>U306-U311</f>
        <v>0</v>
      </c>
    </row>
    <row r="312" spans="1:24" s="43" customFormat="1" ht="18" hidden="1" customHeight="1">
      <c r="A312" s="610"/>
      <c r="B312" s="581"/>
      <c r="C312" s="583"/>
      <c r="D312" s="202" t="s">
        <v>29</v>
      </c>
      <c r="E312" s="203"/>
      <c r="F312" s="203">
        <f t="shared" ref="F312:K312" si="354">F306</f>
        <v>0</v>
      </c>
      <c r="G312" s="203">
        <f t="shared" si="354"/>
        <v>0</v>
      </c>
      <c r="H312" s="203">
        <f t="shared" si="354"/>
        <v>0</v>
      </c>
      <c r="I312" s="203">
        <f t="shared" si="354"/>
        <v>0</v>
      </c>
      <c r="J312" s="203">
        <f t="shared" si="354"/>
        <v>0</v>
      </c>
      <c r="K312" s="203">
        <f t="shared" si="354"/>
        <v>0</v>
      </c>
      <c r="L312" s="203">
        <f>SUM(F312:K312)</f>
        <v>0</v>
      </c>
      <c r="M312" s="203">
        <f>L312/6</f>
        <v>0</v>
      </c>
      <c r="N312" s="203">
        <f t="shared" ref="N312:S312" si="355">N306+N305</f>
        <v>0</v>
      </c>
      <c r="O312" s="203">
        <f t="shared" si="355"/>
        <v>0</v>
      </c>
      <c r="P312" s="203">
        <f t="shared" si="355"/>
        <v>0</v>
      </c>
      <c r="Q312" s="203">
        <f t="shared" si="355"/>
        <v>0</v>
      </c>
      <c r="R312" s="203">
        <f t="shared" si="355"/>
        <v>0</v>
      </c>
      <c r="S312" s="203">
        <f t="shared" si="355"/>
        <v>0</v>
      </c>
      <c r="T312" s="203">
        <f>SUM(N312:S312)</f>
        <v>0</v>
      </c>
      <c r="U312" s="203">
        <f>T312+L312</f>
        <v>0</v>
      </c>
      <c r="V312" s="203">
        <f>V309</f>
        <v>0</v>
      </c>
      <c r="W312" s="203">
        <f>V312-U312</f>
        <v>0</v>
      </c>
    </row>
    <row r="313" spans="1:24" s="43" customFormat="1" ht="18" hidden="1" customHeight="1">
      <c r="A313" s="610"/>
      <c r="B313" s="581"/>
      <c r="C313" s="583"/>
      <c r="D313" s="202" t="s">
        <v>30</v>
      </c>
      <c r="E313" s="203"/>
      <c r="F313" s="203">
        <f t="shared" ref="F313:K313" si="356">F309-F312</f>
        <v>0</v>
      </c>
      <c r="G313" s="203">
        <f t="shared" si="356"/>
        <v>0</v>
      </c>
      <c r="H313" s="203">
        <f t="shared" si="356"/>
        <v>0</v>
      </c>
      <c r="I313" s="203">
        <f t="shared" si="356"/>
        <v>0</v>
      </c>
      <c r="J313" s="203">
        <f t="shared" si="356"/>
        <v>0</v>
      </c>
      <c r="K313" s="203">
        <f t="shared" si="356"/>
        <v>0</v>
      </c>
      <c r="L313" s="203"/>
      <c r="M313" s="203"/>
      <c r="N313" s="203">
        <f t="shared" ref="N313:S313" si="357">N309-N312</f>
        <v>0</v>
      </c>
      <c r="O313" s="203">
        <f t="shared" si="357"/>
        <v>0</v>
      </c>
      <c r="P313" s="203">
        <f t="shared" si="357"/>
        <v>0</v>
      </c>
      <c r="Q313" s="203">
        <f t="shared" si="357"/>
        <v>0</v>
      </c>
      <c r="R313" s="203">
        <f t="shared" si="357"/>
        <v>0</v>
      </c>
      <c r="S313" s="203">
        <f t="shared" si="357"/>
        <v>0</v>
      </c>
      <c r="T313" s="203"/>
      <c r="U313" s="203"/>
      <c r="V313" s="203"/>
      <c r="W313" s="203"/>
    </row>
    <row r="314" spans="1:24" s="43" customFormat="1" ht="18" hidden="1" customHeight="1">
      <c r="A314" s="610"/>
      <c r="B314" s="581"/>
      <c r="C314" s="584"/>
      <c r="D314" s="202" t="s">
        <v>31</v>
      </c>
      <c r="E314" s="203"/>
      <c r="F314" s="203">
        <f>F313</f>
        <v>0</v>
      </c>
      <c r="G314" s="203">
        <f>G313+F314</f>
        <v>0</v>
      </c>
      <c r="H314" s="203">
        <f>H313+G314</f>
        <v>0</v>
      </c>
      <c r="I314" s="203">
        <f>I313+H314</f>
        <v>0</v>
      </c>
      <c r="J314" s="203">
        <f>J313+I314</f>
        <v>0</v>
      </c>
      <c r="K314" s="203">
        <f>K313+J314</f>
        <v>0</v>
      </c>
      <c r="L314" s="203"/>
      <c r="M314" s="203"/>
      <c r="N314" s="203">
        <f>N313+K314</f>
        <v>0</v>
      </c>
      <c r="O314" s="203">
        <f>O313+N314</f>
        <v>0</v>
      </c>
      <c r="P314" s="203">
        <f>P313+O314</f>
        <v>0</v>
      </c>
      <c r="Q314" s="203">
        <f>Q313+P314</f>
        <v>0</v>
      </c>
      <c r="R314" s="203">
        <f>R313+Q314</f>
        <v>0</v>
      </c>
      <c r="S314" s="203">
        <f>S313+R314</f>
        <v>0</v>
      </c>
      <c r="T314" s="203"/>
      <c r="U314" s="203"/>
      <c r="V314" s="203"/>
      <c r="W314" s="203"/>
    </row>
    <row r="315" spans="1:24" s="43" customFormat="1" ht="18" hidden="1" customHeight="1">
      <c r="A315" s="610"/>
      <c r="B315" s="581"/>
      <c r="C315" s="582" t="s">
        <v>96</v>
      </c>
      <c r="D315" s="178" t="s">
        <v>93</v>
      </c>
      <c r="E315" s="179"/>
      <c r="F315" s="180"/>
      <c r="G315" s="180"/>
      <c r="H315" s="180"/>
      <c r="I315" s="180"/>
      <c r="J315" s="180"/>
      <c r="K315" s="180"/>
      <c r="L315" s="215">
        <f>SUM(F315:K315)</f>
        <v>0</v>
      </c>
      <c r="M315" s="215">
        <f>L315/6</f>
        <v>0</v>
      </c>
      <c r="N315" s="180"/>
      <c r="O315" s="180"/>
      <c r="P315" s="180"/>
      <c r="Q315" s="180"/>
      <c r="R315" s="180"/>
      <c r="S315" s="180"/>
      <c r="T315" s="215">
        <f>SUM(N315:S315)</f>
        <v>0</v>
      </c>
      <c r="U315" s="226">
        <f>T315+L315</f>
        <v>0</v>
      </c>
      <c r="V315" s="227"/>
      <c r="W315" s="184">
        <f>V315-U315</f>
        <v>0</v>
      </c>
    </row>
    <row r="316" spans="1:24" s="43" customFormat="1" ht="18" hidden="1" customHeight="1">
      <c r="A316" s="610"/>
      <c r="B316" s="581"/>
      <c r="C316" s="583"/>
      <c r="D316" s="178" t="s">
        <v>95</v>
      </c>
      <c r="E316" s="179"/>
      <c r="F316" s="180"/>
      <c r="G316" s="180"/>
      <c r="H316" s="180"/>
      <c r="I316" s="180"/>
      <c r="J316" s="180"/>
      <c r="K316" s="180"/>
      <c r="L316" s="215">
        <f>SUM(F316:K316)</f>
        <v>0</v>
      </c>
      <c r="M316" s="215">
        <f>L316/6</f>
        <v>0</v>
      </c>
      <c r="N316" s="179"/>
      <c r="O316" s="179"/>
      <c r="P316" s="179"/>
      <c r="Q316" s="179"/>
      <c r="R316" s="179"/>
      <c r="S316" s="179"/>
      <c r="T316" s="215">
        <f>SUM(N316:S316)</f>
        <v>0</v>
      </c>
      <c r="U316" s="226">
        <f>T316+L316</f>
        <v>0</v>
      </c>
      <c r="V316" s="227"/>
      <c r="W316" s="184">
        <f>V316-U316</f>
        <v>0</v>
      </c>
    </row>
    <row r="317" spans="1:24" s="43" customFormat="1" ht="18" hidden="1" customHeight="1">
      <c r="A317" s="610"/>
      <c r="B317" s="581"/>
      <c r="C317" s="583"/>
      <c r="D317" s="178" t="s">
        <v>105</v>
      </c>
      <c r="E317" s="179"/>
      <c r="F317" s="180"/>
      <c r="G317" s="180"/>
      <c r="H317" s="180"/>
      <c r="I317" s="180"/>
      <c r="J317" s="180"/>
      <c r="K317" s="180"/>
      <c r="L317" s="215">
        <f>SUM(F317:K317)</f>
        <v>0</v>
      </c>
      <c r="M317" s="215">
        <f>L317/6</f>
        <v>0</v>
      </c>
      <c r="N317" s="180"/>
      <c r="O317" s="180"/>
      <c r="P317" s="180"/>
      <c r="Q317" s="180"/>
      <c r="R317" s="180"/>
      <c r="S317" s="179"/>
      <c r="T317" s="215">
        <f>SUM(N317:S317)</f>
        <v>0</v>
      </c>
      <c r="U317" s="226">
        <f>T317+L317</f>
        <v>0</v>
      </c>
      <c r="V317" s="179"/>
      <c r="W317" s="184">
        <f>V317-U317</f>
        <v>0</v>
      </c>
    </row>
    <row r="318" spans="1:24" s="43" customFormat="1" ht="18" hidden="1" customHeight="1">
      <c r="A318" s="610"/>
      <c r="B318" s="581"/>
      <c r="C318" s="583"/>
      <c r="D318" s="187" t="s">
        <v>27</v>
      </c>
      <c r="E318" s="188"/>
      <c r="F318" s="188"/>
      <c r="G318" s="188"/>
      <c r="H318" s="188"/>
      <c r="I318" s="188"/>
      <c r="J318" s="188"/>
      <c r="K318" s="188"/>
      <c r="L318" s="188" t="e">
        <f>L319/L317*1000</f>
        <v>#DIV/0!</v>
      </c>
      <c r="M318" s="188" t="e">
        <f>M319/M317*1000</f>
        <v>#DIV/0!</v>
      </c>
      <c r="N318" s="188"/>
      <c r="O318" s="188"/>
      <c r="P318" s="188"/>
      <c r="Q318" s="188"/>
      <c r="R318" s="188"/>
      <c r="S318" s="188"/>
      <c r="T318" s="188" t="e">
        <f>T319/T317*1000</f>
        <v>#DIV/0!</v>
      </c>
      <c r="U318" s="188" t="e">
        <f>U319/U317*1000</f>
        <v>#DIV/0!</v>
      </c>
      <c r="V318" s="218" t="e">
        <f>V319/V317*1000</f>
        <v>#DIV/0!</v>
      </c>
      <c r="W318" s="189" t="e">
        <f>W319/W317*1000</f>
        <v>#DIV/0!</v>
      </c>
    </row>
    <row r="319" spans="1:24" s="43" customFormat="1" ht="18" hidden="1" customHeight="1">
      <c r="A319" s="610"/>
      <c r="B319" s="581"/>
      <c r="C319" s="583"/>
      <c r="D319" s="191" t="s">
        <v>0</v>
      </c>
      <c r="E319" s="192"/>
      <c r="F319" s="192">
        <f t="shared" ref="F319:K319" si="358">F317*F318/1000</f>
        <v>0</v>
      </c>
      <c r="G319" s="192">
        <f t="shared" si="358"/>
        <v>0</v>
      </c>
      <c r="H319" s="192">
        <f t="shared" si="358"/>
        <v>0</v>
      </c>
      <c r="I319" s="192">
        <f t="shared" si="358"/>
        <v>0</v>
      </c>
      <c r="J319" s="192">
        <f t="shared" si="358"/>
        <v>0</v>
      </c>
      <c r="K319" s="192">
        <f t="shared" si="358"/>
        <v>0</v>
      </c>
      <c r="L319" s="194">
        <f>SUM(F319:K319)</f>
        <v>0</v>
      </c>
      <c r="M319" s="194">
        <f>L319/6</f>
        <v>0</v>
      </c>
      <c r="N319" s="192">
        <f t="shared" ref="N319:S319" si="359">N317*N318/1000</f>
        <v>0</v>
      </c>
      <c r="O319" s="192">
        <f t="shared" si="359"/>
        <v>0</v>
      </c>
      <c r="P319" s="192">
        <f t="shared" si="359"/>
        <v>0</v>
      </c>
      <c r="Q319" s="192">
        <f t="shared" si="359"/>
        <v>0</v>
      </c>
      <c r="R319" s="192">
        <f t="shared" si="359"/>
        <v>0</v>
      </c>
      <c r="S319" s="192">
        <f t="shared" si="359"/>
        <v>0</v>
      </c>
      <c r="T319" s="194">
        <f>SUM(N319:S319)</f>
        <v>0</v>
      </c>
      <c r="U319" s="194">
        <f>T319+L319</f>
        <v>0</v>
      </c>
      <c r="V319" s="171">
        <f>V320+V321</f>
        <v>0</v>
      </c>
      <c r="W319" s="193">
        <f>V319-U319</f>
        <v>0</v>
      </c>
    </row>
    <row r="320" spans="1:24" s="43" customFormat="1" ht="18" hidden="1" customHeight="1">
      <c r="A320" s="610"/>
      <c r="B320" s="581"/>
      <c r="C320" s="583"/>
      <c r="D320" s="174" t="s">
        <v>55</v>
      </c>
      <c r="E320" s="210"/>
      <c r="F320" s="192"/>
      <c r="G320" s="192"/>
      <c r="H320" s="192"/>
      <c r="I320" s="192"/>
      <c r="J320" s="192"/>
      <c r="K320" s="192"/>
      <c r="L320" s="194">
        <f>SUM(F320:K320)</f>
        <v>0</v>
      </c>
      <c r="M320" s="194">
        <f>L320/6</f>
        <v>0</v>
      </c>
      <c r="N320" s="192"/>
      <c r="O320" s="192"/>
      <c r="P320" s="192"/>
      <c r="Q320" s="192"/>
      <c r="R320" s="192"/>
      <c r="S320" s="192"/>
      <c r="T320" s="194">
        <f>SUM(N320:S320)</f>
        <v>0</v>
      </c>
      <c r="U320" s="194">
        <f>T320+L320</f>
        <v>0</v>
      </c>
      <c r="V320" s="171"/>
      <c r="W320" s="193">
        <f>V320-U320</f>
        <v>0</v>
      </c>
    </row>
    <row r="321" spans="1:24" s="43" customFormat="1" ht="18" hidden="1" customHeight="1">
      <c r="A321" s="610"/>
      <c r="B321" s="581"/>
      <c r="C321" s="583"/>
      <c r="D321" s="174" t="s">
        <v>28</v>
      </c>
      <c r="E321" s="210"/>
      <c r="F321" s="192"/>
      <c r="G321" s="192"/>
      <c r="H321" s="192"/>
      <c r="I321" s="192"/>
      <c r="J321" s="192"/>
      <c r="K321" s="192"/>
      <c r="L321" s="194">
        <f>SUM(F321:K321)</f>
        <v>0</v>
      </c>
      <c r="M321" s="194">
        <f>L321/6</f>
        <v>0</v>
      </c>
      <c r="N321" s="192"/>
      <c r="O321" s="192"/>
      <c r="P321" s="192"/>
      <c r="Q321" s="192"/>
      <c r="R321" s="192"/>
      <c r="S321" s="192"/>
      <c r="T321" s="194">
        <f>SUM(N321:S321)</f>
        <v>0</v>
      </c>
      <c r="U321" s="194">
        <f>T321+L321</f>
        <v>0</v>
      </c>
      <c r="V321" s="171"/>
      <c r="W321" s="193">
        <f>V321-U321</f>
        <v>0</v>
      </c>
    </row>
    <row r="322" spans="1:24" s="43" customFormat="1" ht="18" hidden="1" customHeight="1">
      <c r="A322" s="610"/>
      <c r="B322" s="581"/>
      <c r="C322" s="583"/>
      <c r="D322" s="178" t="s">
        <v>106</v>
      </c>
      <c r="E322" s="179"/>
      <c r="F322" s="179"/>
      <c r="G322" s="179"/>
      <c r="H322" s="179"/>
      <c r="I322" s="179"/>
      <c r="J322" s="179"/>
      <c r="K322" s="179"/>
      <c r="L322" s="215">
        <f>SUM(F322:K322)</f>
        <v>0</v>
      </c>
      <c r="M322" s="215">
        <f>L322/6</f>
        <v>0</v>
      </c>
      <c r="N322" s="179"/>
      <c r="O322" s="179"/>
      <c r="P322" s="179"/>
      <c r="Q322" s="179"/>
      <c r="R322" s="179"/>
      <c r="S322" s="179"/>
      <c r="T322" s="215">
        <f>SUM(N322:S322)</f>
        <v>0</v>
      </c>
      <c r="U322" s="215">
        <f>T322+L322</f>
        <v>0</v>
      </c>
      <c r="V322" s="179">
        <f>V317</f>
        <v>0</v>
      </c>
      <c r="W322" s="184">
        <f>V322-U322</f>
        <v>0</v>
      </c>
    </row>
    <row r="323" spans="1:24" s="43" customFormat="1" ht="18" hidden="1" customHeight="1">
      <c r="A323" s="610"/>
      <c r="B323" s="581"/>
      <c r="C323" s="583"/>
      <c r="D323" s="187" t="s">
        <v>27</v>
      </c>
      <c r="E323" s="188" t="e">
        <f>E324/E322*1000</f>
        <v>#DIV/0!</v>
      </c>
      <c r="F323" s="188"/>
      <c r="G323" s="188"/>
      <c r="H323" s="188"/>
      <c r="I323" s="188"/>
      <c r="J323" s="188"/>
      <c r="K323" s="188"/>
      <c r="L323" s="188" t="e">
        <f>L324/L322*1000</f>
        <v>#DIV/0!</v>
      </c>
      <c r="M323" s="188" t="e">
        <f>M324/M322*1000</f>
        <v>#DIV/0!</v>
      </c>
      <c r="N323" s="188"/>
      <c r="O323" s="188"/>
      <c r="P323" s="188"/>
      <c r="Q323" s="188"/>
      <c r="R323" s="188"/>
      <c r="S323" s="188"/>
      <c r="T323" s="188" t="e">
        <f>T324/T322*1000</f>
        <v>#DIV/0!</v>
      </c>
      <c r="U323" s="188" t="e">
        <f>U324/U322*1000</f>
        <v>#DIV/0!</v>
      </c>
      <c r="V323" s="218" t="e">
        <f>V324/V322*1000</f>
        <v>#DIV/0!</v>
      </c>
      <c r="W323" s="189" t="e">
        <f>W324/W322*1000</f>
        <v>#DIV/0!</v>
      </c>
    </row>
    <row r="324" spans="1:24" s="43" customFormat="1" ht="23.5" hidden="1" customHeight="1">
      <c r="A324" s="610"/>
      <c r="B324" s="581"/>
      <c r="C324" s="583"/>
      <c r="D324" s="198" t="s">
        <v>25</v>
      </c>
      <c r="E324" s="220"/>
      <c r="F324" s="199">
        <f t="shared" ref="F324:K324" si="360">F322*F323/1000</f>
        <v>0</v>
      </c>
      <c r="G324" s="199">
        <f t="shared" si="360"/>
        <v>0</v>
      </c>
      <c r="H324" s="199">
        <f t="shared" si="360"/>
        <v>0</v>
      </c>
      <c r="I324" s="199">
        <f t="shared" si="360"/>
        <v>0</v>
      </c>
      <c r="J324" s="199">
        <f t="shared" si="360"/>
        <v>0</v>
      </c>
      <c r="K324" s="199">
        <f t="shared" si="360"/>
        <v>0</v>
      </c>
      <c r="L324" s="199">
        <f>SUM(F324:K324)</f>
        <v>0</v>
      </c>
      <c r="M324" s="199">
        <f>L324/6</f>
        <v>0</v>
      </c>
      <c r="N324" s="199">
        <f t="shared" ref="N324:S324" si="361">N322*N323/1000</f>
        <v>0</v>
      </c>
      <c r="O324" s="199">
        <f t="shared" si="361"/>
        <v>0</v>
      </c>
      <c r="P324" s="199">
        <f t="shared" si="361"/>
        <v>0</v>
      </c>
      <c r="Q324" s="199">
        <f t="shared" si="361"/>
        <v>0</v>
      </c>
      <c r="R324" s="199">
        <f t="shared" si="361"/>
        <v>0</v>
      </c>
      <c r="S324" s="199">
        <f t="shared" si="361"/>
        <v>0</v>
      </c>
      <c r="T324" s="199">
        <f>SUM(N324:S324)</f>
        <v>0</v>
      </c>
      <c r="U324" s="199">
        <f>T324+L324</f>
        <v>0</v>
      </c>
      <c r="V324" s="199">
        <f>V319</f>
        <v>0</v>
      </c>
      <c r="W324" s="221">
        <f>V324-U324</f>
        <v>0</v>
      </c>
    </row>
    <row r="325" spans="1:24" s="43" customFormat="1" ht="18" hidden="1" customHeight="1">
      <c r="A325" s="610"/>
      <c r="B325" s="581"/>
      <c r="C325" s="583"/>
      <c r="D325" s="201" t="s">
        <v>55</v>
      </c>
      <c r="E325" s="220"/>
      <c r="F325" s="199"/>
      <c r="G325" s="199"/>
      <c r="H325" s="199"/>
      <c r="I325" s="199"/>
      <c r="J325" s="199"/>
      <c r="K325" s="199"/>
      <c r="L325" s="199">
        <f>SUM(F325:K325)</f>
        <v>0</v>
      </c>
      <c r="M325" s="199">
        <f>L325/6</f>
        <v>0</v>
      </c>
      <c r="N325" s="199"/>
      <c r="O325" s="199"/>
      <c r="P325" s="199"/>
      <c r="Q325" s="199"/>
      <c r="R325" s="199"/>
      <c r="S325" s="199"/>
      <c r="T325" s="199">
        <f>SUM(N325:S325)</f>
        <v>0</v>
      </c>
      <c r="U325" s="199">
        <f>T325+L325</f>
        <v>0</v>
      </c>
      <c r="V325" s="199">
        <f>V320</f>
        <v>0</v>
      </c>
      <c r="W325" s="221">
        <f>V325-U325</f>
        <v>0</v>
      </c>
    </row>
    <row r="326" spans="1:24" s="43" customFormat="1" ht="18" hidden="1" customHeight="1">
      <c r="A326" s="610"/>
      <c r="B326" s="581"/>
      <c r="C326" s="583"/>
      <c r="D326" s="201" t="s">
        <v>24</v>
      </c>
      <c r="E326" s="220"/>
      <c r="F326" s="199">
        <f t="shared" ref="F326:K326" si="362">F324-F325</f>
        <v>0</v>
      </c>
      <c r="G326" s="199">
        <f t="shared" si="362"/>
        <v>0</v>
      </c>
      <c r="H326" s="199">
        <f t="shared" si="362"/>
        <v>0</v>
      </c>
      <c r="I326" s="199">
        <f t="shared" si="362"/>
        <v>0</v>
      </c>
      <c r="J326" s="199">
        <f t="shared" si="362"/>
        <v>0</v>
      </c>
      <c r="K326" s="199">
        <f t="shared" si="362"/>
        <v>0</v>
      </c>
      <c r="L326" s="199">
        <f>SUM(F326:K326)</f>
        <v>0</v>
      </c>
      <c r="M326" s="199">
        <f>L326/6</f>
        <v>0</v>
      </c>
      <c r="N326" s="199">
        <f t="shared" ref="N326:S326" si="363">N324-N325</f>
        <v>0</v>
      </c>
      <c r="O326" s="199">
        <f t="shared" si="363"/>
        <v>0</v>
      </c>
      <c r="P326" s="199">
        <f t="shared" si="363"/>
        <v>0</v>
      </c>
      <c r="Q326" s="199">
        <f t="shared" si="363"/>
        <v>0</v>
      </c>
      <c r="R326" s="199">
        <f t="shared" si="363"/>
        <v>0</v>
      </c>
      <c r="S326" s="199">
        <f t="shared" si="363"/>
        <v>0</v>
      </c>
      <c r="T326" s="199">
        <f>SUM(N326:S326)</f>
        <v>0</v>
      </c>
      <c r="U326" s="199">
        <f>T326+L326</f>
        <v>0</v>
      </c>
      <c r="V326" s="199">
        <f>V321</f>
        <v>0</v>
      </c>
      <c r="W326" s="221">
        <f>V326-U326</f>
        <v>0</v>
      </c>
    </row>
    <row r="327" spans="1:24" s="43" customFormat="1" ht="18" hidden="1" customHeight="1">
      <c r="A327" s="610"/>
      <c r="B327" s="581"/>
      <c r="C327" s="583"/>
      <c r="D327" s="202" t="s">
        <v>29</v>
      </c>
      <c r="E327" s="203"/>
      <c r="F327" s="203">
        <f t="shared" ref="F327:K327" si="364">F321</f>
        <v>0</v>
      </c>
      <c r="G327" s="203">
        <f t="shared" si="364"/>
        <v>0</v>
      </c>
      <c r="H327" s="203">
        <f t="shared" si="364"/>
        <v>0</v>
      </c>
      <c r="I327" s="203">
        <f t="shared" si="364"/>
        <v>0</v>
      </c>
      <c r="J327" s="203">
        <f t="shared" si="364"/>
        <v>0</v>
      </c>
      <c r="K327" s="203">
        <f t="shared" si="364"/>
        <v>0</v>
      </c>
      <c r="L327" s="203">
        <f>SUM(F327:K327)</f>
        <v>0</v>
      </c>
      <c r="M327" s="203">
        <f>L327/6</f>
        <v>0</v>
      </c>
      <c r="N327" s="203">
        <f t="shared" ref="N327:S327" si="365">N321+N320</f>
        <v>0</v>
      </c>
      <c r="O327" s="203">
        <f t="shared" si="365"/>
        <v>0</v>
      </c>
      <c r="P327" s="203">
        <f t="shared" si="365"/>
        <v>0</v>
      </c>
      <c r="Q327" s="203">
        <f t="shared" si="365"/>
        <v>0</v>
      </c>
      <c r="R327" s="203">
        <f t="shared" si="365"/>
        <v>0</v>
      </c>
      <c r="S327" s="203">
        <f t="shared" si="365"/>
        <v>0</v>
      </c>
      <c r="T327" s="203">
        <f>SUM(N327:S327)</f>
        <v>0</v>
      </c>
      <c r="U327" s="203">
        <f>T327+L327</f>
        <v>0</v>
      </c>
      <c r="V327" s="203">
        <f>V324</f>
        <v>0</v>
      </c>
      <c r="W327" s="203">
        <f>V327-U327</f>
        <v>0</v>
      </c>
    </row>
    <row r="328" spans="1:24" s="43" customFormat="1" ht="18" hidden="1" customHeight="1">
      <c r="A328" s="610"/>
      <c r="B328" s="581"/>
      <c r="C328" s="583"/>
      <c r="D328" s="202" t="s">
        <v>30</v>
      </c>
      <c r="E328" s="203"/>
      <c r="F328" s="203">
        <f t="shared" ref="F328:K328" si="366">F324-F327</f>
        <v>0</v>
      </c>
      <c r="G328" s="203">
        <f t="shared" si="366"/>
        <v>0</v>
      </c>
      <c r="H328" s="203">
        <f t="shared" si="366"/>
        <v>0</v>
      </c>
      <c r="I328" s="203">
        <f t="shared" si="366"/>
        <v>0</v>
      </c>
      <c r="J328" s="203">
        <f t="shared" si="366"/>
        <v>0</v>
      </c>
      <c r="K328" s="203">
        <f t="shared" si="366"/>
        <v>0</v>
      </c>
      <c r="L328" s="203"/>
      <c r="M328" s="203"/>
      <c r="N328" s="203">
        <f t="shared" ref="N328:S328" si="367">N324-N327</f>
        <v>0</v>
      </c>
      <c r="O328" s="203">
        <f t="shared" si="367"/>
        <v>0</v>
      </c>
      <c r="P328" s="203">
        <f t="shared" si="367"/>
        <v>0</v>
      </c>
      <c r="Q328" s="203">
        <f t="shared" si="367"/>
        <v>0</v>
      </c>
      <c r="R328" s="203">
        <f t="shared" si="367"/>
        <v>0</v>
      </c>
      <c r="S328" s="203">
        <f t="shared" si="367"/>
        <v>0</v>
      </c>
      <c r="T328" s="203"/>
      <c r="U328" s="203"/>
      <c r="V328" s="203"/>
      <c r="W328" s="203"/>
    </row>
    <row r="329" spans="1:24" s="43" customFormat="1" ht="18" hidden="1" customHeight="1">
      <c r="A329" s="611"/>
      <c r="B329" s="581"/>
      <c r="C329" s="584"/>
      <c r="D329" s="202" t="s">
        <v>31</v>
      </c>
      <c r="E329" s="203"/>
      <c r="F329" s="203">
        <f>F328</f>
        <v>0</v>
      </c>
      <c r="G329" s="203">
        <f>G328+F329</f>
        <v>0</v>
      </c>
      <c r="H329" s="203">
        <f>H328+G329</f>
        <v>0</v>
      </c>
      <c r="I329" s="203">
        <f>I328+H329</f>
        <v>0</v>
      </c>
      <c r="J329" s="203">
        <f>J328+I329</f>
        <v>0</v>
      </c>
      <c r="K329" s="203">
        <f>K328+J329</f>
        <v>0</v>
      </c>
      <c r="L329" s="203"/>
      <c r="M329" s="203"/>
      <c r="N329" s="203">
        <f>N328+K329</f>
        <v>0</v>
      </c>
      <c r="O329" s="203">
        <f>O328+N329</f>
        <v>0</v>
      </c>
      <c r="P329" s="203">
        <f>P328+O329</f>
        <v>0</v>
      </c>
      <c r="Q329" s="203">
        <f>Q328+P329</f>
        <v>0</v>
      </c>
      <c r="R329" s="203">
        <f>R328+Q329</f>
        <v>0</v>
      </c>
      <c r="S329" s="203">
        <f>S328+R329</f>
        <v>0</v>
      </c>
      <c r="T329" s="203"/>
      <c r="U329" s="203"/>
      <c r="V329" s="203"/>
      <c r="W329" s="203"/>
    </row>
    <row r="330" spans="1:24" s="48" customFormat="1" ht="14.6" customHeight="1">
      <c r="A330" s="591">
        <v>2272</v>
      </c>
      <c r="B330" s="659" t="s">
        <v>34</v>
      </c>
      <c r="C330" s="660"/>
      <c r="D330" s="178" t="str">
        <f>серпень!D253</f>
        <v>факт. нат.п-ки 2023</v>
      </c>
      <c r="E330" s="11"/>
      <c r="F330" s="12">
        <f t="shared" ref="F330:K332" si="368">F347+F409</f>
        <v>987</v>
      </c>
      <c r="G330" s="12">
        <f t="shared" si="368"/>
        <v>141</v>
      </c>
      <c r="H330" s="12">
        <f t="shared" si="368"/>
        <v>188.5</v>
      </c>
      <c r="I330" s="12">
        <f t="shared" si="368"/>
        <v>276.5</v>
      </c>
      <c r="J330" s="12">
        <f t="shared" si="368"/>
        <v>757.2</v>
      </c>
      <c r="K330" s="12">
        <f t="shared" si="368"/>
        <v>0</v>
      </c>
      <c r="L330" s="65">
        <f>SUM(F330:K330)</f>
        <v>2350.1999999999998</v>
      </c>
      <c r="M330" s="65">
        <f>L330/6</f>
        <v>391.7</v>
      </c>
      <c r="N330" s="12">
        <f t="shared" ref="N330:S332" si="369">N347+N409</f>
        <v>77.2</v>
      </c>
      <c r="O330" s="12">
        <f t="shared" si="369"/>
        <v>96</v>
      </c>
      <c r="P330" s="11">
        <f t="shared" si="369"/>
        <v>106.3</v>
      </c>
      <c r="Q330" s="12">
        <f t="shared" si="369"/>
        <v>120.8</v>
      </c>
      <c r="R330" s="12">
        <f t="shared" si="369"/>
        <v>86.5</v>
      </c>
      <c r="S330" s="12">
        <f t="shared" si="369"/>
        <v>434</v>
      </c>
      <c r="T330" s="65">
        <f>SUM(N330:S330)</f>
        <v>920.8</v>
      </c>
      <c r="U330" s="65">
        <f>T330+L330</f>
        <v>3271</v>
      </c>
      <c r="V330" s="75">
        <f>V347+V409</f>
        <v>3271</v>
      </c>
      <c r="W330" s="38"/>
      <c r="X330" s="47"/>
    </row>
    <row r="331" spans="1:24" s="48" customFormat="1" ht="14.6" customHeight="1">
      <c r="A331" s="592"/>
      <c r="B331" s="661"/>
      <c r="C331" s="662"/>
      <c r="D331" s="178" t="str">
        <f>серпень!D254</f>
        <v>факт. нат.п-ки 2024</v>
      </c>
      <c r="E331" s="11"/>
      <c r="F331" s="12">
        <f t="shared" si="368"/>
        <v>254.4</v>
      </c>
      <c r="G331" s="12">
        <f t="shared" si="368"/>
        <v>86.8</v>
      </c>
      <c r="H331" s="12">
        <f t="shared" si="368"/>
        <v>95.9</v>
      </c>
      <c r="I331" s="12">
        <f t="shared" si="368"/>
        <v>62.5</v>
      </c>
      <c r="J331" s="12">
        <f t="shared" si="368"/>
        <v>71.8</v>
      </c>
      <c r="K331" s="12">
        <f t="shared" si="368"/>
        <v>128</v>
      </c>
      <c r="L331" s="65">
        <f>SUM(F331:K331)</f>
        <v>699.4</v>
      </c>
      <c r="M331" s="65">
        <f>L331/6</f>
        <v>116.6</v>
      </c>
      <c r="N331" s="12">
        <f t="shared" si="369"/>
        <v>77</v>
      </c>
      <c r="O331" s="12">
        <f t="shared" si="369"/>
        <v>132</v>
      </c>
      <c r="P331" s="11">
        <f t="shared" si="369"/>
        <v>76.5</v>
      </c>
      <c r="Q331" s="12">
        <f t="shared" si="369"/>
        <v>89.3</v>
      </c>
      <c r="R331" s="12">
        <f t="shared" si="369"/>
        <v>541.20000000000005</v>
      </c>
      <c r="S331" s="12">
        <f t="shared" si="369"/>
        <v>487.8</v>
      </c>
      <c r="T331" s="65">
        <f>SUM(N331:S331)</f>
        <v>1403.8</v>
      </c>
      <c r="U331" s="65">
        <f>T331+L331</f>
        <v>2103.1999999999998</v>
      </c>
      <c r="V331" s="75">
        <f>V348+V410</f>
        <v>2103.1999999999998</v>
      </c>
      <c r="W331" s="38"/>
      <c r="X331" s="47"/>
    </row>
    <row r="332" spans="1:24" s="48" customFormat="1" ht="14.6" customHeight="1">
      <c r="A332" s="592"/>
      <c r="B332" s="661"/>
      <c r="C332" s="662"/>
      <c r="D332" s="178" t="str">
        <f>серпень!D255</f>
        <v>факт. нат.п-ки 2025</v>
      </c>
      <c r="E332" s="11"/>
      <c r="F332" s="12">
        <f t="shared" si="368"/>
        <v>63.4</v>
      </c>
      <c r="G332" s="12">
        <f t="shared" si="368"/>
        <v>107.3</v>
      </c>
      <c r="H332" s="12">
        <f t="shared" si="368"/>
        <v>71.2</v>
      </c>
      <c r="I332" s="12">
        <f t="shared" si="368"/>
        <v>119.1</v>
      </c>
      <c r="J332" s="12">
        <f t="shared" si="368"/>
        <v>148.9</v>
      </c>
      <c r="K332" s="12">
        <f t="shared" si="368"/>
        <v>122.9</v>
      </c>
      <c r="L332" s="122">
        <f>SUM(F332:K332)</f>
        <v>632.79999999999995</v>
      </c>
      <c r="M332" s="65">
        <f>L332/6</f>
        <v>105.5</v>
      </c>
      <c r="N332" s="12">
        <f t="shared" si="369"/>
        <v>66.5</v>
      </c>
      <c r="O332" s="12">
        <f t="shared" si="369"/>
        <v>129.5</v>
      </c>
      <c r="P332" s="12">
        <f t="shared" si="369"/>
        <v>154.6</v>
      </c>
      <c r="Q332" s="12">
        <f t="shared" si="369"/>
        <v>170.6</v>
      </c>
      <c r="R332" s="12">
        <f t="shared" si="369"/>
        <v>541.20000000000005</v>
      </c>
      <c r="S332" s="12">
        <f t="shared" si="369"/>
        <v>487.8</v>
      </c>
      <c r="T332" s="65">
        <f>SUM(N332:S332)</f>
        <v>1550.2</v>
      </c>
      <c r="U332" s="118">
        <f>T332+L332</f>
        <v>2183</v>
      </c>
      <c r="V332" s="75">
        <f>V349+V411</f>
        <v>3941.2</v>
      </c>
      <c r="W332" s="38">
        <f>V332-U332</f>
        <v>1758.2</v>
      </c>
      <c r="X332" s="47"/>
    </row>
    <row r="333" spans="1:24" s="51" customFormat="1" ht="14.6" customHeight="1">
      <c r="A333" s="592"/>
      <c r="B333" s="661"/>
      <c r="C333" s="662"/>
      <c r="D333" s="187" t="str">
        <f>серпень!D256</f>
        <v>тариф, грн.</v>
      </c>
      <c r="E333" s="49"/>
      <c r="F333" s="49">
        <f t="shared" ref="F333:S333" si="370">F334/F332*1000</f>
        <v>24.242999999999999</v>
      </c>
      <c r="G333" s="49">
        <f t="shared" si="370"/>
        <v>24.157</v>
      </c>
      <c r="H333" s="49">
        <f t="shared" si="370"/>
        <v>25.14</v>
      </c>
      <c r="I333" s="49">
        <f t="shared" si="370"/>
        <v>24.341000000000001</v>
      </c>
      <c r="J333" s="49">
        <f t="shared" si="370"/>
        <v>24.399000000000001</v>
      </c>
      <c r="K333" s="49">
        <f t="shared" si="370"/>
        <v>24.41</v>
      </c>
      <c r="L333" s="49">
        <f t="shared" si="370"/>
        <v>24.417000000000002</v>
      </c>
      <c r="M333" s="49">
        <f t="shared" si="370"/>
        <v>24.408000000000001</v>
      </c>
      <c r="N333" s="49">
        <f t="shared" si="370"/>
        <v>25.533999999999999</v>
      </c>
      <c r="O333" s="49">
        <f t="shared" si="370"/>
        <v>23.166</v>
      </c>
      <c r="P333" s="49">
        <f t="shared" si="370"/>
        <v>21.617000000000001</v>
      </c>
      <c r="Q333" s="49">
        <f t="shared" si="370"/>
        <v>22.38</v>
      </c>
      <c r="R333" s="49">
        <f t="shared" si="370"/>
        <v>16.358000000000001</v>
      </c>
      <c r="S333" s="49">
        <f t="shared" si="370"/>
        <v>16.641999999999999</v>
      </c>
      <c r="T333" s="49">
        <f>T334/T332*1000</f>
        <v>18.597000000000001</v>
      </c>
      <c r="U333" s="49">
        <f>U334/U332*1000</f>
        <v>20.283999999999999</v>
      </c>
      <c r="V333" s="49">
        <f>V334/V332*1000</f>
        <v>17.082999999999998</v>
      </c>
      <c r="W333" s="14">
        <f>W334/W332*1000</f>
        <v>13.108000000000001</v>
      </c>
      <c r="X333" s="59"/>
    </row>
    <row r="334" spans="1:24" s="113" customFormat="1" ht="18" customHeight="1">
      <c r="A334" s="670"/>
      <c r="B334" s="661"/>
      <c r="C334" s="662"/>
      <c r="D334" s="191" t="str">
        <f>серпень!D257</f>
        <v>сума, тис.грн.</v>
      </c>
      <c r="E334" s="52"/>
      <c r="F334" s="52">
        <f t="shared" ref="F334:K335" si="371">F351+F413</f>
        <v>1.5369999999999999</v>
      </c>
      <c r="G334" s="52">
        <f t="shared" si="371"/>
        <v>2.5920000000000001</v>
      </c>
      <c r="H334" s="52">
        <f t="shared" si="371"/>
        <v>1.79</v>
      </c>
      <c r="I334" s="52">
        <f t="shared" si="371"/>
        <v>2.899</v>
      </c>
      <c r="J334" s="52">
        <f t="shared" si="371"/>
        <v>3.633</v>
      </c>
      <c r="K334" s="52">
        <f t="shared" si="371"/>
        <v>3</v>
      </c>
      <c r="L334" s="69">
        <f>SUM(F334:K334)</f>
        <v>15.451000000000001</v>
      </c>
      <c r="M334" s="69">
        <f>L334/6</f>
        <v>2.5750000000000002</v>
      </c>
      <c r="N334" s="52">
        <f t="shared" ref="N334:S335" si="372">N351+N413</f>
        <v>1.698</v>
      </c>
      <c r="O334" s="52">
        <f t="shared" si="372"/>
        <v>3</v>
      </c>
      <c r="P334" s="52">
        <f t="shared" si="372"/>
        <v>3.3420000000000001</v>
      </c>
      <c r="Q334" s="52">
        <f t="shared" si="372"/>
        <v>3.8180000000000001</v>
      </c>
      <c r="R334" s="52">
        <f t="shared" si="372"/>
        <v>8.8529999999999998</v>
      </c>
      <c r="S334" s="52">
        <f t="shared" si="372"/>
        <v>8.1180000000000003</v>
      </c>
      <c r="T334" s="69">
        <f t="shared" ref="T334:T339" si="373">SUM(N334:S334)</f>
        <v>28.829000000000001</v>
      </c>
      <c r="U334" s="69">
        <f t="shared" ref="U334:U339" si="374">T334+L334</f>
        <v>44.28</v>
      </c>
      <c r="V334" s="69">
        <f>V351+V413</f>
        <v>67.325999999999993</v>
      </c>
      <c r="W334" s="52">
        <f>V334-U334</f>
        <v>23.045999999999999</v>
      </c>
    </row>
    <row r="335" spans="1:24" s="113" customFormat="1" ht="18" customHeight="1">
      <c r="A335" s="670"/>
      <c r="B335" s="661"/>
      <c r="C335" s="662"/>
      <c r="D335" s="174" t="str">
        <f>серпень!D258</f>
        <v>абоненська плата, тис.грн.</v>
      </c>
      <c r="E335" s="52"/>
      <c r="F335" s="52">
        <f>F352+F414</f>
        <v>0</v>
      </c>
      <c r="G335" s="52">
        <f t="shared" si="371"/>
        <v>0</v>
      </c>
      <c r="H335" s="52">
        <f t="shared" si="371"/>
        <v>0</v>
      </c>
      <c r="I335" s="52">
        <f t="shared" si="371"/>
        <v>0</v>
      </c>
      <c r="J335" s="52">
        <f t="shared" si="371"/>
        <v>0</v>
      </c>
      <c r="K335" s="52">
        <f t="shared" si="371"/>
        <v>0</v>
      </c>
      <c r="L335" s="69">
        <f t="shared" ref="L335:L337" si="375">SUM(F335:K335)</f>
        <v>0</v>
      </c>
      <c r="M335" s="69">
        <f t="shared" ref="M335:M337" si="376">L335/6</f>
        <v>0</v>
      </c>
      <c r="N335" s="52">
        <f t="shared" si="372"/>
        <v>0</v>
      </c>
      <c r="O335" s="52">
        <f t="shared" si="372"/>
        <v>0</v>
      </c>
      <c r="P335" s="52">
        <f t="shared" si="372"/>
        <v>0</v>
      </c>
      <c r="Q335" s="52">
        <f t="shared" si="372"/>
        <v>0</v>
      </c>
      <c r="R335" s="52">
        <f t="shared" si="372"/>
        <v>0</v>
      </c>
      <c r="S335" s="52">
        <f t="shared" si="372"/>
        <v>0</v>
      </c>
      <c r="T335" s="69">
        <f t="shared" si="373"/>
        <v>0</v>
      </c>
      <c r="U335" s="69">
        <f t="shared" si="374"/>
        <v>0</v>
      </c>
      <c r="V335" s="69">
        <f t="shared" ref="V335:V337" si="377">V352+V414</f>
        <v>0</v>
      </c>
      <c r="W335" s="52">
        <f t="shared" ref="W335:W337" si="378">V335-U335</f>
        <v>0</v>
      </c>
    </row>
    <row r="336" spans="1:24" s="113" customFormat="1" ht="18" customHeight="1">
      <c r="A336" s="670"/>
      <c r="B336" s="661"/>
      <c r="C336" s="662"/>
      <c r="D336" s="174" t="str">
        <f>серпень!D259</f>
        <v>разом сума тис. грн+абонплата</v>
      </c>
      <c r="E336" s="52"/>
      <c r="F336" s="52">
        <f>F334+F335</f>
        <v>1.5369999999999999</v>
      </c>
      <c r="G336" s="52">
        <f t="shared" ref="G336:K336" si="379">G334+G335</f>
        <v>2.5920000000000001</v>
      </c>
      <c r="H336" s="52">
        <f t="shared" si="379"/>
        <v>1.79</v>
      </c>
      <c r="I336" s="52">
        <f t="shared" si="379"/>
        <v>2.899</v>
      </c>
      <c r="J336" s="52">
        <f t="shared" si="379"/>
        <v>3.633</v>
      </c>
      <c r="K336" s="52">
        <f t="shared" si="379"/>
        <v>3</v>
      </c>
      <c r="L336" s="69">
        <f t="shared" si="375"/>
        <v>15.451000000000001</v>
      </c>
      <c r="M336" s="69">
        <f t="shared" si="376"/>
        <v>2.5750000000000002</v>
      </c>
      <c r="N336" s="52">
        <f>N334+N335</f>
        <v>1.698</v>
      </c>
      <c r="O336" s="52">
        <f t="shared" ref="O336:S336" si="380">O334+O335</f>
        <v>3</v>
      </c>
      <c r="P336" s="52">
        <f t="shared" si="380"/>
        <v>3.3420000000000001</v>
      </c>
      <c r="Q336" s="52">
        <f t="shared" si="380"/>
        <v>3.8180000000000001</v>
      </c>
      <c r="R336" s="52">
        <f t="shared" si="380"/>
        <v>8.8529999999999998</v>
      </c>
      <c r="S336" s="52">
        <f t="shared" si="380"/>
        <v>8.1180000000000003</v>
      </c>
      <c r="T336" s="69">
        <f t="shared" si="373"/>
        <v>28.829000000000001</v>
      </c>
      <c r="U336" s="69">
        <f t="shared" si="374"/>
        <v>44.28</v>
      </c>
      <c r="V336" s="69">
        <f t="shared" si="377"/>
        <v>67.325999999999993</v>
      </c>
      <c r="W336" s="52">
        <f t="shared" si="378"/>
        <v>23.045999999999999</v>
      </c>
    </row>
    <row r="337" spans="1:24" s="113" customFormat="1" ht="18" customHeight="1">
      <c r="A337" s="670"/>
      <c r="B337" s="661"/>
      <c r="C337" s="662"/>
      <c r="D337" s="174" t="str">
        <f>серпень!D260</f>
        <v>дотація</v>
      </c>
      <c r="E337" s="52"/>
      <c r="F337" s="52">
        <f t="shared" ref="F337:K338" si="381">F354+F416</f>
        <v>0</v>
      </c>
      <c r="G337" s="52">
        <f t="shared" si="381"/>
        <v>0</v>
      </c>
      <c r="H337" s="52">
        <f t="shared" si="381"/>
        <v>0</v>
      </c>
      <c r="I337" s="52">
        <f t="shared" si="381"/>
        <v>0</v>
      </c>
      <c r="J337" s="52">
        <f t="shared" si="381"/>
        <v>0</v>
      </c>
      <c r="K337" s="52">
        <f t="shared" si="381"/>
        <v>0</v>
      </c>
      <c r="L337" s="69">
        <f t="shared" si="375"/>
        <v>0</v>
      </c>
      <c r="M337" s="69">
        <f t="shared" si="376"/>
        <v>0</v>
      </c>
      <c r="N337" s="52">
        <f t="shared" ref="N337:S339" si="382">N354+N416</f>
        <v>0</v>
      </c>
      <c r="O337" s="52">
        <f t="shared" si="382"/>
        <v>0</v>
      </c>
      <c r="P337" s="52">
        <f t="shared" si="382"/>
        <v>0</v>
      </c>
      <c r="Q337" s="52">
        <f t="shared" si="382"/>
        <v>0</v>
      </c>
      <c r="R337" s="52">
        <f t="shared" si="382"/>
        <v>0</v>
      </c>
      <c r="S337" s="52">
        <f t="shared" si="382"/>
        <v>0</v>
      </c>
      <c r="T337" s="69">
        <f t="shared" si="373"/>
        <v>0</v>
      </c>
      <c r="U337" s="69">
        <f t="shared" si="374"/>
        <v>0</v>
      </c>
      <c r="V337" s="69">
        <f t="shared" si="377"/>
        <v>0</v>
      </c>
      <c r="W337" s="52">
        <f t="shared" si="378"/>
        <v>0</v>
      </c>
    </row>
    <row r="338" spans="1:24" s="113" customFormat="1" ht="18" customHeight="1">
      <c r="A338" s="670"/>
      <c r="B338" s="661"/>
      <c r="C338" s="662"/>
      <c r="D338" s="174" t="str">
        <f>серпень!D261</f>
        <v>місцевий (план), тис.грн</v>
      </c>
      <c r="E338" s="52"/>
      <c r="F338" s="52">
        <f t="shared" si="381"/>
        <v>0</v>
      </c>
      <c r="G338" s="52">
        <f t="shared" si="381"/>
        <v>1.538</v>
      </c>
      <c r="H338" s="52">
        <f t="shared" si="381"/>
        <v>3.5859999999999999</v>
      </c>
      <c r="I338" s="52">
        <f t="shared" si="381"/>
        <v>0.79600000000000004</v>
      </c>
      <c r="J338" s="52">
        <f t="shared" si="381"/>
        <v>3.3969999999999998</v>
      </c>
      <c r="K338" s="52">
        <f t="shared" si="381"/>
        <v>3.1339999999999999</v>
      </c>
      <c r="L338" s="69">
        <f>SUM(F338:K338)</f>
        <v>12.451000000000001</v>
      </c>
      <c r="M338" s="69">
        <f>L338/6</f>
        <v>2.0750000000000002</v>
      </c>
      <c r="N338" s="52">
        <f t="shared" si="382"/>
        <v>3.0760000000000001</v>
      </c>
      <c r="O338" s="52">
        <f t="shared" si="382"/>
        <v>1.6679999999999999</v>
      </c>
      <c r="P338" s="52">
        <f t="shared" si="382"/>
        <v>8.7720000000000002</v>
      </c>
      <c r="Q338" s="52">
        <f t="shared" si="382"/>
        <v>18.297000000000001</v>
      </c>
      <c r="R338" s="52">
        <f t="shared" si="382"/>
        <v>13.52</v>
      </c>
      <c r="S338" s="52">
        <f t="shared" si="382"/>
        <v>9.5419999999999998</v>
      </c>
      <c r="T338" s="69">
        <f t="shared" si="373"/>
        <v>54.875</v>
      </c>
      <c r="U338" s="69">
        <f t="shared" si="374"/>
        <v>67.325999999999993</v>
      </c>
      <c r="V338" s="69">
        <f>V355+V417</f>
        <v>67.325999999999993</v>
      </c>
      <c r="W338" s="52">
        <f>V338-U338</f>
        <v>0</v>
      </c>
    </row>
    <row r="339" spans="1:24" s="48" customFormat="1" ht="19.45" customHeight="1">
      <c r="A339" s="592"/>
      <c r="B339" s="661"/>
      <c r="C339" s="662"/>
      <c r="D339" s="178" t="str">
        <f>серпень!D262</f>
        <v>касові нат.п-ки 2025</v>
      </c>
      <c r="E339" s="314">
        <f>E371+E418</f>
        <v>0</v>
      </c>
      <c r="F339" s="11">
        <f>F356+F418</f>
        <v>0</v>
      </c>
      <c r="G339" s="11">
        <f t="shared" ref="G339:K339" si="383">G356+G418</f>
        <v>63.4</v>
      </c>
      <c r="H339" s="11">
        <f t="shared" si="383"/>
        <v>107.3</v>
      </c>
      <c r="I339" s="11">
        <f t="shared" si="383"/>
        <v>71.2</v>
      </c>
      <c r="J339" s="11">
        <f t="shared" si="383"/>
        <v>119.1</v>
      </c>
      <c r="K339" s="11">
        <f t="shared" si="383"/>
        <v>148.9</v>
      </c>
      <c r="L339" s="123">
        <f>SUM(F339:K339)</f>
        <v>509.9</v>
      </c>
      <c r="M339" s="65">
        <f>L339/6</f>
        <v>85</v>
      </c>
      <c r="N339" s="11">
        <f>N356+N418</f>
        <v>122.9</v>
      </c>
      <c r="O339" s="11">
        <f t="shared" si="382"/>
        <v>66.5</v>
      </c>
      <c r="P339" s="11">
        <f t="shared" si="382"/>
        <v>284.10000000000002</v>
      </c>
      <c r="Q339" s="11">
        <f t="shared" si="382"/>
        <v>170.6</v>
      </c>
      <c r="R339" s="11">
        <f t="shared" si="382"/>
        <v>541.20000000000005</v>
      </c>
      <c r="S339" s="11">
        <f t="shared" si="382"/>
        <v>487.8</v>
      </c>
      <c r="T339" s="65">
        <f t="shared" si="373"/>
        <v>1673.1</v>
      </c>
      <c r="U339" s="65">
        <f t="shared" si="374"/>
        <v>2183</v>
      </c>
      <c r="V339" s="124">
        <f>V356+V418</f>
        <v>3941.2</v>
      </c>
      <c r="W339" s="124">
        <f>V339-U339</f>
        <v>1758.2</v>
      </c>
      <c r="X339" s="47">
        <f>U332-U339</f>
        <v>0</v>
      </c>
    </row>
    <row r="340" spans="1:24" s="51" customFormat="1" ht="23.35" customHeight="1">
      <c r="A340" s="592"/>
      <c r="B340" s="661"/>
      <c r="C340" s="662"/>
      <c r="D340" s="187" t="str">
        <f>серпень!D263</f>
        <v>тариф, грн.</v>
      </c>
      <c r="E340" s="49" t="e">
        <f>E341/E339*1000</f>
        <v>#DIV/0!</v>
      </c>
      <c r="F340" s="49" t="e">
        <f t="shared" ref="F340:S340" si="384">F341/F339*1000</f>
        <v>#DIV/0!</v>
      </c>
      <c r="G340" s="49">
        <f t="shared" si="384"/>
        <v>24.242999999999999</v>
      </c>
      <c r="H340" s="49">
        <f t="shared" si="384"/>
        <v>24.157</v>
      </c>
      <c r="I340" s="49">
        <f t="shared" si="384"/>
        <v>25.14</v>
      </c>
      <c r="J340" s="49">
        <f t="shared" si="384"/>
        <v>24.341000000000001</v>
      </c>
      <c r="K340" s="49">
        <f t="shared" si="384"/>
        <v>24.399000000000001</v>
      </c>
      <c r="L340" s="49">
        <f t="shared" si="384"/>
        <v>24.419</v>
      </c>
      <c r="M340" s="49">
        <f t="shared" si="384"/>
        <v>24.411999999999999</v>
      </c>
      <c r="N340" s="49">
        <f t="shared" si="384"/>
        <v>24.41</v>
      </c>
      <c r="O340" s="49">
        <f t="shared" si="384"/>
        <v>25.533999999999999</v>
      </c>
      <c r="P340" s="49">
        <f t="shared" si="384"/>
        <v>22.323</v>
      </c>
      <c r="Q340" s="49">
        <f t="shared" si="384"/>
        <v>22.38</v>
      </c>
      <c r="R340" s="49">
        <f t="shared" si="384"/>
        <v>16.358000000000001</v>
      </c>
      <c r="S340" s="49">
        <f t="shared" si="384"/>
        <v>16.641999999999999</v>
      </c>
      <c r="T340" s="49">
        <f>T341/T339*1000</f>
        <v>19.024000000000001</v>
      </c>
      <c r="U340" s="49">
        <f>U341/U339*1000</f>
        <v>20.283999999999999</v>
      </c>
      <c r="V340" s="49">
        <f>V341/V339*1000</f>
        <v>17.082999999999998</v>
      </c>
      <c r="W340" s="14">
        <f>W341/W339*1000</f>
        <v>13.108000000000001</v>
      </c>
      <c r="X340" s="47"/>
    </row>
    <row r="341" spans="1:24" s="74" customFormat="1" ht="17.100000000000001" customHeight="1">
      <c r="A341" s="592"/>
      <c r="B341" s="661"/>
      <c r="C341" s="662"/>
      <c r="D341" s="198" t="str">
        <f>серпень!D264</f>
        <v>касові видатки, тис.грн.</v>
      </c>
      <c r="E341" s="71">
        <f>E358+E420</f>
        <v>0</v>
      </c>
      <c r="F341" s="61">
        <f t="shared" ref="F341:K341" si="385">F358+F420</f>
        <v>0</v>
      </c>
      <c r="G341" s="61">
        <f t="shared" si="385"/>
        <v>1.5369999999999999</v>
      </c>
      <c r="H341" s="61">
        <f t="shared" si="385"/>
        <v>2.5920000000000001</v>
      </c>
      <c r="I341" s="61">
        <f t="shared" si="385"/>
        <v>1.79</v>
      </c>
      <c r="J341" s="61">
        <f t="shared" si="385"/>
        <v>2.899</v>
      </c>
      <c r="K341" s="61">
        <f t="shared" si="385"/>
        <v>3.633</v>
      </c>
      <c r="L341" s="61">
        <f>SUM(F341:K341)</f>
        <v>12.451000000000001</v>
      </c>
      <c r="M341" s="61">
        <f>L341/6</f>
        <v>2.0750000000000002</v>
      </c>
      <c r="N341" s="61">
        <f t="shared" ref="N341:S343" si="386">N358+N420</f>
        <v>3</v>
      </c>
      <c r="O341" s="61">
        <f t="shared" si="386"/>
        <v>1.698</v>
      </c>
      <c r="P341" s="61">
        <f t="shared" si="386"/>
        <v>6.3419999999999996</v>
      </c>
      <c r="Q341" s="61">
        <f t="shared" si="386"/>
        <v>3.8180000000000001</v>
      </c>
      <c r="R341" s="61">
        <f t="shared" si="386"/>
        <v>8.8529999999999998</v>
      </c>
      <c r="S341" s="61">
        <f t="shared" si="386"/>
        <v>8.1180000000000003</v>
      </c>
      <c r="T341" s="61">
        <f>SUM(N341:S341)</f>
        <v>31.829000000000001</v>
      </c>
      <c r="U341" s="61">
        <f>T341+L341</f>
        <v>44.28</v>
      </c>
      <c r="V341" s="61">
        <f>V358+V420</f>
        <v>67.325999999999993</v>
      </c>
      <c r="W341" s="72">
        <f>V341-U341</f>
        <v>23.045999999999999</v>
      </c>
      <c r="X341" s="63">
        <f>U334-U341</f>
        <v>0</v>
      </c>
    </row>
    <row r="342" spans="1:24" s="74" customFormat="1" ht="17.100000000000001" customHeight="1">
      <c r="A342" s="592"/>
      <c r="B342" s="661"/>
      <c r="C342" s="662"/>
      <c r="D342" s="201" t="str">
        <f>серпень!D265</f>
        <v>дотація</v>
      </c>
      <c r="E342" s="71"/>
      <c r="F342" s="61">
        <f t="shared" ref="F342:K343" si="387">F359+F421</f>
        <v>0</v>
      </c>
      <c r="G342" s="61">
        <f t="shared" si="387"/>
        <v>0</v>
      </c>
      <c r="H342" s="61">
        <f t="shared" si="387"/>
        <v>0</v>
      </c>
      <c r="I342" s="61">
        <f t="shared" si="387"/>
        <v>0</v>
      </c>
      <c r="J342" s="61">
        <f t="shared" si="387"/>
        <v>0</v>
      </c>
      <c r="K342" s="61">
        <f t="shared" si="387"/>
        <v>0</v>
      </c>
      <c r="L342" s="61">
        <f>SUM(F342:K342)</f>
        <v>0</v>
      </c>
      <c r="M342" s="61">
        <f>L342/6</f>
        <v>0</v>
      </c>
      <c r="N342" s="61">
        <f t="shared" si="386"/>
        <v>0</v>
      </c>
      <c r="O342" s="61">
        <f t="shared" si="386"/>
        <v>0</v>
      </c>
      <c r="P342" s="61">
        <f t="shared" si="386"/>
        <v>0</v>
      </c>
      <c r="Q342" s="61">
        <f t="shared" si="386"/>
        <v>0</v>
      </c>
      <c r="R342" s="61">
        <f t="shared" si="386"/>
        <v>0</v>
      </c>
      <c r="S342" s="61">
        <f t="shared" si="386"/>
        <v>0</v>
      </c>
      <c r="T342" s="61">
        <f>SUM(N342:S342)</f>
        <v>0</v>
      </c>
      <c r="U342" s="61">
        <f>T342+L342</f>
        <v>0</v>
      </c>
      <c r="V342" s="61">
        <f>V359+V421</f>
        <v>0</v>
      </c>
      <c r="W342" s="72">
        <f>V342-U342</f>
        <v>0</v>
      </c>
      <c r="X342" s="63">
        <f>U337-U342</f>
        <v>0</v>
      </c>
    </row>
    <row r="343" spans="1:24" s="74" customFormat="1" ht="17.100000000000001" customHeight="1">
      <c r="A343" s="592"/>
      <c r="B343" s="661"/>
      <c r="C343" s="662"/>
      <c r="D343" s="201" t="str">
        <f>серпень!D266</f>
        <v xml:space="preserve">місцевий </v>
      </c>
      <c r="E343" s="61"/>
      <c r="F343" s="61">
        <f t="shared" si="387"/>
        <v>0</v>
      </c>
      <c r="G343" s="61">
        <f t="shared" si="387"/>
        <v>1.5369999999999999</v>
      </c>
      <c r="H343" s="61">
        <f t="shared" si="387"/>
        <v>2.5920000000000001</v>
      </c>
      <c r="I343" s="61">
        <f t="shared" si="387"/>
        <v>1.79</v>
      </c>
      <c r="J343" s="61">
        <f t="shared" si="387"/>
        <v>2.899</v>
      </c>
      <c r="K343" s="61">
        <f t="shared" si="387"/>
        <v>3.633</v>
      </c>
      <c r="L343" s="61">
        <f>SUM(F343:K343)</f>
        <v>12.451000000000001</v>
      </c>
      <c r="M343" s="61">
        <f>L343/6</f>
        <v>2.0750000000000002</v>
      </c>
      <c r="N343" s="61">
        <f t="shared" si="386"/>
        <v>3</v>
      </c>
      <c r="O343" s="61">
        <f t="shared" si="386"/>
        <v>1.698</v>
      </c>
      <c r="P343" s="61">
        <f t="shared" si="386"/>
        <v>6.3419999999999996</v>
      </c>
      <c r="Q343" s="61">
        <f t="shared" si="386"/>
        <v>3.8180000000000001</v>
      </c>
      <c r="R343" s="61">
        <f t="shared" si="386"/>
        <v>8.8529999999999998</v>
      </c>
      <c r="S343" s="61">
        <f t="shared" si="386"/>
        <v>8.1180000000000003</v>
      </c>
      <c r="T343" s="61">
        <f>SUM(N343:S343)</f>
        <v>31.829000000000001</v>
      </c>
      <c r="U343" s="61">
        <f>T343+L343</f>
        <v>44.28</v>
      </c>
      <c r="V343" s="61">
        <f>V360+V422</f>
        <v>67.325999999999993</v>
      </c>
      <c r="W343" s="72">
        <f>V343-U343</f>
        <v>23.045999999999999</v>
      </c>
      <c r="X343" s="63">
        <f>U338-U343</f>
        <v>23.045999999999999</v>
      </c>
    </row>
    <row r="344" spans="1:24" s="43" customFormat="1" ht="18.350000000000001" customHeight="1">
      <c r="A344" s="592"/>
      <c r="B344" s="661"/>
      <c r="C344" s="662"/>
      <c r="D344" s="202" t="str">
        <f>серпень!D267</f>
        <v>план</v>
      </c>
      <c r="E344" s="42"/>
      <c r="F344" s="42">
        <f t="shared" ref="F344:K344" si="388">F338</f>
        <v>0</v>
      </c>
      <c r="G344" s="42">
        <f t="shared" si="388"/>
        <v>1.538</v>
      </c>
      <c r="H344" s="42">
        <f t="shared" si="388"/>
        <v>3.5859999999999999</v>
      </c>
      <c r="I344" s="42">
        <f t="shared" si="388"/>
        <v>0.79600000000000004</v>
      </c>
      <c r="J344" s="42">
        <f t="shared" si="388"/>
        <v>3.3969999999999998</v>
      </c>
      <c r="K344" s="42">
        <f t="shared" si="388"/>
        <v>3.1339999999999999</v>
      </c>
      <c r="L344" s="42">
        <f>SUM(F344:K344)</f>
        <v>12.451000000000001</v>
      </c>
      <c r="M344" s="42">
        <f>L344/6</f>
        <v>2.0750000000000002</v>
      </c>
      <c r="N344" s="42">
        <f t="shared" ref="N344:S344" si="389">N338+N337</f>
        <v>3.0760000000000001</v>
      </c>
      <c r="O344" s="42">
        <f t="shared" si="389"/>
        <v>1.6679999999999999</v>
      </c>
      <c r="P344" s="42">
        <f t="shared" si="389"/>
        <v>8.7720000000000002</v>
      </c>
      <c r="Q344" s="42">
        <f t="shared" si="389"/>
        <v>18.297000000000001</v>
      </c>
      <c r="R344" s="42">
        <f t="shared" si="389"/>
        <v>13.52</v>
      </c>
      <c r="S344" s="42">
        <f t="shared" si="389"/>
        <v>9.5419999999999998</v>
      </c>
      <c r="T344" s="42">
        <f>SUM(N344:S344)</f>
        <v>54.875</v>
      </c>
      <c r="U344" s="42">
        <f>T344+L344</f>
        <v>67.325999999999993</v>
      </c>
      <c r="V344" s="42">
        <f>V338+V337</f>
        <v>67.325999999999993</v>
      </c>
      <c r="W344" s="42">
        <f>V344-U344</f>
        <v>0</v>
      </c>
    </row>
    <row r="345" spans="1:24" s="43" customFormat="1" ht="18.350000000000001" customHeight="1">
      <c r="A345" s="592"/>
      <c r="B345" s="661"/>
      <c r="C345" s="662"/>
      <c r="D345" s="202" t="str">
        <f>серпень!D268</f>
        <v xml:space="preserve">відхилення </v>
      </c>
      <c r="E345" s="42"/>
      <c r="F345" s="42">
        <f t="shared" ref="F345:K345" si="390">F341-F344</f>
        <v>0</v>
      </c>
      <c r="G345" s="42">
        <f t="shared" si="390"/>
        <v>-1E-3</v>
      </c>
      <c r="H345" s="42">
        <f t="shared" si="390"/>
        <v>-0.99399999999999999</v>
      </c>
      <c r="I345" s="42">
        <f t="shared" si="390"/>
        <v>0.99399999999999999</v>
      </c>
      <c r="J345" s="42">
        <f t="shared" si="390"/>
        <v>-0.498</v>
      </c>
      <c r="K345" s="42">
        <f t="shared" si="390"/>
        <v>0.499</v>
      </c>
      <c r="L345" s="42"/>
      <c r="M345" s="42"/>
      <c r="N345" s="42">
        <f t="shared" ref="N345:S345" si="391">N341-N344</f>
        <v>-7.5999999999999998E-2</v>
      </c>
      <c r="O345" s="42">
        <f t="shared" si="391"/>
        <v>0.03</v>
      </c>
      <c r="P345" s="42">
        <f t="shared" si="391"/>
        <v>-2.4300000000000002</v>
      </c>
      <c r="Q345" s="42">
        <f t="shared" si="391"/>
        <v>-14.478999999999999</v>
      </c>
      <c r="R345" s="42">
        <f t="shared" si="391"/>
        <v>-4.6669999999999998</v>
      </c>
      <c r="S345" s="42">
        <f t="shared" si="391"/>
        <v>-1.4239999999999999</v>
      </c>
      <c r="T345" s="42"/>
      <c r="U345" s="42"/>
      <c r="V345" s="42"/>
      <c r="W345" s="42"/>
    </row>
    <row r="346" spans="1:24" s="43" customFormat="1" ht="18.350000000000001" customHeight="1">
      <c r="A346" s="593"/>
      <c r="B346" s="663"/>
      <c r="C346" s="664"/>
      <c r="D346" s="202" t="str">
        <f>серпень!D269</f>
        <v>відхилення з наростаючим</v>
      </c>
      <c r="E346" s="42"/>
      <c r="F346" s="42">
        <f>F345</f>
        <v>0</v>
      </c>
      <c r="G346" s="42">
        <f>G345+F346</f>
        <v>-1E-3</v>
      </c>
      <c r="H346" s="42">
        <f>H345+G346</f>
        <v>-0.995</v>
      </c>
      <c r="I346" s="42">
        <f>I345+H346</f>
        <v>-1E-3</v>
      </c>
      <c r="J346" s="42">
        <f>J345+I346</f>
        <v>-0.499</v>
      </c>
      <c r="K346" s="42">
        <f>K345+J346</f>
        <v>0</v>
      </c>
      <c r="L346" s="42"/>
      <c r="M346" s="42"/>
      <c r="N346" s="42">
        <f>N345+K346</f>
        <v>-7.5999999999999998E-2</v>
      </c>
      <c r="O346" s="42">
        <f>O345+N346</f>
        <v>-4.5999999999999999E-2</v>
      </c>
      <c r="P346" s="42">
        <f>P345+O346</f>
        <v>-2.476</v>
      </c>
      <c r="Q346" s="42">
        <f>Q345+P346</f>
        <v>-16.954999999999998</v>
      </c>
      <c r="R346" s="42">
        <f>R345+Q346</f>
        <v>-21.622</v>
      </c>
      <c r="S346" s="42">
        <f>S345+R346</f>
        <v>-23.045999999999999</v>
      </c>
      <c r="T346" s="42"/>
      <c r="U346" s="42"/>
      <c r="V346" s="42"/>
      <c r="W346" s="42"/>
    </row>
    <row r="347" spans="1:24" s="186" customFormat="1" ht="18" customHeight="1">
      <c r="A347" s="595" t="s">
        <v>35</v>
      </c>
      <c r="B347" s="665" t="s">
        <v>36</v>
      </c>
      <c r="C347" s="665"/>
      <c r="D347" s="178" t="str">
        <f>серпень!D270</f>
        <v>факт. нат.п-ки 2023</v>
      </c>
      <c r="E347" s="179"/>
      <c r="F347" s="180">
        <f t="shared" ref="F347:K349" si="392">F364+F379+F394</f>
        <v>76</v>
      </c>
      <c r="G347" s="180">
        <f t="shared" si="392"/>
        <v>70</v>
      </c>
      <c r="H347" s="180">
        <f t="shared" si="392"/>
        <v>84</v>
      </c>
      <c r="I347" s="180">
        <f t="shared" si="392"/>
        <v>78</v>
      </c>
      <c r="J347" s="180">
        <f t="shared" si="392"/>
        <v>92</v>
      </c>
      <c r="K347" s="180">
        <f t="shared" si="392"/>
        <v>0</v>
      </c>
      <c r="L347" s="215">
        <f>SUM(F347:K347)</f>
        <v>400</v>
      </c>
      <c r="M347" s="215">
        <f>L347/6</f>
        <v>66.7</v>
      </c>
      <c r="N347" s="180">
        <f t="shared" ref="N347:S349" si="393">N364+N379+N394</f>
        <v>0</v>
      </c>
      <c r="O347" s="180">
        <f t="shared" si="393"/>
        <v>72</v>
      </c>
      <c r="P347" s="180">
        <f t="shared" si="393"/>
        <v>96</v>
      </c>
      <c r="Q347" s="180">
        <f t="shared" si="393"/>
        <v>120.8</v>
      </c>
      <c r="R347" s="180">
        <f t="shared" si="393"/>
        <v>86.5</v>
      </c>
      <c r="S347" s="180">
        <f t="shared" si="393"/>
        <v>100</v>
      </c>
      <c r="T347" s="215">
        <f>SUM(N347:S347)</f>
        <v>475.3</v>
      </c>
      <c r="U347" s="215">
        <f>T347+L347</f>
        <v>875.3</v>
      </c>
      <c r="V347" s="233">
        <f>V364+V394</f>
        <v>875.3</v>
      </c>
      <c r="W347" s="184"/>
      <c r="X347" s="185"/>
    </row>
    <row r="348" spans="1:24" s="186" customFormat="1" ht="18" customHeight="1">
      <c r="A348" s="595"/>
      <c r="B348" s="665"/>
      <c r="C348" s="665"/>
      <c r="D348" s="178" t="str">
        <f>серпень!D271</f>
        <v>факт. нат.п-ки 2024</v>
      </c>
      <c r="E348" s="179"/>
      <c r="F348" s="180">
        <f t="shared" si="392"/>
        <v>198.4</v>
      </c>
      <c r="G348" s="180">
        <f t="shared" si="392"/>
        <v>68</v>
      </c>
      <c r="H348" s="180">
        <f t="shared" si="392"/>
        <v>74.099999999999994</v>
      </c>
      <c r="I348" s="180">
        <f t="shared" si="392"/>
        <v>43.7</v>
      </c>
      <c r="J348" s="180">
        <f t="shared" si="392"/>
        <v>63.8</v>
      </c>
      <c r="K348" s="180">
        <f t="shared" si="392"/>
        <v>90.8</v>
      </c>
      <c r="L348" s="215">
        <f>SUM(F348:K348)</f>
        <v>538.79999999999995</v>
      </c>
      <c r="M348" s="215">
        <f>L348/6</f>
        <v>89.8</v>
      </c>
      <c r="N348" s="180">
        <f t="shared" si="393"/>
        <v>53.9</v>
      </c>
      <c r="O348" s="180">
        <f t="shared" si="393"/>
        <v>84</v>
      </c>
      <c r="P348" s="180">
        <f t="shared" si="393"/>
        <v>57.9</v>
      </c>
      <c r="Q348" s="180">
        <f t="shared" si="393"/>
        <v>75.5</v>
      </c>
      <c r="R348" s="180">
        <f t="shared" si="393"/>
        <v>98.2</v>
      </c>
      <c r="S348" s="180">
        <f t="shared" si="393"/>
        <v>100</v>
      </c>
      <c r="T348" s="215">
        <f>SUM(N348:S348)</f>
        <v>469.5</v>
      </c>
      <c r="U348" s="215">
        <f>T348+L348</f>
        <v>1008.3</v>
      </c>
      <c r="V348" s="233">
        <f>V365+V395</f>
        <v>1008.3</v>
      </c>
      <c r="W348" s="184"/>
      <c r="X348" s="185"/>
    </row>
    <row r="349" spans="1:24" s="186" customFormat="1" ht="18" customHeight="1">
      <c r="A349" s="595"/>
      <c r="B349" s="665"/>
      <c r="C349" s="665"/>
      <c r="D349" s="178" t="str">
        <f>серпень!D272</f>
        <v>факт. нат.п-ки 2025</v>
      </c>
      <c r="E349" s="179"/>
      <c r="F349" s="180">
        <f>F366+F381+F396</f>
        <v>53.4</v>
      </c>
      <c r="G349" s="180">
        <f t="shared" si="392"/>
        <v>89.3</v>
      </c>
      <c r="H349" s="180">
        <f t="shared" si="392"/>
        <v>65.2</v>
      </c>
      <c r="I349" s="180">
        <f t="shared" si="392"/>
        <v>101.1</v>
      </c>
      <c r="J349" s="180">
        <f t="shared" si="392"/>
        <v>126.9</v>
      </c>
      <c r="K349" s="180">
        <f t="shared" si="392"/>
        <v>104.9</v>
      </c>
      <c r="L349" s="234">
        <f>SUM(F349:K349)</f>
        <v>540.79999999999995</v>
      </c>
      <c r="M349" s="215">
        <f>L349/6</f>
        <v>90.1</v>
      </c>
      <c r="N349" s="180">
        <f t="shared" si="393"/>
        <v>63.1</v>
      </c>
      <c r="O349" s="180">
        <f t="shared" si="393"/>
        <v>97.2</v>
      </c>
      <c r="P349" s="180">
        <f t="shared" si="393"/>
        <v>96</v>
      </c>
      <c r="Q349" s="180">
        <f t="shared" si="393"/>
        <v>116.8</v>
      </c>
      <c r="R349" s="180">
        <f t="shared" si="393"/>
        <v>98.2</v>
      </c>
      <c r="S349" s="180">
        <f t="shared" si="393"/>
        <v>100</v>
      </c>
      <c r="T349" s="215">
        <f>SUM(N349:S349)</f>
        <v>571.29999999999995</v>
      </c>
      <c r="U349" s="215">
        <f>T349+L349</f>
        <v>1112.0999999999999</v>
      </c>
      <c r="V349" s="233">
        <f>V366+V381+V396</f>
        <v>1205.8</v>
      </c>
      <c r="W349" s="184">
        <f>V349-U349</f>
        <v>93.7</v>
      </c>
      <c r="X349" s="185"/>
    </row>
    <row r="350" spans="1:24" s="190" customFormat="1" ht="18" customHeight="1">
      <c r="A350" s="595"/>
      <c r="B350" s="665"/>
      <c r="C350" s="665"/>
      <c r="D350" s="187" t="str">
        <f>серпень!D273</f>
        <v>тариф, грн.</v>
      </c>
      <c r="E350" s="188"/>
      <c r="F350" s="188">
        <f t="shared" ref="F350:S350" si="394">F351/F349*1000</f>
        <v>26.123999999999999</v>
      </c>
      <c r="G350" s="188">
        <f t="shared" si="394"/>
        <v>26.17</v>
      </c>
      <c r="H350" s="188">
        <f t="shared" si="394"/>
        <v>26.15</v>
      </c>
      <c r="I350" s="188">
        <f t="shared" si="394"/>
        <v>26.141999999999999</v>
      </c>
      <c r="J350" s="188">
        <f t="shared" si="394"/>
        <v>26.17</v>
      </c>
      <c r="K350" s="188">
        <f t="shared" si="394"/>
        <v>26.167999999999999</v>
      </c>
      <c r="L350" s="188">
        <f t="shared" si="394"/>
        <v>26.158000000000001</v>
      </c>
      <c r="M350" s="188">
        <f t="shared" si="394"/>
        <v>26.170999999999999</v>
      </c>
      <c r="N350" s="188">
        <f t="shared" si="394"/>
        <v>26.149000000000001</v>
      </c>
      <c r="O350" s="188">
        <f t="shared" si="394"/>
        <v>26.152000000000001</v>
      </c>
      <c r="P350" s="188">
        <f t="shared" si="394"/>
        <v>26.155999999999999</v>
      </c>
      <c r="Q350" s="188">
        <f t="shared" si="394"/>
        <v>26.155999999999999</v>
      </c>
      <c r="R350" s="188">
        <f t="shared" si="394"/>
        <v>26.161000000000001</v>
      </c>
      <c r="S350" s="188">
        <f t="shared" si="394"/>
        <v>26.17</v>
      </c>
      <c r="T350" s="188">
        <f>T351/T349*1000</f>
        <v>26.158000000000001</v>
      </c>
      <c r="U350" s="188">
        <f>U351/U349*1000</f>
        <v>26.158000000000001</v>
      </c>
      <c r="V350" s="188">
        <f>V351/V349*1000</f>
        <v>23.658000000000001</v>
      </c>
      <c r="W350" s="189">
        <f>W351/W349*1000</f>
        <v>-6.0090000000000003</v>
      </c>
      <c r="X350" s="225"/>
    </row>
    <row r="351" spans="1:24" s="172" customFormat="1" ht="18" customHeight="1">
      <c r="A351" s="671"/>
      <c r="B351" s="665"/>
      <c r="C351" s="665"/>
      <c r="D351" s="191" t="str">
        <f>серпень!D274</f>
        <v>сума, тис.грн.</v>
      </c>
      <c r="E351" s="192"/>
      <c r="F351" s="192">
        <f t="shared" ref="F351:K351" si="395">F368+F383+F398</f>
        <v>1.395</v>
      </c>
      <c r="G351" s="192">
        <f t="shared" si="395"/>
        <v>2.3370000000000002</v>
      </c>
      <c r="H351" s="192">
        <f t="shared" si="395"/>
        <v>1.7050000000000001</v>
      </c>
      <c r="I351" s="192">
        <f t="shared" si="395"/>
        <v>2.6429999999999998</v>
      </c>
      <c r="J351" s="192">
        <f t="shared" si="395"/>
        <v>3.3210000000000002</v>
      </c>
      <c r="K351" s="192">
        <f t="shared" si="395"/>
        <v>2.7450000000000001</v>
      </c>
      <c r="L351" s="194">
        <f t="shared" ref="L351:L356" si="396">SUM(F351:K351)</f>
        <v>14.146000000000001</v>
      </c>
      <c r="M351" s="194">
        <f t="shared" ref="M351:M356" si="397">L351/6</f>
        <v>2.3580000000000001</v>
      </c>
      <c r="N351" s="192">
        <f t="shared" ref="N351:S351" si="398">N368+N383+N398</f>
        <v>1.65</v>
      </c>
      <c r="O351" s="192">
        <f t="shared" si="398"/>
        <v>2.5419999999999998</v>
      </c>
      <c r="P351" s="192">
        <f t="shared" si="398"/>
        <v>2.5110000000000001</v>
      </c>
      <c r="Q351" s="192">
        <f t="shared" si="398"/>
        <v>3.0550000000000002</v>
      </c>
      <c r="R351" s="192">
        <f t="shared" si="398"/>
        <v>2.569</v>
      </c>
      <c r="S351" s="192">
        <f t="shared" si="398"/>
        <v>2.617</v>
      </c>
      <c r="T351" s="194">
        <f t="shared" ref="T351:T356" si="399">SUM(N351:S351)</f>
        <v>14.944000000000001</v>
      </c>
      <c r="U351" s="194">
        <f t="shared" ref="U351:U356" si="400">T351+L351</f>
        <v>29.09</v>
      </c>
      <c r="V351" s="192">
        <f t="shared" ref="V351" si="401">V368+V383+V398</f>
        <v>28.527000000000001</v>
      </c>
      <c r="W351" s="192">
        <f>V351-U351</f>
        <v>-0.56299999999999994</v>
      </c>
    </row>
    <row r="352" spans="1:24" s="172" customFormat="1" ht="18" customHeight="1">
      <c r="A352" s="671"/>
      <c r="B352" s="665"/>
      <c r="C352" s="665"/>
      <c r="D352" s="174" t="str">
        <f>серпень!D275</f>
        <v>абоненська плата, тис.грн.</v>
      </c>
      <c r="E352" s="192"/>
      <c r="F352" s="192">
        <f>F383</f>
        <v>0</v>
      </c>
      <c r="G352" s="192">
        <f t="shared" ref="G352:K352" si="402">G383</f>
        <v>0</v>
      </c>
      <c r="H352" s="192">
        <f t="shared" si="402"/>
        <v>0</v>
      </c>
      <c r="I352" s="192">
        <f t="shared" si="402"/>
        <v>0</v>
      </c>
      <c r="J352" s="192">
        <f t="shared" si="402"/>
        <v>0</v>
      </c>
      <c r="K352" s="192">
        <f t="shared" si="402"/>
        <v>0</v>
      </c>
      <c r="L352" s="194">
        <f t="shared" si="396"/>
        <v>0</v>
      </c>
      <c r="M352" s="194">
        <f t="shared" si="397"/>
        <v>0</v>
      </c>
      <c r="N352" s="192">
        <f>N383</f>
        <v>0</v>
      </c>
      <c r="O352" s="192">
        <f t="shared" ref="O352:S352" si="403">O383</f>
        <v>0</v>
      </c>
      <c r="P352" s="192">
        <f t="shared" si="403"/>
        <v>0</v>
      </c>
      <c r="Q352" s="192">
        <f t="shared" si="403"/>
        <v>0</v>
      </c>
      <c r="R352" s="192">
        <f t="shared" si="403"/>
        <v>0</v>
      </c>
      <c r="S352" s="192">
        <f t="shared" si="403"/>
        <v>0</v>
      </c>
      <c r="T352" s="194">
        <f t="shared" si="399"/>
        <v>0</v>
      </c>
      <c r="U352" s="194">
        <f t="shared" si="400"/>
        <v>0</v>
      </c>
      <c r="V352" s="192">
        <f t="shared" ref="V352" si="404">V383</f>
        <v>0</v>
      </c>
      <c r="W352" s="192">
        <f t="shared" ref="W352:W353" si="405">V352-U352</f>
        <v>0</v>
      </c>
    </row>
    <row r="353" spans="1:28" s="172" customFormat="1" ht="18" customHeight="1">
      <c r="A353" s="671"/>
      <c r="B353" s="665"/>
      <c r="C353" s="665"/>
      <c r="D353" s="174" t="str">
        <f>серпень!D276</f>
        <v>разом сума тис. грн+абонплата</v>
      </c>
      <c r="E353" s="192"/>
      <c r="F353" s="192">
        <f>F351+F352</f>
        <v>1.395</v>
      </c>
      <c r="G353" s="192">
        <f t="shared" ref="G353:K353" si="406">G351+G352</f>
        <v>2.3370000000000002</v>
      </c>
      <c r="H353" s="192">
        <f t="shared" si="406"/>
        <v>1.7050000000000001</v>
      </c>
      <c r="I353" s="192">
        <f t="shared" si="406"/>
        <v>2.6429999999999998</v>
      </c>
      <c r="J353" s="192">
        <f t="shared" si="406"/>
        <v>3.3210000000000002</v>
      </c>
      <c r="K353" s="192">
        <f t="shared" si="406"/>
        <v>2.7450000000000001</v>
      </c>
      <c r="L353" s="194">
        <f t="shared" si="396"/>
        <v>14.146000000000001</v>
      </c>
      <c r="M353" s="194">
        <f t="shared" si="397"/>
        <v>2.3580000000000001</v>
      </c>
      <c r="N353" s="192">
        <f>N351+N352</f>
        <v>1.65</v>
      </c>
      <c r="O353" s="192">
        <f t="shared" ref="O353:S353" si="407">O351+O352</f>
        <v>2.5419999999999998</v>
      </c>
      <c r="P353" s="192">
        <f t="shared" si="407"/>
        <v>2.5110000000000001</v>
      </c>
      <c r="Q353" s="192">
        <f t="shared" si="407"/>
        <v>3.0550000000000002</v>
      </c>
      <c r="R353" s="192">
        <f t="shared" si="407"/>
        <v>2.569</v>
      </c>
      <c r="S353" s="192">
        <f t="shared" si="407"/>
        <v>2.617</v>
      </c>
      <c r="T353" s="194">
        <f t="shared" si="399"/>
        <v>14.944000000000001</v>
      </c>
      <c r="U353" s="194">
        <f t="shared" si="400"/>
        <v>29.09</v>
      </c>
      <c r="V353" s="192">
        <f t="shared" ref="V353" si="408">V351+V352</f>
        <v>28.527000000000001</v>
      </c>
      <c r="W353" s="192">
        <f t="shared" si="405"/>
        <v>-0.56299999999999994</v>
      </c>
    </row>
    <row r="354" spans="1:28" s="172" customFormat="1" ht="18" customHeight="1">
      <c r="A354" s="671"/>
      <c r="B354" s="665"/>
      <c r="C354" s="665"/>
      <c r="D354" s="174" t="str">
        <f>серпень!D277</f>
        <v>дотація</v>
      </c>
      <c r="E354" s="192"/>
      <c r="F354" s="192">
        <f t="shared" ref="F354:K356" si="409">F369+F384+F399</f>
        <v>0</v>
      </c>
      <c r="G354" s="192">
        <f t="shared" si="409"/>
        <v>0</v>
      </c>
      <c r="H354" s="192">
        <f t="shared" si="409"/>
        <v>0</v>
      </c>
      <c r="I354" s="192">
        <f t="shared" si="409"/>
        <v>0</v>
      </c>
      <c r="J354" s="192">
        <f t="shared" si="409"/>
        <v>0</v>
      </c>
      <c r="K354" s="192">
        <f t="shared" si="409"/>
        <v>0</v>
      </c>
      <c r="L354" s="194">
        <f t="shared" si="396"/>
        <v>0</v>
      </c>
      <c r="M354" s="194">
        <f t="shared" si="397"/>
        <v>0</v>
      </c>
      <c r="N354" s="192">
        <f t="shared" ref="N354:S356" si="410">N369+N384+N399</f>
        <v>0</v>
      </c>
      <c r="O354" s="192">
        <f t="shared" si="410"/>
        <v>0</v>
      </c>
      <c r="P354" s="192">
        <f t="shared" si="410"/>
        <v>0</v>
      </c>
      <c r="Q354" s="192">
        <f t="shared" si="410"/>
        <v>0</v>
      </c>
      <c r="R354" s="192">
        <f t="shared" si="410"/>
        <v>0</v>
      </c>
      <c r="S354" s="192">
        <f t="shared" si="410"/>
        <v>0</v>
      </c>
      <c r="T354" s="194">
        <f t="shared" si="399"/>
        <v>0</v>
      </c>
      <c r="U354" s="194">
        <f t="shared" si="400"/>
        <v>0</v>
      </c>
      <c r="V354" s="192">
        <f t="shared" ref="V354:V355" si="411">V369+V384+V399</f>
        <v>0</v>
      </c>
      <c r="W354" s="192">
        <f>V354-U354</f>
        <v>0</v>
      </c>
    </row>
    <row r="355" spans="1:28" s="172" customFormat="1" ht="18" customHeight="1">
      <c r="A355" s="671"/>
      <c r="B355" s="665"/>
      <c r="C355" s="665"/>
      <c r="D355" s="174" t="str">
        <f>серпень!D278</f>
        <v>місцевий (план), тис.грн</v>
      </c>
      <c r="E355" s="192"/>
      <c r="F355" s="192">
        <f t="shared" si="409"/>
        <v>0</v>
      </c>
      <c r="G355" s="192">
        <f t="shared" si="409"/>
        <v>0</v>
      </c>
      <c r="H355" s="192">
        <f t="shared" si="409"/>
        <v>2.1040000000000001</v>
      </c>
      <c r="I355" s="192">
        <f t="shared" si="409"/>
        <v>0.79600000000000004</v>
      </c>
      <c r="J355" s="192">
        <f t="shared" si="409"/>
        <v>2.8820000000000001</v>
      </c>
      <c r="K355" s="192">
        <f t="shared" si="409"/>
        <v>2.3809999999999998</v>
      </c>
      <c r="L355" s="194">
        <f t="shared" si="396"/>
        <v>8.1630000000000003</v>
      </c>
      <c r="M355" s="194">
        <f t="shared" si="397"/>
        <v>1.361</v>
      </c>
      <c r="N355" s="192">
        <f t="shared" si="410"/>
        <v>0.34300000000000003</v>
      </c>
      <c r="O355" s="192">
        <f t="shared" si="410"/>
        <v>0.70299999999999996</v>
      </c>
      <c r="P355" s="192">
        <f t="shared" si="410"/>
        <v>2.2709999999999999</v>
      </c>
      <c r="Q355" s="192">
        <f t="shared" si="410"/>
        <v>7.806</v>
      </c>
      <c r="R355" s="192">
        <f t="shared" si="410"/>
        <v>6.8739999999999997</v>
      </c>
      <c r="S355" s="192">
        <f t="shared" si="410"/>
        <v>2.367</v>
      </c>
      <c r="T355" s="194">
        <f t="shared" si="399"/>
        <v>20.364000000000001</v>
      </c>
      <c r="U355" s="194">
        <f t="shared" si="400"/>
        <v>28.527000000000001</v>
      </c>
      <c r="V355" s="192">
        <f t="shared" si="411"/>
        <v>28.527000000000001</v>
      </c>
      <c r="W355" s="192">
        <f>V355-U355</f>
        <v>0</v>
      </c>
    </row>
    <row r="356" spans="1:28" s="186" customFormat="1" ht="18" customHeight="1">
      <c r="A356" s="595"/>
      <c r="B356" s="665"/>
      <c r="C356" s="665"/>
      <c r="D356" s="178" t="str">
        <f>серпень!D279</f>
        <v>касові нат.п-ки 2025</v>
      </c>
      <c r="E356" s="317">
        <f>E371</f>
        <v>0</v>
      </c>
      <c r="F356" s="179">
        <f>F371+F386+F401</f>
        <v>0</v>
      </c>
      <c r="G356" s="179">
        <f t="shared" si="409"/>
        <v>53.4</v>
      </c>
      <c r="H356" s="179">
        <f t="shared" si="409"/>
        <v>89.3</v>
      </c>
      <c r="I356" s="179">
        <f t="shared" si="409"/>
        <v>65.2</v>
      </c>
      <c r="J356" s="179">
        <f t="shared" si="409"/>
        <v>101.1</v>
      </c>
      <c r="K356" s="179">
        <f t="shared" si="409"/>
        <v>126.9</v>
      </c>
      <c r="L356" s="215">
        <f t="shared" si="396"/>
        <v>435.9</v>
      </c>
      <c r="M356" s="215">
        <f t="shared" si="397"/>
        <v>72.7</v>
      </c>
      <c r="N356" s="179">
        <f t="shared" si="410"/>
        <v>104.9</v>
      </c>
      <c r="O356" s="179">
        <f t="shared" si="410"/>
        <v>63.1</v>
      </c>
      <c r="P356" s="179">
        <f t="shared" si="410"/>
        <v>193.2</v>
      </c>
      <c r="Q356" s="179">
        <f t="shared" si="410"/>
        <v>116.8</v>
      </c>
      <c r="R356" s="179">
        <f t="shared" si="410"/>
        <v>98.2</v>
      </c>
      <c r="S356" s="179">
        <f t="shared" si="410"/>
        <v>100</v>
      </c>
      <c r="T356" s="215">
        <f t="shared" si="399"/>
        <v>676.2</v>
      </c>
      <c r="U356" s="215">
        <f t="shared" si="400"/>
        <v>1112.0999999999999</v>
      </c>
      <c r="V356" s="179">
        <f>V371+V401</f>
        <v>1205.8</v>
      </c>
      <c r="W356" s="184">
        <f>V356-U356</f>
        <v>93.7</v>
      </c>
      <c r="X356" s="185">
        <f>U349-U356</f>
        <v>0</v>
      </c>
    </row>
    <row r="357" spans="1:28" s="190" customFormat="1" ht="18" customHeight="1">
      <c r="A357" s="595"/>
      <c r="B357" s="665"/>
      <c r="C357" s="665"/>
      <c r="D357" s="187" t="str">
        <f>серпень!D280</f>
        <v>тариф, грн.</v>
      </c>
      <c r="E357" s="188" t="e">
        <f t="shared" ref="E357:S357" si="412">E358/E356*1000</f>
        <v>#DIV/0!</v>
      </c>
      <c r="F357" s="188" t="e">
        <f t="shared" si="412"/>
        <v>#DIV/0!</v>
      </c>
      <c r="G357" s="188">
        <f t="shared" si="412"/>
        <v>26.123999999999999</v>
      </c>
      <c r="H357" s="188">
        <f t="shared" si="412"/>
        <v>26.17</v>
      </c>
      <c r="I357" s="188">
        <f t="shared" si="412"/>
        <v>26.15</v>
      </c>
      <c r="J357" s="188">
        <f t="shared" si="412"/>
        <v>26.141999999999999</v>
      </c>
      <c r="K357" s="188">
        <f t="shared" si="412"/>
        <v>26.17</v>
      </c>
      <c r="L357" s="188">
        <f t="shared" si="412"/>
        <v>26.155000000000001</v>
      </c>
      <c r="M357" s="188">
        <f t="shared" si="412"/>
        <v>26.135000000000002</v>
      </c>
      <c r="N357" s="188">
        <f t="shared" si="412"/>
        <v>26.167999999999999</v>
      </c>
      <c r="O357" s="188">
        <f t="shared" si="412"/>
        <v>26.149000000000001</v>
      </c>
      <c r="P357" s="188">
        <f t="shared" si="412"/>
        <v>26.154</v>
      </c>
      <c r="Q357" s="188">
        <f t="shared" si="412"/>
        <v>26.155999999999999</v>
      </c>
      <c r="R357" s="188">
        <f t="shared" si="412"/>
        <v>26.161000000000001</v>
      </c>
      <c r="S357" s="188">
        <f t="shared" si="412"/>
        <v>26.17</v>
      </c>
      <c r="T357" s="188">
        <f>T358/T356*1000</f>
        <v>26.158999999999999</v>
      </c>
      <c r="U357" s="188">
        <f>U358/U356*1000</f>
        <v>26.158000000000001</v>
      </c>
      <c r="V357" s="188">
        <f>V358/V356*1000</f>
        <v>23.658000000000001</v>
      </c>
      <c r="W357" s="189">
        <f>W358/W356*1000</f>
        <v>-6.0090000000000003</v>
      </c>
      <c r="X357" s="225"/>
    </row>
    <row r="358" spans="1:28" s="213" customFormat="1" ht="18" customHeight="1">
      <c r="A358" s="595"/>
      <c r="B358" s="665"/>
      <c r="C358" s="665"/>
      <c r="D358" s="198" t="str">
        <f>серпень!D281</f>
        <v>касові видатки, тис.грн.</v>
      </c>
      <c r="E358" s="220">
        <f>E373+E403</f>
        <v>0</v>
      </c>
      <c r="F358" s="199">
        <f t="shared" ref="F358:K360" si="413">F373+F388+F403</f>
        <v>0</v>
      </c>
      <c r="G358" s="199">
        <f t="shared" si="413"/>
        <v>1.395</v>
      </c>
      <c r="H358" s="199">
        <f t="shared" si="413"/>
        <v>2.3370000000000002</v>
      </c>
      <c r="I358" s="199">
        <f t="shared" si="413"/>
        <v>1.7050000000000001</v>
      </c>
      <c r="J358" s="199">
        <f t="shared" si="413"/>
        <v>2.6429999999999998</v>
      </c>
      <c r="K358" s="199">
        <f t="shared" si="413"/>
        <v>3.3210000000000002</v>
      </c>
      <c r="L358" s="199">
        <f>SUM(F358:K358)</f>
        <v>11.401</v>
      </c>
      <c r="M358" s="199">
        <f>L358/6</f>
        <v>1.9</v>
      </c>
      <c r="N358" s="199">
        <f t="shared" ref="N358:S360" si="414">N373+N388+N403</f>
        <v>2.7450000000000001</v>
      </c>
      <c r="O358" s="199">
        <f t="shared" si="414"/>
        <v>1.65</v>
      </c>
      <c r="P358" s="199">
        <f t="shared" si="414"/>
        <v>5.0529999999999999</v>
      </c>
      <c r="Q358" s="199">
        <f t="shared" si="414"/>
        <v>3.0550000000000002</v>
      </c>
      <c r="R358" s="199">
        <f t="shared" si="414"/>
        <v>2.569</v>
      </c>
      <c r="S358" s="199">
        <f t="shared" si="414"/>
        <v>2.617</v>
      </c>
      <c r="T358" s="199">
        <f>SUM(N358:S358)</f>
        <v>17.689</v>
      </c>
      <c r="U358" s="199">
        <f>T358+L358</f>
        <v>29.09</v>
      </c>
      <c r="V358" s="199">
        <f>V373+V403</f>
        <v>28.527000000000001</v>
      </c>
      <c r="W358" s="221">
        <f>V358-U358</f>
        <v>-0.56299999999999994</v>
      </c>
      <c r="X358" s="176">
        <f>U351-U358</f>
        <v>0</v>
      </c>
    </row>
    <row r="359" spans="1:28" s="213" customFormat="1" ht="18" customHeight="1">
      <c r="A359" s="595"/>
      <c r="B359" s="665"/>
      <c r="C359" s="665"/>
      <c r="D359" s="201" t="str">
        <f>серпень!D282</f>
        <v>дотація</v>
      </c>
      <c r="E359" s="220"/>
      <c r="F359" s="199">
        <f t="shared" si="413"/>
        <v>0</v>
      </c>
      <c r="G359" s="199">
        <f t="shared" si="413"/>
        <v>0</v>
      </c>
      <c r="H359" s="199">
        <f t="shared" si="413"/>
        <v>0</v>
      </c>
      <c r="I359" s="199">
        <f t="shared" si="413"/>
        <v>0</v>
      </c>
      <c r="J359" s="199">
        <f t="shared" si="413"/>
        <v>0</v>
      </c>
      <c r="K359" s="199">
        <f t="shared" si="413"/>
        <v>0</v>
      </c>
      <c r="L359" s="199">
        <f>SUM(F359:K359)</f>
        <v>0</v>
      </c>
      <c r="M359" s="199">
        <f>L359/6</f>
        <v>0</v>
      </c>
      <c r="N359" s="199">
        <f t="shared" si="414"/>
        <v>0</v>
      </c>
      <c r="O359" s="199">
        <f t="shared" si="414"/>
        <v>0</v>
      </c>
      <c r="P359" s="199">
        <f t="shared" si="414"/>
        <v>0</v>
      </c>
      <c r="Q359" s="199">
        <f t="shared" si="414"/>
        <v>0</v>
      </c>
      <c r="R359" s="199">
        <f t="shared" si="414"/>
        <v>0</v>
      </c>
      <c r="S359" s="199">
        <f t="shared" si="414"/>
        <v>0</v>
      </c>
      <c r="T359" s="199">
        <f>SUM(N359:S359)</f>
        <v>0</v>
      </c>
      <c r="U359" s="199">
        <f>T359+L359</f>
        <v>0</v>
      </c>
      <c r="V359" s="199">
        <f>V374+V404</f>
        <v>0</v>
      </c>
      <c r="W359" s="221">
        <f>V359-U359</f>
        <v>0</v>
      </c>
      <c r="X359" s="176">
        <f>U354-U359</f>
        <v>0</v>
      </c>
    </row>
    <row r="360" spans="1:28" s="213" customFormat="1" ht="18" customHeight="1">
      <c r="A360" s="595"/>
      <c r="B360" s="665"/>
      <c r="C360" s="665"/>
      <c r="D360" s="201" t="str">
        <f>серпень!D283</f>
        <v xml:space="preserve">місцевий </v>
      </c>
      <c r="E360" s="220"/>
      <c r="F360" s="199">
        <f t="shared" si="413"/>
        <v>0</v>
      </c>
      <c r="G360" s="199">
        <f t="shared" si="413"/>
        <v>1.395</v>
      </c>
      <c r="H360" s="199">
        <f t="shared" si="413"/>
        <v>2.3370000000000002</v>
      </c>
      <c r="I360" s="199">
        <f t="shared" si="413"/>
        <v>1.7050000000000001</v>
      </c>
      <c r="J360" s="199">
        <f t="shared" si="413"/>
        <v>2.6429999999999998</v>
      </c>
      <c r="K360" s="199">
        <f t="shared" si="413"/>
        <v>3.3210000000000002</v>
      </c>
      <c r="L360" s="199">
        <f>SUM(F360:K360)</f>
        <v>11.401</v>
      </c>
      <c r="M360" s="199">
        <f>L360/6</f>
        <v>1.9</v>
      </c>
      <c r="N360" s="199">
        <f t="shared" si="414"/>
        <v>2.7450000000000001</v>
      </c>
      <c r="O360" s="199">
        <f t="shared" si="414"/>
        <v>1.65</v>
      </c>
      <c r="P360" s="199">
        <f t="shared" si="414"/>
        <v>5.0529999999999999</v>
      </c>
      <c r="Q360" s="199">
        <f t="shared" si="414"/>
        <v>3.0550000000000002</v>
      </c>
      <c r="R360" s="199">
        <f t="shared" si="414"/>
        <v>2.569</v>
      </c>
      <c r="S360" s="199">
        <f t="shared" si="414"/>
        <v>2.617</v>
      </c>
      <c r="T360" s="199">
        <f>SUM(N360:S360)</f>
        <v>17.689</v>
      </c>
      <c r="U360" s="199">
        <f>T360+L360</f>
        <v>29.09</v>
      </c>
      <c r="V360" s="199">
        <f>V375+V405</f>
        <v>28.527000000000001</v>
      </c>
      <c r="W360" s="221">
        <f>V360-U360</f>
        <v>-0.56299999999999994</v>
      </c>
      <c r="X360" s="176">
        <f>U355-U360</f>
        <v>-0.56299999999999994</v>
      </c>
    </row>
    <row r="361" spans="1:28" s="205" customFormat="1" ht="18" customHeight="1">
      <c r="A361" s="595"/>
      <c r="B361" s="665"/>
      <c r="C361" s="665"/>
      <c r="D361" s="202" t="str">
        <f>серпень!D284</f>
        <v>план</v>
      </c>
      <c r="E361" s="203"/>
      <c r="F361" s="203">
        <f t="shared" ref="F361:K361" si="415">F355</f>
        <v>0</v>
      </c>
      <c r="G361" s="203">
        <f t="shared" si="415"/>
        <v>0</v>
      </c>
      <c r="H361" s="203">
        <f t="shared" si="415"/>
        <v>2.1040000000000001</v>
      </c>
      <c r="I361" s="203">
        <f t="shared" si="415"/>
        <v>0.79600000000000004</v>
      </c>
      <c r="J361" s="203">
        <f t="shared" si="415"/>
        <v>2.8820000000000001</v>
      </c>
      <c r="K361" s="203">
        <f t="shared" si="415"/>
        <v>2.3809999999999998</v>
      </c>
      <c r="L361" s="203">
        <f>SUM(F361:K361)</f>
        <v>8.1630000000000003</v>
      </c>
      <c r="M361" s="203">
        <f>L361/6</f>
        <v>1.361</v>
      </c>
      <c r="N361" s="203">
        <f t="shared" ref="N361:S361" si="416">N376+N406</f>
        <v>0.34300000000000003</v>
      </c>
      <c r="O361" s="203">
        <f t="shared" si="416"/>
        <v>0.70299999999999996</v>
      </c>
      <c r="P361" s="203">
        <f t="shared" si="416"/>
        <v>2.2709999999999999</v>
      </c>
      <c r="Q361" s="203">
        <f t="shared" si="416"/>
        <v>7.806</v>
      </c>
      <c r="R361" s="203">
        <f t="shared" si="416"/>
        <v>6.8739999999999997</v>
      </c>
      <c r="S361" s="203">
        <f t="shared" si="416"/>
        <v>2.367</v>
      </c>
      <c r="T361" s="203">
        <f>SUM(N361:S361)</f>
        <v>20.364000000000001</v>
      </c>
      <c r="U361" s="203">
        <f>T361+L361</f>
        <v>28.527000000000001</v>
      </c>
      <c r="V361" s="203">
        <f>V355+V354</f>
        <v>28.527000000000001</v>
      </c>
      <c r="W361" s="203">
        <f>V361-U361</f>
        <v>0</v>
      </c>
    </row>
    <row r="362" spans="1:28" s="205" customFormat="1" ht="18" customHeight="1">
      <c r="A362" s="595"/>
      <c r="B362" s="665"/>
      <c r="C362" s="665"/>
      <c r="D362" s="202" t="str">
        <f>серпень!D285</f>
        <v xml:space="preserve">відхилення </v>
      </c>
      <c r="E362" s="203"/>
      <c r="F362" s="203">
        <f t="shared" ref="F362:K362" si="417">F358-F361</f>
        <v>0</v>
      </c>
      <c r="G362" s="203">
        <f t="shared" si="417"/>
        <v>1.395</v>
      </c>
      <c r="H362" s="203">
        <f t="shared" si="417"/>
        <v>0.23300000000000001</v>
      </c>
      <c r="I362" s="203">
        <f t="shared" si="417"/>
        <v>0.90900000000000003</v>
      </c>
      <c r="J362" s="203">
        <f t="shared" si="417"/>
        <v>-0.23899999999999999</v>
      </c>
      <c r="K362" s="203">
        <f t="shared" si="417"/>
        <v>0.94</v>
      </c>
      <c r="L362" s="203"/>
      <c r="M362" s="203"/>
      <c r="N362" s="203">
        <f t="shared" ref="N362:S362" si="418">N358-N361</f>
        <v>2.4020000000000001</v>
      </c>
      <c r="O362" s="203">
        <f t="shared" si="418"/>
        <v>0.94699999999999995</v>
      </c>
      <c r="P362" s="203">
        <f t="shared" si="418"/>
        <v>2.782</v>
      </c>
      <c r="Q362" s="203">
        <f t="shared" si="418"/>
        <v>-4.7510000000000003</v>
      </c>
      <c r="R362" s="203">
        <f t="shared" si="418"/>
        <v>-4.3049999999999997</v>
      </c>
      <c r="S362" s="203">
        <f t="shared" si="418"/>
        <v>0.25</v>
      </c>
      <c r="T362" s="203"/>
      <c r="U362" s="203"/>
      <c r="V362" s="203"/>
      <c r="W362" s="203"/>
    </row>
    <row r="363" spans="1:28" s="205" customFormat="1" ht="18.8" customHeight="1">
      <c r="A363" s="595"/>
      <c r="B363" s="665"/>
      <c r="C363" s="665"/>
      <c r="D363" s="202" t="str">
        <f>серпень!D286</f>
        <v>відхилення з наростаючим</v>
      </c>
      <c r="E363" s="203"/>
      <c r="F363" s="203">
        <f>F362</f>
        <v>0</v>
      </c>
      <c r="G363" s="203">
        <f>G362+F363</f>
        <v>1.395</v>
      </c>
      <c r="H363" s="203">
        <f>H362+G363</f>
        <v>1.6279999999999999</v>
      </c>
      <c r="I363" s="203">
        <f>I362+H363</f>
        <v>2.5369999999999999</v>
      </c>
      <c r="J363" s="203">
        <f>J362+I363</f>
        <v>2.298</v>
      </c>
      <c r="K363" s="203">
        <f>K362+J363</f>
        <v>3.238</v>
      </c>
      <c r="L363" s="203"/>
      <c r="M363" s="203"/>
      <c r="N363" s="203">
        <f>N362+K363</f>
        <v>5.64</v>
      </c>
      <c r="O363" s="203">
        <f>O362+N363</f>
        <v>6.5869999999999997</v>
      </c>
      <c r="P363" s="203">
        <f>P362+O363</f>
        <v>9.3689999999999998</v>
      </c>
      <c r="Q363" s="203">
        <f>Q362+P363</f>
        <v>4.6180000000000003</v>
      </c>
      <c r="R363" s="203">
        <f>R362+Q363</f>
        <v>0.313</v>
      </c>
      <c r="S363" s="203">
        <f>S362+R363</f>
        <v>0.56299999999999994</v>
      </c>
      <c r="T363" s="203"/>
      <c r="U363" s="203"/>
      <c r="V363" s="203"/>
      <c r="W363" s="203"/>
    </row>
    <row r="364" spans="1:28" s="10" customFormat="1" ht="18.8" customHeight="1">
      <c r="A364" s="595"/>
      <c r="B364" s="580" t="s">
        <v>37</v>
      </c>
      <c r="C364" s="575"/>
      <c r="D364" s="178" t="str">
        <f>серпень!D287</f>
        <v>факт. нат.п-ки 2023</v>
      </c>
      <c r="E364" s="11"/>
      <c r="F364" s="11">
        <v>76</v>
      </c>
      <c r="G364" s="76">
        <v>70</v>
      </c>
      <c r="H364" s="11">
        <v>84</v>
      </c>
      <c r="I364" s="11">
        <v>78</v>
      </c>
      <c r="J364" s="11">
        <v>92</v>
      </c>
      <c r="K364" s="11">
        <v>0</v>
      </c>
      <c r="L364" s="65">
        <f>SUM(F364:K364)</f>
        <v>400</v>
      </c>
      <c r="M364" s="65">
        <f>L364/6</f>
        <v>66.7</v>
      </c>
      <c r="N364" s="11">
        <v>0</v>
      </c>
      <c r="O364" s="11">
        <v>72</v>
      </c>
      <c r="P364" s="11">
        <v>96</v>
      </c>
      <c r="Q364" s="11">
        <v>120.8</v>
      </c>
      <c r="R364" s="11">
        <v>86.5</v>
      </c>
      <c r="S364" s="11">
        <v>100</v>
      </c>
      <c r="T364" s="65">
        <f>SUM(N364:S364)</f>
        <v>475.3</v>
      </c>
      <c r="U364" s="65">
        <f>T364+L364</f>
        <v>875.3</v>
      </c>
      <c r="V364" s="11">
        <v>875.3</v>
      </c>
      <c r="W364" s="38"/>
      <c r="X364" s="36"/>
    </row>
    <row r="365" spans="1:28" s="48" customFormat="1" ht="18.8" customHeight="1">
      <c r="A365" s="595"/>
      <c r="B365" s="576"/>
      <c r="C365" s="577"/>
      <c r="D365" s="178" t="str">
        <f>серпень!D288</f>
        <v>факт. нат.п-ки 2024</v>
      </c>
      <c r="E365" s="11"/>
      <c r="F365" s="11">
        <v>198.4</v>
      </c>
      <c r="G365" s="76">
        <v>68</v>
      </c>
      <c r="H365" s="11">
        <v>74.099999999999994</v>
      </c>
      <c r="I365" s="11">
        <v>43.7</v>
      </c>
      <c r="J365" s="11">
        <v>63.8</v>
      </c>
      <c r="K365" s="11">
        <v>90.8</v>
      </c>
      <c r="L365" s="65">
        <f>SUM(F365:K365)</f>
        <v>538.79999999999995</v>
      </c>
      <c r="M365" s="65">
        <f>L365/6</f>
        <v>89.8</v>
      </c>
      <c r="N365" s="11">
        <v>53.9</v>
      </c>
      <c r="O365" s="11">
        <v>84</v>
      </c>
      <c r="P365" s="11">
        <v>57.9</v>
      </c>
      <c r="Q365" s="11">
        <v>75.5</v>
      </c>
      <c r="R365" s="11">
        <v>98.2</v>
      </c>
      <c r="S365" s="11">
        <v>100</v>
      </c>
      <c r="T365" s="65">
        <f>SUM(N365:S365)</f>
        <v>469.5</v>
      </c>
      <c r="U365" s="65">
        <f>T365+L365</f>
        <v>1008.3</v>
      </c>
      <c r="V365" s="11">
        <v>1008.3</v>
      </c>
      <c r="W365" s="38"/>
      <c r="X365" s="47"/>
    </row>
    <row r="366" spans="1:28" s="10" customFormat="1" ht="18.8" customHeight="1">
      <c r="A366" s="595"/>
      <c r="B366" s="576"/>
      <c r="C366" s="577"/>
      <c r="D366" s="178" t="str">
        <f>серпень!D289</f>
        <v>факт. нат.п-ки 2025</v>
      </c>
      <c r="E366" s="11"/>
      <c r="F366" s="11">
        <v>53.4</v>
      </c>
      <c r="G366" s="76">
        <v>89.3</v>
      </c>
      <c r="H366" s="11">
        <v>65.2</v>
      </c>
      <c r="I366" s="11">
        <v>101.1</v>
      </c>
      <c r="J366" s="11">
        <v>126.9</v>
      </c>
      <c r="K366" s="11">
        <v>104.9</v>
      </c>
      <c r="L366" s="65">
        <f>SUM(F366:K366)</f>
        <v>540.79999999999995</v>
      </c>
      <c r="M366" s="65">
        <f>L366/6</f>
        <v>90.1</v>
      </c>
      <c r="N366" s="11">
        <v>63.1</v>
      </c>
      <c r="O366" s="11">
        <v>97.2</v>
      </c>
      <c r="P366" s="11">
        <v>96</v>
      </c>
      <c r="Q366" s="11">
        <f>120.8-4</f>
        <v>116.8</v>
      </c>
      <c r="R366" s="11">
        <v>98.2</v>
      </c>
      <c r="S366" s="11">
        <v>100</v>
      </c>
      <c r="T366" s="65">
        <f>SUM(N366:S366)</f>
        <v>571.29999999999995</v>
      </c>
      <c r="U366" s="65">
        <f>T366+L366</f>
        <v>1112.0999999999999</v>
      </c>
      <c r="V366" s="11">
        <v>1205.8</v>
      </c>
      <c r="W366" s="38">
        <f>V366-U366</f>
        <v>93.7</v>
      </c>
      <c r="X366" s="36"/>
      <c r="Y366" s="3"/>
      <c r="Z366" s="3"/>
      <c r="AA366" s="3"/>
      <c r="AB366" s="3"/>
    </row>
    <row r="367" spans="1:28" s="114" customFormat="1" ht="18.8" customHeight="1">
      <c r="A367" s="595"/>
      <c r="B367" s="576"/>
      <c r="C367" s="577"/>
      <c r="D367" s="187" t="str">
        <f>серпень!D290</f>
        <v>тариф, грн.</v>
      </c>
      <c r="E367" s="49" t="e">
        <f>E368/E366*1000</f>
        <v>#DIV/0!</v>
      </c>
      <c r="F367" s="49">
        <f t="shared" ref="F367:K367" si="419">F368/F366*1000</f>
        <v>26.123999999999999</v>
      </c>
      <c r="G367" s="49">
        <f t="shared" si="419"/>
        <v>26.17</v>
      </c>
      <c r="H367" s="49">
        <f t="shared" si="419"/>
        <v>26.15</v>
      </c>
      <c r="I367" s="49">
        <f t="shared" si="419"/>
        <v>26.141999999999999</v>
      </c>
      <c r="J367" s="49">
        <f t="shared" si="419"/>
        <v>26.17</v>
      </c>
      <c r="K367" s="49">
        <f t="shared" si="419"/>
        <v>26.167999999999999</v>
      </c>
      <c r="L367" s="68">
        <f>L368/L366*1000</f>
        <v>26.158000000000001</v>
      </c>
      <c r="M367" s="68">
        <f>M368/M366*1000</f>
        <v>26.170999999999999</v>
      </c>
      <c r="N367" s="68">
        <f t="shared" ref="N367:O367" si="420">N368/N366*1000</f>
        <v>26.149000000000001</v>
      </c>
      <c r="O367" s="68">
        <f t="shared" si="420"/>
        <v>26.152000000000001</v>
      </c>
      <c r="P367" s="68">
        <v>26.16</v>
      </c>
      <c r="Q367" s="68">
        <v>26.16</v>
      </c>
      <c r="R367" s="49">
        <v>26.16</v>
      </c>
      <c r="S367" s="49">
        <v>26.16</v>
      </c>
      <c r="T367" s="68">
        <f>T368/T366*1000</f>
        <v>26.158000000000001</v>
      </c>
      <c r="U367" s="68">
        <f>U368/U366*1000</f>
        <v>26.158000000000001</v>
      </c>
      <c r="V367" s="68">
        <f>V368/V366*1000</f>
        <v>23.658000000000001</v>
      </c>
      <c r="W367" s="14">
        <f>W368/W366*1000</f>
        <v>-6.0090000000000003</v>
      </c>
      <c r="X367" s="36"/>
      <c r="Y367" s="3"/>
      <c r="Z367" s="3"/>
      <c r="AA367" s="3"/>
      <c r="AB367" s="3"/>
    </row>
    <row r="368" spans="1:28" s="114" customFormat="1" ht="18.8" customHeight="1">
      <c r="A368" s="595"/>
      <c r="B368" s="576"/>
      <c r="C368" s="577"/>
      <c r="D368" s="191" t="str">
        <f>серпень!D291</f>
        <v>сума, тис.грн.</v>
      </c>
      <c r="E368" s="52"/>
      <c r="F368" s="52">
        <v>1.395</v>
      </c>
      <c r="G368" s="52">
        <v>2.3370000000000002</v>
      </c>
      <c r="H368" s="52">
        <v>1.7050000000000001</v>
      </c>
      <c r="I368" s="52">
        <f>2.644-0.001</f>
        <v>2.6429999999999998</v>
      </c>
      <c r="J368" s="52">
        <v>3.3210000000000002</v>
      </c>
      <c r="K368" s="52">
        <v>2.7450000000000001</v>
      </c>
      <c r="L368" s="69">
        <f>SUM(F368:K368)</f>
        <v>14.146000000000001</v>
      </c>
      <c r="M368" s="69">
        <f>L368/6</f>
        <v>2.3580000000000001</v>
      </c>
      <c r="N368" s="52">
        <v>1.65</v>
      </c>
      <c r="O368" s="52">
        <v>2.5419999999999998</v>
      </c>
      <c r="P368" s="52">
        <f t="shared" ref="P368" si="421">P366*P367/1000</f>
        <v>2.5110000000000001</v>
      </c>
      <c r="Q368" s="52">
        <f t="shared" ref="Q368" si="422">Q366*Q367/1000</f>
        <v>3.0550000000000002</v>
      </c>
      <c r="R368" s="52">
        <f t="shared" ref="R368" si="423">R366*R367/1000</f>
        <v>2.569</v>
      </c>
      <c r="S368" s="52">
        <f>S366*S367/1000+0.001</f>
        <v>2.617</v>
      </c>
      <c r="T368" s="69">
        <f>SUM(N368:S368)</f>
        <v>14.944000000000001</v>
      </c>
      <c r="U368" s="69">
        <f>T368+L368</f>
        <v>29.09</v>
      </c>
      <c r="V368" s="70">
        <f>V370+V369</f>
        <v>28.527000000000001</v>
      </c>
      <c r="W368" s="53">
        <f>V368-U368</f>
        <v>-0.56299999999999994</v>
      </c>
      <c r="X368" s="113"/>
    </row>
    <row r="369" spans="1:28" s="114" customFormat="1" ht="18.8" customHeight="1">
      <c r="A369" s="595"/>
      <c r="B369" s="576"/>
      <c r="C369" s="577"/>
      <c r="D369" s="174" t="str">
        <f>серпень!D292</f>
        <v>дотація</v>
      </c>
      <c r="E369" s="56"/>
      <c r="F369" s="52"/>
      <c r="G369" s="52"/>
      <c r="H369" s="52"/>
      <c r="I369" s="52"/>
      <c r="J369" s="52"/>
      <c r="K369" s="52"/>
      <c r="L369" s="69">
        <f>SUM(F369:K369)</f>
        <v>0</v>
      </c>
      <c r="M369" s="69">
        <f>L369/6</f>
        <v>0</v>
      </c>
      <c r="N369" s="52"/>
      <c r="O369" s="52"/>
      <c r="P369" s="52"/>
      <c r="Q369" s="52"/>
      <c r="R369" s="52"/>
      <c r="S369" s="52"/>
      <c r="T369" s="69">
        <f>SUM(N369:S369)</f>
        <v>0</v>
      </c>
      <c r="U369" s="69">
        <f>T369+L369</f>
        <v>0</v>
      </c>
      <c r="V369" s="70">
        <v>0</v>
      </c>
      <c r="W369" s="53">
        <f>V369-U369</f>
        <v>0</v>
      </c>
      <c r="X369" s="113"/>
    </row>
    <row r="370" spans="1:28" s="114" customFormat="1" ht="18.8" customHeight="1">
      <c r="A370" s="595"/>
      <c r="B370" s="576"/>
      <c r="C370" s="577"/>
      <c r="D370" s="174" t="str">
        <f>серпень!D293</f>
        <v>місцевий (план), тис.грн</v>
      </c>
      <c r="E370" s="56"/>
      <c r="F370" s="52">
        <f>4.694-4.694</f>
        <v>0</v>
      </c>
      <c r="G370" s="52">
        <f>1.656-1.656</f>
        <v>0</v>
      </c>
      <c r="H370" s="52">
        <f>1.987+1.204-1.087</f>
        <v>2.1040000000000001</v>
      </c>
      <c r="I370" s="52">
        <f>1.845+5.146-0.705+0.854-4.551-1.793</f>
        <v>0.79600000000000004</v>
      </c>
      <c r="J370" s="52">
        <f>2.177+0.705</f>
        <v>2.8820000000000001</v>
      </c>
      <c r="K370" s="52">
        <f>2.148+0.233</f>
        <v>2.3809999999999998</v>
      </c>
      <c r="L370" s="69">
        <f>SUM(F370:K370)</f>
        <v>8.1630000000000003</v>
      </c>
      <c r="M370" s="69">
        <f>L370/6</f>
        <v>1.361</v>
      </c>
      <c r="N370" s="52">
        <f>2.143-1.8</f>
        <v>0.34300000000000003</v>
      </c>
      <c r="O370" s="52">
        <f>2.153-1.45</f>
        <v>0.70299999999999996</v>
      </c>
      <c r="P370" s="52">
        <v>2.2709999999999999</v>
      </c>
      <c r="Q370" s="52">
        <f>2.763+1.793+1.8+1.45</f>
        <v>7.806</v>
      </c>
      <c r="R370" s="52">
        <f>2.323+4.551</f>
        <v>6.8739999999999997</v>
      </c>
      <c r="S370" s="52">
        <v>2.367</v>
      </c>
      <c r="T370" s="69">
        <f>SUM(N370:S370)</f>
        <v>20.364000000000001</v>
      </c>
      <c r="U370" s="69">
        <f>T370+L370</f>
        <v>28.527000000000001</v>
      </c>
      <c r="V370" s="70">
        <v>28.527000000000001</v>
      </c>
      <c r="W370" s="53">
        <f>V370-U370</f>
        <v>0</v>
      </c>
      <c r="X370" s="113"/>
    </row>
    <row r="371" spans="1:28" s="3" customFormat="1" ht="18.8" customHeight="1">
      <c r="A371" s="595"/>
      <c r="B371" s="576"/>
      <c r="C371" s="577"/>
      <c r="D371" s="178" t="str">
        <f>серпень!D294</f>
        <v>касові нат.п-ки 2025</v>
      </c>
      <c r="E371" s="314"/>
      <c r="F371" s="11">
        <v>0</v>
      </c>
      <c r="G371" s="76">
        <v>53.4</v>
      </c>
      <c r="H371" s="11">
        <v>89.3</v>
      </c>
      <c r="I371" s="11">
        <v>65.2</v>
      </c>
      <c r="J371" s="11">
        <v>101.1</v>
      </c>
      <c r="K371" s="11">
        <v>126.9</v>
      </c>
      <c r="L371" s="65">
        <f>SUM(F371:K371)</f>
        <v>435.9</v>
      </c>
      <c r="M371" s="65">
        <f>L371/6</f>
        <v>72.7</v>
      </c>
      <c r="N371" s="11">
        <v>104.9</v>
      </c>
      <c r="O371" s="11">
        <v>63.1</v>
      </c>
      <c r="P371" s="11">
        <f>97.2+96</f>
        <v>193.2</v>
      </c>
      <c r="Q371" s="11">
        <v>116.8</v>
      </c>
      <c r="R371" s="11">
        <v>98.2</v>
      </c>
      <c r="S371" s="11">
        <v>100</v>
      </c>
      <c r="T371" s="65">
        <f>SUM(N371:S371)</f>
        <v>676.2</v>
      </c>
      <c r="U371" s="65">
        <f>T371+L371</f>
        <v>1112.0999999999999</v>
      </c>
      <c r="V371" s="11">
        <f>V366</f>
        <v>1205.8</v>
      </c>
      <c r="W371" s="38">
        <f>V371-U371</f>
        <v>93.7</v>
      </c>
      <c r="X371" s="315">
        <f>U366-U371</f>
        <v>0</v>
      </c>
    </row>
    <row r="372" spans="1:28" s="73" customFormat="1" ht="18.8" customHeight="1">
      <c r="A372" s="595"/>
      <c r="B372" s="576"/>
      <c r="C372" s="577"/>
      <c r="D372" s="187" t="str">
        <f>серпень!D295</f>
        <v>тариф, грн.</v>
      </c>
      <c r="E372" s="49" t="e">
        <f t="shared" ref="E372:K372" si="424">E373/E371*1000</f>
        <v>#DIV/0!</v>
      </c>
      <c r="F372" s="49" t="e">
        <f t="shared" si="424"/>
        <v>#DIV/0!</v>
      </c>
      <c r="G372" s="49">
        <f t="shared" si="424"/>
        <v>26.123999999999999</v>
      </c>
      <c r="H372" s="49">
        <f t="shared" si="424"/>
        <v>26.17</v>
      </c>
      <c r="I372" s="49">
        <f t="shared" si="424"/>
        <v>26.15</v>
      </c>
      <c r="J372" s="49">
        <f t="shared" si="424"/>
        <v>26.141999999999999</v>
      </c>
      <c r="K372" s="49">
        <f t="shared" si="424"/>
        <v>26.17</v>
      </c>
      <c r="L372" s="68">
        <f>L373/L371*1000</f>
        <v>26.155000000000001</v>
      </c>
      <c r="M372" s="68">
        <f>M373/M371*1000</f>
        <v>26.135000000000002</v>
      </c>
      <c r="N372" s="68">
        <f t="shared" ref="N372:P372" si="425">N373/N371*1000</f>
        <v>26.167999999999999</v>
      </c>
      <c r="O372" s="68">
        <f t="shared" si="425"/>
        <v>26.149000000000001</v>
      </c>
      <c r="P372" s="68">
        <f t="shared" si="425"/>
        <v>26.154</v>
      </c>
      <c r="Q372" s="68">
        <v>26.16</v>
      </c>
      <c r="R372" s="68">
        <v>26.16</v>
      </c>
      <c r="S372" s="68">
        <v>26.16</v>
      </c>
      <c r="T372" s="68">
        <f>T373/T371*1000</f>
        <v>26.158999999999999</v>
      </c>
      <c r="U372" s="68">
        <f>U373/U371*1000</f>
        <v>26.158000000000001</v>
      </c>
      <c r="V372" s="68">
        <f>V373/V371*1000</f>
        <v>23.658000000000001</v>
      </c>
      <c r="W372" s="14">
        <f>W373/W371*1000</f>
        <v>-6.0090000000000003</v>
      </c>
      <c r="X372" s="59"/>
      <c r="Y372" s="36"/>
      <c r="Z372" s="36"/>
      <c r="AA372" s="36"/>
      <c r="AB372" s="36"/>
    </row>
    <row r="373" spans="1:28" s="126" customFormat="1" ht="18.8" customHeight="1">
      <c r="A373" s="595"/>
      <c r="B373" s="576"/>
      <c r="C373" s="577"/>
      <c r="D373" s="198" t="str">
        <f>серпень!D296</f>
        <v>касові видатки, тис.грн.</v>
      </c>
      <c r="E373" s="71"/>
      <c r="F373" s="61">
        <v>0</v>
      </c>
      <c r="G373" s="61">
        <v>1.395</v>
      </c>
      <c r="H373" s="61">
        <v>2.3370000000000002</v>
      </c>
      <c r="I373" s="61">
        <v>1.7050000000000001</v>
      </c>
      <c r="J373" s="61">
        <f>2.644-0.001</f>
        <v>2.6429999999999998</v>
      </c>
      <c r="K373" s="61">
        <v>3.3210000000000002</v>
      </c>
      <c r="L373" s="61">
        <f>SUM(F373:K373)</f>
        <v>11.401</v>
      </c>
      <c r="M373" s="61">
        <f>L373/6</f>
        <v>1.9</v>
      </c>
      <c r="N373" s="61">
        <v>2.7450000000000001</v>
      </c>
      <c r="O373" s="61">
        <v>1.65</v>
      </c>
      <c r="P373" s="61">
        <v>5.0529999999999999</v>
      </c>
      <c r="Q373" s="61">
        <f t="shared" ref="Q373" si="426">Q371*Q372/1000</f>
        <v>3.0550000000000002</v>
      </c>
      <c r="R373" s="61">
        <f t="shared" ref="R373" si="427">R371*R372/1000</f>
        <v>2.569</v>
      </c>
      <c r="S373" s="61">
        <f>S371*S372/1000+0.001</f>
        <v>2.617</v>
      </c>
      <c r="T373" s="61">
        <f>SUM(N373:S373)</f>
        <v>17.689</v>
      </c>
      <c r="U373" s="61">
        <f>T373+L373</f>
        <v>29.09</v>
      </c>
      <c r="V373" s="61">
        <f>V368</f>
        <v>28.527000000000001</v>
      </c>
      <c r="W373" s="72">
        <f>V373-U373</f>
        <v>-0.56299999999999994</v>
      </c>
      <c r="X373" s="63">
        <f>U368-U373</f>
        <v>0</v>
      </c>
    </row>
    <row r="374" spans="1:28" s="126" customFormat="1" ht="18.8" customHeight="1">
      <c r="A374" s="595"/>
      <c r="B374" s="576"/>
      <c r="C374" s="577"/>
      <c r="D374" s="201" t="str">
        <f>серпень!D297</f>
        <v>дотація</v>
      </c>
      <c r="E374" s="71"/>
      <c r="F374" s="61">
        <v>0</v>
      </c>
      <c r="G374" s="61">
        <v>0</v>
      </c>
      <c r="H374" s="61">
        <v>0</v>
      </c>
      <c r="I374" s="61">
        <v>0</v>
      </c>
      <c r="J374" s="61">
        <v>0</v>
      </c>
      <c r="K374" s="61">
        <v>0</v>
      </c>
      <c r="L374" s="61">
        <f>SUM(F374:K374)</f>
        <v>0</v>
      </c>
      <c r="M374" s="61">
        <f>L374/6</f>
        <v>0</v>
      </c>
      <c r="N374" s="61">
        <v>0</v>
      </c>
      <c r="O374" s="61">
        <v>0</v>
      </c>
      <c r="P374" s="61">
        <v>0</v>
      </c>
      <c r="Q374" s="61">
        <v>0</v>
      </c>
      <c r="R374" s="61">
        <v>0</v>
      </c>
      <c r="S374" s="61">
        <v>0</v>
      </c>
      <c r="T374" s="61">
        <f>SUM(N374:S374)</f>
        <v>0</v>
      </c>
      <c r="U374" s="61">
        <f>T374+L374</f>
        <v>0</v>
      </c>
      <c r="V374" s="61">
        <f>V369</f>
        <v>0</v>
      </c>
      <c r="W374" s="72">
        <f>V374-U374</f>
        <v>0</v>
      </c>
      <c r="X374" s="63">
        <f>U369-U374</f>
        <v>0</v>
      </c>
    </row>
    <row r="375" spans="1:28" s="126" customFormat="1" ht="18.8" customHeight="1">
      <c r="A375" s="595"/>
      <c r="B375" s="576"/>
      <c r="C375" s="577"/>
      <c r="D375" s="201" t="str">
        <f>серпень!D298</f>
        <v xml:space="preserve">місцевий </v>
      </c>
      <c r="E375" s="71"/>
      <c r="F375" s="61">
        <f t="shared" ref="F375:K375" si="428">F373-F374</f>
        <v>0</v>
      </c>
      <c r="G375" s="61">
        <f t="shared" si="428"/>
        <v>1.395</v>
      </c>
      <c r="H375" s="61">
        <f t="shared" si="428"/>
        <v>2.3370000000000002</v>
      </c>
      <c r="I375" s="61">
        <f t="shared" si="428"/>
        <v>1.7050000000000001</v>
      </c>
      <c r="J375" s="61">
        <f t="shared" si="428"/>
        <v>2.6429999999999998</v>
      </c>
      <c r="K375" s="61">
        <f t="shared" si="428"/>
        <v>3.3210000000000002</v>
      </c>
      <c r="L375" s="61">
        <f>SUM(F375:K375)</f>
        <v>11.401</v>
      </c>
      <c r="M375" s="61">
        <f>L375/6</f>
        <v>1.9</v>
      </c>
      <c r="N375" s="61">
        <f t="shared" ref="N375:S375" si="429">N373-N374</f>
        <v>2.7450000000000001</v>
      </c>
      <c r="O375" s="61">
        <f t="shared" si="429"/>
        <v>1.65</v>
      </c>
      <c r="P375" s="61">
        <f t="shared" si="429"/>
        <v>5.0529999999999999</v>
      </c>
      <c r="Q375" s="61">
        <f t="shared" si="429"/>
        <v>3.0550000000000002</v>
      </c>
      <c r="R375" s="61">
        <f t="shared" si="429"/>
        <v>2.569</v>
      </c>
      <c r="S375" s="61">
        <f t="shared" si="429"/>
        <v>2.617</v>
      </c>
      <c r="T375" s="61">
        <f>SUM(N375:S375)</f>
        <v>17.689</v>
      </c>
      <c r="U375" s="61">
        <f>T375+L375</f>
        <v>29.09</v>
      </c>
      <c r="V375" s="61">
        <f>V370</f>
        <v>28.527000000000001</v>
      </c>
      <c r="W375" s="72">
        <f>V375-U375</f>
        <v>-0.56299999999999994</v>
      </c>
      <c r="X375" s="63">
        <f>U370-U375</f>
        <v>-0.56299999999999994</v>
      </c>
    </row>
    <row r="376" spans="1:28" s="43" customFormat="1" ht="18.8" customHeight="1">
      <c r="A376" s="595"/>
      <c r="B376" s="576"/>
      <c r="C376" s="577"/>
      <c r="D376" s="202" t="str">
        <f>серпень!D299</f>
        <v>план</v>
      </c>
      <c r="E376" s="42"/>
      <c r="F376" s="42">
        <f t="shared" ref="F376:K376" si="430">F369+F370</f>
        <v>0</v>
      </c>
      <c r="G376" s="42">
        <f t="shared" si="430"/>
        <v>0</v>
      </c>
      <c r="H376" s="42">
        <f t="shared" si="430"/>
        <v>2.1040000000000001</v>
      </c>
      <c r="I376" s="42">
        <f t="shared" si="430"/>
        <v>0.79600000000000004</v>
      </c>
      <c r="J376" s="42">
        <f t="shared" si="430"/>
        <v>2.8820000000000001</v>
      </c>
      <c r="K376" s="42">
        <f t="shared" si="430"/>
        <v>2.3809999999999998</v>
      </c>
      <c r="L376" s="42">
        <f>SUM(F376:K376)</f>
        <v>8.1630000000000003</v>
      </c>
      <c r="M376" s="42">
        <f>L376/6</f>
        <v>1.361</v>
      </c>
      <c r="N376" s="42">
        <f t="shared" ref="N376:S376" si="431">N370+N369</f>
        <v>0.34300000000000003</v>
      </c>
      <c r="O376" s="42">
        <f t="shared" si="431"/>
        <v>0.70299999999999996</v>
      </c>
      <c r="P376" s="42">
        <f t="shared" si="431"/>
        <v>2.2709999999999999</v>
      </c>
      <c r="Q376" s="42">
        <f t="shared" si="431"/>
        <v>7.806</v>
      </c>
      <c r="R376" s="42">
        <f t="shared" si="431"/>
        <v>6.8739999999999997</v>
      </c>
      <c r="S376" s="42">
        <f t="shared" si="431"/>
        <v>2.367</v>
      </c>
      <c r="T376" s="42">
        <f>SUM(N376:S376)</f>
        <v>20.364000000000001</v>
      </c>
      <c r="U376" s="42">
        <f>T376+L376</f>
        <v>28.527000000000001</v>
      </c>
      <c r="V376" s="42">
        <f>V373</f>
        <v>28.527000000000001</v>
      </c>
      <c r="W376" s="42">
        <f>V376-U376</f>
        <v>0</v>
      </c>
    </row>
    <row r="377" spans="1:28" s="43" customFormat="1" ht="18.8" customHeight="1">
      <c r="A377" s="595"/>
      <c r="B377" s="576"/>
      <c r="C377" s="577"/>
      <c r="D377" s="202" t="str">
        <f>серпень!D300</f>
        <v xml:space="preserve">відхилення </v>
      </c>
      <c r="E377" s="42"/>
      <c r="F377" s="42">
        <f t="shared" ref="F377:K377" si="432">F373-F376</f>
        <v>0</v>
      </c>
      <c r="G377" s="42">
        <f t="shared" si="432"/>
        <v>1.395</v>
      </c>
      <c r="H377" s="42">
        <f t="shared" si="432"/>
        <v>0.23300000000000001</v>
      </c>
      <c r="I377" s="42">
        <f t="shared" si="432"/>
        <v>0.90900000000000003</v>
      </c>
      <c r="J377" s="42">
        <f t="shared" si="432"/>
        <v>-0.23899999999999999</v>
      </c>
      <c r="K377" s="42">
        <f t="shared" si="432"/>
        <v>0.94</v>
      </c>
      <c r="L377" s="42"/>
      <c r="M377" s="42"/>
      <c r="N377" s="42">
        <f t="shared" ref="N377:S377" si="433">N373-N376</f>
        <v>2.4020000000000001</v>
      </c>
      <c r="O377" s="42">
        <f t="shared" si="433"/>
        <v>0.94699999999999995</v>
      </c>
      <c r="P377" s="42">
        <f t="shared" si="433"/>
        <v>2.782</v>
      </c>
      <c r="Q377" s="42">
        <f t="shared" si="433"/>
        <v>-4.7510000000000003</v>
      </c>
      <c r="R377" s="42">
        <f t="shared" si="433"/>
        <v>-4.3049999999999997</v>
      </c>
      <c r="S377" s="42">
        <f t="shared" si="433"/>
        <v>0.25</v>
      </c>
      <c r="T377" s="42"/>
      <c r="U377" s="42"/>
      <c r="V377" s="42"/>
      <c r="W377" s="42"/>
    </row>
    <row r="378" spans="1:28" s="43" customFormat="1" ht="18.8" customHeight="1">
      <c r="A378" s="595"/>
      <c r="B378" s="576"/>
      <c r="C378" s="577"/>
      <c r="D378" s="202" t="str">
        <f>серпень!D301</f>
        <v>відхилення з наростаючим</v>
      </c>
      <c r="E378" s="42"/>
      <c r="F378" s="42">
        <f>F377</f>
        <v>0</v>
      </c>
      <c r="G378" s="42">
        <f>G377+F378</f>
        <v>1.395</v>
      </c>
      <c r="H378" s="42">
        <f>H377+G378</f>
        <v>1.6279999999999999</v>
      </c>
      <c r="I378" s="42">
        <f>I377+H378</f>
        <v>2.5369999999999999</v>
      </c>
      <c r="J378" s="42">
        <f>J377+I378</f>
        <v>2.298</v>
      </c>
      <c r="K378" s="42">
        <f>K377+J378</f>
        <v>3.238</v>
      </c>
      <c r="L378" s="42"/>
      <c r="M378" s="42"/>
      <c r="N378" s="42">
        <f>N377+K378</f>
        <v>5.64</v>
      </c>
      <c r="O378" s="42">
        <f>O377+N378</f>
        <v>6.5869999999999997</v>
      </c>
      <c r="P378" s="42">
        <f>P377+O378</f>
        <v>9.3689999999999998</v>
      </c>
      <c r="Q378" s="42">
        <f>Q377+P378</f>
        <v>4.6180000000000003</v>
      </c>
      <c r="R378" s="42">
        <f>R377+Q378</f>
        <v>0.313</v>
      </c>
      <c r="S378" s="42">
        <f>S377+R378</f>
        <v>0.56299999999999994</v>
      </c>
      <c r="T378" s="42"/>
      <c r="U378" s="42"/>
      <c r="V378" s="42"/>
      <c r="W378" s="42"/>
    </row>
    <row r="379" spans="1:28" s="43" customFormat="1" ht="18" hidden="1" customHeight="1">
      <c r="A379" s="595"/>
      <c r="B379" s="580" t="s">
        <v>96</v>
      </c>
      <c r="C379" s="575"/>
      <c r="D379" s="178" t="str">
        <f>серпень!D302</f>
        <v>факт. нат.п-ки 2023</v>
      </c>
      <c r="E379" s="179"/>
      <c r="F379" s="180"/>
      <c r="G379" s="180"/>
      <c r="H379" s="180"/>
      <c r="I379" s="180"/>
      <c r="J379" s="180"/>
      <c r="K379" s="180"/>
      <c r="L379" s="215">
        <f>SUM(F379:K379)</f>
        <v>0</v>
      </c>
      <c r="M379" s="215">
        <f>L379/6</f>
        <v>0</v>
      </c>
      <c r="N379" s="180"/>
      <c r="O379" s="180"/>
      <c r="P379" s="180"/>
      <c r="Q379" s="180"/>
      <c r="R379" s="180"/>
      <c r="S379" s="180"/>
      <c r="T379" s="215">
        <f>SUM(N379:S379)</f>
        <v>0</v>
      </c>
      <c r="U379" s="226">
        <f>T379+L379</f>
        <v>0</v>
      </c>
      <c r="V379" s="227"/>
      <c r="W379" s="184">
        <f>V379-U379</f>
        <v>0</v>
      </c>
    </row>
    <row r="380" spans="1:28" s="43" customFormat="1" ht="18" hidden="1" customHeight="1">
      <c r="A380" s="595"/>
      <c r="B380" s="576"/>
      <c r="C380" s="577"/>
      <c r="D380" s="178" t="str">
        <f>серпень!D303</f>
        <v>факт. нат.п-ки 2024</v>
      </c>
      <c r="E380" s="179"/>
      <c r="F380" s="180"/>
      <c r="G380" s="180"/>
      <c r="H380" s="180"/>
      <c r="I380" s="180"/>
      <c r="J380" s="180"/>
      <c r="K380" s="180"/>
      <c r="L380" s="215">
        <f>SUM(F380:K380)</f>
        <v>0</v>
      </c>
      <c r="M380" s="215">
        <f>L380/6</f>
        <v>0</v>
      </c>
      <c r="N380" s="179"/>
      <c r="O380" s="179"/>
      <c r="P380" s="179"/>
      <c r="Q380" s="179"/>
      <c r="R380" s="179"/>
      <c r="S380" s="179"/>
      <c r="T380" s="215">
        <f>SUM(N380:S380)</f>
        <v>0</v>
      </c>
      <c r="U380" s="226">
        <f>T380+L380</f>
        <v>0</v>
      </c>
      <c r="V380" s="227"/>
      <c r="W380" s="184">
        <f>V380-U380</f>
        <v>0</v>
      </c>
    </row>
    <row r="381" spans="1:28" s="43" customFormat="1" ht="18" hidden="1" customHeight="1">
      <c r="A381" s="595"/>
      <c r="B381" s="576"/>
      <c r="C381" s="577"/>
      <c r="D381" s="178" t="str">
        <f>серпень!D304</f>
        <v>факт. нат.п-ки 2025</v>
      </c>
      <c r="E381" s="179"/>
      <c r="F381" s="180"/>
      <c r="G381" s="180"/>
      <c r="H381" s="180"/>
      <c r="I381" s="180"/>
      <c r="J381" s="180"/>
      <c r="K381" s="180"/>
      <c r="L381" s="215">
        <f>SUM(F381:K381)</f>
        <v>0</v>
      </c>
      <c r="M381" s="215">
        <f>L381/6</f>
        <v>0</v>
      </c>
      <c r="N381" s="180"/>
      <c r="O381" s="180"/>
      <c r="P381" s="180"/>
      <c r="Q381" s="180"/>
      <c r="R381" s="180"/>
      <c r="S381" s="179"/>
      <c r="T381" s="215">
        <f>SUM(N381:S381)</f>
        <v>0</v>
      </c>
      <c r="U381" s="226">
        <f>T381+L381</f>
        <v>0</v>
      </c>
      <c r="V381" s="179"/>
      <c r="W381" s="184">
        <f>V381-U381</f>
        <v>0</v>
      </c>
    </row>
    <row r="382" spans="1:28" s="43" customFormat="1" ht="18" hidden="1" customHeight="1">
      <c r="A382" s="595"/>
      <c r="B382" s="576"/>
      <c r="C382" s="577"/>
      <c r="D382" s="187" t="str">
        <f>серпень!D305</f>
        <v>тариф, грн.</v>
      </c>
      <c r="E382" s="188"/>
      <c r="F382" s="188"/>
      <c r="G382" s="188"/>
      <c r="H382" s="188"/>
      <c r="I382" s="188"/>
      <c r="J382" s="188"/>
      <c r="K382" s="188"/>
      <c r="L382" s="188" t="e">
        <f>L383/L381*1000</f>
        <v>#DIV/0!</v>
      </c>
      <c r="M382" s="188" t="e">
        <f>M383/M381*1000</f>
        <v>#DIV/0!</v>
      </c>
      <c r="N382" s="188"/>
      <c r="O382" s="188"/>
      <c r="P382" s="188"/>
      <c r="Q382" s="188"/>
      <c r="R382" s="188"/>
      <c r="S382" s="188"/>
      <c r="T382" s="188" t="e">
        <f>T383/T381*1000</f>
        <v>#DIV/0!</v>
      </c>
      <c r="U382" s="188" t="e">
        <f>U383/U381*1000</f>
        <v>#DIV/0!</v>
      </c>
      <c r="V382" s="218" t="e">
        <f>V383/V381*1000</f>
        <v>#DIV/0!</v>
      </c>
      <c r="W382" s="189" t="e">
        <f>W383/W381*1000</f>
        <v>#DIV/0!</v>
      </c>
    </row>
    <row r="383" spans="1:28" s="43" customFormat="1" ht="18" hidden="1" customHeight="1">
      <c r="A383" s="595"/>
      <c r="B383" s="576"/>
      <c r="C383" s="577"/>
      <c r="D383" s="191" t="str">
        <f>серпень!D306</f>
        <v>сума, тис.грн.</v>
      </c>
      <c r="E383" s="192"/>
      <c r="F383" s="192">
        <f t="shared" ref="F383:K383" si="434">F381*F382/1000</f>
        <v>0</v>
      </c>
      <c r="G383" s="192">
        <f t="shared" si="434"/>
        <v>0</v>
      </c>
      <c r="H383" s="192">
        <f t="shared" si="434"/>
        <v>0</v>
      </c>
      <c r="I383" s="192">
        <f t="shared" si="434"/>
        <v>0</v>
      </c>
      <c r="J383" s="192">
        <f t="shared" si="434"/>
        <v>0</v>
      </c>
      <c r="K383" s="192">
        <f t="shared" si="434"/>
        <v>0</v>
      </c>
      <c r="L383" s="194">
        <f>SUM(F383:K383)</f>
        <v>0</v>
      </c>
      <c r="M383" s="194">
        <f>L383/6</f>
        <v>0</v>
      </c>
      <c r="N383" s="192">
        <f t="shared" ref="N383:S383" si="435">N381*N382/1000</f>
        <v>0</v>
      </c>
      <c r="O383" s="192">
        <f t="shared" si="435"/>
        <v>0</v>
      </c>
      <c r="P383" s="192">
        <f t="shared" si="435"/>
        <v>0</v>
      </c>
      <c r="Q383" s="192">
        <f t="shared" si="435"/>
        <v>0</v>
      </c>
      <c r="R383" s="192">
        <f t="shared" si="435"/>
        <v>0</v>
      </c>
      <c r="S383" s="192">
        <f t="shared" si="435"/>
        <v>0</v>
      </c>
      <c r="T383" s="194">
        <f>SUM(N383:S383)</f>
        <v>0</v>
      </c>
      <c r="U383" s="194">
        <f>T383+L383</f>
        <v>0</v>
      </c>
      <c r="V383" s="171">
        <f>V384+V385</f>
        <v>0</v>
      </c>
      <c r="W383" s="193">
        <f>V383-U383</f>
        <v>0</v>
      </c>
    </row>
    <row r="384" spans="1:28" s="43" customFormat="1" ht="18" hidden="1" customHeight="1">
      <c r="A384" s="595"/>
      <c r="B384" s="576"/>
      <c r="C384" s="577"/>
      <c r="D384" s="174" t="str">
        <f>серпень!D307</f>
        <v>дотація</v>
      </c>
      <c r="E384" s="210"/>
      <c r="F384" s="192"/>
      <c r="G384" s="192"/>
      <c r="H384" s="192"/>
      <c r="I384" s="192"/>
      <c r="J384" s="192"/>
      <c r="K384" s="192"/>
      <c r="L384" s="194">
        <f>SUM(F384:K384)</f>
        <v>0</v>
      </c>
      <c r="M384" s="194">
        <f>L384/6</f>
        <v>0</v>
      </c>
      <c r="N384" s="192"/>
      <c r="O384" s="192"/>
      <c r="P384" s="192"/>
      <c r="Q384" s="192"/>
      <c r="R384" s="192"/>
      <c r="S384" s="192"/>
      <c r="T384" s="194">
        <f>SUM(N384:S384)</f>
        <v>0</v>
      </c>
      <c r="U384" s="194">
        <f>T384+L384</f>
        <v>0</v>
      </c>
      <c r="V384" s="171"/>
      <c r="W384" s="193">
        <f>V384-U384</f>
        <v>0</v>
      </c>
    </row>
    <row r="385" spans="1:28" s="43" customFormat="1" ht="18" hidden="1" customHeight="1">
      <c r="A385" s="595"/>
      <c r="B385" s="576"/>
      <c r="C385" s="577"/>
      <c r="D385" s="174" t="str">
        <f>серпень!D308</f>
        <v>місцевий (план), тис.грн</v>
      </c>
      <c r="E385" s="210"/>
      <c r="F385" s="192"/>
      <c r="G385" s="192"/>
      <c r="H385" s="192"/>
      <c r="I385" s="192"/>
      <c r="J385" s="192"/>
      <c r="K385" s="192"/>
      <c r="L385" s="194">
        <f>SUM(F385:K385)</f>
        <v>0</v>
      </c>
      <c r="M385" s="194">
        <f>L385/6</f>
        <v>0</v>
      </c>
      <c r="N385" s="192"/>
      <c r="O385" s="192"/>
      <c r="P385" s="192"/>
      <c r="Q385" s="192"/>
      <c r="R385" s="192"/>
      <c r="S385" s="192"/>
      <c r="T385" s="194">
        <f>SUM(N385:S385)</f>
        <v>0</v>
      </c>
      <c r="U385" s="194">
        <f>T385+L385</f>
        <v>0</v>
      </c>
      <c r="V385" s="171"/>
      <c r="W385" s="193">
        <f>V385-U385</f>
        <v>0</v>
      </c>
    </row>
    <row r="386" spans="1:28" s="43" customFormat="1" ht="18" hidden="1" customHeight="1">
      <c r="A386" s="595"/>
      <c r="B386" s="576"/>
      <c r="C386" s="577"/>
      <c r="D386" s="178" t="str">
        <f>серпень!D309</f>
        <v>касові нат.п-ки 2025</v>
      </c>
      <c r="E386" s="179"/>
      <c r="F386" s="179"/>
      <c r="G386" s="179"/>
      <c r="H386" s="179"/>
      <c r="I386" s="179"/>
      <c r="J386" s="179"/>
      <c r="K386" s="179"/>
      <c r="L386" s="215">
        <f>SUM(F386:K386)</f>
        <v>0</v>
      </c>
      <c r="M386" s="215">
        <f>L386/6</f>
        <v>0</v>
      </c>
      <c r="N386" s="179"/>
      <c r="O386" s="179"/>
      <c r="P386" s="179"/>
      <c r="Q386" s="179"/>
      <c r="R386" s="179"/>
      <c r="S386" s="179">
        <f>S381+R381</f>
        <v>0</v>
      </c>
      <c r="T386" s="215">
        <f>SUM(N386:S386)</f>
        <v>0</v>
      </c>
      <c r="U386" s="215">
        <f>T386+L386</f>
        <v>0</v>
      </c>
      <c r="V386" s="179">
        <f>V381</f>
        <v>0</v>
      </c>
      <c r="W386" s="184">
        <f>V386-U386</f>
        <v>0</v>
      </c>
      <c r="X386" s="206">
        <f>U381-U386</f>
        <v>0</v>
      </c>
    </row>
    <row r="387" spans="1:28" s="43" customFormat="1" ht="18" hidden="1" customHeight="1">
      <c r="A387" s="595"/>
      <c r="B387" s="576"/>
      <c r="C387" s="577"/>
      <c r="D387" s="187" t="str">
        <f>серпень!D310</f>
        <v>тариф, грн.</v>
      </c>
      <c r="E387" s="188" t="e">
        <f>E388/E386*1000</f>
        <v>#DIV/0!</v>
      </c>
      <c r="F387" s="188"/>
      <c r="G387" s="188"/>
      <c r="H387" s="188"/>
      <c r="I387" s="188"/>
      <c r="J387" s="188"/>
      <c r="K387" s="188"/>
      <c r="L387" s="188" t="e">
        <f>L388/L386*1000</f>
        <v>#DIV/0!</v>
      </c>
      <c r="M387" s="188" t="e">
        <f>M388/M386*1000</f>
        <v>#DIV/0!</v>
      </c>
      <c r="N387" s="188"/>
      <c r="O387" s="188"/>
      <c r="P387" s="188"/>
      <c r="Q387" s="188"/>
      <c r="R387" s="188"/>
      <c r="S387" s="188"/>
      <c r="T387" s="188" t="e">
        <f>T388/T386*1000</f>
        <v>#DIV/0!</v>
      </c>
      <c r="U387" s="188" t="e">
        <f>U388/U386*1000</f>
        <v>#DIV/0!</v>
      </c>
      <c r="V387" s="218" t="e">
        <f>V388/V386*1000</f>
        <v>#DIV/0!</v>
      </c>
      <c r="W387" s="189" t="e">
        <f>W388/W386*1000</f>
        <v>#DIV/0!</v>
      </c>
      <c r="X387" s="206"/>
    </row>
    <row r="388" spans="1:28" s="43" customFormat="1" ht="18" hidden="1" customHeight="1">
      <c r="A388" s="595"/>
      <c r="B388" s="576"/>
      <c r="C388" s="577"/>
      <c r="D388" s="198" t="str">
        <f>серпень!D311</f>
        <v>касові видатки, тис.грн.</v>
      </c>
      <c r="E388" s="220"/>
      <c r="F388" s="199">
        <f t="shared" ref="F388:K388" si="436">F386*F387/1000</f>
        <v>0</v>
      </c>
      <c r="G388" s="199">
        <f t="shared" si="436"/>
        <v>0</v>
      </c>
      <c r="H388" s="199">
        <f t="shared" si="436"/>
        <v>0</v>
      </c>
      <c r="I388" s="199">
        <f t="shared" si="436"/>
        <v>0</v>
      </c>
      <c r="J388" s="199">
        <f t="shared" si="436"/>
        <v>0</v>
      </c>
      <c r="K388" s="199">
        <f t="shared" si="436"/>
        <v>0</v>
      </c>
      <c r="L388" s="199">
        <f>SUM(F388:K388)</f>
        <v>0</v>
      </c>
      <c r="M388" s="199">
        <f>L388/6</f>
        <v>0</v>
      </c>
      <c r="N388" s="199">
        <f t="shared" ref="N388:S388" si="437">N386*N387/1000</f>
        <v>0</v>
      </c>
      <c r="O388" s="199">
        <f t="shared" si="437"/>
        <v>0</v>
      </c>
      <c r="P388" s="199">
        <f t="shared" si="437"/>
        <v>0</v>
      </c>
      <c r="Q388" s="199">
        <f t="shared" si="437"/>
        <v>0</v>
      </c>
      <c r="R388" s="199">
        <f t="shared" si="437"/>
        <v>0</v>
      </c>
      <c r="S388" s="199">
        <f t="shared" si="437"/>
        <v>0</v>
      </c>
      <c r="T388" s="199">
        <f>SUM(N388:S388)</f>
        <v>0</v>
      </c>
      <c r="U388" s="199">
        <f>T388+L388</f>
        <v>0</v>
      </c>
      <c r="V388" s="199">
        <f>V383</f>
        <v>0</v>
      </c>
      <c r="W388" s="221">
        <f>V388-U388</f>
        <v>0</v>
      </c>
      <c r="X388" s="176">
        <f>U383-U388</f>
        <v>0</v>
      </c>
    </row>
    <row r="389" spans="1:28" s="43" customFormat="1" ht="18" hidden="1" customHeight="1">
      <c r="A389" s="595"/>
      <c r="B389" s="576"/>
      <c r="C389" s="577"/>
      <c r="D389" s="201" t="str">
        <f>серпень!D312</f>
        <v>дотація</v>
      </c>
      <c r="E389" s="220"/>
      <c r="F389" s="199"/>
      <c r="G389" s="199"/>
      <c r="H389" s="199"/>
      <c r="I389" s="199"/>
      <c r="J389" s="199"/>
      <c r="K389" s="199"/>
      <c r="L389" s="199">
        <f>SUM(F389:K389)</f>
        <v>0</v>
      </c>
      <c r="M389" s="199">
        <f>L389/6</f>
        <v>0</v>
      </c>
      <c r="N389" s="199"/>
      <c r="O389" s="199"/>
      <c r="P389" s="199"/>
      <c r="Q389" s="199"/>
      <c r="R389" s="199"/>
      <c r="S389" s="199"/>
      <c r="T389" s="199">
        <f>SUM(N389:S389)</f>
        <v>0</v>
      </c>
      <c r="U389" s="199">
        <f>T389+L389</f>
        <v>0</v>
      </c>
      <c r="V389" s="199">
        <f>V384</f>
        <v>0</v>
      </c>
      <c r="W389" s="221">
        <f>V389-U389</f>
        <v>0</v>
      </c>
      <c r="X389" s="176">
        <f>U384-U389</f>
        <v>0</v>
      </c>
    </row>
    <row r="390" spans="1:28" s="43" customFormat="1" ht="18" hidden="1" customHeight="1">
      <c r="A390" s="595"/>
      <c r="B390" s="576"/>
      <c r="C390" s="577"/>
      <c r="D390" s="201" t="str">
        <f>серпень!D313</f>
        <v xml:space="preserve">місцевий </v>
      </c>
      <c r="E390" s="220"/>
      <c r="F390" s="199">
        <f t="shared" ref="F390:K390" si="438">F388-F389</f>
        <v>0</v>
      </c>
      <c r="G390" s="199">
        <f t="shared" si="438"/>
        <v>0</v>
      </c>
      <c r="H390" s="199">
        <f t="shared" si="438"/>
        <v>0</v>
      </c>
      <c r="I390" s="199">
        <f t="shared" si="438"/>
        <v>0</v>
      </c>
      <c r="J390" s="199">
        <f t="shared" si="438"/>
        <v>0</v>
      </c>
      <c r="K390" s="199">
        <f t="shared" si="438"/>
        <v>0</v>
      </c>
      <c r="L390" s="199">
        <f>SUM(F390:K390)</f>
        <v>0</v>
      </c>
      <c r="M390" s="199">
        <f>L390/6</f>
        <v>0</v>
      </c>
      <c r="N390" s="199">
        <f t="shared" ref="N390:S390" si="439">N388-N389</f>
        <v>0</v>
      </c>
      <c r="O390" s="199">
        <f t="shared" si="439"/>
        <v>0</v>
      </c>
      <c r="P390" s="199">
        <f t="shared" si="439"/>
        <v>0</v>
      </c>
      <c r="Q390" s="199">
        <f t="shared" si="439"/>
        <v>0</v>
      </c>
      <c r="R390" s="199">
        <f t="shared" si="439"/>
        <v>0</v>
      </c>
      <c r="S390" s="199">
        <f t="shared" si="439"/>
        <v>0</v>
      </c>
      <c r="T390" s="199">
        <f>SUM(N390:S390)</f>
        <v>0</v>
      </c>
      <c r="U390" s="199">
        <f>T390+L390</f>
        <v>0</v>
      </c>
      <c r="V390" s="199">
        <f>V385</f>
        <v>0</v>
      </c>
      <c r="W390" s="221">
        <f>V390-U390</f>
        <v>0</v>
      </c>
      <c r="X390" s="176">
        <f>U385-U390</f>
        <v>0</v>
      </c>
    </row>
    <row r="391" spans="1:28" s="43" customFormat="1" ht="18" hidden="1" customHeight="1">
      <c r="A391" s="595"/>
      <c r="B391" s="576"/>
      <c r="C391" s="577"/>
      <c r="D391" s="202" t="str">
        <f>серпень!D314</f>
        <v>план</v>
      </c>
      <c r="E391" s="203"/>
      <c r="F391" s="203">
        <f t="shared" ref="F391:K391" si="440">F385</f>
        <v>0</v>
      </c>
      <c r="G391" s="203">
        <f t="shared" si="440"/>
        <v>0</v>
      </c>
      <c r="H391" s="203">
        <f t="shared" si="440"/>
        <v>0</v>
      </c>
      <c r="I391" s="203">
        <f t="shared" si="440"/>
        <v>0</v>
      </c>
      <c r="J391" s="203">
        <f t="shared" si="440"/>
        <v>0</v>
      </c>
      <c r="K391" s="203">
        <f t="shared" si="440"/>
        <v>0</v>
      </c>
      <c r="L391" s="203">
        <f>SUM(F391:K391)</f>
        <v>0</v>
      </c>
      <c r="M391" s="203">
        <f>L391/6</f>
        <v>0</v>
      </c>
      <c r="N391" s="203">
        <f t="shared" ref="N391:S391" si="441">N385+N384</f>
        <v>0</v>
      </c>
      <c r="O391" s="203">
        <f t="shared" si="441"/>
        <v>0</v>
      </c>
      <c r="P391" s="203">
        <f t="shared" si="441"/>
        <v>0</v>
      </c>
      <c r="Q391" s="203">
        <f t="shared" si="441"/>
        <v>0</v>
      </c>
      <c r="R391" s="203">
        <f t="shared" si="441"/>
        <v>0</v>
      </c>
      <c r="S391" s="203">
        <f t="shared" si="441"/>
        <v>0</v>
      </c>
      <c r="T391" s="203">
        <f>SUM(N391:S391)</f>
        <v>0</v>
      </c>
      <c r="U391" s="203">
        <f>T391+L391</f>
        <v>0</v>
      </c>
      <c r="V391" s="203">
        <f>V388</f>
        <v>0</v>
      </c>
      <c r="W391" s="203">
        <f>V391-U391</f>
        <v>0</v>
      </c>
    </row>
    <row r="392" spans="1:28" s="43" customFormat="1" ht="18" hidden="1" customHeight="1">
      <c r="A392" s="595"/>
      <c r="B392" s="576"/>
      <c r="C392" s="577"/>
      <c r="D392" s="202" t="str">
        <f>серпень!D315</f>
        <v xml:space="preserve">відхилення </v>
      </c>
      <c r="E392" s="203"/>
      <c r="F392" s="203">
        <f t="shared" ref="F392:K392" si="442">F388-F391</f>
        <v>0</v>
      </c>
      <c r="G392" s="203">
        <f t="shared" si="442"/>
        <v>0</v>
      </c>
      <c r="H392" s="203">
        <f t="shared" si="442"/>
        <v>0</v>
      </c>
      <c r="I392" s="203">
        <f t="shared" si="442"/>
        <v>0</v>
      </c>
      <c r="J392" s="203">
        <f t="shared" si="442"/>
        <v>0</v>
      </c>
      <c r="K392" s="203">
        <f t="shared" si="442"/>
        <v>0</v>
      </c>
      <c r="L392" s="203"/>
      <c r="M392" s="203"/>
      <c r="N392" s="203">
        <f t="shared" ref="N392:S392" si="443">N388-N391</f>
        <v>0</v>
      </c>
      <c r="O392" s="203">
        <f t="shared" si="443"/>
        <v>0</v>
      </c>
      <c r="P392" s="203">
        <f t="shared" si="443"/>
        <v>0</v>
      </c>
      <c r="Q392" s="203">
        <f t="shared" si="443"/>
        <v>0</v>
      </c>
      <c r="R392" s="203">
        <f t="shared" si="443"/>
        <v>0</v>
      </c>
      <c r="S392" s="203">
        <f t="shared" si="443"/>
        <v>0</v>
      </c>
      <c r="T392" s="203"/>
      <c r="U392" s="203"/>
      <c r="V392" s="203"/>
      <c r="W392" s="203"/>
    </row>
    <row r="393" spans="1:28" s="43" customFormat="1" ht="18" hidden="1" customHeight="1">
      <c r="A393" s="595"/>
      <c r="B393" s="578"/>
      <c r="C393" s="579"/>
      <c r="D393" s="202" t="str">
        <f>серпень!D316</f>
        <v>відхилення з наростаючим</v>
      </c>
      <c r="E393" s="203"/>
      <c r="F393" s="203">
        <f>F392</f>
        <v>0</v>
      </c>
      <c r="G393" s="203">
        <f>G392+F393</f>
        <v>0</v>
      </c>
      <c r="H393" s="203">
        <f>H392+G393</f>
        <v>0</v>
      </c>
      <c r="I393" s="203">
        <f>I392+H393</f>
        <v>0</v>
      </c>
      <c r="J393" s="203">
        <f>J392+I393</f>
        <v>0</v>
      </c>
      <c r="K393" s="203">
        <f>K392+J393</f>
        <v>0</v>
      </c>
      <c r="L393" s="203"/>
      <c r="M393" s="203"/>
      <c r="N393" s="203">
        <f>N392+K393</f>
        <v>0</v>
      </c>
      <c r="O393" s="203">
        <f>O392+N393</f>
        <v>0</v>
      </c>
      <c r="P393" s="203">
        <f>P392+O393</f>
        <v>0</v>
      </c>
      <c r="Q393" s="203">
        <f>Q392+P393</f>
        <v>0</v>
      </c>
      <c r="R393" s="203">
        <f>R392+Q393</f>
        <v>0</v>
      </c>
      <c r="S393" s="203">
        <f>S392+R393</f>
        <v>0</v>
      </c>
      <c r="T393" s="203"/>
      <c r="U393" s="203"/>
      <c r="V393" s="203"/>
      <c r="W393" s="203"/>
    </row>
    <row r="394" spans="1:28" s="10" customFormat="1" ht="23.35" hidden="1" customHeight="1">
      <c r="A394" s="595"/>
      <c r="B394" s="580" t="s">
        <v>38</v>
      </c>
      <c r="C394" s="575"/>
      <c r="D394" s="178" t="str">
        <f>серпень!D317</f>
        <v>факт. нат.п-ки 2023</v>
      </c>
      <c r="E394" s="11"/>
      <c r="F394" s="12"/>
      <c r="G394" s="12"/>
      <c r="H394" s="12"/>
      <c r="I394" s="12"/>
      <c r="J394" s="12"/>
      <c r="K394" s="12"/>
      <c r="L394" s="65">
        <f>SUM(F394:K394)</f>
        <v>0</v>
      </c>
      <c r="M394" s="65">
        <f>L394/6</f>
        <v>0</v>
      </c>
      <c r="N394" s="12"/>
      <c r="O394" s="12"/>
      <c r="P394" s="12"/>
      <c r="Q394" s="12"/>
      <c r="R394" s="12"/>
      <c r="S394" s="12"/>
      <c r="T394" s="65">
        <f>SUM(N394:S394)</f>
        <v>0</v>
      </c>
      <c r="U394" s="118">
        <f>T394+L394</f>
        <v>0</v>
      </c>
      <c r="V394" s="67"/>
      <c r="W394" s="38">
        <f>V394-U394</f>
        <v>0</v>
      </c>
      <c r="X394" s="36"/>
      <c r="Y394" s="3"/>
      <c r="Z394" s="3"/>
      <c r="AA394" s="3"/>
      <c r="AB394" s="3"/>
    </row>
    <row r="395" spans="1:28" s="48" customFormat="1" ht="23.35" hidden="1" customHeight="1">
      <c r="A395" s="595"/>
      <c r="B395" s="576"/>
      <c r="C395" s="577"/>
      <c r="D395" s="178" t="str">
        <f>серпень!D318</f>
        <v>факт. нат.п-ки 2024</v>
      </c>
      <c r="E395" s="11"/>
      <c r="F395" s="12"/>
      <c r="G395" s="12"/>
      <c r="H395" s="12"/>
      <c r="I395" s="12"/>
      <c r="J395" s="12"/>
      <c r="K395" s="12"/>
      <c r="L395" s="65">
        <f>SUM(F395:K395)</f>
        <v>0</v>
      </c>
      <c r="M395" s="65">
        <f>L395/6</f>
        <v>0</v>
      </c>
      <c r="N395" s="11"/>
      <c r="O395" s="11"/>
      <c r="P395" s="11"/>
      <c r="Q395" s="11"/>
      <c r="R395" s="11"/>
      <c r="S395" s="11"/>
      <c r="T395" s="65">
        <f>SUM(N395:S395)</f>
        <v>0</v>
      </c>
      <c r="U395" s="118">
        <f>T395+L395</f>
        <v>0</v>
      </c>
      <c r="V395" s="67"/>
      <c r="W395" s="38">
        <f>V395-U395</f>
        <v>0</v>
      </c>
      <c r="X395" s="47"/>
    </row>
    <row r="396" spans="1:28" s="10" customFormat="1" ht="23.35" hidden="1" customHeight="1">
      <c r="A396" s="595"/>
      <c r="B396" s="576"/>
      <c r="C396" s="577"/>
      <c r="D396" s="178" t="str">
        <f>серпень!D319</f>
        <v>факт. нат.п-ки 2025</v>
      </c>
      <c r="E396" s="11"/>
      <c r="F396" s="12"/>
      <c r="G396" s="12"/>
      <c r="H396" s="12"/>
      <c r="I396" s="12"/>
      <c r="J396" s="12"/>
      <c r="K396" s="12"/>
      <c r="L396" s="65">
        <f>SUM(F396:K396)</f>
        <v>0</v>
      </c>
      <c r="M396" s="65">
        <f>L396/6</f>
        <v>0</v>
      </c>
      <c r="N396" s="12"/>
      <c r="O396" s="12"/>
      <c r="P396" s="12"/>
      <c r="Q396" s="12"/>
      <c r="R396" s="12"/>
      <c r="S396" s="11"/>
      <c r="T396" s="65">
        <f>SUM(N396:S396)</f>
        <v>0</v>
      </c>
      <c r="U396" s="118">
        <f>T396+L396</f>
        <v>0</v>
      </c>
      <c r="V396" s="11"/>
      <c r="W396" s="38">
        <f>V396-U396</f>
        <v>0</v>
      </c>
      <c r="X396" s="36"/>
      <c r="Y396" s="3"/>
      <c r="Z396" s="3"/>
      <c r="AA396" s="3"/>
      <c r="AB396" s="3"/>
    </row>
    <row r="397" spans="1:28" s="114" customFormat="1" ht="23.35" hidden="1" customHeight="1">
      <c r="A397" s="595"/>
      <c r="B397" s="576"/>
      <c r="C397" s="577"/>
      <c r="D397" s="187" t="str">
        <f>серпень!D320</f>
        <v>тариф, грн.</v>
      </c>
      <c r="E397" s="49"/>
      <c r="F397" s="49">
        <v>10.56</v>
      </c>
      <c r="G397" s="49">
        <v>10.56</v>
      </c>
      <c r="H397" s="49">
        <v>10.56</v>
      </c>
      <c r="I397" s="49">
        <v>10.56</v>
      </c>
      <c r="J397" s="49">
        <v>10.56</v>
      </c>
      <c r="K397" s="49">
        <v>10.56</v>
      </c>
      <c r="L397" s="49" t="e">
        <f>L398/L396*1000</f>
        <v>#DIV/0!</v>
      </c>
      <c r="M397" s="49" t="e">
        <f>M398/M396*1000</f>
        <v>#DIV/0!</v>
      </c>
      <c r="N397" s="49">
        <v>10.56</v>
      </c>
      <c r="O397" s="49">
        <v>10.56</v>
      </c>
      <c r="P397" s="49">
        <v>10.56</v>
      </c>
      <c r="Q397" s="49">
        <v>10.56</v>
      </c>
      <c r="R397" s="49">
        <v>10.56</v>
      </c>
      <c r="S397" s="49">
        <v>10.56</v>
      </c>
      <c r="T397" s="49" t="e">
        <f>T398/T396*1000</f>
        <v>#DIV/0!</v>
      </c>
      <c r="U397" s="49" t="e">
        <f>U398/U396*1000</f>
        <v>#DIV/0!</v>
      </c>
      <c r="V397" s="68" t="e">
        <f>V398/V396*1000</f>
        <v>#DIV/0!</v>
      </c>
      <c r="W397" s="14" t="e">
        <f>W398/W396*1000</f>
        <v>#DIV/0!</v>
      </c>
      <c r="X397" s="47"/>
      <c r="Y397" s="3"/>
      <c r="Z397" s="3"/>
      <c r="AA397" s="3"/>
      <c r="AB397" s="3"/>
    </row>
    <row r="398" spans="1:28" s="114" customFormat="1" ht="23.35" hidden="1" customHeight="1">
      <c r="A398" s="595"/>
      <c r="B398" s="576"/>
      <c r="C398" s="577"/>
      <c r="D398" s="191" t="str">
        <f>серпень!D321</f>
        <v>сума, тис.грн.</v>
      </c>
      <c r="E398" s="52"/>
      <c r="F398" s="52">
        <f t="shared" ref="F398:K398" si="444">F396*F397/1000</f>
        <v>0</v>
      </c>
      <c r="G398" s="52">
        <f t="shared" si="444"/>
        <v>0</v>
      </c>
      <c r="H398" s="52">
        <f t="shared" si="444"/>
        <v>0</v>
      </c>
      <c r="I398" s="52">
        <f t="shared" si="444"/>
        <v>0</v>
      </c>
      <c r="J398" s="52">
        <f t="shared" si="444"/>
        <v>0</v>
      </c>
      <c r="K398" s="52">
        <f t="shared" si="444"/>
        <v>0</v>
      </c>
      <c r="L398" s="69">
        <f>SUM(F398:K398)</f>
        <v>0</v>
      </c>
      <c r="M398" s="69">
        <f>L398/6</f>
        <v>0</v>
      </c>
      <c r="N398" s="52">
        <f t="shared" ref="N398:S398" si="445">N396*N397/1000</f>
        <v>0</v>
      </c>
      <c r="O398" s="52">
        <f t="shared" si="445"/>
        <v>0</v>
      </c>
      <c r="P398" s="52">
        <f t="shared" si="445"/>
        <v>0</v>
      </c>
      <c r="Q398" s="52">
        <f t="shared" si="445"/>
        <v>0</v>
      </c>
      <c r="R398" s="52">
        <f t="shared" si="445"/>
        <v>0</v>
      </c>
      <c r="S398" s="52">
        <f t="shared" si="445"/>
        <v>0</v>
      </c>
      <c r="T398" s="69">
        <f>SUM(N398:S398)</f>
        <v>0</v>
      </c>
      <c r="U398" s="69">
        <f>T398+L398</f>
        <v>0</v>
      </c>
      <c r="V398" s="70">
        <f>V399+V400</f>
        <v>0</v>
      </c>
      <c r="W398" s="53">
        <f>V398-U398</f>
        <v>0</v>
      </c>
      <c r="X398" s="113"/>
    </row>
    <row r="399" spans="1:28" s="114" customFormat="1" ht="23.35" hidden="1" customHeight="1">
      <c r="A399" s="595"/>
      <c r="B399" s="576"/>
      <c r="C399" s="577"/>
      <c r="D399" s="174" t="str">
        <f>серпень!D322</f>
        <v>дотація</v>
      </c>
      <c r="E399" s="56"/>
      <c r="F399" s="52"/>
      <c r="G399" s="52"/>
      <c r="H399" s="52"/>
      <c r="I399" s="52"/>
      <c r="J399" s="52"/>
      <c r="K399" s="52"/>
      <c r="L399" s="69">
        <f>SUM(F399:K399)</f>
        <v>0</v>
      </c>
      <c r="M399" s="69">
        <f>L399/6</f>
        <v>0</v>
      </c>
      <c r="N399" s="52"/>
      <c r="O399" s="52"/>
      <c r="P399" s="52"/>
      <c r="Q399" s="52"/>
      <c r="R399" s="52"/>
      <c r="S399" s="52"/>
      <c r="T399" s="69">
        <f>SUM(N399:S399)</f>
        <v>0</v>
      </c>
      <c r="U399" s="69">
        <f>T399+L399</f>
        <v>0</v>
      </c>
      <c r="V399" s="70">
        <v>0</v>
      </c>
      <c r="W399" s="53">
        <f>V399-U399</f>
        <v>0</v>
      </c>
      <c r="X399" s="113"/>
    </row>
    <row r="400" spans="1:28" s="114" customFormat="1" ht="23.35" hidden="1" customHeight="1">
      <c r="A400" s="595"/>
      <c r="B400" s="576"/>
      <c r="C400" s="577"/>
      <c r="D400" s="174" t="str">
        <f>серпень!D323</f>
        <v>місцевий (план), тис.грн</v>
      </c>
      <c r="E400" s="56"/>
      <c r="F400" s="52"/>
      <c r="G400" s="52"/>
      <c r="H400" s="52"/>
      <c r="I400" s="52"/>
      <c r="J400" s="52"/>
      <c r="K400" s="52"/>
      <c r="L400" s="69">
        <f>SUM(F400:K400)</f>
        <v>0</v>
      </c>
      <c r="M400" s="69">
        <f>L400/6</f>
        <v>0</v>
      </c>
      <c r="N400" s="52"/>
      <c r="O400" s="52"/>
      <c r="P400" s="52"/>
      <c r="Q400" s="52"/>
      <c r="R400" s="52"/>
      <c r="S400" s="52"/>
      <c r="T400" s="69">
        <f>SUM(N400:S400)</f>
        <v>0</v>
      </c>
      <c r="U400" s="69">
        <f>T400+L400</f>
        <v>0</v>
      </c>
      <c r="V400" s="70"/>
      <c r="W400" s="53">
        <f>V400-U400</f>
        <v>0</v>
      </c>
      <c r="X400" s="113"/>
    </row>
    <row r="401" spans="1:28" s="3" customFormat="1" ht="23.35" hidden="1" customHeight="1">
      <c r="A401" s="595"/>
      <c r="B401" s="576"/>
      <c r="C401" s="577"/>
      <c r="D401" s="178" t="str">
        <f>серпень!D324</f>
        <v>касові нат.п-ки 2025</v>
      </c>
      <c r="E401" s="11"/>
      <c r="F401" s="11"/>
      <c r="G401" s="11"/>
      <c r="H401" s="11"/>
      <c r="I401" s="11"/>
      <c r="J401" s="11"/>
      <c r="K401" s="11"/>
      <c r="L401" s="65">
        <f>SUM(F401:K401)</f>
        <v>0</v>
      </c>
      <c r="M401" s="65">
        <f>L401/6</f>
        <v>0</v>
      </c>
      <c r="N401" s="11"/>
      <c r="O401" s="11"/>
      <c r="P401" s="11"/>
      <c r="Q401" s="11"/>
      <c r="R401" s="11"/>
      <c r="S401" s="11"/>
      <c r="T401" s="65">
        <f>SUM(N401:S401)</f>
        <v>0</v>
      </c>
      <c r="U401" s="65">
        <f>T401+L401</f>
        <v>0</v>
      </c>
      <c r="V401" s="11">
        <f>V396</f>
        <v>0</v>
      </c>
      <c r="W401" s="38">
        <f>V401-U401</f>
        <v>0</v>
      </c>
      <c r="X401" s="47">
        <f>U396-U401</f>
        <v>0</v>
      </c>
    </row>
    <row r="402" spans="1:28" s="73" customFormat="1" ht="23.35" hidden="1" customHeight="1">
      <c r="A402" s="595"/>
      <c r="B402" s="576"/>
      <c r="C402" s="577"/>
      <c r="D402" s="187" t="str">
        <f>серпень!D325</f>
        <v>тариф, грн.</v>
      </c>
      <c r="E402" s="49" t="e">
        <f>E403/E401*1000</f>
        <v>#DIV/0!</v>
      </c>
      <c r="F402" s="49">
        <v>10.56</v>
      </c>
      <c r="G402" s="49">
        <v>10.56</v>
      </c>
      <c r="H402" s="49">
        <v>10.56</v>
      </c>
      <c r="I402" s="49">
        <v>10.56</v>
      </c>
      <c r="J402" s="49">
        <v>10.56</v>
      </c>
      <c r="K402" s="49">
        <v>10.56</v>
      </c>
      <c r="L402" s="49" t="e">
        <f>L403/L401*1000</f>
        <v>#DIV/0!</v>
      </c>
      <c r="M402" s="49" t="e">
        <f>M403/M401*1000</f>
        <v>#DIV/0!</v>
      </c>
      <c r="N402" s="49">
        <v>10.56</v>
      </c>
      <c r="O402" s="49">
        <v>10.56</v>
      </c>
      <c r="P402" s="49">
        <v>10.56</v>
      </c>
      <c r="Q402" s="49">
        <v>10.56</v>
      </c>
      <c r="R402" s="49">
        <v>10.56</v>
      </c>
      <c r="S402" s="49">
        <v>10.56</v>
      </c>
      <c r="T402" s="49" t="e">
        <f>T403/T401*1000</f>
        <v>#DIV/0!</v>
      </c>
      <c r="U402" s="49" t="e">
        <f>U403/U401*1000</f>
        <v>#DIV/0!</v>
      </c>
      <c r="V402" s="68" t="e">
        <f>V403/V401*1000</f>
        <v>#DIV/0!</v>
      </c>
      <c r="W402" s="14" t="e">
        <f>W403/W401*1000</f>
        <v>#DIV/0!</v>
      </c>
      <c r="X402" s="59"/>
      <c r="Y402" s="36"/>
      <c r="Z402" s="36"/>
      <c r="AA402" s="36"/>
      <c r="AB402" s="36"/>
    </row>
    <row r="403" spans="1:28" s="126" customFormat="1" ht="23.35" hidden="1" customHeight="1">
      <c r="A403" s="595"/>
      <c r="B403" s="576"/>
      <c r="C403" s="577"/>
      <c r="D403" s="198" t="str">
        <f>серпень!D326</f>
        <v>касові видатки, тис.грн.</v>
      </c>
      <c r="E403" s="71"/>
      <c r="F403" s="61">
        <f t="shared" ref="F403:K403" si="446">F401*F402/1000</f>
        <v>0</v>
      </c>
      <c r="G403" s="61">
        <f t="shared" si="446"/>
        <v>0</v>
      </c>
      <c r="H403" s="61">
        <f t="shared" si="446"/>
        <v>0</v>
      </c>
      <c r="I403" s="61">
        <f t="shared" si="446"/>
        <v>0</v>
      </c>
      <c r="J403" s="61">
        <f t="shared" si="446"/>
        <v>0</v>
      </c>
      <c r="K403" s="61">
        <f t="shared" si="446"/>
        <v>0</v>
      </c>
      <c r="L403" s="61">
        <f>SUM(F403:K403)</f>
        <v>0</v>
      </c>
      <c r="M403" s="61">
        <f>L403/6</f>
        <v>0</v>
      </c>
      <c r="N403" s="61">
        <f t="shared" ref="N403:S403" si="447">N401*N402/1000</f>
        <v>0</v>
      </c>
      <c r="O403" s="61">
        <f t="shared" si="447"/>
        <v>0</v>
      </c>
      <c r="P403" s="61">
        <f t="shared" si="447"/>
        <v>0</v>
      </c>
      <c r="Q403" s="61">
        <f t="shared" si="447"/>
        <v>0</v>
      </c>
      <c r="R403" s="61">
        <f t="shared" si="447"/>
        <v>0</v>
      </c>
      <c r="S403" s="61">
        <f t="shared" si="447"/>
        <v>0</v>
      </c>
      <c r="T403" s="61">
        <f>SUM(N403:S403)</f>
        <v>0</v>
      </c>
      <c r="U403" s="61">
        <f>T403+L403</f>
        <v>0</v>
      </c>
      <c r="V403" s="61">
        <f>V398</f>
        <v>0</v>
      </c>
      <c r="W403" s="72">
        <f>V403-U403</f>
        <v>0</v>
      </c>
      <c r="X403" s="63">
        <f>U398-U403</f>
        <v>0</v>
      </c>
    </row>
    <row r="404" spans="1:28" s="126" customFormat="1" ht="23.35" hidden="1" customHeight="1">
      <c r="A404" s="595"/>
      <c r="B404" s="576"/>
      <c r="C404" s="577"/>
      <c r="D404" s="201" t="str">
        <f>серпень!D327</f>
        <v>дотація</v>
      </c>
      <c r="E404" s="71"/>
      <c r="F404" s="61"/>
      <c r="G404" s="61"/>
      <c r="H404" s="61"/>
      <c r="I404" s="61"/>
      <c r="J404" s="61"/>
      <c r="K404" s="61"/>
      <c r="L404" s="61">
        <f>SUM(F404:K404)</f>
        <v>0</v>
      </c>
      <c r="M404" s="61">
        <f>L404/6</f>
        <v>0</v>
      </c>
      <c r="N404" s="61"/>
      <c r="O404" s="61"/>
      <c r="P404" s="61"/>
      <c r="Q404" s="61"/>
      <c r="R404" s="61"/>
      <c r="S404" s="61"/>
      <c r="T404" s="61">
        <f>SUM(N404:S404)</f>
        <v>0</v>
      </c>
      <c r="U404" s="61">
        <f>T404+L404</f>
        <v>0</v>
      </c>
      <c r="V404" s="61">
        <f>V399</f>
        <v>0</v>
      </c>
      <c r="W404" s="72">
        <f>V404-U404</f>
        <v>0</v>
      </c>
      <c r="X404" s="63">
        <f>U399-U404</f>
        <v>0</v>
      </c>
    </row>
    <row r="405" spans="1:28" s="126" customFormat="1" ht="23.35" hidden="1" customHeight="1">
      <c r="A405" s="595"/>
      <c r="B405" s="576"/>
      <c r="C405" s="577"/>
      <c r="D405" s="201" t="str">
        <f>серпень!D328</f>
        <v xml:space="preserve">місцевий </v>
      </c>
      <c r="E405" s="71"/>
      <c r="F405" s="61">
        <f t="shared" ref="F405:K405" si="448">F403-F404</f>
        <v>0</v>
      </c>
      <c r="G405" s="61">
        <f t="shared" si="448"/>
        <v>0</v>
      </c>
      <c r="H405" s="61">
        <f t="shared" si="448"/>
        <v>0</v>
      </c>
      <c r="I405" s="61">
        <f t="shared" si="448"/>
        <v>0</v>
      </c>
      <c r="J405" s="61">
        <f t="shared" si="448"/>
        <v>0</v>
      </c>
      <c r="K405" s="61">
        <f t="shared" si="448"/>
        <v>0</v>
      </c>
      <c r="L405" s="61">
        <f>SUM(F405:K405)</f>
        <v>0</v>
      </c>
      <c r="M405" s="61">
        <f>L405/6</f>
        <v>0</v>
      </c>
      <c r="N405" s="61">
        <f t="shared" ref="N405:S405" si="449">N403-N404</f>
        <v>0</v>
      </c>
      <c r="O405" s="61">
        <f t="shared" si="449"/>
        <v>0</v>
      </c>
      <c r="P405" s="61">
        <f t="shared" si="449"/>
        <v>0</v>
      </c>
      <c r="Q405" s="61">
        <f t="shared" si="449"/>
        <v>0</v>
      </c>
      <c r="R405" s="61">
        <f t="shared" si="449"/>
        <v>0</v>
      </c>
      <c r="S405" s="61">
        <f t="shared" si="449"/>
        <v>0</v>
      </c>
      <c r="T405" s="61">
        <f>SUM(N405:S405)</f>
        <v>0</v>
      </c>
      <c r="U405" s="61">
        <f>T405+L405</f>
        <v>0</v>
      </c>
      <c r="V405" s="61">
        <f>V400</f>
        <v>0</v>
      </c>
      <c r="W405" s="72">
        <f>V405-U405</f>
        <v>0</v>
      </c>
      <c r="X405" s="63">
        <f>U400-U405</f>
        <v>0</v>
      </c>
    </row>
    <row r="406" spans="1:28" s="43" customFormat="1" ht="23.35" hidden="1" customHeight="1">
      <c r="A406" s="595"/>
      <c r="B406" s="576"/>
      <c r="C406" s="577"/>
      <c r="D406" s="202" t="str">
        <f>серпень!D329</f>
        <v>план</v>
      </c>
      <c r="E406" s="42"/>
      <c r="F406" s="42">
        <f t="shared" ref="F406:K406" si="450">F400</f>
        <v>0</v>
      </c>
      <c r="G406" s="42">
        <f t="shared" si="450"/>
        <v>0</v>
      </c>
      <c r="H406" s="42">
        <f t="shared" si="450"/>
        <v>0</v>
      </c>
      <c r="I406" s="42">
        <f t="shared" si="450"/>
        <v>0</v>
      </c>
      <c r="J406" s="42">
        <f t="shared" si="450"/>
        <v>0</v>
      </c>
      <c r="K406" s="42">
        <f t="shared" si="450"/>
        <v>0</v>
      </c>
      <c r="L406" s="42">
        <f>SUM(F406:K406)</f>
        <v>0</v>
      </c>
      <c r="M406" s="42">
        <f>L406/6</f>
        <v>0</v>
      </c>
      <c r="N406" s="42">
        <f t="shared" ref="N406:S406" si="451">N400+N399</f>
        <v>0</v>
      </c>
      <c r="O406" s="42">
        <f t="shared" si="451"/>
        <v>0</v>
      </c>
      <c r="P406" s="42">
        <f t="shared" si="451"/>
        <v>0</v>
      </c>
      <c r="Q406" s="42">
        <f t="shared" si="451"/>
        <v>0</v>
      </c>
      <c r="R406" s="42">
        <f t="shared" si="451"/>
        <v>0</v>
      </c>
      <c r="S406" s="42">
        <f t="shared" si="451"/>
        <v>0</v>
      </c>
      <c r="T406" s="42">
        <f>SUM(N406:S406)</f>
        <v>0</v>
      </c>
      <c r="U406" s="42">
        <f>T406+L406</f>
        <v>0</v>
      </c>
      <c r="V406" s="42">
        <f>V403</f>
        <v>0</v>
      </c>
      <c r="W406" s="42">
        <f>V406-U406</f>
        <v>0</v>
      </c>
    </row>
    <row r="407" spans="1:28" s="43" customFormat="1" ht="23.35" hidden="1" customHeight="1">
      <c r="A407" s="595"/>
      <c r="B407" s="576"/>
      <c r="C407" s="577"/>
      <c r="D407" s="202" t="str">
        <f>серпень!D330</f>
        <v xml:space="preserve">відхилення </v>
      </c>
      <c r="E407" s="42"/>
      <c r="F407" s="42">
        <f t="shared" ref="F407:K407" si="452">F403-F406</f>
        <v>0</v>
      </c>
      <c r="G407" s="42">
        <f t="shared" si="452"/>
        <v>0</v>
      </c>
      <c r="H407" s="42">
        <f t="shared" si="452"/>
        <v>0</v>
      </c>
      <c r="I407" s="42">
        <f t="shared" si="452"/>
        <v>0</v>
      </c>
      <c r="J407" s="42">
        <f t="shared" si="452"/>
        <v>0</v>
      </c>
      <c r="K407" s="42">
        <f t="shared" si="452"/>
        <v>0</v>
      </c>
      <c r="L407" s="42"/>
      <c r="M407" s="42"/>
      <c r="N407" s="42">
        <f t="shared" ref="N407:S407" si="453">N403-N406</f>
        <v>0</v>
      </c>
      <c r="O407" s="42">
        <f t="shared" si="453"/>
        <v>0</v>
      </c>
      <c r="P407" s="42">
        <f t="shared" si="453"/>
        <v>0</v>
      </c>
      <c r="Q407" s="42">
        <f t="shared" si="453"/>
        <v>0</v>
      </c>
      <c r="R407" s="42">
        <f t="shared" si="453"/>
        <v>0</v>
      </c>
      <c r="S407" s="42">
        <f t="shared" si="453"/>
        <v>0</v>
      </c>
      <c r="T407" s="42"/>
      <c r="U407" s="42"/>
      <c r="V407" s="42"/>
      <c r="W407" s="42"/>
    </row>
    <row r="408" spans="1:28" s="43" customFormat="1" ht="23.35" hidden="1" customHeight="1">
      <c r="A408" s="596"/>
      <c r="B408" s="578"/>
      <c r="C408" s="579"/>
      <c r="D408" s="202" t="str">
        <f>серпень!D331</f>
        <v>відхилення з наростаючим</v>
      </c>
      <c r="E408" s="42"/>
      <c r="F408" s="42">
        <f>F407</f>
        <v>0</v>
      </c>
      <c r="G408" s="42">
        <f>G407+F408</f>
        <v>0</v>
      </c>
      <c r="H408" s="42">
        <f>H407+G408</f>
        <v>0</v>
      </c>
      <c r="I408" s="42">
        <f>I407+H408</f>
        <v>0</v>
      </c>
      <c r="J408" s="42">
        <f>J407+I408</f>
        <v>0</v>
      </c>
      <c r="K408" s="42">
        <f>K407+J408</f>
        <v>0</v>
      </c>
      <c r="L408" s="42"/>
      <c r="M408" s="42"/>
      <c r="N408" s="42">
        <f>N407+K408</f>
        <v>0</v>
      </c>
      <c r="O408" s="42">
        <f>O407+N408</f>
        <v>0</v>
      </c>
      <c r="P408" s="42">
        <f>P407+O408</f>
        <v>0</v>
      </c>
      <c r="Q408" s="42">
        <f>Q407+P408</f>
        <v>0</v>
      </c>
      <c r="R408" s="42">
        <f>R407+Q408</f>
        <v>0</v>
      </c>
      <c r="S408" s="42">
        <f>S407+R408</f>
        <v>0</v>
      </c>
      <c r="T408" s="42"/>
      <c r="U408" s="42"/>
      <c r="V408" s="42"/>
      <c r="W408" s="42"/>
    </row>
    <row r="409" spans="1:28" s="3" customFormat="1" ht="23.35" customHeight="1">
      <c r="A409" s="582" t="s">
        <v>39</v>
      </c>
      <c r="B409" s="655" t="s">
        <v>40</v>
      </c>
      <c r="C409" s="656"/>
      <c r="D409" s="178" t="str">
        <f>серпень!D332</f>
        <v>факт. нат.п-ки 2023</v>
      </c>
      <c r="E409" s="179"/>
      <c r="F409" s="180">
        <f t="shared" ref="F409:K411" si="454">F426+F441+F456</f>
        <v>911</v>
      </c>
      <c r="G409" s="180">
        <f t="shared" si="454"/>
        <v>71</v>
      </c>
      <c r="H409" s="180">
        <f t="shared" si="454"/>
        <v>104.5</v>
      </c>
      <c r="I409" s="180">
        <f t="shared" si="454"/>
        <v>198.5</v>
      </c>
      <c r="J409" s="180">
        <f t="shared" si="454"/>
        <v>665.2</v>
      </c>
      <c r="K409" s="180">
        <f t="shared" si="454"/>
        <v>0</v>
      </c>
      <c r="L409" s="215">
        <f>SUM(F409:K409)</f>
        <v>1950.2</v>
      </c>
      <c r="M409" s="215">
        <f>L409/6</f>
        <v>325</v>
      </c>
      <c r="N409" s="180">
        <f t="shared" ref="N409:S411" si="455">N426+N441+N456</f>
        <v>77.2</v>
      </c>
      <c r="O409" s="180">
        <f t="shared" si="455"/>
        <v>24</v>
      </c>
      <c r="P409" s="180">
        <f t="shared" si="455"/>
        <v>10.3</v>
      </c>
      <c r="Q409" s="180">
        <f t="shared" si="455"/>
        <v>0</v>
      </c>
      <c r="R409" s="180">
        <f t="shared" si="455"/>
        <v>0</v>
      </c>
      <c r="S409" s="180">
        <f t="shared" si="455"/>
        <v>334</v>
      </c>
      <c r="T409" s="215">
        <f>SUM(N409:S409)</f>
        <v>445.5</v>
      </c>
      <c r="U409" s="215">
        <f>T409+L409</f>
        <v>2395.6999999999998</v>
      </c>
      <c r="V409" s="233">
        <f>V426+V456</f>
        <v>2395.6999999999998</v>
      </c>
      <c r="W409" s="184"/>
      <c r="X409" s="36"/>
    </row>
    <row r="410" spans="1:28" s="3" customFormat="1" ht="23.35" customHeight="1">
      <c r="A410" s="583"/>
      <c r="B410" s="657"/>
      <c r="C410" s="658"/>
      <c r="D410" s="178" t="str">
        <f>серпень!D333</f>
        <v>факт. нат.п-ки 2024</v>
      </c>
      <c r="E410" s="179"/>
      <c r="F410" s="180">
        <f t="shared" si="454"/>
        <v>56</v>
      </c>
      <c r="G410" s="180">
        <f t="shared" si="454"/>
        <v>18.8</v>
      </c>
      <c r="H410" s="180">
        <f t="shared" si="454"/>
        <v>21.8</v>
      </c>
      <c r="I410" s="180">
        <f t="shared" si="454"/>
        <v>18.8</v>
      </c>
      <c r="J410" s="180">
        <f t="shared" si="454"/>
        <v>8</v>
      </c>
      <c r="K410" s="180">
        <f t="shared" si="454"/>
        <v>37.200000000000003</v>
      </c>
      <c r="L410" s="215">
        <f>SUM(F410:K410)</f>
        <v>160.6</v>
      </c>
      <c r="M410" s="215">
        <f>L410/6</f>
        <v>26.8</v>
      </c>
      <c r="N410" s="180">
        <f t="shared" si="455"/>
        <v>23.1</v>
      </c>
      <c r="O410" s="180">
        <f t="shared" si="455"/>
        <v>48</v>
      </c>
      <c r="P410" s="180">
        <f t="shared" si="455"/>
        <v>18.600000000000001</v>
      </c>
      <c r="Q410" s="180">
        <f t="shared" si="455"/>
        <v>13.8</v>
      </c>
      <c r="R410" s="180">
        <f t="shared" si="455"/>
        <v>443</v>
      </c>
      <c r="S410" s="180">
        <f t="shared" si="455"/>
        <v>387.8</v>
      </c>
      <c r="T410" s="215">
        <f>SUM(N410:S410)</f>
        <v>934.3</v>
      </c>
      <c r="U410" s="215">
        <f>T410+L410</f>
        <v>1094.9000000000001</v>
      </c>
      <c r="V410" s="233">
        <f>V427+V457</f>
        <v>1094.9000000000001</v>
      </c>
      <c r="W410" s="184"/>
      <c r="X410" s="36"/>
    </row>
    <row r="411" spans="1:28" s="3" customFormat="1" ht="23.35" customHeight="1">
      <c r="A411" s="583"/>
      <c r="B411" s="657"/>
      <c r="C411" s="658"/>
      <c r="D411" s="178" t="str">
        <f>серпень!D334</f>
        <v>факт. нат.п-ки 2025</v>
      </c>
      <c r="E411" s="179"/>
      <c r="F411" s="180">
        <f>F428+F443+F458</f>
        <v>10</v>
      </c>
      <c r="G411" s="180">
        <f t="shared" si="454"/>
        <v>18</v>
      </c>
      <c r="H411" s="180">
        <f t="shared" si="454"/>
        <v>6</v>
      </c>
      <c r="I411" s="180">
        <f t="shared" si="454"/>
        <v>18</v>
      </c>
      <c r="J411" s="180">
        <f t="shared" si="454"/>
        <v>22</v>
      </c>
      <c r="K411" s="180">
        <f t="shared" si="454"/>
        <v>18</v>
      </c>
      <c r="L411" s="234">
        <f>SUM(F411:K411)</f>
        <v>92</v>
      </c>
      <c r="M411" s="215">
        <f>L411/6</f>
        <v>15.3</v>
      </c>
      <c r="N411" s="180">
        <f t="shared" si="455"/>
        <v>3.4</v>
      </c>
      <c r="O411" s="180">
        <f t="shared" si="455"/>
        <v>32.299999999999997</v>
      </c>
      <c r="P411" s="180">
        <f t="shared" si="455"/>
        <v>58.6</v>
      </c>
      <c r="Q411" s="180">
        <f t="shared" si="455"/>
        <v>53.8</v>
      </c>
      <c r="R411" s="180">
        <f t="shared" si="455"/>
        <v>443</v>
      </c>
      <c r="S411" s="180">
        <f t="shared" si="455"/>
        <v>387.8</v>
      </c>
      <c r="T411" s="215">
        <f>SUM(N411:S411)</f>
        <v>978.9</v>
      </c>
      <c r="U411" s="215">
        <f>T411+L411</f>
        <v>1070.9000000000001</v>
      </c>
      <c r="V411" s="233">
        <f>V428+V443+V458</f>
        <v>2735.4</v>
      </c>
      <c r="W411" s="184">
        <f>V411-U411</f>
        <v>1664.5</v>
      </c>
      <c r="X411" s="36"/>
    </row>
    <row r="412" spans="1:28" s="128" customFormat="1" ht="23.35" customHeight="1">
      <c r="A412" s="583"/>
      <c r="B412" s="657"/>
      <c r="C412" s="658"/>
      <c r="D412" s="187" t="str">
        <f>серпень!D335</f>
        <v>тариф, грн.</v>
      </c>
      <c r="E412" s="188"/>
      <c r="F412" s="188">
        <f t="shared" ref="F412:S412" si="456">F413/F411*1000</f>
        <v>14.2</v>
      </c>
      <c r="G412" s="188">
        <f t="shared" si="456"/>
        <v>14.167</v>
      </c>
      <c r="H412" s="188">
        <f t="shared" si="456"/>
        <v>14.167</v>
      </c>
      <c r="I412" s="188">
        <f t="shared" si="456"/>
        <v>14.222</v>
      </c>
      <c r="J412" s="188">
        <f t="shared" si="456"/>
        <v>14.182</v>
      </c>
      <c r="K412" s="188">
        <f t="shared" si="456"/>
        <v>14.167</v>
      </c>
      <c r="L412" s="188">
        <f t="shared" si="456"/>
        <v>14.185</v>
      </c>
      <c r="M412" s="188">
        <f t="shared" si="456"/>
        <v>14.247999999999999</v>
      </c>
      <c r="N412" s="188">
        <f t="shared" si="456"/>
        <v>14.118</v>
      </c>
      <c r="O412" s="188">
        <f t="shared" si="456"/>
        <v>14.18</v>
      </c>
      <c r="P412" s="188">
        <f t="shared" si="456"/>
        <v>14.180999999999999</v>
      </c>
      <c r="Q412" s="188">
        <f t="shared" si="456"/>
        <v>14.182</v>
      </c>
      <c r="R412" s="188">
        <f t="shared" si="456"/>
        <v>14.185</v>
      </c>
      <c r="S412" s="188">
        <f t="shared" si="456"/>
        <v>14.185</v>
      </c>
      <c r="T412" s="188">
        <f>T413/T411*1000</f>
        <v>14.183999999999999</v>
      </c>
      <c r="U412" s="188">
        <f>U413/U411*1000</f>
        <v>14.183999999999999</v>
      </c>
      <c r="V412" s="188">
        <f>V413/V411*1000</f>
        <v>14.183999999999999</v>
      </c>
      <c r="W412" s="189">
        <f>W413/W411*1000</f>
        <v>14.183999999999999</v>
      </c>
      <c r="X412" s="127"/>
    </row>
    <row r="413" spans="1:28" s="172" customFormat="1" ht="18" customHeight="1">
      <c r="A413" s="583"/>
      <c r="B413" s="657"/>
      <c r="C413" s="658"/>
      <c r="D413" s="191" t="str">
        <f>серпень!D336</f>
        <v>сума, тис.грн.</v>
      </c>
      <c r="E413" s="192"/>
      <c r="F413" s="192">
        <f t="shared" ref="F413:K413" si="457">F430+F445+F460</f>
        <v>0.14199999999999999</v>
      </c>
      <c r="G413" s="192">
        <f t="shared" si="457"/>
        <v>0.255</v>
      </c>
      <c r="H413" s="192">
        <f t="shared" si="457"/>
        <v>8.5000000000000006E-2</v>
      </c>
      <c r="I413" s="192">
        <f t="shared" si="457"/>
        <v>0.25600000000000001</v>
      </c>
      <c r="J413" s="192">
        <f t="shared" si="457"/>
        <v>0.312</v>
      </c>
      <c r="K413" s="192">
        <f t="shared" si="457"/>
        <v>0.255</v>
      </c>
      <c r="L413" s="194">
        <f t="shared" ref="L413:L418" si="458">SUM(F413:K413)</f>
        <v>1.3049999999999999</v>
      </c>
      <c r="M413" s="194">
        <f t="shared" ref="M413:M418" si="459">L413/6</f>
        <v>0.218</v>
      </c>
      <c r="N413" s="192">
        <f t="shared" ref="N413:S413" si="460">N430+N445+N460</f>
        <v>4.8000000000000001E-2</v>
      </c>
      <c r="O413" s="192">
        <f t="shared" si="460"/>
        <v>0.45800000000000002</v>
      </c>
      <c r="P413" s="192">
        <f t="shared" si="460"/>
        <v>0.83099999999999996</v>
      </c>
      <c r="Q413" s="192">
        <f t="shared" si="460"/>
        <v>0.76300000000000001</v>
      </c>
      <c r="R413" s="192">
        <f t="shared" si="460"/>
        <v>6.2839999999999998</v>
      </c>
      <c r="S413" s="192">
        <f t="shared" si="460"/>
        <v>5.5010000000000003</v>
      </c>
      <c r="T413" s="194">
        <f t="shared" ref="T413:T418" si="461">SUM(N413:S413)</f>
        <v>13.885</v>
      </c>
      <c r="U413" s="194">
        <f t="shared" ref="U413:U418" si="462">T413+L413</f>
        <v>15.19</v>
      </c>
      <c r="V413" s="192">
        <f t="shared" ref="V413" si="463">V430+V445+V460</f>
        <v>38.798999999999999</v>
      </c>
      <c r="W413" s="192">
        <f>V413-U413</f>
        <v>23.609000000000002</v>
      </c>
    </row>
    <row r="414" spans="1:28" s="172" customFormat="1" ht="18" customHeight="1">
      <c r="A414" s="583"/>
      <c r="B414" s="657"/>
      <c r="C414" s="658"/>
      <c r="D414" s="174" t="str">
        <f>серпень!D337</f>
        <v>абоненська плата, тис.грн.</v>
      </c>
      <c r="E414" s="192"/>
      <c r="F414" s="192">
        <f>F445</f>
        <v>0</v>
      </c>
      <c r="G414" s="192">
        <f t="shared" ref="G414:K414" si="464">G445</f>
        <v>0</v>
      </c>
      <c r="H414" s="192">
        <f t="shared" si="464"/>
        <v>0</v>
      </c>
      <c r="I414" s="192">
        <f t="shared" si="464"/>
        <v>0</v>
      </c>
      <c r="J414" s="192">
        <f t="shared" si="464"/>
        <v>0</v>
      </c>
      <c r="K414" s="192">
        <f t="shared" si="464"/>
        <v>0</v>
      </c>
      <c r="L414" s="194">
        <f t="shared" si="458"/>
        <v>0</v>
      </c>
      <c r="M414" s="194">
        <f t="shared" si="459"/>
        <v>0</v>
      </c>
      <c r="N414" s="192">
        <f>N445</f>
        <v>0</v>
      </c>
      <c r="O414" s="192">
        <f t="shared" ref="O414:S414" si="465">O445</f>
        <v>0</v>
      </c>
      <c r="P414" s="192">
        <f t="shared" si="465"/>
        <v>0</v>
      </c>
      <c r="Q414" s="192">
        <f t="shared" si="465"/>
        <v>0</v>
      </c>
      <c r="R414" s="192">
        <f t="shared" si="465"/>
        <v>0</v>
      </c>
      <c r="S414" s="192">
        <f t="shared" si="465"/>
        <v>0</v>
      </c>
      <c r="T414" s="194">
        <f t="shared" si="461"/>
        <v>0</v>
      </c>
      <c r="U414" s="194">
        <f t="shared" si="462"/>
        <v>0</v>
      </c>
      <c r="V414" s="192">
        <f t="shared" ref="V414" si="466">V445</f>
        <v>0</v>
      </c>
      <c r="W414" s="192">
        <f t="shared" ref="W414:W415" si="467">V414-U414</f>
        <v>0</v>
      </c>
    </row>
    <row r="415" spans="1:28" s="172" customFormat="1" ht="18" customHeight="1">
      <c r="A415" s="583"/>
      <c r="B415" s="657"/>
      <c r="C415" s="658"/>
      <c r="D415" s="174" t="str">
        <f>серпень!D338</f>
        <v>разом сума тис. грн+абонплата</v>
      </c>
      <c r="E415" s="192"/>
      <c r="F415" s="192">
        <f>F413+F414</f>
        <v>0.14199999999999999</v>
      </c>
      <c r="G415" s="192">
        <f t="shared" ref="G415:K415" si="468">G413+G414</f>
        <v>0.255</v>
      </c>
      <c r="H415" s="192">
        <f t="shared" si="468"/>
        <v>8.5000000000000006E-2</v>
      </c>
      <c r="I415" s="192">
        <f t="shared" si="468"/>
        <v>0.25600000000000001</v>
      </c>
      <c r="J415" s="192">
        <f t="shared" si="468"/>
        <v>0.312</v>
      </c>
      <c r="K415" s="192">
        <f t="shared" si="468"/>
        <v>0.255</v>
      </c>
      <c r="L415" s="194">
        <f t="shared" si="458"/>
        <v>1.3049999999999999</v>
      </c>
      <c r="M415" s="194">
        <f t="shared" si="459"/>
        <v>0.218</v>
      </c>
      <c r="N415" s="192">
        <f>N413+N414</f>
        <v>4.8000000000000001E-2</v>
      </c>
      <c r="O415" s="192">
        <f t="shared" ref="O415:S415" si="469">O413+O414</f>
        <v>0.45800000000000002</v>
      </c>
      <c r="P415" s="192">
        <f t="shared" si="469"/>
        <v>0.83099999999999996</v>
      </c>
      <c r="Q415" s="192">
        <f t="shared" si="469"/>
        <v>0.76300000000000001</v>
      </c>
      <c r="R415" s="192">
        <f t="shared" si="469"/>
        <v>6.2839999999999998</v>
      </c>
      <c r="S415" s="192">
        <f t="shared" si="469"/>
        <v>5.5010000000000003</v>
      </c>
      <c r="T415" s="194">
        <f t="shared" si="461"/>
        <v>13.885</v>
      </c>
      <c r="U415" s="194">
        <f t="shared" si="462"/>
        <v>15.19</v>
      </c>
      <c r="V415" s="192">
        <f t="shared" ref="V415" si="470">V413+V414</f>
        <v>38.798999999999999</v>
      </c>
      <c r="W415" s="192">
        <f t="shared" si="467"/>
        <v>23.609000000000002</v>
      </c>
    </row>
    <row r="416" spans="1:28" s="172" customFormat="1" ht="18" customHeight="1">
      <c r="A416" s="583"/>
      <c r="B416" s="657"/>
      <c r="C416" s="658"/>
      <c r="D416" s="174" t="str">
        <f>серпень!D339</f>
        <v>дотація</v>
      </c>
      <c r="E416" s="192"/>
      <c r="F416" s="192">
        <f t="shared" ref="F416:K418" si="471">F431+F446+F461</f>
        <v>0</v>
      </c>
      <c r="G416" s="192">
        <f t="shared" si="471"/>
        <v>0</v>
      </c>
      <c r="H416" s="192">
        <f t="shared" si="471"/>
        <v>0</v>
      </c>
      <c r="I416" s="192">
        <f t="shared" si="471"/>
        <v>0</v>
      </c>
      <c r="J416" s="192">
        <f t="shared" si="471"/>
        <v>0</v>
      </c>
      <c r="K416" s="192">
        <f t="shared" si="471"/>
        <v>0</v>
      </c>
      <c r="L416" s="194">
        <f t="shared" si="458"/>
        <v>0</v>
      </c>
      <c r="M416" s="194">
        <f t="shared" si="459"/>
        <v>0</v>
      </c>
      <c r="N416" s="192">
        <f t="shared" ref="N416:S418" si="472">N431+N446+N461</f>
        <v>0</v>
      </c>
      <c r="O416" s="192">
        <f t="shared" si="472"/>
        <v>0</v>
      </c>
      <c r="P416" s="192">
        <f t="shared" si="472"/>
        <v>0</v>
      </c>
      <c r="Q416" s="192">
        <f t="shared" si="472"/>
        <v>0</v>
      </c>
      <c r="R416" s="192">
        <f t="shared" si="472"/>
        <v>0</v>
      </c>
      <c r="S416" s="192">
        <f t="shared" si="472"/>
        <v>0</v>
      </c>
      <c r="T416" s="194">
        <f t="shared" si="461"/>
        <v>0</v>
      </c>
      <c r="U416" s="194">
        <f t="shared" si="462"/>
        <v>0</v>
      </c>
      <c r="V416" s="192">
        <f t="shared" ref="V416:V417" si="473">V431+V446+V461</f>
        <v>0</v>
      </c>
      <c r="W416" s="192">
        <f>V416-U416</f>
        <v>0</v>
      </c>
    </row>
    <row r="417" spans="1:28" s="172" customFormat="1" ht="18" customHeight="1">
      <c r="A417" s="583"/>
      <c r="B417" s="657"/>
      <c r="C417" s="658"/>
      <c r="D417" s="174" t="str">
        <f>серпень!D340</f>
        <v>місцевий (план), тис.грн</v>
      </c>
      <c r="E417" s="192"/>
      <c r="F417" s="192">
        <f t="shared" si="471"/>
        <v>0</v>
      </c>
      <c r="G417" s="192">
        <f t="shared" si="471"/>
        <v>1.538</v>
      </c>
      <c r="H417" s="192">
        <f t="shared" si="471"/>
        <v>1.482</v>
      </c>
      <c r="I417" s="192">
        <f t="shared" si="471"/>
        <v>0</v>
      </c>
      <c r="J417" s="192">
        <f t="shared" si="471"/>
        <v>0.51500000000000001</v>
      </c>
      <c r="K417" s="192">
        <f t="shared" si="471"/>
        <v>0.753</v>
      </c>
      <c r="L417" s="194">
        <f t="shared" si="458"/>
        <v>4.2880000000000003</v>
      </c>
      <c r="M417" s="194">
        <f t="shared" si="459"/>
        <v>0.71499999999999997</v>
      </c>
      <c r="N417" s="192">
        <f t="shared" si="472"/>
        <v>2.7330000000000001</v>
      </c>
      <c r="O417" s="192">
        <f t="shared" si="472"/>
        <v>0.96499999999999997</v>
      </c>
      <c r="P417" s="192">
        <f t="shared" si="472"/>
        <v>6.5010000000000003</v>
      </c>
      <c r="Q417" s="192">
        <f t="shared" si="472"/>
        <v>10.491</v>
      </c>
      <c r="R417" s="192">
        <f t="shared" si="472"/>
        <v>6.6459999999999999</v>
      </c>
      <c r="S417" s="192">
        <f t="shared" si="472"/>
        <v>7.1749999999999998</v>
      </c>
      <c r="T417" s="194">
        <f t="shared" si="461"/>
        <v>34.511000000000003</v>
      </c>
      <c r="U417" s="194">
        <f t="shared" si="462"/>
        <v>38.798999999999999</v>
      </c>
      <c r="V417" s="192">
        <f t="shared" si="473"/>
        <v>38.798999999999999</v>
      </c>
      <c r="W417" s="192">
        <f>V417-U417</f>
        <v>0</v>
      </c>
    </row>
    <row r="418" spans="1:28" s="3" customFormat="1" ht="23.35" customHeight="1">
      <c r="A418" s="583"/>
      <c r="B418" s="657"/>
      <c r="C418" s="658"/>
      <c r="D418" s="178" t="str">
        <f>серпень!D341</f>
        <v>касові нат.п-ки 2025</v>
      </c>
      <c r="E418" s="179">
        <f>E433</f>
        <v>0</v>
      </c>
      <c r="F418" s="179">
        <f t="shared" si="471"/>
        <v>0</v>
      </c>
      <c r="G418" s="179">
        <f t="shared" si="471"/>
        <v>10</v>
      </c>
      <c r="H418" s="179">
        <f t="shared" si="471"/>
        <v>18</v>
      </c>
      <c r="I418" s="179">
        <f t="shared" si="471"/>
        <v>6</v>
      </c>
      <c r="J418" s="179">
        <f t="shared" si="471"/>
        <v>18</v>
      </c>
      <c r="K418" s="179">
        <f t="shared" si="471"/>
        <v>22</v>
      </c>
      <c r="L418" s="215">
        <f t="shared" si="458"/>
        <v>74</v>
      </c>
      <c r="M418" s="215">
        <f t="shared" si="459"/>
        <v>12.3</v>
      </c>
      <c r="N418" s="179">
        <f t="shared" si="472"/>
        <v>18</v>
      </c>
      <c r="O418" s="179">
        <f t="shared" si="472"/>
        <v>3.4</v>
      </c>
      <c r="P418" s="179">
        <f t="shared" si="472"/>
        <v>90.9</v>
      </c>
      <c r="Q418" s="179">
        <f t="shared" si="472"/>
        <v>53.8</v>
      </c>
      <c r="R418" s="179">
        <f t="shared" si="472"/>
        <v>443</v>
      </c>
      <c r="S418" s="179">
        <f t="shared" si="472"/>
        <v>387.8</v>
      </c>
      <c r="T418" s="215">
        <f t="shared" si="461"/>
        <v>996.9</v>
      </c>
      <c r="U418" s="215">
        <f t="shared" si="462"/>
        <v>1070.9000000000001</v>
      </c>
      <c r="V418" s="179">
        <f>V433+V463</f>
        <v>2735.4</v>
      </c>
      <c r="W418" s="184">
        <f>V418-U418</f>
        <v>1664.5</v>
      </c>
      <c r="X418" s="36">
        <f>U411-U418</f>
        <v>0</v>
      </c>
    </row>
    <row r="419" spans="1:28" s="128" customFormat="1" ht="23.35" customHeight="1">
      <c r="A419" s="583"/>
      <c r="B419" s="657"/>
      <c r="C419" s="658"/>
      <c r="D419" s="187" t="str">
        <f>серпень!D342</f>
        <v>тариф, грн.</v>
      </c>
      <c r="E419" s="188" t="e">
        <f t="shared" ref="E419:S419" si="474">E420/E418*1000</f>
        <v>#DIV/0!</v>
      </c>
      <c r="F419" s="188" t="e">
        <f t="shared" si="474"/>
        <v>#DIV/0!</v>
      </c>
      <c r="G419" s="188">
        <f t="shared" si="474"/>
        <v>14.2</v>
      </c>
      <c r="H419" s="188">
        <f t="shared" si="474"/>
        <v>14.167</v>
      </c>
      <c r="I419" s="188">
        <f t="shared" si="474"/>
        <v>14.167</v>
      </c>
      <c r="J419" s="188">
        <f t="shared" si="474"/>
        <v>14.222</v>
      </c>
      <c r="K419" s="188">
        <f t="shared" si="474"/>
        <v>14.182</v>
      </c>
      <c r="L419" s="188">
        <f t="shared" si="474"/>
        <v>14.189</v>
      </c>
      <c r="M419" s="188">
        <f t="shared" si="474"/>
        <v>14.228</v>
      </c>
      <c r="N419" s="188">
        <f t="shared" si="474"/>
        <v>14.167</v>
      </c>
      <c r="O419" s="188">
        <f t="shared" si="474"/>
        <v>14.118</v>
      </c>
      <c r="P419" s="188">
        <f t="shared" si="474"/>
        <v>14.18</v>
      </c>
      <c r="Q419" s="188">
        <f t="shared" si="474"/>
        <v>14.182</v>
      </c>
      <c r="R419" s="188">
        <f t="shared" si="474"/>
        <v>14.185</v>
      </c>
      <c r="S419" s="188">
        <f t="shared" si="474"/>
        <v>14.185</v>
      </c>
      <c r="T419" s="188">
        <f>T420/T418*1000</f>
        <v>14.183999999999999</v>
      </c>
      <c r="U419" s="188">
        <f>U420/U418*1000</f>
        <v>14.183999999999999</v>
      </c>
      <c r="V419" s="188">
        <f>V420/V418*1000</f>
        <v>14.183999999999999</v>
      </c>
      <c r="W419" s="189">
        <f>W420/W418*1000</f>
        <v>14.183999999999999</v>
      </c>
      <c r="X419" s="127"/>
    </row>
    <row r="420" spans="1:28" s="74" customFormat="1" ht="23.35" customHeight="1">
      <c r="A420" s="583"/>
      <c r="B420" s="657"/>
      <c r="C420" s="658"/>
      <c r="D420" s="198" t="str">
        <f>серпень!D343</f>
        <v>касові видатки, тис.грн.</v>
      </c>
      <c r="E420" s="220">
        <f>E435+E465</f>
        <v>0</v>
      </c>
      <c r="F420" s="199">
        <f t="shared" ref="F420:K422" si="475">F435+F450+F465</f>
        <v>0</v>
      </c>
      <c r="G420" s="199">
        <f t="shared" si="475"/>
        <v>0.14199999999999999</v>
      </c>
      <c r="H420" s="199">
        <f t="shared" si="475"/>
        <v>0.255</v>
      </c>
      <c r="I420" s="199">
        <f t="shared" si="475"/>
        <v>8.5000000000000006E-2</v>
      </c>
      <c r="J420" s="199">
        <f t="shared" si="475"/>
        <v>0.25600000000000001</v>
      </c>
      <c r="K420" s="199">
        <f t="shared" si="475"/>
        <v>0.312</v>
      </c>
      <c r="L420" s="199">
        <f>SUM(F420:K420)</f>
        <v>1.05</v>
      </c>
      <c r="M420" s="199">
        <f>L420/6</f>
        <v>0.17499999999999999</v>
      </c>
      <c r="N420" s="199">
        <f t="shared" ref="N420:S422" si="476">N435+N450+N465</f>
        <v>0.255</v>
      </c>
      <c r="O420" s="199">
        <f t="shared" si="476"/>
        <v>4.8000000000000001E-2</v>
      </c>
      <c r="P420" s="199">
        <f t="shared" si="476"/>
        <v>1.2889999999999999</v>
      </c>
      <c r="Q420" s="199">
        <f t="shared" si="476"/>
        <v>0.76300000000000001</v>
      </c>
      <c r="R420" s="199">
        <f t="shared" si="476"/>
        <v>6.2839999999999998</v>
      </c>
      <c r="S420" s="199">
        <f t="shared" si="476"/>
        <v>5.5010000000000003</v>
      </c>
      <c r="T420" s="199">
        <f>SUM(N420:S420)</f>
        <v>14.14</v>
      </c>
      <c r="U420" s="199">
        <f>T420+L420</f>
        <v>15.19</v>
      </c>
      <c r="V420" s="199">
        <f>V435+V465</f>
        <v>38.798999999999999</v>
      </c>
      <c r="W420" s="221">
        <f>V420-U420</f>
        <v>23.609000000000002</v>
      </c>
      <c r="X420" s="74">
        <f>U413-U420</f>
        <v>0</v>
      </c>
    </row>
    <row r="421" spans="1:28" s="74" customFormat="1" ht="23.35" customHeight="1">
      <c r="A421" s="583"/>
      <c r="B421" s="657"/>
      <c r="C421" s="658"/>
      <c r="D421" s="201" t="str">
        <f>серпень!D344</f>
        <v>дотація</v>
      </c>
      <c r="E421" s="220"/>
      <c r="F421" s="199">
        <f t="shared" si="475"/>
        <v>0</v>
      </c>
      <c r="G421" s="199">
        <f t="shared" si="475"/>
        <v>0</v>
      </c>
      <c r="H421" s="199">
        <f t="shared" si="475"/>
        <v>0</v>
      </c>
      <c r="I421" s="199">
        <f t="shared" si="475"/>
        <v>0</v>
      </c>
      <c r="J421" s="199">
        <f t="shared" si="475"/>
        <v>0</v>
      </c>
      <c r="K421" s="199">
        <f t="shared" si="475"/>
        <v>0</v>
      </c>
      <c r="L421" s="199">
        <f>SUM(F421:K421)</f>
        <v>0</v>
      </c>
      <c r="M421" s="199">
        <f>L421/6</f>
        <v>0</v>
      </c>
      <c r="N421" s="199">
        <f t="shared" si="476"/>
        <v>0</v>
      </c>
      <c r="O421" s="199">
        <f t="shared" si="476"/>
        <v>0</v>
      </c>
      <c r="P421" s="199">
        <f t="shared" si="476"/>
        <v>0</v>
      </c>
      <c r="Q421" s="199">
        <f t="shared" si="476"/>
        <v>0</v>
      </c>
      <c r="R421" s="199">
        <f t="shared" si="476"/>
        <v>0</v>
      </c>
      <c r="S421" s="199">
        <f t="shared" si="476"/>
        <v>0</v>
      </c>
      <c r="T421" s="199">
        <f>SUM(N421:S421)</f>
        <v>0</v>
      </c>
      <c r="U421" s="199">
        <f>T421+L421</f>
        <v>0</v>
      </c>
      <c r="V421" s="199">
        <f>V436+V466</f>
        <v>0</v>
      </c>
      <c r="W421" s="221">
        <f>V421-U421</f>
        <v>0</v>
      </c>
      <c r="X421" s="74">
        <f>U416-U421</f>
        <v>0</v>
      </c>
    </row>
    <row r="422" spans="1:28" s="74" customFormat="1" ht="23.35" customHeight="1">
      <c r="A422" s="583"/>
      <c r="B422" s="657"/>
      <c r="C422" s="658"/>
      <c r="D422" s="201" t="str">
        <f>серпень!D345</f>
        <v xml:space="preserve">місцевий </v>
      </c>
      <c r="E422" s="220"/>
      <c r="F422" s="199">
        <f t="shared" si="475"/>
        <v>0</v>
      </c>
      <c r="G422" s="199">
        <f t="shared" si="475"/>
        <v>0.14199999999999999</v>
      </c>
      <c r="H422" s="199">
        <f t="shared" si="475"/>
        <v>0.255</v>
      </c>
      <c r="I422" s="199">
        <f t="shared" si="475"/>
        <v>8.5000000000000006E-2</v>
      </c>
      <c r="J422" s="199">
        <f t="shared" si="475"/>
        <v>0.25600000000000001</v>
      </c>
      <c r="K422" s="199">
        <f t="shared" si="475"/>
        <v>0.312</v>
      </c>
      <c r="L422" s="199">
        <f>SUM(F422:K422)</f>
        <v>1.05</v>
      </c>
      <c r="M422" s="199">
        <f>L422/6</f>
        <v>0.17499999999999999</v>
      </c>
      <c r="N422" s="199">
        <f t="shared" si="476"/>
        <v>0.255</v>
      </c>
      <c r="O422" s="199">
        <f t="shared" si="476"/>
        <v>4.8000000000000001E-2</v>
      </c>
      <c r="P422" s="199">
        <f t="shared" si="476"/>
        <v>1.2889999999999999</v>
      </c>
      <c r="Q422" s="199">
        <f t="shared" si="476"/>
        <v>0.76300000000000001</v>
      </c>
      <c r="R422" s="199">
        <f t="shared" si="476"/>
        <v>6.2839999999999998</v>
      </c>
      <c r="S422" s="199">
        <f t="shared" si="476"/>
        <v>5.5010000000000003</v>
      </c>
      <c r="T422" s="199">
        <f>SUM(N422:S422)</f>
        <v>14.14</v>
      </c>
      <c r="U422" s="199">
        <f>T422+L422</f>
        <v>15.19</v>
      </c>
      <c r="V422" s="199">
        <f>V437+V467</f>
        <v>38.798999999999999</v>
      </c>
      <c r="W422" s="221">
        <f>V422-U422</f>
        <v>23.609000000000002</v>
      </c>
      <c r="X422" s="74">
        <f>U417-U422</f>
        <v>23.609000000000002</v>
      </c>
    </row>
    <row r="423" spans="1:28" s="120" customFormat="1" ht="23.35" customHeight="1">
      <c r="A423" s="583"/>
      <c r="B423" s="657"/>
      <c r="C423" s="658"/>
      <c r="D423" s="202" t="str">
        <f>серпень!D346</f>
        <v>план</v>
      </c>
      <c r="E423" s="203"/>
      <c r="F423" s="203">
        <f t="shared" ref="F423:K423" si="477">F417</f>
        <v>0</v>
      </c>
      <c r="G423" s="203">
        <f t="shared" si="477"/>
        <v>1.538</v>
      </c>
      <c r="H423" s="203">
        <f t="shared" si="477"/>
        <v>1.482</v>
      </c>
      <c r="I423" s="203">
        <f t="shared" si="477"/>
        <v>0</v>
      </c>
      <c r="J423" s="203">
        <f t="shared" si="477"/>
        <v>0.51500000000000001</v>
      </c>
      <c r="K423" s="203">
        <f t="shared" si="477"/>
        <v>0.753</v>
      </c>
      <c r="L423" s="203">
        <f>SUM(F423:K423)</f>
        <v>4.2880000000000003</v>
      </c>
      <c r="M423" s="203">
        <f>L423/6</f>
        <v>0.71499999999999997</v>
      </c>
      <c r="N423" s="203">
        <f t="shared" ref="N423:S423" si="478">N438+N468</f>
        <v>2.7330000000000001</v>
      </c>
      <c r="O423" s="203">
        <f t="shared" si="478"/>
        <v>0.96499999999999997</v>
      </c>
      <c r="P423" s="203">
        <f t="shared" si="478"/>
        <v>6.5010000000000003</v>
      </c>
      <c r="Q423" s="203">
        <f t="shared" si="478"/>
        <v>10.491</v>
      </c>
      <c r="R423" s="203">
        <f t="shared" si="478"/>
        <v>6.6459999999999999</v>
      </c>
      <c r="S423" s="203">
        <f t="shared" si="478"/>
        <v>7.1749999999999998</v>
      </c>
      <c r="T423" s="203">
        <f>SUM(N423:S423)</f>
        <v>34.511000000000003</v>
      </c>
      <c r="U423" s="203">
        <f>T423+L423</f>
        <v>38.798999999999999</v>
      </c>
      <c r="V423" s="203">
        <f>V417+V416</f>
        <v>38.798999999999999</v>
      </c>
      <c r="W423" s="203">
        <f>V423-U423</f>
        <v>0</v>
      </c>
    </row>
    <row r="424" spans="1:28" s="120" customFormat="1" ht="23.35" customHeight="1">
      <c r="A424" s="583"/>
      <c r="B424" s="657"/>
      <c r="C424" s="658"/>
      <c r="D424" s="202" t="str">
        <f>серпень!D347</f>
        <v xml:space="preserve">відхилення </v>
      </c>
      <c r="E424" s="203"/>
      <c r="F424" s="203">
        <f t="shared" ref="F424:K424" si="479">F420-F423</f>
        <v>0</v>
      </c>
      <c r="G424" s="203">
        <f t="shared" si="479"/>
        <v>-1.3959999999999999</v>
      </c>
      <c r="H424" s="203">
        <f t="shared" si="479"/>
        <v>-1.2270000000000001</v>
      </c>
      <c r="I424" s="203">
        <f t="shared" si="479"/>
        <v>8.5000000000000006E-2</v>
      </c>
      <c r="J424" s="203">
        <f t="shared" si="479"/>
        <v>-0.25900000000000001</v>
      </c>
      <c r="K424" s="203">
        <f t="shared" si="479"/>
        <v>-0.441</v>
      </c>
      <c r="L424" s="203"/>
      <c r="M424" s="203"/>
      <c r="N424" s="203">
        <f t="shared" ref="N424:S424" si="480">N420-N423</f>
        <v>-2.4780000000000002</v>
      </c>
      <c r="O424" s="203">
        <f t="shared" si="480"/>
        <v>-0.91700000000000004</v>
      </c>
      <c r="P424" s="203">
        <f t="shared" si="480"/>
        <v>-5.2119999999999997</v>
      </c>
      <c r="Q424" s="203">
        <f t="shared" si="480"/>
        <v>-9.7279999999999998</v>
      </c>
      <c r="R424" s="203">
        <f t="shared" si="480"/>
        <v>-0.36199999999999999</v>
      </c>
      <c r="S424" s="203">
        <f t="shared" si="480"/>
        <v>-1.6739999999999999</v>
      </c>
      <c r="T424" s="203"/>
      <c r="U424" s="203"/>
      <c r="V424" s="203"/>
      <c r="W424" s="203"/>
    </row>
    <row r="425" spans="1:28" s="120" customFormat="1" ht="23.35" customHeight="1">
      <c r="A425" s="583"/>
      <c r="B425" s="657"/>
      <c r="C425" s="658"/>
      <c r="D425" s="202" t="str">
        <f>серпень!D348</f>
        <v>відхилення з наростаючим</v>
      </c>
      <c r="E425" s="203"/>
      <c r="F425" s="203">
        <f>F424</f>
        <v>0</v>
      </c>
      <c r="G425" s="203">
        <f>G424+F425</f>
        <v>-1.3959999999999999</v>
      </c>
      <c r="H425" s="203">
        <f>H424+G425</f>
        <v>-2.6230000000000002</v>
      </c>
      <c r="I425" s="203">
        <f>I424+H425</f>
        <v>-2.5379999999999998</v>
      </c>
      <c r="J425" s="203">
        <f>J424+I425</f>
        <v>-2.7970000000000002</v>
      </c>
      <c r="K425" s="203">
        <f>K424+J425</f>
        <v>-3.238</v>
      </c>
      <c r="L425" s="203"/>
      <c r="M425" s="203"/>
      <c r="N425" s="203">
        <f>N424+K425</f>
        <v>-5.7160000000000002</v>
      </c>
      <c r="O425" s="203">
        <f>O424+N425</f>
        <v>-6.633</v>
      </c>
      <c r="P425" s="203">
        <f>P424+O425</f>
        <v>-11.845000000000001</v>
      </c>
      <c r="Q425" s="203">
        <f>Q424+P425</f>
        <v>-21.573</v>
      </c>
      <c r="R425" s="203">
        <f>R424+Q425</f>
        <v>-21.934999999999999</v>
      </c>
      <c r="S425" s="203">
        <f>S424+R425</f>
        <v>-23.609000000000002</v>
      </c>
      <c r="T425" s="203"/>
      <c r="U425" s="203"/>
      <c r="V425" s="203"/>
      <c r="W425" s="203"/>
    </row>
    <row r="426" spans="1:28" s="10" customFormat="1" ht="18.8" customHeight="1">
      <c r="A426" s="583"/>
      <c r="B426" s="581" t="s">
        <v>37</v>
      </c>
      <c r="C426" s="581"/>
      <c r="D426" s="178" t="str">
        <f>серпень!D349</f>
        <v>факт. нат.п-ки 2023</v>
      </c>
      <c r="E426" s="11"/>
      <c r="F426" s="12">
        <v>911</v>
      </c>
      <c r="G426" s="12">
        <v>71</v>
      </c>
      <c r="H426" s="12">
        <v>104.5</v>
      </c>
      <c r="I426" s="12">
        <v>198.5</v>
      </c>
      <c r="J426" s="12">
        <v>665.2</v>
      </c>
      <c r="K426" s="12">
        <v>0</v>
      </c>
      <c r="L426" s="65">
        <f>SUM(F426:K426)</f>
        <v>1950.2</v>
      </c>
      <c r="M426" s="65">
        <f>L426/6</f>
        <v>325</v>
      </c>
      <c r="N426" s="12">
        <v>77.2</v>
      </c>
      <c r="O426" s="12">
        <v>24</v>
      </c>
      <c r="P426" s="12">
        <v>10.3</v>
      </c>
      <c r="Q426" s="12">
        <v>0</v>
      </c>
      <c r="R426" s="12">
        <v>0</v>
      </c>
      <c r="S426" s="12">
        <v>334</v>
      </c>
      <c r="T426" s="65">
        <f>SUM(N426:S426)</f>
        <v>445.5</v>
      </c>
      <c r="U426" s="65">
        <f>T426+L426</f>
        <v>2395.6999999999998</v>
      </c>
      <c r="V426" s="75">
        <v>2395.6999999999998</v>
      </c>
      <c r="W426" s="38"/>
      <c r="X426" s="36"/>
    </row>
    <row r="427" spans="1:28" s="48" customFormat="1" ht="18.8" customHeight="1">
      <c r="A427" s="583"/>
      <c r="B427" s="581"/>
      <c r="C427" s="581"/>
      <c r="D427" s="178" t="str">
        <f>серпень!D350</f>
        <v>факт. нат.п-ки 2024</v>
      </c>
      <c r="E427" s="11"/>
      <c r="F427" s="12">
        <v>56</v>
      </c>
      <c r="G427" s="12">
        <v>18.8</v>
      </c>
      <c r="H427" s="12">
        <v>21.8</v>
      </c>
      <c r="I427" s="12">
        <v>18.8</v>
      </c>
      <c r="J427" s="12">
        <v>8</v>
      </c>
      <c r="K427" s="12">
        <v>37.200000000000003</v>
      </c>
      <c r="L427" s="65">
        <f>SUM(F427:K427)</f>
        <v>160.6</v>
      </c>
      <c r="M427" s="65">
        <f>L427/6</f>
        <v>26.8</v>
      </c>
      <c r="N427" s="11">
        <v>23.1</v>
      </c>
      <c r="O427" s="11">
        <v>48</v>
      </c>
      <c r="P427" s="11">
        <v>18.600000000000001</v>
      </c>
      <c r="Q427" s="11">
        <v>13.8</v>
      </c>
      <c r="R427" s="11">
        <v>443</v>
      </c>
      <c r="S427" s="11">
        <v>387.8</v>
      </c>
      <c r="T427" s="65">
        <f>SUM(N427:S427)</f>
        <v>934.3</v>
      </c>
      <c r="U427" s="65">
        <f>T427+L427</f>
        <v>1094.9000000000001</v>
      </c>
      <c r="V427" s="46">
        <v>1094.9000000000001</v>
      </c>
      <c r="W427" s="38"/>
      <c r="X427" s="47"/>
    </row>
    <row r="428" spans="1:28" s="10" customFormat="1" ht="18.8" customHeight="1">
      <c r="A428" s="583"/>
      <c r="B428" s="581"/>
      <c r="C428" s="581"/>
      <c r="D428" s="178" t="str">
        <f>серпень!D351</f>
        <v>факт. нат.п-ки 2025</v>
      </c>
      <c r="E428" s="11"/>
      <c r="F428" s="12">
        <v>10</v>
      </c>
      <c r="G428" s="154">
        <v>18</v>
      </c>
      <c r="H428" s="154">
        <v>5.98</v>
      </c>
      <c r="I428" s="154">
        <v>18.010000000000002</v>
      </c>
      <c r="J428" s="12">
        <v>22</v>
      </c>
      <c r="K428" s="12">
        <v>18</v>
      </c>
      <c r="L428" s="65">
        <f>SUM(F428:K428)</f>
        <v>92</v>
      </c>
      <c r="M428" s="65">
        <f>L428/6</f>
        <v>15.3</v>
      </c>
      <c r="N428" s="11">
        <v>3.4</v>
      </c>
      <c r="O428" s="11">
        <v>32.299999999999997</v>
      </c>
      <c r="P428" s="11">
        <f>18.6+40</f>
        <v>58.6</v>
      </c>
      <c r="Q428" s="11">
        <f>13.8+40</f>
        <v>53.8</v>
      </c>
      <c r="R428" s="11">
        <v>443</v>
      </c>
      <c r="S428" s="11">
        <v>387.8</v>
      </c>
      <c r="T428" s="65">
        <f>SUM(N428:S428)</f>
        <v>978.9</v>
      </c>
      <c r="U428" s="65">
        <f>T428+L428</f>
        <v>1070.9000000000001</v>
      </c>
      <c r="V428" s="11">
        <v>2735.4</v>
      </c>
      <c r="W428" s="38">
        <f>V428-U428</f>
        <v>1664.5</v>
      </c>
      <c r="X428" s="36"/>
      <c r="Y428" s="3"/>
      <c r="Z428" s="3"/>
      <c r="AA428" s="3"/>
      <c r="AB428" s="3"/>
    </row>
    <row r="429" spans="1:28" s="114" customFormat="1" ht="18.8" customHeight="1">
      <c r="A429" s="583"/>
      <c r="B429" s="581"/>
      <c r="C429" s="581"/>
      <c r="D429" s="187" t="str">
        <f>серпень!D352</f>
        <v>тариф, грн.</v>
      </c>
      <c r="E429" s="49" t="e">
        <f>E430/E428*1000</f>
        <v>#DIV/0!</v>
      </c>
      <c r="F429" s="49">
        <f t="shared" ref="F429:K429" si="481">F430/F428*1000</f>
        <v>14.2</v>
      </c>
      <c r="G429" s="49">
        <f t="shared" si="481"/>
        <v>14.167</v>
      </c>
      <c r="H429" s="49">
        <f t="shared" si="481"/>
        <v>14.214</v>
      </c>
      <c r="I429" s="49">
        <f t="shared" si="481"/>
        <v>14.214</v>
      </c>
      <c r="J429" s="49">
        <f t="shared" si="481"/>
        <v>14.182</v>
      </c>
      <c r="K429" s="49">
        <f t="shared" si="481"/>
        <v>14.167</v>
      </c>
      <c r="L429" s="68">
        <f>L430/L428*1000</f>
        <v>14.185</v>
      </c>
      <c r="M429" s="68">
        <f>M430/M428*1000</f>
        <v>14.247999999999999</v>
      </c>
      <c r="N429" s="68">
        <f t="shared" ref="N429:O429" si="482">N430/N428*1000</f>
        <v>14.118</v>
      </c>
      <c r="O429" s="68">
        <f t="shared" si="482"/>
        <v>14.18</v>
      </c>
      <c r="P429" s="49">
        <v>14.183999999999999</v>
      </c>
      <c r="Q429" s="49">
        <v>14.183999999999999</v>
      </c>
      <c r="R429" s="49">
        <v>14.183999999999999</v>
      </c>
      <c r="S429" s="49">
        <v>14.183999999999999</v>
      </c>
      <c r="T429" s="68">
        <f>T430/T428*1000</f>
        <v>14.183999999999999</v>
      </c>
      <c r="U429" s="68">
        <f>U430/U428*1000</f>
        <v>14.183999999999999</v>
      </c>
      <c r="V429" s="68">
        <f>V430/V428*1000</f>
        <v>14.183999999999999</v>
      </c>
      <c r="W429" s="14">
        <f>W430/W428*1000</f>
        <v>14.183999999999999</v>
      </c>
      <c r="X429" s="36"/>
      <c r="Y429" s="3"/>
      <c r="Z429" s="3"/>
      <c r="AA429" s="3"/>
      <c r="AB429" s="3"/>
    </row>
    <row r="430" spans="1:28" s="114" customFormat="1" ht="18.8" customHeight="1">
      <c r="A430" s="583"/>
      <c r="B430" s="581"/>
      <c r="C430" s="581"/>
      <c r="D430" s="191" t="str">
        <f>серпень!D353</f>
        <v>сума, тис.грн.</v>
      </c>
      <c r="E430" s="52"/>
      <c r="F430" s="52">
        <v>0.14199999999999999</v>
      </c>
      <c r="G430" s="52">
        <v>0.255</v>
      </c>
      <c r="H430" s="52">
        <v>8.5000000000000006E-2</v>
      </c>
      <c r="I430" s="52">
        <v>0.25600000000000001</v>
      </c>
      <c r="J430" s="52">
        <v>0.312</v>
      </c>
      <c r="K430" s="52">
        <v>0.255</v>
      </c>
      <c r="L430" s="69">
        <f>SUM(F430:K430)</f>
        <v>1.3049999999999999</v>
      </c>
      <c r="M430" s="69">
        <f>L430/6</f>
        <v>0.218</v>
      </c>
      <c r="N430" s="52">
        <v>4.8000000000000001E-2</v>
      </c>
      <c r="O430" s="52">
        <v>0.45800000000000002</v>
      </c>
      <c r="P430" s="52">
        <f t="shared" ref="P430" si="483">P428*P429/1000</f>
        <v>0.83099999999999996</v>
      </c>
      <c r="Q430" s="52">
        <f t="shared" ref="Q430" si="484">Q428*Q429/1000</f>
        <v>0.76300000000000001</v>
      </c>
      <c r="R430" s="52">
        <f t="shared" ref="R430" si="485">R428*R429/1000</f>
        <v>6.2839999999999998</v>
      </c>
      <c r="S430" s="52">
        <f t="shared" ref="S430" si="486">S428*S429/1000</f>
        <v>5.5010000000000003</v>
      </c>
      <c r="T430" s="69">
        <f>SUM(N430:S430)</f>
        <v>13.885</v>
      </c>
      <c r="U430" s="69">
        <f>T430+L430</f>
        <v>15.19</v>
      </c>
      <c r="V430" s="70">
        <f>V432+V431</f>
        <v>38.798999999999999</v>
      </c>
      <c r="W430" s="53">
        <f>V430-U430</f>
        <v>23.609000000000002</v>
      </c>
      <c r="X430" s="113"/>
    </row>
    <row r="431" spans="1:28" s="114" customFormat="1" ht="18.8" customHeight="1">
      <c r="A431" s="583"/>
      <c r="B431" s="581"/>
      <c r="C431" s="581"/>
      <c r="D431" s="174" t="str">
        <f>серпень!D354</f>
        <v>дотація</v>
      </c>
      <c r="E431" s="56"/>
      <c r="F431" s="52"/>
      <c r="G431" s="52"/>
      <c r="H431" s="52"/>
      <c r="I431" s="52"/>
      <c r="J431" s="52"/>
      <c r="K431" s="52"/>
      <c r="L431" s="69">
        <f>SUM(F431:K431)</f>
        <v>0</v>
      </c>
      <c r="M431" s="69">
        <f>L431/6</f>
        <v>0</v>
      </c>
      <c r="N431" s="52"/>
      <c r="O431" s="52"/>
      <c r="P431" s="52"/>
      <c r="Q431" s="52"/>
      <c r="R431" s="52"/>
      <c r="S431" s="52"/>
      <c r="T431" s="69">
        <f>SUM(N431:S431)</f>
        <v>0</v>
      </c>
      <c r="U431" s="69">
        <f>T431+L431</f>
        <v>0</v>
      </c>
      <c r="V431" s="70">
        <v>0</v>
      </c>
      <c r="W431" s="53">
        <f>V431-U431</f>
        <v>0</v>
      </c>
      <c r="X431" s="113"/>
    </row>
    <row r="432" spans="1:28" s="114" customFormat="1" ht="18.8" customHeight="1">
      <c r="A432" s="583"/>
      <c r="B432" s="581"/>
      <c r="C432" s="581"/>
      <c r="D432" s="174" t="str">
        <f>серпень!D355</f>
        <v>місцевий (план), тис.грн</v>
      </c>
      <c r="E432" s="56"/>
      <c r="F432" s="52">
        <f>1.645-1.645</f>
        <v>0</v>
      </c>
      <c r="G432" s="52">
        <f>2.425-0.887</f>
        <v>1.538</v>
      </c>
      <c r="H432" s="52">
        <v>1.482</v>
      </c>
      <c r="I432" s="52">
        <f>2.816-2.816</f>
        <v>0</v>
      </c>
      <c r="J432" s="52">
        <f>9.435+2.532-7.685-3.767</f>
        <v>0.51500000000000001</v>
      </c>
      <c r="K432" s="52">
        <f>4.783-4.03</f>
        <v>0.753</v>
      </c>
      <c r="L432" s="69">
        <f>SUM(F432:K432)</f>
        <v>4.2880000000000003</v>
      </c>
      <c r="M432" s="69">
        <f>L432/6</f>
        <v>0.71499999999999997</v>
      </c>
      <c r="N432" s="52">
        <f>1.869+0.864</f>
        <v>2.7330000000000001</v>
      </c>
      <c r="O432" s="52">
        <v>0.96499999999999997</v>
      </c>
      <c r="P432" s="52">
        <f>0.831+4.314+1.356</f>
        <v>6.5010000000000003</v>
      </c>
      <c r="Q432" s="52">
        <f>0.763+7.918+1.81</f>
        <v>10.491</v>
      </c>
      <c r="R432" s="52">
        <f>6.284+0.362</f>
        <v>6.6459999999999999</v>
      </c>
      <c r="S432" s="52">
        <f>5.501+1.674</f>
        <v>7.1749999999999998</v>
      </c>
      <c r="T432" s="69">
        <f>SUM(N432:S432)</f>
        <v>34.511000000000003</v>
      </c>
      <c r="U432" s="69">
        <f>T432+L432</f>
        <v>38.798999999999999</v>
      </c>
      <c r="V432" s="70">
        <v>38.798999999999999</v>
      </c>
      <c r="W432" s="53">
        <f>V432-U432</f>
        <v>0</v>
      </c>
      <c r="X432" s="113"/>
    </row>
    <row r="433" spans="1:28" s="3" customFormat="1" ht="18.8" customHeight="1">
      <c r="A433" s="583"/>
      <c r="B433" s="581"/>
      <c r="C433" s="581"/>
      <c r="D433" s="178" t="str">
        <f>серпень!D356</f>
        <v>касові нат.п-ки 2025</v>
      </c>
      <c r="E433" s="314"/>
      <c r="F433" s="11">
        <v>0</v>
      </c>
      <c r="G433" s="261">
        <v>10</v>
      </c>
      <c r="H433" s="261">
        <v>18</v>
      </c>
      <c r="I433" s="261">
        <v>5.98</v>
      </c>
      <c r="J433" s="11">
        <v>18</v>
      </c>
      <c r="K433" s="11">
        <v>22</v>
      </c>
      <c r="L433" s="65">
        <f>SUM(F433:K433)</f>
        <v>74</v>
      </c>
      <c r="M433" s="65">
        <f>L433/6</f>
        <v>12.3</v>
      </c>
      <c r="N433" s="137">
        <v>18</v>
      </c>
      <c r="O433" s="11">
        <v>3.4</v>
      </c>
      <c r="P433" s="11">
        <f>32.3+58.6</f>
        <v>90.9</v>
      </c>
      <c r="Q433" s="11">
        <v>53.8</v>
      </c>
      <c r="R433" s="11">
        <v>443</v>
      </c>
      <c r="S433" s="11">
        <v>387.8</v>
      </c>
      <c r="T433" s="65">
        <f>SUM(N433:S433)</f>
        <v>996.9</v>
      </c>
      <c r="U433" s="65">
        <f>T433+L433</f>
        <v>1070.9000000000001</v>
      </c>
      <c r="V433" s="11">
        <f>V428</f>
        <v>2735.4</v>
      </c>
      <c r="W433" s="38">
        <f>V433-U433</f>
        <v>1664.5</v>
      </c>
      <c r="X433" s="315">
        <f>U428-U433</f>
        <v>0</v>
      </c>
    </row>
    <row r="434" spans="1:28" s="73" customFormat="1" ht="18.8" customHeight="1">
      <c r="A434" s="583"/>
      <c r="B434" s="581"/>
      <c r="C434" s="581"/>
      <c r="D434" s="187" t="str">
        <f>серпень!D357</f>
        <v>тариф, грн.</v>
      </c>
      <c r="E434" s="49" t="e">
        <f>E435/E433*1000</f>
        <v>#DIV/0!</v>
      </c>
      <c r="F434" s="49" t="e">
        <f t="shared" ref="F434:K434" si="487">F435/F433*1000</f>
        <v>#DIV/0!</v>
      </c>
      <c r="G434" s="49">
        <f t="shared" si="487"/>
        <v>14.2</v>
      </c>
      <c r="H434" s="49">
        <f t="shared" si="487"/>
        <v>14.167</v>
      </c>
      <c r="I434" s="49">
        <f t="shared" si="487"/>
        <v>14.214</v>
      </c>
      <c r="J434" s="49">
        <f t="shared" si="487"/>
        <v>14.222</v>
      </c>
      <c r="K434" s="49">
        <f t="shared" si="487"/>
        <v>14.182</v>
      </c>
      <c r="L434" s="68">
        <f>L435/L433*1000</f>
        <v>14.189</v>
      </c>
      <c r="M434" s="68">
        <f>M435/M433*1000</f>
        <v>14.228</v>
      </c>
      <c r="N434" s="68">
        <f t="shared" ref="N434:P434" si="488">N435/N433*1000</f>
        <v>14.167</v>
      </c>
      <c r="O434" s="68">
        <f t="shared" si="488"/>
        <v>14.118</v>
      </c>
      <c r="P434" s="68">
        <f t="shared" si="488"/>
        <v>14.18</v>
      </c>
      <c r="Q434" s="68">
        <v>14.183999999999999</v>
      </c>
      <c r="R434" s="68">
        <v>14.183999999999999</v>
      </c>
      <c r="S434" s="49">
        <v>14.183999999999999</v>
      </c>
      <c r="T434" s="68">
        <f>T435/T433*1000</f>
        <v>14.183999999999999</v>
      </c>
      <c r="U434" s="68">
        <f>U435/U433*1000</f>
        <v>14.183999999999999</v>
      </c>
      <c r="V434" s="68">
        <f>V435/V433*1000</f>
        <v>14.183999999999999</v>
      </c>
      <c r="W434" s="14">
        <f>W435/W433*1000</f>
        <v>14.183999999999999</v>
      </c>
      <c r="X434" s="59"/>
      <c r="Y434" s="36"/>
      <c r="Z434" s="36"/>
      <c r="AA434" s="36"/>
      <c r="AB434" s="36"/>
    </row>
    <row r="435" spans="1:28" s="126" customFormat="1" ht="18.8" customHeight="1">
      <c r="A435" s="583"/>
      <c r="B435" s="581"/>
      <c r="C435" s="581"/>
      <c r="D435" s="198" t="str">
        <f>серпень!D358</f>
        <v>касові видатки, тис.грн.</v>
      </c>
      <c r="E435" s="71"/>
      <c r="F435" s="61">
        <v>0</v>
      </c>
      <c r="G435" s="61">
        <v>0.14199999999999999</v>
      </c>
      <c r="H435" s="61">
        <v>0.255</v>
      </c>
      <c r="I435" s="61">
        <v>8.5000000000000006E-2</v>
      </c>
      <c r="J435" s="61">
        <v>0.25600000000000001</v>
      </c>
      <c r="K435" s="61">
        <v>0.312</v>
      </c>
      <c r="L435" s="61">
        <f>SUM(F435:K435)</f>
        <v>1.05</v>
      </c>
      <c r="M435" s="61">
        <f>L435/6</f>
        <v>0.17499999999999999</v>
      </c>
      <c r="N435" s="61">
        <v>0.255</v>
      </c>
      <c r="O435" s="61">
        <v>4.8000000000000001E-2</v>
      </c>
      <c r="P435" s="61">
        <f>0.458+0.831</f>
        <v>1.2889999999999999</v>
      </c>
      <c r="Q435" s="61">
        <f t="shared" ref="Q435" si="489">Q433*Q434/1000</f>
        <v>0.76300000000000001</v>
      </c>
      <c r="R435" s="61">
        <f t="shared" ref="R435" si="490">R433*R434/1000</f>
        <v>6.2839999999999998</v>
      </c>
      <c r="S435" s="61">
        <f t="shared" ref="S435" si="491">S433*S434/1000</f>
        <v>5.5010000000000003</v>
      </c>
      <c r="T435" s="61">
        <f>SUM(N435:S435)</f>
        <v>14.14</v>
      </c>
      <c r="U435" s="61">
        <f>T435+L435</f>
        <v>15.19</v>
      </c>
      <c r="V435" s="61">
        <f>V430</f>
        <v>38.798999999999999</v>
      </c>
      <c r="W435" s="72">
        <f>V435-U435</f>
        <v>23.609000000000002</v>
      </c>
      <c r="X435" s="63">
        <f>U430-U435</f>
        <v>0</v>
      </c>
    </row>
    <row r="436" spans="1:28" s="126" customFormat="1" ht="18.8" customHeight="1">
      <c r="A436" s="583"/>
      <c r="B436" s="581"/>
      <c r="C436" s="581"/>
      <c r="D436" s="201" t="str">
        <f>серпень!D359</f>
        <v>дотація</v>
      </c>
      <c r="E436" s="71"/>
      <c r="F436" s="61">
        <v>0</v>
      </c>
      <c r="G436" s="61">
        <v>0</v>
      </c>
      <c r="H436" s="61">
        <v>0</v>
      </c>
      <c r="I436" s="61">
        <v>0</v>
      </c>
      <c r="J436" s="61">
        <v>0</v>
      </c>
      <c r="K436" s="61">
        <v>0</v>
      </c>
      <c r="L436" s="61">
        <f>SUM(F436:K436)</f>
        <v>0</v>
      </c>
      <c r="M436" s="61">
        <f>L436/6</f>
        <v>0</v>
      </c>
      <c r="N436" s="61">
        <v>0</v>
      </c>
      <c r="O436" s="61">
        <v>0</v>
      </c>
      <c r="P436" s="61">
        <v>0</v>
      </c>
      <c r="Q436" s="61">
        <v>0</v>
      </c>
      <c r="R436" s="61">
        <v>0</v>
      </c>
      <c r="S436" s="61">
        <v>0</v>
      </c>
      <c r="T436" s="61">
        <f>SUM(N436:S436)</f>
        <v>0</v>
      </c>
      <c r="U436" s="61">
        <f>T436+L436</f>
        <v>0</v>
      </c>
      <c r="V436" s="61">
        <f>V431</f>
        <v>0</v>
      </c>
      <c r="W436" s="72">
        <f>V436-U436</f>
        <v>0</v>
      </c>
      <c r="X436" s="63">
        <f>U431-U436</f>
        <v>0</v>
      </c>
    </row>
    <row r="437" spans="1:28" s="126" customFormat="1" ht="18.8" customHeight="1">
      <c r="A437" s="583"/>
      <c r="B437" s="581"/>
      <c r="C437" s="581"/>
      <c r="D437" s="201" t="str">
        <f>серпень!D360</f>
        <v xml:space="preserve">місцевий </v>
      </c>
      <c r="E437" s="71"/>
      <c r="F437" s="61">
        <f t="shared" ref="F437:K437" si="492">F435-F436</f>
        <v>0</v>
      </c>
      <c r="G437" s="61">
        <f t="shared" si="492"/>
        <v>0.14199999999999999</v>
      </c>
      <c r="H437" s="61">
        <f t="shared" si="492"/>
        <v>0.255</v>
      </c>
      <c r="I437" s="61">
        <f t="shared" si="492"/>
        <v>8.5000000000000006E-2</v>
      </c>
      <c r="J437" s="61">
        <f t="shared" si="492"/>
        <v>0.25600000000000001</v>
      </c>
      <c r="K437" s="61">
        <f t="shared" si="492"/>
        <v>0.312</v>
      </c>
      <c r="L437" s="61">
        <f>SUM(F437:K437)</f>
        <v>1.05</v>
      </c>
      <c r="M437" s="61">
        <f>L437/6</f>
        <v>0.17499999999999999</v>
      </c>
      <c r="N437" s="61">
        <f t="shared" ref="N437:S437" si="493">N435-N436</f>
        <v>0.255</v>
      </c>
      <c r="O437" s="61">
        <f t="shared" si="493"/>
        <v>4.8000000000000001E-2</v>
      </c>
      <c r="P437" s="61">
        <f t="shared" si="493"/>
        <v>1.2889999999999999</v>
      </c>
      <c r="Q437" s="61">
        <f t="shared" si="493"/>
        <v>0.76300000000000001</v>
      </c>
      <c r="R437" s="61">
        <f t="shared" si="493"/>
        <v>6.2839999999999998</v>
      </c>
      <c r="S437" s="61">
        <f t="shared" si="493"/>
        <v>5.5010000000000003</v>
      </c>
      <c r="T437" s="61">
        <f>SUM(N437:S437)</f>
        <v>14.14</v>
      </c>
      <c r="U437" s="61">
        <f>T437+L437</f>
        <v>15.19</v>
      </c>
      <c r="V437" s="61">
        <f>V432</f>
        <v>38.798999999999999</v>
      </c>
      <c r="W437" s="72">
        <f>V437-U437</f>
        <v>23.609000000000002</v>
      </c>
      <c r="X437" s="63">
        <f>U432-U437</f>
        <v>23.609000000000002</v>
      </c>
    </row>
    <row r="438" spans="1:28" s="43" customFormat="1" ht="18.8" customHeight="1">
      <c r="A438" s="583"/>
      <c r="B438" s="581"/>
      <c r="C438" s="581"/>
      <c r="D438" s="202" t="str">
        <f>серпень!D361</f>
        <v>план</v>
      </c>
      <c r="E438" s="42"/>
      <c r="F438" s="42">
        <f t="shared" ref="F438:K438" si="494">F431+F432</f>
        <v>0</v>
      </c>
      <c r="G438" s="42">
        <f t="shared" si="494"/>
        <v>1.538</v>
      </c>
      <c r="H438" s="42">
        <f t="shared" si="494"/>
        <v>1.482</v>
      </c>
      <c r="I438" s="42">
        <f t="shared" si="494"/>
        <v>0</v>
      </c>
      <c r="J438" s="42">
        <f t="shared" si="494"/>
        <v>0.51500000000000001</v>
      </c>
      <c r="K438" s="42">
        <f t="shared" si="494"/>
        <v>0.753</v>
      </c>
      <c r="L438" s="42">
        <f>SUM(F438:K438)</f>
        <v>4.2880000000000003</v>
      </c>
      <c r="M438" s="42">
        <f>L438/6</f>
        <v>0.71499999999999997</v>
      </c>
      <c r="N438" s="42">
        <f t="shared" ref="N438:S438" si="495">N432+N431</f>
        <v>2.7330000000000001</v>
      </c>
      <c r="O438" s="42">
        <f t="shared" si="495"/>
        <v>0.96499999999999997</v>
      </c>
      <c r="P438" s="42">
        <f t="shared" si="495"/>
        <v>6.5010000000000003</v>
      </c>
      <c r="Q438" s="42">
        <f t="shared" si="495"/>
        <v>10.491</v>
      </c>
      <c r="R438" s="42">
        <f t="shared" si="495"/>
        <v>6.6459999999999999</v>
      </c>
      <c r="S438" s="42">
        <f t="shared" si="495"/>
        <v>7.1749999999999998</v>
      </c>
      <c r="T438" s="42">
        <f>SUM(N438:S438)</f>
        <v>34.511000000000003</v>
      </c>
      <c r="U438" s="42">
        <f>T438+L438</f>
        <v>38.798999999999999</v>
      </c>
      <c r="V438" s="42">
        <f>V435</f>
        <v>38.798999999999999</v>
      </c>
      <c r="W438" s="42">
        <f>V438-U438</f>
        <v>0</v>
      </c>
    </row>
    <row r="439" spans="1:28" s="43" customFormat="1" ht="18.8" customHeight="1">
      <c r="A439" s="583"/>
      <c r="B439" s="581"/>
      <c r="C439" s="581"/>
      <c r="D439" s="202" t="str">
        <f>серпень!D362</f>
        <v xml:space="preserve">відхилення </v>
      </c>
      <c r="E439" s="42"/>
      <c r="F439" s="42">
        <f t="shared" ref="F439:K439" si="496">F435-F438</f>
        <v>0</v>
      </c>
      <c r="G439" s="42">
        <f t="shared" si="496"/>
        <v>-1.3959999999999999</v>
      </c>
      <c r="H439" s="42">
        <f t="shared" si="496"/>
        <v>-1.2270000000000001</v>
      </c>
      <c r="I439" s="42">
        <f t="shared" si="496"/>
        <v>8.5000000000000006E-2</v>
      </c>
      <c r="J439" s="42">
        <f t="shared" si="496"/>
        <v>-0.25900000000000001</v>
      </c>
      <c r="K439" s="42">
        <f t="shared" si="496"/>
        <v>-0.441</v>
      </c>
      <c r="L439" s="42"/>
      <c r="M439" s="42"/>
      <c r="N439" s="42">
        <f t="shared" ref="N439:S439" si="497">N435-N438</f>
        <v>-2.4780000000000002</v>
      </c>
      <c r="O439" s="42">
        <f t="shared" si="497"/>
        <v>-0.91700000000000004</v>
      </c>
      <c r="P439" s="42">
        <f t="shared" si="497"/>
        <v>-5.2119999999999997</v>
      </c>
      <c r="Q439" s="42">
        <f t="shared" si="497"/>
        <v>-9.7279999999999998</v>
      </c>
      <c r="R439" s="42">
        <f t="shared" si="497"/>
        <v>-0.36199999999999999</v>
      </c>
      <c r="S439" s="42">
        <f t="shared" si="497"/>
        <v>-1.6739999999999999</v>
      </c>
      <c r="T439" s="42"/>
      <c r="U439" s="42"/>
      <c r="V439" s="42"/>
      <c r="W439" s="42"/>
    </row>
    <row r="440" spans="1:28" s="43" customFormat="1" ht="18.8" customHeight="1">
      <c r="A440" s="583"/>
      <c r="B440" s="581"/>
      <c r="C440" s="581"/>
      <c r="D440" s="202" t="str">
        <f>серпень!D363</f>
        <v>відхилення з наростаючим</v>
      </c>
      <c r="E440" s="42"/>
      <c r="F440" s="42">
        <f>F439</f>
        <v>0</v>
      </c>
      <c r="G440" s="42">
        <f>G439+F440</f>
        <v>-1.3959999999999999</v>
      </c>
      <c r="H440" s="42">
        <f>H439+G440</f>
        <v>-2.6230000000000002</v>
      </c>
      <c r="I440" s="42">
        <f>I439+H440</f>
        <v>-2.5379999999999998</v>
      </c>
      <c r="J440" s="42">
        <f>J439+I440</f>
        <v>-2.7970000000000002</v>
      </c>
      <c r="K440" s="42">
        <f>K439+J440</f>
        <v>-3.238</v>
      </c>
      <c r="L440" s="42"/>
      <c r="M440" s="42"/>
      <c r="N440" s="42">
        <f>N439+K440</f>
        <v>-5.7160000000000002</v>
      </c>
      <c r="O440" s="42">
        <f>O439+N440</f>
        <v>-6.633</v>
      </c>
      <c r="P440" s="42">
        <f>P439+O440</f>
        <v>-11.845000000000001</v>
      </c>
      <c r="Q440" s="42">
        <f>Q439+P440</f>
        <v>-21.573</v>
      </c>
      <c r="R440" s="42">
        <f>R439+Q440</f>
        <v>-21.934999999999999</v>
      </c>
      <c r="S440" s="42">
        <f>S439+R440</f>
        <v>-23.609000000000002</v>
      </c>
      <c r="T440" s="42"/>
      <c r="U440" s="42"/>
      <c r="V440" s="42"/>
      <c r="W440" s="42"/>
    </row>
    <row r="441" spans="1:28" s="43" customFormat="1" ht="18" hidden="1" customHeight="1">
      <c r="A441" s="583"/>
      <c r="B441" s="580" t="s">
        <v>96</v>
      </c>
      <c r="C441" s="575"/>
      <c r="D441" s="178" t="str">
        <f>серпень!D364</f>
        <v>факт. нат.п-ки 2023</v>
      </c>
      <c r="E441" s="179"/>
      <c r="F441" s="180"/>
      <c r="G441" s="180"/>
      <c r="H441" s="180"/>
      <c r="I441" s="180"/>
      <c r="J441" s="180"/>
      <c r="K441" s="180"/>
      <c r="L441" s="215">
        <f>SUM(F441:K441)</f>
        <v>0</v>
      </c>
      <c r="M441" s="215">
        <f>L441/6</f>
        <v>0</v>
      </c>
      <c r="N441" s="180"/>
      <c r="O441" s="180"/>
      <c r="P441" s="180"/>
      <c r="Q441" s="180"/>
      <c r="R441" s="180"/>
      <c r="S441" s="180"/>
      <c r="T441" s="215">
        <f>SUM(N441:S441)</f>
        <v>0</v>
      </c>
      <c r="U441" s="226">
        <f>T441+L441</f>
        <v>0</v>
      </c>
      <c r="V441" s="227"/>
      <c r="W441" s="184">
        <f>V441-U441</f>
        <v>0</v>
      </c>
    </row>
    <row r="442" spans="1:28" s="43" customFormat="1" ht="18" hidden="1" customHeight="1">
      <c r="A442" s="583"/>
      <c r="B442" s="576"/>
      <c r="C442" s="577"/>
      <c r="D442" s="178" t="str">
        <f>серпень!D365</f>
        <v>факт. нат.п-ки 2024</v>
      </c>
      <c r="E442" s="179"/>
      <c r="F442" s="180"/>
      <c r="G442" s="180"/>
      <c r="H442" s="180"/>
      <c r="I442" s="180"/>
      <c r="J442" s="180"/>
      <c r="K442" s="180"/>
      <c r="L442" s="215">
        <f>SUM(F442:K442)</f>
        <v>0</v>
      </c>
      <c r="M442" s="215">
        <f>L442/6</f>
        <v>0</v>
      </c>
      <c r="N442" s="179"/>
      <c r="O442" s="179"/>
      <c r="P442" s="179"/>
      <c r="Q442" s="179"/>
      <c r="R442" s="179"/>
      <c r="S442" s="179"/>
      <c r="T442" s="215">
        <f>SUM(N442:S442)</f>
        <v>0</v>
      </c>
      <c r="U442" s="226">
        <f>T442+L442</f>
        <v>0</v>
      </c>
      <c r="V442" s="227"/>
      <c r="W442" s="184">
        <f>V442-U442</f>
        <v>0</v>
      </c>
    </row>
    <row r="443" spans="1:28" s="43" customFormat="1" ht="18" hidden="1" customHeight="1">
      <c r="A443" s="583"/>
      <c r="B443" s="576"/>
      <c r="C443" s="577"/>
      <c r="D443" s="178" t="str">
        <f>серпень!D366</f>
        <v>факт. нат.п-ки 2025</v>
      </c>
      <c r="E443" s="179"/>
      <c r="F443" s="180"/>
      <c r="G443" s="180"/>
      <c r="H443" s="180"/>
      <c r="I443" s="180"/>
      <c r="J443" s="180"/>
      <c r="K443" s="180"/>
      <c r="L443" s="215">
        <f>SUM(F443:K443)</f>
        <v>0</v>
      </c>
      <c r="M443" s="215">
        <f>L443/6</f>
        <v>0</v>
      </c>
      <c r="N443" s="180"/>
      <c r="O443" s="180"/>
      <c r="P443" s="180"/>
      <c r="Q443" s="180"/>
      <c r="R443" s="180"/>
      <c r="S443" s="179"/>
      <c r="T443" s="215">
        <f>SUM(N443:S443)</f>
        <v>0</v>
      </c>
      <c r="U443" s="226">
        <f>T443+L443</f>
        <v>0</v>
      </c>
      <c r="V443" s="179"/>
      <c r="W443" s="184">
        <f>V443-U443</f>
        <v>0</v>
      </c>
    </row>
    <row r="444" spans="1:28" s="43" customFormat="1" ht="18" hidden="1" customHeight="1">
      <c r="A444" s="583"/>
      <c r="B444" s="576"/>
      <c r="C444" s="577"/>
      <c r="D444" s="187" t="str">
        <f>серпень!D367</f>
        <v>тариф, грн.</v>
      </c>
      <c r="E444" s="188"/>
      <c r="F444" s="188"/>
      <c r="G444" s="188"/>
      <c r="H444" s="188"/>
      <c r="I444" s="188"/>
      <c r="J444" s="188"/>
      <c r="K444" s="188"/>
      <c r="L444" s="188" t="e">
        <f>L445/L443*1000</f>
        <v>#DIV/0!</v>
      </c>
      <c r="M444" s="188" t="e">
        <f>M445/M443*1000</f>
        <v>#DIV/0!</v>
      </c>
      <c r="N444" s="188"/>
      <c r="O444" s="188"/>
      <c r="P444" s="188"/>
      <c r="Q444" s="188"/>
      <c r="R444" s="188"/>
      <c r="S444" s="188"/>
      <c r="T444" s="188" t="e">
        <f>T445/T443*1000</f>
        <v>#DIV/0!</v>
      </c>
      <c r="U444" s="188" t="e">
        <f>U445/U443*1000</f>
        <v>#DIV/0!</v>
      </c>
      <c r="V444" s="218" t="e">
        <f>V445/V443*1000</f>
        <v>#DIV/0!</v>
      </c>
      <c r="W444" s="189" t="e">
        <f>W445/W443*1000</f>
        <v>#DIV/0!</v>
      </c>
    </row>
    <row r="445" spans="1:28" s="43" customFormat="1" ht="18" hidden="1" customHeight="1">
      <c r="A445" s="583"/>
      <c r="B445" s="576"/>
      <c r="C445" s="577"/>
      <c r="D445" s="191" t="str">
        <f>серпень!D368</f>
        <v>сума, тис.грн.</v>
      </c>
      <c r="E445" s="192"/>
      <c r="F445" s="192">
        <f t="shared" ref="F445:K445" si="498">F443*F444/1000</f>
        <v>0</v>
      </c>
      <c r="G445" s="192">
        <f t="shared" si="498"/>
        <v>0</v>
      </c>
      <c r="H445" s="192">
        <f t="shared" si="498"/>
        <v>0</v>
      </c>
      <c r="I445" s="192">
        <f t="shared" si="498"/>
        <v>0</v>
      </c>
      <c r="J445" s="192">
        <f t="shared" si="498"/>
        <v>0</v>
      </c>
      <c r="K445" s="192">
        <f t="shared" si="498"/>
        <v>0</v>
      </c>
      <c r="L445" s="194">
        <f>SUM(F445:K445)</f>
        <v>0</v>
      </c>
      <c r="M445" s="194">
        <f>L445/6</f>
        <v>0</v>
      </c>
      <c r="N445" s="192">
        <f t="shared" ref="N445:S445" si="499">N443*N444/1000</f>
        <v>0</v>
      </c>
      <c r="O445" s="192">
        <f t="shared" si="499"/>
        <v>0</v>
      </c>
      <c r="P445" s="192">
        <f t="shared" si="499"/>
        <v>0</v>
      </c>
      <c r="Q445" s="192">
        <f t="shared" si="499"/>
        <v>0</v>
      </c>
      <c r="R445" s="192">
        <f t="shared" si="499"/>
        <v>0</v>
      </c>
      <c r="S445" s="192">
        <f t="shared" si="499"/>
        <v>0</v>
      </c>
      <c r="T445" s="194">
        <f>SUM(N445:S445)</f>
        <v>0</v>
      </c>
      <c r="U445" s="194">
        <f>T445+L445</f>
        <v>0</v>
      </c>
      <c r="V445" s="171">
        <f>V446+V447</f>
        <v>0</v>
      </c>
      <c r="W445" s="193">
        <f>V445-U445</f>
        <v>0</v>
      </c>
    </row>
    <row r="446" spans="1:28" s="43" customFormat="1" ht="18" hidden="1" customHeight="1">
      <c r="A446" s="583"/>
      <c r="B446" s="576"/>
      <c r="C446" s="577"/>
      <c r="D446" s="174" t="str">
        <f>серпень!D369</f>
        <v>дотація</v>
      </c>
      <c r="E446" s="210"/>
      <c r="F446" s="192"/>
      <c r="G446" s="192"/>
      <c r="H446" s="192"/>
      <c r="I446" s="192"/>
      <c r="J446" s="192"/>
      <c r="K446" s="192"/>
      <c r="L446" s="194">
        <f>SUM(F446:K446)</f>
        <v>0</v>
      </c>
      <c r="M446" s="194">
        <f>L446/6</f>
        <v>0</v>
      </c>
      <c r="N446" s="192"/>
      <c r="O446" s="192"/>
      <c r="P446" s="192"/>
      <c r="Q446" s="192"/>
      <c r="R446" s="192"/>
      <c r="S446" s="192"/>
      <c r="T446" s="194">
        <f>SUM(N446:S446)</f>
        <v>0</v>
      </c>
      <c r="U446" s="194">
        <f>T446+L446</f>
        <v>0</v>
      </c>
      <c r="V446" s="171"/>
      <c r="W446" s="193">
        <f>V446-U446</f>
        <v>0</v>
      </c>
    </row>
    <row r="447" spans="1:28" s="43" customFormat="1" ht="18" hidden="1" customHeight="1">
      <c r="A447" s="583"/>
      <c r="B447" s="576"/>
      <c r="C447" s="577"/>
      <c r="D447" s="174" t="str">
        <f>серпень!D370</f>
        <v>місцевий (план), тис.грн</v>
      </c>
      <c r="E447" s="210"/>
      <c r="F447" s="192"/>
      <c r="G447" s="192"/>
      <c r="H447" s="192"/>
      <c r="I447" s="192"/>
      <c r="J447" s="192"/>
      <c r="K447" s="192"/>
      <c r="L447" s="194">
        <f>SUM(F447:K447)</f>
        <v>0</v>
      </c>
      <c r="M447" s="194">
        <f>L447/6</f>
        <v>0</v>
      </c>
      <c r="N447" s="192"/>
      <c r="O447" s="192"/>
      <c r="P447" s="192"/>
      <c r="Q447" s="192"/>
      <c r="R447" s="192"/>
      <c r="S447" s="192"/>
      <c r="T447" s="194">
        <f>SUM(N447:S447)</f>
        <v>0</v>
      </c>
      <c r="U447" s="194">
        <f>T447+L447</f>
        <v>0</v>
      </c>
      <c r="V447" s="171"/>
      <c r="W447" s="193">
        <f>V447-U447</f>
        <v>0</v>
      </c>
    </row>
    <row r="448" spans="1:28" s="43" customFormat="1" ht="18" hidden="1" customHeight="1">
      <c r="A448" s="583"/>
      <c r="B448" s="576"/>
      <c r="C448" s="577"/>
      <c r="D448" s="178" t="str">
        <f>серпень!D371</f>
        <v>касові нат.п-ки 2025</v>
      </c>
      <c r="E448" s="179"/>
      <c r="F448" s="179"/>
      <c r="G448" s="179"/>
      <c r="H448" s="179"/>
      <c r="I448" s="179"/>
      <c r="J448" s="179"/>
      <c r="K448" s="179"/>
      <c r="L448" s="215">
        <f>SUM(F448:K448)</f>
        <v>0</v>
      </c>
      <c r="M448" s="215">
        <f>L448/6</f>
        <v>0</v>
      </c>
      <c r="N448" s="179"/>
      <c r="O448" s="179"/>
      <c r="P448" s="179"/>
      <c r="Q448" s="179"/>
      <c r="R448" s="179"/>
      <c r="S448" s="179">
        <f>S443+R443</f>
        <v>0</v>
      </c>
      <c r="T448" s="215">
        <f>SUM(N448:S448)</f>
        <v>0</v>
      </c>
      <c r="U448" s="215">
        <f>T448+L448</f>
        <v>0</v>
      </c>
      <c r="V448" s="179">
        <f>V443</f>
        <v>0</v>
      </c>
      <c r="W448" s="184">
        <f>V448-U448</f>
        <v>0</v>
      </c>
    </row>
    <row r="449" spans="1:28" s="43" customFormat="1" ht="18" hidden="1" customHeight="1">
      <c r="A449" s="583"/>
      <c r="B449" s="576"/>
      <c r="C449" s="577"/>
      <c r="D449" s="187" t="str">
        <f>серпень!D372</f>
        <v>тариф, грн.</v>
      </c>
      <c r="E449" s="188" t="e">
        <f>E450/E448*1000</f>
        <v>#DIV/0!</v>
      </c>
      <c r="F449" s="188"/>
      <c r="G449" s="188"/>
      <c r="H449" s="188"/>
      <c r="I449" s="188"/>
      <c r="J449" s="188"/>
      <c r="K449" s="188"/>
      <c r="L449" s="188" t="e">
        <f>L450/L448*1000</f>
        <v>#DIV/0!</v>
      </c>
      <c r="M449" s="188" t="e">
        <f>M450/M448*1000</f>
        <v>#DIV/0!</v>
      </c>
      <c r="N449" s="188"/>
      <c r="O449" s="188"/>
      <c r="P449" s="188"/>
      <c r="Q449" s="188"/>
      <c r="R449" s="188"/>
      <c r="S449" s="188"/>
      <c r="T449" s="188" t="e">
        <f>T450/T448*1000</f>
        <v>#DIV/0!</v>
      </c>
      <c r="U449" s="188" t="e">
        <f>U450/U448*1000</f>
        <v>#DIV/0!</v>
      </c>
      <c r="V449" s="218" t="e">
        <f>V450/V448*1000</f>
        <v>#DIV/0!</v>
      </c>
      <c r="W449" s="189" t="e">
        <f>W450/W448*1000</f>
        <v>#DIV/0!</v>
      </c>
    </row>
    <row r="450" spans="1:28" s="43" customFormat="1" ht="18" hidden="1" customHeight="1">
      <c r="A450" s="583"/>
      <c r="B450" s="576"/>
      <c r="C450" s="577"/>
      <c r="D450" s="198" t="str">
        <f>серпень!D373</f>
        <v>касові видатки, тис.грн.</v>
      </c>
      <c r="E450" s="220"/>
      <c r="F450" s="199">
        <f t="shared" ref="F450:K450" si="500">F448*F449/1000</f>
        <v>0</v>
      </c>
      <c r="G450" s="199">
        <f t="shared" si="500"/>
        <v>0</v>
      </c>
      <c r="H450" s="199">
        <f t="shared" si="500"/>
        <v>0</v>
      </c>
      <c r="I450" s="199">
        <f t="shared" si="500"/>
        <v>0</v>
      </c>
      <c r="J450" s="199">
        <f t="shared" si="500"/>
        <v>0</v>
      </c>
      <c r="K450" s="199">
        <f t="shared" si="500"/>
        <v>0</v>
      </c>
      <c r="L450" s="199">
        <f>SUM(F450:K450)</f>
        <v>0</v>
      </c>
      <c r="M450" s="199">
        <f>L450/6</f>
        <v>0</v>
      </c>
      <c r="N450" s="199">
        <f t="shared" ref="N450:S450" si="501">N448*N449/1000</f>
        <v>0</v>
      </c>
      <c r="O450" s="199">
        <f t="shared" si="501"/>
        <v>0</v>
      </c>
      <c r="P450" s="199">
        <f t="shared" si="501"/>
        <v>0</v>
      </c>
      <c r="Q450" s="199">
        <f t="shared" si="501"/>
        <v>0</v>
      </c>
      <c r="R450" s="199">
        <f t="shared" si="501"/>
        <v>0</v>
      </c>
      <c r="S450" s="199">
        <f t="shared" si="501"/>
        <v>0</v>
      </c>
      <c r="T450" s="199">
        <f>SUM(N450:S450)</f>
        <v>0</v>
      </c>
      <c r="U450" s="199">
        <f>T450+L450</f>
        <v>0</v>
      </c>
      <c r="V450" s="199">
        <f>V445</f>
        <v>0</v>
      </c>
      <c r="W450" s="221">
        <f>V450-U450</f>
        <v>0</v>
      </c>
    </row>
    <row r="451" spans="1:28" s="43" customFormat="1" ht="18" hidden="1" customHeight="1">
      <c r="A451" s="583"/>
      <c r="B451" s="576"/>
      <c r="C451" s="577"/>
      <c r="D451" s="201" t="str">
        <f>серпень!D374</f>
        <v>дотація</v>
      </c>
      <c r="E451" s="220"/>
      <c r="F451" s="199"/>
      <c r="G451" s="199"/>
      <c r="H451" s="199"/>
      <c r="I451" s="199"/>
      <c r="J451" s="199"/>
      <c r="K451" s="199"/>
      <c r="L451" s="199">
        <f>SUM(F451:K451)</f>
        <v>0</v>
      </c>
      <c r="M451" s="199">
        <f>L451/6</f>
        <v>0</v>
      </c>
      <c r="N451" s="199"/>
      <c r="O451" s="199"/>
      <c r="P451" s="199"/>
      <c r="Q451" s="199"/>
      <c r="R451" s="199"/>
      <c r="S451" s="199"/>
      <c r="T451" s="199">
        <f>SUM(N451:S451)</f>
        <v>0</v>
      </c>
      <c r="U451" s="199">
        <f>T451+L451</f>
        <v>0</v>
      </c>
      <c r="V451" s="199">
        <f>V446</f>
        <v>0</v>
      </c>
      <c r="W451" s="221">
        <f>V451-U451</f>
        <v>0</v>
      </c>
    </row>
    <row r="452" spans="1:28" s="43" customFormat="1" ht="18" hidden="1" customHeight="1">
      <c r="A452" s="583"/>
      <c r="B452" s="576"/>
      <c r="C452" s="577"/>
      <c r="D452" s="201" t="str">
        <f>серпень!D375</f>
        <v xml:space="preserve">місцевий </v>
      </c>
      <c r="E452" s="220"/>
      <c r="F452" s="199">
        <f t="shared" ref="F452:K452" si="502">F450-F451</f>
        <v>0</v>
      </c>
      <c r="G452" s="199">
        <f t="shared" si="502"/>
        <v>0</v>
      </c>
      <c r="H452" s="199">
        <f t="shared" si="502"/>
        <v>0</v>
      </c>
      <c r="I452" s="199">
        <f t="shared" si="502"/>
        <v>0</v>
      </c>
      <c r="J452" s="199">
        <f t="shared" si="502"/>
        <v>0</v>
      </c>
      <c r="K452" s="199">
        <f t="shared" si="502"/>
        <v>0</v>
      </c>
      <c r="L452" s="199">
        <f>SUM(F452:K452)</f>
        <v>0</v>
      </c>
      <c r="M452" s="199">
        <f>L452/6</f>
        <v>0</v>
      </c>
      <c r="N452" s="199">
        <f t="shared" ref="N452:S452" si="503">N450-N451</f>
        <v>0</v>
      </c>
      <c r="O452" s="199">
        <f t="shared" si="503"/>
        <v>0</v>
      </c>
      <c r="P452" s="199">
        <f t="shared" si="503"/>
        <v>0</v>
      </c>
      <c r="Q452" s="199">
        <f t="shared" si="503"/>
        <v>0</v>
      </c>
      <c r="R452" s="199">
        <f t="shared" si="503"/>
        <v>0</v>
      </c>
      <c r="S452" s="199">
        <f t="shared" si="503"/>
        <v>0</v>
      </c>
      <c r="T452" s="199">
        <f>SUM(N452:S452)</f>
        <v>0</v>
      </c>
      <c r="U452" s="199">
        <f>T452+L452</f>
        <v>0</v>
      </c>
      <c r="V452" s="199">
        <f>V447</f>
        <v>0</v>
      </c>
      <c r="W452" s="221">
        <f>V452-U452</f>
        <v>0</v>
      </c>
    </row>
    <row r="453" spans="1:28" s="43" customFormat="1" ht="18" hidden="1" customHeight="1">
      <c r="A453" s="583"/>
      <c r="B453" s="576"/>
      <c r="C453" s="577"/>
      <c r="D453" s="202" t="str">
        <f>серпень!D376</f>
        <v>план</v>
      </c>
      <c r="E453" s="203"/>
      <c r="F453" s="203">
        <f t="shared" ref="F453:K453" si="504">F447</f>
        <v>0</v>
      </c>
      <c r="G453" s="203">
        <f t="shared" si="504"/>
        <v>0</v>
      </c>
      <c r="H453" s="203">
        <f t="shared" si="504"/>
        <v>0</v>
      </c>
      <c r="I453" s="203">
        <f t="shared" si="504"/>
        <v>0</v>
      </c>
      <c r="J453" s="203">
        <f t="shared" si="504"/>
        <v>0</v>
      </c>
      <c r="K453" s="203">
        <f t="shared" si="504"/>
        <v>0</v>
      </c>
      <c r="L453" s="203">
        <f>SUM(F453:K453)</f>
        <v>0</v>
      </c>
      <c r="M453" s="203">
        <f>L453/6</f>
        <v>0</v>
      </c>
      <c r="N453" s="203">
        <f t="shared" ref="N453:S453" si="505">N447+N446</f>
        <v>0</v>
      </c>
      <c r="O453" s="203">
        <f t="shared" si="505"/>
        <v>0</v>
      </c>
      <c r="P453" s="203">
        <f t="shared" si="505"/>
        <v>0</v>
      </c>
      <c r="Q453" s="203">
        <f t="shared" si="505"/>
        <v>0</v>
      </c>
      <c r="R453" s="203">
        <f t="shared" si="505"/>
        <v>0</v>
      </c>
      <c r="S453" s="203">
        <f t="shared" si="505"/>
        <v>0</v>
      </c>
      <c r="T453" s="203">
        <f>SUM(N453:S453)</f>
        <v>0</v>
      </c>
      <c r="U453" s="203">
        <f>T453+L453</f>
        <v>0</v>
      </c>
      <c r="V453" s="203">
        <f>V450</f>
        <v>0</v>
      </c>
      <c r="W453" s="203">
        <f>V453-U453</f>
        <v>0</v>
      </c>
    </row>
    <row r="454" spans="1:28" s="43" customFormat="1" ht="18" hidden="1" customHeight="1">
      <c r="A454" s="583"/>
      <c r="B454" s="576"/>
      <c r="C454" s="577"/>
      <c r="D454" s="202" t="str">
        <f>серпень!D377</f>
        <v xml:space="preserve">відхилення </v>
      </c>
      <c r="E454" s="203"/>
      <c r="F454" s="203">
        <f t="shared" ref="F454:K454" si="506">F450-F453</f>
        <v>0</v>
      </c>
      <c r="G454" s="203">
        <f t="shared" si="506"/>
        <v>0</v>
      </c>
      <c r="H454" s="203">
        <f t="shared" si="506"/>
        <v>0</v>
      </c>
      <c r="I454" s="203">
        <f t="shared" si="506"/>
        <v>0</v>
      </c>
      <c r="J454" s="203">
        <f t="shared" si="506"/>
        <v>0</v>
      </c>
      <c r="K454" s="203">
        <f t="shared" si="506"/>
        <v>0</v>
      </c>
      <c r="L454" s="203"/>
      <c r="M454" s="203"/>
      <c r="N454" s="203">
        <f t="shared" ref="N454:S454" si="507">N450-N453</f>
        <v>0</v>
      </c>
      <c r="O454" s="203">
        <f t="shared" si="507"/>
        <v>0</v>
      </c>
      <c r="P454" s="203">
        <f t="shared" si="507"/>
        <v>0</v>
      </c>
      <c r="Q454" s="203">
        <f t="shared" si="507"/>
        <v>0</v>
      </c>
      <c r="R454" s="203">
        <f t="shared" si="507"/>
        <v>0</v>
      </c>
      <c r="S454" s="203">
        <f t="shared" si="507"/>
        <v>0</v>
      </c>
      <c r="T454" s="203"/>
      <c r="U454" s="203"/>
      <c r="V454" s="203"/>
      <c r="W454" s="203"/>
    </row>
    <row r="455" spans="1:28" s="43" customFormat="1" ht="18" hidden="1" customHeight="1">
      <c r="A455" s="583"/>
      <c r="B455" s="578"/>
      <c r="C455" s="579"/>
      <c r="D455" s="202" t="str">
        <f>серпень!D378</f>
        <v>відхилення з наростаючим</v>
      </c>
      <c r="E455" s="203"/>
      <c r="F455" s="203">
        <f>F454</f>
        <v>0</v>
      </c>
      <c r="G455" s="203">
        <f>G454+F455</f>
        <v>0</v>
      </c>
      <c r="H455" s="203">
        <f>H454+G455</f>
        <v>0</v>
      </c>
      <c r="I455" s="203">
        <f>I454+H455</f>
        <v>0</v>
      </c>
      <c r="J455" s="203">
        <f>J454+I455</f>
        <v>0</v>
      </c>
      <c r="K455" s="203">
        <f>K454+J455</f>
        <v>0</v>
      </c>
      <c r="L455" s="203"/>
      <c r="M455" s="203"/>
      <c r="N455" s="203">
        <f>N454+K455</f>
        <v>0</v>
      </c>
      <c r="O455" s="203">
        <f>O454+N455</f>
        <v>0</v>
      </c>
      <c r="P455" s="203">
        <f>P454+O455</f>
        <v>0</v>
      </c>
      <c r="Q455" s="203">
        <f>Q454+P455</f>
        <v>0</v>
      </c>
      <c r="R455" s="203">
        <f>R454+Q455</f>
        <v>0</v>
      </c>
      <c r="S455" s="203">
        <f>S454+R455</f>
        <v>0</v>
      </c>
      <c r="T455" s="203"/>
      <c r="U455" s="203"/>
      <c r="V455" s="203"/>
      <c r="W455" s="203"/>
    </row>
    <row r="456" spans="1:28" s="10" customFormat="1" ht="23.35" hidden="1" customHeight="1">
      <c r="A456" s="583"/>
      <c r="B456" s="580" t="s">
        <v>38</v>
      </c>
      <c r="C456" s="575"/>
      <c r="D456" s="178" t="str">
        <f>серпень!D379</f>
        <v>факт. нат.п-ки 2023</v>
      </c>
      <c r="E456" s="11"/>
      <c r="F456" s="12"/>
      <c r="G456" s="12"/>
      <c r="H456" s="12"/>
      <c r="I456" s="12"/>
      <c r="J456" s="12"/>
      <c r="K456" s="12"/>
      <c r="L456" s="65">
        <f>SUM(F456:K456)</f>
        <v>0</v>
      </c>
      <c r="M456" s="65">
        <f>L456/6</f>
        <v>0</v>
      </c>
      <c r="N456" s="12"/>
      <c r="O456" s="12"/>
      <c r="P456" s="12"/>
      <c r="Q456" s="12"/>
      <c r="R456" s="12"/>
      <c r="S456" s="12"/>
      <c r="T456" s="65">
        <f>SUM(N456:S456)</f>
        <v>0</v>
      </c>
      <c r="U456" s="66">
        <f>T456+L456</f>
        <v>0</v>
      </c>
      <c r="V456" s="67"/>
      <c r="W456" s="38">
        <f>V456-U456</f>
        <v>0</v>
      </c>
      <c r="X456" s="36"/>
      <c r="Y456" s="3"/>
      <c r="Z456" s="3"/>
      <c r="AA456" s="3"/>
      <c r="AB456" s="3"/>
    </row>
    <row r="457" spans="1:28" s="48" customFormat="1" ht="23.35" hidden="1" customHeight="1">
      <c r="A457" s="583"/>
      <c r="B457" s="576"/>
      <c r="C457" s="577"/>
      <c r="D457" s="178" t="str">
        <f>серпень!D380</f>
        <v>факт. нат.п-ки 2024</v>
      </c>
      <c r="E457" s="11"/>
      <c r="F457" s="12"/>
      <c r="G457" s="12"/>
      <c r="H457" s="12"/>
      <c r="I457" s="12"/>
      <c r="J457" s="12"/>
      <c r="K457" s="12"/>
      <c r="L457" s="65">
        <f>SUM(F457:K457)</f>
        <v>0</v>
      </c>
      <c r="M457" s="65">
        <f>L457/6</f>
        <v>0</v>
      </c>
      <c r="N457" s="11"/>
      <c r="O457" s="11"/>
      <c r="P457" s="11"/>
      <c r="Q457" s="11"/>
      <c r="R457" s="11"/>
      <c r="S457" s="11"/>
      <c r="T457" s="65">
        <f>SUM(N457:S457)</f>
        <v>0</v>
      </c>
      <c r="U457" s="66">
        <f>T457+L457</f>
        <v>0</v>
      </c>
      <c r="V457" s="67"/>
      <c r="W457" s="38">
        <f>V457-U457</f>
        <v>0</v>
      </c>
      <c r="X457" s="47"/>
    </row>
    <row r="458" spans="1:28" s="10" customFormat="1" ht="23.35" hidden="1" customHeight="1">
      <c r="A458" s="583"/>
      <c r="B458" s="576"/>
      <c r="C458" s="577"/>
      <c r="D458" s="178" t="str">
        <f>серпень!D381</f>
        <v>факт. нат.п-ки 2025</v>
      </c>
      <c r="E458" s="11"/>
      <c r="F458" s="12"/>
      <c r="G458" s="12"/>
      <c r="H458" s="12"/>
      <c r="I458" s="12"/>
      <c r="J458" s="12"/>
      <c r="K458" s="12"/>
      <c r="L458" s="65">
        <f>SUM(F458:K458)</f>
        <v>0</v>
      </c>
      <c r="M458" s="65">
        <f>L458/6</f>
        <v>0</v>
      </c>
      <c r="N458" s="12"/>
      <c r="O458" s="12"/>
      <c r="P458" s="12"/>
      <c r="Q458" s="12"/>
      <c r="R458" s="12"/>
      <c r="S458" s="11"/>
      <c r="T458" s="65">
        <f>SUM(N458:S458)</f>
        <v>0</v>
      </c>
      <c r="U458" s="66">
        <f>T458+L458</f>
        <v>0</v>
      </c>
      <c r="V458" s="11"/>
      <c r="W458" s="38">
        <f>V458-U458</f>
        <v>0</v>
      </c>
      <c r="X458" s="36"/>
      <c r="Y458" s="3"/>
      <c r="Z458" s="3"/>
      <c r="AA458" s="3"/>
      <c r="AB458" s="3"/>
    </row>
    <row r="459" spans="1:28" s="114" customFormat="1" ht="23.35" hidden="1" customHeight="1">
      <c r="A459" s="583"/>
      <c r="B459" s="576"/>
      <c r="C459" s="577"/>
      <c r="D459" s="187" t="str">
        <f>серпень!D382</f>
        <v>тариф, грн.</v>
      </c>
      <c r="E459" s="49"/>
      <c r="F459" s="49">
        <v>10.56</v>
      </c>
      <c r="G459" s="49">
        <v>10.56</v>
      </c>
      <c r="H459" s="49">
        <v>10.56</v>
      </c>
      <c r="I459" s="49">
        <v>10.56</v>
      </c>
      <c r="J459" s="49">
        <v>10.56</v>
      </c>
      <c r="K459" s="49">
        <v>10.56</v>
      </c>
      <c r="L459" s="49" t="e">
        <f>L460/L458*1000</f>
        <v>#DIV/0!</v>
      </c>
      <c r="M459" s="49" t="e">
        <f>M460/M458*1000</f>
        <v>#DIV/0!</v>
      </c>
      <c r="N459" s="49">
        <v>10.56</v>
      </c>
      <c r="O459" s="49">
        <v>10.56</v>
      </c>
      <c r="P459" s="49">
        <v>10.56</v>
      </c>
      <c r="Q459" s="49">
        <v>10.56</v>
      </c>
      <c r="R459" s="49">
        <v>10.56</v>
      </c>
      <c r="S459" s="49">
        <v>10.56</v>
      </c>
      <c r="T459" s="49" t="e">
        <f>T460/T458*1000</f>
        <v>#DIV/0!</v>
      </c>
      <c r="U459" s="49" t="e">
        <f>U460/U458*1000</f>
        <v>#DIV/0!</v>
      </c>
      <c r="V459" s="68" t="e">
        <f>V460/V458*1000</f>
        <v>#DIV/0!</v>
      </c>
      <c r="W459" s="14" t="e">
        <f>W460/W458*1000</f>
        <v>#DIV/0!</v>
      </c>
      <c r="X459" s="36"/>
      <c r="Y459" s="3"/>
      <c r="Z459" s="3"/>
      <c r="AA459" s="3"/>
      <c r="AB459" s="3"/>
    </row>
    <row r="460" spans="1:28" s="114" customFormat="1" ht="23.35" hidden="1" customHeight="1">
      <c r="A460" s="583"/>
      <c r="B460" s="576"/>
      <c r="C460" s="577"/>
      <c r="D460" s="191" t="str">
        <f>серпень!D383</f>
        <v>сума, тис.грн.</v>
      </c>
      <c r="E460" s="52"/>
      <c r="F460" s="52">
        <f t="shared" ref="F460:K460" si="508">F458*F459/1000</f>
        <v>0</v>
      </c>
      <c r="G460" s="52">
        <f t="shared" si="508"/>
        <v>0</v>
      </c>
      <c r="H460" s="52">
        <f t="shared" si="508"/>
        <v>0</v>
      </c>
      <c r="I460" s="52">
        <f t="shared" si="508"/>
        <v>0</v>
      </c>
      <c r="J460" s="52">
        <f t="shared" si="508"/>
        <v>0</v>
      </c>
      <c r="K460" s="52">
        <f t="shared" si="508"/>
        <v>0</v>
      </c>
      <c r="L460" s="69">
        <f>SUM(F460:K460)</f>
        <v>0</v>
      </c>
      <c r="M460" s="69">
        <f>L460/6</f>
        <v>0</v>
      </c>
      <c r="N460" s="52">
        <f t="shared" ref="N460:S460" si="509">N458*N459/1000</f>
        <v>0</v>
      </c>
      <c r="O460" s="52">
        <f t="shared" si="509"/>
        <v>0</v>
      </c>
      <c r="P460" s="52">
        <f t="shared" si="509"/>
        <v>0</v>
      </c>
      <c r="Q460" s="52">
        <f t="shared" si="509"/>
        <v>0</v>
      </c>
      <c r="R460" s="52">
        <f t="shared" si="509"/>
        <v>0</v>
      </c>
      <c r="S460" s="52">
        <f t="shared" si="509"/>
        <v>0</v>
      </c>
      <c r="T460" s="69">
        <f>SUM(N460:S460)</f>
        <v>0</v>
      </c>
      <c r="U460" s="69">
        <f>T460+L460</f>
        <v>0</v>
      </c>
      <c r="V460" s="70">
        <f>V461+V462</f>
        <v>0</v>
      </c>
      <c r="W460" s="53">
        <f>V460-U460</f>
        <v>0</v>
      </c>
      <c r="X460" s="113"/>
    </row>
    <row r="461" spans="1:28" s="114" customFormat="1" ht="23.35" hidden="1" customHeight="1">
      <c r="A461" s="583"/>
      <c r="B461" s="576"/>
      <c r="C461" s="577"/>
      <c r="D461" s="174" t="str">
        <f>серпень!D384</f>
        <v>дотація</v>
      </c>
      <c r="E461" s="56"/>
      <c r="F461" s="52"/>
      <c r="G461" s="52"/>
      <c r="H461" s="52"/>
      <c r="I461" s="52"/>
      <c r="J461" s="52"/>
      <c r="K461" s="52"/>
      <c r="L461" s="69">
        <f>SUM(F461:K461)</f>
        <v>0</v>
      </c>
      <c r="M461" s="69">
        <f>L461/6</f>
        <v>0</v>
      </c>
      <c r="N461" s="52"/>
      <c r="O461" s="52"/>
      <c r="P461" s="52"/>
      <c r="Q461" s="52"/>
      <c r="R461" s="52"/>
      <c r="S461" s="52"/>
      <c r="T461" s="69">
        <f>SUM(N461:S461)</f>
        <v>0</v>
      </c>
      <c r="U461" s="69">
        <f>T461+L461</f>
        <v>0</v>
      </c>
      <c r="V461" s="70">
        <v>0</v>
      </c>
      <c r="W461" s="53">
        <f>V461-U461</f>
        <v>0</v>
      </c>
      <c r="X461" s="113"/>
    </row>
    <row r="462" spans="1:28" s="114" customFormat="1" ht="23.35" hidden="1" customHeight="1">
      <c r="A462" s="583"/>
      <c r="B462" s="576"/>
      <c r="C462" s="577"/>
      <c r="D462" s="174" t="str">
        <f>серпень!D385</f>
        <v>місцевий (план), тис.грн</v>
      </c>
      <c r="E462" s="56"/>
      <c r="F462" s="52"/>
      <c r="G462" s="52"/>
      <c r="H462" s="52"/>
      <c r="I462" s="52"/>
      <c r="J462" s="52"/>
      <c r="K462" s="52"/>
      <c r="L462" s="69">
        <f>SUM(F462:K462)</f>
        <v>0</v>
      </c>
      <c r="M462" s="69">
        <f>L462/6</f>
        <v>0</v>
      </c>
      <c r="N462" s="52"/>
      <c r="O462" s="52"/>
      <c r="P462" s="52"/>
      <c r="Q462" s="52"/>
      <c r="R462" s="52"/>
      <c r="S462" s="52"/>
      <c r="T462" s="69">
        <f>SUM(N462:S462)</f>
        <v>0</v>
      </c>
      <c r="U462" s="69">
        <f>T462+L462</f>
        <v>0</v>
      </c>
      <c r="V462" s="70"/>
      <c r="W462" s="53">
        <f>V462-U462</f>
        <v>0</v>
      </c>
      <c r="X462" s="113"/>
    </row>
    <row r="463" spans="1:28" s="3" customFormat="1" ht="23.35" hidden="1" customHeight="1">
      <c r="A463" s="583"/>
      <c r="B463" s="576"/>
      <c r="C463" s="577"/>
      <c r="D463" s="178" t="str">
        <f>серпень!D386</f>
        <v>касові нат.п-ки 2025</v>
      </c>
      <c r="E463" s="11"/>
      <c r="F463" s="11"/>
      <c r="G463" s="11"/>
      <c r="H463" s="11"/>
      <c r="I463" s="11"/>
      <c r="J463" s="11"/>
      <c r="K463" s="11"/>
      <c r="L463" s="65">
        <f>SUM(F463:K463)</f>
        <v>0</v>
      </c>
      <c r="M463" s="65">
        <f>L463/6</f>
        <v>0</v>
      </c>
      <c r="N463" s="11"/>
      <c r="O463" s="11"/>
      <c r="P463" s="11"/>
      <c r="Q463" s="11"/>
      <c r="R463" s="11"/>
      <c r="S463" s="11">
        <f>S458+R458</f>
        <v>0</v>
      </c>
      <c r="T463" s="65">
        <f>SUM(N463:S463)</f>
        <v>0</v>
      </c>
      <c r="U463" s="65">
        <f>T463+L463</f>
        <v>0</v>
      </c>
      <c r="V463" s="11">
        <f>V458</f>
        <v>0</v>
      </c>
      <c r="W463" s="38">
        <f>V463-U463</f>
        <v>0</v>
      </c>
      <c r="X463" s="47">
        <f>U458-U463</f>
        <v>0</v>
      </c>
    </row>
    <row r="464" spans="1:28" s="73" customFormat="1" ht="23.35" hidden="1" customHeight="1">
      <c r="A464" s="583"/>
      <c r="B464" s="576"/>
      <c r="C464" s="577"/>
      <c r="D464" s="187" t="str">
        <f>серпень!D387</f>
        <v>тариф, грн.</v>
      </c>
      <c r="E464" s="49" t="e">
        <f>E465/E463*1000</f>
        <v>#DIV/0!</v>
      </c>
      <c r="F464" s="49">
        <v>10.56</v>
      </c>
      <c r="G464" s="49">
        <v>10.56</v>
      </c>
      <c r="H464" s="49">
        <v>10.56</v>
      </c>
      <c r="I464" s="49">
        <v>10.56</v>
      </c>
      <c r="J464" s="49">
        <v>10.56</v>
      </c>
      <c r="K464" s="49">
        <v>10.56</v>
      </c>
      <c r="L464" s="49" t="e">
        <f>L465/L463*1000</f>
        <v>#DIV/0!</v>
      </c>
      <c r="M464" s="49" t="e">
        <f>M465/M463*1000</f>
        <v>#DIV/0!</v>
      </c>
      <c r="N464" s="49">
        <v>10.56</v>
      </c>
      <c r="O464" s="49">
        <v>10.56</v>
      </c>
      <c r="P464" s="49">
        <v>10.56</v>
      </c>
      <c r="Q464" s="49">
        <v>10.56</v>
      </c>
      <c r="R464" s="49">
        <v>10.56</v>
      </c>
      <c r="S464" s="49">
        <v>10.56</v>
      </c>
      <c r="T464" s="49" t="e">
        <f>T465/T463*1000</f>
        <v>#DIV/0!</v>
      </c>
      <c r="U464" s="49" t="e">
        <f>U465/U463*1000</f>
        <v>#DIV/0!</v>
      </c>
      <c r="V464" s="68" t="e">
        <f>V465/V463*1000</f>
        <v>#DIV/0!</v>
      </c>
      <c r="W464" s="14" t="e">
        <f>W465/W463*1000</f>
        <v>#DIV/0!</v>
      </c>
      <c r="X464" s="59"/>
      <c r="Y464" s="36"/>
      <c r="Z464" s="36"/>
      <c r="AA464" s="36"/>
      <c r="AB464" s="36"/>
    </row>
    <row r="465" spans="1:24" s="126" customFormat="1" ht="23.35" hidden="1" customHeight="1">
      <c r="A465" s="583"/>
      <c r="B465" s="576"/>
      <c r="C465" s="577"/>
      <c r="D465" s="198" t="str">
        <f>серпень!D388</f>
        <v>касові видатки, тис.грн.</v>
      </c>
      <c r="E465" s="71"/>
      <c r="F465" s="61">
        <f t="shared" ref="F465:K465" si="510">F463*F464/1000</f>
        <v>0</v>
      </c>
      <c r="G465" s="61">
        <f t="shared" si="510"/>
        <v>0</v>
      </c>
      <c r="H465" s="61">
        <f t="shared" si="510"/>
        <v>0</v>
      </c>
      <c r="I465" s="61">
        <f t="shared" si="510"/>
        <v>0</v>
      </c>
      <c r="J465" s="61">
        <f t="shared" si="510"/>
        <v>0</v>
      </c>
      <c r="K465" s="61">
        <f t="shared" si="510"/>
        <v>0</v>
      </c>
      <c r="L465" s="61">
        <f>SUM(F465:K465)</f>
        <v>0</v>
      </c>
      <c r="M465" s="61">
        <f>L465/6</f>
        <v>0</v>
      </c>
      <c r="N465" s="61">
        <f t="shared" ref="N465:S465" si="511">N463*N464/1000</f>
        <v>0</v>
      </c>
      <c r="O465" s="61">
        <f t="shared" si="511"/>
        <v>0</v>
      </c>
      <c r="P465" s="61">
        <f t="shared" si="511"/>
        <v>0</v>
      </c>
      <c r="Q465" s="61">
        <f t="shared" si="511"/>
        <v>0</v>
      </c>
      <c r="R465" s="61">
        <f t="shared" si="511"/>
        <v>0</v>
      </c>
      <c r="S465" s="61">
        <f t="shared" si="511"/>
        <v>0</v>
      </c>
      <c r="T465" s="61">
        <f>SUM(N465:S465)</f>
        <v>0</v>
      </c>
      <c r="U465" s="61">
        <f>T465+L465</f>
        <v>0</v>
      </c>
      <c r="V465" s="61">
        <f>V460</f>
        <v>0</v>
      </c>
      <c r="W465" s="72">
        <f>V465-U465</f>
        <v>0</v>
      </c>
      <c r="X465" s="63">
        <f>U460-U465</f>
        <v>0</v>
      </c>
    </row>
    <row r="466" spans="1:24" s="126" customFormat="1" ht="23.35" hidden="1" customHeight="1">
      <c r="A466" s="583"/>
      <c r="B466" s="576"/>
      <c r="C466" s="577"/>
      <c r="D466" s="201" t="str">
        <f>серпень!D389</f>
        <v>дотація</v>
      </c>
      <c r="E466" s="71"/>
      <c r="F466" s="61"/>
      <c r="G466" s="61"/>
      <c r="H466" s="61"/>
      <c r="I466" s="61"/>
      <c r="J466" s="61"/>
      <c r="K466" s="61"/>
      <c r="L466" s="61">
        <f>SUM(F466:K466)</f>
        <v>0</v>
      </c>
      <c r="M466" s="61">
        <f>L466/6</f>
        <v>0</v>
      </c>
      <c r="N466" s="61"/>
      <c r="O466" s="61"/>
      <c r="P466" s="61"/>
      <c r="Q466" s="61"/>
      <c r="R466" s="61"/>
      <c r="S466" s="61"/>
      <c r="T466" s="61">
        <f>SUM(N466:S466)</f>
        <v>0</v>
      </c>
      <c r="U466" s="61">
        <f>T466+L466</f>
        <v>0</v>
      </c>
      <c r="V466" s="61">
        <f>V461</f>
        <v>0</v>
      </c>
      <c r="W466" s="72">
        <f>V466-U466</f>
        <v>0</v>
      </c>
      <c r="X466" s="63">
        <f>U461-U466</f>
        <v>0</v>
      </c>
    </row>
    <row r="467" spans="1:24" s="126" customFormat="1" ht="23.35" hidden="1" customHeight="1">
      <c r="A467" s="583"/>
      <c r="B467" s="576"/>
      <c r="C467" s="577"/>
      <c r="D467" s="201" t="str">
        <f>серпень!D390</f>
        <v xml:space="preserve">місцевий </v>
      </c>
      <c r="E467" s="71"/>
      <c r="F467" s="61">
        <f t="shared" ref="F467:K467" si="512">F465-F466</f>
        <v>0</v>
      </c>
      <c r="G467" s="61">
        <f t="shared" si="512"/>
        <v>0</v>
      </c>
      <c r="H467" s="61">
        <f t="shared" si="512"/>
        <v>0</v>
      </c>
      <c r="I467" s="61">
        <f t="shared" si="512"/>
        <v>0</v>
      </c>
      <c r="J467" s="61">
        <f t="shared" si="512"/>
        <v>0</v>
      </c>
      <c r="K467" s="61">
        <f t="shared" si="512"/>
        <v>0</v>
      </c>
      <c r="L467" s="61">
        <f>SUM(F467:K467)</f>
        <v>0</v>
      </c>
      <c r="M467" s="61">
        <f>L467/6</f>
        <v>0</v>
      </c>
      <c r="N467" s="61">
        <f t="shared" ref="N467:S467" si="513">N465-N466</f>
        <v>0</v>
      </c>
      <c r="O467" s="61">
        <f t="shared" si="513"/>
        <v>0</v>
      </c>
      <c r="P467" s="61">
        <f t="shared" si="513"/>
        <v>0</v>
      </c>
      <c r="Q467" s="61">
        <f t="shared" si="513"/>
        <v>0</v>
      </c>
      <c r="R467" s="61">
        <f t="shared" si="513"/>
        <v>0</v>
      </c>
      <c r="S467" s="61">
        <f t="shared" si="513"/>
        <v>0</v>
      </c>
      <c r="T467" s="61">
        <f>SUM(N467:S467)</f>
        <v>0</v>
      </c>
      <c r="U467" s="61">
        <f>T467+L467</f>
        <v>0</v>
      </c>
      <c r="V467" s="61">
        <f>V462</f>
        <v>0</v>
      </c>
      <c r="W467" s="72">
        <f>V467-U467</f>
        <v>0</v>
      </c>
      <c r="X467" s="63">
        <f>U462-U467</f>
        <v>0</v>
      </c>
    </row>
    <row r="468" spans="1:24" s="43" customFormat="1" ht="23.35" hidden="1" customHeight="1">
      <c r="A468" s="583"/>
      <c r="B468" s="576"/>
      <c r="C468" s="577"/>
      <c r="D468" s="202" t="str">
        <f>серпень!D391</f>
        <v>план</v>
      </c>
      <c r="E468" s="42"/>
      <c r="F468" s="42">
        <f t="shared" ref="F468:K468" si="514">F462</f>
        <v>0</v>
      </c>
      <c r="G468" s="42">
        <f t="shared" si="514"/>
        <v>0</v>
      </c>
      <c r="H468" s="42">
        <f t="shared" si="514"/>
        <v>0</v>
      </c>
      <c r="I468" s="42">
        <f t="shared" si="514"/>
        <v>0</v>
      </c>
      <c r="J468" s="42">
        <f t="shared" si="514"/>
        <v>0</v>
      </c>
      <c r="K468" s="42">
        <f t="shared" si="514"/>
        <v>0</v>
      </c>
      <c r="L468" s="42">
        <f>SUM(F468:K468)</f>
        <v>0</v>
      </c>
      <c r="M468" s="42">
        <f>L468/6</f>
        <v>0</v>
      </c>
      <c r="N468" s="42">
        <f t="shared" ref="N468:S468" si="515">N462+N461</f>
        <v>0</v>
      </c>
      <c r="O468" s="42">
        <f t="shared" si="515"/>
        <v>0</v>
      </c>
      <c r="P468" s="42">
        <f t="shared" si="515"/>
        <v>0</v>
      </c>
      <c r="Q468" s="42">
        <f t="shared" si="515"/>
        <v>0</v>
      </c>
      <c r="R468" s="42">
        <f t="shared" si="515"/>
        <v>0</v>
      </c>
      <c r="S468" s="42">
        <f t="shared" si="515"/>
        <v>0</v>
      </c>
      <c r="T468" s="42">
        <f>SUM(N468:S468)</f>
        <v>0</v>
      </c>
      <c r="U468" s="42">
        <f>T468+L468</f>
        <v>0</v>
      </c>
      <c r="V468" s="42">
        <f>V465</f>
        <v>0</v>
      </c>
      <c r="W468" s="42">
        <f>V468-U468</f>
        <v>0</v>
      </c>
    </row>
    <row r="469" spans="1:24" s="43" customFormat="1" ht="23.35" hidden="1" customHeight="1">
      <c r="A469" s="583"/>
      <c r="B469" s="576"/>
      <c r="C469" s="577"/>
      <c r="D469" s="202" t="str">
        <f>серпень!D392</f>
        <v xml:space="preserve">відхилення </v>
      </c>
      <c r="E469" s="42"/>
      <c r="F469" s="42">
        <f t="shared" ref="F469:K469" si="516">F465-F468</f>
        <v>0</v>
      </c>
      <c r="G469" s="42">
        <f t="shared" si="516"/>
        <v>0</v>
      </c>
      <c r="H469" s="42">
        <f t="shared" si="516"/>
        <v>0</v>
      </c>
      <c r="I469" s="42">
        <f t="shared" si="516"/>
        <v>0</v>
      </c>
      <c r="J469" s="42">
        <f t="shared" si="516"/>
        <v>0</v>
      </c>
      <c r="K469" s="42">
        <f t="shared" si="516"/>
        <v>0</v>
      </c>
      <c r="L469" s="42"/>
      <c r="M469" s="42"/>
      <c r="N469" s="42">
        <f t="shared" ref="N469:S469" si="517">N465-N468</f>
        <v>0</v>
      </c>
      <c r="O469" s="42">
        <f t="shared" si="517"/>
        <v>0</v>
      </c>
      <c r="P469" s="42">
        <f t="shared" si="517"/>
        <v>0</v>
      </c>
      <c r="Q469" s="42">
        <f t="shared" si="517"/>
        <v>0</v>
      </c>
      <c r="R469" s="42">
        <f t="shared" si="517"/>
        <v>0</v>
      </c>
      <c r="S469" s="42">
        <f t="shared" si="517"/>
        <v>0</v>
      </c>
      <c r="T469" s="42"/>
      <c r="U469" s="42"/>
      <c r="V469" s="42"/>
      <c r="W469" s="42"/>
    </row>
    <row r="470" spans="1:24" s="43" customFormat="1" ht="23.35" hidden="1" customHeight="1">
      <c r="A470" s="584"/>
      <c r="B470" s="578"/>
      <c r="C470" s="579"/>
      <c r="D470" s="202" t="str">
        <f>серпень!D393</f>
        <v>відхилення з наростаючим</v>
      </c>
      <c r="E470" s="42"/>
      <c r="F470" s="42">
        <f>F469</f>
        <v>0</v>
      </c>
      <c r="G470" s="42">
        <f>G469+F470</f>
        <v>0</v>
      </c>
      <c r="H470" s="42">
        <f>H469+G470</f>
        <v>0</v>
      </c>
      <c r="I470" s="42">
        <f>I469+H470</f>
        <v>0</v>
      </c>
      <c r="J470" s="42">
        <f>J469+I470</f>
        <v>0</v>
      </c>
      <c r="K470" s="42">
        <f>K469+J470</f>
        <v>0</v>
      </c>
      <c r="L470" s="42"/>
      <c r="M470" s="42"/>
      <c r="N470" s="42">
        <f>N469+K470</f>
        <v>0</v>
      </c>
      <c r="O470" s="42">
        <f>O469+N470</f>
        <v>0</v>
      </c>
      <c r="P470" s="42">
        <f>P469+O470</f>
        <v>0</v>
      </c>
      <c r="Q470" s="42">
        <f>Q469+P470</f>
        <v>0</v>
      </c>
      <c r="R470" s="42">
        <f>R469+Q470</f>
        <v>0</v>
      </c>
      <c r="S470" s="42">
        <f>S469+R470</f>
        <v>0</v>
      </c>
      <c r="T470" s="42"/>
      <c r="U470" s="42"/>
      <c r="V470" s="42"/>
      <c r="W470" s="42"/>
    </row>
    <row r="471" spans="1:24" s="55" customFormat="1" ht="23.35" customHeight="1">
      <c r="A471" s="591">
        <v>2273</v>
      </c>
      <c r="B471" s="580" t="s">
        <v>26</v>
      </c>
      <c r="C471" s="575"/>
      <c r="D471" s="178" t="str">
        <f>серпень!D394</f>
        <v>факт. нат.п-ки 2023</v>
      </c>
      <c r="E471" s="11"/>
      <c r="F471" s="12">
        <f t="shared" ref="F471:K473" si="518">F486+F501</f>
        <v>3924</v>
      </c>
      <c r="G471" s="12">
        <f t="shared" si="518"/>
        <v>2451.3000000000002</v>
      </c>
      <c r="H471" s="12">
        <f t="shared" si="518"/>
        <v>2286</v>
      </c>
      <c r="I471" s="12">
        <f t="shared" si="518"/>
        <v>1659.1</v>
      </c>
      <c r="J471" s="12">
        <f t="shared" si="518"/>
        <v>955</v>
      </c>
      <c r="K471" s="12">
        <f t="shared" si="518"/>
        <v>1408</v>
      </c>
      <c r="L471" s="65">
        <f>SUM(F471:K471)</f>
        <v>12683.4</v>
      </c>
      <c r="M471" s="65">
        <f>L471/6</f>
        <v>2113.9</v>
      </c>
      <c r="N471" s="12">
        <f t="shared" ref="N471:S473" si="519">N486+N501</f>
        <v>1307</v>
      </c>
      <c r="O471" s="12">
        <f t="shared" si="519"/>
        <v>1162</v>
      </c>
      <c r="P471" s="12">
        <f t="shared" si="519"/>
        <v>4267.1000000000004</v>
      </c>
      <c r="Q471" s="12">
        <f t="shared" si="519"/>
        <v>1784.2</v>
      </c>
      <c r="R471" s="12">
        <f t="shared" si="519"/>
        <v>5356.4</v>
      </c>
      <c r="S471" s="12">
        <f t="shared" si="519"/>
        <v>9656.6</v>
      </c>
      <c r="T471" s="65">
        <f>SUM(N471:S471)</f>
        <v>23533.3</v>
      </c>
      <c r="U471" s="65">
        <f>T471+L471</f>
        <v>36216.699999999997</v>
      </c>
      <c r="V471" s="76">
        <f>V486+V501</f>
        <v>9058</v>
      </c>
      <c r="W471" s="38"/>
      <c r="X471" s="47"/>
    </row>
    <row r="472" spans="1:24" s="48" customFormat="1" ht="23.35" customHeight="1">
      <c r="A472" s="592"/>
      <c r="B472" s="576"/>
      <c r="C472" s="577"/>
      <c r="D472" s="178" t="str">
        <f>серпень!D395</f>
        <v>факт. нат.п-ки 2024</v>
      </c>
      <c r="E472" s="11"/>
      <c r="F472" s="12">
        <f t="shared" si="518"/>
        <v>3924</v>
      </c>
      <c r="G472" s="12">
        <f t="shared" si="518"/>
        <v>2319.4</v>
      </c>
      <c r="H472" s="12">
        <f t="shared" si="518"/>
        <v>1216</v>
      </c>
      <c r="I472" s="12">
        <f t="shared" si="518"/>
        <v>1559</v>
      </c>
      <c r="J472" s="12">
        <f>J487+J502</f>
        <v>1263.3</v>
      </c>
      <c r="K472" s="12">
        <f t="shared" si="518"/>
        <v>1254.3</v>
      </c>
      <c r="L472" s="65">
        <f>SUM(F472:K472)</f>
        <v>11536</v>
      </c>
      <c r="M472" s="65">
        <f>L472/6</f>
        <v>1922.7</v>
      </c>
      <c r="N472" s="12">
        <f t="shared" si="519"/>
        <v>584.6</v>
      </c>
      <c r="O472" s="12">
        <f t="shared" si="519"/>
        <v>1348</v>
      </c>
      <c r="P472" s="12">
        <f t="shared" si="519"/>
        <v>2133.3000000000002</v>
      </c>
      <c r="Q472" s="12">
        <f t="shared" si="519"/>
        <v>5806.5</v>
      </c>
      <c r="R472" s="12">
        <f t="shared" si="519"/>
        <v>5356.4</v>
      </c>
      <c r="S472" s="12">
        <f t="shared" si="519"/>
        <v>9656.6</v>
      </c>
      <c r="T472" s="65">
        <f>SUM(N472:S472)</f>
        <v>24885.4</v>
      </c>
      <c r="U472" s="65">
        <f>T472+L472</f>
        <v>36421.4</v>
      </c>
      <c r="V472" s="76">
        <f>V487+V502</f>
        <v>37048</v>
      </c>
      <c r="W472" s="38"/>
      <c r="X472" s="47"/>
    </row>
    <row r="473" spans="1:24" s="48" customFormat="1" ht="23.35" customHeight="1">
      <c r="A473" s="592"/>
      <c r="B473" s="576"/>
      <c r="C473" s="577"/>
      <c r="D473" s="178" t="str">
        <f>серпень!D396</f>
        <v>факт. нат.п-ки 2025</v>
      </c>
      <c r="E473" s="11"/>
      <c r="F473" s="12">
        <f t="shared" si="518"/>
        <v>1210.5</v>
      </c>
      <c r="G473" s="12">
        <f t="shared" si="518"/>
        <v>2547.8000000000002</v>
      </c>
      <c r="H473" s="12">
        <f t="shared" si="518"/>
        <v>2122.3000000000002</v>
      </c>
      <c r="I473" s="12">
        <f t="shared" si="518"/>
        <v>5067.1000000000004</v>
      </c>
      <c r="J473" s="12">
        <f>J488+J503</f>
        <v>3396.9</v>
      </c>
      <c r="K473" s="12">
        <f t="shared" si="518"/>
        <v>3028.1</v>
      </c>
      <c r="L473" s="125">
        <f>SUM(F473:K473)</f>
        <v>17372.7</v>
      </c>
      <c r="M473" s="65">
        <f>L473/6</f>
        <v>2895.5</v>
      </c>
      <c r="N473" s="12">
        <f t="shared" si="519"/>
        <v>2902.4</v>
      </c>
      <c r="O473" s="12">
        <f t="shared" si="519"/>
        <v>1453.7</v>
      </c>
      <c r="P473" s="12">
        <f t="shared" si="519"/>
        <v>2172.9</v>
      </c>
      <c r="Q473" s="12">
        <f t="shared" si="519"/>
        <v>5806.5</v>
      </c>
      <c r="R473" s="12">
        <f t="shared" si="519"/>
        <v>5356.4</v>
      </c>
      <c r="S473" s="12">
        <f t="shared" si="519"/>
        <v>9656.6</v>
      </c>
      <c r="T473" s="65">
        <f>SUM(N473:S473)</f>
        <v>27348.5</v>
      </c>
      <c r="U473" s="65">
        <f>T473+L473</f>
        <v>44721.2</v>
      </c>
      <c r="V473" s="76">
        <f>V488+V503</f>
        <v>37389.199999999997</v>
      </c>
      <c r="W473" s="38">
        <f>V473-U473</f>
        <v>-7332</v>
      </c>
      <c r="X473" s="47"/>
    </row>
    <row r="474" spans="1:24" s="51" customFormat="1" ht="23.35" customHeight="1">
      <c r="A474" s="592"/>
      <c r="B474" s="576"/>
      <c r="C474" s="577"/>
      <c r="D474" s="187" t="str">
        <f>серпень!D397</f>
        <v>тариф, грн.</v>
      </c>
      <c r="E474" s="49"/>
      <c r="F474" s="129">
        <f t="shared" ref="F474:S474" si="520">F475/F473*1000</f>
        <v>4.7088000000000001</v>
      </c>
      <c r="G474" s="129">
        <f t="shared" si="520"/>
        <v>9.0026700000000002</v>
      </c>
      <c r="H474" s="129">
        <f t="shared" si="520"/>
        <v>8.9794099999999997</v>
      </c>
      <c r="I474" s="129">
        <f t="shared" si="520"/>
        <v>8.4904600000000006</v>
      </c>
      <c r="J474" s="129">
        <f t="shared" si="520"/>
        <v>8.6673100000000005</v>
      </c>
      <c r="K474" s="129">
        <f t="shared" si="520"/>
        <v>9.2602600000000006</v>
      </c>
      <c r="L474" s="129">
        <f t="shared" si="520"/>
        <v>8.5305700000000009</v>
      </c>
      <c r="M474" s="129">
        <f t="shared" si="520"/>
        <v>8.5304800000000007</v>
      </c>
      <c r="N474" s="129">
        <f t="shared" si="520"/>
        <v>9.0142600000000002</v>
      </c>
      <c r="O474" s="129">
        <f t="shared" si="520"/>
        <v>8.8828499999999995</v>
      </c>
      <c r="P474" s="129">
        <f t="shared" si="520"/>
        <v>8.9967299999999994</v>
      </c>
      <c r="Q474" s="129">
        <f t="shared" si="520"/>
        <v>8.9310299999999998</v>
      </c>
      <c r="R474" s="129">
        <f t="shared" si="520"/>
        <v>7.77257</v>
      </c>
      <c r="S474" s="129">
        <f t="shared" si="520"/>
        <v>8.1413700000000002</v>
      </c>
      <c r="T474" s="129">
        <f>T475/T473*1000</f>
        <v>8.4368099999999995</v>
      </c>
      <c r="U474" s="129">
        <f>U475/U473*1000</f>
        <v>8.4732299999999992</v>
      </c>
      <c r="V474" s="129">
        <f>V475/V473*1000</f>
        <v>8.1592500000000001</v>
      </c>
      <c r="W474" s="41">
        <f>W475/W473*1000</f>
        <v>10.07433</v>
      </c>
      <c r="X474" s="59"/>
    </row>
    <row r="475" spans="1:24" s="130" customFormat="1" ht="23.35" customHeight="1">
      <c r="A475" s="592"/>
      <c r="B475" s="576"/>
      <c r="C475" s="577"/>
      <c r="D475" s="191" t="str">
        <f>серпень!D398</f>
        <v>сума, тис.грн.</v>
      </c>
      <c r="E475" s="52"/>
      <c r="F475" s="52">
        <f t="shared" ref="F475:K478" si="521">F490+F505</f>
        <v>5.7</v>
      </c>
      <c r="G475" s="52">
        <f t="shared" si="521"/>
        <v>22.937000000000001</v>
      </c>
      <c r="H475" s="52">
        <f t="shared" si="521"/>
        <v>19.056999999999999</v>
      </c>
      <c r="I475" s="52">
        <f t="shared" si="521"/>
        <v>43.021999999999998</v>
      </c>
      <c r="J475" s="52">
        <f t="shared" si="521"/>
        <v>29.442</v>
      </c>
      <c r="K475" s="52">
        <f t="shared" si="521"/>
        <v>28.041</v>
      </c>
      <c r="L475" s="69">
        <f>SUM(F475:K475)</f>
        <v>148.19900000000001</v>
      </c>
      <c r="M475" s="69">
        <f>L475/6</f>
        <v>24.7</v>
      </c>
      <c r="N475" s="52">
        <f t="shared" ref="N475:S478" si="522">N490+N505</f>
        <v>26.163</v>
      </c>
      <c r="O475" s="52">
        <f t="shared" si="522"/>
        <v>12.913</v>
      </c>
      <c r="P475" s="52">
        <f t="shared" si="522"/>
        <v>19.548999999999999</v>
      </c>
      <c r="Q475" s="52">
        <f t="shared" si="522"/>
        <v>51.857999999999997</v>
      </c>
      <c r="R475" s="52">
        <f t="shared" si="522"/>
        <v>41.633000000000003</v>
      </c>
      <c r="S475" s="52">
        <f t="shared" si="522"/>
        <v>78.617999999999995</v>
      </c>
      <c r="T475" s="69">
        <f>SUM(N475:S475)</f>
        <v>230.73400000000001</v>
      </c>
      <c r="U475" s="69">
        <f>T475+L475</f>
        <v>378.93299999999999</v>
      </c>
      <c r="V475" s="52">
        <f>V490+V505</f>
        <v>305.06799999999998</v>
      </c>
      <c r="W475" s="52">
        <f>V475-U475</f>
        <v>-73.864999999999995</v>
      </c>
    </row>
    <row r="476" spans="1:24" s="130" customFormat="1" ht="23.35" customHeight="1">
      <c r="A476" s="592"/>
      <c r="B476" s="576"/>
      <c r="C476" s="577"/>
      <c r="D476" s="174" t="str">
        <f>серпень!D399</f>
        <v>дотація</v>
      </c>
      <c r="E476" s="52"/>
      <c r="F476" s="52">
        <f t="shared" si="521"/>
        <v>0</v>
      </c>
      <c r="G476" s="52">
        <f t="shared" si="521"/>
        <v>0</v>
      </c>
      <c r="H476" s="52">
        <f t="shared" si="521"/>
        <v>0</v>
      </c>
      <c r="I476" s="52">
        <f t="shared" si="521"/>
        <v>0</v>
      </c>
      <c r="J476" s="52">
        <f>J491+J506</f>
        <v>0</v>
      </c>
      <c r="K476" s="52">
        <f t="shared" si="521"/>
        <v>0</v>
      </c>
      <c r="L476" s="69">
        <f>SUM(F476:K476)</f>
        <v>0</v>
      </c>
      <c r="M476" s="69">
        <f>L476/6</f>
        <v>0</v>
      </c>
      <c r="N476" s="52">
        <f t="shared" si="522"/>
        <v>0</v>
      </c>
      <c r="O476" s="52">
        <f t="shared" si="522"/>
        <v>0</v>
      </c>
      <c r="P476" s="52">
        <f t="shared" si="522"/>
        <v>0</v>
      </c>
      <c r="Q476" s="52">
        <f t="shared" si="522"/>
        <v>0</v>
      </c>
      <c r="R476" s="52">
        <f t="shared" si="522"/>
        <v>0</v>
      </c>
      <c r="S476" s="52">
        <f t="shared" si="522"/>
        <v>0</v>
      </c>
      <c r="T476" s="69">
        <f>SUM(N476:S476)</f>
        <v>0</v>
      </c>
      <c r="U476" s="69">
        <f>T476+L476</f>
        <v>0</v>
      </c>
      <c r="V476" s="52">
        <f>V491+V506</f>
        <v>0</v>
      </c>
      <c r="W476" s="52">
        <f>V476-U476</f>
        <v>0</v>
      </c>
    </row>
    <row r="477" spans="1:24" s="130" customFormat="1" ht="23.35" customHeight="1">
      <c r="A477" s="592"/>
      <c r="B477" s="576"/>
      <c r="C477" s="577"/>
      <c r="D477" s="174" t="str">
        <f>серпень!D400</f>
        <v>місцевий (план), тис.грн</v>
      </c>
      <c r="E477" s="52"/>
      <c r="F477" s="52">
        <f t="shared" si="521"/>
        <v>0</v>
      </c>
      <c r="G477" s="52">
        <f t="shared" si="521"/>
        <v>5.702</v>
      </c>
      <c r="H477" s="52">
        <f t="shared" si="521"/>
        <v>23.888999999999999</v>
      </c>
      <c r="I477" s="52">
        <f t="shared" si="521"/>
        <v>49.834000000000003</v>
      </c>
      <c r="J477" s="52">
        <f>J492+J507</f>
        <v>11.289</v>
      </c>
      <c r="K477" s="52">
        <f t="shared" si="521"/>
        <v>29.442</v>
      </c>
      <c r="L477" s="69">
        <f>SUM(F477:K477)</f>
        <v>120.15600000000001</v>
      </c>
      <c r="M477" s="69">
        <f>L477/6</f>
        <v>20.026</v>
      </c>
      <c r="N477" s="52">
        <f t="shared" si="522"/>
        <v>28.041</v>
      </c>
      <c r="O477" s="52">
        <f t="shared" si="522"/>
        <v>26.163</v>
      </c>
      <c r="P477" s="52">
        <f t="shared" si="522"/>
        <v>9.4700000000000006</v>
      </c>
      <c r="Q477" s="52">
        <f t="shared" si="522"/>
        <v>19.443999999999999</v>
      </c>
      <c r="R477" s="52">
        <f t="shared" si="522"/>
        <v>38.713999999999999</v>
      </c>
      <c r="S477" s="52">
        <f t="shared" si="522"/>
        <v>63.08</v>
      </c>
      <c r="T477" s="69">
        <f>SUM(N477:S477)</f>
        <v>184.91200000000001</v>
      </c>
      <c r="U477" s="69">
        <f>T477+L477</f>
        <v>305.06799999999998</v>
      </c>
      <c r="V477" s="52">
        <f>V492+V507</f>
        <v>305.06799999999998</v>
      </c>
      <c r="W477" s="52">
        <f>V477-U477</f>
        <v>0</v>
      </c>
    </row>
    <row r="478" spans="1:24" s="48" customFormat="1" ht="23.35" customHeight="1">
      <c r="A478" s="592"/>
      <c r="B478" s="576"/>
      <c r="C478" s="577"/>
      <c r="D478" s="178" t="str">
        <f>серпень!D401</f>
        <v>касові нат.п-ки 2025</v>
      </c>
      <c r="E478" s="11">
        <f>E493</f>
        <v>0</v>
      </c>
      <c r="F478" s="11">
        <f t="shared" si="521"/>
        <v>0</v>
      </c>
      <c r="G478" s="11">
        <f t="shared" si="521"/>
        <v>1210.5</v>
      </c>
      <c r="H478" s="11">
        <f t="shared" si="521"/>
        <v>2547.8000000000002</v>
      </c>
      <c r="I478" s="11">
        <f t="shared" si="521"/>
        <v>2122.3000000000002</v>
      </c>
      <c r="J478" s="11">
        <f>J493+J508</f>
        <v>5067.1000000000004</v>
      </c>
      <c r="K478" s="11">
        <f t="shared" si="521"/>
        <v>3396.9</v>
      </c>
      <c r="L478" s="65">
        <f>SUM(F478:K478)</f>
        <v>14344.6</v>
      </c>
      <c r="M478" s="65">
        <f>L478/6</f>
        <v>2390.8000000000002</v>
      </c>
      <c r="N478" s="11">
        <f t="shared" si="522"/>
        <v>3028.1</v>
      </c>
      <c r="O478" s="11">
        <f t="shared" si="522"/>
        <v>2902.4</v>
      </c>
      <c r="P478" s="11">
        <f t="shared" si="522"/>
        <v>1453.7</v>
      </c>
      <c r="Q478" s="11">
        <f t="shared" si="522"/>
        <v>2172.9</v>
      </c>
      <c r="R478" s="11">
        <f t="shared" si="522"/>
        <v>5806.5</v>
      </c>
      <c r="S478" s="11">
        <f t="shared" si="522"/>
        <v>15013</v>
      </c>
      <c r="T478" s="65">
        <f>SUM(N478:S478)</f>
        <v>30376.6</v>
      </c>
      <c r="U478" s="65">
        <f>T478+L478</f>
        <v>44721.2</v>
      </c>
      <c r="V478" s="11">
        <f>V493+V508</f>
        <v>37389.199999999997</v>
      </c>
      <c r="W478" s="38">
        <f>V478-U478</f>
        <v>-7332</v>
      </c>
      <c r="X478" s="47">
        <f>U473-U478</f>
        <v>0</v>
      </c>
    </row>
    <row r="479" spans="1:24" s="51" customFormat="1" ht="23.35" customHeight="1">
      <c r="A479" s="592"/>
      <c r="B479" s="576"/>
      <c r="C479" s="577"/>
      <c r="D479" s="187" t="str">
        <f>серпень!D402</f>
        <v>тариф, грн.</v>
      </c>
      <c r="E479" s="49" t="e">
        <f t="shared" ref="E479:S479" si="523">E480/E478*1000</f>
        <v>#DIV/0!</v>
      </c>
      <c r="F479" s="129" t="e">
        <f t="shared" si="523"/>
        <v>#DIV/0!</v>
      </c>
      <c r="G479" s="129">
        <f t="shared" si="523"/>
        <v>4.7088000000000001</v>
      </c>
      <c r="H479" s="129">
        <f t="shared" si="523"/>
        <v>9.0026700000000002</v>
      </c>
      <c r="I479" s="129">
        <f t="shared" si="523"/>
        <v>8.9794099999999997</v>
      </c>
      <c r="J479" s="129">
        <f t="shared" si="523"/>
        <v>8.4904600000000006</v>
      </c>
      <c r="K479" s="129">
        <f t="shared" si="523"/>
        <v>8.6673100000000005</v>
      </c>
      <c r="L479" s="129">
        <f t="shared" si="523"/>
        <v>8.3765300000000007</v>
      </c>
      <c r="M479" s="129">
        <f t="shared" si="523"/>
        <v>8.3762799999999995</v>
      </c>
      <c r="N479" s="129">
        <f t="shared" si="523"/>
        <v>9.2602600000000006</v>
      </c>
      <c r="O479" s="129">
        <f t="shared" si="523"/>
        <v>9.0142600000000002</v>
      </c>
      <c r="P479" s="129">
        <f t="shared" si="523"/>
        <v>8.8828499999999995</v>
      </c>
      <c r="Q479" s="129">
        <f t="shared" si="523"/>
        <v>8.9967299999999994</v>
      </c>
      <c r="R479" s="129">
        <f t="shared" si="523"/>
        <v>8.9310299999999998</v>
      </c>
      <c r="S479" s="129">
        <f t="shared" si="523"/>
        <v>8.0097900000000006</v>
      </c>
      <c r="T479" s="129">
        <f>T480/T478*1000</f>
        <v>8.5188900000000007</v>
      </c>
      <c r="U479" s="129">
        <f>U480/U478*1000</f>
        <v>8.4732299999999992</v>
      </c>
      <c r="V479" s="129">
        <f>V480/V478*1000</f>
        <v>8.1592500000000001</v>
      </c>
      <c r="W479" s="41">
        <f>W480/W478*1000</f>
        <v>10.07433</v>
      </c>
      <c r="X479" s="59"/>
    </row>
    <row r="480" spans="1:24" s="126" customFormat="1" ht="23.35" customHeight="1">
      <c r="A480" s="592"/>
      <c r="B480" s="576"/>
      <c r="C480" s="577"/>
      <c r="D480" s="198" t="str">
        <f>серпень!D403</f>
        <v>касові видатки, тис.грн.</v>
      </c>
      <c r="E480" s="71">
        <f t="shared" ref="E480:K482" si="524">E495+E510</f>
        <v>0</v>
      </c>
      <c r="F480" s="61">
        <f t="shared" si="524"/>
        <v>0</v>
      </c>
      <c r="G480" s="61">
        <f t="shared" si="524"/>
        <v>5.7</v>
      </c>
      <c r="H480" s="61">
        <f t="shared" si="524"/>
        <v>22.937000000000001</v>
      </c>
      <c r="I480" s="61">
        <f t="shared" si="524"/>
        <v>19.056999999999999</v>
      </c>
      <c r="J480" s="61">
        <f t="shared" si="524"/>
        <v>43.021999999999998</v>
      </c>
      <c r="K480" s="61">
        <f t="shared" si="524"/>
        <v>29.442</v>
      </c>
      <c r="L480" s="61">
        <f>SUM(F480:K480)</f>
        <v>120.158</v>
      </c>
      <c r="M480" s="61">
        <f>L480/6</f>
        <v>20.026</v>
      </c>
      <c r="N480" s="61">
        <f t="shared" ref="N480:S483" si="525">N495+N510</f>
        <v>28.041</v>
      </c>
      <c r="O480" s="61">
        <f t="shared" si="525"/>
        <v>26.163</v>
      </c>
      <c r="P480" s="61">
        <f t="shared" si="525"/>
        <v>12.913</v>
      </c>
      <c r="Q480" s="61">
        <f t="shared" si="525"/>
        <v>19.548999999999999</v>
      </c>
      <c r="R480" s="61">
        <f t="shared" si="525"/>
        <v>51.857999999999997</v>
      </c>
      <c r="S480" s="61">
        <f t="shared" si="525"/>
        <v>120.251</v>
      </c>
      <c r="T480" s="61">
        <f>SUM(N480:S480)</f>
        <v>258.77499999999998</v>
      </c>
      <c r="U480" s="61">
        <f>T480+L480</f>
        <v>378.93299999999999</v>
      </c>
      <c r="V480" s="61">
        <f>V495+V510</f>
        <v>305.06799999999998</v>
      </c>
      <c r="W480" s="72">
        <f>V480-U480</f>
        <v>-73.864999999999995</v>
      </c>
      <c r="X480" s="63">
        <f>U475-U480</f>
        <v>0</v>
      </c>
    </row>
    <row r="481" spans="1:24" s="126" customFormat="1" ht="23.35" customHeight="1">
      <c r="A481" s="592"/>
      <c r="B481" s="576"/>
      <c r="C481" s="577"/>
      <c r="D481" s="201" t="str">
        <f>серпень!D404</f>
        <v>дотація</v>
      </c>
      <c r="E481" s="71"/>
      <c r="F481" s="61">
        <f t="shared" si="524"/>
        <v>0</v>
      </c>
      <c r="G481" s="61">
        <f t="shared" si="524"/>
        <v>0</v>
      </c>
      <c r="H481" s="61">
        <f t="shared" si="524"/>
        <v>0</v>
      </c>
      <c r="I481" s="61">
        <f t="shared" si="524"/>
        <v>0</v>
      </c>
      <c r="J481" s="61">
        <f>J496+J511</f>
        <v>0</v>
      </c>
      <c r="K481" s="61">
        <f t="shared" si="524"/>
        <v>0</v>
      </c>
      <c r="L481" s="61">
        <f>SUM(F481:K481)</f>
        <v>0</v>
      </c>
      <c r="M481" s="61">
        <f>L481/6</f>
        <v>0</v>
      </c>
      <c r="N481" s="61">
        <f t="shared" si="525"/>
        <v>0</v>
      </c>
      <c r="O481" s="61">
        <f t="shared" si="525"/>
        <v>0</v>
      </c>
      <c r="P481" s="61">
        <f t="shared" si="525"/>
        <v>0</v>
      </c>
      <c r="Q481" s="61">
        <f t="shared" si="525"/>
        <v>0</v>
      </c>
      <c r="R481" s="61">
        <f t="shared" si="525"/>
        <v>0</v>
      </c>
      <c r="S481" s="61">
        <f t="shared" si="525"/>
        <v>0</v>
      </c>
      <c r="T481" s="61">
        <f>SUM(N481:S481)</f>
        <v>0</v>
      </c>
      <c r="U481" s="61">
        <f>T481+L481</f>
        <v>0</v>
      </c>
      <c r="V481" s="61">
        <f>V496+V511</f>
        <v>0</v>
      </c>
      <c r="W481" s="72">
        <f>V481-U481</f>
        <v>0</v>
      </c>
      <c r="X481" s="63">
        <f>U476-U481</f>
        <v>0</v>
      </c>
    </row>
    <row r="482" spans="1:24" s="126" customFormat="1" ht="23.35" customHeight="1">
      <c r="A482" s="592"/>
      <c r="B482" s="576"/>
      <c r="C482" s="577"/>
      <c r="D482" s="201" t="str">
        <f>серпень!D405</f>
        <v xml:space="preserve">місцевий </v>
      </c>
      <c r="E482" s="71"/>
      <c r="F482" s="61">
        <f t="shared" si="524"/>
        <v>0</v>
      </c>
      <c r="G482" s="61">
        <f t="shared" si="524"/>
        <v>5.7</v>
      </c>
      <c r="H482" s="61">
        <f t="shared" si="524"/>
        <v>22.937000000000001</v>
      </c>
      <c r="I482" s="61">
        <f t="shared" si="524"/>
        <v>19.056999999999999</v>
      </c>
      <c r="J482" s="61">
        <f>J497+J512</f>
        <v>43.021999999999998</v>
      </c>
      <c r="K482" s="61">
        <f t="shared" si="524"/>
        <v>29.442</v>
      </c>
      <c r="L482" s="61">
        <f>SUM(F482:K482)</f>
        <v>120.158</v>
      </c>
      <c r="M482" s="61">
        <f>L482/6</f>
        <v>20.026</v>
      </c>
      <c r="N482" s="61">
        <f t="shared" si="525"/>
        <v>28.041</v>
      </c>
      <c r="O482" s="61">
        <f t="shared" si="525"/>
        <v>26.163</v>
      </c>
      <c r="P482" s="61">
        <f t="shared" si="525"/>
        <v>12.913</v>
      </c>
      <c r="Q482" s="61">
        <f t="shared" si="525"/>
        <v>19.548999999999999</v>
      </c>
      <c r="R482" s="61">
        <f t="shared" si="525"/>
        <v>51.857999999999997</v>
      </c>
      <c r="S482" s="61">
        <f t="shared" si="525"/>
        <v>120.251</v>
      </c>
      <c r="T482" s="61">
        <f>SUM(N482:S482)</f>
        <v>258.77499999999998</v>
      </c>
      <c r="U482" s="61">
        <f>T482+L482</f>
        <v>378.93299999999999</v>
      </c>
      <c r="V482" s="61">
        <f>V497+V512</f>
        <v>305.06799999999998</v>
      </c>
      <c r="W482" s="72">
        <f>V482-U482</f>
        <v>-73.864999999999995</v>
      </c>
      <c r="X482" s="63">
        <f>U477-U482</f>
        <v>-73.864999999999995</v>
      </c>
    </row>
    <row r="483" spans="1:24" s="43" customFormat="1" ht="15.05" customHeight="1">
      <c r="A483" s="592"/>
      <c r="B483" s="576"/>
      <c r="C483" s="577"/>
      <c r="D483" s="202" t="str">
        <f>серпень!D406</f>
        <v>план</v>
      </c>
      <c r="E483" s="42"/>
      <c r="F483" s="42">
        <f t="shared" ref="F483:K483" si="526">F477</f>
        <v>0</v>
      </c>
      <c r="G483" s="42">
        <f t="shared" si="526"/>
        <v>5.702</v>
      </c>
      <c r="H483" s="42">
        <f t="shared" si="526"/>
        <v>23.888999999999999</v>
      </c>
      <c r="I483" s="42">
        <f t="shared" si="526"/>
        <v>49.834000000000003</v>
      </c>
      <c r="J483" s="42">
        <f t="shared" si="526"/>
        <v>11.289</v>
      </c>
      <c r="K483" s="42">
        <f t="shared" si="526"/>
        <v>29.442</v>
      </c>
      <c r="L483" s="42">
        <f>SUM(F483:K483)</f>
        <v>120.15600000000001</v>
      </c>
      <c r="M483" s="42">
        <f>L483/6</f>
        <v>20.026</v>
      </c>
      <c r="N483" s="42">
        <f t="shared" si="525"/>
        <v>28.041</v>
      </c>
      <c r="O483" s="42">
        <f t="shared" si="525"/>
        <v>26.163</v>
      </c>
      <c r="P483" s="42">
        <f t="shared" si="525"/>
        <v>9.4700000000000006</v>
      </c>
      <c r="Q483" s="42">
        <f t="shared" si="525"/>
        <v>19.443999999999999</v>
      </c>
      <c r="R483" s="42">
        <f t="shared" si="525"/>
        <v>38.713999999999999</v>
      </c>
      <c r="S483" s="42">
        <f t="shared" si="525"/>
        <v>63.08</v>
      </c>
      <c r="T483" s="42">
        <f>SUM(N483:S483)</f>
        <v>184.91200000000001</v>
      </c>
      <c r="U483" s="42">
        <f>T483+L483</f>
        <v>305.06799999999998</v>
      </c>
      <c r="V483" s="42">
        <f>V477+V476</f>
        <v>305.06799999999998</v>
      </c>
      <c r="W483" s="42">
        <f>V483-U483</f>
        <v>0</v>
      </c>
    </row>
    <row r="484" spans="1:24" s="43" customFormat="1" ht="15.05" customHeight="1">
      <c r="A484" s="592"/>
      <c r="B484" s="576"/>
      <c r="C484" s="577"/>
      <c r="D484" s="202" t="str">
        <f>серпень!D407</f>
        <v xml:space="preserve">відхилення </v>
      </c>
      <c r="E484" s="42"/>
      <c r="F484" s="42">
        <f t="shared" ref="F484:K484" si="527">F480-F483</f>
        <v>0</v>
      </c>
      <c r="G484" s="42">
        <f t="shared" si="527"/>
        <v>-2E-3</v>
      </c>
      <c r="H484" s="42">
        <f t="shared" si="527"/>
        <v>-0.95199999999999996</v>
      </c>
      <c r="I484" s="42">
        <f t="shared" si="527"/>
        <v>-30.777000000000001</v>
      </c>
      <c r="J484" s="42">
        <f t="shared" si="527"/>
        <v>31.733000000000001</v>
      </c>
      <c r="K484" s="42">
        <f t="shared" si="527"/>
        <v>0</v>
      </c>
      <c r="L484" s="42"/>
      <c r="M484" s="42"/>
      <c r="N484" s="42">
        <f t="shared" ref="N484:S484" si="528">N480-N483</f>
        <v>0</v>
      </c>
      <c r="O484" s="42">
        <f t="shared" si="528"/>
        <v>0</v>
      </c>
      <c r="P484" s="42">
        <f t="shared" si="528"/>
        <v>3.4430000000000001</v>
      </c>
      <c r="Q484" s="42">
        <f t="shared" si="528"/>
        <v>0.105</v>
      </c>
      <c r="R484" s="42">
        <f t="shared" si="528"/>
        <v>13.144</v>
      </c>
      <c r="S484" s="42">
        <f t="shared" si="528"/>
        <v>57.170999999999999</v>
      </c>
      <c r="T484" s="42"/>
      <c r="U484" s="42"/>
      <c r="V484" s="42"/>
      <c r="W484" s="42"/>
    </row>
    <row r="485" spans="1:24" s="43" customFormat="1" ht="15.05" customHeight="1">
      <c r="A485" s="592"/>
      <c r="B485" s="576"/>
      <c r="C485" s="577"/>
      <c r="D485" s="202" t="str">
        <f>серпень!D408</f>
        <v>відхилення з наростаючим</v>
      </c>
      <c r="E485" s="42"/>
      <c r="F485" s="42">
        <f>F484</f>
        <v>0</v>
      </c>
      <c r="G485" s="42">
        <f>G484+F485</f>
        <v>-2E-3</v>
      </c>
      <c r="H485" s="42">
        <f>H484+G485</f>
        <v>-0.95399999999999996</v>
      </c>
      <c r="I485" s="42">
        <f>I484+H485</f>
        <v>-31.731000000000002</v>
      </c>
      <c r="J485" s="42">
        <f>J484+I485</f>
        <v>2E-3</v>
      </c>
      <c r="K485" s="42">
        <f>K484+J485</f>
        <v>2E-3</v>
      </c>
      <c r="L485" s="42"/>
      <c r="M485" s="42"/>
      <c r="N485" s="42">
        <f>N484+K485</f>
        <v>2E-3</v>
      </c>
      <c r="O485" s="42">
        <f>O484+N485</f>
        <v>2E-3</v>
      </c>
      <c r="P485" s="42">
        <f>P484+O485</f>
        <v>3.4449999999999998</v>
      </c>
      <c r="Q485" s="42">
        <f>Q484+P485</f>
        <v>3.55</v>
      </c>
      <c r="R485" s="42">
        <f>R484+Q485</f>
        <v>16.693999999999999</v>
      </c>
      <c r="S485" s="42">
        <f>S484+R485</f>
        <v>73.864999999999995</v>
      </c>
      <c r="T485" s="42"/>
      <c r="U485" s="42"/>
      <c r="V485" s="42"/>
      <c r="W485" s="42"/>
    </row>
    <row r="486" spans="1:24" s="55" customFormat="1" ht="20.85" customHeight="1">
      <c r="A486" s="592"/>
      <c r="B486" s="581" t="s">
        <v>32</v>
      </c>
      <c r="C486" s="581"/>
      <c r="D486" s="178" t="str">
        <f>серпень!D409</f>
        <v>факт. нат.п-ки 2023</v>
      </c>
      <c r="E486" s="11"/>
      <c r="F486" s="504">
        <v>3924</v>
      </c>
      <c r="G486" s="504">
        <v>1561.5</v>
      </c>
      <c r="H486" s="504">
        <v>1216</v>
      </c>
      <c r="I486" s="504">
        <v>1659.1</v>
      </c>
      <c r="J486" s="504">
        <v>604</v>
      </c>
      <c r="K486" s="504">
        <v>1408</v>
      </c>
      <c r="L486" s="125">
        <f>SUM(F486:K486)</f>
        <v>10372.6</v>
      </c>
      <c r="M486" s="125">
        <f>L486/6</f>
        <v>1728.7670000000001</v>
      </c>
      <c r="N486" s="404">
        <v>387</v>
      </c>
      <c r="O486" s="404">
        <v>456</v>
      </c>
      <c r="P486" s="404">
        <v>4267.1000000000004</v>
      </c>
      <c r="Q486" s="404">
        <v>1092.9000000000001</v>
      </c>
      <c r="R486" s="404">
        <v>3533.1</v>
      </c>
      <c r="S486" s="404">
        <v>7050</v>
      </c>
      <c r="T486" s="125">
        <f>SUM(N486:S486)</f>
        <v>16786.099999999999</v>
      </c>
      <c r="U486" s="125">
        <f>T486+L486</f>
        <v>27158.7</v>
      </c>
      <c r="V486" s="505"/>
      <c r="W486" s="38"/>
      <c r="X486" s="47"/>
    </row>
    <row r="487" spans="1:24" s="48" customFormat="1" ht="20.85" customHeight="1">
      <c r="A487" s="592"/>
      <c r="B487" s="581"/>
      <c r="C487" s="581"/>
      <c r="D487" s="178" t="str">
        <f>серпень!D410</f>
        <v>факт. нат.п-ки 2024</v>
      </c>
      <c r="E487" s="11"/>
      <c r="F487" s="504">
        <v>3924</v>
      </c>
      <c r="G487" s="504">
        <v>1561.5</v>
      </c>
      <c r="H487" s="504">
        <v>1216</v>
      </c>
      <c r="I487" s="504">
        <v>879</v>
      </c>
      <c r="J487" s="504">
        <v>630.26</v>
      </c>
      <c r="K487" s="504">
        <v>570.29999999999995</v>
      </c>
      <c r="L487" s="125">
        <f>SUM(F487:K487)</f>
        <v>8781.06</v>
      </c>
      <c r="M487" s="125">
        <f>L487/6</f>
        <v>1463.51</v>
      </c>
      <c r="N487" s="349">
        <v>0</v>
      </c>
      <c r="O487" s="349">
        <v>704</v>
      </c>
      <c r="P487" s="349">
        <v>1901.84</v>
      </c>
      <c r="Q487" s="349">
        <v>5115.2</v>
      </c>
      <c r="R487" s="349">
        <v>3533.1</v>
      </c>
      <c r="S487" s="349">
        <v>7050</v>
      </c>
      <c r="T487" s="125">
        <f>SUM(N487:S487)</f>
        <v>18304.14</v>
      </c>
      <c r="U487" s="125">
        <f>T487+L487</f>
        <v>27085.200000000001</v>
      </c>
      <c r="V487" s="349">
        <v>27711.8</v>
      </c>
      <c r="W487" s="38"/>
      <c r="X487" s="47"/>
    </row>
    <row r="488" spans="1:24" s="48" customFormat="1" ht="20.85" customHeight="1">
      <c r="A488" s="592"/>
      <c r="B488" s="581"/>
      <c r="C488" s="581"/>
      <c r="D488" s="178" t="str">
        <f>серпень!D411</f>
        <v>факт. нат.п-ки 2025</v>
      </c>
      <c r="E488" s="11"/>
      <c r="F488" s="504">
        <v>115</v>
      </c>
      <c r="G488" s="504">
        <v>1599.7</v>
      </c>
      <c r="H488" s="504">
        <v>1401.009</v>
      </c>
      <c r="I488" s="504">
        <v>4129.0219999999999</v>
      </c>
      <c r="J488" s="504">
        <v>2699.4</v>
      </c>
      <c r="K488" s="504">
        <v>2857.98</v>
      </c>
      <c r="L488" s="125">
        <f>SUM(F488:K488)</f>
        <v>12802.111000000001</v>
      </c>
      <c r="M488" s="125">
        <f>L488/6</f>
        <v>2133.6849999999999</v>
      </c>
      <c r="N488" s="506">
        <v>2441.8890000000001</v>
      </c>
      <c r="O488" s="506">
        <v>1037.57</v>
      </c>
      <c r="P488" s="506">
        <f>1901.84+39.6</f>
        <v>1941.44</v>
      </c>
      <c r="Q488" s="506">
        <v>5115.2</v>
      </c>
      <c r="R488" s="506">
        <v>3533.1</v>
      </c>
      <c r="S488" s="506">
        <f>2456.5+3746.7+846.8</f>
        <v>7050</v>
      </c>
      <c r="T488" s="125">
        <f>SUM(N488:S488)</f>
        <v>21119.199000000001</v>
      </c>
      <c r="U488" s="125">
        <f>T488+L488</f>
        <v>33921.31</v>
      </c>
      <c r="V488" s="349">
        <v>27711.8</v>
      </c>
      <c r="W488" s="38">
        <f>V488-U488</f>
        <v>-6209.5</v>
      </c>
      <c r="X488" s="47"/>
    </row>
    <row r="489" spans="1:24" s="51" customFormat="1" ht="20.85" customHeight="1">
      <c r="A489" s="592"/>
      <c r="B489" s="581"/>
      <c r="C489" s="581"/>
      <c r="D489" s="187" t="str">
        <f>серпень!D412</f>
        <v>тариф, грн.</v>
      </c>
      <c r="E489" s="129" t="e">
        <f>E490/E488*1000</f>
        <v>#DIV/0!</v>
      </c>
      <c r="F489" s="129">
        <f t="shared" ref="F489:K489" si="529">F490/F488*1000</f>
        <v>8.4086999999999996</v>
      </c>
      <c r="G489" s="129">
        <f t="shared" si="529"/>
        <v>11.77783</v>
      </c>
      <c r="H489" s="129">
        <f t="shared" si="529"/>
        <v>11.37823</v>
      </c>
      <c r="I489" s="129">
        <f t="shared" si="529"/>
        <v>9.4378299999999999</v>
      </c>
      <c r="J489" s="129">
        <f t="shared" si="529"/>
        <v>9.7906899999999997</v>
      </c>
      <c r="K489" s="129">
        <f t="shared" si="529"/>
        <v>9.5542999999999996</v>
      </c>
      <c r="L489" s="132">
        <f>L490/L488*1000</f>
        <v>10.03374</v>
      </c>
      <c r="M489" s="132">
        <f>M490/M488*1000</f>
        <v>10.033810000000001</v>
      </c>
      <c r="N489" s="132">
        <f t="shared" ref="N489:O489" si="530">N490/N488*1000</f>
        <v>9.8997100000000007</v>
      </c>
      <c r="O489" s="132">
        <f t="shared" si="530"/>
        <v>10.712529999999999</v>
      </c>
      <c r="P489" s="129">
        <v>9.5542999999999996</v>
      </c>
      <c r="Q489" s="129">
        <v>9.5542999999999996</v>
      </c>
      <c r="R489" s="129">
        <v>9.5542999999999996</v>
      </c>
      <c r="S489" s="129">
        <v>9.5542999999999996</v>
      </c>
      <c r="T489" s="132">
        <f>T490/T488*1000</f>
        <v>9.6511200000000006</v>
      </c>
      <c r="U489" s="132">
        <f>U490/U488*1000</f>
        <v>9.7955199999999998</v>
      </c>
      <c r="V489" s="132">
        <f>V490/V488*1000</f>
        <v>9.5</v>
      </c>
      <c r="W489" s="40">
        <f>W490/W488*1000</f>
        <v>11.114420000000001</v>
      </c>
      <c r="X489" s="59"/>
    </row>
    <row r="490" spans="1:24" s="130" customFormat="1" ht="20.85" customHeight="1">
      <c r="A490" s="592"/>
      <c r="B490" s="581"/>
      <c r="C490" s="581"/>
      <c r="D490" s="191" t="str">
        <f>серпень!D413</f>
        <v>сума, тис.грн.</v>
      </c>
      <c r="E490" s="52"/>
      <c r="F490" s="52">
        <v>0.96699999999999997</v>
      </c>
      <c r="G490" s="52">
        <v>18.841000000000001</v>
      </c>
      <c r="H490" s="52">
        <v>15.941000000000001</v>
      </c>
      <c r="I490" s="52">
        <v>38.969000000000001</v>
      </c>
      <c r="J490" s="52">
        <v>26.428999999999998</v>
      </c>
      <c r="K490" s="52">
        <v>27.306000000000001</v>
      </c>
      <c r="L490" s="69">
        <f>SUM(F490:K490)</f>
        <v>128.453</v>
      </c>
      <c r="M490" s="69">
        <f>L490/6</f>
        <v>21.408999999999999</v>
      </c>
      <c r="N490" s="52">
        <v>24.173999999999999</v>
      </c>
      <c r="O490" s="52">
        <v>11.115</v>
      </c>
      <c r="P490" s="52">
        <f t="shared" ref="P490" si="531">P488*P489/1000</f>
        <v>18.548999999999999</v>
      </c>
      <c r="Q490" s="52">
        <f t="shared" ref="Q490" si="532">Q488*Q489/1000</f>
        <v>48.872</v>
      </c>
      <c r="R490" s="52">
        <f t="shared" ref="R490" si="533">R488*R489/1000</f>
        <v>33.756</v>
      </c>
      <c r="S490" s="52">
        <f t="shared" ref="S490" si="534">S488*S489/1000</f>
        <v>67.358000000000004</v>
      </c>
      <c r="T490" s="69">
        <f>SUM(N490:S490)</f>
        <v>203.82400000000001</v>
      </c>
      <c r="U490" s="69">
        <f>T490+L490</f>
        <v>332.27699999999999</v>
      </c>
      <c r="V490" s="70">
        <f>V491+V492</f>
        <v>263.262</v>
      </c>
      <c r="W490" s="53">
        <f>V490-U490</f>
        <v>-69.015000000000001</v>
      </c>
      <c r="X490" s="133"/>
    </row>
    <row r="491" spans="1:24" s="130" customFormat="1" ht="20.85" customHeight="1">
      <c r="A491" s="592"/>
      <c r="B491" s="581"/>
      <c r="C491" s="581"/>
      <c r="D491" s="174" t="str">
        <f>серпень!D414</f>
        <v>дотація</v>
      </c>
      <c r="E491" s="56"/>
      <c r="F491" s="52"/>
      <c r="G491" s="52"/>
      <c r="H491" s="52"/>
      <c r="I491" s="52"/>
      <c r="J491" s="52"/>
      <c r="K491" s="52"/>
      <c r="L491" s="69">
        <f>SUM(F491:K491)</f>
        <v>0</v>
      </c>
      <c r="M491" s="69">
        <f>L491/6</f>
        <v>0</v>
      </c>
      <c r="N491" s="52"/>
      <c r="O491" s="52"/>
      <c r="P491" s="52"/>
      <c r="Q491" s="52"/>
      <c r="R491" s="52"/>
      <c r="S491" s="52"/>
      <c r="T491" s="69">
        <f>SUM(N491:S491)</f>
        <v>0</v>
      </c>
      <c r="U491" s="69">
        <f>T491+L491</f>
        <v>0</v>
      </c>
      <c r="V491" s="70">
        <v>0</v>
      </c>
      <c r="W491" s="53">
        <f>V491-U491</f>
        <v>0</v>
      </c>
    </row>
    <row r="492" spans="1:24" s="130" customFormat="1" ht="20.85" customHeight="1">
      <c r="A492" s="592"/>
      <c r="B492" s="581"/>
      <c r="C492" s="581"/>
      <c r="D492" s="174" t="str">
        <f>серпень!D415</f>
        <v>місцевий (план), тис.грн</v>
      </c>
      <c r="E492" s="56"/>
      <c r="F492" s="52">
        <f>9.888-9.888</f>
        <v>0</v>
      </c>
      <c r="G492" s="52">
        <f>37.278-33.05</f>
        <v>4.2279999999999998</v>
      </c>
      <c r="H492" s="52">
        <f>14.834+33.05-27.269</f>
        <v>20.614999999999998</v>
      </c>
      <c r="I492" s="52">
        <f>11.552+6.549+31.733</f>
        <v>49.834000000000003</v>
      </c>
      <c r="J492" s="52">
        <v>8.3510000000000009</v>
      </c>
      <c r="K492" s="52">
        <f>5.987+27.269-6.549</f>
        <v>26.707000000000001</v>
      </c>
      <c r="L492" s="69">
        <f>SUM(F492:K492)</f>
        <v>109.735</v>
      </c>
      <c r="M492" s="69">
        <f>L492/6</f>
        <v>18.289000000000001</v>
      </c>
      <c r="N492" s="52">
        <f>5.418+19.668</f>
        <v>25.085999999999999</v>
      </c>
      <c r="O492" s="52">
        <f>5.577+18.061</f>
        <v>23.638000000000002</v>
      </c>
      <c r="P492" s="52">
        <v>6.6879999999999997</v>
      </c>
      <c r="Q492" s="52">
        <v>18.443999999999999</v>
      </c>
      <c r="R492" s="52">
        <f>48.594-12.866</f>
        <v>35.728000000000002</v>
      </c>
      <c r="S492" s="52">
        <f>100.539-18.867-19.668-18.061</f>
        <v>43.942999999999998</v>
      </c>
      <c r="T492" s="69">
        <f>SUM(N492:S492)</f>
        <v>153.52699999999999</v>
      </c>
      <c r="U492" s="69">
        <f>T492+L492</f>
        <v>263.262</v>
      </c>
      <c r="V492" s="70">
        <v>263.262</v>
      </c>
      <c r="W492" s="53">
        <f>V492-U492</f>
        <v>0</v>
      </c>
    </row>
    <row r="493" spans="1:24" s="48" customFormat="1" ht="20.85" customHeight="1">
      <c r="A493" s="592"/>
      <c r="B493" s="581"/>
      <c r="C493" s="581"/>
      <c r="D493" s="178" t="str">
        <f>серпень!D416</f>
        <v>касові нат.п-ки 2025</v>
      </c>
      <c r="E493" s="11"/>
      <c r="F493" s="507">
        <v>0</v>
      </c>
      <c r="G493" s="507">
        <v>115</v>
      </c>
      <c r="H493" s="507">
        <v>1599.7</v>
      </c>
      <c r="I493" s="507">
        <v>1401.009</v>
      </c>
      <c r="J493" s="506">
        <v>4129.0219999999999</v>
      </c>
      <c r="K493" s="504">
        <v>2699.4</v>
      </c>
      <c r="L493" s="125">
        <f>SUM(F493:K493)</f>
        <v>9944.1309999999994</v>
      </c>
      <c r="M493" s="125">
        <f>L493/6</f>
        <v>1657.355</v>
      </c>
      <c r="N493" s="506">
        <v>2857.98</v>
      </c>
      <c r="O493" s="506">
        <v>2441.8890000000001</v>
      </c>
      <c r="P493" s="506">
        <v>1037.57</v>
      </c>
      <c r="Q493" s="507">
        <v>1941.44</v>
      </c>
      <c r="R493" s="507">
        <v>5115.2</v>
      </c>
      <c r="S493" s="506">
        <f>R488+S488</f>
        <v>10583.1</v>
      </c>
      <c r="T493" s="125">
        <f>SUM(N493:S493)</f>
        <v>23977.179</v>
      </c>
      <c r="U493" s="125">
        <f>T493+L493</f>
        <v>33921.31</v>
      </c>
      <c r="V493" s="349">
        <f>V488</f>
        <v>27711.8</v>
      </c>
      <c r="W493" s="505">
        <f>V493-U493</f>
        <v>-6209.51</v>
      </c>
      <c r="X493" s="47">
        <f>U488-U493</f>
        <v>0</v>
      </c>
    </row>
    <row r="494" spans="1:24" s="51" customFormat="1" ht="20.85" customHeight="1">
      <c r="A494" s="592"/>
      <c r="B494" s="581"/>
      <c r="C494" s="581"/>
      <c r="D494" s="187" t="str">
        <f>серпень!D417</f>
        <v>тариф, грн.</v>
      </c>
      <c r="E494" s="129" t="e">
        <f t="shared" ref="E494:K494" si="535">E495/E493*1000</f>
        <v>#DIV/0!</v>
      </c>
      <c r="F494" s="129" t="e">
        <f t="shared" si="535"/>
        <v>#DIV/0!</v>
      </c>
      <c r="G494" s="129">
        <f t="shared" si="535"/>
        <v>8.4086999999999996</v>
      </c>
      <c r="H494" s="129">
        <f t="shared" si="535"/>
        <v>11.77783</v>
      </c>
      <c r="I494" s="129">
        <f t="shared" si="535"/>
        <v>11.37823</v>
      </c>
      <c r="J494" s="129">
        <f t="shared" si="535"/>
        <v>9.4378299999999999</v>
      </c>
      <c r="K494" s="129">
        <f t="shared" si="535"/>
        <v>9.7906899999999997</v>
      </c>
      <c r="L494" s="132">
        <f>L495/L493*1000</f>
        <v>10.171530000000001</v>
      </c>
      <c r="M494" s="132">
        <f>M495/M493*1000</f>
        <v>10.17163</v>
      </c>
      <c r="N494" s="132">
        <f t="shared" ref="N494:P494" si="536">N495/N493*1000</f>
        <v>9.5542999999999996</v>
      </c>
      <c r="O494" s="132">
        <f t="shared" si="536"/>
        <v>9.8997100000000007</v>
      </c>
      <c r="P494" s="132">
        <f t="shared" si="536"/>
        <v>10.712529999999999</v>
      </c>
      <c r="Q494" s="129">
        <v>9.5542999999999996</v>
      </c>
      <c r="R494" s="129">
        <v>9.5542999999999996</v>
      </c>
      <c r="S494" s="129">
        <v>9.5542999999999996</v>
      </c>
      <c r="T494" s="132">
        <f>T495/T493*1000</f>
        <v>9.6395800000000005</v>
      </c>
      <c r="U494" s="132">
        <f>U495/U493*1000</f>
        <v>9.7955199999999998</v>
      </c>
      <c r="V494" s="132">
        <f>V495/V493*1000</f>
        <v>9.5</v>
      </c>
      <c r="W494" s="14">
        <f>W495/W493*1000</f>
        <v>11.114000000000001</v>
      </c>
      <c r="X494" s="59"/>
    </row>
    <row r="495" spans="1:24" s="126" customFormat="1" ht="20.85" customHeight="1">
      <c r="A495" s="592"/>
      <c r="B495" s="581"/>
      <c r="C495" s="581"/>
      <c r="D495" s="198" t="str">
        <f>серпень!D418</f>
        <v>касові видатки, тис.грн.</v>
      </c>
      <c r="E495" s="71"/>
      <c r="F495" s="61">
        <v>0</v>
      </c>
      <c r="G495" s="61">
        <v>0.96699999999999997</v>
      </c>
      <c r="H495" s="61">
        <v>18.841000000000001</v>
      </c>
      <c r="I495" s="61">
        <v>15.941000000000001</v>
      </c>
      <c r="J495" s="61">
        <v>38.969000000000001</v>
      </c>
      <c r="K495" s="61">
        <v>26.428999999999998</v>
      </c>
      <c r="L495" s="61">
        <f>SUM(F495:K495)</f>
        <v>101.14700000000001</v>
      </c>
      <c r="M495" s="61">
        <f>L495/6</f>
        <v>16.858000000000001</v>
      </c>
      <c r="N495" s="61">
        <v>27.306000000000001</v>
      </c>
      <c r="O495" s="61">
        <v>24.173999999999999</v>
      </c>
      <c r="P495" s="61">
        <v>11.115</v>
      </c>
      <c r="Q495" s="61">
        <f t="shared" ref="Q495" si="537">Q493*Q494/1000</f>
        <v>18.548999999999999</v>
      </c>
      <c r="R495" s="61">
        <f t="shared" ref="R495" si="538">R493*R494/1000</f>
        <v>48.872</v>
      </c>
      <c r="S495" s="61">
        <f>S493*S494/1000</f>
        <v>101.114</v>
      </c>
      <c r="T495" s="61">
        <f>SUM(N495:S495)</f>
        <v>231.13</v>
      </c>
      <c r="U495" s="61">
        <f>T495+L495</f>
        <v>332.27699999999999</v>
      </c>
      <c r="V495" s="61">
        <f>V490</f>
        <v>263.262</v>
      </c>
      <c r="W495" s="72">
        <f>V495-U495</f>
        <v>-69.015000000000001</v>
      </c>
      <c r="X495" s="63">
        <f>U490-U495</f>
        <v>0</v>
      </c>
    </row>
    <row r="496" spans="1:24" s="126" customFormat="1" ht="20.85" customHeight="1">
      <c r="A496" s="592"/>
      <c r="B496" s="581"/>
      <c r="C496" s="581"/>
      <c r="D496" s="201" t="str">
        <f>серпень!D419</f>
        <v>дотація</v>
      </c>
      <c r="E496" s="71"/>
      <c r="F496" s="61">
        <v>0</v>
      </c>
      <c r="G496" s="61">
        <v>0</v>
      </c>
      <c r="H496" s="61">
        <v>0</v>
      </c>
      <c r="I496" s="61">
        <v>0</v>
      </c>
      <c r="J496" s="61">
        <v>0</v>
      </c>
      <c r="K496" s="61">
        <v>0</v>
      </c>
      <c r="L496" s="61">
        <f>SUM(F496:K496)</f>
        <v>0</v>
      </c>
      <c r="M496" s="61">
        <f>L496/6</f>
        <v>0</v>
      </c>
      <c r="N496" s="61">
        <v>0</v>
      </c>
      <c r="O496" s="61">
        <v>0</v>
      </c>
      <c r="P496" s="61">
        <v>0</v>
      </c>
      <c r="Q496" s="61">
        <v>0</v>
      </c>
      <c r="R496" s="61">
        <v>0</v>
      </c>
      <c r="S496" s="61">
        <v>0</v>
      </c>
      <c r="T496" s="61">
        <f>SUM(N496:S496)</f>
        <v>0</v>
      </c>
      <c r="U496" s="61">
        <f>T496+L496</f>
        <v>0</v>
      </c>
      <c r="V496" s="61">
        <f>V491</f>
        <v>0</v>
      </c>
      <c r="W496" s="72">
        <f>V496-U496</f>
        <v>0</v>
      </c>
      <c r="X496" s="63">
        <f>U491-U496</f>
        <v>0</v>
      </c>
    </row>
    <row r="497" spans="1:24" s="126" customFormat="1" ht="20.85" customHeight="1">
      <c r="A497" s="592"/>
      <c r="B497" s="581"/>
      <c r="C497" s="581"/>
      <c r="D497" s="201" t="str">
        <f>серпень!D420</f>
        <v xml:space="preserve">місцевий </v>
      </c>
      <c r="E497" s="71"/>
      <c r="F497" s="61">
        <f t="shared" ref="F497:K497" si="539">F495-F496</f>
        <v>0</v>
      </c>
      <c r="G497" s="61">
        <f t="shared" si="539"/>
        <v>0.96699999999999997</v>
      </c>
      <c r="H497" s="61">
        <f t="shared" si="539"/>
        <v>18.841000000000001</v>
      </c>
      <c r="I497" s="61">
        <f t="shared" si="539"/>
        <v>15.941000000000001</v>
      </c>
      <c r="J497" s="61">
        <f t="shared" si="539"/>
        <v>38.969000000000001</v>
      </c>
      <c r="K497" s="61">
        <f t="shared" si="539"/>
        <v>26.428999999999998</v>
      </c>
      <c r="L497" s="61">
        <f>SUM(F497:K497)</f>
        <v>101.14700000000001</v>
      </c>
      <c r="M497" s="61">
        <f>L497/6</f>
        <v>16.858000000000001</v>
      </c>
      <c r="N497" s="61">
        <f t="shared" ref="N497:S497" si="540">N495-N496</f>
        <v>27.306000000000001</v>
      </c>
      <c r="O497" s="61">
        <f t="shared" si="540"/>
        <v>24.173999999999999</v>
      </c>
      <c r="P497" s="61">
        <f t="shared" si="540"/>
        <v>11.115</v>
      </c>
      <c r="Q497" s="61">
        <f t="shared" si="540"/>
        <v>18.548999999999999</v>
      </c>
      <c r="R497" s="61">
        <f t="shared" si="540"/>
        <v>48.872</v>
      </c>
      <c r="S497" s="61">
        <f t="shared" si="540"/>
        <v>101.114</v>
      </c>
      <c r="T497" s="61">
        <f>SUM(N497:S497)</f>
        <v>231.13</v>
      </c>
      <c r="U497" s="61">
        <f>T497+L497</f>
        <v>332.27699999999999</v>
      </c>
      <c r="V497" s="61">
        <f>V492</f>
        <v>263.262</v>
      </c>
      <c r="W497" s="72">
        <f>V497-U497</f>
        <v>-69.015000000000001</v>
      </c>
      <c r="X497" s="63">
        <f>U492-U497</f>
        <v>-69.015000000000001</v>
      </c>
    </row>
    <row r="498" spans="1:24" s="43" customFormat="1" ht="20.85" customHeight="1">
      <c r="A498" s="592"/>
      <c r="B498" s="581"/>
      <c r="C498" s="581"/>
      <c r="D498" s="202" t="str">
        <f>серпень!D421</f>
        <v>план</v>
      </c>
      <c r="E498" s="42"/>
      <c r="F498" s="42">
        <f t="shared" ref="F498:K498" si="541">F492</f>
        <v>0</v>
      </c>
      <c r="G498" s="42">
        <f t="shared" si="541"/>
        <v>4.2279999999999998</v>
      </c>
      <c r="H498" s="42">
        <f t="shared" si="541"/>
        <v>20.614999999999998</v>
      </c>
      <c r="I498" s="42">
        <f t="shared" si="541"/>
        <v>49.834000000000003</v>
      </c>
      <c r="J498" s="42">
        <f t="shared" si="541"/>
        <v>8.3510000000000009</v>
      </c>
      <c r="K498" s="42">
        <f t="shared" si="541"/>
        <v>26.707000000000001</v>
      </c>
      <c r="L498" s="42">
        <f>SUM(F498:K498)</f>
        <v>109.735</v>
      </c>
      <c r="M498" s="42">
        <f>L498/6</f>
        <v>18.289000000000001</v>
      </c>
      <c r="N498" s="42">
        <f t="shared" ref="N498:S498" si="542">N492+N491</f>
        <v>25.085999999999999</v>
      </c>
      <c r="O498" s="42">
        <f t="shared" si="542"/>
        <v>23.638000000000002</v>
      </c>
      <c r="P498" s="42">
        <f t="shared" si="542"/>
        <v>6.6879999999999997</v>
      </c>
      <c r="Q498" s="42">
        <f t="shared" si="542"/>
        <v>18.443999999999999</v>
      </c>
      <c r="R498" s="42">
        <f t="shared" si="542"/>
        <v>35.728000000000002</v>
      </c>
      <c r="S498" s="42">
        <f t="shared" si="542"/>
        <v>43.942999999999998</v>
      </c>
      <c r="T498" s="42">
        <f>SUM(N498:S498)</f>
        <v>153.52699999999999</v>
      </c>
      <c r="U498" s="42">
        <f>T498+L498</f>
        <v>263.262</v>
      </c>
      <c r="V498" s="42">
        <f>V495</f>
        <v>263.262</v>
      </c>
      <c r="W498" s="42">
        <f>V498-U498</f>
        <v>0</v>
      </c>
    </row>
    <row r="499" spans="1:24" s="43" customFormat="1" ht="20.85" customHeight="1">
      <c r="A499" s="592"/>
      <c r="B499" s="581"/>
      <c r="C499" s="581"/>
      <c r="D499" s="202" t="str">
        <f>серпень!D422</f>
        <v xml:space="preserve">відхилення </v>
      </c>
      <c r="E499" s="42"/>
      <c r="F499" s="42">
        <f t="shared" ref="F499:K499" si="543">F495-F498</f>
        <v>0</v>
      </c>
      <c r="G499" s="42">
        <f t="shared" si="543"/>
        <v>-3.2610000000000001</v>
      </c>
      <c r="H499" s="42">
        <f t="shared" si="543"/>
        <v>-1.774</v>
      </c>
      <c r="I499" s="42">
        <f t="shared" si="543"/>
        <v>-33.893000000000001</v>
      </c>
      <c r="J499" s="42">
        <f t="shared" si="543"/>
        <v>30.617999999999999</v>
      </c>
      <c r="K499" s="42">
        <f t="shared" si="543"/>
        <v>-0.27800000000000002</v>
      </c>
      <c r="L499" s="42"/>
      <c r="M499" s="42"/>
      <c r="N499" s="42">
        <f t="shared" ref="N499:S499" si="544">N495-N498</f>
        <v>2.2200000000000002</v>
      </c>
      <c r="O499" s="42">
        <f t="shared" si="544"/>
        <v>0.53600000000000003</v>
      </c>
      <c r="P499" s="42">
        <f t="shared" si="544"/>
        <v>4.4269999999999996</v>
      </c>
      <c r="Q499" s="42">
        <f t="shared" si="544"/>
        <v>0.105</v>
      </c>
      <c r="R499" s="42">
        <f t="shared" si="544"/>
        <v>13.144</v>
      </c>
      <c r="S499" s="42">
        <f t="shared" si="544"/>
        <v>57.170999999999999</v>
      </c>
      <c r="T499" s="42"/>
      <c r="U499" s="42"/>
      <c r="V499" s="42"/>
      <c r="W499" s="42"/>
    </row>
    <row r="500" spans="1:24" s="43" customFormat="1" ht="20.85" customHeight="1">
      <c r="A500" s="592"/>
      <c r="B500" s="581"/>
      <c r="C500" s="581"/>
      <c r="D500" s="202" t="str">
        <f>серпень!D423</f>
        <v>відхилення з наростаючим</v>
      </c>
      <c r="E500" s="42"/>
      <c r="F500" s="42">
        <f>F499</f>
        <v>0</v>
      </c>
      <c r="G500" s="42">
        <f>G499+F500</f>
        <v>-3.2610000000000001</v>
      </c>
      <c r="H500" s="42">
        <f>H499+G500</f>
        <v>-5.0350000000000001</v>
      </c>
      <c r="I500" s="42">
        <f>I499+H500</f>
        <v>-38.927999999999997</v>
      </c>
      <c r="J500" s="42">
        <f>J499+I500</f>
        <v>-8.31</v>
      </c>
      <c r="K500" s="42">
        <f>K499+J500</f>
        <v>-8.5879999999999992</v>
      </c>
      <c r="L500" s="42"/>
      <c r="M500" s="42"/>
      <c r="N500" s="42">
        <f>N499+K500</f>
        <v>-6.3680000000000003</v>
      </c>
      <c r="O500" s="42">
        <f>O499+N500</f>
        <v>-5.8319999999999999</v>
      </c>
      <c r="P500" s="42">
        <f>P499+O500</f>
        <v>-1.405</v>
      </c>
      <c r="Q500" s="42">
        <f>Q499+P500</f>
        <v>-1.3</v>
      </c>
      <c r="R500" s="42">
        <f>R499+Q500</f>
        <v>11.843999999999999</v>
      </c>
      <c r="S500" s="42">
        <f>S499+R500</f>
        <v>69.015000000000001</v>
      </c>
      <c r="T500" s="42"/>
      <c r="U500" s="42"/>
      <c r="V500" s="42"/>
      <c r="W500" s="42"/>
    </row>
    <row r="501" spans="1:24" s="55" customFormat="1" ht="18.8" customHeight="1">
      <c r="A501" s="592"/>
      <c r="B501" s="576" t="s">
        <v>33</v>
      </c>
      <c r="C501" s="577"/>
      <c r="D501" s="178" t="str">
        <f>серпень!D424</f>
        <v>факт. нат.п-ки 2023</v>
      </c>
      <c r="E501" s="11"/>
      <c r="F501" s="82">
        <v>0</v>
      </c>
      <c r="G501" s="82">
        <v>889.8</v>
      </c>
      <c r="H501" s="82">
        <v>1070</v>
      </c>
      <c r="I501" s="82">
        <v>0</v>
      </c>
      <c r="J501" s="82">
        <v>351</v>
      </c>
      <c r="K501" s="82">
        <v>0</v>
      </c>
      <c r="L501" s="508">
        <f>SUM(F501:K501)</f>
        <v>2310.8000000000002</v>
      </c>
      <c r="M501" s="508">
        <v>5959.6</v>
      </c>
      <c r="N501" s="509">
        <v>920</v>
      </c>
      <c r="O501" s="509">
        <v>706</v>
      </c>
      <c r="P501" s="509">
        <v>0</v>
      </c>
      <c r="Q501" s="509">
        <v>691.3</v>
      </c>
      <c r="R501" s="509">
        <v>1823.3</v>
      </c>
      <c r="S501" s="509">
        <v>2606.6</v>
      </c>
      <c r="T501" s="125">
        <f>SUM(N501:S501)</f>
        <v>6747.2</v>
      </c>
      <c r="U501" s="125">
        <f>T501+L501</f>
        <v>9058</v>
      </c>
      <c r="V501" s="505">
        <v>9058</v>
      </c>
      <c r="W501" s="38"/>
      <c r="X501" s="47"/>
    </row>
    <row r="502" spans="1:24" s="48" customFormat="1" ht="18.8" customHeight="1">
      <c r="A502" s="592"/>
      <c r="B502" s="576"/>
      <c r="C502" s="577"/>
      <c r="D502" s="178" t="str">
        <f>серпень!D425</f>
        <v>факт. нат.п-ки 2024</v>
      </c>
      <c r="E502" s="11"/>
      <c r="F502" s="82">
        <v>0</v>
      </c>
      <c r="G502" s="82">
        <v>757.9</v>
      </c>
      <c r="H502" s="82">
        <v>0</v>
      </c>
      <c r="I502" s="82">
        <v>680</v>
      </c>
      <c r="J502" s="82">
        <v>633</v>
      </c>
      <c r="K502" s="82">
        <v>684</v>
      </c>
      <c r="L502" s="508">
        <f>SUM(F502:K502)</f>
        <v>2754.9</v>
      </c>
      <c r="M502" s="508">
        <v>5959.6</v>
      </c>
      <c r="N502" s="509">
        <v>584.6</v>
      </c>
      <c r="O502" s="509">
        <v>644</v>
      </c>
      <c r="P502" s="509">
        <v>231.48</v>
      </c>
      <c r="Q502" s="509">
        <v>691.3</v>
      </c>
      <c r="R502" s="509">
        <v>1823.3</v>
      </c>
      <c r="S502" s="509">
        <v>2606.6</v>
      </c>
      <c r="T502" s="125">
        <f>SUM(N502:S502)</f>
        <v>6581.28</v>
      </c>
      <c r="U502" s="125">
        <f>T502+L502</f>
        <v>9336.18</v>
      </c>
      <c r="V502" s="505">
        <v>9336.2000000000007</v>
      </c>
      <c r="W502" s="38"/>
      <c r="X502" s="47"/>
    </row>
    <row r="503" spans="1:24" s="48" customFormat="1" ht="18.8" customHeight="1">
      <c r="A503" s="592"/>
      <c r="B503" s="576"/>
      <c r="C503" s="577"/>
      <c r="D503" s="178" t="str">
        <f>серпень!D426</f>
        <v>факт. нат.п-ки 2025</v>
      </c>
      <c r="E503" s="11"/>
      <c r="F503" s="82">
        <v>1095.5</v>
      </c>
      <c r="G503" s="82">
        <v>948.07</v>
      </c>
      <c r="H503" s="82">
        <v>721.29600000000005</v>
      </c>
      <c r="I503" s="82">
        <v>938.12</v>
      </c>
      <c r="J503" s="82">
        <v>697.52</v>
      </c>
      <c r="K503" s="82">
        <v>170.07400000000001</v>
      </c>
      <c r="L503" s="508">
        <f>SUM(F503:K503)</f>
        <v>4570.58</v>
      </c>
      <c r="M503" s="508">
        <v>5959.6</v>
      </c>
      <c r="N503" s="509">
        <v>460.47</v>
      </c>
      <c r="O503" s="509">
        <v>416.14</v>
      </c>
      <c r="P503" s="509">
        <v>231.48</v>
      </c>
      <c r="Q503" s="509">
        <v>691.3</v>
      </c>
      <c r="R503" s="509">
        <v>1823.3</v>
      </c>
      <c r="S503" s="509">
        <f>2200+363.7+42.9</f>
        <v>2606.6</v>
      </c>
      <c r="T503" s="125">
        <f>SUM(N503:S503)</f>
        <v>6229.29</v>
      </c>
      <c r="U503" s="125">
        <f>T503+L503</f>
        <v>10799.87</v>
      </c>
      <c r="V503" s="349">
        <v>9677.4</v>
      </c>
      <c r="W503" s="38">
        <f>V503-U503</f>
        <v>-1122.5</v>
      </c>
      <c r="X503" s="47"/>
    </row>
    <row r="504" spans="1:24" s="51" customFormat="1" ht="18.8" customHeight="1">
      <c r="A504" s="592"/>
      <c r="B504" s="576"/>
      <c r="C504" s="577"/>
      <c r="D504" s="187" t="str">
        <f>серпень!D427</f>
        <v>тариф, грн.</v>
      </c>
      <c r="E504" s="129" t="e">
        <f>E505/E503*1000</f>
        <v>#DIV/0!</v>
      </c>
      <c r="F504" s="129">
        <f t="shared" ref="F504:K504" si="545">F505/F503*1000</f>
        <v>4.3204000000000002</v>
      </c>
      <c r="G504" s="129">
        <f t="shared" si="545"/>
        <v>4.32036</v>
      </c>
      <c r="H504" s="129">
        <f t="shared" si="545"/>
        <v>4.32</v>
      </c>
      <c r="I504" s="129">
        <f t="shared" si="545"/>
        <v>4.3203399999999998</v>
      </c>
      <c r="J504" s="129">
        <f t="shared" si="545"/>
        <v>4.3195899999999998</v>
      </c>
      <c r="K504" s="129">
        <f t="shared" si="545"/>
        <v>4.32165</v>
      </c>
      <c r="L504" s="132">
        <f>L505/L503*1000</f>
        <v>4.3202400000000001</v>
      </c>
      <c r="M504" s="132">
        <f>M505/M503*1000</f>
        <v>0.55222000000000004</v>
      </c>
      <c r="N504" s="132">
        <f t="shared" ref="N504:O504" si="546">N505/N503*1000</f>
        <v>4.3194999999999997</v>
      </c>
      <c r="O504" s="132">
        <f t="shared" si="546"/>
        <v>4.3206600000000002</v>
      </c>
      <c r="P504" s="49">
        <v>4.32</v>
      </c>
      <c r="Q504" s="49">
        <v>4.32</v>
      </c>
      <c r="R504" s="49">
        <v>4.32</v>
      </c>
      <c r="S504" s="49">
        <v>4.32</v>
      </c>
      <c r="T504" s="132">
        <f>T505/T503*1000</f>
        <v>4.3199100000000001</v>
      </c>
      <c r="U504" s="132">
        <f>U505/U503*1000</f>
        <v>4.3200500000000002</v>
      </c>
      <c r="V504" s="132">
        <f>V505/V503*1000</f>
        <v>4.31996</v>
      </c>
      <c r="W504" s="40">
        <f>W505/W503*1000</f>
        <v>4.3207100000000001</v>
      </c>
      <c r="X504" s="59"/>
    </row>
    <row r="505" spans="1:24" s="130" customFormat="1" ht="18.8" customHeight="1">
      <c r="A505" s="592"/>
      <c r="B505" s="576"/>
      <c r="C505" s="577"/>
      <c r="D505" s="191" t="str">
        <f>серпень!D428</f>
        <v>сума, тис.грн.</v>
      </c>
      <c r="E505" s="52"/>
      <c r="F505" s="52">
        <v>4.7329999999999997</v>
      </c>
      <c r="G505" s="52">
        <v>4.0960000000000001</v>
      </c>
      <c r="H505" s="52">
        <v>3.1160000000000001</v>
      </c>
      <c r="I505" s="52">
        <v>4.0529999999999999</v>
      </c>
      <c r="J505" s="52">
        <v>3.0129999999999999</v>
      </c>
      <c r="K505" s="52">
        <v>0.73499999999999999</v>
      </c>
      <c r="L505" s="69">
        <f>SUM(F505:K505)</f>
        <v>19.745999999999999</v>
      </c>
      <c r="M505" s="69">
        <f>L505/6</f>
        <v>3.2909999999999999</v>
      </c>
      <c r="N505" s="52">
        <v>1.9890000000000001</v>
      </c>
      <c r="O505" s="52">
        <v>1.798</v>
      </c>
      <c r="P505" s="52">
        <f t="shared" ref="P505" si="547">P503*P504/1000</f>
        <v>1</v>
      </c>
      <c r="Q505" s="52">
        <f t="shared" ref="Q505" si="548">Q503*Q504/1000</f>
        <v>2.9860000000000002</v>
      </c>
      <c r="R505" s="52">
        <f t="shared" ref="R505" si="549">R503*R504/1000</f>
        <v>7.8769999999999998</v>
      </c>
      <c r="S505" s="52">
        <f>S503*S504/1000-0.001</f>
        <v>11.26</v>
      </c>
      <c r="T505" s="69">
        <f>SUM(N505:S505)</f>
        <v>26.91</v>
      </c>
      <c r="U505" s="69">
        <f>T505+L505</f>
        <v>46.655999999999999</v>
      </c>
      <c r="V505" s="70">
        <f>V506+V507</f>
        <v>41.805999999999997</v>
      </c>
      <c r="W505" s="53">
        <f>V505-U505</f>
        <v>-4.8499999999999996</v>
      </c>
      <c r="X505" s="133"/>
    </row>
    <row r="506" spans="1:24" s="130" customFormat="1" ht="18.8" customHeight="1">
      <c r="A506" s="592"/>
      <c r="B506" s="576"/>
      <c r="C506" s="577"/>
      <c r="D506" s="174" t="str">
        <f>серпень!D429</f>
        <v>дотація</v>
      </c>
      <c r="E506" s="56"/>
      <c r="F506" s="52"/>
      <c r="G506" s="52"/>
      <c r="H506" s="52"/>
      <c r="I506" s="52"/>
      <c r="J506" s="52"/>
      <c r="K506" s="52"/>
      <c r="L506" s="69">
        <f>SUM(F506:K506)</f>
        <v>0</v>
      </c>
      <c r="M506" s="69">
        <f>L506/6</f>
        <v>0</v>
      </c>
      <c r="N506" s="52"/>
      <c r="O506" s="52"/>
      <c r="P506" s="52"/>
      <c r="Q506" s="52"/>
      <c r="R506" s="52"/>
      <c r="S506" s="52"/>
      <c r="T506" s="69">
        <f>SUM(N506:S506)</f>
        <v>0</v>
      </c>
      <c r="U506" s="69">
        <f>T506+L506</f>
        <v>0</v>
      </c>
      <c r="V506" s="70">
        <v>0</v>
      </c>
      <c r="W506" s="53">
        <f>V506-U506</f>
        <v>0</v>
      </c>
    </row>
    <row r="507" spans="1:24" s="130" customFormat="1" ht="18.8" customHeight="1">
      <c r="A507" s="592"/>
      <c r="B507" s="576"/>
      <c r="C507" s="577"/>
      <c r="D507" s="174" t="str">
        <f>серпень!D430</f>
        <v>місцевий (план), тис.грн</v>
      </c>
      <c r="E507" s="56"/>
      <c r="F507" s="52">
        <f>0.405-0.405</f>
        <v>0</v>
      </c>
      <c r="G507" s="52">
        <v>1.474</v>
      </c>
      <c r="H507" s="52">
        <v>3.274</v>
      </c>
      <c r="I507" s="52">
        <v>0</v>
      </c>
      <c r="J507" s="52">
        <v>2.9380000000000002</v>
      </c>
      <c r="K507" s="52">
        <v>2.7349999999999999</v>
      </c>
      <c r="L507" s="69">
        <f>SUM(F507:K507)</f>
        <v>10.420999999999999</v>
      </c>
      <c r="M507" s="69">
        <f>L507/6</f>
        <v>1.7370000000000001</v>
      </c>
      <c r="N507" s="52">
        <v>2.9550000000000001</v>
      </c>
      <c r="O507" s="52">
        <v>2.5249999999999999</v>
      </c>
      <c r="P507" s="52">
        <v>2.782</v>
      </c>
      <c r="Q507" s="52">
        <v>1</v>
      </c>
      <c r="R507" s="52">
        <v>2.9860000000000002</v>
      </c>
      <c r="S507" s="52">
        <v>19.137</v>
      </c>
      <c r="T507" s="69">
        <f>SUM(N507:S507)</f>
        <v>31.385000000000002</v>
      </c>
      <c r="U507" s="69">
        <f>T507+L507</f>
        <v>41.805999999999997</v>
      </c>
      <c r="V507" s="70">
        <v>41.805999999999997</v>
      </c>
      <c r="W507" s="53">
        <f>V507-U507</f>
        <v>0</v>
      </c>
    </row>
    <row r="508" spans="1:24" s="48" customFormat="1" ht="18.8" customHeight="1">
      <c r="A508" s="592"/>
      <c r="B508" s="576"/>
      <c r="C508" s="577"/>
      <c r="D508" s="178" t="str">
        <f>серпень!D431</f>
        <v>касові нат.п-ки 2025</v>
      </c>
      <c r="E508" s="11"/>
      <c r="F508" s="348">
        <v>0</v>
      </c>
      <c r="G508" s="510">
        <v>1095.5</v>
      </c>
      <c r="H508" s="510">
        <v>948.07</v>
      </c>
      <c r="I508" s="510">
        <v>721.29600000000005</v>
      </c>
      <c r="J508" s="511">
        <v>938.12</v>
      </c>
      <c r="K508" s="511">
        <v>697.52</v>
      </c>
      <c r="L508" s="508">
        <f>SUM(F508:K508)</f>
        <v>4400.5060000000003</v>
      </c>
      <c r="M508" s="508">
        <f>L508/6</f>
        <v>733.41800000000001</v>
      </c>
      <c r="N508" s="510">
        <v>170.07400000000001</v>
      </c>
      <c r="O508" s="348">
        <v>460.47</v>
      </c>
      <c r="P508" s="348">
        <v>416.14</v>
      </c>
      <c r="Q508" s="348">
        <v>231.48</v>
      </c>
      <c r="R508" s="348">
        <v>691.3</v>
      </c>
      <c r="S508" s="348">
        <f>R503+S503</f>
        <v>4429.8999999999996</v>
      </c>
      <c r="T508" s="125">
        <f>SUM(N508:S508)</f>
        <v>6399.3639999999996</v>
      </c>
      <c r="U508" s="125">
        <f>T508+L508</f>
        <v>10799.87</v>
      </c>
      <c r="V508" s="349">
        <f>V503</f>
        <v>9677.4</v>
      </c>
      <c r="W508" s="38">
        <f>V508-U508</f>
        <v>-1122.5</v>
      </c>
      <c r="X508" s="47">
        <f>U503-U508</f>
        <v>0</v>
      </c>
    </row>
    <row r="509" spans="1:24" s="51" customFormat="1" ht="18.8" customHeight="1">
      <c r="A509" s="592"/>
      <c r="B509" s="576"/>
      <c r="C509" s="577"/>
      <c r="D509" s="187" t="str">
        <f>серпень!D432</f>
        <v>тариф, грн.</v>
      </c>
      <c r="E509" s="49" t="e">
        <f t="shared" ref="E509:K509" si="550">E510/E508*1000</f>
        <v>#DIV/0!</v>
      </c>
      <c r="F509" s="49" t="e">
        <f t="shared" si="550"/>
        <v>#DIV/0!</v>
      </c>
      <c r="G509" s="49">
        <f t="shared" si="550"/>
        <v>4.32</v>
      </c>
      <c r="H509" s="49">
        <f t="shared" si="550"/>
        <v>4.32</v>
      </c>
      <c r="I509" s="49">
        <f t="shared" si="550"/>
        <v>4.32</v>
      </c>
      <c r="J509" s="49">
        <f t="shared" si="550"/>
        <v>4.32</v>
      </c>
      <c r="K509" s="49">
        <f t="shared" si="550"/>
        <v>4.32</v>
      </c>
      <c r="L509" s="132">
        <f>L510/L508*1000</f>
        <v>4.3201799999999997</v>
      </c>
      <c r="M509" s="132">
        <f>M510/M508*1000</f>
        <v>4.3208599999999997</v>
      </c>
      <c r="N509" s="132">
        <f t="shared" ref="N509:P509" si="551">N510/N508*1000</f>
        <v>4.32165</v>
      </c>
      <c r="O509" s="132">
        <f t="shared" si="551"/>
        <v>4.3194999999999997</v>
      </c>
      <c r="P509" s="132">
        <f t="shared" si="551"/>
        <v>4.3206600000000002</v>
      </c>
      <c r="Q509" s="49">
        <v>4.32</v>
      </c>
      <c r="R509" s="49">
        <v>4.32</v>
      </c>
      <c r="S509" s="49">
        <v>4.32</v>
      </c>
      <c r="T509" s="132">
        <f>T510/T508*1000</f>
        <v>4.31996</v>
      </c>
      <c r="U509" s="132">
        <f>U510/U508*1000</f>
        <v>4.3200500000000002</v>
      </c>
      <c r="V509" s="132">
        <f>V510/V508*1000</f>
        <v>4.31996</v>
      </c>
      <c r="W509" s="40">
        <f>W510/W508*1000</f>
        <v>4.3207100000000001</v>
      </c>
      <c r="X509" s="59"/>
    </row>
    <row r="510" spans="1:24" s="126" customFormat="1" ht="18.8" customHeight="1">
      <c r="A510" s="592"/>
      <c r="B510" s="576"/>
      <c r="C510" s="577"/>
      <c r="D510" s="198" t="str">
        <f>серпень!D433</f>
        <v>касові видатки, тис.грн.</v>
      </c>
      <c r="E510" s="71"/>
      <c r="F510" s="61">
        <v>0</v>
      </c>
      <c r="G510" s="61">
        <v>4.7329999999999997</v>
      </c>
      <c r="H510" s="61">
        <v>4.0960000000000001</v>
      </c>
      <c r="I510" s="61">
        <v>3.1160000000000001</v>
      </c>
      <c r="J510" s="61">
        <v>4.0529999999999999</v>
      </c>
      <c r="K510" s="61">
        <v>3.0129999999999999</v>
      </c>
      <c r="L510" s="61">
        <f>SUM(F510:K510)</f>
        <v>19.010999999999999</v>
      </c>
      <c r="M510" s="61">
        <f>L510/6</f>
        <v>3.169</v>
      </c>
      <c r="N510" s="61">
        <v>0.73499999999999999</v>
      </c>
      <c r="O510" s="61">
        <v>1.9890000000000001</v>
      </c>
      <c r="P510" s="61">
        <v>1.798</v>
      </c>
      <c r="Q510" s="61">
        <f t="shared" ref="Q510" si="552">Q508*Q509/1000</f>
        <v>1</v>
      </c>
      <c r="R510" s="61">
        <f t="shared" ref="R510" si="553">R508*R509/1000</f>
        <v>2.9860000000000002</v>
      </c>
      <c r="S510" s="61">
        <f t="shared" ref="S510" si="554">S508*S509/1000</f>
        <v>19.137</v>
      </c>
      <c r="T510" s="61">
        <f>SUM(N510:S510)</f>
        <v>27.645</v>
      </c>
      <c r="U510" s="61">
        <f>T510+L510</f>
        <v>46.655999999999999</v>
      </c>
      <c r="V510" s="61">
        <f>V505</f>
        <v>41.805999999999997</v>
      </c>
      <c r="W510" s="72">
        <f>V510-U510</f>
        <v>-4.8499999999999996</v>
      </c>
      <c r="X510" s="63">
        <f>U505-U510</f>
        <v>0</v>
      </c>
    </row>
    <row r="511" spans="1:24" s="126" customFormat="1" ht="18.8" customHeight="1">
      <c r="A511" s="592"/>
      <c r="B511" s="576"/>
      <c r="C511" s="577"/>
      <c r="D511" s="201" t="str">
        <f>серпень!D434</f>
        <v>дотація</v>
      </c>
      <c r="E511" s="71"/>
      <c r="F511" s="61">
        <v>0</v>
      </c>
      <c r="G511" s="61">
        <v>0</v>
      </c>
      <c r="H511" s="61">
        <v>0</v>
      </c>
      <c r="I511" s="61">
        <v>0</v>
      </c>
      <c r="J511" s="61">
        <v>0</v>
      </c>
      <c r="K511" s="61">
        <v>0</v>
      </c>
      <c r="L511" s="61">
        <f>SUM(F511:K511)</f>
        <v>0</v>
      </c>
      <c r="M511" s="61">
        <f>L511/6</f>
        <v>0</v>
      </c>
      <c r="N511" s="61">
        <v>0</v>
      </c>
      <c r="O511" s="61">
        <v>0</v>
      </c>
      <c r="P511" s="61">
        <v>0</v>
      </c>
      <c r="Q511" s="61">
        <v>0</v>
      </c>
      <c r="R511" s="61">
        <v>0</v>
      </c>
      <c r="S511" s="61">
        <v>0</v>
      </c>
      <c r="T511" s="61">
        <f>SUM(N511:S511)</f>
        <v>0</v>
      </c>
      <c r="U511" s="61">
        <f>T511+L511</f>
        <v>0</v>
      </c>
      <c r="V511" s="61">
        <f>V506</f>
        <v>0</v>
      </c>
      <c r="W511" s="72">
        <f>V511-U511</f>
        <v>0</v>
      </c>
      <c r="X511" s="63">
        <f>U506-U511</f>
        <v>0</v>
      </c>
    </row>
    <row r="512" spans="1:24" s="126" customFormat="1" ht="18.8" customHeight="1">
      <c r="A512" s="592"/>
      <c r="B512" s="576"/>
      <c r="C512" s="577"/>
      <c r="D512" s="201" t="str">
        <f>серпень!D435</f>
        <v xml:space="preserve">місцевий </v>
      </c>
      <c r="E512" s="71"/>
      <c r="F512" s="61">
        <f t="shared" ref="F512:K512" si="555">F510-F511</f>
        <v>0</v>
      </c>
      <c r="G512" s="61">
        <f t="shared" si="555"/>
        <v>4.7329999999999997</v>
      </c>
      <c r="H512" s="61">
        <f t="shared" si="555"/>
        <v>4.0960000000000001</v>
      </c>
      <c r="I512" s="61">
        <f t="shared" si="555"/>
        <v>3.1160000000000001</v>
      </c>
      <c r="J512" s="61">
        <f t="shared" si="555"/>
        <v>4.0529999999999999</v>
      </c>
      <c r="K512" s="61">
        <f t="shared" si="555"/>
        <v>3.0129999999999999</v>
      </c>
      <c r="L512" s="61">
        <f>SUM(F512:K512)</f>
        <v>19.010999999999999</v>
      </c>
      <c r="M512" s="61">
        <f>L512/6</f>
        <v>3.169</v>
      </c>
      <c r="N512" s="61">
        <f t="shared" ref="N512:S512" si="556">N510-N511</f>
        <v>0.73499999999999999</v>
      </c>
      <c r="O512" s="61">
        <f t="shared" si="556"/>
        <v>1.9890000000000001</v>
      </c>
      <c r="P512" s="61">
        <f t="shared" si="556"/>
        <v>1.798</v>
      </c>
      <c r="Q512" s="61">
        <f t="shared" si="556"/>
        <v>1</v>
      </c>
      <c r="R512" s="61">
        <f t="shared" si="556"/>
        <v>2.9860000000000002</v>
      </c>
      <c r="S512" s="61">
        <f t="shared" si="556"/>
        <v>19.137</v>
      </c>
      <c r="T512" s="61">
        <f>SUM(N512:S512)</f>
        <v>27.645</v>
      </c>
      <c r="U512" s="61">
        <f>T512+L512</f>
        <v>46.655999999999999</v>
      </c>
      <c r="V512" s="61">
        <f>V507</f>
        <v>41.805999999999997</v>
      </c>
      <c r="W512" s="72">
        <f>V512-U512</f>
        <v>-4.8499999999999996</v>
      </c>
      <c r="X512" s="63">
        <f>U507-U512</f>
        <v>-4.8499999999999996</v>
      </c>
    </row>
    <row r="513" spans="1:28" s="43" customFormat="1" ht="18.8" customHeight="1">
      <c r="A513" s="592"/>
      <c r="B513" s="576"/>
      <c r="C513" s="577"/>
      <c r="D513" s="202" t="str">
        <f>серпень!D436</f>
        <v>план</v>
      </c>
      <c r="E513" s="42"/>
      <c r="F513" s="42">
        <f t="shared" ref="F513:K513" si="557">F507</f>
        <v>0</v>
      </c>
      <c r="G513" s="42">
        <f>G507</f>
        <v>1.474</v>
      </c>
      <c r="H513" s="42">
        <f t="shared" si="557"/>
        <v>3.274</v>
      </c>
      <c r="I513" s="42">
        <f t="shared" si="557"/>
        <v>0</v>
      </c>
      <c r="J513" s="42">
        <f t="shared" si="557"/>
        <v>2.9380000000000002</v>
      </c>
      <c r="K513" s="42">
        <f t="shared" si="557"/>
        <v>2.7349999999999999</v>
      </c>
      <c r="L513" s="42">
        <f>SUM(F513:K513)</f>
        <v>10.420999999999999</v>
      </c>
      <c r="M513" s="42">
        <f>L513/6</f>
        <v>1.7370000000000001</v>
      </c>
      <c r="N513" s="42">
        <f t="shared" ref="N513:S513" si="558">N507+N506</f>
        <v>2.9550000000000001</v>
      </c>
      <c r="O513" s="42">
        <f t="shared" si="558"/>
        <v>2.5249999999999999</v>
      </c>
      <c r="P513" s="42">
        <f t="shared" si="558"/>
        <v>2.782</v>
      </c>
      <c r="Q513" s="42">
        <f t="shared" si="558"/>
        <v>1</v>
      </c>
      <c r="R513" s="42">
        <f t="shared" si="558"/>
        <v>2.9860000000000002</v>
      </c>
      <c r="S513" s="42">
        <f t="shared" si="558"/>
        <v>19.137</v>
      </c>
      <c r="T513" s="42">
        <f>SUM(N513:S513)</f>
        <v>31.385000000000002</v>
      </c>
      <c r="U513" s="42">
        <f>T513+L513</f>
        <v>41.805999999999997</v>
      </c>
      <c r="V513" s="42">
        <f>V510</f>
        <v>41.805999999999997</v>
      </c>
      <c r="W513" s="42">
        <f>V513-U513</f>
        <v>0</v>
      </c>
    </row>
    <row r="514" spans="1:28" s="43" customFormat="1" ht="18.8" customHeight="1">
      <c r="A514" s="592"/>
      <c r="B514" s="576"/>
      <c r="C514" s="577"/>
      <c r="D514" s="202" t="str">
        <f>серпень!D437</f>
        <v xml:space="preserve">відхилення </v>
      </c>
      <c r="E514" s="42"/>
      <c r="F514" s="42">
        <f t="shared" ref="F514:K514" si="559">F510-F513</f>
        <v>0</v>
      </c>
      <c r="G514" s="42">
        <f t="shared" si="559"/>
        <v>3.2589999999999999</v>
      </c>
      <c r="H514" s="42">
        <f t="shared" si="559"/>
        <v>0.82199999999999995</v>
      </c>
      <c r="I514" s="42">
        <f t="shared" si="559"/>
        <v>3.1160000000000001</v>
      </c>
      <c r="J514" s="42">
        <f t="shared" si="559"/>
        <v>1.115</v>
      </c>
      <c r="K514" s="42">
        <f t="shared" si="559"/>
        <v>0.27800000000000002</v>
      </c>
      <c r="L514" s="42"/>
      <c r="M514" s="42"/>
      <c r="N514" s="42">
        <f t="shared" ref="N514:S514" si="560">N510-N513</f>
        <v>-2.2200000000000002</v>
      </c>
      <c r="O514" s="42">
        <f t="shared" si="560"/>
        <v>-0.53600000000000003</v>
      </c>
      <c r="P514" s="42">
        <f t="shared" si="560"/>
        <v>-0.98399999999999999</v>
      </c>
      <c r="Q514" s="42">
        <f t="shared" si="560"/>
        <v>0</v>
      </c>
      <c r="R514" s="42">
        <f t="shared" si="560"/>
        <v>0</v>
      </c>
      <c r="S514" s="42">
        <f t="shared" si="560"/>
        <v>0</v>
      </c>
      <c r="T514" s="42"/>
      <c r="U514" s="42"/>
      <c r="V514" s="42"/>
      <c r="W514" s="42"/>
    </row>
    <row r="515" spans="1:28" s="43" customFormat="1" ht="18.8" customHeight="1">
      <c r="A515" s="593"/>
      <c r="B515" s="578"/>
      <c r="C515" s="579"/>
      <c r="D515" s="202" t="str">
        <f>серпень!D438</f>
        <v>відхилення з наростаючим</v>
      </c>
      <c r="E515" s="42"/>
      <c r="F515" s="42">
        <f>F514</f>
        <v>0</v>
      </c>
      <c r="G515" s="42">
        <f>G514+F515</f>
        <v>3.2589999999999999</v>
      </c>
      <c r="H515" s="42">
        <f>H514+G515</f>
        <v>4.0810000000000004</v>
      </c>
      <c r="I515" s="42">
        <f>I514+H515</f>
        <v>7.1970000000000001</v>
      </c>
      <c r="J515" s="42">
        <f>J514+I515</f>
        <v>8.3119999999999994</v>
      </c>
      <c r="K515" s="42">
        <f>K514+J515</f>
        <v>8.59</v>
      </c>
      <c r="L515" s="42"/>
      <c r="M515" s="42"/>
      <c r="N515" s="42">
        <f>N514+K515</f>
        <v>6.37</v>
      </c>
      <c r="O515" s="42">
        <f>O514+N515</f>
        <v>5.8339999999999996</v>
      </c>
      <c r="P515" s="42">
        <f>P514+O515</f>
        <v>4.8499999999999996</v>
      </c>
      <c r="Q515" s="42">
        <f>Q514+P515</f>
        <v>4.8499999999999996</v>
      </c>
      <c r="R515" s="42">
        <f>R514+Q515</f>
        <v>4.8499999999999996</v>
      </c>
      <c r="S515" s="42">
        <f>S514+R515</f>
        <v>4.8499999999999996</v>
      </c>
      <c r="T515" s="42"/>
      <c r="U515" s="42"/>
      <c r="V515" s="42"/>
      <c r="W515" s="42"/>
      <c r="AB515" s="58">
        <f>Z515-Z520</f>
        <v>0</v>
      </c>
    </row>
    <row r="516" spans="1:28" s="47" customFormat="1" ht="15.05" customHeight="1">
      <c r="A516" s="650">
        <v>2275</v>
      </c>
      <c r="B516" s="581" t="s">
        <v>70</v>
      </c>
      <c r="C516" s="581"/>
      <c r="D516" s="178" t="str">
        <f>серпень!D439</f>
        <v>факт. нат.п-ки 2023</v>
      </c>
      <c r="E516" s="11"/>
      <c r="F516" s="12">
        <f t="shared" ref="F516:K517" si="561">F533+F642</f>
        <v>0</v>
      </c>
      <c r="G516" s="12">
        <f t="shared" si="561"/>
        <v>0</v>
      </c>
      <c r="H516" s="12">
        <f t="shared" si="561"/>
        <v>0</v>
      </c>
      <c r="I516" s="12">
        <f t="shared" si="561"/>
        <v>0</v>
      </c>
      <c r="J516" s="12">
        <f t="shared" si="561"/>
        <v>0</v>
      </c>
      <c r="K516" s="12">
        <f t="shared" si="561"/>
        <v>0</v>
      </c>
      <c r="L516" s="117">
        <f>SUM(F516:K516)</f>
        <v>0</v>
      </c>
      <c r="M516" s="117">
        <f>L516/6</f>
        <v>0</v>
      </c>
      <c r="N516" s="12">
        <f t="shared" ref="N516:S517" si="562">N533+N642</f>
        <v>0</v>
      </c>
      <c r="O516" s="12">
        <f t="shared" si="562"/>
        <v>0</v>
      </c>
      <c r="P516" s="12">
        <f t="shared" si="562"/>
        <v>0</v>
      </c>
      <c r="Q516" s="12">
        <f t="shared" si="562"/>
        <v>0</v>
      </c>
      <c r="R516" s="12">
        <f t="shared" si="562"/>
        <v>0</v>
      </c>
      <c r="S516" s="12">
        <f t="shared" si="562"/>
        <v>0</v>
      </c>
      <c r="T516" s="117">
        <f>SUM(N516:S516)</f>
        <v>0</v>
      </c>
      <c r="U516" s="117">
        <f>T516+L516</f>
        <v>0</v>
      </c>
      <c r="V516" s="76">
        <f>V533+V642</f>
        <v>0</v>
      </c>
      <c r="W516" s="38"/>
    </row>
    <row r="517" spans="1:28" s="47" customFormat="1" ht="15.05" customHeight="1">
      <c r="A517" s="614"/>
      <c r="B517" s="581"/>
      <c r="C517" s="581"/>
      <c r="D517" s="178" t="str">
        <f>серпень!D440</f>
        <v>факт. нат.п-ки 2024</v>
      </c>
      <c r="E517" s="11"/>
      <c r="F517" s="12">
        <f t="shared" si="561"/>
        <v>0</v>
      </c>
      <c r="G517" s="12">
        <f t="shared" si="561"/>
        <v>0</v>
      </c>
      <c r="H517" s="12">
        <f t="shared" si="561"/>
        <v>0</v>
      </c>
      <c r="I517" s="12">
        <f t="shared" si="561"/>
        <v>0</v>
      </c>
      <c r="J517" s="12">
        <f t="shared" si="561"/>
        <v>0</v>
      </c>
      <c r="K517" s="12">
        <f t="shared" si="561"/>
        <v>0</v>
      </c>
      <c r="L517" s="117">
        <f>SUM(F517:K517)</f>
        <v>0</v>
      </c>
      <c r="M517" s="117">
        <f>L517/6</f>
        <v>0</v>
      </c>
      <c r="N517" s="12">
        <f t="shared" si="562"/>
        <v>0</v>
      </c>
      <c r="O517" s="12">
        <f t="shared" si="562"/>
        <v>0</v>
      </c>
      <c r="P517" s="12">
        <f t="shared" si="562"/>
        <v>0</v>
      </c>
      <c r="Q517" s="12">
        <f t="shared" si="562"/>
        <v>0</v>
      </c>
      <c r="R517" s="12">
        <f t="shared" si="562"/>
        <v>0</v>
      </c>
      <c r="S517" s="12">
        <f t="shared" si="562"/>
        <v>0</v>
      </c>
      <c r="T517" s="117">
        <f>SUM(N517:S517)</f>
        <v>0</v>
      </c>
      <c r="U517" s="117">
        <f>T517+L517</f>
        <v>0</v>
      </c>
      <c r="V517" s="76">
        <f>V534+V643</f>
        <v>0</v>
      </c>
      <c r="W517" s="38"/>
    </row>
    <row r="518" spans="1:28" s="47" customFormat="1" ht="15.05" customHeight="1">
      <c r="A518" s="614"/>
      <c r="B518" s="581"/>
      <c r="C518" s="581"/>
      <c r="D518" s="178" t="str">
        <f>серпень!D441</f>
        <v>факт. нат.п-ки 2025</v>
      </c>
      <c r="E518" s="11"/>
      <c r="F518" s="12">
        <f>F535+F706</f>
        <v>9.5</v>
      </c>
      <c r="G518" s="12">
        <f t="shared" ref="G518:K518" si="563">G535+G706</f>
        <v>9.1</v>
      </c>
      <c r="H518" s="12">
        <f t="shared" si="563"/>
        <v>13.4</v>
      </c>
      <c r="I518" s="12">
        <f t="shared" si="563"/>
        <v>11.2</v>
      </c>
      <c r="J518" s="12">
        <f t="shared" si="563"/>
        <v>10.3</v>
      </c>
      <c r="K518" s="12">
        <f t="shared" si="563"/>
        <v>10.8</v>
      </c>
      <c r="L518" s="117">
        <f>SUM(F518:K518)</f>
        <v>64.3</v>
      </c>
      <c r="M518" s="117">
        <f>L518/6</f>
        <v>10.7</v>
      </c>
      <c r="N518" s="12">
        <f>N535+N706</f>
        <v>9.5</v>
      </c>
      <c r="O518" s="12">
        <f t="shared" ref="O518:S518" si="564">O535+O706</f>
        <v>9</v>
      </c>
      <c r="P518" s="12">
        <f t="shared" si="564"/>
        <v>9.8000000000000007</v>
      </c>
      <c r="Q518" s="12">
        <f t="shared" si="564"/>
        <v>9.8000000000000007</v>
      </c>
      <c r="R518" s="12">
        <f t="shared" si="564"/>
        <v>9.8000000000000007</v>
      </c>
      <c r="S518" s="12">
        <f t="shared" si="564"/>
        <v>9.8000000000000007</v>
      </c>
      <c r="T518" s="117">
        <f>SUM(N518:S518)</f>
        <v>57.7</v>
      </c>
      <c r="U518" s="117">
        <f>T518+L518</f>
        <v>122</v>
      </c>
      <c r="V518" s="76">
        <f>V535+V644</f>
        <v>117.6</v>
      </c>
      <c r="W518" s="38">
        <f>V518-U518</f>
        <v>-4.4000000000000004</v>
      </c>
    </row>
    <row r="519" spans="1:28" s="47" customFormat="1" ht="15.05" customHeight="1">
      <c r="A519" s="614"/>
      <c r="B519" s="581"/>
      <c r="C519" s="581"/>
      <c r="D519" s="187" t="str">
        <f>серпень!D442</f>
        <v>тариф, грн.</v>
      </c>
      <c r="E519" s="49"/>
      <c r="F519" s="49">
        <f t="shared" ref="F519:S519" si="565">F520/F518*1000</f>
        <v>162.316</v>
      </c>
      <c r="G519" s="49">
        <f t="shared" si="565"/>
        <v>160.11000000000001</v>
      </c>
      <c r="H519" s="49">
        <f t="shared" si="565"/>
        <v>168.358</v>
      </c>
      <c r="I519" s="49">
        <f t="shared" si="565"/>
        <v>163.482</v>
      </c>
      <c r="J519" s="49">
        <f t="shared" si="565"/>
        <v>159.709</v>
      </c>
      <c r="K519" s="49">
        <f t="shared" si="565"/>
        <v>162.13</v>
      </c>
      <c r="L519" s="49">
        <f t="shared" si="565"/>
        <v>163.017</v>
      </c>
      <c r="M519" s="49">
        <f t="shared" si="565"/>
        <v>163.27099999999999</v>
      </c>
      <c r="N519" s="49">
        <f t="shared" si="565"/>
        <v>162.10499999999999</v>
      </c>
      <c r="O519" s="49">
        <f t="shared" si="565"/>
        <v>159.88900000000001</v>
      </c>
      <c r="P519" s="49">
        <f t="shared" si="565"/>
        <v>178.36699999999999</v>
      </c>
      <c r="Q519" s="49">
        <f t="shared" si="565"/>
        <v>178.36699999999999</v>
      </c>
      <c r="R519" s="49">
        <f t="shared" si="565"/>
        <v>178.36699999999999</v>
      </c>
      <c r="S519" s="49">
        <f t="shared" si="565"/>
        <v>173.16300000000001</v>
      </c>
      <c r="T519" s="49">
        <f>T520/T518*1000</f>
        <v>171.92400000000001</v>
      </c>
      <c r="U519" s="49">
        <f>U520/U518*1000</f>
        <v>167.23</v>
      </c>
      <c r="V519" s="49">
        <f>V520/V518*1000</f>
        <v>177.934</v>
      </c>
      <c r="W519" s="49">
        <f>W520/W518*1000</f>
        <v>-118.864</v>
      </c>
    </row>
    <row r="520" spans="1:28" s="130" customFormat="1" ht="15.05" customHeight="1">
      <c r="A520" s="614"/>
      <c r="B520" s="581"/>
      <c r="C520" s="581"/>
      <c r="D520" s="191" t="str">
        <f>серпень!D443</f>
        <v>сума, тис.грн.</v>
      </c>
      <c r="E520" s="52"/>
      <c r="F520" s="52">
        <f>F537+F708</f>
        <v>1.542</v>
      </c>
      <c r="G520" s="52">
        <f t="shared" ref="G520:K520" si="566">G537+G708</f>
        <v>1.4570000000000001</v>
      </c>
      <c r="H520" s="52">
        <f t="shared" si="566"/>
        <v>2.2559999999999998</v>
      </c>
      <c r="I520" s="52">
        <f t="shared" si="566"/>
        <v>1.831</v>
      </c>
      <c r="J520" s="52">
        <f t="shared" si="566"/>
        <v>1.645</v>
      </c>
      <c r="K520" s="52">
        <f t="shared" si="566"/>
        <v>1.7509999999999999</v>
      </c>
      <c r="L520" s="69">
        <f>SUM(F520:K520)</f>
        <v>10.481999999999999</v>
      </c>
      <c r="M520" s="69">
        <f>L520/6</f>
        <v>1.7470000000000001</v>
      </c>
      <c r="N520" s="52">
        <f>N537+N708</f>
        <v>1.54</v>
      </c>
      <c r="O520" s="52">
        <f t="shared" ref="O520:S520" si="567">O537+O708</f>
        <v>1.4390000000000001</v>
      </c>
      <c r="P520" s="52">
        <f t="shared" si="567"/>
        <v>1.748</v>
      </c>
      <c r="Q520" s="52">
        <f t="shared" si="567"/>
        <v>1.748</v>
      </c>
      <c r="R520" s="52">
        <f t="shared" si="567"/>
        <v>1.748</v>
      </c>
      <c r="S520" s="52">
        <f t="shared" si="567"/>
        <v>1.6970000000000001</v>
      </c>
      <c r="T520" s="69">
        <f>SUM(N520:S520)</f>
        <v>9.92</v>
      </c>
      <c r="U520" s="69">
        <f>T520+L520</f>
        <v>20.402000000000001</v>
      </c>
      <c r="V520" s="69">
        <f t="shared" ref="V520" si="568">V537+V708</f>
        <v>20.925000000000001</v>
      </c>
      <c r="W520" s="52">
        <f>V520-U520</f>
        <v>0.52300000000000002</v>
      </c>
    </row>
    <row r="521" spans="1:28" s="130" customFormat="1" ht="15.05" customHeight="1">
      <c r="A521" s="614"/>
      <c r="B521" s="581"/>
      <c r="C521" s="581"/>
      <c r="D521" s="174" t="str">
        <f>серпень!D444</f>
        <v>абоненська плата, тис.грн.</v>
      </c>
      <c r="E521" s="52"/>
      <c r="F521" s="52">
        <f>F538</f>
        <v>5.0000000000000001E-3</v>
      </c>
      <c r="G521" s="52">
        <f t="shared" ref="G521:K521" si="569">G538</f>
        <v>4.0000000000000001E-3</v>
      </c>
      <c r="H521" s="52">
        <f t="shared" si="569"/>
        <v>4.0000000000000001E-3</v>
      </c>
      <c r="I521" s="52">
        <f t="shared" si="569"/>
        <v>4.0000000000000001E-3</v>
      </c>
      <c r="J521" s="52">
        <f t="shared" si="569"/>
        <v>4.0000000000000001E-3</v>
      </c>
      <c r="K521" s="52">
        <f t="shared" si="569"/>
        <v>4.0000000000000001E-3</v>
      </c>
      <c r="L521" s="69">
        <f t="shared" ref="L521:L524" si="570">SUM(F521:K521)</f>
        <v>2.5000000000000001E-2</v>
      </c>
      <c r="M521" s="69">
        <f t="shared" ref="M521:M524" si="571">L521/6</f>
        <v>4.0000000000000001E-3</v>
      </c>
      <c r="N521" s="52">
        <f>N538</f>
        <v>4.0000000000000001E-3</v>
      </c>
      <c r="O521" s="52">
        <f t="shared" ref="O521:S521" si="572">O538</f>
        <v>4.0000000000000001E-3</v>
      </c>
      <c r="P521" s="52">
        <f t="shared" si="572"/>
        <v>4.0000000000000001E-3</v>
      </c>
      <c r="Q521" s="52">
        <f t="shared" si="572"/>
        <v>4.0000000000000001E-3</v>
      </c>
      <c r="R521" s="52">
        <f t="shared" si="572"/>
        <v>4.0000000000000001E-3</v>
      </c>
      <c r="S521" s="52">
        <f t="shared" si="572"/>
        <v>4.0000000000000001E-3</v>
      </c>
      <c r="T521" s="69">
        <f t="shared" ref="T521:T524" si="573">SUM(N521:S521)</f>
        <v>2.4E-2</v>
      </c>
      <c r="U521" s="69">
        <f t="shared" ref="U521:U524" si="574">T521+L521</f>
        <v>4.9000000000000002E-2</v>
      </c>
      <c r="V521" s="69">
        <f t="shared" ref="V521" si="575">V538</f>
        <v>0.05</v>
      </c>
      <c r="W521" s="52">
        <f t="shared" ref="W521:W524" si="576">V521-U521</f>
        <v>1E-3</v>
      </c>
    </row>
    <row r="522" spans="1:28" s="130" customFormat="1" ht="15.05" customHeight="1">
      <c r="A522" s="614"/>
      <c r="B522" s="581"/>
      <c r="C522" s="581"/>
      <c r="D522" s="174" t="str">
        <f>серпень!D445</f>
        <v>разом сума тис. грн+абонплата</v>
      </c>
      <c r="E522" s="52"/>
      <c r="F522" s="52">
        <f>F520+F521</f>
        <v>1.5469999999999999</v>
      </c>
      <c r="G522" s="52">
        <f t="shared" ref="G522:K522" si="577">G520+G521</f>
        <v>1.4610000000000001</v>
      </c>
      <c r="H522" s="52">
        <f t="shared" si="577"/>
        <v>2.2599999999999998</v>
      </c>
      <c r="I522" s="52">
        <f t="shared" si="577"/>
        <v>1.835</v>
      </c>
      <c r="J522" s="52">
        <f t="shared" si="577"/>
        <v>1.649</v>
      </c>
      <c r="K522" s="52">
        <f t="shared" si="577"/>
        <v>1.7549999999999999</v>
      </c>
      <c r="L522" s="69">
        <f t="shared" si="570"/>
        <v>10.507</v>
      </c>
      <c r="M522" s="69">
        <f t="shared" si="571"/>
        <v>1.7509999999999999</v>
      </c>
      <c r="N522" s="52">
        <f>N520+N521</f>
        <v>1.544</v>
      </c>
      <c r="O522" s="52">
        <f t="shared" ref="O522" si="578">O520+O521</f>
        <v>1.4430000000000001</v>
      </c>
      <c r="P522" s="52">
        <f t="shared" ref="P522" si="579">P520+P521</f>
        <v>1.752</v>
      </c>
      <c r="Q522" s="52">
        <f t="shared" ref="Q522" si="580">Q520+Q521</f>
        <v>1.752</v>
      </c>
      <c r="R522" s="52">
        <f t="shared" ref="R522" si="581">R520+R521</f>
        <v>1.752</v>
      </c>
      <c r="S522" s="52">
        <f t="shared" ref="S522" si="582">S520+S521</f>
        <v>1.7010000000000001</v>
      </c>
      <c r="T522" s="69">
        <f t="shared" si="573"/>
        <v>9.9440000000000008</v>
      </c>
      <c r="U522" s="69">
        <f t="shared" si="574"/>
        <v>20.451000000000001</v>
      </c>
      <c r="V522" s="69">
        <f t="shared" ref="V522" si="583">V520+V521</f>
        <v>20.975000000000001</v>
      </c>
      <c r="W522" s="52">
        <f t="shared" si="576"/>
        <v>0.52400000000000002</v>
      </c>
    </row>
    <row r="523" spans="1:28" s="130" customFormat="1" ht="15.05" customHeight="1">
      <c r="A523" s="614"/>
      <c r="B523" s="581"/>
      <c r="C523" s="581"/>
      <c r="D523" s="174" t="str">
        <f>серпень!D446</f>
        <v>дотація</v>
      </c>
      <c r="E523" s="56"/>
      <c r="F523" s="52">
        <f>F557+F634</f>
        <v>0</v>
      </c>
      <c r="G523" s="52">
        <f t="shared" ref="G523:K523" si="584">G557+G634</f>
        <v>0</v>
      </c>
      <c r="H523" s="52">
        <f t="shared" si="584"/>
        <v>0</v>
      </c>
      <c r="I523" s="52">
        <f t="shared" si="584"/>
        <v>0</v>
      </c>
      <c r="J523" s="52">
        <f t="shared" si="584"/>
        <v>0</v>
      </c>
      <c r="K523" s="52">
        <f t="shared" si="584"/>
        <v>0</v>
      </c>
      <c r="L523" s="69">
        <f t="shared" si="570"/>
        <v>0</v>
      </c>
      <c r="M523" s="69">
        <f t="shared" si="571"/>
        <v>0</v>
      </c>
      <c r="N523" s="52">
        <f>N557+N634</f>
        <v>0</v>
      </c>
      <c r="O523" s="52">
        <f t="shared" ref="O523:S523" si="585">O557+O634</f>
        <v>0</v>
      </c>
      <c r="P523" s="52">
        <f t="shared" si="585"/>
        <v>0</v>
      </c>
      <c r="Q523" s="52">
        <f t="shared" si="585"/>
        <v>0</v>
      </c>
      <c r="R523" s="52">
        <f t="shared" si="585"/>
        <v>0</v>
      </c>
      <c r="S523" s="52">
        <f t="shared" si="585"/>
        <v>0</v>
      </c>
      <c r="T523" s="69">
        <f t="shared" si="573"/>
        <v>0</v>
      </c>
      <c r="U523" s="69">
        <f t="shared" si="574"/>
        <v>0</v>
      </c>
      <c r="V523" s="69">
        <f t="shared" ref="V523" si="586">V557+V634</f>
        <v>0</v>
      </c>
      <c r="W523" s="52">
        <f t="shared" si="576"/>
        <v>0</v>
      </c>
      <c r="X523" s="134"/>
    </row>
    <row r="524" spans="1:28" s="130" customFormat="1" ht="15.05" customHeight="1">
      <c r="A524" s="614"/>
      <c r="B524" s="581"/>
      <c r="C524" s="581"/>
      <c r="D524" s="174" t="str">
        <f>серпень!D447</f>
        <v>місцевий (план), тис.грн</v>
      </c>
      <c r="E524" s="56"/>
      <c r="F524" s="52">
        <f>F541+F648</f>
        <v>1.754</v>
      </c>
      <c r="G524" s="52">
        <f t="shared" ref="G524:K524" si="587">G541+G648</f>
        <v>0</v>
      </c>
      <c r="H524" s="52">
        <f t="shared" si="587"/>
        <v>3.0409999999999999</v>
      </c>
      <c r="I524" s="52">
        <f t="shared" si="587"/>
        <v>0.55200000000000005</v>
      </c>
      <c r="J524" s="52">
        <f t="shared" si="587"/>
        <v>1.752</v>
      </c>
      <c r="K524" s="52">
        <f t="shared" si="587"/>
        <v>1.6519999999999999</v>
      </c>
      <c r="L524" s="69">
        <f t="shared" si="570"/>
        <v>8.7509999999999994</v>
      </c>
      <c r="M524" s="69">
        <f t="shared" si="571"/>
        <v>1.4590000000000001</v>
      </c>
      <c r="N524" s="52">
        <f>N541+N648</f>
        <v>1.752</v>
      </c>
      <c r="O524" s="52">
        <f t="shared" ref="O524:S524" si="588">O541+O648</f>
        <v>1.552</v>
      </c>
      <c r="P524" s="52">
        <f t="shared" si="588"/>
        <v>1.752</v>
      </c>
      <c r="Q524" s="52">
        <f t="shared" si="588"/>
        <v>3.2519999999999998</v>
      </c>
      <c r="R524" s="52">
        <f t="shared" si="588"/>
        <v>1.752</v>
      </c>
      <c r="S524" s="52">
        <f t="shared" si="588"/>
        <v>2.1640000000000001</v>
      </c>
      <c r="T524" s="69">
        <f t="shared" si="573"/>
        <v>12.224</v>
      </c>
      <c r="U524" s="69">
        <f t="shared" si="574"/>
        <v>20.975000000000001</v>
      </c>
      <c r="V524" s="69">
        <f t="shared" ref="V524" si="589">V541+V648</f>
        <v>20.975000000000001</v>
      </c>
      <c r="W524" s="52">
        <f t="shared" si="576"/>
        <v>0</v>
      </c>
    </row>
    <row r="525" spans="1:28" s="47" customFormat="1" ht="15.05" customHeight="1">
      <c r="A525" s="614"/>
      <c r="B525" s="581"/>
      <c r="C525" s="581"/>
      <c r="D525" s="178" t="str">
        <f>серпень!D448</f>
        <v>касові нат.п-ки 2025</v>
      </c>
      <c r="E525" s="12">
        <f>E542+E649</f>
        <v>0</v>
      </c>
      <c r="F525" s="12">
        <f>F542+F711</f>
        <v>0</v>
      </c>
      <c r="G525" s="12">
        <f t="shared" ref="G525:K525" si="590">G542+G711</f>
        <v>9.5</v>
      </c>
      <c r="H525" s="12">
        <f t="shared" si="590"/>
        <v>9.1</v>
      </c>
      <c r="I525" s="12">
        <f t="shared" si="590"/>
        <v>13.4</v>
      </c>
      <c r="J525" s="12">
        <f t="shared" si="590"/>
        <v>11.2</v>
      </c>
      <c r="K525" s="12">
        <f t="shared" si="590"/>
        <v>10.3</v>
      </c>
      <c r="L525" s="117">
        <f>SUM(F525:K525)</f>
        <v>53.5</v>
      </c>
      <c r="M525" s="117">
        <f>L525/6</f>
        <v>8.9</v>
      </c>
      <c r="N525" s="12">
        <f>N542+N711</f>
        <v>10.8</v>
      </c>
      <c r="O525" s="12">
        <f t="shared" ref="O525:S525" si="591">O542+O711</f>
        <v>9.5</v>
      </c>
      <c r="P525" s="12">
        <f t="shared" si="591"/>
        <v>9</v>
      </c>
      <c r="Q525" s="12">
        <f t="shared" si="591"/>
        <v>9.8000000000000007</v>
      </c>
      <c r="R525" s="12">
        <f t="shared" si="591"/>
        <v>9.8000000000000007</v>
      </c>
      <c r="S525" s="12">
        <f t="shared" si="591"/>
        <v>19.600000000000001</v>
      </c>
      <c r="T525" s="117">
        <f>SUM(N525:S525)</f>
        <v>68.5</v>
      </c>
      <c r="U525" s="117">
        <f>T525+L525</f>
        <v>122</v>
      </c>
      <c r="V525" s="76">
        <f t="shared" ref="V525" si="592">V542+V711</f>
        <v>117.6</v>
      </c>
      <c r="W525" s="38">
        <f>V525-U525</f>
        <v>-4.4000000000000004</v>
      </c>
      <c r="X525" s="47">
        <f>U518-U525</f>
        <v>0</v>
      </c>
    </row>
    <row r="526" spans="1:28" s="47" customFormat="1" ht="15.05" customHeight="1">
      <c r="A526" s="614"/>
      <c r="B526" s="581"/>
      <c r="C526" s="581"/>
      <c r="D526" s="187" t="str">
        <f>серпень!D449</f>
        <v>тариф, грн.</v>
      </c>
      <c r="E526" s="49" t="e">
        <f>E527/E525*1000</f>
        <v>#DIV/0!</v>
      </c>
      <c r="F526" s="49" t="e">
        <f t="shared" ref="F526:S526" si="593">F527/F525*1000</f>
        <v>#DIV/0!</v>
      </c>
      <c r="G526" s="49">
        <f t="shared" si="593"/>
        <v>162.63200000000001</v>
      </c>
      <c r="H526" s="49">
        <f t="shared" si="593"/>
        <v>160.65899999999999</v>
      </c>
      <c r="I526" s="49">
        <f t="shared" si="593"/>
        <v>168.43299999999999</v>
      </c>
      <c r="J526" s="49">
        <f t="shared" si="593"/>
        <v>163.839</v>
      </c>
      <c r="K526" s="49">
        <f t="shared" si="593"/>
        <v>160.09700000000001</v>
      </c>
      <c r="L526" s="49">
        <f t="shared" si="593"/>
        <v>163.51400000000001</v>
      </c>
      <c r="M526" s="49">
        <f t="shared" si="593"/>
        <v>163.82</v>
      </c>
      <c r="N526" s="49">
        <f t="shared" si="593"/>
        <v>162.5</v>
      </c>
      <c r="O526" s="49">
        <f t="shared" si="593"/>
        <v>162.52600000000001</v>
      </c>
      <c r="P526" s="49">
        <f t="shared" si="593"/>
        <v>160.333</v>
      </c>
      <c r="Q526" s="49">
        <f t="shared" si="593"/>
        <v>178.77600000000001</v>
      </c>
      <c r="R526" s="49">
        <f t="shared" si="593"/>
        <v>178.77600000000001</v>
      </c>
      <c r="S526" s="49">
        <f t="shared" si="593"/>
        <v>176.37799999999999</v>
      </c>
      <c r="T526" s="49">
        <f>T527/T525*1000</f>
        <v>170.84700000000001</v>
      </c>
      <c r="U526" s="49">
        <f>U527/U525*1000</f>
        <v>167.631</v>
      </c>
      <c r="V526" s="49">
        <f>V527/V525*1000</f>
        <v>178.35900000000001</v>
      </c>
      <c r="W526" s="49">
        <f>W527/W525*1000</f>
        <v>-119.09099999999999</v>
      </c>
      <c r="X526" s="59"/>
    </row>
    <row r="527" spans="1:28" s="63" customFormat="1" ht="15.05" customHeight="1">
      <c r="A527" s="614"/>
      <c r="B527" s="581"/>
      <c r="C527" s="581"/>
      <c r="D527" s="198" t="str">
        <f>серпень!D450</f>
        <v>касові видатки, тис.грн.</v>
      </c>
      <c r="E527" s="72">
        <f t="shared" ref="E527" si="594">E544+E651</f>
        <v>0</v>
      </c>
      <c r="F527" s="61">
        <f>F544+F713</f>
        <v>0</v>
      </c>
      <c r="G527" s="61">
        <f t="shared" ref="G527:K527" si="595">G544+G713</f>
        <v>1.5449999999999999</v>
      </c>
      <c r="H527" s="61">
        <f t="shared" si="595"/>
        <v>1.462</v>
      </c>
      <c r="I527" s="61">
        <f t="shared" si="595"/>
        <v>2.2570000000000001</v>
      </c>
      <c r="J527" s="61">
        <f t="shared" si="595"/>
        <v>1.835</v>
      </c>
      <c r="K527" s="61">
        <f t="shared" si="595"/>
        <v>1.649</v>
      </c>
      <c r="L527" s="61">
        <f>SUM(F527:K527)</f>
        <v>8.7479999999999993</v>
      </c>
      <c r="M527" s="61">
        <f>L527/6</f>
        <v>1.458</v>
      </c>
      <c r="N527" s="61">
        <f>N544+N713</f>
        <v>1.7549999999999999</v>
      </c>
      <c r="O527" s="61">
        <f t="shared" ref="O527:S527" si="596">O544+O713</f>
        <v>1.544</v>
      </c>
      <c r="P527" s="61">
        <f t="shared" si="596"/>
        <v>1.4430000000000001</v>
      </c>
      <c r="Q527" s="61">
        <f t="shared" si="596"/>
        <v>1.752</v>
      </c>
      <c r="R527" s="61">
        <f t="shared" si="596"/>
        <v>1.752</v>
      </c>
      <c r="S527" s="61">
        <f t="shared" si="596"/>
        <v>3.4569999999999999</v>
      </c>
      <c r="T527" s="61">
        <f>SUM(N527:S527)</f>
        <v>11.702999999999999</v>
      </c>
      <c r="U527" s="61">
        <f>T527+L527</f>
        <v>20.451000000000001</v>
      </c>
      <c r="V527" s="61">
        <f t="shared" ref="V527" si="597">V544+V713</f>
        <v>20.975000000000001</v>
      </c>
      <c r="W527" s="72">
        <f>V527-U527</f>
        <v>0.52400000000000002</v>
      </c>
      <c r="X527" s="63">
        <f>U522-U527</f>
        <v>0</v>
      </c>
    </row>
    <row r="528" spans="1:28" s="63" customFormat="1" ht="15.05" customHeight="1">
      <c r="A528" s="614"/>
      <c r="B528" s="581"/>
      <c r="C528" s="581"/>
      <c r="D528" s="201" t="str">
        <f>серпень!D451</f>
        <v>дотація</v>
      </c>
      <c r="E528" s="71"/>
      <c r="F528" s="61">
        <f t="shared" ref="F528:K529" si="598">F545+F714</f>
        <v>0</v>
      </c>
      <c r="G528" s="61">
        <f t="shared" si="598"/>
        <v>0</v>
      </c>
      <c r="H528" s="61">
        <f t="shared" si="598"/>
        <v>0</v>
      </c>
      <c r="I528" s="61">
        <f t="shared" si="598"/>
        <v>0</v>
      </c>
      <c r="J528" s="61">
        <f t="shared" si="598"/>
        <v>0</v>
      </c>
      <c r="K528" s="61">
        <f t="shared" si="598"/>
        <v>0</v>
      </c>
      <c r="L528" s="61">
        <f>SUM(F528:K528)</f>
        <v>0</v>
      </c>
      <c r="M528" s="61">
        <f>L528/6</f>
        <v>0</v>
      </c>
      <c r="N528" s="61">
        <f t="shared" ref="N528:S528" si="599">N545+N714</f>
        <v>0</v>
      </c>
      <c r="O528" s="61">
        <f t="shared" si="599"/>
        <v>0</v>
      </c>
      <c r="P528" s="61">
        <f t="shared" si="599"/>
        <v>0</v>
      </c>
      <c r="Q528" s="61">
        <f t="shared" si="599"/>
        <v>0</v>
      </c>
      <c r="R528" s="61">
        <f t="shared" si="599"/>
        <v>0</v>
      </c>
      <c r="S528" s="61">
        <f t="shared" si="599"/>
        <v>0</v>
      </c>
      <c r="T528" s="61">
        <f>SUM(N528:S528)</f>
        <v>0</v>
      </c>
      <c r="U528" s="61">
        <f>T528+L528</f>
        <v>0</v>
      </c>
      <c r="V528" s="61">
        <f t="shared" ref="V528" si="600">V545+V714</f>
        <v>0</v>
      </c>
      <c r="W528" s="72">
        <f>V528-U528</f>
        <v>0</v>
      </c>
      <c r="X528" s="63">
        <f>U523-U528</f>
        <v>0</v>
      </c>
    </row>
    <row r="529" spans="1:24" s="63" customFormat="1" ht="15.05" customHeight="1">
      <c r="A529" s="614"/>
      <c r="B529" s="581"/>
      <c r="C529" s="581"/>
      <c r="D529" s="201" t="str">
        <f>серпень!D452</f>
        <v xml:space="preserve">місцевий </v>
      </c>
      <c r="E529" s="71"/>
      <c r="F529" s="61">
        <f t="shared" si="598"/>
        <v>0</v>
      </c>
      <c r="G529" s="61">
        <f t="shared" si="598"/>
        <v>1.5449999999999999</v>
      </c>
      <c r="H529" s="61">
        <f t="shared" si="598"/>
        <v>1.462</v>
      </c>
      <c r="I529" s="61">
        <f t="shared" si="598"/>
        <v>2.2570000000000001</v>
      </c>
      <c r="J529" s="61">
        <f t="shared" si="598"/>
        <v>1.835</v>
      </c>
      <c r="K529" s="61">
        <f t="shared" si="598"/>
        <v>1.649</v>
      </c>
      <c r="L529" s="61">
        <f>SUM(F529:K529)</f>
        <v>8.7479999999999993</v>
      </c>
      <c r="M529" s="61">
        <f>L529/6</f>
        <v>1.458</v>
      </c>
      <c r="N529" s="61">
        <f t="shared" ref="N529:S529" si="601">N546+N715</f>
        <v>1.7549999999999999</v>
      </c>
      <c r="O529" s="61">
        <f t="shared" si="601"/>
        <v>1.544</v>
      </c>
      <c r="P529" s="61">
        <f t="shared" si="601"/>
        <v>1.4430000000000001</v>
      </c>
      <c r="Q529" s="61">
        <f t="shared" si="601"/>
        <v>1.752</v>
      </c>
      <c r="R529" s="61">
        <f t="shared" si="601"/>
        <v>1.752</v>
      </c>
      <c r="S529" s="61">
        <f t="shared" si="601"/>
        <v>3.4569999999999999</v>
      </c>
      <c r="T529" s="61">
        <f>SUM(N529:S529)</f>
        <v>11.702999999999999</v>
      </c>
      <c r="U529" s="61">
        <f>T529+L529</f>
        <v>20.451000000000001</v>
      </c>
      <c r="V529" s="61">
        <f t="shared" ref="V529" si="602">V546+V715</f>
        <v>20.975000000000001</v>
      </c>
      <c r="W529" s="72">
        <f>V529-U529</f>
        <v>0.52400000000000002</v>
      </c>
      <c r="X529" s="63">
        <f>U524-U529</f>
        <v>0.52400000000000002</v>
      </c>
    </row>
    <row r="530" spans="1:24" s="43" customFormat="1" ht="15.05" customHeight="1">
      <c r="A530" s="614"/>
      <c r="B530" s="581"/>
      <c r="C530" s="581"/>
      <c r="D530" s="202" t="str">
        <f>серпень!D453</f>
        <v>план</v>
      </c>
      <c r="E530" s="42"/>
      <c r="F530" s="42">
        <f t="shared" ref="F530:K530" si="603">F524</f>
        <v>1.754</v>
      </c>
      <c r="G530" s="42">
        <f t="shared" si="603"/>
        <v>0</v>
      </c>
      <c r="H530" s="42">
        <f t="shared" si="603"/>
        <v>3.0409999999999999</v>
      </c>
      <c r="I530" s="42">
        <f t="shared" si="603"/>
        <v>0.55200000000000005</v>
      </c>
      <c r="J530" s="42">
        <f t="shared" si="603"/>
        <v>1.752</v>
      </c>
      <c r="K530" s="42">
        <f t="shared" si="603"/>
        <v>1.6519999999999999</v>
      </c>
      <c r="L530" s="42">
        <f>SUM(F530:K530)</f>
        <v>8.7509999999999994</v>
      </c>
      <c r="M530" s="42">
        <f>L530/6</f>
        <v>1.4590000000000001</v>
      </c>
      <c r="N530" s="42">
        <f t="shared" ref="N530:S530" si="604">N524</f>
        <v>1.752</v>
      </c>
      <c r="O530" s="42">
        <f t="shared" si="604"/>
        <v>1.552</v>
      </c>
      <c r="P530" s="42">
        <f t="shared" si="604"/>
        <v>1.752</v>
      </c>
      <c r="Q530" s="42">
        <f t="shared" si="604"/>
        <v>3.2519999999999998</v>
      </c>
      <c r="R530" s="42">
        <f t="shared" si="604"/>
        <v>1.752</v>
      </c>
      <c r="S530" s="42">
        <f t="shared" si="604"/>
        <v>2.1640000000000001</v>
      </c>
      <c r="T530" s="42">
        <f>SUM(N530:S530)</f>
        <v>12.224</v>
      </c>
      <c r="U530" s="42">
        <f>T530+L530</f>
        <v>20.975000000000001</v>
      </c>
      <c r="V530" s="42">
        <f>V524</f>
        <v>20.975000000000001</v>
      </c>
      <c r="W530" s="42">
        <f>V530-U530</f>
        <v>0</v>
      </c>
    </row>
    <row r="531" spans="1:24" s="43" customFormat="1" ht="15.05" customHeight="1">
      <c r="A531" s="614"/>
      <c r="B531" s="581"/>
      <c r="C531" s="581"/>
      <c r="D531" s="202" t="str">
        <f>серпень!D454</f>
        <v xml:space="preserve">відхилення </v>
      </c>
      <c r="E531" s="42"/>
      <c r="F531" s="42">
        <f t="shared" ref="F531:K531" si="605">F527-F530</f>
        <v>-1.754</v>
      </c>
      <c r="G531" s="42">
        <f t="shared" si="605"/>
        <v>1.5449999999999999</v>
      </c>
      <c r="H531" s="42">
        <f t="shared" si="605"/>
        <v>-1.579</v>
      </c>
      <c r="I531" s="42">
        <f t="shared" si="605"/>
        <v>1.7050000000000001</v>
      </c>
      <c r="J531" s="42">
        <f t="shared" si="605"/>
        <v>8.3000000000000004E-2</v>
      </c>
      <c r="K531" s="42">
        <f t="shared" si="605"/>
        <v>-3.0000000000000001E-3</v>
      </c>
      <c r="L531" s="42"/>
      <c r="M531" s="42"/>
      <c r="N531" s="42">
        <f t="shared" ref="N531:S531" si="606">N527-N530</f>
        <v>3.0000000000000001E-3</v>
      </c>
      <c r="O531" s="42">
        <f t="shared" si="606"/>
        <v>-8.0000000000000002E-3</v>
      </c>
      <c r="P531" s="42">
        <f t="shared" si="606"/>
        <v>-0.309</v>
      </c>
      <c r="Q531" s="42">
        <f t="shared" si="606"/>
        <v>-1.5</v>
      </c>
      <c r="R531" s="42">
        <f t="shared" si="606"/>
        <v>0</v>
      </c>
      <c r="S531" s="42">
        <f t="shared" si="606"/>
        <v>1.2929999999999999</v>
      </c>
      <c r="T531" s="42"/>
      <c r="U531" s="42"/>
      <c r="V531" s="42"/>
      <c r="W531" s="42"/>
    </row>
    <row r="532" spans="1:24" s="43" customFormat="1" ht="15.05" customHeight="1">
      <c r="A532" s="614"/>
      <c r="B532" s="581"/>
      <c r="C532" s="581"/>
      <c r="D532" s="202" t="str">
        <f>серпень!D455</f>
        <v>відхилення з наростаючим</v>
      </c>
      <c r="E532" s="42"/>
      <c r="F532" s="42">
        <f>F531</f>
        <v>-1.754</v>
      </c>
      <c r="G532" s="42">
        <f>G531+F532</f>
        <v>-0.20899999999999999</v>
      </c>
      <c r="H532" s="42">
        <f>H531+G532</f>
        <v>-1.788</v>
      </c>
      <c r="I532" s="42">
        <f>I531+H532</f>
        <v>-8.3000000000000004E-2</v>
      </c>
      <c r="J532" s="42">
        <f>J531+I532</f>
        <v>0</v>
      </c>
      <c r="K532" s="42">
        <f>K531+J532</f>
        <v>-3.0000000000000001E-3</v>
      </c>
      <c r="L532" s="42"/>
      <c r="M532" s="42"/>
      <c r="N532" s="42">
        <f>N531+K532</f>
        <v>0</v>
      </c>
      <c r="O532" s="42">
        <f>O531+N532</f>
        <v>-8.0000000000000002E-3</v>
      </c>
      <c r="P532" s="42">
        <f>P531+O532</f>
        <v>-0.317</v>
      </c>
      <c r="Q532" s="42">
        <f>Q531+P532</f>
        <v>-1.8169999999999999</v>
      </c>
      <c r="R532" s="42">
        <f>R531+Q532</f>
        <v>-1.8169999999999999</v>
      </c>
      <c r="S532" s="42">
        <f>S531+R532</f>
        <v>-0.52400000000000002</v>
      </c>
      <c r="T532" s="42"/>
      <c r="U532" s="42"/>
      <c r="V532" s="42"/>
      <c r="W532" s="42"/>
    </row>
    <row r="533" spans="1:24" s="47" customFormat="1" ht="15.05" customHeight="1">
      <c r="A533" s="614"/>
      <c r="B533" s="576" t="s">
        <v>90</v>
      </c>
      <c r="C533" s="577"/>
      <c r="D533" s="178" t="str">
        <f>серпень!D456</f>
        <v>факт. нат.п-ки 2023</v>
      </c>
      <c r="E533" s="11"/>
      <c r="F533" s="12">
        <f t="shared" ref="F533:K535" si="607">F550+F597</f>
        <v>0</v>
      </c>
      <c r="G533" s="12">
        <f t="shared" si="607"/>
        <v>0</v>
      </c>
      <c r="H533" s="12">
        <f t="shared" si="607"/>
        <v>0</v>
      </c>
      <c r="I533" s="12">
        <f t="shared" si="607"/>
        <v>0</v>
      </c>
      <c r="J533" s="12">
        <f t="shared" si="607"/>
        <v>0</v>
      </c>
      <c r="K533" s="12">
        <f t="shared" si="607"/>
        <v>0</v>
      </c>
      <c r="L533" s="117">
        <f>SUM(F533:K533)</f>
        <v>0</v>
      </c>
      <c r="M533" s="117">
        <f>L533/6</f>
        <v>0</v>
      </c>
      <c r="N533" s="12">
        <f t="shared" ref="N533:S535" si="608">N550+N597</f>
        <v>0</v>
      </c>
      <c r="O533" s="12">
        <f t="shared" si="608"/>
        <v>0</v>
      </c>
      <c r="P533" s="12">
        <f t="shared" si="608"/>
        <v>0</v>
      </c>
      <c r="Q533" s="12">
        <f t="shared" si="608"/>
        <v>0</v>
      </c>
      <c r="R533" s="12">
        <f t="shared" si="608"/>
        <v>0</v>
      </c>
      <c r="S533" s="12">
        <f t="shared" si="608"/>
        <v>0</v>
      </c>
      <c r="T533" s="117">
        <f>SUM(N533:S533)</f>
        <v>0</v>
      </c>
      <c r="U533" s="117">
        <f>T533+L533</f>
        <v>0</v>
      </c>
      <c r="V533" s="76">
        <f>V550+V597</f>
        <v>0</v>
      </c>
      <c r="W533" s="38"/>
    </row>
    <row r="534" spans="1:24" s="47" customFormat="1" ht="15.05" customHeight="1">
      <c r="A534" s="614"/>
      <c r="B534" s="576"/>
      <c r="C534" s="577"/>
      <c r="D534" s="178" t="str">
        <f>серпень!D457</f>
        <v>факт. нат.п-ки 2024</v>
      </c>
      <c r="E534" s="11"/>
      <c r="F534" s="12">
        <f t="shared" si="607"/>
        <v>0</v>
      </c>
      <c r="G534" s="12">
        <f t="shared" si="607"/>
        <v>0</v>
      </c>
      <c r="H534" s="12">
        <f t="shared" si="607"/>
        <v>0</v>
      </c>
      <c r="I534" s="12">
        <f t="shared" si="607"/>
        <v>0</v>
      </c>
      <c r="J534" s="12">
        <f t="shared" si="607"/>
        <v>0</v>
      </c>
      <c r="K534" s="12">
        <f t="shared" si="607"/>
        <v>0</v>
      </c>
      <c r="L534" s="117">
        <f>SUM(F534:K534)</f>
        <v>0</v>
      </c>
      <c r="M534" s="117">
        <f>L534/6</f>
        <v>0</v>
      </c>
      <c r="N534" s="12">
        <f t="shared" si="608"/>
        <v>0</v>
      </c>
      <c r="O534" s="12">
        <f t="shared" si="608"/>
        <v>0</v>
      </c>
      <c r="P534" s="12">
        <f t="shared" si="608"/>
        <v>0</v>
      </c>
      <c r="Q534" s="12">
        <f t="shared" si="608"/>
        <v>0</v>
      </c>
      <c r="R534" s="12">
        <f t="shared" si="608"/>
        <v>0</v>
      </c>
      <c r="S534" s="12">
        <f t="shared" si="608"/>
        <v>0</v>
      </c>
      <c r="T534" s="117">
        <f>SUM(N534:S534)</f>
        <v>0</v>
      </c>
      <c r="U534" s="117">
        <f>T534+L534</f>
        <v>0</v>
      </c>
      <c r="V534" s="76">
        <f>V551+V598</f>
        <v>0</v>
      </c>
      <c r="W534" s="38"/>
    </row>
    <row r="535" spans="1:24" s="47" customFormat="1" ht="15.05" customHeight="1">
      <c r="A535" s="614"/>
      <c r="B535" s="576"/>
      <c r="C535" s="577"/>
      <c r="D535" s="178" t="str">
        <f>серпень!D458</f>
        <v>факт. нат.п-ки 2025</v>
      </c>
      <c r="E535" s="11"/>
      <c r="F535" s="12">
        <f t="shared" si="607"/>
        <v>9.5</v>
      </c>
      <c r="G535" s="12">
        <f t="shared" si="607"/>
        <v>9.1</v>
      </c>
      <c r="H535" s="12">
        <f t="shared" si="607"/>
        <v>13.4</v>
      </c>
      <c r="I535" s="12">
        <f t="shared" si="607"/>
        <v>11.2</v>
      </c>
      <c r="J535" s="12">
        <f t="shared" si="607"/>
        <v>10.3</v>
      </c>
      <c r="K535" s="12">
        <f t="shared" si="607"/>
        <v>10.8</v>
      </c>
      <c r="L535" s="117">
        <f>SUM(F535:K535)</f>
        <v>64.3</v>
      </c>
      <c r="M535" s="117">
        <f>L535/6</f>
        <v>10.7</v>
      </c>
      <c r="N535" s="12">
        <f t="shared" si="608"/>
        <v>9.5</v>
      </c>
      <c r="O535" s="12">
        <f t="shared" si="608"/>
        <v>9</v>
      </c>
      <c r="P535" s="12">
        <f t="shared" si="608"/>
        <v>9.8000000000000007</v>
      </c>
      <c r="Q535" s="12">
        <f t="shared" si="608"/>
        <v>9.8000000000000007</v>
      </c>
      <c r="R535" s="12">
        <f t="shared" si="608"/>
        <v>9.8000000000000007</v>
      </c>
      <c r="S535" s="12">
        <f t="shared" si="608"/>
        <v>9.8000000000000007</v>
      </c>
      <c r="T535" s="117">
        <f>SUM(N535:S535)</f>
        <v>57.7</v>
      </c>
      <c r="U535" s="117">
        <f>T535+L535</f>
        <v>122</v>
      </c>
      <c r="V535" s="76">
        <f>V552+V599</f>
        <v>117.6</v>
      </c>
      <c r="W535" s="38">
        <f>V535-U535</f>
        <v>-4.4000000000000004</v>
      </c>
    </row>
    <row r="536" spans="1:24" s="47" customFormat="1" ht="15.05" customHeight="1">
      <c r="A536" s="614"/>
      <c r="B536" s="576"/>
      <c r="C536" s="577"/>
      <c r="D536" s="187" t="str">
        <f>серпень!D459</f>
        <v>тариф, грн.</v>
      </c>
      <c r="E536" s="49"/>
      <c r="F536" s="49">
        <f t="shared" ref="F536:S536" si="609">F537/F535*1000</f>
        <v>162.316</v>
      </c>
      <c r="G536" s="49">
        <f t="shared" si="609"/>
        <v>160.11000000000001</v>
      </c>
      <c r="H536" s="49">
        <f t="shared" si="609"/>
        <v>168.358</v>
      </c>
      <c r="I536" s="49">
        <f t="shared" si="609"/>
        <v>163.482</v>
      </c>
      <c r="J536" s="49">
        <f t="shared" si="609"/>
        <v>159.709</v>
      </c>
      <c r="K536" s="49">
        <f t="shared" si="609"/>
        <v>162.13</v>
      </c>
      <c r="L536" s="49">
        <f t="shared" si="609"/>
        <v>163.017</v>
      </c>
      <c r="M536" s="49">
        <f t="shared" si="609"/>
        <v>163.27099999999999</v>
      </c>
      <c r="N536" s="49">
        <f t="shared" si="609"/>
        <v>162.10499999999999</v>
      </c>
      <c r="O536" s="49">
        <f t="shared" si="609"/>
        <v>159.88900000000001</v>
      </c>
      <c r="P536" s="49">
        <f t="shared" si="609"/>
        <v>178.36699999999999</v>
      </c>
      <c r="Q536" s="49">
        <f t="shared" si="609"/>
        <v>178.36699999999999</v>
      </c>
      <c r="R536" s="49">
        <f t="shared" si="609"/>
        <v>178.36699999999999</v>
      </c>
      <c r="S536" s="49">
        <f t="shared" si="609"/>
        <v>173.16300000000001</v>
      </c>
      <c r="T536" s="49">
        <f>T537/T535*1000</f>
        <v>171.92400000000001</v>
      </c>
      <c r="U536" s="49">
        <f>U537/U535*1000</f>
        <v>167.23</v>
      </c>
      <c r="V536" s="49">
        <f>V537/V535*1000</f>
        <v>177.934</v>
      </c>
      <c r="W536" s="49">
        <f>W537/W535*1000</f>
        <v>-118.864</v>
      </c>
    </row>
    <row r="537" spans="1:24" s="130" customFormat="1" ht="15.05" customHeight="1">
      <c r="A537" s="614"/>
      <c r="B537" s="576"/>
      <c r="C537" s="577"/>
      <c r="D537" s="191" t="str">
        <f>серпень!D460</f>
        <v>сума, тис.грн.</v>
      </c>
      <c r="E537" s="52"/>
      <c r="F537" s="52">
        <f>F554+F631</f>
        <v>1.542</v>
      </c>
      <c r="G537" s="52">
        <f t="shared" ref="G537:K537" si="610">G554+G631</f>
        <v>1.4570000000000001</v>
      </c>
      <c r="H537" s="52">
        <f t="shared" si="610"/>
        <v>2.2559999999999998</v>
      </c>
      <c r="I537" s="52">
        <f t="shared" si="610"/>
        <v>1.831</v>
      </c>
      <c r="J537" s="52">
        <f t="shared" si="610"/>
        <v>1.645</v>
      </c>
      <c r="K537" s="52">
        <f t="shared" si="610"/>
        <v>1.7509999999999999</v>
      </c>
      <c r="L537" s="69">
        <f>SUM(F537:K537)</f>
        <v>10.481999999999999</v>
      </c>
      <c r="M537" s="69">
        <f>L537/6</f>
        <v>1.7470000000000001</v>
      </c>
      <c r="N537" s="52">
        <f>N554+N631</f>
        <v>1.54</v>
      </c>
      <c r="O537" s="52">
        <f t="shared" ref="O537:R537" si="611">O554+O631</f>
        <v>1.4390000000000001</v>
      </c>
      <c r="P537" s="52">
        <f t="shared" si="611"/>
        <v>1.748</v>
      </c>
      <c r="Q537" s="52">
        <f t="shared" si="611"/>
        <v>1.748</v>
      </c>
      <c r="R537" s="52">
        <f t="shared" si="611"/>
        <v>1.748</v>
      </c>
      <c r="S537" s="52">
        <f>S554+S631</f>
        <v>1.6970000000000001</v>
      </c>
      <c r="T537" s="69">
        <f>SUM(N537:S537)</f>
        <v>9.92</v>
      </c>
      <c r="U537" s="69">
        <f>T537+L537</f>
        <v>20.402000000000001</v>
      </c>
      <c r="V537" s="69">
        <f>V554+V631</f>
        <v>20.925000000000001</v>
      </c>
      <c r="W537" s="52">
        <f>V537-U537</f>
        <v>0.52300000000000002</v>
      </c>
    </row>
    <row r="538" spans="1:24" s="130" customFormat="1" ht="15.05" customHeight="1">
      <c r="A538" s="614"/>
      <c r="B538" s="576"/>
      <c r="C538" s="577"/>
      <c r="D538" s="174" t="str">
        <f>серпень!D461</f>
        <v>абоненська плата, тис.грн.</v>
      </c>
      <c r="E538" s="52"/>
      <c r="F538" s="52">
        <f>F555+F632</f>
        <v>5.0000000000000001E-3</v>
      </c>
      <c r="G538" s="52">
        <f t="shared" ref="G538:K538" si="612">G555+G632</f>
        <v>4.0000000000000001E-3</v>
      </c>
      <c r="H538" s="52">
        <f t="shared" si="612"/>
        <v>4.0000000000000001E-3</v>
      </c>
      <c r="I538" s="52">
        <f t="shared" si="612"/>
        <v>4.0000000000000001E-3</v>
      </c>
      <c r="J538" s="52">
        <f t="shared" si="612"/>
        <v>4.0000000000000001E-3</v>
      </c>
      <c r="K538" s="52">
        <f t="shared" si="612"/>
        <v>4.0000000000000001E-3</v>
      </c>
      <c r="L538" s="69">
        <f t="shared" ref="L538:L541" si="613">SUM(F538:K538)</f>
        <v>2.5000000000000001E-2</v>
      </c>
      <c r="M538" s="69">
        <f t="shared" ref="M538:M541" si="614">L538/6</f>
        <v>4.0000000000000001E-3</v>
      </c>
      <c r="N538" s="52">
        <f>N555+N632</f>
        <v>4.0000000000000001E-3</v>
      </c>
      <c r="O538" s="52">
        <f t="shared" ref="O538:S538" si="615">O555+O632</f>
        <v>4.0000000000000001E-3</v>
      </c>
      <c r="P538" s="52">
        <f t="shared" si="615"/>
        <v>4.0000000000000001E-3</v>
      </c>
      <c r="Q538" s="52">
        <f t="shared" si="615"/>
        <v>4.0000000000000001E-3</v>
      </c>
      <c r="R538" s="52">
        <f t="shared" si="615"/>
        <v>4.0000000000000001E-3</v>
      </c>
      <c r="S538" s="52">
        <f t="shared" si="615"/>
        <v>4.0000000000000001E-3</v>
      </c>
      <c r="T538" s="69">
        <f t="shared" ref="T538:T541" si="616">SUM(N538:S538)</f>
        <v>2.4E-2</v>
      </c>
      <c r="U538" s="69">
        <f t="shared" ref="U538:U541" si="617">T538+L538</f>
        <v>4.9000000000000002E-2</v>
      </c>
      <c r="V538" s="69">
        <f t="shared" ref="V538" si="618">V555+V632</f>
        <v>0.05</v>
      </c>
      <c r="W538" s="52">
        <f t="shared" ref="W538:W541" si="619">V538-U538</f>
        <v>1E-3</v>
      </c>
    </row>
    <row r="539" spans="1:24" s="130" customFormat="1" ht="15.05" customHeight="1">
      <c r="A539" s="614"/>
      <c r="B539" s="576"/>
      <c r="C539" s="577"/>
      <c r="D539" s="174" t="str">
        <f>серпень!D462</f>
        <v>разом сума тис. грн+абонплата</v>
      </c>
      <c r="E539" s="52"/>
      <c r="F539" s="52">
        <f>F537+F538</f>
        <v>1.5469999999999999</v>
      </c>
      <c r="G539" s="52">
        <f t="shared" ref="G539:K539" si="620">G537+G538</f>
        <v>1.4610000000000001</v>
      </c>
      <c r="H539" s="52">
        <f t="shared" si="620"/>
        <v>2.2599999999999998</v>
      </c>
      <c r="I539" s="52">
        <f t="shared" si="620"/>
        <v>1.835</v>
      </c>
      <c r="J539" s="52">
        <f t="shared" si="620"/>
        <v>1.649</v>
      </c>
      <c r="K539" s="52">
        <f t="shared" si="620"/>
        <v>1.7549999999999999</v>
      </c>
      <c r="L539" s="69">
        <f t="shared" si="613"/>
        <v>10.507</v>
      </c>
      <c r="M539" s="69">
        <f t="shared" si="614"/>
        <v>1.7509999999999999</v>
      </c>
      <c r="N539" s="52">
        <f>N537+N538</f>
        <v>1.544</v>
      </c>
      <c r="O539" s="52">
        <f t="shared" ref="O539" si="621">O537+O538</f>
        <v>1.4430000000000001</v>
      </c>
      <c r="P539" s="52">
        <f t="shared" ref="P539" si="622">P537+P538</f>
        <v>1.752</v>
      </c>
      <c r="Q539" s="52">
        <f t="shared" ref="Q539" si="623">Q537+Q538</f>
        <v>1.752</v>
      </c>
      <c r="R539" s="52">
        <f t="shared" ref="R539" si="624">R537+R538</f>
        <v>1.752</v>
      </c>
      <c r="S539" s="52">
        <f t="shared" ref="S539" si="625">S537+S538</f>
        <v>1.7010000000000001</v>
      </c>
      <c r="T539" s="69">
        <f t="shared" si="616"/>
        <v>9.9440000000000008</v>
      </c>
      <c r="U539" s="69">
        <f t="shared" si="617"/>
        <v>20.451000000000001</v>
      </c>
      <c r="V539" s="69">
        <f t="shared" ref="V539" si="626">V537+V538</f>
        <v>20.975000000000001</v>
      </c>
      <c r="W539" s="52">
        <f t="shared" si="619"/>
        <v>0.52400000000000002</v>
      </c>
    </row>
    <row r="540" spans="1:24" s="130" customFormat="1" ht="15.05" customHeight="1">
      <c r="A540" s="614"/>
      <c r="B540" s="576"/>
      <c r="C540" s="577"/>
      <c r="D540" s="174" t="str">
        <f>серпень!D463</f>
        <v>дотація</v>
      </c>
      <c r="E540" s="56"/>
      <c r="F540" s="52">
        <f>F557+F602</f>
        <v>0</v>
      </c>
      <c r="G540" s="52">
        <f t="shared" ref="G540:K540" si="627">G557+G602</f>
        <v>0</v>
      </c>
      <c r="H540" s="52">
        <f t="shared" si="627"/>
        <v>0</v>
      </c>
      <c r="I540" s="52">
        <f t="shared" si="627"/>
        <v>0</v>
      </c>
      <c r="J540" s="52">
        <f t="shared" si="627"/>
        <v>0</v>
      </c>
      <c r="K540" s="52">
        <f t="shared" si="627"/>
        <v>0</v>
      </c>
      <c r="L540" s="69">
        <f t="shared" si="613"/>
        <v>0</v>
      </c>
      <c r="M540" s="69">
        <f t="shared" si="614"/>
        <v>0</v>
      </c>
      <c r="N540" s="52">
        <f>N557+N602</f>
        <v>0</v>
      </c>
      <c r="O540" s="52">
        <f t="shared" ref="O540:S540" si="628">O557+O602</f>
        <v>0</v>
      </c>
      <c r="P540" s="52">
        <f t="shared" si="628"/>
        <v>0</v>
      </c>
      <c r="Q540" s="52">
        <f t="shared" si="628"/>
        <v>0</v>
      </c>
      <c r="R540" s="52">
        <f t="shared" si="628"/>
        <v>0</v>
      </c>
      <c r="S540" s="52">
        <f t="shared" si="628"/>
        <v>0</v>
      </c>
      <c r="T540" s="69">
        <f t="shared" si="616"/>
        <v>0</v>
      </c>
      <c r="U540" s="69">
        <f t="shared" si="617"/>
        <v>0</v>
      </c>
      <c r="V540" s="69">
        <f t="shared" ref="V540" si="629">V557+V602</f>
        <v>0</v>
      </c>
      <c r="W540" s="52">
        <f t="shared" si="619"/>
        <v>0</v>
      </c>
      <c r="X540" s="134"/>
    </row>
    <row r="541" spans="1:24" s="130" customFormat="1" ht="15.05" customHeight="1">
      <c r="A541" s="614"/>
      <c r="B541" s="576"/>
      <c r="C541" s="577"/>
      <c r="D541" s="174" t="str">
        <f>серпень!D464</f>
        <v>місцевий (план), тис.грн</v>
      </c>
      <c r="E541" s="56"/>
      <c r="F541" s="52">
        <f>F558</f>
        <v>1.754</v>
      </c>
      <c r="G541" s="52">
        <f t="shared" ref="G541:K541" si="630">G558</f>
        <v>0</v>
      </c>
      <c r="H541" s="52">
        <f t="shared" si="630"/>
        <v>3.0409999999999999</v>
      </c>
      <c r="I541" s="52">
        <f t="shared" si="630"/>
        <v>0.55200000000000005</v>
      </c>
      <c r="J541" s="52">
        <f t="shared" si="630"/>
        <v>1.752</v>
      </c>
      <c r="K541" s="52">
        <f t="shared" si="630"/>
        <v>1.6519999999999999</v>
      </c>
      <c r="L541" s="69">
        <f t="shared" si="613"/>
        <v>8.7509999999999994</v>
      </c>
      <c r="M541" s="69">
        <f t="shared" si="614"/>
        <v>1.4590000000000001</v>
      </c>
      <c r="N541" s="52">
        <f>N558</f>
        <v>1.752</v>
      </c>
      <c r="O541" s="52">
        <f t="shared" ref="O541:S541" si="631">O558</f>
        <v>1.552</v>
      </c>
      <c r="P541" s="52">
        <f t="shared" si="631"/>
        <v>1.752</v>
      </c>
      <c r="Q541" s="52">
        <f t="shared" si="631"/>
        <v>3.2519999999999998</v>
      </c>
      <c r="R541" s="52">
        <f t="shared" si="631"/>
        <v>1.752</v>
      </c>
      <c r="S541" s="52">
        <f t="shared" si="631"/>
        <v>2.1640000000000001</v>
      </c>
      <c r="T541" s="69">
        <f t="shared" si="616"/>
        <v>12.224</v>
      </c>
      <c r="U541" s="69">
        <f t="shared" si="617"/>
        <v>20.975000000000001</v>
      </c>
      <c r="V541" s="69">
        <f t="shared" ref="V541" si="632">V558</f>
        <v>20.975000000000001</v>
      </c>
      <c r="W541" s="52">
        <f t="shared" si="619"/>
        <v>0</v>
      </c>
    </row>
    <row r="542" spans="1:24" s="47" customFormat="1" ht="15.05" customHeight="1">
      <c r="A542" s="614"/>
      <c r="B542" s="576"/>
      <c r="C542" s="577"/>
      <c r="D542" s="178" t="str">
        <f>серпень!D465</f>
        <v>касові нат.п-ки 2025</v>
      </c>
      <c r="E542" s="12">
        <f t="shared" ref="E542:K542" si="633">E559+E604</f>
        <v>0</v>
      </c>
      <c r="F542" s="12">
        <f t="shared" si="633"/>
        <v>0</v>
      </c>
      <c r="G542" s="12">
        <f t="shared" si="633"/>
        <v>9.5</v>
      </c>
      <c r="H542" s="12">
        <f t="shared" si="633"/>
        <v>9.1</v>
      </c>
      <c r="I542" s="12">
        <f t="shared" si="633"/>
        <v>13.4</v>
      </c>
      <c r="J542" s="12">
        <f t="shared" si="633"/>
        <v>11.2</v>
      </c>
      <c r="K542" s="12">
        <f t="shared" si="633"/>
        <v>10.3</v>
      </c>
      <c r="L542" s="117">
        <f>SUM(F542:K542)</f>
        <v>53.5</v>
      </c>
      <c r="M542" s="117">
        <f>L542/6</f>
        <v>8.9</v>
      </c>
      <c r="N542" s="12">
        <f t="shared" ref="N542:S542" si="634">N559+N604</f>
        <v>10.8</v>
      </c>
      <c r="O542" s="12">
        <f t="shared" si="634"/>
        <v>9.5</v>
      </c>
      <c r="P542" s="12">
        <f t="shared" si="634"/>
        <v>9</v>
      </c>
      <c r="Q542" s="12">
        <f t="shared" si="634"/>
        <v>9.8000000000000007</v>
      </c>
      <c r="R542" s="12">
        <f t="shared" si="634"/>
        <v>9.8000000000000007</v>
      </c>
      <c r="S542" s="12">
        <f t="shared" si="634"/>
        <v>19.600000000000001</v>
      </c>
      <c r="T542" s="117">
        <f>SUM(N542:S542)</f>
        <v>68.5</v>
      </c>
      <c r="U542" s="117">
        <f>T542+L542</f>
        <v>122</v>
      </c>
      <c r="V542" s="76">
        <f>V559+V604</f>
        <v>117.6</v>
      </c>
      <c r="W542" s="38">
        <f>V542-U542</f>
        <v>-4.4000000000000004</v>
      </c>
      <c r="X542" s="47">
        <f>U535-U542</f>
        <v>0</v>
      </c>
    </row>
    <row r="543" spans="1:24" s="47" customFormat="1" ht="15.05" customHeight="1">
      <c r="A543" s="614"/>
      <c r="B543" s="576"/>
      <c r="C543" s="577"/>
      <c r="D543" s="187" t="str">
        <f>серпень!D466</f>
        <v>тариф, грн.</v>
      </c>
      <c r="E543" s="49" t="e">
        <f>E544/E542*1000</f>
        <v>#DIV/0!</v>
      </c>
      <c r="F543" s="49" t="e">
        <f t="shared" ref="F543:S543" si="635">F544/F542*1000</f>
        <v>#DIV/0!</v>
      </c>
      <c r="G543" s="49">
        <f t="shared" si="635"/>
        <v>162.63200000000001</v>
      </c>
      <c r="H543" s="49">
        <f t="shared" si="635"/>
        <v>160.65899999999999</v>
      </c>
      <c r="I543" s="49">
        <f t="shared" si="635"/>
        <v>168.43299999999999</v>
      </c>
      <c r="J543" s="49">
        <f t="shared" si="635"/>
        <v>163.839</v>
      </c>
      <c r="K543" s="49">
        <f t="shared" si="635"/>
        <v>160.09700000000001</v>
      </c>
      <c r="L543" s="49">
        <f t="shared" si="635"/>
        <v>163.51400000000001</v>
      </c>
      <c r="M543" s="49">
        <f t="shared" si="635"/>
        <v>163.82</v>
      </c>
      <c r="N543" s="49">
        <f t="shared" si="635"/>
        <v>162.5</v>
      </c>
      <c r="O543" s="49">
        <f t="shared" si="635"/>
        <v>162.52600000000001</v>
      </c>
      <c r="P543" s="49">
        <f t="shared" si="635"/>
        <v>160.333</v>
      </c>
      <c r="Q543" s="49">
        <f t="shared" si="635"/>
        <v>178.77600000000001</v>
      </c>
      <c r="R543" s="49">
        <f t="shared" si="635"/>
        <v>178.77600000000001</v>
      </c>
      <c r="S543" s="49">
        <f t="shared" si="635"/>
        <v>176.37799999999999</v>
      </c>
      <c r="T543" s="49">
        <f>T544/T542*1000</f>
        <v>170.84700000000001</v>
      </c>
      <c r="U543" s="49">
        <f>U544/U542*1000</f>
        <v>167.631</v>
      </c>
      <c r="V543" s="49">
        <f>V544/V542*1000</f>
        <v>178.35900000000001</v>
      </c>
      <c r="W543" s="49">
        <f>W544/W542*1000</f>
        <v>-119.09099999999999</v>
      </c>
      <c r="X543" s="59"/>
    </row>
    <row r="544" spans="1:24" s="63" customFormat="1" ht="15.05" customHeight="1">
      <c r="A544" s="614"/>
      <c r="B544" s="576"/>
      <c r="C544" s="577"/>
      <c r="D544" s="198" t="str">
        <f>серпень!D467</f>
        <v>касові видатки, тис.грн.</v>
      </c>
      <c r="E544" s="72">
        <f t="shared" ref="E544" si="636">E561+E606</f>
        <v>0</v>
      </c>
      <c r="F544" s="61">
        <f>F561+F638</f>
        <v>0</v>
      </c>
      <c r="G544" s="61">
        <f t="shared" ref="G544:K544" si="637">G561+G638</f>
        <v>1.5449999999999999</v>
      </c>
      <c r="H544" s="61">
        <f t="shared" si="637"/>
        <v>1.462</v>
      </c>
      <c r="I544" s="61">
        <f t="shared" si="637"/>
        <v>2.2570000000000001</v>
      </c>
      <c r="J544" s="61">
        <f t="shared" si="637"/>
        <v>1.835</v>
      </c>
      <c r="K544" s="61">
        <f t="shared" si="637"/>
        <v>1.649</v>
      </c>
      <c r="L544" s="61">
        <f>SUM(F544:K544)</f>
        <v>8.7479999999999993</v>
      </c>
      <c r="M544" s="61">
        <f>L544/6</f>
        <v>1.458</v>
      </c>
      <c r="N544" s="61">
        <f>N561+N638</f>
        <v>1.7549999999999999</v>
      </c>
      <c r="O544" s="61">
        <f t="shared" ref="O544:S544" si="638">O561+O638</f>
        <v>1.544</v>
      </c>
      <c r="P544" s="61">
        <f t="shared" si="638"/>
        <v>1.4430000000000001</v>
      </c>
      <c r="Q544" s="61">
        <f t="shared" si="638"/>
        <v>1.752</v>
      </c>
      <c r="R544" s="61">
        <f t="shared" si="638"/>
        <v>1.752</v>
      </c>
      <c r="S544" s="61">
        <f t="shared" si="638"/>
        <v>3.4569999999999999</v>
      </c>
      <c r="T544" s="61">
        <f>SUM(N544:S544)</f>
        <v>11.702999999999999</v>
      </c>
      <c r="U544" s="61">
        <f>T544+L544</f>
        <v>20.451000000000001</v>
      </c>
      <c r="V544" s="61">
        <f t="shared" ref="V544" si="639">V561+V638</f>
        <v>20.975000000000001</v>
      </c>
      <c r="W544" s="72">
        <f>V544-U544</f>
        <v>0.52400000000000002</v>
      </c>
      <c r="X544" s="63">
        <f>U539-U544</f>
        <v>0</v>
      </c>
    </row>
    <row r="545" spans="1:24" s="63" customFormat="1" ht="15.05" customHeight="1">
      <c r="A545" s="614"/>
      <c r="B545" s="576"/>
      <c r="C545" s="577"/>
      <c r="D545" s="201" t="str">
        <f>серпень!D468</f>
        <v>дотація</v>
      </c>
      <c r="E545" s="71"/>
      <c r="F545" s="61">
        <f t="shared" ref="F545:K546" si="640">F562+F639</f>
        <v>0</v>
      </c>
      <c r="G545" s="61">
        <f t="shared" si="640"/>
        <v>0</v>
      </c>
      <c r="H545" s="61">
        <f t="shared" si="640"/>
        <v>0</v>
      </c>
      <c r="I545" s="61">
        <f t="shared" si="640"/>
        <v>0</v>
      </c>
      <c r="J545" s="61">
        <f t="shared" si="640"/>
        <v>0</v>
      </c>
      <c r="K545" s="61">
        <f t="shared" si="640"/>
        <v>0</v>
      </c>
      <c r="L545" s="61">
        <f>SUM(F545:K545)</f>
        <v>0</v>
      </c>
      <c r="M545" s="61">
        <f>L545/6</f>
        <v>0</v>
      </c>
      <c r="N545" s="61">
        <f t="shared" ref="N545:S545" si="641">N562+N639</f>
        <v>0</v>
      </c>
      <c r="O545" s="61">
        <f t="shared" si="641"/>
        <v>0</v>
      </c>
      <c r="P545" s="61">
        <f t="shared" si="641"/>
        <v>0</v>
      </c>
      <c r="Q545" s="61">
        <f t="shared" si="641"/>
        <v>0</v>
      </c>
      <c r="R545" s="61">
        <f t="shared" si="641"/>
        <v>0</v>
      </c>
      <c r="S545" s="61">
        <f t="shared" si="641"/>
        <v>0</v>
      </c>
      <c r="T545" s="61">
        <f>SUM(N545:S545)</f>
        <v>0</v>
      </c>
      <c r="U545" s="61">
        <f>T545+L545</f>
        <v>0</v>
      </c>
      <c r="V545" s="61">
        <f t="shared" ref="V545" si="642">V562+V639</f>
        <v>0</v>
      </c>
      <c r="W545" s="72">
        <f>V545-U545</f>
        <v>0</v>
      </c>
      <c r="X545" s="63">
        <f>U540-U545</f>
        <v>0</v>
      </c>
    </row>
    <row r="546" spans="1:24" s="63" customFormat="1" ht="15.05" customHeight="1">
      <c r="A546" s="614"/>
      <c r="B546" s="576"/>
      <c r="C546" s="577"/>
      <c r="D546" s="201" t="str">
        <f>серпень!D469</f>
        <v xml:space="preserve">місцевий </v>
      </c>
      <c r="E546" s="71"/>
      <c r="F546" s="61">
        <f t="shared" si="640"/>
        <v>0</v>
      </c>
      <c r="G546" s="61">
        <f t="shared" si="640"/>
        <v>1.5449999999999999</v>
      </c>
      <c r="H546" s="61">
        <f t="shared" si="640"/>
        <v>1.462</v>
      </c>
      <c r="I546" s="61">
        <f t="shared" si="640"/>
        <v>2.2570000000000001</v>
      </c>
      <c r="J546" s="61">
        <f t="shared" si="640"/>
        <v>1.835</v>
      </c>
      <c r="K546" s="61">
        <f t="shared" si="640"/>
        <v>1.649</v>
      </c>
      <c r="L546" s="61">
        <f>SUM(F546:K546)</f>
        <v>8.7479999999999993</v>
      </c>
      <c r="M546" s="61">
        <f>L546/6</f>
        <v>1.458</v>
      </c>
      <c r="N546" s="61">
        <f t="shared" ref="N546:S547" si="643">N563+N640</f>
        <v>1.7549999999999999</v>
      </c>
      <c r="O546" s="61">
        <f t="shared" si="643"/>
        <v>1.544</v>
      </c>
      <c r="P546" s="61">
        <f t="shared" si="643"/>
        <v>1.4430000000000001</v>
      </c>
      <c r="Q546" s="61">
        <f t="shared" si="643"/>
        <v>1.752</v>
      </c>
      <c r="R546" s="61">
        <f t="shared" si="643"/>
        <v>1.752</v>
      </c>
      <c r="S546" s="61">
        <f t="shared" si="643"/>
        <v>3.4569999999999999</v>
      </c>
      <c r="T546" s="61">
        <f>SUM(N546:S546)</f>
        <v>11.702999999999999</v>
      </c>
      <c r="U546" s="61">
        <f>T546+L546</f>
        <v>20.451000000000001</v>
      </c>
      <c r="V546" s="61">
        <f t="shared" ref="V546:V547" si="644">V563+V640</f>
        <v>20.975000000000001</v>
      </c>
      <c r="W546" s="72">
        <f>V546-U546</f>
        <v>0.52400000000000002</v>
      </c>
      <c r="X546" s="63">
        <f>U541-U546</f>
        <v>0.52400000000000002</v>
      </c>
    </row>
    <row r="547" spans="1:24" s="43" customFormat="1" ht="15.05" customHeight="1">
      <c r="A547" s="614"/>
      <c r="B547" s="576"/>
      <c r="C547" s="577"/>
      <c r="D547" s="202" t="str">
        <f>серпень!D470</f>
        <v>план</v>
      </c>
      <c r="E547" s="42"/>
      <c r="F547" s="42">
        <f>F564+F641</f>
        <v>1.754</v>
      </c>
      <c r="G547" s="42">
        <f t="shared" ref="G547:K547" si="645">G564+G641</f>
        <v>0</v>
      </c>
      <c r="H547" s="42">
        <f t="shared" si="645"/>
        <v>3.0409999999999999</v>
      </c>
      <c r="I547" s="42">
        <f t="shared" si="645"/>
        <v>0.55200000000000005</v>
      </c>
      <c r="J547" s="42">
        <f t="shared" si="645"/>
        <v>1.752</v>
      </c>
      <c r="K547" s="42">
        <f t="shared" si="645"/>
        <v>1.6519999999999999</v>
      </c>
      <c r="L547" s="42">
        <f>SUM(F547:K547)</f>
        <v>8.7509999999999994</v>
      </c>
      <c r="M547" s="42">
        <f>L547/6</f>
        <v>1.4590000000000001</v>
      </c>
      <c r="N547" s="42">
        <f>N564+N641</f>
        <v>1.752</v>
      </c>
      <c r="O547" s="42">
        <f t="shared" si="643"/>
        <v>1.552</v>
      </c>
      <c r="P547" s="42">
        <f t="shared" si="643"/>
        <v>1.752</v>
      </c>
      <c r="Q547" s="42">
        <f t="shared" si="643"/>
        <v>3.2519999999999998</v>
      </c>
      <c r="R547" s="42">
        <f t="shared" si="643"/>
        <v>1.752</v>
      </c>
      <c r="S547" s="42">
        <f t="shared" si="643"/>
        <v>2.1640000000000001</v>
      </c>
      <c r="T547" s="42">
        <f>SUM(N547:S547)</f>
        <v>12.224</v>
      </c>
      <c r="U547" s="42">
        <f>T547+L547</f>
        <v>20.975000000000001</v>
      </c>
      <c r="V547" s="42">
        <f t="shared" si="644"/>
        <v>20.975000000000001</v>
      </c>
      <c r="W547" s="42">
        <f>V547-U547</f>
        <v>0</v>
      </c>
    </row>
    <row r="548" spans="1:24" s="43" customFormat="1" ht="15.05" customHeight="1">
      <c r="A548" s="614"/>
      <c r="B548" s="576"/>
      <c r="C548" s="577"/>
      <c r="D548" s="202" t="str">
        <f>серпень!D471</f>
        <v xml:space="preserve">відхилення </v>
      </c>
      <c r="E548" s="42"/>
      <c r="F548" s="42">
        <f t="shared" ref="F548:K548" si="646">F544-F547</f>
        <v>-1.754</v>
      </c>
      <c r="G548" s="42">
        <f t="shared" si="646"/>
        <v>1.5449999999999999</v>
      </c>
      <c r="H548" s="42">
        <f t="shared" si="646"/>
        <v>-1.579</v>
      </c>
      <c r="I548" s="42">
        <f t="shared" si="646"/>
        <v>1.7050000000000001</v>
      </c>
      <c r="J548" s="42">
        <f t="shared" si="646"/>
        <v>8.3000000000000004E-2</v>
      </c>
      <c r="K548" s="42">
        <f t="shared" si="646"/>
        <v>-3.0000000000000001E-3</v>
      </c>
      <c r="L548" s="42"/>
      <c r="M548" s="42"/>
      <c r="N548" s="42">
        <f t="shared" ref="N548:S548" si="647">N544-N547</f>
        <v>3.0000000000000001E-3</v>
      </c>
      <c r="O548" s="42">
        <f t="shared" si="647"/>
        <v>-8.0000000000000002E-3</v>
      </c>
      <c r="P548" s="42">
        <f t="shared" si="647"/>
        <v>-0.309</v>
      </c>
      <c r="Q548" s="42">
        <f t="shared" si="647"/>
        <v>-1.5</v>
      </c>
      <c r="R548" s="42">
        <f t="shared" si="647"/>
        <v>0</v>
      </c>
      <c r="S548" s="42">
        <f t="shared" si="647"/>
        <v>1.2929999999999999</v>
      </c>
      <c r="T548" s="42"/>
      <c r="U548" s="42"/>
      <c r="V548" s="42"/>
      <c r="W548" s="42"/>
    </row>
    <row r="549" spans="1:24" s="43" customFormat="1" ht="15.05" customHeight="1">
      <c r="A549" s="614"/>
      <c r="B549" s="576"/>
      <c r="C549" s="577"/>
      <c r="D549" s="202" t="str">
        <f>серпень!D472</f>
        <v>відхилення з наростаючим</v>
      </c>
      <c r="E549" s="42"/>
      <c r="F549" s="42">
        <f>F548</f>
        <v>-1.754</v>
      </c>
      <c r="G549" s="42">
        <f>G548+F549</f>
        <v>-0.20899999999999999</v>
      </c>
      <c r="H549" s="42">
        <f>H548+G549</f>
        <v>-1.788</v>
      </c>
      <c r="I549" s="42">
        <f>I548+H549</f>
        <v>-8.3000000000000004E-2</v>
      </c>
      <c r="J549" s="42">
        <f>J548+I549</f>
        <v>0</v>
      </c>
      <c r="K549" s="42">
        <f>K548+J549</f>
        <v>-3.0000000000000001E-3</v>
      </c>
      <c r="L549" s="42"/>
      <c r="M549" s="42"/>
      <c r="N549" s="42">
        <f>N548+K549</f>
        <v>0</v>
      </c>
      <c r="O549" s="42">
        <f>O548+N549</f>
        <v>-8.0000000000000002E-3</v>
      </c>
      <c r="P549" s="42">
        <f>P548+O549</f>
        <v>-0.317</v>
      </c>
      <c r="Q549" s="42">
        <f>Q548+P549</f>
        <v>-1.8169999999999999</v>
      </c>
      <c r="R549" s="42">
        <f>R548+Q549</f>
        <v>-1.8169999999999999</v>
      </c>
      <c r="S549" s="42">
        <f>S548+R549</f>
        <v>-0.52400000000000002</v>
      </c>
      <c r="T549" s="42"/>
      <c r="U549" s="42"/>
      <c r="V549" s="42"/>
      <c r="W549" s="42"/>
    </row>
    <row r="550" spans="1:24" s="47" customFormat="1" ht="17.100000000000001" customHeight="1">
      <c r="A550" s="614"/>
      <c r="B550" s="581" t="s">
        <v>65</v>
      </c>
      <c r="C550" s="581"/>
      <c r="D550" s="178" t="str">
        <f>серпень!D473</f>
        <v>факт. нат.п-ки 2023</v>
      </c>
      <c r="E550" s="11"/>
      <c r="F550" s="12">
        <f t="shared" ref="F550:K552" si="648">F567+F582</f>
        <v>0</v>
      </c>
      <c r="G550" s="12">
        <f t="shared" si="648"/>
        <v>0</v>
      </c>
      <c r="H550" s="12">
        <f t="shared" si="648"/>
        <v>0</v>
      </c>
      <c r="I550" s="12">
        <f t="shared" si="648"/>
        <v>0</v>
      </c>
      <c r="J550" s="12">
        <f t="shared" si="648"/>
        <v>0</v>
      </c>
      <c r="K550" s="12">
        <f t="shared" si="648"/>
        <v>0</v>
      </c>
      <c r="L550" s="117">
        <f>SUM(F550:K550)</f>
        <v>0</v>
      </c>
      <c r="M550" s="117">
        <f>L550/6</f>
        <v>0</v>
      </c>
      <c r="N550" s="12">
        <f t="shared" ref="N550:S552" si="649">N567+N582</f>
        <v>0</v>
      </c>
      <c r="O550" s="12">
        <f t="shared" si="649"/>
        <v>0</v>
      </c>
      <c r="P550" s="12">
        <f t="shared" si="649"/>
        <v>0</v>
      </c>
      <c r="Q550" s="12">
        <f t="shared" si="649"/>
        <v>0</v>
      </c>
      <c r="R550" s="12">
        <f t="shared" si="649"/>
        <v>0</v>
      </c>
      <c r="S550" s="12">
        <f t="shared" si="649"/>
        <v>0</v>
      </c>
      <c r="T550" s="117">
        <f>SUM(N550:S550)</f>
        <v>0</v>
      </c>
      <c r="U550" s="117">
        <f>T550+L550</f>
        <v>0</v>
      </c>
      <c r="V550" s="76">
        <f>V567+V582</f>
        <v>0</v>
      </c>
      <c r="W550" s="38"/>
    </row>
    <row r="551" spans="1:24" s="47" customFormat="1" ht="17.100000000000001" customHeight="1">
      <c r="A551" s="614"/>
      <c r="B551" s="581"/>
      <c r="C551" s="581"/>
      <c r="D551" s="178" t="str">
        <f>серпень!D474</f>
        <v>факт. нат.п-ки 2024</v>
      </c>
      <c r="E551" s="11"/>
      <c r="F551" s="12">
        <f t="shared" si="648"/>
        <v>0</v>
      </c>
      <c r="G551" s="12">
        <f t="shared" si="648"/>
        <v>0</v>
      </c>
      <c r="H551" s="12">
        <f t="shared" si="648"/>
        <v>0</v>
      </c>
      <c r="I551" s="12">
        <f t="shared" si="648"/>
        <v>0</v>
      </c>
      <c r="J551" s="12">
        <f t="shared" si="648"/>
        <v>0</v>
      </c>
      <c r="K551" s="12">
        <f t="shared" si="648"/>
        <v>0</v>
      </c>
      <c r="L551" s="117">
        <f>SUM(F551:K551)</f>
        <v>0</v>
      </c>
      <c r="M551" s="117">
        <f>L551/6</f>
        <v>0</v>
      </c>
      <c r="N551" s="12">
        <f t="shared" si="649"/>
        <v>0</v>
      </c>
      <c r="O551" s="12">
        <f t="shared" si="649"/>
        <v>0</v>
      </c>
      <c r="P551" s="12">
        <f t="shared" si="649"/>
        <v>0</v>
      </c>
      <c r="Q551" s="12">
        <f t="shared" si="649"/>
        <v>0</v>
      </c>
      <c r="R551" s="12">
        <f t="shared" si="649"/>
        <v>0</v>
      </c>
      <c r="S551" s="12">
        <f t="shared" si="649"/>
        <v>0</v>
      </c>
      <c r="T551" s="117">
        <f>SUM(N551:S551)</f>
        <v>0</v>
      </c>
      <c r="U551" s="117">
        <f>T551+L551</f>
        <v>0</v>
      </c>
      <c r="V551" s="76">
        <f>V568+V583</f>
        <v>0</v>
      </c>
      <c r="W551" s="38"/>
    </row>
    <row r="552" spans="1:24" s="47" customFormat="1" ht="17.100000000000001" customHeight="1">
      <c r="A552" s="614"/>
      <c r="B552" s="581"/>
      <c r="C552" s="581"/>
      <c r="D552" s="178" t="str">
        <f>серпень!D475</f>
        <v>факт. нат.п-ки 2025</v>
      </c>
      <c r="E552" s="11"/>
      <c r="F552" s="12">
        <f t="shared" si="648"/>
        <v>6.2</v>
      </c>
      <c r="G552" s="12">
        <f t="shared" si="648"/>
        <v>6.2</v>
      </c>
      <c r="H552" s="12">
        <f t="shared" si="648"/>
        <v>8.4</v>
      </c>
      <c r="I552" s="12">
        <f t="shared" si="648"/>
        <v>7.4</v>
      </c>
      <c r="J552" s="12">
        <f t="shared" si="648"/>
        <v>7.6</v>
      </c>
      <c r="K552" s="12">
        <f t="shared" si="648"/>
        <v>7.6</v>
      </c>
      <c r="L552" s="117">
        <f>SUM(F552:K552)</f>
        <v>43.4</v>
      </c>
      <c r="M552" s="117">
        <f>L552/6</f>
        <v>7.2</v>
      </c>
      <c r="N552" s="12">
        <f t="shared" si="649"/>
        <v>6.2</v>
      </c>
      <c r="O552" s="12">
        <f t="shared" si="649"/>
        <v>6.2</v>
      </c>
      <c r="P552" s="12">
        <f t="shared" si="649"/>
        <v>5.4</v>
      </c>
      <c r="Q552" s="12">
        <f t="shared" si="649"/>
        <v>5.4</v>
      </c>
      <c r="R552" s="12">
        <f t="shared" si="649"/>
        <v>5.4</v>
      </c>
      <c r="S552" s="12">
        <f t="shared" si="649"/>
        <v>5.4</v>
      </c>
      <c r="T552" s="117">
        <f>SUM(N552:S552)</f>
        <v>34</v>
      </c>
      <c r="U552" s="117">
        <f>T552+L552</f>
        <v>77.400000000000006</v>
      </c>
      <c r="V552" s="76">
        <f>V569+V584</f>
        <v>64.8</v>
      </c>
      <c r="W552" s="38">
        <f>V552-U552</f>
        <v>-12.6</v>
      </c>
    </row>
    <row r="553" spans="1:24" s="47" customFormat="1" ht="17.100000000000001" customHeight="1">
      <c r="A553" s="614"/>
      <c r="B553" s="581"/>
      <c r="C553" s="581"/>
      <c r="D553" s="187" t="str">
        <f>серпень!D476</f>
        <v>тариф, грн.</v>
      </c>
      <c r="E553" s="49"/>
      <c r="F553" s="49">
        <f t="shared" ref="F553:W553" si="650">F554/F552*1000</f>
        <v>248.71</v>
      </c>
      <c r="G553" s="49">
        <f t="shared" si="650"/>
        <v>235</v>
      </c>
      <c r="H553" s="49">
        <f t="shared" si="650"/>
        <v>268.57100000000003</v>
      </c>
      <c r="I553" s="49">
        <f t="shared" si="650"/>
        <v>247.43199999999999</v>
      </c>
      <c r="J553" s="49">
        <f t="shared" si="650"/>
        <v>216.447</v>
      </c>
      <c r="K553" s="49">
        <f t="shared" si="650"/>
        <v>230.39500000000001</v>
      </c>
      <c r="L553" s="49">
        <f t="shared" si="650"/>
        <v>241.52099999999999</v>
      </c>
      <c r="M553" s="49">
        <f t="shared" si="650"/>
        <v>242.63900000000001</v>
      </c>
      <c r="N553" s="49">
        <f t="shared" si="650"/>
        <v>248.387</v>
      </c>
      <c r="O553" s="49">
        <f t="shared" si="650"/>
        <v>232.09700000000001</v>
      </c>
      <c r="P553" s="49">
        <f t="shared" si="650"/>
        <v>323.70400000000001</v>
      </c>
      <c r="Q553" s="49">
        <f t="shared" si="650"/>
        <v>323.70400000000001</v>
      </c>
      <c r="R553" s="49">
        <f t="shared" si="650"/>
        <v>323.70400000000001</v>
      </c>
      <c r="S553" s="49">
        <f t="shared" si="650"/>
        <v>314.25900000000001</v>
      </c>
      <c r="T553" s="49">
        <f t="shared" si="650"/>
        <v>291.76499999999999</v>
      </c>
      <c r="U553" s="49">
        <f t="shared" si="650"/>
        <v>263.59199999999998</v>
      </c>
      <c r="V553" s="49">
        <f t="shared" si="650"/>
        <v>322.91699999999997</v>
      </c>
      <c r="W553" s="49">
        <f t="shared" si="650"/>
        <v>-41.508000000000003</v>
      </c>
    </row>
    <row r="554" spans="1:24" s="130" customFormat="1" ht="17.100000000000001" customHeight="1">
      <c r="A554" s="614"/>
      <c r="B554" s="581"/>
      <c r="C554" s="581"/>
      <c r="D554" s="191" t="str">
        <f>серпень!D477</f>
        <v>сума, тис.грн.</v>
      </c>
      <c r="E554" s="52"/>
      <c r="F554" s="52">
        <f>F571+F601</f>
        <v>1.542</v>
      </c>
      <c r="G554" s="52">
        <f t="shared" ref="G554:K554" si="651">G571+G601</f>
        <v>1.4570000000000001</v>
      </c>
      <c r="H554" s="52">
        <f t="shared" si="651"/>
        <v>2.2559999999999998</v>
      </c>
      <c r="I554" s="52">
        <f t="shared" si="651"/>
        <v>1.831</v>
      </c>
      <c r="J554" s="52">
        <f t="shared" si="651"/>
        <v>1.645</v>
      </c>
      <c r="K554" s="52">
        <f t="shared" si="651"/>
        <v>1.7509999999999999</v>
      </c>
      <c r="L554" s="69">
        <f>SUM(F554:K554)</f>
        <v>10.481999999999999</v>
      </c>
      <c r="M554" s="69">
        <f>L554/6</f>
        <v>1.7470000000000001</v>
      </c>
      <c r="N554" s="52">
        <f>N571+N601</f>
        <v>1.54</v>
      </c>
      <c r="O554" s="52">
        <f t="shared" ref="O554:S554" si="652">O571+O601</f>
        <v>1.4390000000000001</v>
      </c>
      <c r="P554" s="52">
        <f t="shared" si="652"/>
        <v>1.748</v>
      </c>
      <c r="Q554" s="52">
        <f t="shared" si="652"/>
        <v>1.748</v>
      </c>
      <c r="R554" s="52">
        <f t="shared" si="652"/>
        <v>1.748</v>
      </c>
      <c r="S554" s="52">
        <f t="shared" si="652"/>
        <v>1.6970000000000001</v>
      </c>
      <c r="T554" s="69">
        <f>SUM(N554:S554)</f>
        <v>9.92</v>
      </c>
      <c r="U554" s="69">
        <f>T554+L554</f>
        <v>20.402000000000001</v>
      </c>
      <c r="V554" s="69">
        <f t="shared" ref="V554" si="653">V571+V601</f>
        <v>20.925000000000001</v>
      </c>
      <c r="W554" s="52">
        <f>V554-U554</f>
        <v>0.52300000000000002</v>
      </c>
    </row>
    <row r="555" spans="1:24" s="130" customFormat="1" ht="17.100000000000001" customHeight="1">
      <c r="A555" s="614"/>
      <c r="B555" s="581"/>
      <c r="C555" s="581"/>
      <c r="D555" s="174" t="str">
        <f>серпень!D478</f>
        <v>абоненська плата, тис.грн.</v>
      </c>
      <c r="E555" s="52"/>
      <c r="F555" s="52">
        <f>F586+F616</f>
        <v>5.0000000000000001E-3</v>
      </c>
      <c r="G555" s="52">
        <f t="shared" ref="G555:K555" si="654">G586+G616</f>
        <v>4.0000000000000001E-3</v>
      </c>
      <c r="H555" s="52">
        <f t="shared" si="654"/>
        <v>4.0000000000000001E-3</v>
      </c>
      <c r="I555" s="52">
        <f t="shared" si="654"/>
        <v>4.0000000000000001E-3</v>
      </c>
      <c r="J555" s="52">
        <f t="shared" si="654"/>
        <v>4.0000000000000001E-3</v>
      </c>
      <c r="K555" s="52">
        <f t="shared" si="654"/>
        <v>4.0000000000000001E-3</v>
      </c>
      <c r="L555" s="69">
        <f t="shared" ref="L555:L556" si="655">SUM(F555:K555)</f>
        <v>2.5000000000000001E-2</v>
      </c>
      <c r="M555" s="69">
        <f t="shared" ref="M555:M556" si="656">L555/6</f>
        <v>4.0000000000000001E-3</v>
      </c>
      <c r="N555" s="52">
        <f>N586+N616</f>
        <v>4.0000000000000001E-3</v>
      </c>
      <c r="O555" s="52">
        <f t="shared" ref="O555:S555" si="657">O586+O616</f>
        <v>4.0000000000000001E-3</v>
      </c>
      <c r="P555" s="52">
        <f t="shared" si="657"/>
        <v>4.0000000000000001E-3</v>
      </c>
      <c r="Q555" s="52">
        <f t="shared" si="657"/>
        <v>4.0000000000000001E-3</v>
      </c>
      <c r="R555" s="52">
        <f t="shared" si="657"/>
        <v>4.0000000000000001E-3</v>
      </c>
      <c r="S555" s="52">
        <f t="shared" si="657"/>
        <v>4.0000000000000001E-3</v>
      </c>
      <c r="T555" s="69">
        <f t="shared" ref="T555:T558" si="658">SUM(N555:S555)</f>
        <v>2.4E-2</v>
      </c>
      <c r="U555" s="69">
        <f t="shared" ref="U555:U558" si="659">T555+L555</f>
        <v>4.9000000000000002E-2</v>
      </c>
      <c r="V555" s="69">
        <f t="shared" ref="V555" si="660">V586+V616</f>
        <v>0.05</v>
      </c>
      <c r="W555" s="52">
        <f t="shared" ref="W555:W557" si="661">V555-U555</f>
        <v>1E-3</v>
      </c>
    </row>
    <row r="556" spans="1:24" s="130" customFormat="1" ht="17.100000000000001" customHeight="1">
      <c r="A556" s="614"/>
      <c r="B556" s="581"/>
      <c r="C556" s="581"/>
      <c r="D556" s="174" t="str">
        <f>серпень!D479</f>
        <v>разом сума тис. грн+абонплата</v>
      </c>
      <c r="E556" s="52"/>
      <c r="F556" s="52">
        <f t="shared" ref="F556:K556" si="662">F554+F555</f>
        <v>1.5469999999999999</v>
      </c>
      <c r="G556" s="52">
        <f t="shared" si="662"/>
        <v>1.4610000000000001</v>
      </c>
      <c r="H556" s="52">
        <f t="shared" si="662"/>
        <v>2.2599999999999998</v>
      </c>
      <c r="I556" s="52">
        <f t="shared" si="662"/>
        <v>1.835</v>
      </c>
      <c r="J556" s="52">
        <f t="shared" si="662"/>
        <v>1.649</v>
      </c>
      <c r="K556" s="52">
        <f t="shared" si="662"/>
        <v>1.7549999999999999</v>
      </c>
      <c r="L556" s="69">
        <f t="shared" si="655"/>
        <v>10.507</v>
      </c>
      <c r="M556" s="69">
        <f t="shared" si="656"/>
        <v>1.7509999999999999</v>
      </c>
      <c r="N556" s="52">
        <f>N554+N555</f>
        <v>1.544</v>
      </c>
      <c r="O556" s="52">
        <f t="shared" ref="O556" si="663">O554+O555</f>
        <v>1.4430000000000001</v>
      </c>
      <c r="P556" s="52">
        <f t="shared" ref="P556" si="664">P554+P555</f>
        <v>1.752</v>
      </c>
      <c r="Q556" s="52">
        <f t="shared" ref="Q556" si="665">Q554+Q555</f>
        <v>1.752</v>
      </c>
      <c r="R556" s="52">
        <f t="shared" ref="R556" si="666">R554+R555</f>
        <v>1.752</v>
      </c>
      <c r="S556" s="52">
        <f t="shared" ref="S556" si="667">S554+S555</f>
        <v>1.7010000000000001</v>
      </c>
      <c r="T556" s="69">
        <f t="shared" si="658"/>
        <v>9.9440000000000008</v>
      </c>
      <c r="U556" s="69">
        <f t="shared" si="659"/>
        <v>20.451000000000001</v>
      </c>
      <c r="V556" s="69">
        <f t="shared" ref="V556" si="668">V554+V555</f>
        <v>20.975000000000001</v>
      </c>
      <c r="W556" s="52">
        <f t="shared" si="661"/>
        <v>0.52400000000000002</v>
      </c>
    </row>
    <row r="557" spans="1:24" s="130" customFormat="1" ht="17.100000000000001" customHeight="1">
      <c r="A557" s="614"/>
      <c r="B557" s="581"/>
      <c r="C557" s="581"/>
      <c r="D557" s="174" t="str">
        <f>серпень!D480</f>
        <v>дотація</v>
      </c>
      <c r="E557" s="56"/>
      <c r="F557" s="52">
        <f t="shared" ref="F557:K566" si="669">F572+F587</f>
        <v>0</v>
      </c>
      <c r="G557" s="52">
        <f t="shared" ref="G557:K557" si="670">G572+G587</f>
        <v>0</v>
      </c>
      <c r="H557" s="52">
        <f t="shared" si="670"/>
        <v>0</v>
      </c>
      <c r="I557" s="52">
        <f t="shared" si="670"/>
        <v>0</v>
      </c>
      <c r="J557" s="52">
        <f t="shared" si="670"/>
        <v>0</v>
      </c>
      <c r="K557" s="52">
        <f t="shared" si="670"/>
        <v>0</v>
      </c>
      <c r="L557" s="69">
        <f>SUM(F557:K557)</f>
        <v>0</v>
      </c>
      <c r="M557" s="69">
        <f>L557/6</f>
        <v>0</v>
      </c>
      <c r="N557" s="52">
        <f t="shared" ref="N557:S557" si="671">N572+N587</f>
        <v>0</v>
      </c>
      <c r="O557" s="52">
        <f t="shared" si="671"/>
        <v>0</v>
      </c>
      <c r="P557" s="52">
        <f t="shared" si="671"/>
        <v>0</v>
      </c>
      <c r="Q557" s="52">
        <f t="shared" si="671"/>
        <v>0</v>
      </c>
      <c r="R557" s="52">
        <f t="shared" si="671"/>
        <v>0</v>
      </c>
      <c r="S557" s="52">
        <f t="shared" si="671"/>
        <v>0</v>
      </c>
      <c r="T557" s="69">
        <f t="shared" si="658"/>
        <v>0</v>
      </c>
      <c r="U557" s="69">
        <f t="shared" si="659"/>
        <v>0</v>
      </c>
      <c r="V557" s="69">
        <f t="shared" ref="V557" si="672">V572+V587</f>
        <v>0</v>
      </c>
      <c r="W557" s="52">
        <f t="shared" si="661"/>
        <v>0</v>
      </c>
      <c r="X557" s="134"/>
    </row>
    <row r="558" spans="1:24" s="130" customFormat="1" ht="17.100000000000001" customHeight="1">
      <c r="A558" s="614"/>
      <c r="B558" s="581"/>
      <c r="C558" s="581"/>
      <c r="D558" s="174" t="str">
        <f>серпень!D481</f>
        <v>місцевий (план), тис.грн</v>
      </c>
      <c r="E558" s="56"/>
      <c r="F558" s="52">
        <f>F573+F588+F603+F618</f>
        <v>1.754</v>
      </c>
      <c r="G558" s="52">
        <f t="shared" ref="G558:K558" si="673">G573+G588+G603+G618</f>
        <v>0</v>
      </c>
      <c r="H558" s="52">
        <f t="shared" si="673"/>
        <v>3.0409999999999999</v>
      </c>
      <c r="I558" s="52">
        <f t="shared" si="673"/>
        <v>0.55200000000000005</v>
      </c>
      <c r="J558" s="52">
        <f t="shared" si="673"/>
        <v>1.752</v>
      </c>
      <c r="K558" s="52">
        <f t="shared" si="673"/>
        <v>1.6519999999999999</v>
      </c>
      <c r="L558" s="69">
        <f>SUM(F558:K558)</f>
        <v>8.7509999999999994</v>
      </c>
      <c r="M558" s="69">
        <f>L558/6</f>
        <v>1.4590000000000001</v>
      </c>
      <c r="N558" s="52">
        <f>N573+N588+N603+N618</f>
        <v>1.752</v>
      </c>
      <c r="O558" s="52">
        <f t="shared" ref="O558:S558" si="674">O573+O588+O603+O618</f>
        <v>1.552</v>
      </c>
      <c r="P558" s="52">
        <f t="shared" si="674"/>
        <v>1.752</v>
      </c>
      <c r="Q558" s="52">
        <f t="shared" si="674"/>
        <v>3.2519999999999998</v>
      </c>
      <c r="R558" s="52">
        <f t="shared" si="674"/>
        <v>1.752</v>
      </c>
      <c r="S558" s="52">
        <f t="shared" si="674"/>
        <v>2.1640000000000001</v>
      </c>
      <c r="T558" s="69">
        <f t="shared" si="658"/>
        <v>12.224</v>
      </c>
      <c r="U558" s="69">
        <f t="shared" si="659"/>
        <v>20.975000000000001</v>
      </c>
      <c r="V558" s="69">
        <f t="shared" ref="V558" si="675">V556</f>
        <v>20.975000000000001</v>
      </c>
      <c r="W558" s="52">
        <f>V558-U558</f>
        <v>0</v>
      </c>
    </row>
    <row r="559" spans="1:24" s="47" customFormat="1" ht="17.100000000000001" customHeight="1">
      <c r="A559" s="614"/>
      <c r="B559" s="581"/>
      <c r="C559" s="581"/>
      <c r="D559" s="178" t="str">
        <f>серпень!D482</f>
        <v>касові нат.п-ки 2025</v>
      </c>
      <c r="E559" s="12"/>
      <c r="F559" s="12">
        <f>F574+F589</f>
        <v>0</v>
      </c>
      <c r="G559" s="12">
        <f t="shared" si="669"/>
        <v>6.2</v>
      </c>
      <c r="H559" s="12">
        <f t="shared" si="669"/>
        <v>6.2</v>
      </c>
      <c r="I559" s="12">
        <f t="shared" si="669"/>
        <v>8.4</v>
      </c>
      <c r="J559" s="12">
        <f t="shared" si="669"/>
        <v>7.4</v>
      </c>
      <c r="K559" s="12">
        <f t="shared" si="669"/>
        <v>7.6</v>
      </c>
      <c r="L559" s="117">
        <f>SUM(F559:K559)</f>
        <v>35.799999999999997</v>
      </c>
      <c r="M559" s="117">
        <f>L559/6</f>
        <v>6</v>
      </c>
      <c r="N559" s="12">
        <f t="shared" ref="N559:S559" si="676">N574+N589</f>
        <v>7.6</v>
      </c>
      <c r="O559" s="12">
        <f t="shared" si="676"/>
        <v>6.2</v>
      </c>
      <c r="P559" s="12">
        <f t="shared" si="676"/>
        <v>6.2</v>
      </c>
      <c r="Q559" s="12">
        <f t="shared" si="676"/>
        <v>5.4</v>
      </c>
      <c r="R559" s="12">
        <f t="shared" si="676"/>
        <v>5.4</v>
      </c>
      <c r="S559" s="12">
        <f t="shared" si="676"/>
        <v>10.8</v>
      </c>
      <c r="T559" s="117">
        <f>SUM(N559:S559)</f>
        <v>41.6</v>
      </c>
      <c r="U559" s="117">
        <f>T559+L559</f>
        <v>77.400000000000006</v>
      </c>
      <c r="V559" s="76">
        <f>V574+V589</f>
        <v>64.8</v>
      </c>
      <c r="W559" s="38">
        <f>V559-U559</f>
        <v>-12.6</v>
      </c>
      <c r="X559" s="47">
        <f>U552-U559</f>
        <v>0</v>
      </c>
    </row>
    <row r="560" spans="1:24" s="47" customFormat="1" ht="17.100000000000001" customHeight="1">
      <c r="A560" s="614"/>
      <c r="B560" s="581"/>
      <c r="C560" s="581"/>
      <c r="D560" s="187" t="str">
        <f>серпень!D483</f>
        <v>тариф, грн.</v>
      </c>
      <c r="E560" s="49" t="e">
        <f t="shared" ref="E560:W560" si="677">E561/E559*1000</f>
        <v>#DIV/0!</v>
      </c>
      <c r="F560" s="49" t="e">
        <f t="shared" si="677"/>
        <v>#DIV/0!</v>
      </c>
      <c r="G560" s="49">
        <f t="shared" si="677"/>
        <v>249.19399999999999</v>
      </c>
      <c r="H560" s="49">
        <f t="shared" si="677"/>
        <v>235.80600000000001</v>
      </c>
      <c r="I560" s="49">
        <f t="shared" si="677"/>
        <v>268.69</v>
      </c>
      <c r="J560" s="49">
        <f t="shared" si="677"/>
        <v>247.97300000000001</v>
      </c>
      <c r="K560" s="49">
        <f t="shared" si="677"/>
        <v>216.97399999999999</v>
      </c>
      <c r="L560" s="49">
        <f t="shared" si="677"/>
        <v>244.358</v>
      </c>
      <c r="M560" s="49">
        <f t="shared" si="677"/>
        <v>243</v>
      </c>
      <c r="N560" s="49">
        <f t="shared" si="677"/>
        <v>230.92099999999999</v>
      </c>
      <c r="O560" s="49">
        <f t="shared" si="677"/>
        <v>249.03200000000001</v>
      </c>
      <c r="P560" s="49">
        <f t="shared" si="677"/>
        <v>232.74199999999999</v>
      </c>
      <c r="Q560" s="49">
        <f t="shared" si="677"/>
        <v>324.44400000000002</v>
      </c>
      <c r="R560" s="49">
        <f t="shared" si="677"/>
        <v>324.44400000000002</v>
      </c>
      <c r="S560" s="49">
        <f t="shared" si="677"/>
        <v>320.09300000000002</v>
      </c>
      <c r="T560" s="49">
        <f t="shared" si="677"/>
        <v>281.322</v>
      </c>
      <c r="U560" s="49">
        <f t="shared" si="677"/>
        <v>264.22500000000002</v>
      </c>
      <c r="V560" s="49">
        <f t="shared" si="677"/>
        <v>323.68799999999999</v>
      </c>
      <c r="W560" s="49">
        <f t="shared" si="677"/>
        <v>-41.587000000000003</v>
      </c>
      <c r="X560" s="59"/>
    </row>
    <row r="561" spans="1:28" s="63" customFormat="1" ht="17.100000000000001" customHeight="1">
      <c r="A561" s="614"/>
      <c r="B561" s="581"/>
      <c r="C561" s="581"/>
      <c r="D561" s="198" t="str">
        <f>серпень!D484</f>
        <v>касові видатки, тис.грн.</v>
      </c>
      <c r="E561" s="72"/>
      <c r="F561" s="61">
        <f>F576+F591+F606+F621</f>
        <v>0</v>
      </c>
      <c r="G561" s="61">
        <f t="shared" ref="G561:K561" si="678">G576+G591+G606+G621</f>
        <v>1.5449999999999999</v>
      </c>
      <c r="H561" s="61">
        <f t="shared" si="678"/>
        <v>1.462</v>
      </c>
      <c r="I561" s="61">
        <f t="shared" si="678"/>
        <v>2.2570000000000001</v>
      </c>
      <c r="J561" s="61">
        <f t="shared" si="678"/>
        <v>1.835</v>
      </c>
      <c r="K561" s="61">
        <f t="shared" si="678"/>
        <v>1.649</v>
      </c>
      <c r="L561" s="61">
        <f>SUM(F561:K561)</f>
        <v>8.7479999999999993</v>
      </c>
      <c r="M561" s="61">
        <f>L561/6</f>
        <v>1.458</v>
      </c>
      <c r="N561" s="61">
        <f>N576+N591+N606+N621</f>
        <v>1.7549999999999999</v>
      </c>
      <c r="O561" s="61">
        <f t="shared" ref="O561:S561" si="679">O576+O591+O606+O621</f>
        <v>1.544</v>
      </c>
      <c r="P561" s="61">
        <f t="shared" si="679"/>
        <v>1.4430000000000001</v>
      </c>
      <c r="Q561" s="61">
        <f t="shared" si="679"/>
        <v>1.752</v>
      </c>
      <c r="R561" s="61">
        <f t="shared" si="679"/>
        <v>1.752</v>
      </c>
      <c r="S561" s="61">
        <f t="shared" si="679"/>
        <v>3.4569999999999999</v>
      </c>
      <c r="T561" s="61">
        <f>SUM(N561:S561)</f>
        <v>11.702999999999999</v>
      </c>
      <c r="U561" s="61">
        <f>T561+L561</f>
        <v>20.451000000000001</v>
      </c>
      <c r="V561" s="61">
        <f t="shared" ref="V561" si="680">V576+V591+V606+V621</f>
        <v>20.975000000000001</v>
      </c>
      <c r="W561" s="72">
        <f>V561-U561</f>
        <v>0.52400000000000002</v>
      </c>
      <c r="X561" s="63">
        <f>U556-U561</f>
        <v>0</v>
      </c>
    </row>
    <row r="562" spans="1:28" s="63" customFormat="1" ht="17.100000000000001" customHeight="1">
      <c r="A562" s="614"/>
      <c r="B562" s="581"/>
      <c r="C562" s="581"/>
      <c r="D562" s="201" t="str">
        <f>серпень!D485</f>
        <v>дотація</v>
      </c>
      <c r="E562" s="71"/>
      <c r="F562" s="61">
        <f t="shared" ref="F562:K562" si="681">F577+F592+F607+F622</f>
        <v>0</v>
      </c>
      <c r="G562" s="61">
        <f t="shared" si="681"/>
        <v>0</v>
      </c>
      <c r="H562" s="61">
        <f t="shared" si="681"/>
        <v>0</v>
      </c>
      <c r="I562" s="61">
        <f t="shared" si="681"/>
        <v>0</v>
      </c>
      <c r="J562" s="61">
        <f t="shared" si="681"/>
        <v>0</v>
      </c>
      <c r="K562" s="61">
        <f t="shared" si="681"/>
        <v>0</v>
      </c>
      <c r="L562" s="61">
        <f>SUM(F562:K562)</f>
        <v>0</v>
      </c>
      <c r="M562" s="61">
        <f>L562/6</f>
        <v>0</v>
      </c>
      <c r="N562" s="61">
        <f t="shared" ref="N562:S562" si="682">N577+N592+N607+N622</f>
        <v>0</v>
      </c>
      <c r="O562" s="61">
        <f t="shared" si="682"/>
        <v>0</v>
      </c>
      <c r="P562" s="61">
        <f t="shared" si="682"/>
        <v>0</v>
      </c>
      <c r="Q562" s="61">
        <f t="shared" si="682"/>
        <v>0</v>
      </c>
      <c r="R562" s="61">
        <f t="shared" si="682"/>
        <v>0</v>
      </c>
      <c r="S562" s="61">
        <f t="shared" si="682"/>
        <v>0</v>
      </c>
      <c r="T562" s="61">
        <f>SUM(N562:S562)</f>
        <v>0</v>
      </c>
      <c r="U562" s="61">
        <f>T562+L562</f>
        <v>0</v>
      </c>
      <c r="V562" s="61">
        <f t="shared" ref="V562" si="683">V577+V592+V607+V622</f>
        <v>0</v>
      </c>
      <c r="W562" s="72">
        <f>V562-U562</f>
        <v>0</v>
      </c>
      <c r="X562" s="63">
        <f>U557-U562</f>
        <v>0</v>
      </c>
    </row>
    <row r="563" spans="1:28" s="63" customFormat="1" ht="17.100000000000001" customHeight="1">
      <c r="A563" s="614"/>
      <c r="B563" s="581"/>
      <c r="C563" s="581"/>
      <c r="D563" s="201" t="str">
        <f>серпень!D486</f>
        <v xml:space="preserve">місцевий </v>
      </c>
      <c r="E563" s="71"/>
      <c r="F563" s="61">
        <f t="shared" ref="F563:K563" si="684">F578+F593+F608+F623</f>
        <v>0</v>
      </c>
      <c r="G563" s="61">
        <f t="shared" si="684"/>
        <v>1.5449999999999999</v>
      </c>
      <c r="H563" s="61">
        <f t="shared" si="684"/>
        <v>1.462</v>
      </c>
      <c r="I563" s="61">
        <f t="shared" si="684"/>
        <v>2.2570000000000001</v>
      </c>
      <c r="J563" s="61">
        <f t="shared" si="684"/>
        <v>1.835</v>
      </c>
      <c r="K563" s="61">
        <f t="shared" si="684"/>
        <v>1.649</v>
      </c>
      <c r="L563" s="61">
        <f>SUM(F563:K563)</f>
        <v>8.7479999999999993</v>
      </c>
      <c r="M563" s="61">
        <f>L563/6</f>
        <v>1.458</v>
      </c>
      <c r="N563" s="61">
        <f t="shared" ref="N563:S564" si="685">N578+N593+N608+N623</f>
        <v>1.7549999999999999</v>
      </c>
      <c r="O563" s="61">
        <f t="shared" si="685"/>
        <v>1.544</v>
      </c>
      <c r="P563" s="61">
        <f t="shared" si="685"/>
        <v>1.4430000000000001</v>
      </c>
      <c r="Q563" s="61">
        <f t="shared" si="685"/>
        <v>1.752</v>
      </c>
      <c r="R563" s="61">
        <f t="shared" si="685"/>
        <v>1.752</v>
      </c>
      <c r="S563" s="61">
        <f t="shared" si="685"/>
        <v>3.4569999999999999</v>
      </c>
      <c r="T563" s="61">
        <f>SUM(N563:S563)</f>
        <v>11.702999999999999</v>
      </c>
      <c r="U563" s="61">
        <f>T563+L563</f>
        <v>20.451000000000001</v>
      </c>
      <c r="V563" s="61">
        <f t="shared" ref="V563:V564" si="686">V578+V593+V608+V623</f>
        <v>20.975000000000001</v>
      </c>
      <c r="W563" s="72">
        <f>V563-U563</f>
        <v>0.52400000000000002</v>
      </c>
      <c r="X563" s="63">
        <f>U558-U563</f>
        <v>0.52400000000000002</v>
      </c>
    </row>
    <row r="564" spans="1:28" s="43" customFormat="1" ht="17.100000000000001" customHeight="1">
      <c r="A564" s="614"/>
      <c r="B564" s="581"/>
      <c r="C564" s="581"/>
      <c r="D564" s="202" t="str">
        <f>серпень!D487</f>
        <v>план</v>
      </c>
      <c r="E564" s="42"/>
      <c r="F564" s="42">
        <f>F579+F594+F609+F624</f>
        <v>1.754</v>
      </c>
      <c r="G564" s="42">
        <f t="shared" ref="G564:K564" si="687">G579+G594+G609+G624</f>
        <v>0</v>
      </c>
      <c r="H564" s="42">
        <f t="shared" si="687"/>
        <v>3.0409999999999999</v>
      </c>
      <c r="I564" s="42">
        <f t="shared" si="687"/>
        <v>0.55200000000000005</v>
      </c>
      <c r="J564" s="42">
        <f t="shared" si="687"/>
        <v>1.752</v>
      </c>
      <c r="K564" s="42">
        <f t="shared" si="687"/>
        <v>1.6519999999999999</v>
      </c>
      <c r="L564" s="42">
        <f>SUM(F564:K564)</f>
        <v>8.7509999999999994</v>
      </c>
      <c r="M564" s="42">
        <f>L564/6</f>
        <v>1.4590000000000001</v>
      </c>
      <c r="N564" s="42">
        <f>N579+N594+N609+N624</f>
        <v>1.752</v>
      </c>
      <c r="O564" s="42">
        <f t="shared" si="685"/>
        <v>1.552</v>
      </c>
      <c r="P564" s="42">
        <f t="shared" si="685"/>
        <v>1.752</v>
      </c>
      <c r="Q564" s="42">
        <f t="shared" si="685"/>
        <v>3.2519999999999998</v>
      </c>
      <c r="R564" s="42">
        <f t="shared" si="685"/>
        <v>1.752</v>
      </c>
      <c r="S564" s="42">
        <f t="shared" si="685"/>
        <v>2.1640000000000001</v>
      </c>
      <c r="T564" s="42">
        <f>SUM(N564:S564)</f>
        <v>12.224</v>
      </c>
      <c r="U564" s="42">
        <f>T564+L564</f>
        <v>20.975000000000001</v>
      </c>
      <c r="V564" s="42">
        <f t="shared" si="686"/>
        <v>20.975000000000001</v>
      </c>
      <c r="W564" s="42">
        <f>V564-U564</f>
        <v>0</v>
      </c>
    </row>
    <row r="565" spans="1:28" s="43" customFormat="1" ht="17.100000000000001" customHeight="1">
      <c r="A565" s="614"/>
      <c r="B565" s="581"/>
      <c r="C565" s="581"/>
      <c r="D565" s="202" t="str">
        <f>серпень!D488</f>
        <v xml:space="preserve">відхилення </v>
      </c>
      <c r="E565" s="42"/>
      <c r="F565" s="42">
        <f t="shared" si="669"/>
        <v>-0.751</v>
      </c>
      <c r="G565" s="42">
        <f t="shared" si="669"/>
        <v>0.878</v>
      </c>
      <c r="H565" s="42">
        <f t="shared" si="669"/>
        <v>-0.16400000000000001</v>
      </c>
      <c r="I565" s="42">
        <f t="shared" si="669"/>
        <v>0.69299999999999995</v>
      </c>
      <c r="J565" s="42">
        <f t="shared" si="669"/>
        <v>0.318</v>
      </c>
      <c r="K565" s="42">
        <f t="shared" si="669"/>
        <v>0.16</v>
      </c>
      <c r="L565" s="42"/>
      <c r="M565" s="42"/>
      <c r="N565" s="42">
        <f t="shared" ref="N565:S566" si="688">N580+N595</f>
        <v>0.36</v>
      </c>
      <c r="O565" s="42">
        <f t="shared" si="688"/>
        <v>0.125</v>
      </c>
      <c r="P565" s="42">
        <f t="shared" si="688"/>
        <v>0.125</v>
      </c>
      <c r="Q565" s="42">
        <f t="shared" si="688"/>
        <v>0</v>
      </c>
      <c r="R565" s="42">
        <f t="shared" si="688"/>
        <v>0</v>
      </c>
      <c r="S565" s="42">
        <f t="shared" si="688"/>
        <v>0.29099999999999998</v>
      </c>
      <c r="T565" s="42"/>
      <c r="U565" s="42"/>
      <c r="V565" s="42"/>
      <c r="W565" s="42"/>
    </row>
    <row r="566" spans="1:28" s="43" customFormat="1" ht="17.100000000000001" customHeight="1">
      <c r="A566" s="614"/>
      <c r="B566" s="581"/>
      <c r="C566" s="581"/>
      <c r="D566" s="202" t="str">
        <f>серпень!D489</f>
        <v>відхилення з наростаючим</v>
      </c>
      <c r="E566" s="42"/>
      <c r="F566" s="42">
        <f t="shared" si="669"/>
        <v>-0.751</v>
      </c>
      <c r="G566" s="42">
        <f t="shared" si="669"/>
        <v>0.127</v>
      </c>
      <c r="H566" s="42">
        <f t="shared" si="669"/>
        <v>-3.6999999999999998E-2</v>
      </c>
      <c r="I566" s="42">
        <f t="shared" si="669"/>
        <v>0.65600000000000003</v>
      </c>
      <c r="J566" s="42">
        <f t="shared" si="669"/>
        <v>0.97399999999999998</v>
      </c>
      <c r="K566" s="42">
        <f t="shared" si="669"/>
        <v>1.1339999999999999</v>
      </c>
      <c r="L566" s="42"/>
      <c r="M566" s="42"/>
      <c r="N566" s="42">
        <f t="shared" si="688"/>
        <v>1.494</v>
      </c>
      <c r="O566" s="42">
        <f t="shared" si="688"/>
        <v>1.619</v>
      </c>
      <c r="P566" s="42">
        <f t="shared" si="688"/>
        <v>1.744</v>
      </c>
      <c r="Q566" s="42">
        <f t="shared" si="688"/>
        <v>1.744</v>
      </c>
      <c r="R566" s="42">
        <f t="shared" si="688"/>
        <v>1.744</v>
      </c>
      <c r="S566" s="42">
        <f t="shared" si="688"/>
        <v>2.0350000000000001</v>
      </c>
      <c r="T566" s="42"/>
      <c r="U566" s="42"/>
      <c r="V566" s="42"/>
      <c r="W566" s="42"/>
    </row>
    <row r="567" spans="1:28" s="55" customFormat="1" ht="17.100000000000001" customHeight="1">
      <c r="A567" s="614"/>
      <c r="B567" s="581" t="s">
        <v>63</v>
      </c>
      <c r="C567" s="581"/>
      <c r="D567" s="178" t="str">
        <f>серпень!D490</f>
        <v>факт. нат.п-ки 2023</v>
      </c>
      <c r="E567" s="85"/>
      <c r="F567" s="12"/>
      <c r="G567" s="12"/>
      <c r="H567" s="12"/>
      <c r="I567" s="12"/>
      <c r="J567" s="12"/>
      <c r="K567" s="12"/>
      <c r="L567" s="140">
        <f>SUM(F567:K567)</f>
        <v>0</v>
      </c>
      <c r="M567" s="140">
        <f>L567/6</f>
        <v>0</v>
      </c>
      <c r="N567" s="12"/>
      <c r="O567" s="12"/>
      <c r="P567" s="12"/>
      <c r="Q567" s="12"/>
      <c r="R567" s="12"/>
      <c r="S567" s="12"/>
      <c r="T567" s="140">
        <f>SUM(N567:S567)</f>
        <v>0</v>
      </c>
      <c r="U567" s="140">
        <f>T567+L567</f>
        <v>0</v>
      </c>
      <c r="V567" s="104"/>
      <c r="W567" s="88"/>
      <c r="X567" s="47"/>
      <c r="Y567" s="48"/>
      <c r="Z567" s="48"/>
      <c r="AA567" s="48"/>
      <c r="AB567" s="48"/>
    </row>
    <row r="568" spans="1:28" s="48" customFormat="1" ht="17.100000000000001" customHeight="1">
      <c r="A568" s="614"/>
      <c r="B568" s="581"/>
      <c r="C568" s="581"/>
      <c r="D568" s="178" t="str">
        <f>серпень!D491</f>
        <v>факт. нат.п-ки 2024</v>
      </c>
      <c r="E568" s="85"/>
      <c r="F568" s="12"/>
      <c r="G568" s="12"/>
      <c r="H568" s="12"/>
      <c r="I568" s="12"/>
      <c r="J568" s="12"/>
      <c r="K568" s="12"/>
      <c r="L568" s="140">
        <f>SUM(F568:K568)</f>
        <v>0</v>
      </c>
      <c r="M568" s="140">
        <f>L568/6</f>
        <v>0</v>
      </c>
      <c r="N568" s="85"/>
      <c r="O568" s="85"/>
      <c r="P568" s="85"/>
      <c r="Q568" s="85"/>
      <c r="R568" s="85"/>
      <c r="S568" s="85"/>
      <c r="T568" s="140">
        <f>SUM(N568:S568)</f>
        <v>0</v>
      </c>
      <c r="U568" s="140">
        <f>T568+L568</f>
        <v>0</v>
      </c>
      <c r="V568" s="104"/>
      <c r="W568" s="88"/>
      <c r="X568" s="47"/>
    </row>
    <row r="569" spans="1:28" s="48" customFormat="1" ht="17.100000000000001" customHeight="1">
      <c r="A569" s="614"/>
      <c r="B569" s="581"/>
      <c r="C569" s="581"/>
      <c r="D569" s="178" t="str">
        <f>серпень!D492</f>
        <v>факт. нат.п-ки 2025</v>
      </c>
      <c r="E569" s="85"/>
      <c r="F569" s="12">
        <v>5.2</v>
      </c>
      <c r="G569" s="12">
        <v>5.2</v>
      </c>
      <c r="H569" s="12">
        <v>7.4</v>
      </c>
      <c r="I569" s="12">
        <v>6.4</v>
      </c>
      <c r="J569" s="12">
        <v>6.6</v>
      </c>
      <c r="K569" s="12">
        <v>6.6</v>
      </c>
      <c r="L569" s="140">
        <f>SUM(F569:K569)</f>
        <v>37.4</v>
      </c>
      <c r="M569" s="140">
        <f>L569/6</f>
        <v>6.2</v>
      </c>
      <c r="N569" s="12">
        <v>5.2</v>
      </c>
      <c r="O569" s="12">
        <v>5.2</v>
      </c>
      <c r="P569" s="12">
        <v>4.4000000000000004</v>
      </c>
      <c r="Q569" s="12">
        <v>4.4000000000000004</v>
      </c>
      <c r="R569" s="12">
        <v>4.4000000000000004</v>
      </c>
      <c r="S569" s="85">
        <v>4.4000000000000004</v>
      </c>
      <c r="T569" s="140">
        <f>SUM(N569:S569)</f>
        <v>28</v>
      </c>
      <c r="U569" s="140">
        <f>T569+L569</f>
        <v>65.400000000000006</v>
      </c>
      <c r="V569" s="85">
        <f>8970/169.88</f>
        <v>52.8</v>
      </c>
      <c r="W569" s="88">
        <f>V569-U569</f>
        <v>-12.6</v>
      </c>
      <c r="X569" s="47"/>
    </row>
    <row r="570" spans="1:28" s="51" customFormat="1" ht="17.100000000000001" customHeight="1">
      <c r="A570" s="614"/>
      <c r="B570" s="581"/>
      <c r="C570" s="581"/>
      <c r="D570" s="187" t="str">
        <f>серпень!D493</f>
        <v>тариф, грн.</v>
      </c>
      <c r="E570" s="92" t="e">
        <f>E571/E569*1000</f>
        <v>#DIV/0!</v>
      </c>
      <c r="F570" s="92">
        <f t="shared" ref="F570:K570" si="689">F571/F569*1000</f>
        <v>168.26900000000001</v>
      </c>
      <c r="G570" s="92">
        <f t="shared" si="689"/>
        <v>167.88499999999999</v>
      </c>
      <c r="H570" s="92">
        <f t="shared" si="689"/>
        <v>168.108</v>
      </c>
      <c r="I570" s="92">
        <f t="shared" si="689"/>
        <v>166.56299999999999</v>
      </c>
      <c r="J570" s="92">
        <f t="shared" si="689"/>
        <v>167.87899999999999</v>
      </c>
      <c r="K570" s="92">
        <f t="shared" si="689"/>
        <v>167.87899999999999</v>
      </c>
      <c r="L570" s="105">
        <f>L571/L569*1000</f>
        <v>167.75399999999999</v>
      </c>
      <c r="M570" s="105">
        <f>M571/M569*1000</f>
        <v>168.71</v>
      </c>
      <c r="N570" s="105">
        <f t="shared" ref="N570:O570" si="690">N571/N569*1000</f>
        <v>167.88499999999999</v>
      </c>
      <c r="O570" s="105">
        <f t="shared" si="690"/>
        <v>167.88499999999999</v>
      </c>
      <c r="P570" s="92">
        <v>169.98</v>
      </c>
      <c r="Q570" s="92">
        <v>169.98</v>
      </c>
      <c r="R570" s="92">
        <v>169.98</v>
      </c>
      <c r="S570" s="92">
        <v>169.98</v>
      </c>
      <c r="T570" s="105">
        <f>T571/T569*1000</f>
        <v>168.107</v>
      </c>
      <c r="U570" s="105">
        <f>U571/U569*1000</f>
        <v>167.905</v>
      </c>
      <c r="V570" s="105">
        <f>V571/V569*1000</f>
        <v>169.41300000000001</v>
      </c>
      <c r="W570" s="86">
        <f>W571/W569*1000</f>
        <v>161.58699999999999</v>
      </c>
      <c r="X570" s="59"/>
    </row>
    <row r="571" spans="1:28" s="130" customFormat="1" ht="17.100000000000001" customHeight="1">
      <c r="A571" s="614"/>
      <c r="B571" s="581"/>
      <c r="C571" s="581"/>
      <c r="D571" s="191" t="str">
        <f>серпень!D494</f>
        <v>сума, тис.грн.</v>
      </c>
      <c r="E571" s="93"/>
      <c r="F571" s="93">
        <v>0.875</v>
      </c>
      <c r="G571" s="93">
        <v>0.873</v>
      </c>
      <c r="H571" s="93">
        <v>1.244</v>
      </c>
      <c r="I571" s="93">
        <f>1.068-0.002</f>
        <v>1.0660000000000001</v>
      </c>
      <c r="J571" s="93">
        <v>1.1080000000000001</v>
      </c>
      <c r="K571" s="93">
        <v>1.1080000000000001</v>
      </c>
      <c r="L571" s="106">
        <f>SUM(F571:K571)</f>
        <v>6.274</v>
      </c>
      <c r="M571" s="106">
        <f>L571/6</f>
        <v>1.046</v>
      </c>
      <c r="N571" s="93">
        <v>0.873</v>
      </c>
      <c r="O571" s="93">
        <v>0.873</v>
      </c>
      <c r="P571" s="93">
        <f t="shared" ref="P571:R571" si="691">P569*P570/1000</f>
        <v>0.748</v>
      </c>
      <c r="Q571" s="93">
        <f t="shared" si="691"/>
        <v>0.748</v>
      </c>
      <c r="R571" s="93">
        <f t="shared" si="691"/>
        <v>0.748</v>
      </c>
      <c r="S571" s="93">
        <f>S569*S570/1000-0.03-0.001</f>
        <v>0.71699999999999997</v>
      </c>
      <c r="T571" s="106">
        <f>SUM(N571:S571)</f>
        <v>4.7069999999999999</v>
      </c>
      <c r="U571" s="106">
        <f>T571+L571</f>
        <v>10.981</v>
      </c>
      <c r="V571" s="107">
        <f>V572+V573</f>
        <v>8.9450000000000003</v>
      </c>
      <c r="W571" s="94">
        <f>V571-U571</f>
        <v>-2.036</v>
      </c>
    </row>
    <row r="572" spans="1:28" s="130" customFormat="1" ht="17.100000000000001" customHeight="1">
      <c r="A572" s="614"/>
      <c r="B572" s="581"/>
      <c r="C572" s="581"/>
      <c r="D572" s="174" t="str">
        <f>серпень!D495</f>
        <v>дотація</v>
      </c>
      <c r="E572" s="95"/>
      <c r="F572" s="93"/>
      <c r="G572" s="93"/>
      <c r="H572" s="93"/>
      <c r="I572" s="93"/>
      <c r="J572" s="93"/>
      <c r="K572" s="93"/>
      <c r="L572" s="106">
        <f>SUM(F572:K572)</f>
        <v>0</v>
      </c>
      <c r="M572" s="106">
        <f>L572/6</f>
        <v>0</v>
      </c>
      <c r="N572" s="93"/>
      <c r="O572" s="93"/>
      <c r="P572" s="93"/>
      <c r="Q572" s="93"/>
      <c r="R572" s="93"/>
      <c r="S572" s="93"/>
      <c r="T572" s="106">
        <f>SUM(N572:S572)</f>
        <v>0</v>
      </c>
      <c r="U572" s="106">
        <f>T572+L572</f>
        <v>0</v>
      </c>
      <c r="V572" s="107">
        <v>0</v>
      </c>
      <c r="W572" s="94">
        <f>V572-U572</f>
        <v>0</v>
      </c>
    </row>
    <row r="573" spans="1:28" s="130" customFormat="1" ht="17.100000000000001" customHeight="1">
      <c r="A573" s="614"/>
      <c r="B573" s="581"/>
      <c r="C573" s="581"/>
      <c r="D573" s="174" t="str">
        <f>серпень!D496</f>
        <v>місцевий (план), тис.грн</v>
      </c>
      <c r="E573" s="95"/>
      <c r="F573" s="93">
        <v>0.748</v>
      </c>
      <c r="G573" s="93">
        <f>0.748-0.748</f>
        <v>0</v>
      </c>
      <c r="H573" s="93">
        <f>0.748+0.748-0.463</f>
        <v>1.0329999999999999</v>
      </c>
      <c r="I573" s="93">
        <f>0.748-0.2</f>
        <v>0.54800000000000004</v>
      </c>
      <c r="J573" s="93">
        <v>0.748</v>
      </c>
      <c r="K573" s="93">
        <f>0.748+0.2</f>
        <v>0.94799999999999995</v>
      </c>
      <c r="L573" s="106">
        <f>SUM(F573:K573)</f>
        <v>4.0250000000000004</v>
      </c>
      <c r="M573" s="106">
        <f>L573/6</f>
        <v>0.67100000000000004</v>
      </c>
      <c r="N573" s="93">
        <v>0.748</v>
      </c>
      <c r="O573" s="93">
        <v>0.748</v>
      </c>
      <c r="P573" s="93">
        <v>0.748</v>
      </c>
      <c r="Q573" s="93">
        <v>0.748</v>
      </c>
      <c r="R573" s="93">
        <v>0.748</v>
      </c>
      <c r="S573" s="93">
        <f>0.748-0.03-0.001+0.463</f>
        <v>1.18</v>
      </c>
      <c r="T573" s="106">
        <f>SUM(N573:S573)</f>
        <v>4.92</v>
      </c>
      <c r="U573" s="106">
        <f>T573+L573</f>
        <v>8.9450000000000003</v>
      </c>
      <c r="V573" s="107">
        <f>8.97-0.025</f>
        <v>8.9450000000000003</v>
      </c>
      <c r="W573" s="94">
        <f>V573-U573</f>
        <v>0</v>
      </c>
    </row>
    <row r="574" spans="1:28" s="48" customFormat="1" ht="17.100000000000001" customHeight="1">
      <c r="A574" s="614"/>
      <c r="B574" s="581"/>
      <c r="C574" s="581"/>
      <c r="D574" s="178" t="str">
        <f>серпень!D497</f>
        <v>касові нат.п-ки 2025</v>
      </c>
      <c r="E574" s="85"/>
      <c r="F574" s="85">
        <v>0</v>
      </c>
      <c r="G574" s="85">
        <v>5.2</v>
      </c>
      <c r="H574" s="85">
        <v>5.2</v>
      </c>
      <c r="I574" s="85">
        <v>7.4</v>
      </c>
      <c r="J574" s="85">
        <v>6.4</v>
      </c>
      <c r="K574" s="85">
        <v>6.6</v>
      </c>
      <c r="L574" s="140">
        <f>SUM(F574:K574)</f>
        <v>30.8</v>
      </c>
      <c r="M574" s="140">
        <f>L574/6</f>
        <v>5.0999999999999996</v>
      </c>
      <c r="N574" s="85">
        <v>6.6</v>
      </c>
      <c r="O574" s="85">
        <v>5.2</v>
      </c>
      <c r="P574" s="85">
        <v>5.2</v>
      </c>
      <c r="Q574" s="85">
        <v>4.4000000000000004</v>
      </c>
      <c r="R574" s="85">
        <v>4.4000000000000004</v>
      </c>
      <c r="S574" s="85">
        <f>4.4+4.4</f>
        <v>8.8000000000000007</v>
      </c>
      <c r="T574" s="140">
        <f>SUM(N574:S574)</f>
        <v>34.6</v>
      </c>
      <c r="U574" s="140">
        <f>T574+L574</f>
        <v>65.400000000000006</v>
      </c>
      <c r="V574" s="85">
        <f>V569</f>
        <v>52.8</v>
      </c>
      <c r="W574" s="88">
        <f>V574-U574</f>
        <v>-12.6</v>
      </c>
      <c r="X574" s="47">
        <f>U569-U574</f>
        <v>0</v>
      </c>
    </row>
    <row r="575" spans="1:28" s="51" customFormat="1" ht="17.100000000000001" customHeight="1">
      <c r="A575" s="614"/>
      <c r="B575" s="581"/>
      <c r="C575" s="581"/>
      <c r="D575" s="187" t="str">
        <f>серпень!D498</f>
        <v>тариф, грн.</v>
      </c>
      <c r="E575" s="92" t="e">
        <f>E576/E574*1000</f>
        <v>#DIV/0!</v>
      </c>
      <c r="F575" s="92" t="e">
        <f t="shared" ref="F575:H575" si="692">F576/F574*1000</f>
        <v>#DIV/0!</v>
      </c>
      <c r="G575" s="92">
        <f t="shared" si="692"/>
        <v>168.46199999999999</v>
      </c>
      <c r="H575" s="92">
        <f t="shared" si="692"/>
        <v>167.5</v>
      </c>
      <c r="I575" s="92">
        <v>167.88</v>
      </c>
      <c r="J575" s="92">
        <v>167.88</v>
      </c>
      <c r="K575" s="92">
        <v>167.88</v>
      </c>
      <c r="L575" s="105">
        <f>L576/L574*1000</f>
        <v>167.59700000000001</v>
      </c>
      <c r="M575" s="105">
        <f>M576/M574*1000</f>
        <v>168.62700000000001</v>
      </c>
      <c r="N575" s="105">
        <f t="shared" ref="N575:P575" si="693">N576/N574*1000</f>
        <v>167.87899999999999</v>
      </c>
      <c r="O575" s="105">
        <f t="shared" si="693"/>
        <v>167.88499999999999</v>
      </c>
      <c r="P575" s="105">
        <f t="shared" si="693"/>
        <v>167.88499999999999</v>
      </c>
      <c r="Q575" s="92">
        <v>169.98</v>
      </c>
      <c r="R575" s="92">
        <v>169.98</v>
      </c>
      <c r="S575" s="92">
        <v>169.98</v>
      </c>
      <c r="T575" s="105">
        <f>T576/T574*1000</f>
        <v>168.179</v>
      </c>
      <c r="U575" s="105">
        <f>U576/U574*1000</f>
        <v>167.905</v>
      </c>
      <c r="V575" s="105">
        <f>V576/V574*1000</f>
        <v>169.41300000000001</v>
      </c>
      <c r="W575" s="86">
        <f>W576/W574*1000</f>
        <v>161.58699999999999</v>
      </c>
      <c r="X575" s="59"/>
    </row>
    <row r="576" spans="1:28" s="126" customFormat="1" ht="17.100000000000001" customHeight="1">
      <c r="A576" s="614"/>
      <c r="B576" s="581"/>
      <c r="C576" s="581"/>
      <c r="D576" s="198" t="str">
        <f>серпень!D499</f>
        <v>касові видатки, тис.грн.</v>
      </c>
      <c r="E576" s="108"/>
      <c r="F576" s="98">
        <v>0</v>
      </c>
      <c r="G576" s="98">
        <v>0.876</v>
      </c>
      <c r="H576" s="98">
        <v>0.871</v>
      </c>
      <c r="I576" s="98">
        <f>1.244-0.003</f>
        <v>1.2410000000000001</v>
      </c>
      <c r="J576" s="98">
        <f>1.068-0.002</f>
        <v>1.0660000000000001</v>
      </c>
      <c r="K576" s="98">
        <v>1.1080000000000001</v>
      </c>
      <c r="L576" s="98">
        <f>SUM(F576:K576)</f>
        <v>5.1619999999999999</v>
      </c>
      <c r="M576" s="98">
        <f>L576/6</f>
        <v>0.86</v>
      </c>
      <c r="N576" s="98">
        <v>1.1080000000000001</v>
      </c>
      <c r="O576" s="98">
        <v>0.873</v>
      </c>
      <c r="P576" s="98">
        <v>0.873</v>
      </c>
      <c r="Q576" s="98">
        <f t="shared" ref="Q576:R576" si="694">Q574*Q575/1000</f>
        <v>0.748</v>
      </c>
      <c r="R576" s="98">
        <f t="shared" si="694"/>
        <v>0.748</v>
      </c>
      <c r="S576" s="98">
        <f>S574*S575/1000-0.027</f>
        <v>1.4690000000000001</v>
      </c>
      <c r="T576" s="98">
        <f>SUM(N576:S576)</f>
        <v>5.819</v>
      </c>
      <c r="U576" s="98">
        <f>T576+L576</f>
        <v>10.981</v>
      </c>
      <c r="V576" s="98">
        <f>V571</f>
        <v>8.9450000000000003</v>
      </c>
      <c r="W576" s="109">
        <f>V576-U576</f>
        <v>-2.036</v>
      </c>
      <c r="X576" s="63">
        <f>U571-U576</f>
        <v>0</v>
      </c>
    </row>
    <row r="577" spans="1:28" s="126" customFormat="1" ht="17.100000000000001" customHeight="1">
      <c r="A577" s="614"/>
      <c r="B577" s="581"/>
      <c r="C577" s="581"/>
      <c r="D577" s="201" t="str">
        <f>серпень!D500</f>
        <v>дотація</v>
      </c>
      <c r="E577" s="108"/>
      <c r="F577" s="98">
        <v>0</v>
      </c>
      <c r="G577" s="98">
        <v>0</v>
      </c>
      <c r="H577" s="98">
        <v>0</v>
      </c>
      <c r="I577" s="98">
        <v>0</v>
      </c>
      <c r="J577" s="98">
        <v>0</v>
      </c>
      <c r="K577" s="98">
        <v>0</v>
      </c>
      <c r="L577" s="98">
        <f>SUM(F577:K577)</f>
        <v>0</v>
      </c>
      <c r="M577" s="98">
        <f>L577/6</f>
        <v>0</v>
      </c>
      <c r="N577" s="98">
        <v>0</v>
      </c>
      <c r="O577" s="98">
        <v>0</v>
      </c>
      <c r="P577" s="98">
        <v>0</v>
      </c>
      <c r="Q577" s="98">
        <v>0</v>
      </c>
      <c r="R577" s="98">
        <v>0</v>
      </c>
      <c r="S577" s="98">
        <v>0</v>
      </c>
      <c r="T577" s="98">
        <f>SUM(N577:S577)</f>
        <v>0</v>
      </c>
      <c r="U577" s="98">
        <f>T577+L577</f>
        <v>0</v>
      </c>
      <c r="V577" s="98">
        <f>V572</f>
        <v>0</v>
      </c>
      <c r="W577" s="109">
        <f>V577-U577</f>
        <v>0</v>
      </c>
      <c r="X577" s="63">
        <f>U572-U577</f>
        <v>0</v>
      </c>
    </row>
    <row r="578" spans="1:28" s="126" customFormat="1" ht="17.100000000000001" customHeight="1">
      <c r="A578" s="614"/>
      <c r="B578" s="581"/>
      <c r="C578" s="581"/>
      <c r="D578" s="201" t="str">
        <f>серпень!D501</f>
        <v xml:space="preserve">місцевий </v>
      </c>
      <c r="E578" s="108"/>
      <c r="F578" s="98">
        <f>F576-F577</f>
        <v>0</v>
      </c>
      <c r="G578" s="98">
        <f t="shared" ref="G578:K578" si="695">G576-G577</f>
        <v>0.876</v>
      </c>
      <c r="H578" s="98">
        <f t="shared" si="695"/>
        <v>0.871</v>
      </c>
      <c r="I578" s="98">
        <f t="shared" si="695"/>
        <v>1.2410000000000001</v>
      </c>
      <c r="J578" s="98">
        <f t="shared" si="695"/>
        <v>1.0660000000000001</v>
      </c>
      <c r="K578" s="98">
        <f t="shared" si="695"/>
        <v>1.1080000000000001</v>
      </c>
      <c r="L578" s="98">
        <f>SUM(F578:K578)</f>
        <v>5.1619999999999999</v>
      </c>
      <c r="M578" s="98">
        <f>L578/6</f>
        <v>0.86</v>
      </c>
      <c r="N578" s="98">
        <f t="shared" ref="N578:S578" si="696">N576-N577</f>
        <v>1.1080000000000001</v>
      </c>
      <c r="O578" s="98">
        <f t="shared" si="696"/>
        <v>0.873</v>
      </c>
      <c r="P578" s="98">
        <f t="shared" si="696"/>
        <v>0.873</v>
      </c>
      <c r="Q578" s="98">
        <f t="shared" si="696"/>
        <v>0.748</v>
      </c>
      <c r="R578" s="98">
        <f t="shared" si="696"/>
        <v>0.748</v>
      </c>
      <c r="S578" s="98">
        <f t="shared" si="696"/>
        <v>1.4690000000000001</v>
      </c>
      <c r="T578" s="98">
        <f>SUM(N578:S578)</f>
        <v>5.819</v>
      </c>
      <c r="U578" s="98">
        <f>T578+L578</f>
        <v>10.981</v>
      </c>
      <c r="V578" s="98">
        <f>V573</f>
        <v>8.9450000000000003</v>
      </c>
      <c r="W578" s="109">
        <f>V578-U578</f>
        <v>-2.036</v>
      </c>
      <c r="X578" s="63">
        <f>U573-U578</f>
        <v>-2.036</v>
      </c>
    </row>
    <row r="579" spans="1:28" s="43" customFormat="1" ht="17.100000000000001" customHeight="1">
      <c r="A579" s="614"/>
      <c r="B579" s="581"/>
      <c r="C579" s="581"/>
      <c r="D579" s="202" t="str">
        <f>серпень!D502</f>
        <v>план</v>
      </c>
      <c r="E579" s="100"/>
      <c r="F579" s="100">
        <f t="shared" ref="F579:K579" si="697">F573</f>
        <v>0.748</v>
      </c>
      <c r="G579" s="100">
        <f t="shared" si="697"/>
        <v>0</v>
      </c>
      <c r="H579" s="100">
        <f t="shared" si="697"/>
        <v>1.0329999999999999</v>
      </c>
      <c r="I579" s="100">
        <f t="shared" si="697"/>
        <v>0.54800000000000004</v>
      </c>
      <c r="J579" s="100">
        <f t="shared" si="697"/>
        <v>0.748</v>
      </c>
      <c r="K579" s="100">
        <f t="shared" si="697"/>
        <v>0.94799999999999995</v>
      </c>
      <c r="L579" s="100">
        <f>SUM(F579:K579)</f>
        <v>4.0250000000000004</v>
      </c>
      <c r="M579" s="100">
        <f>L579/6</f>
        <v>0.67100000000000004</v>
      </c>
      <c r="N579" s="100">
        <f t="shared" ref="N579:S579" si="698">N573+N572</f>
        <v>0.748</v>
      </c>
      <c r="O579" s="100">
        <f t="shared" si="698"/>
        <v>0.748</v>
      </c>
      <c r="P579" s="100">
        <f t="shared" si="698"/>
        <v>0.748</v>
      </c>
      <c r="Q579" s="100">
        <f t="shared" si="698"/>
        <v>0.748</v>
      </c>
      <c r="R579" s="100">
        <f t="shared" si="698"/>
        <v>0.748</v>
      </c>
      <c r="S579" s="100">
        <f t="shared" si="698"/>
        <v>1.18</v>
      </c>
      <c r="T579" s="100">
        <f>SUM(N579:S579)</f>
        <v>4.92</v>
      </c>
      <c r="U579" s="100">
        <f>T579+L579</f>
        <v>8.9450000000000003</v>
      </c>
      <c r="V579" s="100">
        <f>V576</f>
        <v>8.9450000000000003</v>
      </c>
      <c r="W579" s="100">
        <f>V579-U579</f>
        <v>0</v>
      </c>
    </row>
    <row r="580" spans="1:28" s="43" customFormat="1" ht="17.100000000000001" customHeight="1">
      <c r="A580" s="614"/>
      <c r="B580" s="581"/>
      <c r="C580" s="581"/>
      <c r="D580" s="202" t="str">
        <f>серпень!D503</f>
        <v xml:space="preserve">відхилення </v>
      </c>
      <c r="E580" s="100"/>
      <c r="F580" s="100">
        <f t="shared" ref="F580:K580" si="699">F576-F579</f>
        <v>-0.748</v>
      </c>
      <c r="G580" s="100">
        <f t="shared" si="699"/>
        <v>0.876</v>
      </c>
      <c r="H580" s="100">
        <f t="shared" si="699"/>
        <v>-0.16200000000000001</v>
      </c>
      <c r="I580" s="100">
        <f t="shared" si="699"/>
        <v>0.69299999999999995</v>
      </c>
      <c r="J580" s="100">
        <f t="shared" si="699"/>
        <v>0.318</v>
      </c>
      <c r="K580" s="100">
        <f t="shared" si="699"/>
        <v>0.16</v>
      </c>
      <c r="L580" s="100"/>
      <c r="M580" s="100"/>
      <c r="N580" s="100">
        <f t="shared" ref="N580:S580" si="700">N576-N579</f>
        <v>0.36</v>
      </c>
      <c r="O580" s="100">
        <f t="shared" si="700"/>
        <v>0.125</v>
      </c>
      <c r="P580" s="100">
        <f t="shared" si="700"/>
        <v>0.125</v>
      </c>
      <c r="Q580" s="100">
        <f t="shared" si="700"/>
        <v>0</v>
      </c>
      <c r="R580" s="100">
        <f t="shared" si="700"/>
        <v>0</v>
      </c>
      <c r="S580" s="100">
        <f t="shared" si="700"/>
        <v>0.28899999999999998</v>
      </c>
      <c r="T580" s="100"/>
      <c r="U580" s="100"/>
      <c r="V580" s="100"/>
      <c r="W580" s="100"/>
    </row>
    <row r="581" spans="1:28" s="43" customFormat="1" ht="17.100000000000001" customHeight="1">
      <c r="A581" s="614"/>
      <c r="B581" s="581"/>
      <c r="C581" s="581"/>
      <c r="D581" s="202" t="str">
        <f>серпень!D504</f>
        <v>відхилення з наростаючим</v>
      </c>
      <c r="E581" s="100"/>
      <c r="F581" s="100">
        <f>F580</f>
        <v>-0.748</v>
      </c>
      <c r="G581" s="100">
        <f>G580+F581</f>
        <v>0.128</v>
      </c>
      <c r="H581" s="100">
        <f>H580+G581</f>
        <v>-3.4000000000000002E-2</v>
      </c>
      <c r="I581" s="100">
        <f>I580+H581</f>
        <v>0.65900000000000003</v>
      </c>
      <c r="J581" s="100">
        <f>J580+I581</f>
        <v>0.97699999999999998</v>
      </c>
      <c r="K581" s="100">
        <f>K580+J581</f>
        <v>1.137</v>
      </c>
      <c r="L581" s="100"/>
      <c r="M581" s="100"/>
      <c r="N581" s="100">
        <f>N580+K581</f>
        <v>1.4970000000000001</v>
      </c>
      <c r="O581" s="100">
        <f>O580+N581</f>
        <v>1.6220000000000001</v>
      </c>
      <c r="P581" s="100">
        <f>P580+O581</f>
        <v>1.7470000000000001</v>
      </c>
      <c r="Q581" s="100">
        <f>Q580+P581</f>
        <v>1.7470000000000001</v>
      </c>
      <c r="R581" s="100">
        <f>R580+Q581</f>
        <v>1.7470000000000001</v>
      </c>
      <c r="S581" s="100">
        <f>S580+R581</f>
        <v>2.036</v>
      </c>
      <c r="T581" s="100"/>
      <c r="U581" s="100"/>
      <c r="V581" s="100"/>
      <c r="W581" s="100"/>
    </row>
    <row r="582" spans="1:28" s="55" customFormat="1" ht="17.100000000000001" customHeight="1">
      <c r="A582" s="614"/>
      <c r="B582" s="654" t="s">
        <v>132</v>
      </c>
      <c r="C582" s="581"/>
      <c r="D582" s="178" t="str">
        <f>серпень!D505</f>
        <v>факт. нат.п-ки 2023</v>
      </c>
      <c r="E582" s="85"/>
      <c r="F582" s="82"/>
      <c r="G582" s="82"/>
      <c r="H582" s="82"/>
      <c r="I582" s="82"/>
      <c r="J582" s="82"/>
      <c r="K582" s="82"/>
      <c r="L582" s="498">
        <f>SUM(F582:K582)</f>
        <v>0</v>
      </c>
      <c r="M582" s="498">
        <f>L582/6</f>
        <v>0</v>
      </c>
      <c r="N582" s="82"/>
      <c r="O582" s="82"/>
      <c r="P582" s="82"/>
      <c r="Q582" s="82"/>
      <c r="R582" s="82"/>
      <c r="S582" s="82"/>
      <c r="T582" s="498">
        <f>SUM(N582:S582)</f>
        <v>0</v>
      </c>
      <c r="U582" s="498">
        <f>T582+L582</f>
        <v>0</v>
      </c>
      <c r="V582" s="104"/>
      <c r="W582" s="88"/>
      <c r="X582" s="47"/>
      <c r="Y582" s="48"/>
      <c r="Z582" s="48"/>
      <c r="AA582" s="48"/>
      <c r="AB582" s="48"/>
    </row>
    <row r="583" spans="1:28" s="48" customFormat="1" ht="17.100000000000001" customHeight="1">
      <c r="A583" s="614"/>
      <c r="B583" s="581"/>
      <c r="C583" s="581"/>
      <c r="D583" s="178" t="str">
        <f>серпень!D506</f>
        <v>факт. нат.п-ки 2024</v>
      </c>
      <c r="E583" s="85"/>
      <c r="F583" s="82"/>
      <c r="G583" s="82"/>
      <c r="H583" s="82"/>
      <c r="I583" s="82"/>
      <c r="J583" s="82"/>
      <c r="K583" s="82"/>
      <c r="L583" s="498">
        <f>SUM(F583:K583)</f>
        <v>0</v>
      </c>
      <c r="M583" s="498">
        <f>L583/6</f>
        <v>0</v>
      </c>
      <c r="N583" s="494"/>
      <c r="O583" s="494"/>
      <c r="P583" s="494"/>
      <c r="Q583" s="494"/>
      <c r="R583" s="494"/>
      <c r="S583" s="494"/>
      <c r="T583" s="498">
        <f>SUM(N583:S583)</f>
        <v>0</v>
      </c>
      <c r="U583" s="498">
        <f>T583+L583</f>
        <v>0</v>
      </c>
      <c r="V583" s="104"/>
      <c r="W583" s="88"/>
      <c r="X583" s="47"/>
    </row>
    <row r="584" spans="1:28" s="48" customFormat="1" ht="17.100000000000001" customHeight="1">
      <c r="A584" s="614"/>
      <c r="B584" s="581"/>
      <c r="C584" s="581"/>
      <c r="D584" s="178" t="str">
        <f>серпень!D507</f>
        <v>факт. нат.п-ки 2025</v>
      </c>
      <c r="E584" s="85"/>
      <c r="F584" s="82">
        <v>1</v>
      </c>
      <c r="G584" s="82">
        <v>1</v>
      </c>
      <c r="H584" s="82">
        <v>1</v>
      </c>
      <c r="I584" s="82">
        <v>1</v>
      </c>
      <c r="J584" s="82">
        <v>1</v>
      </c>
      <c r="K584" s="82">
        <v>1</v>
      </c>
      <c r="L584" s="498">
        <f>SUM(F584:K584)</f>
        <v>6</v>
      </c>
      <c r="M584" s="498">
        <f>L584/6</f>
        <v>1</v>
      </c>
      <c r="N584" s="82">
        <v>1</v>
      </c>
      <c r="O584" s="82">
        <v>1</v>
      </c>
      <c r="P584" s="82">
        <v>1</v>
      </c>
      <c r="Q584" s="82">
        <v>1</v>
      </c>
      <c r="R584" s="82">
        <v>1</v>
      </c>
      <c r="S584" s="494">
        <v>1</v>
      </c>
      <c r="T584" s="498">
        <f>SUM(N584:S584)</f>
        <v>6</v>
      </c>
      <c r="U584" s="498">
        <f>T584+L584</f>
        <v>12</v>
      </c>
      <c r="V584" s="85">
        <v>12</v>
      </c>
      <c r="W584" s="88">
        <f>V584-U584</f>
        <v>0</v>
      </c>
      <c r="X584" s="47"/>
    </row>
    <row r="585" spans="1:28" s="51" customFormat="1" ht="17.100000000000001" customHeight="1">
      <c r="A585" s="614"/>
      <c r="B585" s="581"/>
      <c r="C585" s="581"/>
      <c r="D585" s="187" t="str">
        <f>серпень!D508</f>
        <v>тариф, грн.</v>
      </c>
      <c r="E585" s="92" t="e">
        <f>E586/E584*1000</f>
        <v>#DIV/0!</v>
      </c>
      <c r="F585" s="92">
        <f t="shared" ref="F585:G585" si="701">F586/F584*1000</f>
        <v>2</v>
      </c>
      <c r="G585" s="92">
        <f t="shared" si="701"/>
        <v>2</v>
      </c>
      <c r="H585" s="92">
        <v>2.1</v>
      </c>
      <c r="I585" s="92">
        <v>2.1</v>
      </c>
      <c r="J585" s="92">
        <v>2.1</v>
      </c>
      <c r="K585" s="92">
        <v>2.1</v>
      </c>
      <c r="L585" s="105">
        <f>L586/L584*1000</f>
        <v>2</v>
      </c>
      <c r="M585" s="105">
        <f>M586/M584*1000</f>
        <v>2</v>
      </c>
      <c r="N585" s="92">
        <v>2.1</v>
      </c>
      <c r="O585" s="92">
        <v>2.1</v>
      </c>
      <c r="P585" s="92">
        <v>2.1</v>
      </c>
      <c r="Q585" s="92">
        <v>2.1</v>
      </c>
      <c r="R585" s="92">
        <v>2.1</v>
      </c>
      <c r="S585" s="92">
        <v>2.1</v>
      </c>
      <c r="T585" s="105">
        <f>T586/T584*1000</f>
        <v>2</v>
      </c>
      <c r="U585" s="105">
        <f>U586/U584*1000</f>
        <v>2</v>
      </c>
      <c r="V585" s="105">
        <f>V586/V584*1000</f>
        <v>2.0830000000000002</v>
      </c>
      <c r="W585" s="86" t="e">
        <f>W586/W584*1000</f>
        <v>#DIV/0!</v>
      </c>
      <c r="X585" s="59"/>
    </row>
    <row r="586" spans="1:28" s="130" customFormat="1" ht="17.100000000000001" customHeight="1">
      <c r="A586" s="614"/>
      <c r="B586" s="581"/>
      <c r="C586" s="581"/>
      <c r="D586" s="191" t="str">
        <f>серпень!D509</f>
        <v>сума, тис.грн.</v>
      </c>
      <c r="E586" s="93"/>
      <c r="F586" s="93">
        <v>2E-3</v>
      </c>
      <c r="G586" s="93">
        <v>2E-3</v>
      </c>
      <c r="H586" s="93">
        <f t="shared" ref="H586:K586" si="702">H584*H585/1000</f>
        <v>2E-3</v>
      </c>
      <c r="I586" s="93">
        <f t="shared" si="702"/>
        <v>2E-3</v>
      </c>
      <c r="J586" s="93">
        <f t="shared" si="702"/>
        <v>2E-3</v>
      </c>
      <c r="K586" s="93">
        <f t="shared" si="702"/>
        <v>2E-3</v>
      </c>
      <c r="L586" s="106">
        <f>SUM(F586:K586)</f>
        <v>1.2E-2</v>
      </c>
      <c r="M586" s="106">
        <f>L586/6</f>
        <v>2E-3</v>
      </c>
      <c r="N586" s="93">
        <f>N584*N585/1000</f>
        <v>2E-3</v>
      </c>
      <c r="O586" s="93">
        <f t="shared" ref="O586:R586" si="703">O584*O585/1000</f>
        <v>2E-3</v>
      </c>
      <c r="P586" s="93">
        <f t="shared" si="703"/>
        <v>2E-3</v>
      </c>
      <c r="Q586" s="93">
        <f t="shared" si="703"/>
        <v>2E-3</v>
      </c>
      <c r="R586" s="93">
        <f t="shared" si="703"/>
        <v>2E-3</v>
      </c>
      <c r="S586" s="93">
        <f>S584*S585/1000</f>
        <v>2E-3</v>
      </c>
      <c r="T586" s="106">
        <f>SUM(N586:S586)</f>
        <v>1.2E-2</v>
      </c>
      <c r="U586" s="106">
        <f>T586+L586</f>
        <v>2.4E-2</v>
      </c>
      <c r="V586" s="107">
        <f>V587+V588</f>
        <v>2.5000000000000001E-2</v>
      </c>
      <c r="W586" s="94">
        <f>V586-U586</f>
        <v>1E-3</v>
      </c>
    </row>
    <row r="587" spans="1:28" s="130" customFormat="1" ht="17.100000000000001" customHeight="1">
      <c r="A587" s="614"/>
      <c r="B587" s="581"/>
      <c r="C587" s="581"/>
      <c r="D587" s="174" t="str">
        <f>серпень!D510</f>
        <v>дотація</v>
      </c>
      <c r="E587" s="95"/>
      <c r="F587" s="93"/>
      <c r="G587" s="93"/>
      <c r="H587" s="93"/>
      <c r="I587" s="93"/>
      <c r="J587" s="93"/>
      <c r="K587" s="93"/>
      <c r="L587" s="106">
        <f>SUM(F587:K587)</f>
        <v>0</v>
      </c>
      <c r="M587" s="106">
        <f>L587/6</f>
        <v>0</v>
      </c>
      <c r="N587" s="93"/>
      <c r="O587" s="93"/>
      <c r="P587" s="93"/>
      <c r="Q587" s="93"/>
      <c r="R587" s="93"/>
      <c r="S587" s="93"/>
      <c r="T587" s="106">
        <f>SUM(N587:S587)</f>
        <v>0</v>
      </c>
      <c r="U587" s="106">
        <f>T587+L587</f>
        <v>0</v>
      </c>
      <c r="V587" s="107">
        <v>0</v>
      </c>
      <c r="W587" s="94">
        <f>V587-U587</f>
        <v>0</v>
      </c>
    </row>
    <row r="588" spans="1:28" s="130" customFormat="1" ht="17.100000000000001" customHeight="1">
      <c r="A588" s="614"/>
      <c r="B588" s="581"/>
      <c r="C588" s="581"/>
      <c r="D588" s="174" t="str">
        <f>серпень!D511</f>
        <v>місцевий (план), тис.грн</v>
      </c>
      <c r="E588" s="95"/>
      <c r="F588" s="93">
        <v>3.0000000000000001E-3</v>
      </c>
      <c r="G588" s="93">
        <f>0.002-0.002</f>
        <v>0</v>
      </c>
      <c r="H588" s="93">
        <f>0.002+0.002</f>
        <v>4.0000000000000001E-3</v>
      </c>
      <c r="I588" s="93">
        <v>2E-3</v>
      </c>
      <c r="J588" s="93">
        <v>2E-3</v>
      </c>
      <c r="K588" s="93">
        <v>2E-3</v>
      </c>
      <c r="L588" s="106">
        <f>SUM(F588:K588)</f>
        <v>1.2999999999999999E-2</v>
      </c>
      <c r="M588" s="106">
        <f>L588/6</f>
        <v>2E-3</v>
      </c>
      <c r="N588" s="93">
        <v>2E-3</v>
      </c>
      <c r="O588" s="93">
        <v>2E-3</v>
      </c>
      <c r="P588" s="93">
        <v>2E-3</v>
      </c>
      <c r="Q588" s="93">
        <v>2E-3</v>
      </c>
      <c r="R588" s="93">
        <v>2E-3</v>
      </c>
      <c r="S588" s="93">
        <v>2E-3</v>
      </c>
      <c r="T588" s="106">
        <f>SUM(N588:S588)</f>
        <v>1.2E-2</v>
      </c>
      <c r="U588" s="106">
        <f>T588+L588</f>
        <v>2.5000000000000001E-2</v>
      </c>
      <c r="V588" s="107">
        <v>2.5000000000000001E-2</v>
      </c>
      <c r="W588" s="94">
        <f>V588-U588</f>
        <v>0</v>
      </c>
    </row>
    <row r="589" spans="1:28" s="48" customFormat="1" ht="17.100000000000001" customHeight="1">
      <c r="A589" s="614"/>
      <c r="B589" s="581"/>
      <c r="C589" s="581"/>
      <c r="D589" s="178" t="str">
        <f>серпень!D512</f>
        <v>касові нат.п-ки 2025</v>
      </c>
      <c r="E589" s="85"/>
      <c r="F589" s="512">
        <v>0</v>
      </c>
      <c r="G589" s="512">
        <v>1</v>
      </c>
      <c r="H589" s="512">
        <v>1</v>
      </c>
      <c r="I589" s="512">
        <v>1</v>
      </c>
      <c r="J589" s="512">
        <v>1</v>
      </c>
      <c r="K589" s="512">
        <v>1</v>
      </c>
      <c r="L589" s="140">
        <f>SUM(F589:K589)</f>
        <v>5</v>
      </c>
      <c r="M589" s="140">
        <f>L589/6</f>
        <v>0.8</v>
      </c>
      <c r="N589" s="512">
        <v>1</v>
      </c>
      <c r="O589" s="512">
        <v>1</v>
      </c>
      <c r="P589" s="512">
        <v>1</v>
      </c>
      <c r="Q589" s="512">
        <v>1</v>
      </c>
      <c r="R589" s="512">
        <v>1</v>
      </c>
      <c r="S589" s="512">
        <v>2</v>
      </c>
      <c r="T589" s="140">
        <f>SUM(N589:S589)</f>
        <v>7</v>
      </c>
      <c r="U589" s="140">
        <f>T589+L589</f>
        <v>12</v>
      </c>
      <c r="V589" s="85">
        <f>V584</f>
        <v>12</v>
      </c>
      <c r="W589" s="88">
        <f>V589-U589</f>
        <v>0</v>
      </c>
      <c r="X589" s="47">
        <f>U584-U589</f>
        <v>0</v>
      </c>
    </row>
    <row r="590" spans="1:28" s="51" customFormat="1" ht="17.100000000000001" customHeight="1">
      <c r="A590" s="614"/>
      <c r="B590" s="581"/>
      <c r="C590" s="581"/>
      <c r="D590" s="187" t="str">
        <f>серпень!D513</f>
        <v>тариф, грн.</v>
      </c>
      <c r="E590" s="92" t="e">
        <f>E591/E589*1000</f>
        <v>#DIV/0!</v>
      </c>
      <c r="F590" s="92" t="e">
        <f t="shared" ref="F590:H590" si="704">F591/F589*1000</f>
        <v>#DIV/0!</v>
      </c>
      <c r="G590" s="92">
        <f t="shared" si="704"/>
        <v>2</v>
      </c>
      <c r="H590" s="92">
        <f t="shared" si="704"/>
        <v>2</v>
      </c>
      <c r="I590" s="92">
        <v>2.1</v>
      </c>
      <c r="J590" s="92">
        <v>2.1</v>
      </c>
      <c r="K590" s="92">
        <v>2.1</v>
      </c>
      <c r="L590" s="105">
        <f>L591/L589*1000</f>
        <v>2</v>
      </c>
      <c r="M590" s="105">
        <f>M591/M589*1000</f>
        <v>2.5</v>
      </c>
      <c r="N590" s="92">
        <v>2.1</v>
      </c>
      <c r="O590" s="92">
        <v>2.1</v>
      </c>
      <c r="P590" s="92">
        <v>2.1</v>
      </c>
      <c r="Q590" s="92">
        <v>2.1</v>
      </c>
      <c r="R590" s="92">
        <v>2.1</v>
      </c>
      <c r="S590" s="92">
        <v>2.1</v>
      </c>
      <c r="T590" s="105">
        <f>T591/T589*1000</f>
        <v>2</v>
      </c>
      <c r="U590" s="105">
        <f>U591/U589*1000</f>
        <v>2</v>
      </c>
      <c r="V590" s="105">
        <f>V591/V589*1000</f>
        <v>2.0830000000000002</v>
      </c>
      <c r="W590" s="86" t="e">
        <f>W591/W589*1000</f>
        <v>#DIV/0!</v>
      </c>
      <c r="X590" s="59"/>
    </row>
    <row r="591" spans="1:28" s="126" customFormat="1" ht="17.100000000000001" customHeight="1">
      <c r="A591" s="614"/>
      <c r="B591" s="581"/>
      <c r="C591" s="581"/>
      <c r="D591" s="198" t="str">
        <f>серпень!D514</f>
        <v>касові видатки, тис.грн.</v>
      </c>
      <c r="E591" s="108"/>
      <c r="F591" s="98">
        <v>0</v>
      </c>
      <c r="G591" s="98">
        <v>2E-3</v>
      </c>
      <c r="H591" s="98">
        <v>2E-3</v>
      </c>
      <c r="I591" s="98">
        <f t="shared" ref="I591:K591" si="705">I589*I590/1000</f>
        <v>2E-3</v>
      </c>
      <c r="J591" s="98">
        <f t="shared" si="705"/>
        <v>2E-3</v>
      </c>
      <c r="K591" s="98">
        <f t="shared" si="705"/>
        <v>2E-3</v>
      </c>
      <c r="L591" s="98">
        <f>SUM(F591:K591)</f>
        <v>0.01</v>
      </c>
      <c r="M591" s="98">
        <f>L591/6</f>
        <v>2E-3</v>
      </c>
      <c r="N591" s="98">
        <f>N589*N590/1000</f>
        <v>2E-3</v>
      </c>
      <c r="O591" s="98">
        <f t="shared" ref="O591" si="706">O589*O590/1000</f>
        <v>2E-3</v>
      </c>
      <c r="P591" s="98">
        <f t="shared" ref="P591" si="707">P589*P590/1000</f>
        <v>2E-3</v>
      </c>
      <c r="Q591" s="98">
        <f t="shared" ref="Q591" si="708">Q589*Q590/1000</f>
        <v>2E-3</v>
      </c>
      <c r="R591" s="98">
        <f t="shared" ref="R591" si="709">R589*R590/1000</f>
        <v>2E-3</v>
      </c>
      <c r="S591" s="98">
        <f>S589*S590/1000</f>
        <v>4.0000000000000001E-3</v>
      </c>
      <c r="T591" s="98">
        <f>SUM(N591:S591)</f>
        <v>1.4E-2</v>
      </c>
      <c r="U591" s="98">
        <f>T591+L591</f>
        <v>2.4E-2</v>
      </c>
      <c r="V591" s="98">
        <f>V586</f>
        <v>2.5000000000000001E-2</v>
      </c>
      <c r="W591" s="109">
        <f>V591-U591</f>
        <v>1E-3</v>
      </c>
      <c r="X591" s="63">
        <f>U586-U591</f>
        <v>0</v>
      </c>
    </row>
    <row r="592" spans="1:28" s="126" customFormat="1" ht="17.100000000000001" customHeight="1">
      <c r="A592" s="614"/>
      <c r="B592" s="581"/>
      <c r="C592" s="581"/>
      <c r="D592" s="201" t="str">
        <f>серпень!D515</f>
        <v>дотація</v>
      </c>
      <c r="E592" s="108"/>
      <c r="F592" s="98">
        <v>0</v>
      </c>
      <c r="G592" s="98">
        <v>0</v>
      </c>
      <c r="H592" s="98">
        <v>0</v>
      </c>
      <c r="I592" s="98">
        <v>0</v>
      </c>
      <c r="J592" s="98">
        <v>0</v>
      </c>
      <c r="K592" s="98">
        <v>0</v>
      </c>
      <c r="L592" s="98">
        <f>SUM(F592:K592)</f>
        <v>0</v>
      </c>
      <c r="M592" s="98">
        <f>L592/6</f>
        <v>0</v>
      </c>
      <c r="N592" s="98">
        <v>0</v>
      </c>
      <c r="O592" s="98">
        <v>0</v>
      </c>
      <c r="P592" s="98">
        <v>0</v>
      </c>
      <c r="Q592" s="98">
        <v>0</v>
      </c>
      <c r="R592" s="98">
        <v>0</v>
      </c>
      <c r="S592" s="98">
        <v>0</v>
      </c>
      <c r="T592" s="98">
        <f>SUM(N592:S592)</f>
        <v>0</v>
      </c>
      <c r="U592" s="98">
        <f>T592+L592</f>
        <v>0</v>
      </c>
      <c r="V592" s="98">
        <f>V587</f>
        <v>0</v>
      </c>
      <c r="W592" s="109">
        <f>V592-U592</f>
        <v>0</v>
      </c>
      <c r="X592" s="63">
        <f>U587-U592</f>
        <v>0</v>
      </c>
    </row>
    <row r="593" spans="1:28" s="126" customFormat="1" ht="17.100000000000001" customHeight="1">
      <c r="A593" s="614"/>
      <c r="B593" s="581"/>
      <c r="C593" s="581"/>
      <c r="D593" s="201" t="str">
        <f>серпень!D516</f>
        <v xml:space="preserve">місцевий </v>
      </c>
      <c r="E593" s="108"/>
      <c r="F593" s="98">
        <f>F591-F592</f>
        <v>0</v>
      </c>
      <c r="G593" s="98">
        <f t="shared" ref="G593:K593" si="710">G591-G592</f>
        <v>2E-3</v>
      </c>
      <c r="H593" s="98">
        <f t="shared" si="710"/>
        <v>2E-3</v>
      </c>
      <c r="I593" s="98">
        <f t="shared" si="710"/>
        <v>2E-3</v>
      </c>
      <c r="J593" s="98">
        <f t="shared" si="710"/>
        <v>2E-3</v>
      </c>
      <c r="K593" s="98">
        <f t="shared" si="710"/>
        <v>2E-3</v>
      </c>
      <c r="L593" s="98">
        <f>SUM(F593:K593)</f>
        <v>0.01</v>
      </c>
      <c r="M593" s="98">
        <f>L593/6</f>
        <v>2E-3</v>
      </c>
      <c r="N593" s="98">
        <f t="shared" ref="N593:S593" si="711">N591-N592</f>
        <v>2E-3</v>
      </c>
      <c r="O593" s="98">
        <f t="shared" si="711"/>
        <v>2E-3</v>
      </c>
      <c r="P593" s="98">
        <f t="shared" si="711"/>
        <v>2E-3</v>
      </c>
      <c r="Q593" s="98">
        <f t="shared" si="711"/>
        <v>2E-3</v>
      </c>
      <c r="R593" s="98">
        <f t="shared" si="711"/>
        <v>2E-3</v>
      </c>
      <c r="S593" s="98">
        <f t="shared" si="711"/>
        <v>4.0000000000000001E-3</v>
      </c>
      <c r="T593" s="98">
        <f>SUM(N593:S593)</f>
        <v>1.4E-2</v>
      </c>
      <c r="U593" s="98">
        <f>T593+L593</f>
        <v>2.4E-2</v>
      </c>
      <c r="V593" s="98">
        <f>V588</f>
        <v>2.5000000000000001E-2</v>
      </c>
      <c r="W593" s="109">
        <f>V593-U593</f>
        <v>1E-3</v>
      </c>
      <c r="X593" s="63">
        <f>U588-U593</f>
        <v>1E-3</v>
      </c>
    </row>
    <row r="594" spans="1:28" s="43" customFormat="1" ht="17.100000000000001" customHeight="1">
      <c r="A594" s="614"/>
      <c r="B594" s="581"/>
      <c r="C594" s="581"/>
      <c r="D594" s="202" t="str">
        <f>серпень!D517</f>
        <v>план</v>
      </c>
      <c r="E594" s="100"/>
      <c r="F594" s="100">
        <f t="shared" ref="F594:K594" si="712">F588</f>
        <v>3.0000000000000001E-3</v>
      </c>
      <c r="G594" s="100">
        <f t="shared" si="712"/>
        <v>0</v>
      </c>
      <c r="H594" s="100">
        <f t="shared" si="712"/>
        <v>4.0000000000000001E-3</v>
      </c>
      <c r="I594" s="100">
        <f t="shared" si="712"/>
        <v>2E-3</v>
      </c>
      <c r="J594" s="100">
        <f t="shared" si="712"/>
        <v>2E-3</v>
      </c>
      <c r="K594" s="100">
        <f t="shared" si="712"/>
        <v>2E-3</v>
      </c>
      <c r="L594" s="100">
        <f>SUM(F594:K594)</f>
        <v>1.2999999999999999E-2</v>
      </c>
      <c r="M594" s="100">
        <f>L594/6</f>
        <v>2E-3</v>
      </c>
      <c r="N594" s="100">
        <f t="shared" ref="N594:S594" si="713">N588+N587</f>
        <v>2E-3</v>
      </c>
      <c r="O594" s="100">
        <f t="shared" si="713"/>
        <v>2E-3</v>
      </c>
      <c r="P594" s="100">
        <f t="shared" si="713"/>
        <v>2E-3</v>
      </c>
      <c r="Q594" s="100">
        <f t="shared" si="713"/>
        <v>2E-3</v>
      </c>
      <c r="R594" s="100">
        <f t="shared" si="713"/>
        <v>2E-3</v>
      </c>
      <c r="S594" s="100">
        <f t="shared" si="713"/>
        <v>2E-3</v>
      </c>
      <c r="T594" s="100">
        <f>SUM(N594:S594)</f>
        <v>1.2E-2</v>
      </c>
      <c r="U594" s="100">
        <f>T594+L594</f>
        <v>2.5000000000000001E-2</v>
      </c>
      <c r="V594" s="100">
        <f>V591</f>
        <v>2.5000000000000001E-2</v>
      </c>
      <c r="W594" s="100">
        <f>V594-U594</f>
        <v>0</v>
      </c>
    </row>
    <row r="595" spans="1:28" s="43" customFormat="1" ht="17.100000000000001" customHeight="1">
      <c r="A595" s="614"/>
      <c r="B595" s="581"/>
      <c r="C595" s="581"/>
      <c r="D595" s="202" t="str">
        <f>серпень!D518</f>
        <v xml:space="preserve">відхилення </v>
      </c>
      <c r="E595" s="100"/>
      <c r="F595" s="100">
        <f t="shared" ref="F595:K595" si="714">F591-F594</f>
        <v>-3.0000000000000001E-3</v>
      </c>
      <c r="G595" s="100">
        <f t="shared" si="714"/>
        <v>2E-3</v>
      </c>
      <c r="H595" s="100">
        <f t="shared" si="714"/>
        <v>-2E-3</v>
      </c>
      <c r="I595" s="100">
        <f t="shared" si="714"/>
        <v>0</v>
      </c>
      <c r="J595" s="100">
        <f t="shared" si="714"/>
        <v>0</v>
      </c>
      <c r="K595" s="100">
        <f t="shared" si="714"/>
        <v>0</v>
      </c>
      <c r="L595" s="100"/>
      <c r="M595" s="100"/>
      <c r="N595" s="100">
        <f t="shared" ref="N595:S595" si="715">N591-N594</f>
        <v>0</v>
      </c>
      <c r="O595" s="100">
        <f t="shared" si="715"/>
        <v>0</v>
      </c>
      <c r="P595" s="100">
        <f t="shared" si="715"/>
        <v>0</v>
      </c>
      <c r="Q595" s="100">
        <f t="shared" si="715"/>
        <v>0</v>
      </c>
      <c r="R595" s="100">
        <f t="shared" si="715"/>
        <v>0</v>
      </c>
      <c r="S595" s="100">
        <f t="shared" si="715"/>
        <v>2E-3</v>
      </c>
      <c r="T595" s="100"/>
      <c r="U595" s="100"/>
      <c r="V595" s="100"/>
      <c r="W595" s="100"/>
    </row>
    <row r="596" spans="1:28" s="43" customFormat="1" ht="17.100000000000001" customHeight="1">
      <c r="A596" s="614"/>
      <c r="B596" s="581"/>
      <c r="C596" s="581"/>
      <c r="D596" s="202" t="str">
        <f>серпень!D519</f>
        <v>відхилення з наростаючим</v>
      </c>
      <c r="E596" s="100"/>
      <c r="F596" s="100">
        <f>F595</f>
        <v>-3.0000000000000001E-3</v>
      </c>
      <c r="G596" s="100">
        <f>G595+F596</f>
        <v>-1E-3</v>
      </c>
      <c r="H596" s="100">
        <f>H595+G596</f>
        <v>-3.0000000000000001E-3</v>
      </c>
      <c r="I596" s="100">
        <f>I595+H596</f>
        <v>-3.0000000000000001E-3</v>
      </c>
      <c r="J596" s="100">
        <f>J595+I596</f>
        <v>-3.0000000000000001E-3</v>
      </c>
      <c r="K596" s="100">
        <f>K595+J596</f>
        <v>-3.0000000000000001E-3</v>
      </c>
      <c r="L596" s="100"/>
      <c r="M596" s="100"/>
      <c r="N596" s="100">
        <f>N595+K596</f>
        <v>-3.0000000000000001E-3</v>
      </c>
      <c r="O596" s="100">
        <f>O595+N596</f>
        <v>-3.0000000000000001E-3</v>
      </c>
      <c r="P596" s="100">
        <f>P595+O596</f>
        <v>-3.0000000000000001E-3</v>
      </c>
      <c r="Q596" s="100">
        <f>Q595+P596</f>
        <v>-3.0000000000000001E-3</v>
      </c>
      <c r="R596" s="100">
        <f>R595+Q596</f>
        <v>-3.0000000000000001E-3</v>
      </c>
      <c r="S596" s="100">
        <f>S595+R596</f>
        <v>-1E-3</v>
      </c>
      <c r="T596" s="100"/>
      <c r="U596" s="100"/>
      <c r="V596" s="100"/>
      <c r="W596" s="100"/>
    </row>
    <row r="597" spans="1:28" s="55" customFormat="1" ht="18.350000000000001" customHeight="1">
      <c r="A597" s="614"/>
      <c r="B597" s="581" t="s">
        <v>64</v>
      </c>
      <c r="C597" s="581"/>
      <c r="D597" s="178" t="str">
        <f>серпень!D520</f>
        <v>факт. нат.п-ки 2023</v>
      </c>
      <c r="E597" s="85"/>
      <c r="F597" s="82"/>
      <c r="G597" s="82"/>
      <c r="H597" s="82"/>
      <c r="I597" s="82"/>
      <c r="J597" s="82"/>
      <c r="K597" s="82"/>
      <c r="L597" s="498">
        <f>SUM(F597:K597)</f>
        <v>0</v>
      </c>
      <c r="M597" s="498">
        <f>L597/6</f>
        <v>0</v>
      </c>
      <c r="N597" s="82"/>
      <c r="O597" s="82"/>
      <c r="P597" s="82"/>
      <c r="Q597" s="82"/>
      <c r="R597" s="82"/>
      <c r="S597" s="82"/>
      <c r="T597" s="498">
        <f>SUM(N597:S597)</f>
        <v>0</v>
      </c>
      <c r="U597" s="498">
        <f>T597+L597</f>
        <v>0</v>
      </c>
      <c r="V597" s="501"/>
      <c r="W597" s="88"/>
      <c r="X597" s="47"/>
      <c r="Y597" s="48"/>
      <c r="Z597" s="48"/>
      <c r="AA597" s="48"/>
      <c r="AB597" s="48"/>
    </row>
    <row r="598" spans="1:28" s="48" customFormat="1" ht="18.350000000000001" customHeight="1">
      <c r="A598" s="614"/>
      <c r="B598" s="581"/>
      <c r="C598" s="581"/>
      <c r="D598" s="178" t="str">
        <f>серпень!D521</f>
        <v>факт. нат.п-ки 2024</v>
      </c>
      <c r="E598" s="85"/>
      <c r="F598" s="82"/>
      <c r="G598" s="82"/>
      <c r="H598" s="82"/>
      <c r="I598" s="82"/>
      <c r="J598" s="82"/>
      <c r="K598" s="82"/>
      <c r="L598" s="498">
        <f>SUM(F598:K598)</f>
        <v>0</v>
      </c>
      <c r="M598" s="498">
        <f>L598/6</f>
        <v>0</v>
      </c>
      <c r="N598" s="494"/>
      <c r="O598" s="494"/>
      <c r="P598" s="494"/>
      <c r="Q598" s="494"/>
      <c r="R598" s="494"/>
      <c r="S598" s="494"/>
      <c r="T598" s="498">
        <f>SUM(N598:S598)</f>
        <v>0</v>
      </c>
      <c r="U598" s="498">
        <f>T598+L598</f>
        <v>0</v>
      </c>
      <c r="V598" s="501"/>
      <c r="W598" s="88"/>
      <c r="X598" s="47"/>
    </row>
    <row r="599" spans="1:28" s="48" customFormat="1" ht="18.350000000000001" customHeight="1">
      <c r="A599" s="614"/>
      <c r="B599" s="581"/>
      <c r="C599" s="581"/>
      <c r="D599" s="178" t="str">
        <f>серпень!D522</f>
        <v>факт. нат.п-ки 2025</v>
      </c>
      <c r="E599" s="85"/>
      <c r="F599" s="82">
        <v>3.3</v>
      </c>
      <c r="G599" s="82">
        <v>2.89</v>
      </c>
      <c r="H599" s="82">
        <v>5</v>
      </c>
      <c r="I599" s="82">
        <v>3.7829999999999999</v>
      </c>
      <c r="J599" s="82">
        <v>2.657</v>
      </c>
      <c r="K599" s="82">
        <v>3.18</v>
      </c>
      <c r="L599" s="498">
        <f>SUM(F599:K599)</f>
        <v>20.81</v>
      </c>
      <c r="M599" s="498">
        <f>L599/6</f>
        <v>3.468</v>
      </c>
      <c r="N599" s="82">
        <v>3.3</v>
      </c>
      <c r="O599" s="82">
        <v>2.798</v>
      </c>
      <c r="P599" s="82">
        <v>4.4000000000000004</v>
      </c>
      <c r="Q599" s="82">
        <v>4.4000000000000004</v>
      </c>
      <c r="R599" s="82">
        <v>4.4000000000000004</v>
      </c>
      <c r="S599" s="82">
        <v>4.4000000000000004</v>
      </c>
      <c r="T599" s="498">
        <f>SUM(N599:S599)</f>
        <v>23.698</v>
      </c>
      <c r="U599" s="498">
        <f>T599+L599</f>
        <v>44.508000000000003</v>
      </c>
      <c r="V599" s="494">
        <v>52.8</v>
      </c>
      <c r="W599" s="88">
        <f>V599-U599</f>
        <v>8.3000000000000007</v>
      </c>
      <c r="X599" s="47"/>
    </row>
    <row r="600" spans="1:28" s="51" customFormat="1" ht="18.350000000000001" customHeight="1">
      <c r="A600" s="614"/>
      <c r="B600" s="581"/>
      <c r="C600" s="581"/>
      <c r="D600" s="187" t="str">
        <f>серпень!D523</f>
        <v>тариф, грн.</v>
      </c>
      <c r="E600" s="92" t="e">
        <f>E601/E599*1000</f>
        <v>#DIV/0!</v>
      </c>
      <c r="F600" s="92">
        <f t="shared" ref="F600:K600" si="716">F601/F599*1000</f>
        <v>202.12100000000001</v>
      </c>
      <c r="G600" s="92">
        <f t="shared" si="716"/>
        <v>202.07599999999999</v>
      </c>
      <c r="H600" s="92">
        <f t="shared" si="716"/>
        <v>202.4</v>
      </c>
      <c r="I600" s="92">
        <f t="shared" si="716"/>
        <v>202.22</v>
      </c>
      <c r="J600" s="92">
        <f t="shared" si="716"/>
        <v>202.108</v>
      </c>
      <c r="K600" s="92">
        <f t="shared" si="716"/>
        <v>202.20099999999999</v>
      </c>
      <c r="L600" s="105">
        <f>L601/L599*1000</f>
        <v>202.21</v>
      </c>
      <c r="M600" s="105">
        <f>M601/M599*1000</f>
        <v>202.13399999999999</v>
      </c>
      <c r="N600" s="105">
        <f t="shared" ref="N600:O600" si="717">N601/N599*1000</f>
        <v>202.12100000000001</v>
      </c>
      <c r="O600" s="105">
        <f t="shared" si="717"/>
        <v>202.28700000000001</v>
      </c>
      <c r="P600" s="92">
        <v>227.36699999999999</v>
      </c>
      <c r="Q600" s="92">
        <v>227.36699999999999</v>
      </c>
      <c r="R600" s="92">
        <v>227.36699999999999</v>
      </c>
      <c r="S600" s="92">
        <v>227.36699999999999</v>
      </c>
      <c r="T600" s="105">
        <f>T601/T599*1000</f>
        <v>219.976</v>
      </c>
      <c r="U600" s="105">
        <f>U601/U599*1000</f>
        <v>211.67</v>
      </c>
      <c r="V600" s="105">
        <f>V601/V599*1000</f>
        <v>226.89400000000001</v>
      </c>
      <c r="W600" s="86">
        <f>W601/W599*1000</f>
        <v>308.31299999999999</v>
      </c>
      <c r="X600" s="59"/>
    </row>
    <row r="601" spans="1:28" s="130" customFormat="1" ht="18.350000000000001" customHeight="1">
      <c r="A601" s="614"/>
      <c r="B601" s="581"/>
      <c r="C601" s="581"/>
      <c r="D601" s="191" t="str">
        <f>серпень!D524</f>
        <v>сума, тис.грн.</v>
      </c>
      <c r="E601" s="93"/>
      <c r="F601" s="93">
        <v>0.66700000000000004</v>
      </c>
      <c r="G601" s="93">
        <v>0.58399999999999996</v>
      </c>
      <c r="H601" s="93">
        <v>1.012</v>
      </c>
      <c r="I601" s="93">
        <v>0.76500000000000001</v>
      </c>
      <c r="J601" s="93">
        <v>0.53700000000000003</v>
      </c>
      <c r="K601" s="93">
        <v>0.64300000000000002</v>
      </c>
      <c r="L601" s="106">
        <f>SUM(F601:K601)</f>
        <v>4.2080000000000002</v>
      </c>
      <c r="M601" s="106">
        <f>L601/6</f>
        <v>0.70099999999999996</v>
      </c>
      <c r="N601" s="93">
        <v>0.66700000000000004</v>
      </c>
      <c r="O601" s="93">
        <v>0.56599999999999995</v>
      </c>
      <c r="P601" s="93">
        <f t="shared" ref="P601" si="718">P599*P600/1000</f>
        <v>1</v>
      </c>
      <c r="Q601" s="93">
        <f t="shared" ref="Q601" si="719">Q599*Q600/1000</f>
        <v>1</v>
      </c>
      <c r="R601" s="93">
        <f t="shared" ref="R601" si="720">R599*R600/1000</f>
        <v>1</v>
      </c>
      <c r="S601" s="93">
        <f>S599*S600/1000-0.019-0.001</f>
        <v>0.98</v>
      </c>
      <c r="T601" s="106">
        <f>SUM(N601:S601)</f>
        <v>5.2130000000000001</v>
      </c>
      <c r="U601" s="106">
        <f>T601+L601</f>
        <v>9.4209999999999994</v>
      </c>
      <c r="V601" s="107">
        <f>V602+V603</f>
        <v>11.98</v>
      </c>
      <c r="W601" s="94">
        <f>V601-U601</f>
        <v>2.5590000000000002</v>
      </c>
    </row>
    <row r="602" spans="1:28" s="130" customFormat="1" ht="18.350000000000001" customHeight="1">
      <c r="A602" s="614"/>
      <c r="B602" s="581"/>
      <c r="C602" s="581"/>
      <c r="D602" s="174" t="str">
        <f>серпень!D525</f>
        <v>дотація</v>
      </c>
      <c r="E602" s="95"/>
      <c r="F602" s="93"/>
      <c r="G602" s="93"/>
      <c r="H602" s="93"/>
      <c r="I602" s="93"/>
      <c r="J602" s="93"/>
      <c r="K602" s="93"/>
      <c r="L602" s="106">
        <f>SUM(F602:K602)</f>
        <v>0</v>
      </c>
      <c r="M602" s="106">
        <f>L602/6</f>
        <v>0</v>
      </c>
      <c r="N602" s="93"/>
      <c r="O602" s="93"/>
      <c r="P602" s="93"/>
      <c r="Q602" s="93"/>
      <c r="R602" s="93"/>
      <c r="S602" s="93"/>
      <c r="T602" s="106">
        <f>SUM(N602:S602)</f>
        <v>0</v>
      </c>
      <c r="U602" s="106">
        <f>T602+L602</f>
        <v>0</v>
      </c>
      <c r="V602" s="107">
        <v>0</v>
      </c>
      <c r="W602" s="94">
        <f>V602-U602</f>
        <v>0</v>
      </c>
    </row>
    <row r="603" spans="1:28" s="130" customFormat="1" ht="18.350000000000001" customHeight="1">
      <c r="A603" s="614"/>
      <c r="B603" s="581"/>
      <c r="C603" s="581"/>
      <c r="D603" s="174" t="str">
        <f>серпень!D526</f>
        <v>місцевий (план), тис.грн</v>
      </c>
      <c r="E603" s="95"/>
      <c r="F603" s="93">
        <v>1</v>
      </c>
      <c r="G603" s="93">
        <f>1-1</f>
        <v>0</v>
      </c>
      <c r="H603" s="93">
        <f>1+1</f>
        <v>2</v>
      </c>
      <c r="I603" s="93">
        <f>1-1</f>
        <v>0</v>
      </c>
      <c r="J603" s="93">
        <v>1</v>
      </c>
      <c r="K603" s="93">
        <f>1+1-1.3</f>
        <v>0.7</v>
      </c>
      <c r="L603" s="106">
        <f>SUM(F603:K603)</f>
        <v>4.7</v>
      </c>
      <c r="M603" s="106">
        <f>L603/6</f>
        <v>0.78300000000000003</v>
      </c>
      <c r="N603" s="93">
        <f>1</f>
        <v>1</v>
      </c>
      <c r="O603" s="93">
        <f>1+1.3-1.5</f>
        <v>0.8</v>
      </c>
      <c r="P603" s="93">
        <v>1</v>
      </c>
      <c r="Q603" s="93">
        <f>1+1.5</f>
        <v>2.5</v>
      </c>
      <c r="R603" s="93">
        <v>1</v>
      </c>
      <c r="S603" s="93">
        <f>1.005-0.025</f>
        <v>0.98</v>
      </c>
      <c r="T603" s="106">
        <f>SUM(N603:S603)</f>
        <v>7.28</v>
      </c>
      <c r="U603" s="106">
        <f>T603+L603</f>
        <v>11.98</v>
      </c>
      <c r="V603" s="107">
        <f>12.005-0.025</f>
        <v>11.98</v>
      </c>
      <c r="W603" s="94">
        <f>V603-U603</f>
        <v>0</v>
      </c>
    </row>
    <row r="604" spans="1:28" s="48" customFormat="1" ht="18.350000000000001" customHeight="1">
      <c r="A604" s="614"/>
      <c r="B604" s="581"/>
      <c r="C604" s="581"/>
      <c r="D604" s="178" t="str">
        <f>серпень!D527</f>
        <v>касові нат.п-ки 2025</v>
      </c>
      <c r="E604" s="85"/>
      <c r="F604" s="82">
        <v>0</v>
      </c>
      <c r="G604" s="82">
        <v>3.3</v>
      </c>
      <c r="H604" s="82">
        <v>2.89</v>
      </c>
      <c r="I604" s="82">
        <v>5</v>
      </c>
      <c r="J604" s="82">
        <v>3.7829999999999999</v>
      </c>
      <c r="K604" s="82">
        <v>2.657</v>
      </c>
      <c r="L604" s="503">
        <f>SUM(F604:K604)</f>
        <v>17.63</v>
      </c>
      <c r="M604" s="503">
        <f>L604/6</f>
        <v>2.9382999999999999</v>
      </c>
      <c r="N604" s="502">
        <v>3.18</v>
      </c>
      <c r="O604" s="502">
        <v>3.3</v>
      </c>
      <c r="P604" s="502">
        <v>2.798</v>
      </c>
      <c r="Q604" s="502">
        <v>4.4000000000000004</v>
      </c>
      <c r="R604" s="502">
        <v>4.4000000000000004</v>
      </c>
      <c r="S604" s="502">
        <f>4.4+S599</f>
        <v>8.8000000000000007</v>
      </c>
      <c r="T604" s="503">
        <f>SUM(N604:S604)</f>
        <v>26.878</v>
      </c>
      <c r="U604" s="503">
        <f>T604+L604</f>
        <v>44.508000000000003</v>
      </c>
      <c r="V604" s="502">
        <f>V599</f>
        <v>52.8</v>
      </c>
      <c r="W604" s="88">
        <f>V604-U604</f>
        <v>8.3000000000000007</v>
      </c>
      <c r="X604" s="47">
        <f>U599-U604</f>
        <v>0</v>
      </c>
    </row>
    <row r="605" spans="1:28" s="51" customFormat="1" ht="18.350000000000001" customHeight="1">
      <c r="A605" s="614"/>
      <c r="B605" s="581"/>
      <c r="C605" s="581"/>
      <c r="D605" s="187" t="str">
        <f>серпень!D528</f>
        <v>тариф, грн.</v>
      </c>
      <c r="E605" s="92" t="e">
        <f>E606/E604*1000</f>
        <v>#DIV/0!</v>
      </c>
      <c r="F605" s="92" t="e">
        <f t="shared" ref="F605:J605" si="721">F606/F604*1000</f>
        <v>#DIV/0!</v>
      </c>
      <c r="G605" s="92">
        <f t="shared" si="721"/>
        <v>202.12100000000001</v>
      </c>
      <c r="H605" s="92">
        <f t="shared" si="721"/>
        <v>202.07599999999999</v>
      </c>
      <c r="I605" s="92">
        <f t="shared" si="721"/>
        <v>202.4</v>
      </c>
      <c r="J605" s="92">
        <f t="shared" si="721"/>
        <v>202.22</v>
      </c>
      <c r="K605" s="92">
        <v>202.11</v>
      </c>
      <c r="L605" s="105">
        <f>L606/L604*1000</f>
        <v>202.21199999999999</v>
      </c>
      <c r="M605" s="105">
        <f>M606/M604*1000</f>
        <v>202.15799999999999</v>
      </c>
      <c r="N605" s="105">
        <f t="shared" ref="N605:P605" si="722">N606/N604*1000</f>
        <v>202.20099999999999</v>
      </c>
      <c r="O605" s="105">
        <f t="shared" si="722"/>
        <v>202.12100000000001</v>
      </c>
      <c r="P605" s="105">
        <f t="shared" si="722"/>
        <v>202.28700000000001</v>
      </c>
      <c r="Q605" s="92">
        <v>227.36699999999999</v>
      </c>
      <c r="R605" s="92">
        <v>227.36699999999999</v>
      </c>
      <c r="S605" s="92">
        <v>227.36699999999999</v>
      </c>
      <c r="T605" s="105">
        <f>T606/T604*1000</f>
        <v>217.87299999999999</v>
      </c>
      <c r="U605" s="105">
        <f>U606/U604*1000</f>
        <v>211.67</v>
      </c>
      <c r="V605" s="105">
        <f>V606/V604*1000</f>
        <v>226.89400000000001</v>
      </c>
      <c r="W605" s="86">
        <f>W606/W604*1000</f>
        <v>308.31299999999999</v>
      </c>
      <c r="X605" s="59"/>
    </row>
    <row r="606" spans="1:28" s="126" customFormat="1" ht="18.350000000000001" customHeight="1">
      <c r="A606" s="614"/>
      <c r="B606" s="581"/>
      <c r="C606" s="581"/>
      <c r="D606" s="198" t="str">
        <f>серпень!D529</f>
        <v>касові видатки, тис.грн.</v>
      </c>
      <c r="E606" s="108"/>
      <c r="F606" s="98">
        <v>0</v>
      </c>
      <c r="G606" s="98">
        <v>0.66700000000000004</v>
      </c>
      <c r="H606" s="98">
        <v>0.58399999999999996</v>
      </c>
      <c r="I606" s="98">
        <v>1.012</v>
      </c>
      <c r="J606" s="98">
        <v>0.76500000000000001</v>
      </c>
      <c r="K606" s="98">
        <v>0.53700000000000003</v>
      </c>
      <c r="L606" s="98">
        <f>SUM(F606:K606)</f>
        <v>3.5649999999999999</v>
      </c>
      <c r="M606" s="98">
        <f>L606/6</f>
        <v>0.59399999999999997</v>
      </c>
      <c r="N606" s="98">
        <v>0.64300000000000002</v>
      </c>
      <c r="O606" s="98">
        <v>0.66700000000000004</v>
      </c>
      <c r="P606" s="98">
        <v>0.56599999999999995</v>
      </c>
      <c r="Q606" s="98">
        <f t="shared" ref="Q606:R606" si="723">Q604*Q605/1000</f>
        <v>1</v>
      </c>
      <c r="R606" s="98">
        <f t="shared" si="723"/>
        <v>1</v>
      </c>
      <c r="S606" s="98">
        <f>S604*S605/1000+0.005-0.026</f>
        <v>1.98</v>
      </c>
      <c r="T606" s="98">
        <f>SUM(N606:S606)</f>
        <v>5.8559999999999999</v>
      </c>
      <c r="U606" s="98">
        <f>T606+L606</f>
        <v>9.4209999999999994</v>
      </c>
      <c r="V606" s="98">
        <f>V601</f>
        <v>11.98</v>
      </c>
      <c r="W606" s="109">
        <f>V606-U606</f>
        <v>2.5590000000000002</v>
      </c>
      <c r="X606" s="63">
        <f>U601-U606</f>
        <v>0</v>
      </c>
    </row>
    <row r="607" spans="1:28" s="126" customFormat="1" ht="18.350000000000001" customHeight="1">
      <c r="A607" s="614"/>
      <c r="B607" s="581"/>
      <c r="C607" s="581"/>
      <c r="D607" s="201" t="str">
        <f>серпень!D530</f>
        <v>дотація</v>
      </c>
      <c r="E607" s="108"/>
      <c r="F607" s="98">
        <v>0</v>
      </c>
      <c r="G607" s="98">
        <v>0</v>
      </c>
      <c r="H607" s="98">
        <v>0</v>
      </c>
      <c r="I607" s="98">
        <v>0</v>
      </c>
      <c r="J607" s="98">
        <v>0</v>
      </c>
      <c r="K607" s="98">
        <v>0</v>
      </c>
      <c r="L607" s="98">
        <f>SUM(F607:K607)</f>
        <v>0</v>
      </c>
      <c r="M607" s="98">
        <f>L607/6</f>
        <v>0</v>
      </c>
      <c r="N607" s="98">
        <v>0</v>
      </c>
      <c r="O607" s="98">
        <v>0</v>
      </c>
      <c r="P607" s="98">
        <v>0</v>
      </c>
      <c r="Q607" s="98">
        <v>0</v>
      </c>
      <c r="R607" s="98">
        <v>0</v>
      </c>
      <c r="S607" s="98">
        <v>0</v>
      </c>
      <c r="T607" s="98">
        <f>SUM(N607:S607)</f>
        <v>0</v>
      </c>
      <c r="U607" s="98">
        <f>T607+L607</f>
        <v>0</v>
      </c>
      <c r="V607" s="98">
        <f>V602</f>
        <v>0</v>
      </c>
      <c r="W607" s="109">
        <f>V607-U607</f>
        <v>0</v>
      </c>
      <c r="X607" s="63">
        <f>U602-U607</f>
        <v>0</v>
      </c>
    </row>
    <row r="608" spans="1:28" s="126" customFormat="1" ht="18.350000000000001" customHeight="1">
      <c r="A608" s="614"/>
      <c r="B608" s="581"/>
      <c r="C608" s="581"/>
      <c r="D608" s="201" t="str">
        <f>серпень!D531</f>
        <v xml:space="preserve">місцевий </v>
      </c>
      <c r="E608" s="108"/>
      <c r="F608" s="98">
        <f t="shared" ref="F608:K608" si="724">F606-F607</f>
        <v>0</v>
      </c>
      <c r="G608" s="98">
        <f t="shared" si="724"/>
        <v>0.66700000000000004</v>
      </c>
      <c r="H608" s="98">
        <f t="shared" si="724"/>
        <v>0.58399999999999996</v>
      </c>
      <c r="I608" s="98">
        <f t="shared" si="724"/>
        <v>1.012</v>
      </c>
      <c r="J608" s="98">
        <f t="shared" si="724"/>
        <v>0.76500000000000001</v>
      </c>
      <c r="K608" s="98">
        <f t="shared" si="724"/>
        <v>0.53700000000000003</v>
      </c>
      <c r="L608" s="98">
        <f>SUM(F608:K608)</f>
        <v>3.5649999999999999</v>
      </c>
      <c r="M608" s="98">
        <f>L608/6</f>
        <v>0.59399999999999997</v>
      </c>
      <c r="N608" s="98">
        <f t="shared" ref="N608:S608" si="725">N606-N607</f>
        <v>0.64300000000000002</v>
      </c>
      <c r="O608" s="98">
        <f t="shared" si="725"/>
        <v>0.66700000000000004</v>
      </c>
      <c r="P608" s="98">
        <f t="shared" si="725"/>
        <v>0.56599999999999995</v>
      </c>
      <c r="Q608" s="98">
        <f t="shared" si="725"/>
        <v>1</v>
      </c>
      <c r="R608" s="98">
        <f t="shared" si="725"/>
        <v>1</v>
      </c>
      <c r="S608" s="98">
        <f t="shared" si="725"/>
        <v>1.98</v>
      </c>
      <c r="T608" s="98">
        <f>SUM(N608:S608)</f>
        <v>5.8559999999999999</v>
      </c>
      <c r="U608" s="98">
        <f>T608+L608</f>
        <v>9.4209999999999994</v>
      </c>
      <c r="V608" s="98">
        <f>V603</f>
        <v>11.98</v>
      </c>
      <c r="W608" s="109">
        <f>V608-U608</f>
        <v>2.5590000000000002</v>
      </c>
      <c r="X608" s="63">
        <f>U603-U608</f>
        <v>2.5590000000000002</v>
      </c>
    </row>
    <row r="609" spans="1:28" s="43" customFormat="1" ht="18.350000000000001" customHeight="1">
      <c r="A609" s="614"/>
      <c r="B609" s="581"/>
      <c r="C609" s="581"/>
      <c r="D609" s="202" t="str">
        <f>серпень!D532</f>
        <v>план</v>
      </c>
      <c r="E609" s="100"/>
      <c r="F609" s="100">
        <f t="shared" ref="F609:K609" si="726">F603</f>
        <v>1</v>
      </c>
      <c r="G609" s="100">
        <f t="shared" si="726"/>
        <v>0</v>
      </c>
      <c r="H609" s="100">
        <f t="shared" si="726"/>
        <v>2</v>
      </c>
      <c r="I609" s="100">
        <f t="shared" si="726"/>
        <v>0</v>
      </c>
      <c r="J609" s="100">
        <f t="shared" si="726"/>
        <v>1</v>
      </c>
      <c r="K609" s="100">
        <f t="shared" si="726"/>
        <v>0.7</v>
      </c>
      <c r="L609" s="100">
        <f>SUM(F609:K609)</f>
        <v>4.7</v>
      </c>
      <c r="M609" s="100">
        <f>L609/6</f>
        <v>0.78300000000000003</v>
      </c>
      <c r="N609" s="100">
        <f t="shared" ref="N609:S609" si="727">N603+N602</f>
        <v>1</v>
      </c>
      <c r="O609" s="100">
        <f t="shared" si="727"/>
        <v>0.8</v>
      </c>
      <c r="P609" s="100">
        <f t="shared" si="727"/>
        <v>1</v>
      </c>
      <c r="Q609" s="100">
        <f t="shared" si="727"/>
        <v>2.5</v>
      </c>
      <c r="R609" s="100">
        <f t="shared" si="727"/>
        <v>1</v>
      </c>
      <c r="S609" s="100">
        <f t="shared" si="727"/>
        <v>0.98</v>
      </c>
      <c r="T609" s="100">
        <f>SUM(N609:S609)</f>
        <v>7.28</v>
      </c>
      <c r="U609" s="100">
        <f>T609+L609</f>
        <v>11.98</v>
      </c>
      <c r="V609" s="100">
        <f>V606</f>
        <v>11.98</v>
      </c>
      <c r="W609" s="100">
        <f>V609-U609</f>
        <v>0</v>
      </c>
    </row>
    <row r="610" spans="1:28" s="43" customFormat="1" ht="18.350000000000001" customHeight="1">
      <c r="A610" s="614"/>
      <c r="B610" s="581"/>
      <c r="C610" s="581"/>
      <c r="D610" s="202" t="str">
        <f>серпень!D533</f>
        <v xml:space="preserve">відхилення </v>
      </c>
      <c r="E610" s="100"/>
      <c r="F610" s="100">
        <f t="shared" ref="F610:K610" si="728">F606-F609</f>
        <v>-1</v>
      </c>
      <c r="G610" s="100">
        <f t="shared" si="728"/>
        <v>0.66700000000000004</v>
      </c>
      <c r="H610" s="100">
        <f t="shared" si="728"/>
        <v>-1.4159999999999999</v>
      </c>
      <c r="I610" s="100">
        <f t="shared" si="728"/>
        <v>1.012</v>
      </c>
      <c r="J610" s="100">
        <f t="shared" si="728"/>
        <v>-0.23499999999999999</v>
      </c>
      <c r="K610" s="100">
        <f t="shared" si="728"/>
        <v>-0.16300000000000001</v>
      </c>
      <c r="L610" s="100"/>
      <c r="M610" s="100"/>
      <c r="N610" s="100">
        <f t="shared" ref="N610:S610" si="729">N606-N609</f>
        <v>-0.35699999999999998</v>
      </c>
      <c r="O610" s="100">
        <f t="shared" si="729"/>
        <v>-0.13300000000000001</v>
      </c>
      <c r="P610" s="100">
        <f t="shared" si="729"/>
        <v>-0.434</v>
      </c>
      <c r="Q610" s="100">
        <f t="shared" si="729"/>
        <v>-1.5</v>
      </c>
      <c r="R610" s="100">
        <f t="shared" si="729"/>
        <v>0</v>
      </c>
      <c r="S610" s="100">
        <f t="shared" si="729"/>
        <v>1</v>
      </c>
      <c r="T610" s="100"/>
      <c r="U610" s="100"/>
      <c r="V610" s="100"/>
      <c r="W610" s="100"/>
    </row>
    <row r="611" spans="1:28" s="43" customFormat="1" ht="18.350000000000001" customHeight="1">
      <c r="A611" s="614"/>
      <c r="B611" s="581"/>
      <c r="C611" s="581"/>
      <c r="D611" s="202" t="str">
        <f>серпень!D534</f>
        <v>відхилення з наростаючим</v>
      </c>
      <c r="E611" s="100"/>
      <c r="F611" s="100">
        <f>F610</f>
        <v>-1</v>
      </c>
      <c r="G611" s="100">
        <f>G610+F611</f>
        <v>-0.33300000000000002</v>
      </c>
      <c r="H611" s="100">
        <f>H610+G611</f>
        <v>-1.7490000000000001</v>
      </c>
      <c r="I611" s="100">
        <f>I610+H611</f>
        <v>-0.73699999999999999</v>
      </c>
      <c r="J611" s="100">
        <f>J610+I611</f>
        <v>-0.97199999999999998</v>
      </c>
      <c r="K611" s="100">
        <f>K610+J611</f>
        <v>-1.135</v>
      </c>
      <c r="L611" s="100"/>
      <c r="M611" s="100"/>
      <c r="N611" s="100">
        <f>N610+K611</f>
        <v>-1.492</v>
      </c>
      <c r="O611" s="100">
        <f>O610+N611</f>
        <v>-1.625</v>
      </c>
      <c r="P611" s="100">
        <f>P610+O611</f>
        <v>-2.0590000000000002</v>
      </c>
      <c r="Q611" s="100">
        <f>Q610+P611</f>
        <v>-3.5590000000000002</v>
      </c>
      <c r="R611" s="100">
        <f>R610+Q611</f>
        <v>-3.5590000000000002</v>
      </c>
      <c r="S611" s="100">
        <f>S610+R611</f>
        <v>-2.5590000000000002</v>
      </c>
      <c r="T611" s="100"/>
      <c r="U611" s="100"/>
      <c r="V611" s="100"/>
      <c r="W611" s="100"/>
    </row>
    <row r="612" spans="1:28" s="55" customFormat="1" ht="18.350000000000001" customHeight="1">
      <c r="A612" s="614"/>
      <c r="B612" s="654" t="s">
        <v>128</v>
      </c>
      <c r="C612" s="581"/>
      <c r="D612" s="178" t="str">
        <f>серпень!D535</f>
        <v>факт. нат.п-ки 2023</v>
      </c>
      <c r="E612" s="85"/>
      <c r="F612" s="82"/>
      <c r="G612" s="82"/>
      <c r="H612" s="82"/>
      <c r="I612" s="82"/>
      <c r="J612" s="82"/>
      <c r="K612" s="82"/>
      <c r="L612" s="498">
        <f>SUM(F612:K612)</f>
        <v>0</v>
      </c>
      <c r="M612" s="498">
        <f>L612/6</f>
        <v>0</v>
      </c>
      <c r="N612" s="82"/>
      <c r="O612" s="82"/>
      <c r="P612" s="82"/>
      <c r="Q612" s="82"/>
      <c r="R612" s="82"/>
      <c r="S612" s="82"/>
      <c r="T612" s="498">
        <f>SUM(N612:S612)</f>
        <v>0</v>
      </c>
      <c r="U612" s="498">
        <f>T612+L612</f>
        <v>0</v>
      </c>
      <c r="V612" s="501"/>
      <c r="W612" s="88"/>
      <c r="X612" s="47"/>
      <c r="Y612" s="48"/>
      <c r="Z612" s="48"/>
      <c r="AA612" s="48"/>
      <c r="AB612" s="48"/>
    </row>
    <row r="613" spans="1:28" s="48" customFormat="1" ht="18.350000000000001" customHeight="1">
      <c r="A613" s="614"/>
      <c r="B613" s="581"/>
      <c r="C613" s="581"/>
      <c r="D613" s="178" t="str">
        <f>серпень!D536</f>
        <v>факт. нат.п-ки 2024</v>
      </c>
      <c r="E613" s="85"/>
      <c r="F613" s="82"/>
      <c r="G613" s="82"/>
      <c r="H613" s="82"/>
      <c r="I613" s="82"/>
      <c r="J613" s="82"/>
      <c r="K613" s="82"/>
      <c r="L613" s="498">
        <f>SUM(F613:K613)</f>
        <v>0</v>
      </c>
      <c r="M613" s="498">
        <f>L613/6</f>
        <v>0</v>
      </c>
      <c r="N613" s="494"/>
      <c r="O613" s="494"/>
      <c r="P613" s="494"/>
      <c r="Q613" s="494"/>
      <c r="R613" s="494"/>
      <c r="S613" s="494"/>
      <c r="T613" s="498">
        <f>SUM(N613:S613)</f>
        <v>0</v>
      </c>
      <c r="U613" s="498">
        <f>T613+L613</f>
        <v>0</v>
      </c>
      <c r="V613" s="501"/>
      <c r="W613" s="88"/>
      <c r="X613" s="47"/>
    </row>
    <row r="614" spans="1:28" s="48" customFormat="1" ht="18.350000000000001" customHeight="1">
      <c r="A614" s="614"/>
      <c r="B614" s="581"/>
      <c r="C614" s="581"/>
      <c r="D614" s="178" t="str">
        <f>серпень!D537</f>
        <v>факт. нат.п-ки 2025</v>
      </c>
      <c r="E614" s="85"/>
      <c r="F614" s="82">
        <v>1</v>
      </c>
      <c r="G614" s="82">
        <v>1</v>
      </c>
      <c r="H614" s="82">
        <v>1</v>
      </c>
      <c r="I614" s="82">
        <v>1</v>
      </c>
      <c r="J614" s="82">
        <v>1</v>
      </c>
      <c r="K614" s="82">
        <v>1</v>
      </c>
      <c r="L614" s="498">
        <f>SUM(F614:K614)</f>
        <v>6</v>
      </c>
      <c r="M614" s="498">
        <f>L614/6</f>
        <v>1</v>
      </c>
      <c r="N614" s="82">
        <v>1</v>
      </c>
      <c r="O614" s="82">
        <v>1</v>
      </c>
      <c r="P614" s="82">
        <v>1</v>
      </c>
      <c r="Q614" s="82">
        <v>1</v>
      </c>
      <c r="R614" s="82">
        <v>1</v>
      </c>
      <c r="S614" s="82">
        <v>1</v>
      </c>
      <c r="T614" s="498">
        <f>SUM(N614:S614)</f>
        <v>6</v>
      </c>
      <c r="U614" s="498">
        <f>T614+L614</f>
        <v>12</v>
      </c>
      <c r="V614" s="494">
        <v>12</v>
      </c>
      <c r="W614" s="88">
        <f>V614-U614</f>
        <v>0</v>
      </c>
      <c r="X614" s="47"/>
    </row>
    <row r="615" spans="1:28" s="51" customFormat="1" ht="18.350000000000001" customHeight="1">
      <c r="A615" s="614"/>
      <c r="B615" s="581"/>
      <c r="C615" s="581"/>
      <c r="D615" s="187" t="str">
        <f>серпень!D538</f>
        <v>тариф, грн.</v>
      </c>
      <c r="E615" s="92" t="e">
        <f>E616/E614*1000</f>
        <v>#DIV/0!</v>
      </c>
      <c r="F615" s="92">
        <v>2.1</v>
      </c>
      <c r="G615" s="92">
        <v>2.1</v>
      </c>
      <c r="H615" s="92">
        <v>2.1</v>
      </c>
      <c r="I615" s="92">
        <v>2.1</v>
      </c>
      <c r="J615" s="92">
        <v>2.1</v>
      </c>
      <c r="K615" s="92">
        <v>2.1</v>
      </c>
      <c r="L615" s="105">
        <f>L616/L614*1000</f>
        <v>2.1669999999999998</v>
      </c>
      <c r="M615" s="105">
        <f>M616/M614*1000</f>
        <v>2</v>
      </c>
      <c r="N615" s="92">
        <v>2.1</v>
      </c>
      <c r="O615" s="92">
        <v>2.1</v>
      </c>
      <c r="P615" s="92">
        <v>2.1</v>
      </c>
      <c r="Q615" s="92">
        <v>2.1</v>
      </c>
      <c r="R615" s="92">
        <v>2.1</v>
      </c>
      <c r="S615" s="92">
        <v>2.1</v>
      </c>
      <c r="T615" s="105">
        <f>T616/T614*1000</f>
        <v>2</v>
      </c>
      <c r="U615" s="105">
        <f>U616/U614*1000</f>
        <v>2.0830000000000002</v>
      </c>
      <c r="V615" s="105">
        <f>V616/V614*1000</f>
        <v>2.0830000000000002</v>
      </c>
      <c r="W615" s="86" t="e">
        <f>W616/W614*1000</f>
        <v>#DIV/0!</v>
      </c>
      <c r="X615" s="59"/>
    </row>
    <row r="616" spans="1:28" s="130" customFormat="1" ht="18.350000000000001" customHeight="1">
      <c r="A616" s="614"/>
      <c r="B616" s="581"/>
      <c r="C616" s="581"/>
      <c r="D616" s="191" t="str">
        <f>серпень!D539</f>
        <v>сума, тис.грн.</v>
      </c>
      <c r="E616" s="93"/>
      <c r="F616" s="93">
        <v>3.0000000000000001E-3</v>
      </c>
      <c r="G616" s="93">
        <v>2E-3</v>
      </c>
      <c r="H616" s="93">
        <v>2E-3</v>
      </c>
      <c r="I616" s="93">
        <f t="shared" ref="I616:K616" si="730">I614*I615/1000</f>
        <v>2E-3</v>
      </c>
      <c r="J616" s="93">
        <f t="shared" si="730"/>
        <v>2E-3</v>
      </c>
      <c r="K616" s="93">
        <f t="shared" si="730"/>
        <v>2E-3</v>
      </c>
      <c r="L616" s="106">
        <f>SUM(F616:K616)</f>
        <v>1.2999999999999999E-2</v>
      </c>
      <c r="M616" s="106">
        <f>L616/6</f>
        <v>2E-3</v>
      </c>
      <c r="N616" s="93">
        <f>N614*N615/1000</f>
        <v>2E-3</v>
      </c>
      <c r="O616" s="93">
        <f t="shared" ref="O616" si="731">O614*O615/1000</f>
        <v>2E-3</v>
      </c>
      <c r="P616" s="93">
        <f t="shared" ref="P616" si="732">P614*P615/1000</f>
        <v>2E-3</v>
      </c>
      <c r="Q616" s="93">
        <f t="shared" ref="Q616" si="733">Q614*Q615/1000</f>
        <v>2E-3</v>
      </c>
      <c r="R616" s="93">
        <f t="shared" ref="R616" si="734">R614*R615/1000</f>
        <v>2E-3</v>
      </c>
      <c r="S616" s="93">
        <f>S614*S615/1000</f>
        <v>2E-3</v>
      </c>
      <c r="T616" s="106">
        <f>SUM(N616:S616)</f>
        <v>1.2E-2</v>
      </c>
      <c r="U616" s="106">
        <f>T616+L616</f>
        <v>2.5000000000000001E-2</v>
      </c>
      <c r="V616" s="107">
        <f>V617+V618</f>
        <v>2.5000000000000001E-2</v>
      </c>
      <c r="W616" s="94">
        <f>V616-U616</f>
        <v>0</v>
      </c>
    </row>
    <row r="617" spans="1:28" s="130" customFormat="1" ht="18.350000000000001" customHeight="1">
      <c r="A617" s="614"/>
      <c r="B617" s="581"/>
      <c r="C617" s="581"/>
      <c r="D617" s="174" t="str">
        <f>серпень!D540</f>
        <v>дотація</v>
      </c>
      <c r="E617" s="95"/>
      <c r="F617" s="93"/>
      <c r="G617" s="93"/>
      <c r="H617" s="93"/>
      <c r="I617" s="93"/>
      <c r="J617" s="93"/>
      <c r="K617" s="93"/>
      <c r="L617" s="106">
        <f>SUM(F617:K617)</f>
        <v>0</v>
      </c>
      <c r="M617" s="106">
        <f>L617/6</f>
        <v>0</v>
      </c>
      <c r="N617" s="93"/>
      <c r="O617" s="93"/>
      <c r="P617" s="93"/>
      <c r="Q617" s="93"/>
      <c r="R617" s="93"/>
      <c r="S617" s="93"/>
      <c r="T617" s="106">
        <f>SUM(N617:S617)</f>
        <v>0</v>
      </c>
      <c r="U617" s="106">
        <f>T617+L617</f>
        <v>0</v>
      </c>
      <c r="V617" s="107">
        <v>0</v>
      </c>
      <c r="W617" s="94">
        <f>V617-U617</f>
        <v>0</v>
      </c>
    </row>
    <row r="618" spans="1:28" s="130" customFormat="1" ht="18.350000000000001" customHeight="1">
      <c r="A618" s="614"/>
      <c r="B618" s="581"/>
      <c r="C618" s="581"/>
      <c r="D618" s="174" t="str">
        <f>серпень!D541</f>
        <v>місцевий (план), тис.грн</v>
      </c>
      <c r="E618" s="95"/>
      <c r="F618" s="93">
        <v>3.0000000000000001E-3</v>
      </c>
      <c r="G618" s="93">
        <f>0.002-0.002</f>
        <v>0</v>
      </c>
      <c r="H618" s="93">
        <f>0.002+0.002</f>
        <v>4.0000000000000001E-3</v>
      </c>
      <c r="I618" s="93">
        <v>2E-3</v>
      </c>
      <c r="J618" s="93">
        <v>2E-3</v>
      </c>
      <c r="K618" s="93">
        <v>2E-3</v>
      </c>
      <c r="L618" s="106">
        <f>SUM(F618:K618)</f>
        <v>1.2999999999999999E-2</v>
      </c>
      <c r="M618" s="106">
        <f>L618/6</f>
        <v>2E-3</v>
      </c>
      <c r="N618" s="93">
        <v>2E-3</v>
      </c>
      <c r="O618" s="93">
        <v>2E-3</v>
      </c>
      <c r="P618" s="93">
        <v>2E-3</v>
      </c>
      <c r="Q618" s="93">
        <v>2E-3</v>
      </c>
      <c r="R618" s="93">
        <v>2E-3</v>
      </c>
      <c r="S618" s="93">
        <v>2E-3</v>
      </c>
      <c r="T618" s="106">
        <f>SUM(N618:S618)</f>
        <v>1.2E-2</v>
      </c>
      <c r="U618" s="106">
        <f>T618+L618</f>
        <v>2.5000000000000001E-2</v>
      </c>
      <c r="V618" s="107">
        <v>2.5000000000000001E-2</v>
      </c>
      <c r="W618" s="94">
        <f>V618-U618</f>
        <v>0</v>
      </c>
    </row>
    <row r="619" spans="1:28" s="48" customFormat="1" ht="18.350000000000001" customHeight="1">
      <c r="A619" s="614"/>
      <c r="B619" s="581"/>
      <c r="C619" s="581"/>
      <c r="D619" s="178" t="str">
        <f>серпень!D542</f>
        <v>касові нат.п-ки 2025</v>
      </c>
      <c r="E619" s="85"/>
      <c r="F619" s="512"/>
      <c r="G619" s="512">
        <v>0</v>
      </c>
      <c r="H619" s="512">
        <v>1</v>
      </c>
      <c r="I619" s="512">
        <v>1</v>
      </c>
      <c r="J619" s="512">
        <v>1</v>
      </c>
      <c r="K619" s="512">
        <v>1</v>
      </c>
      <c r="L619" s="140">
        <f>SUM(F619:K619)</f>
        <v>4</v>
      </c>
      <c r="M619" s="140">
        <f>L619/6</f>
        <v>0.7</v>
      </c>
      <c r="N619" s="512">
        <v>1</v>
      </c>
      <c r="O619" s="512">
        <v>1</v>
      </c>
      <c r="P619" s="512">
        <v>1</v>
      </c>
      <c r="Q619" s="512">
        <v>1</v>
      </c>
      <c r="R619" s="512">
        <v>1</v>
      </c>
      <c r="S619" s="512">
        <v>3</v>
      </c>
      <c r="T619" s="140">
        <f>SUM(N619:S619)</f>
        <v>8</v>
      </c>
      <c r="U619" s="140">
        <f>T619+L619</f>
        <v>12</v>
      </c>
      <c r="V619" s="85">
        <f>V614</f>
        <v>12</v>
      </c>
      <c r="W619" s="88">
        <f>V619-U619</f>
        <v>0</v>
      </c>
      <c r="X619" s="47">
        <f>U614-U619</f>
        <v>0</v>
      </c>
    </row>
    <row r="620" spans="1:28" s="51" customFormat="1" ht="18.350000000000001" customHeight="1">
      <c r="A620" s="614"/>
      <c r="B620" s="581"/>
      <c r="C620" s="581"/>
      <c r="D620" s="187" t="str">
        <f>серпень!D543</f>
        <v>тариф, грн.</v>
      </c>
      <c r="E620" s="92" t="e">
        <f>E621/E619*1000</f>
        <v>#DIV/0!</v>
      </c>
      <c r="F620" s="92" t="e">
        <f t="shared" ref="F620:H620" si="735">F621/F619*1000</f>
        <v>#DIV/0!</v>
      </c>
      <c r="G620" s="92" t="e">
        <f t="shared" si="735"/>
        <v>#DIV/0!</v>
      </c>
      <c r="H620" s="92">
        <f t="shared" si="735"/>
        <v>5</v>
      </c>
      <c r="I620" s="92">
        <v>2.1</v>
      </c>
      <c r="J620" s="92">
        <v>2.1</v>
      </c>
      <c r="K620" s="92">
        <v>2.1</v>
      </c>
      <c r="L620" s="105">
        <f>L621/L619*1000</f>
        <v>2.75</v>
      </c>
      <c r="M620" s="105">
        <f>M621/M619*1000</f>
        <v>2.8570000000000002</v>
      </c>
      <c r="N620" s="92">
        <v>2.1</v>
      </c>
      <c r="O620" s="92">
        <v>2.1</v>
      </c>
      <c r="P620" s="92">
        <v>2.1</v>
      </c>
      <c r="Q620" s="92">
        <v>2.1</v>
      </c>
      <c r="R620" s="92">
        <v>2.1</v>
      </c>
      <c r="S620" s="92">
        <v>2.1</v>
      </c>
      <c r="T620" s="105">
        <f>T621/T619*1000</f>
        <v>1.75</v>
      </c>
      <c r="U620" s="105">
        <f>U621/U619*1000</f>
        <v>2.0830000000000002</v>
      </c>
      <c r="V620" s="105">
        <f>V621/V619*1000</f>
        <v>2.0830000000000002</v>
      </c>
      <c r="W620" s="86" t="e">
        <f>W621/W619*1000</f>
        <v>#DIV/0!</v>
      </c>
      <c r="X620" s="59"/>
    </row>
    <row r="621" spans="1:28" s="126" customFormat="1" ht="18.350000000000001" customHeight="1">
      <c r="A621" s="614"/>
      <c r="B621" s="581"/>
      <c r="C621" s="581"/>
      <c r="D621" s="198" t="str">
        <f>серпень!D544</f>
        <v>касові видатки, тис.грн.</v>
      </c>
      <c r="E621" s="108"/>
      <c r="F621" s="98"/>
      <c r="G621" s="98">
        <v>0</v>
      </c>
      <c r="H621" s="98">
        <v>5.0000000000000001E-3</v>
      </c>
      <c r="I621" s="98">
        <v>2E-3</v>
      </c>
      <c r="J621" s="98">
        <f t="shared" ref="J621" si="736">J619*J620/1000</f>
        <v>2E-3</v>
      </c>
      <c r="K621" s="98">
        <f t="shared" ref="K621" si="737">K619*K620/1000</f>
        <v>2E-3</v>
      </c>
      <c r="L621" s="98">
        <f>SUM(F621:K621)</f>
        <v>1.0999999999999999E-2</v>
      </c>
      <c r="M621" s="98">
        <f>L621/6</f>
        <v>2E-3</v>
      </c>
      <c r="N621" s="98">
        <f>N619*N620/1000</f>
        <v>2E-3</v>
      </c>
      <c r="O621" s="98">
        <f t="shared" ref="O621" si="738">O619*O620/1000</f>
        <v>2E-3</v>
      </c>
      <c r="P621" s="98">
        <f t="shared" ref="P621" si="739">P619*P620/1000</f>
        <v>2E-3</v>
      </c>
      <c r="Q621" s="98">
        <f t="shared" ref="Q621" si="740">Q619*Q620/1000</f>
        <v>2E-3</v>
      </c>
      <c r="R621" s="98">
        <f t="shared" ref="R621" si="741">R619*R620/1000</f>
        <v>2E-3</v>
      </c>
      <c r="S621" s="98">
        <f>S619*S620/1000-0.002</f>
        <v>4.0000000000000001E-3</v>
      </c>
      <c r="T621" s="98">
        <f>SUM(N621:S621)</f>
        <v>1.4E-2</v>
      </c>
      <c r="U621" s="98">
        <f>T621+L621</f>
        <v>2.5000000000000001E-2</v>
      </c>
      <c r="V621" s="98">
        <f>V616</f>
        <v>2.5000000000000001E-2</v>
      </c>
      <c r="W621" s="109">
        <f>V621-U621</f>
        <v>0</v>
      </c>
      <c r="X621" s="63">
        <f>U616-U621</f>
        <v>0</v>
      </c>
    </row>
    <row r="622" spans="1:28" s="126" customFormat="1" ht="18.350000000000001" customHeight="1">
      <c r="A622" s="614"/>
      <c r="B622" s="581"/>
      <c r="C622" s="581"/>
      <c r="D622" s="201" t="str">
        <f>серпень!D545</f>
        <v>дотація</v>
      </c>
      <c r="E622" s="108"/>
      <c r="F622" s="98">
        <v>0</v>
      </c>
      <c r="G622" s="98">
        <v>0</v>
      </c>
      <c r="H622" s="98">
        <v>0</v>
      </c>
      <c r="I622" s="98">
        <v>0</v>
      </c>
      <c r="J622" s="98">
        <v>0</v>
      </c>
      <c r="K622" s="98">
        <v>0</v>
      </c>
      <c r="L622" s="98">
        <f>SUM(F622:K622)</f>
        <v>0</v>
      </c>
      <c r="M622" s="98">
        <f>L622/6</f>
        <v>0</v>
      </c>
      <c r="N622" s="98">
        <v>0</v>
      </c>
      <c r="O622" s="98">
        <v>0</v>
      </c>
      <c r="P622" s="98">
        <v>0</v>
      </c>
      <c r="Q622" s="98">
        <v>0</v>
      </c>
      <c r="R622" s="98">
        <v>0</v>
      </c>
      <c r="S622" s="98">
        <v>0</v>
      </c>
      <c r="T622" s="98">
        <f>SUM(N622:S622)</f>
        <v>0</v>
      </c>
      <c r="U622" s="98">
        <f>T622+L622</f>
        <v>0</v>
      </c>
      <c r="V622" s="98">
        <f>V617</f>
        <v>0</v>
      </c>
      <c r="W622" s="109">
        <f>V622-U622</f>
        <v>0</v>
      </c>
      <c r="X622" s="63">
        <f>U617-U622</f>
        <v>0</v>
      </c>
    </row>
    <row r="623" spans="1:28" s="126" customFormat="1" ht="18.350000000000001" customHeight="1">
      <c r="A623" s="614"/>
      <c r="B623" s="581"/>
      <c r="C623" s="581"/>
      <c r="D623" s="201" t="str">
        <f>серпень!D546</f>
        <v xml:space="preserve">місцевий </v>
      </c>
      <c r="E623" s="108"/>
      <c r="F623" s="98">
        <f t="shared" ref="F623:K623" si="742">F621-F622</f>
        <v>0</v>
      </c>
      <c r="G623" s="98">
        <f t="shared" si="742"/>
        <v>0</v>
      </c>
      <c r="H623" s="98">
        <f t="shared" si="742"/>
        <v>5.0000000000000001E-3</v>
      </c>
      <c r="I623" s="98">
        <f t="shared" si="742"/>
        <v>2E-3</v>
      </c>
      <c r="J623" s="98">
        <f t="shared" si="742"/>
        <v>2E-3</v>
      </c>
      <c r="K623" s="98">
        <f t="shared" si="742"/>
        <v>2E-3</v>
      </c>
      <c r="L623" s="98">
        <f>SUM(F623:K623)</f>
        <v>1.0999999999999999E-2</v>
      </c>
      <c r="M623" s="98">
        <f>L623/6</f>
        <v>2E-3</v>
      </c>
      <c r="N623" s="98">
        <f t="shared" ref="N623:S623" si="743">N621-N622</f>
        <v>2E-3</v>
      </c>
      <c r="O623" s="98">
        <f t="shared" si="743"/>
        <v>2E-3</v>
      </c>
      <c r="P623" s="98">
        <f t="shared" si="743"/>
        <v>2E-3</v>
      </c>
      <c r="Q623" s="98">
        <f t="shared" si="743"/>
        <v>2E-3</v>
      </c>
      <c r="R623" s="98">
        <f t="shared" si="743"/>
        <v>2E-3</v>
      </c>
      <c r="S623" s="98">
        <f t="shared" si="743"/>
        <v>4.0000000000000001E-3</v>
      </c>
      <c r="T623" s="98">
        <f>SUM(N623:S623)</f>
        <v>1.4E-2</v>
      </c>
      <c r="U623" s="98">
        <f>T623+L623</f>
        <v>2.5000000000000001E-2</v>
      </c>
      <c r="V623" s="98">
        <f>V618</f>
        <v>2.5000000000000001E-2</v>
      </c>
      <c r="W623" s="109">
        <f>V623-U623</f>
        <v>0</v>
      </c>
      <c r="X623" s="63">
        <f>U618-U623</f>
        <v>0</v>
      </c>
    </row>
    <row r="624" spans="1:28" s="43" customFormat="1" ht="18.350000000000001" customHeight="1">
      <c r="A624" s="614"/>
      <c r="B624" s="581"/>
      <c r="C624" s="581"/>
      <c r="D624" s="202" t="str">
        <f>серпень!D547</f>
        <v>план</v>
      </c>
      <c r="E624" s="100"/>
      <c r="F624" s="100">
        <f t="shared" ref="F624:K624" si="744">F618</f>
        <v>3.0000000000000001E-3</v>
      </c>
      <c r="G624" s="100">
        <f t="shared" si="744"/>
        <v>0</v>
      </c>
      <c r="H624" s="100">
        <f t="shared" si="744"/>
        <v>4.0000000000000001E-3</v>
      </c>
      <c r="I624" s="100">
        <f t="shared" si="744"/>
        <v>2E-3</v>
      </c>
      <c r="J624" s="100">
        <f t="shared" si="744"/>
        <v>2E-3</v>
      </c>
      <c r="K624" s="100">
        <f t="shared" si="744"/>
        <v>2E-3</v>
      </c>
      <c r="L624" s="100">
        <f>SUM(F624:K624)</f>
        <v>1.2999999999999999E-2</v>
      </c>
      <c r="M624" s="100">
        <f>L624/6</f>
        <v>2E-3</v>
      </c>
      <c r="N624" s="100">
        <f t="shared" ref="N624:S624" si="745">N618+N617</f>
        <v>2E-3</v>
      </c>
      <c r="O624" s="100">
        <f t="shared" si="745"/>
        <v>2E-3</v>
      </c>
      <c r="P624" s="100">
        <f t="shared" si="745"/>
        <v>2E-3</v>
      </c>
      <c r="Q624" s="100">
        <f t="shared" si="745"/>
        <v>2E-3</v>
      </c>
      <c r="R624" s="100">
        <f t="shared" si="745"/>
        <v>2E-3</v>
      </c>
      <c r="S624" s="100">
        <f t="shared" si="745"/>
        <v>2E-3</v>
      </c>
      <c r="T624" s="100">
        <f>SUM(N624:S624)</f>
        <v>1.2E-2</v>
      </c>
      <c r="U624" s="100">
        <f>T624+L624</f>
        <v>2.5000000000000001E-2</v>
      </c>
      <c r="V624" s="100">
        <f>V621</f>
        <v>2.5000000000000001E-2</v>
      </c>
      <c r="W624" s="100">
        <f>V624-U624</f>
        <v>0</v>
      </c>
    </row>
    <row r="625" spans="1:28" s="43" customFormat="1" ht="18.350000000000001" customHeight="1">
      <c r="A625" s="614"/>
      <c r="B625" s="581"/>
      <c r="C625" s="581"/>
      <c r="D625" s="202" t="str">
        <f>серпень!D548</f>
        <v xml:space="preserve">відхилення </v>
      </c>
      <c r="E625" s="100"/>
      <c r="F625" s="100">
        <f t="shared" ref="F625:K625" si="746">F621-F624</f>
        <v>-3.0000000000000001E-3</v>
      </c>
      <c r="G625" s="100">
        <f t="shared" si="746"/>
        <v>0</v>
      </c>
      <c r="H625" s="100">
        <f t="shared" si="746"/>
        <v>1E-3</v>
      </c>
      <c r="I625" s="100">
        <f t="shared" si="746"/>
        <v>0</v>
      </c>
      <c r="J625" s="100">
        <f t="shared" si="746"/>
        <v>0</v>
      </c>
      <c r="K625" s="100">
        <f t="shared" si="746"/>
        <v>0</v>
      </c>
      <c r="L625" s="100"/>
      <c r="M625" s="100"/>
      <c r="N625" s="100">
        <f t="shared" ref="N625:S625" si="747">N621-N624</f>
        <v>0</v>
      </c>
      <c r="O625" s="100">
        <f t="shared" si="747"/>
        <v>0</v>
      </c>
      <c r="P625" s="100">
        <f t="shared" si="747"/>
        <v>0</v>
      </c>
      <c r="Q625" s="100">
        <f t="shared" si="747"/>
        <v>0</v>
      </c>
      <c r="R625" s="100">
        <f t="shared" si="747"/>
        <v>0</v>
      </c>
      <c r="S625" s="100">
        <f t="shared" si="747"/>
        <v>2E-3</v>
      </c>
      <c r="T625" s="100"/>
      <c r="U625" s="100"/>
      <c r="V625" s="100"/>
      <c r="W625" s="100"/>
    </row>
    <row r="626" spans="1:28" s="43" customFormat="1" ht="18.350000000000001" customHeight="1">
      <c r="A626" s="614"/>
      <c r="B626" s="581"/>
      <c r="C626" s="581"/>
      <c r="D626" s="202" t="str">
        <f>серпень!D549</f>
        <v>відхилення з наростаючим</v>
      </c>
      <c r="E626" s="100"/>
      <c r="F626" s="100">
        <f>F625</f>
        <v>-3.0000000000000001E-3</v>
      </c>
      <c r="G626" s="100">
        <f>G625+F626</f>
        <v>-3.0000000000000001E-3</v>
      </c>
      <c r="H626" s="100">
        <f>H625+G626</f>
        <v>-2E-3</v>
      </c>
      <c r="I626" s="100">
        <f>I625+H626</f>
        <v>-2E-3</v>
      </c>
      <c r="J626" s="100">
        <f>J625+I626</f>
        <v>-2E-3</v>
      </c>
      <c r="K626" s="100">
        <f>K625+J626</f>
        <v>-2E-3</v>
      </c>
      <c r="L626" s="100"/>
      <c r="M626" s="100"/>
      <c r="N626" s="100">
        <f>N625+K626</f>
        <v>-2E-3</v>
      </c>
      <c r="O626" s="100">
        <f>O625+N626</f>
        <v>-2E-3</v>
      </c>
      <c r="P626" s="100">
        <f>P625+O626</f>
        <v>-2E-3</v>
      </c>
      <c r="Q626" s="100">
        <f>Q625+P626</f>
        <v>-2E-3</v>
      </c>
      <c r="R626" s="100">
        <f>R625+Q626</f>
        <v>-2E-3</v>
      </c>
      <c r="S626" s="100">
        <f>S625+R626</f>
        <v>0</v>
      </c>
      <c r="T626" s="100"/>
      <c r="U626" s="100"/>
      <c r="V626" s="100"/>
      <c r="W626" s="100"/>
    </row>
    <row r="627" spans="1:28" s="55" customFormat="1" ht="18.8" hidden="1" customHeight="1">
      <c r="A627" s="614"/>
      <c r="B627" s="581" t="s">
        <v>66</v>
      </c>
      <c r="C627" s="581"/>
      <c r="D627" s="178" t="str">
        <f>серпень!D550</f>
        <v>факт. нат.п-ки 2023</v>
      </c>
      <c r="E627" s="85"/>
      <c r="F627" s="12">
        <f t="shared" ref="F627:K629" si="748">F644+F674</f>
        <v>0</v>
      </c>
      <c r="G627" s="12">
        <f t="shared" si="748"/>
        <v>0</v>
      </c>
      <c r="H627" s="12">
        <f t="shared" si="748"/>
        <v>0</v>
      </c>
      <c r="I627" s="12">
        <f t="shared" si="748"/>
        <v>0</v>
      </c>
      <c r="J627" s="12">
        <f t="shared" si="748"/>
        <v>0</v>
      </c>
      <c r="K627" s="12">
        <f t="shared" si="748"/>
        <v>0</v>
      </c>
      <c r="L627" s="140">
        <f>SUM(F627:K627)</f>
        <v>0</v>
      </c>
      <c r="M627" s="140">
        <f>L627/6</f>
        <v>0</v>
      </c>
      <c r="N627" s="12">
        <f t="shared" ref="N627:S629" si="749">N644+N674</f>
        <v>0</v>
      </c>
      <c r="O627" s="12">
        <f t="shared" si="749"/>
        <v>0</v>
      </c>
      <c r="P627" s="12">
        <f t="shared" si="749"/>
        <v>0</v>
      </c>
      <c r="Q627" s="12">
        <f t="shared" si="749"/>
        <v>0</v>
      </c>
      <c r="R627" s="12">
        <f t="shared" si="749"/>
        <v>0</v>
      </c>
      <c r="S627" s="12">
        <f t="shared" si="749"/>
        <v>0</v>
      </c>
      <c r="T627" s="140">
        <f>SUM(N627:S627)</f>
        <v>0</v>
      </c>
      <c r="U627" s="140">
        <f>T627+L627</f>
        <v>0</v>
      </c>
      <c r="V627" s="143"/>
      <c r="W627" s="88"/>
      <c r="X627" s="47"/>
      <c r="Y627" s="48"/>
      <c r="Z627" s="48"/>
      <c r="AA627" s="48"/>
      <c r="AB627" s="48"/>
    </row>
    <row r="628" spans="1:28" s="48" customFormat="1" ht="18" hidden="1" customHeight="1">
      <c r="A628" s="614"/>
      <c r="B628" s="581"/>
      <c r="C628" s="581"/>
      <c r="D628" s="178" t="str">
        <f>серпень!D551</f>
        <v>факт. нат.п-ки 2024</v>
      </c>
      <c r="E628" s="85"/>
      <c r="F628" s="12">
        <f t="shared" si="748"/>
        <v>0</v>
      </c>
      <c r="G628" s="12">
        <f t="shared" si="748"/>
        <v>0</v>
      </c>
      <c r="H628" s="12">
        <f t="shared" si="748"/>
        <v>0</v>
      </c>
      <c r="I628" s="12">
        <f t="shared" si="748"/>
        <v>0</v>
      </c>
      <c r="J628" s="12">
        <f t="shared" si="748"/>
        <v>0</v>
      </c>
      <c r="K628" s="12">
        <f t="shared" si="748"/>
        <v>0</v>
      </c>
      <c r="L628" s="140">
        <f>SUM(F628:K628)</f>
        <v>0</v>
      </c>
      <c r="M628" s="140">
        <f>L628/6</f>
        <v>0</v>
      </c>
      <c r="N628" s="12">
        <f t="shared" si="749"/>
        <v>0</v>
      </c>
      <c r="O628" s="12">
        <f t="shared" si="749"/>
        <v>0</v>
      </c>
      <c r="P628" s="12">
        <f t="shared" si="749"/>
        <v>0</v>
      </c>
      <c r="Q628" s="12">
        <f t="shared" si="749"/>
        <v>0</v>
      </c>
      <c r="R628" s="12">
        <f t="shared" si="749"/>
        <v>0</v>
      </c>
      <c r="S628" s="12">
        <f t="shared" si="749"/>
        <v>0</v>
      </c>
      <c r="T628" s="140">
        <f>SUM(N628:S628)</f>
        <v>0</v>
      </c>
      <c r="U628" s="140">
        <f>T628+L628</f>
        <v>0</v>
      </c>
      <c r="V628" s="143"/>
      <c r="W628" s="88"/>
      <c r="X628" s="47"/>
    </row>
    <row r="629" spans="1:28" s="48" customFormat="1" ht="18" hidden="1" customHeight="1">
      <c r="A629" s="614"/>
      <c r="B629" s="581"/>
      <c r="C629" s="581"/>
      <c r="D629" s="178" t="str">
        <f>серпень!D552</f>
        <v>факт. нат.п-ки 2025</v>
      </c>
      <c r="E629" s="85"/>
      <c r="F629" s="12">
        <f t="shared" si="748"/>
        <v>0</v>
      </c>
      <c r="G629" s="12">
        <f t="shared" si="748"/>
        <v>0</v>
      </c>
      <c r="H629" s="12">
        <f t="shared" si="748"/>
        <v>0</v>
      </c>
      <c r="I629" s="12">
        <f t="shared" si="748"/>
        <v>0</v>
      </c>
      <c r="J629" s="12">
        <f t="shared" si="748"/>
        <v>0</v>
      </c>
      <c r="K629" s="12">
        <f t="shared" si="748"/>
        <v>0</v>
      </c>
      <c r="L629" s="140">
        <f>SUM(F629:K629)</f>
        <v>0</v>
      </c>
      <c r="M629" s="140">
        <f>L629/6</f>
        <v>0</v>
      </c>
      <c r="N629" s="12">
        <f t="shared" si="749"/>
        <v>0</v>
      </c>
      <c r="O629" s="12">
        <f t="shared" si="749"/>
        <v>0</v>
      </c>
      <c r="P629" s="12">
        <f t="shared" si="749"/>
        <v>0</v>
      </c>
      <c r="Q629" s="12">
        <f t="shared" si="749"/>
        <v>0</v>
      </c>
      <c r="R629" s="12">
        <f t="shared" si="749"/>
        <v>0</v>
      </c>
      <c r="S629" s="12">
        <f t="shared" si="749"/>
        <v>0</v>
      </c>
      <c r="T629" s="140">
        <f>SUM(N629:S629)</f>
        <v>0</v>
      </c>
      <c r="U629" s="140">
        <f>T629+L629</f>
        <v>0</v>
      </c>
      <c r="V629" s="143">
        <f>V646+V676</f>
        <v>0</v>
      </c>
      <c r="W629" s="88">
        <f>V629-U629</f>
        <v>0</v>
      </c>
      <c r="X629" s="47"/>
    </row>
    <row r="630" spans="1:28" s="51" customFormat="1" ht="18" hidden="1" customHeight="1">
      <c r="A630" s="614"/>
      <c r="B630" s="581"/>
      <c r="C630" s="581"/>
      <c r="D630" s="187" t="str">
        <f>серпень!D553</f>
        <v>тариф, грн.</v>
      </c>
      <c r="E630" s="92"/>
      <c r="F630" s="92" t="e">
        <f t="shared" ref="F630:W630" si="750">F631/F629*1000</f>
        <v>#DIV/0!</v>
      </c>
      <c r="G630" s="92" t="e">
        <f t="shared" si="750"/>
        <v>#DIV/0!</v>
      </c>
      <c r="H630" s="92" t="e">
        <f t="shared" si="750"/>
        <v>#DIV/0!</v>
      </c>
      <c r="I630" s="92" t="e">
        <f t="shared" si="750"/>
        <v>#DIV/0!</v>
      </c>
      <c r="J630" s="92" t="e">
        <f t="shared" si="750"/>
        <v>#DIV/0!</v>
      </c>
      <c r="K630" s="92" t="e">
        <f t="shared" si="750"/>
        <v>#DIV/0!</v>
      </c>
      <c r="L630" s="92" t="e">
        <f t="shared" si="750"/>
        <v>#DIV/0!</v>
      </c>
      <c r="M630" s="92" t="e">
        <f t="shared" si="750"/>
        <v>#DIV/0!</v>
      </c>
      <c r="N630" s="92" t="e">
        <f t="shared" si="750"/>
        <v>#DIV/0!</v>
      </c>
      <c r="O630" s="92" t="e">
        <f t="shared" si="750"/>
        <v>#DIV/0!</v>
      </c>
      <c r="P630" s="92" t="e">
        <f t="shared" si="750"/>
        <v>#DIV/0!</v>
      </c>
      <c r="Q630" s="92" t="e">
        <f t="shared" si="750"/>
        <v>#DIV/0!</v>
      </c>
      <c r="R630" s="92" t="e">
        <f t="shared" si="750"/>
        <v>#DIV/0!</v>
      </c>
      <c r="S630" s="92" t="e">
        <f t="shared" si="750"/>
        <v>#DIV/0!</v>
      </c>
      <c r="T630" s="92" t="e">
        <f t="shared" si="750"/>
        <v>#DIV/0!</v>
      </c>
      <c r="U630" s="92" t="e">
        <f t="shared" si="750"/>
        <v>#DIV/0!</v>
      </c>
      <c r="V630" s="92" t="e">
        <f t="shared" si="750"/>
        <v>#DIV/0!</v>
      </c>
      <c r="W630" s="92" t="e">
        <f t="shared" si="750"/>
        <v>#DIV/0!</v>
      </c>
      <c r="X630" s="59"/>
    </row>
    <row r="631" spans="1:28" s="130" customFormat="1" ht="18" hidden="1" customHeight="1">
      <c r="A631" s="614"/>
      <c r="B631" s="581"/>
      <c r="C631" s="581"/>
      <c r="D631" s="191" t="str">
        <f>серпень!D554</f>
        <v>сума, тис.грн.</v>
      </c>
      <c r="E631" s="93"/>
      <c r="F631" s="93">
        <f t="shared" ref="F631:K631" si="751">F648+F678</f>
        <v>0</v>
      </c>
      <c r="G631" s="93">
        <f t="shared" si="751"/>
        <v>0</v>
      </c>
      <c r="H631" s="93">
        <f t="shared" si="751"/>
        <v>0</v>
      </c>
      <c r="I631" s="93">
        <f t="shared" si="751"/>
        <v>0</v>
      </c>
      <c r="J631" s="93">
        <f t="shared" si="751"/>
        <v>0</v>
      </c>
      <c r="K631" s="93">
        <f t="shared" si="751"/>
        <v>0</v>
      </c>
      <c r="L631" s="106">
        <f>SUM(F631:K631)</f>
        <v>0</v>
      </c>
      <c r="M631" s="106">
        <f>L631/6</f>
        <v>0</v>
      </c>
      <c r="N631" s="93">
        <f t="shared" ref="N631:S631" si="752">N648+N678</f>
        <v>0</v>
      </c>
      <c r="O631" s="93">
        <f t="shared" si="752"/>
        <v>0</v>
      </c>
      <c r="P631" s="93">
        <f t="shared" si="752"/>
        <v>0</v>
      </c>
      <c r="Q631" s="93">
        <f t="shared" si="752"/>
        <v>0</v>
      </c>
      <c r="R631" s="93">
        <f t="shared" si="752"/>
        <v>0</v>
      </c>
      <c r="S631" s="93">
        <f t="shared" si="752"/>
        <v>0</v>
      </c>
      <c r="T631" s="106">
        <f>SUM(N631:S631)</f>
        <v>0</v>
      </c>
      <c r="U631" s="106">
        <f>T631+L631</f>
        <v>0</v>
      </c>
      <c r="V631" s="500">
        <f>V648+V678</f>
        <v>0</v>
      </c>
      <c r="W631" s="93">
        <f>V631-U631</f>
        <v>0</v>
      </c>
    </row>
    <row r="632" spans="1:28" s="130" customFormat="1" ht="18" hidden="1" customHeight="1">
      <c r="A632" s="614"/>
      <c r="B632" s="581"/>
      <c r="C632" s="581"/>
      <c r="D632" s="174" t="str">
        <f>серпень!D555</f>
        <v>абоненська плата, тис.грн.</v>
      </c>
      <c r="E632" s="93"/>
      <c r="F632" s="93">
        <f>F663+F693</f>
        <v>0</v>
      </c>
      <c r="G632" s="93">
        <f t="shared" ref="G632:K633" si="753">G663+G693</f>
        <v>0</v>
      </c>
      <c r="H632" s="93">
        <f t="shared" si="753"/>
        <v>0</v>
      </c>
      <c r="I632" s="93">
        <f t="shared" si="753"/>
        <v>0</v>
      </c>
      <c r="J632" s="93">
        <f t="shared" si="753"/>
        <v>0</v>
      </c>
      <c r="K632" s="93">
        <f t="shared" si="753"/>
        <v>0</v>
      </c>
      <c r="L632" s="106">
        <f t="shared" ref="L632:L633" si="754">SUM(F632:K632)</f>
        <v>0</v>
      </c>
      <c r="M632" s="106">
        <f t="shared" ref="M632:M633" si="755">L632/6</f>
        <v>0</v>
      </c>
      <c r="N632" s="93">
        <f>N663+N693</f>
        <v>0</v>
      </c>
      <c r="O632" s="93">
        <f t="shared" ref="O632:S633" si="756">O663+O693</f>
        <v>0</v>
      </c>
      <c r="P632" s="93">
        <f t="shared" si="756"/>
        <v>0</v>
      </c>
      <c r="Q632" s="93">
        <f t="shared" si="756"/>
        <v>0</v>
      </c>
      <c r="R632" s="93">
        <f t="shared" si="756"/>
        <v>0</v>
      </c>
      <c r="S632" s="93">
        <f t="shared" si="756"/>
        <v>0</v>
      </c>
      <c r="T632" s="106">
        <f t="shared" ref="T632:T634" si="757">SUM(N632:S632)</f>
        <v>0</v>
      </c>
      <c r="U632" s="106">
        <f t="shared" ref="U632:U634" si="758">T632+L632</f>
        <v>0</v>
      </c>
      <c r="V632" s="93">
        <f t="shared" ref="V632:V633" si="759">V663+V693</f>
        <v>0</v>
      </c>
      <c r="W632" s="93">
        <f t="shared" ref="W632:W635" si="760">V632-U632</f>
        <v>0</v>
      </c>
    </row>
    <row r="633" spans="1:28" s="130" customFormat="1" ht="18" hidden="1" customHeight="1">
      <c r="A633" s="614"/>
      <c r="B633" s="581"/>
      <c r="C633" s="581"/>
      <c r="D633" s="174" t="str">
        <f>серпень!D556</f>
        <v>разом сума тис. грн+абонплата</v>
      </c>
      <c r="E633" s="93"/>
      <c r="F633" s="93">
        <f>F664+F694</f>
        <v>0</v>
      </c>
      <c r="G633" s="93">
        <f t="shared" si="753"/>
        <v>0</v>
      </c>
      <c r="H633" s="93">
        <f t="shared" si="753"/>
        <v>0</v>
      </c>
      <c r="I633" s="93">
        <f t="shared" si="753"/>
        <v>0</v>
      </c>
      <c r="J633" s="93">
        <f t="shared" si="753"/>
        <v>0</v>
      </c>
      <c r="K633" s="93">
        <f t="shared" si="753"/>
        <v>0</v>
      </c>
      <c r="L633" s="106">
        <f t="shared" si="754"/>
        <v>0</v>
      </c>
      <c r="M633" s="106">
        <f t="shared" si="755"/>
        <v>0</v>
      </c>
      <c r="N633" s="93">
        <f>N664+N694</f>
        <v>0</v>
      </c>
      <c r="O633" s="93">
        <f t="shared" si="756"/>
        <v>0</v>
      </c>
      <c r="P633" s="93">
        <f t="shared" si="756"/>
        <v>0</v>
      </c>
      <c r="Q633" s="93">
        <f t="shared" si="756"/>
        <v>0</v>
      </c>
      <c r="R633" s="93">
        <f t="shared" si="756"/>
        <v>0</v>
      </c>
      <c r="S633" s="93">
        <f t="shared" si="756"/>
        <v>0</v>
      </c>
      <c r="T633" s="106">
        <f t="shared" si="757"/>
        <v>0</v>
      </c>
      <c r="U633" s="106">
        <f t="shared" si="758"/>
        <v>0</v>
      </c>
      <c r="V633" s="93">
        <f t="shared" si="759"/>
        <v>0</v>
      </c>
      <c r="W633" s="93">
        <f t="shared" si="760"/>
        <v>0</v>
      </c>
    </row>
    <row r="634" spans="1:28" s="130" customFormat="1" ht="18" hidden="1" customHeight="1">
      <c r="A634" s="614"/>
      <c r="B634" s="581"/>
      <c r="C634" s="581"/>
      <c r="D634" s="174" t="str">
        <f>серпень!D557</f>
        <v>дотація</v>
      </c>
      <c r="E634" s="95"/>
      <c r="F634" s="93">
        <f>F649+F679</f>
        <v>0</v>
      </c>
      <c r="G634" s="93">
        <f t="shared" ref="G634:K634" si="761">G649+G679</f>
        <v>0</v>
      </c>
      <c r="H634" s="93">
        <f t="shared" si="761"/>
        <v>0</v>
      </c>
      <c r="I634" s="93">
        <f t="shared" si="761"/>
        <v>0</v>
      </c>
      <c r="J634" s="93">
        <f t="shared" si="761"/>
        <v>0</v>
      </c>
      <c r="K634" s="93">
        <f t="shared" si="761"/>
        <v>0</v>
      </c>
      <c r="L634" s="106">
        <f>SUM(F634:K634)</f>
        <v>0</v>
      </c>
      <c r="M634" s="106">
        <f>L634/6</f>
        <v>0</v>
      </c>
      <c r="N634" s="93">
        <f>N649+N679</f>
        <v>0</v>
      </c>
      <c r="O634" s="93">
        <f t="shared" ref="O634:S634" si="762">O649+O679</f>
        <v>0</v>
      </c>
      <c r="P634" s="93">
        <f t="shared" si="762"/>
        <v>0</v>
      </c>
      <c r="Q634" s="93">
        <f t="shared" si="762"/>
        <v>0</v>
      </c>
      <c r="R634" s="93">
        <f t="shared" si="762"/>
        <v>0</v>
      </c>
      <c r="S634" s="93">
        <f t="shared" si="762"/>
        <v>0</v>
      </c>
      <c r="T634" s="106">
        <f t="shared" si="757"/>
        <v>0</v>
      </c>
      <c r="U634" s="106">
        <f t="shared" si="758"/>
        <v>0</v>
      </c>
      <c r="V634" s="93">
        <f t="shared" ref="V634" si="763">V649+V679</f>
        <v>0</v>
      </c>
      <c r="W634" s="93">
        <f t="shared" si="760"/>
        <v>0</v>
      </c>
    </row>
    <row r="635" spans="1:28" s="130" customFormat="1" ht="18" hidden="1" customHeight="1">
      <c r="A635" s="614"/>
      <c r="B635" s="581"/>
      <c r="C635" s="581"/>
      <c r="D635" s="174" t="str">
        <f>серпень!D558</f>
        <v>місцевий (план), тис.грн</v>
      </c>
      <c r="E635" s="95"/>
      <c r="F635" s="93">
        <f>F650+F680</f>
        <v>0</v>
      </c>
      <c r="G635" s="93">
        <f t="shared" ref="G635:K636" si="764">G650+G680</f>
        <v>0</v>
      </c>
      <c r="H635" s="93">
        <f t="shared" si="764"/>
        <v>0</v>
      </c>
      <c r="I635" s="93">
        <f t="shared" si="764"/>
        <v>0</v>
      </c>
      <c r="J635" s="93">
        <f t="shared" si="764"/>
        <v>0</v>
      </c>
      <c r="K635" s="93">
        <f t="shared" si="764"/>
        <v>0</v>
      </c>
      <c r="L635" s="106">
        <f>SUM(F635:K635)</f>
        <v>0</v>
      </c>
      <c r="M635" s="106">
        <f>L635/6</f>
        <v>0</v>
      </c>
      <c r="N635" s="93">
        <f>N650+N680</f>
        <v>0</v>
      </c>
      <c r="O635" s="93">
        <f t="shared" ref="O635:S636" si="765">O650+O680</f>
        <v>0</v>
      </c>
      <c r="P635" s="93">
        <f t="shared" si="765"/>
        <v>0</v>
      </c>
      <c r="Q635" s="93">
        <f t="shared" si="765"/>
        <v>0</v>
      </c>
      <c r="R635" s="93">
        <f t="shared" si="765"/>
        <v>0</v>
      </c>
      <c r="S635" s="93">
        <f t="shared" si="765"/>
        <v>0</v>
      </c>
      <c r="T635" s="106">
        <f>SUM(N635:S635)</f>
        <v>0</v>
      </c>
      <c r="U635" s="106">
        <f>T635+L635</f>
        <v>0</v>
      </c>
      <c r="V635" s="500">
        <f>V650+V680</f>
        <v>0</v>
      </c>
      <c r="W635" s="93">
        <f t="shared" si="760"/>
        <v>0</v>
      </c>
    </row>
    <row r="636" spans="1:28" s="48" customFormat="1" ht="18" hidden="1" customHeight="1">
      <c r="A636" s="614"/>
      <c r="B636" s="581"/>
      <c r="C636" s="581"/>
      <c r="D636" s="178" t="str">
        <f>серпень!D559</f>
        <v>касові нат.п-ки 2025</v>
      </c>
      <c r="E636" s="85"/>
      <c r="F636" s="85">
        <f>F651+F681</f>
        <v>0</v>
      </c>
      <c r="G636" s="85">
        <f t="shared" si="764"/>
        <v>0</v>
      </c>
      <c r="H636" s="85">
        <f t="shared" si="764"/>
        <v>0</v>
      </c>
      <c r="I636" s="85">
        <f t="shared" si="764"/>
        <v>0</v>
      </c>
      <c r="J636" s="85">
        <f t="shared" si="764"/>
        <v>0</v>
      </c>
      <c r="K636" s="85">
        <f t="shared" si="764"/>
        <v>0</v>
      </c>
      <c r="L636" s="140">
        <f>SUM(F636:K636)</f>
        <v>0</v>
      </c>
      <c r="M636" s="140">
        <f>L636/6</f>
        <v>0</v>
      </c>
      <c r="N636" s="85">
        <f>N651+N681</f>
        <v>0</v>
      </c>
      <c r="O636" s="85">
        <f t="shared" si="765"/>
        <v>0</v>
      </c>
      <c r="P636" s="85">
        <f t="shared" si="765"/>
        <v>0</v>
      </c>
      <c r="Q636" s="85">
        <f t="shared" si="765"/>
        <v>0</v>
      </c>
      <c r="R636" s="85">
        <f t="shared" si="765"/>
        <v>0</v>
      </c>
      <c r="S636" s="85">
        <f t="shared" si="765"/>
        <v>0</v>
      </c>
      <c r="T636" s="140">
        <f>SUM(N636:S636)</f>
        <v>0</v>
      </c>
      <c r="U636" s="140">
        <f>T636+L636</f>
        <v>0</v>
      </c>
      <c r="V636" s="88">
        <f>V651+V681</f>
        <v>0</v>
      </c>
      <c r="W636" s="88">
        <f>V636-U636</f>
        <v>0</v>
      </c>
      <c r="X636" s="47">
        <f>U629-U636</f>
        <v>0</v>
      </c>
    </row>
    <row r="637" spans="1:28" s="51" customFormat="1" ht="18" hidden="1" customHeight="1">
      <c r="A637" s="614"/>
      <c r="B637" s="581"/>
      <c r="C637" s="581"/>
      <c r="D637" s="187" t="str">
        <f>серпень!D560</f>
        <v>тариф, грн.</v>
      </c>
      <c r="E637" s="92" t="e">
        <f>E638/E636*1000</f>
        <v>#DIV/0!</v>
      </c>
      <c r="F637" s="92" t="e">
        <f t="shared" ref="F637:W637" si="766">F638/F636*1000</f>
        <v>#DIV/0!</v>
      </c>
      <c r="G637" s="92" t="e">
        <f t="shared" si="766"/>
        <v>#DIV/0!</v>
      </c>
      <c r="H637" s="92" t="e">
        <f t="shared" si="766"/>
        <v>#DIV/0!</v>
      </c>
      <c r="I637" s="92" t="e">
        <f t="shared" si="766"/>
        <v>#DIV/0!</v>
      </c>
      <c r="J637" s="92" t="e">
        <f t="shared" si="766"/>
        <v>#DIV/0!</v>
      </c>
      <c r="K637" s="92" t="e">
        <f t="shared" si="766"/>
        <v>#DIV/0!</v>
      </c>
      <c r="L637" s="92" t="e">
        <f t="shared" si="766"/>
        <v>#DIV/0!</v>
      </c>
      <c r="M637" s="92" t="e">
        <f t="shared" si="766"/>
        <v>#DIV/0!</v>
      </c>
      <c r="N637" s="92" t="e">
        <f t="shared" si="766"/>
        <v>#DIV/0!</v>
      </c>
      <c r="O637" s="92" t="e">
        <f t="shared" si="766"/>
        <v>#DIV/0!</v>
      </c>
      <c r="P637" s="92" t="e">
        <f t="shared" si="766"/>
        <v>#DIV/0!</v>
      </c>
      <c r="Q637" s="92" t="e">
        <f t="shared" si="766"/>
        <v>#DIV/0!</v>
      </c>
      <c r="R637" s="92" t="e">
        <f t="shared" si="766"/>
        <v>#DIV/0!</v>
      </c>
      <c r="S637" s="92" t="e">
        <f t="shared" si="766"/>
        <v>#DIV/0!</v>
      </c>
      <c r="T637" s="92" t="e">
        <f t="shared" si="766"/>
        <v>#DIV/0!</v>
      </c>
      <c r="U637" s="92" t="e">
        <f t="shared" si="766"/>
        <v>#DIV/0!</v>
      </c>
      <c r="V637" s="92" t="e">
        <f t="shared" si="766"/>
        <v>#DIV/0!</v>
      </c>
      <c r="W637" s="92" t="e">
        <f t="shared" si="766"/>
        <v>#DIV/0!</v>
      </c>
      <c r="X637" s="59"/>
    </row>
    <row r="638" spans="1:28" s="126" customFormat="1" ht="18" hidden="1" customHeight="1">
      <c r="A638" s="614"/>
      <c r="B638" s="581"/>
      <c r="C638" s="581"/>
      <c r="D638" s="198" t="str">
        <f>серпень!D561</f>
        <v>касові видатки, тис.грн.</v>
      </c>
      <c r="E638" s="108"/>
      <c r="F638" s="98">
        <f t="shared" ref="F638:K643" si="767">F653+F683</f>
        <v>0</v>
      </c>
      <c r="G638" s="98">
        <f t="shared" si="767"/>
        <v>0</v>
      </c>
      <c r="H638" s="98">
        <f t="shared" si="767"/>
        <v>0</v>
      </c>
      <c r="I638" s="98">
        <f t="shared" si="767"/>
        <v>0</v>
      </c>
      <c r="J638" s="98">
        <f t="shared" si="767"/>
        <v>0</v>
      </c>
      <c r="K638" s="98">
        <f t="shared" si="767"/>
        <v>0</v>
      </c>
      <c r="L638" s="98">
        <f>SUM(F638:K638)</f>
        <v>0</v>
      </c>
      <c r="M638" s="98">
        <f>L638/6</f>
        <v>0</v>
      </c>
      <c r="N638" s="98">
        <f t="shared" ref="N638:S643" si="768">N653+N683</f>
        <v>0</v>
      </c>
      <c r="O638" s="98">
        <f t="shared" si="768"/>
        <v>0</v>
      </c>
      <c r="P638" s="98">
        <f t="shared" si="768"/>
        <v>0</v>
      </c>
      <c r="Q638" s="98">
        <f t="shared" si="768"/>
        <v>0</v>
      </c>
      <c r="R638" s="98">
        <f t="shared" si="768"/>
        <v>0</v>
      </c>
      <c r="S638" s="98">
        <f t="shared" si="768"/>
        <v>0</v>
      </c>
      <c r="T638" s="98">
        <f>SUM(N638:S638)</f>
        <v>0</v>
      </c>
      <c r="U638" s="98">
        <f>T638+L638</f>
        <v>0</v>
      </c>
      <c r="V638" s="98">
        <f>V653+V683</f>
        <v>0</v>
      </c>
      <c r="W638" s="109">
        <f>V638-U638</f>
        <v>0</v>
      </c>
      <c r="X638" s="63">
        <f>U633-U638</f>
        <v>0</v>
      </c>
    </row>
    <row r="639" spans="1:28" s="126" customFormat="1" ht="18" hidden="1" customHeight="1">
      <c r="A639" s="614"/>
      <c r="B639" s="581"/>
      <c r="C639" s="581"/>
      <c r="D639" s="201" t="str">
        <f>серпень!D562</f>
        <v>дотація</v>
      </c>
      <c r="E639" s="108"/>
      <c r="F639" s="98">
        <f t="shared" si="767"/>
        <v>0</v>
      </c>
      <c r="G639" s="98">
        <f t="shared" si="767"/>
        <v>0</v>
      </c>
      <c r="H639" s="98">
        <f t="shared" si="767"/>
        <v>0</v>
      </c>
      <c r="I639" s="98">
        <f t="shared" si="767"/>
        <v>0</v>
      </c>
      <c r="J639" s="98">
        <f t="shared" si="767"/>
        <v>0</v>
      </c>
      <c r="K639" s="98">
        <f t="shared" si="767"/>
        <v>0</v>
      </c>
      <c r="L639" s="98">
        <f>SUM(F639:K639)</f>
        <v>0</v>
      </c>
      <c r="M639" s="98">
        <f>L639/6</f>
        <v>0</v>
      </c>
      <c r="N639" s="98">
        <f t="shared" si="768"/>
        <v>0</v>
      </c>
      <c r="O639" s="98">
        <f t="shared" si="768"/>
        <v>0</v>
      </c>
      <c r="P639" s="98">
        <f t="shared" si="768"/>
        <v>0</v>
      </c>
      <c r="Q639" s="98">
        <f t="shared" si="768"/>
        <v>0</v>
      </c>
      <c r="R639" s="98">
        <f t="shared" si="768"/>
        <v>0</v>
      </c>
      <c r="S639" s="98">
        <f t="shared" si="768"/>
        <v>0</v>
      </c>
      <c r="T639" s="98">
        <f>SUM(N639:S639)</f>
        <v>0</v>
      </c>
      <c r="U639" s="98">
        <f>T639+L639</f>
        <v>0</v>
      </c>
      <c r="V639" s="98">
        <f>V654+V684</f>
        <v>0</v>
      </c>
      <c r="W639" s="109">
        <f>V639-U639</f>
        <v>0</v>
      </c>
      <c r="X639" s="63">
        <f>U634-U639</f>
        <v>0</v>
      </c>
    </row>
    <row r="640" spans="1:28" s="126" customFormat="1" ht="18" hidden="1" customHeight="1">
      <c r="A640" s="614"/>
      <c r="B640" s="581"/>
      <c r="C640" s="581"/>
      <c r="D640" s="201" t="str">
        <f>серпень!D563</f>
        <v xml:space="preserve">місцевий </v>
      </c>
      <c r="E640" s="108"/>
      <c r="F640" s="98">
        <f t="shared" si="767"/>
        <v>0</v>
      </c>
      <c r="G640" s="98">
        <f t="shared" si="767"/>
        <v>0</v>
      </c>
      <c r="H640" s="98">
        <f t="shared" si="767"/>
        <v>0</v>
      </c>
      <c r="I640" s="98">
        <f t="shared" si="767"/>
        <v>0</v>
      </c>
      <c r="J640" s="98">
        <f t="shared" si="767"/>
        <v>0</v>
      </c>
      <c r="K640" s="98">
        <f t="shared" si="767"/>
        <v>0</v>
      </c>
      <c r="L640" s="98">
        <f>SUM(F640:K640)</f>
        <v>0</v>
      </c>
      <c r="M640" s="98">
        <f>L640/6</f>
        <v>0</v>
      </c>
      <c r="N640" s="98">
        <f t="shared" si="768"/>
        <v>0</v>
      </c>
      <c r="O640" s="98">
        <f t="shared" si="768"/>
        <v>0</v>
      </c>
      <c r="P640" s="98">
        <f t="shared" si="768"/>
        <v>0</v>
      </c>
      <c r="Q640" s="98">
        <f t="shared" si="768"/>
        <v>0</v>
      </c>
      <c r="R640" s="98">
        <f t="shared" si="768"/>
        <v>0</v>
      </c>
      <c r="S640" s="98">
        <f t="shared" si="768"/>
        <v>0</v>
      </c>
      <c r="T640" s="98">
        <f>SUM(N640:S640)</f>
        <v>0</v>
      </c>
      <c r="U640" s="98">
        <f>T640+L640</f>
        <v>0</v>
      </c>
      <c r="V640" s="98">
        <f>V655+V685</f>
        <v>0</v>
      </c>
      <c r="W640" s="109">
        <f>V640-U640</f>
        <v>0</v>
      </c>
      <c r="X640" s="63">
        <f>U635-U640</f>
        <v>0</v>
      </c>
    </row>
    <row r="641" spans="1:28" s="43" customFormat="1" ht="18" hidden="1" customHeight="1">
      <c r="A641" s="614"/>
      <c r="B641" s="581"/>
      <c r="C641" s="581"/>
      <c r="D641" s="202" t="str">
        <f>серпень!D564</f>
        <v>план</v>
      </c>
      <c r="E641" s="100"/>
      <c r="F641" s="100">
        <f t="shared" si="767"/>
        <v>0</v>
      </c>
      <c r="G641" s="100">
        <f t="shared" si="767"/>
        <v>0</v>
      </c>
      <c r="H641" s="100">
        <f t="shared" si="767"/>
        <v>0</v>
      </c>
      <c r="I641" s="100">
        <f t="shared" si="767"/>
        <v>0</v>
      </c>
      <c r="J641" s="100">
        <f t="shared" si="767"/>
        <v>0</v>
      </c>
      <c r="K641" s="100">
        <f t="shared" si="767"/>
        <v>0</v>
      </c>
      <c r="L641" s="100">
        <f>SUM(F641:K641)</f>
        <v>0</v>
      </c>
      <c r="M641" s="100">
        <f>L641/6</f>
        <v>0</v>
      </c>
      <c r="N641" s="100">
        <f t="shared" si="768"/>
        <v>0</v>
      </c>
      <c r="O641" s="100">
        <f t="shared" si="768"/>
        <v>0</v>
      </c>
      <c r="P641" s="100">
        <f t="shared" si="768"/>
        <v>0</v>
      </c>
      <c r="Q641" s="100">
        <f t="shared" si="768"/>
        <v>0</v>
      </c>
      <c r="R641" s="100">
        <f t="shared" si="768"/>
        <v>0</v>
      </c>
      <c r="S641" s="100">
        <f t="shared" si="768"/>
        <v>0</v>
      </c>
      <c r="T641" s="100">
        <f>SUM(N641:S641)</f>
        <v>0</v>
      </c>
      <c r="U641" s="100">
        <f>T641+L641</f>
        <v>0</v>
      </c>
      <c r="V641" s="100">
        <f>V656+V686</f>
        <v>0</v>
      </c>
      <c r="W641" s="100">
        <f>V641-U641</f>
        <v>0</v>
      </c>
    </row>
    <row r="642" spans="1:28" s="43" customFormat="1" ht="18" hidden="1" customHeight="1">
      <c r="A642" s="614"/>
      <c r="B642" s="581"/>
      <c r="C642" s="581"/>
      <c r="D642" s="202" t="str">
        <f>серпень!D565</f>
        <v xml:space="preserve">відхилення </v>
      </c>
      <c r="E642" s="100"/>
      <c r="F642" s="100">
        <f t="shared" si="767"/>
        <v>0</v>
      </c>
      <c r="G642" s="100">
        <f t="shared" si="767"/>
        <v>0</v>
      </c>
      <c r="H642" s="100">
        <f t="shared" si="767"/>
        <v>0</v>
      </c>
      <c r="I642" s="100">
        <f t="shared" si="767"/>
        <v>0</v>
      </c>
      <c r="J642" s="100">
        <f t="shared" si="767"/>
        <v>0</v>
      </c>
      <c r="K642" s="100">
        <f t="shared" si="767"/>
        <v>0</v>
      </c>
      <c r="L642" s="100"/>
      <c r="M642" s="100"/>
      <c r="N642" s="100">
        <f t="shared" si="768"/>
        <v>0</v>
      </c>
      <c r="O642" s="100">
        <f t="shared" si="768"/>
        <v>0</v>
      </c>
      <c r="P642" s="100">
        <f t="shared" si="768"/>
        <v>0</v>
      </c>
      <c r="Q642" s="100">
        <f t="shared" si="768"/>
        <v>0</v>
      </c>
      <c r="R642" s="100">
        <f t="shared" si="768"/>
        <v>0</v>
      </c>
      <c r="S642" s="100">
        <f t="shared" si="768"/>
        <v>0</v>
      </c>
      <c r="T642" s="100"/>
      <c r="U642" s="100"/>
      <c r="V642" s="100"/>
      <c r="W642" s="100"/>
    </row>
    <row r="643" spans="1:28" s="43" customFormat="1" ht="18" hidden="1" customHeight="1">
      <c r="A643" s="614"/>
      <c r="B643" s="581"/>
      <c r="C643" s="581"/>
      <c r="D643" s="202" t="str">
        <f>серпень!D566</f>
        <v>відхилення з наростаючим</v>
      </c>
      <c r="E643" s="100"/>
      <c r="F643" s="100">
        <f t="shared" si="767"/>
        <v>0</v>
      </c>
      <c r="G643" s="100">
        <f t="shared" si="767"/>
        <v>0</v>
      </c>
      <c r="H643" s="100">
        <f t="shared" si="767"/>
        <v>0</v>
      </c>
      <c r="I643" s="100">
        <f t="shared" si="767"/>
        <v>0</v>
      </c>
      <c r="J643" s="100">
        <f t="shared" si="767"/>
        <v>0</v>
      </c>
      <c r="K643" s="100">
        <f t="shared" si="767"/>
        <v>0</v>
      </c>
      <c r="L643" s="100"/>
      <c r="M643" s="100"/>
      <c r="N643" s="100">
        <f t="shared" si="768"/>
        <v>0</v>
      </c>
      <c r="O643" s="100">
        <f t="shared" si="768"/>
        <v>0</v>
      </c>
      <c r="P643" s="100">
        <f t="shared" si="768"/>
        <v>0</v>
      </c>
      <c r="Q643" s="100">
        <f t="shared" si="768"/>
        <v>0</v>
      </c>
      <c r="R643" s="100">
        <f t="shared" si="768"/>
        <v>0</v>
      </c>
      <c r="S643" s="100">
        <f t="shared" si="768"/>
        <v>0</v>
      </c>
      <c r="T643" s="100"/>
      <c r="U643" s="100"/>
      <c r="V643" s="100"/>
      <c r="W643" s="100"/>
    </row>
    <row r="644" spans="1:28" s="55" customFormat="1" ht="18" hidden="1" customHeight="1">
      <c r="A644" s="614"/>
      <c r="B644" s="581" t="s">
        <v>67</v>
      </c>
      <c r="C644" s="581"/>
      <c r="D644" s="178" t="str">
        <f>серпень!D567</f>
        <v>факт. нат.п-ки 2023</v>
      </c>
      <c r="E644" s="85"/>
      <c r="F644" s="494"/>
      <c r="G644" s="494"/>
      <c r="H644" s="494"/>
      <c r="I644" s="494"/>
      <c r="J644" s="494"/>
      <c r="K644" s="494"/>
      <c r="L644" s="497">
        <f>SUM(F644:K644)</f>
        <v>0</v>
      </c>
      <c r="M644" s="497">
        <f>L644/6</f>
        <v>0</v>
      </c>
      <c r="N644" s="494"/>
      <c r="O644" s="494"/>
      <c r="P644" s="494"/>
      <c r="Q644" s="494"/>
      <c r="R644" s="494"/>
      <c r="S644" s="494"/>
      <c r="T644" s="498">
        <f>SUM(N644:S644)</f>
        <v>0</v>
      </c>
      <c r="U644" s="498">
        <f>T644+L644</f>
        <v>0</v>
      </c>
      <c r="V644" s="85"/>
      <c r="W644" s="88"/>
      <c r="X644" s="47"/>
      <c r="Y644" s="48"/>
      <c r="Z644" s="48"/>
      <c r="AA644" s="48"/>
      <c r="AB644" s="48"/>
    </row>
    <row r="645" spans="1:28" s="48" customFormat="1" ht="18" hidden="1" customHeight="1">
      <c r="A645" s="614"/>
      <c r="B645" s="581"/>
      <c r="C645" s="581"/>
      <c r="D645" s="178" t="str">
        <f>серпень!D568</f>
        <v>факт. нат.п-ки 2024</v>
      </c>
      <c r="E645" s="85"/>
      <c r="F645" s="495"/>
      <c r="G645" s="495"/>
      <c r="H645" s="496"/>
      <c r="I645" s="495"/>
      <c r="J645" s="495"/>
      <c r="K645" s="495"/>
      <c r="L645" s="498">
        <f>SUM(F645:K645)</f>
        <v>0</v>
      </c>
      <c r="M645" s="498">
        <f>L645/6</f>
        <v>0</v>
      </c>
      <c r="N645" s="494"/>
      <c r="O645" s="495"/>
      <c r="P645" s="495"/>
      <c r="Q645" s="495"/>
      <c r="R645" s="495"/>
      <c r="S645" s="495"/>
      <c r="T645" s="498">
        <f>SUM(N645:S645)</f>
        <v>0</v>
      </c>
      <c r="U645" s="498">
        <f>T645+L645</f>
        <v>0</v>
      </c>
      <c r="V645" s="85">
        <v>0</v>
      </c>
      <c r="W645" s="88"/>
      <c r="X645" s="47"/>
    </row>
    <row r="646" spans="1:28" s="48" customFormat="1" ht="18" hidden="1" customHeight="1">
      <c r="A646" s="614"/>
      <c r="B646" s="581"/>
      <c r="C646" s="581"/>
      <c r="D646" s="178" t="str">
        <f>серпень!D569</f>
        <v>факт. нат.п-ки 2025</v>
      </c>
      <c r="E646" s="85"/>
      <c r="F646" s="349"/>
      <c r="G646" s="349"/>
      <c r="H646" s="499"/>
      <c r="I646" s="349"/>
      <c r="J646" s="349"/>
      <c r="K646" s="495"/>
      <c r="L646" s="497">
        <f>SUM(F646:K646)</f>
        <v>0</v>
      </c>
      <c r="M646" s="497">
        <f>L646/6</f>
        <v>0</v>
      </c>
      <c r="N646" s="494"/>
      <c r="O646" s="495"/>
      <c r="P646" s="495"/>
      <c r="Q646" s="495"/>
      <c r="R646" s="495"/>
      <c r="S646" s="495"/>
      <c r="T646" s="498">
        <f>SUM(N646:S646)</f>
        <v>0</v>
      </c>
      <c r="U646" s="498">
        <f>T646+L646</f>
        <v>0</v>
      </c>
      <c r="V646" s="85">
        <v>0</v>
      </c>
      <c r="W646" s="88">
        <f>V646-U646</f>
        <v>0</v>
      </c>
      <c r="X646" s="47"/>
    </row>
    <row r="647" spans="1:28" s="51" customFormat="1" ht="18" hidden="1" customHeight="1">
      <c r="A647" s="614"/>
      <c r="B647" s="581"/>
      <c r="C647" s="581"/>
      <c r="D647" s="187" t="str">
        <f>серпень!D570</f>
        <v>тариф, грн.</v>
      </c>
      <c r="E647" s="92" t="e">
        <f>E648/E646*1000</f>
        <v>#DIV/0!</v>
      </c>
      <c r="F647" s="92">
        <v>152.63999999999999</v>
      </c>
      <c r="G647" s="92">
        <v>152.63999999999999</v>
      </c>
      <c r="H647" s="92">
        <v>152.63999999999999</v>
      </c>
      <c r="I647" s="92">
        <v>152.63999999999999</v>
      </c>
      <c r="J647" s="92">
        <v>152.63999999999999</v>
      </c>
      <c r="K647" s="92">
        <v>152.63999999999999</v>
      </c>
      <c r="L647" s="92" t="e">
        <f>L648/L646*1000</f>
        <v>#DIV/0!</v>
      </c>
      <c r="M647" s="92" t="e">
        <f>M648/M646*1000</f>
        <v>#DIV/0!</v>
      </c>
      <c r="N647" s="92"/>
      <c r="O647" s="92"/>
      <c r="P647" s="92"/>
      <c r="Q647" s="92"/>
      <c r="R647" s="92"/>
      <c r="S647" s="92"/>
      <c r="T647" s="92" t="e">
        <f>T648/T646*1000</f>
        <v>#DIV/0!</v>
      </c>
      <c r="U647" s="92" t="e">
        <f>U648/U646*1000</f>
        <v>#DIV/0!</v>
      </c>
      <c r="V647" s="105" t="e">
        <f>V648/V646*1000</f>
        <v>#DIV/0!</v>
      </c>
      <c r="W647" s="86" t="e">
        <f>W648/W646*1000</f>
        <v>#DIV/0!</v>
      </c>
      <c r="X647" s="59"/>
    </row>
    <row r="648" spans="1:28" s="130" customFormat="1" ht="18" hidden="1" customHeight="1">
      <c r="A648" s="614"/>
      <c r="B648" s="581"/>
      <c r="C648" s="581"/>
      <c r="D648" s="191" t="str">
        <f>серпень!D571</f>
        <v>сума, тис.грн.</v>
      </c>
      <c r="E648" s="93"/>
      <c r="F648" s="93">
        <f>F646*F647/1000</f>
        <v>0</v>
      </c>
      <c r="G648" s="93">
        <f t="shared" ref="G648:K648" si="769">G646*G647/1000</f>
        <v>0</v>
      </c>
      <c r="H648" s="93">
        <f t="shared" si="769"/>
        <v>0</v>
      </c>
      <c r="I648" s="93">
        <f t="shared" si="769"/>
        <v>0</v>
      </c>
      <c r="J648" s="93">
        <f t="shared" si="769"/>
        <v>0</v>
      </c>
      <c r="K648" s="93">
        <f t="shared" si="769"/>
        <v>0</v>
      </c>
      <c r="L648" s="106">
        <f>SUM(F648:K648)</f>
        <v>0</v>
      </c>
      <c r="M648" s="106">
        <f>L648/6</f>
        <v>0</v>
      </c>
      <c r="N648" s="93">
        <f>N646*N647/1000</f>
        <v>0</v>
      </c>
      <c r="O648" s="93">
        <f t="shared" ref="O648:S648" si="770">O646*O647/1000</f>
        <v>0</v>
      </c>
      <c r="P648" s="93">
        <f t="shared" si="770"/>
        <v>0</v>
      </c>
      <c r="Q648" s="93">
        <f t="shared" si="770"/>
        <v>0</v>
      </c>
      <c r="R648" s="93">
        <f t="shared" si="770"/>
        <v>0</v>
      </c>
      <c r="S648" s="93">
        <f t="shared" si="770"/>
        <v>0</v>
      </c>
      <c r="T648" s="106">
        <f>SUM(N648:S648)</f>
        <v>0</v>
      </c>
      <c r="U648" s="106">
        <f>T648+L648</f>
        <v>0</v>
      </c>
      <c r="V648" s="107">
        <f>V649+V650</f>
        <v>0</v>
      </c>
      <c r="W648" s="94">
        <f>V648-U648</f>
        <v>0</v>
      </c>
    </row>
    <row r="649" spans="1:28" s="130" customFormat="1" ht="18" hidden="1" customHeight="1">
      <c r="A649" s="614"/>
      <c r="B649" s="581"/>
      <c r="C649" s="581"/>
      <c r="D649" s="174" t="str">
        <f>серпень!D572</f>
        <v>дотація</v>
      </c>
      <c r="E649" s="95"/>
      <c r="F649" s="93"/>
      <c r="G649" s="93"/>
      <c r="H649" s="93"/>
      <c r="I649" s="93"/>
      <c r="J649" s="93"/>
      <c r="K649" s="93"/>
      <c r="L649" s="106">
        <f>SUM(F649:K649)</f>
        <v>0</v>
      </c>
      <c r="M649" s="106">
        <f>L649/6</f>
        <v>0</v>
      </c>
      <c r="N649" s="93"/>
      <c r="O649" s="93"/>
      <c r="P649" s="93"/>
      <c r="Q649" s="93"/>
      <c r="R649" s="93"/>
      <c r="S649" s="93"/>
      <c r="T649" s="106">
        <f>SUM(N649:S649)</f>
        <v>0</v>
      </c>
      <c r="U649" s="106">
        <f>T649+L649</f>
        <v>0</v>
      </c>
      <c r="V649" s="107">
        <v>0</v>
      </c>
      <c r="W649" s="94">
        <f>V649-U649</f>
        <v>0</v>
      </c>
    </row>
    <row r="650" spans="1:28" s="130" customFormat="1" ht="18" hidden="1" customHeight="1">
      <c r="A650" s="614"/>
      <c r="B650" s="581"/>
      <c r="C650" s="581"/>
      <c r="D650" s="174" t="str">
        <f>серпень!D573</f>
        <v>місцевий (план), тис.грн</v>
      </c>
      <c r="E650" s="95"/>
      <c r="F650" s="93"/>
      <c r="G650" s="93"/>
      <c r="H650" s="93"/>
      <c r="I650" s="93"/>
      <c r="J650" s="93"/>
      <c r="K650" s="93"/>
      <c r="L650" s="106">
        <f>SUM(F650:K650)</f>
        <v>0</v>
      </c>
      <c r="M650" s="106">
        <f>L650/6</f>
        <v>0</v>
      </c>
      <c r="N650" s="93"/>
      <c r="O650" s="93"/>
      <c r="P650" s="93"/>
      <c r="Q650" s="93"/>
      <c r="R650" s="93"/>
      <c r="S650" s="93"/>
      <c r="T650" s="106">
        <f>SUM(N650:S650)</f>
        <v>0</v>
      </c>
      <c r="U650" s="106">
        <f>T650+L650</f>
        <v>0</v>
      </c>
      <c r="V650" s="107">
        <v>0</v>
      </c>
      <c r="W650" s="94">
        <f>V650-U650</f>
        <v>0</v>
      </c>
    </row>
    <row r="651" spans="1:28" s="48" customFormat="1" ht="18" hidden="1" customHeight="1">
      <c r="A651" s="614"/>
      <c r="B651" s="581"/>
      <c r="C651" s="581"/>
      <c r="D651" s="178" t="str">
        <f>серпень!D574</f>
        <v>касові нат.п-ки 2025</v>
      </c>
      <c r="E651" s="85"/>
      <c r="F651" s="85"/>
      <c r="G651" s="137"/>
      <c r="H651" s="418"/>
      <c r="I651" s="152"/>
      <c r="J651" s="137"/>
      <c r="K651" s="137"/>
      <c r="L651" s="140">
        <f>SUM(F651:K651)</f>
        <v>0</v>
      </c>
      <c r="M651" s="140">
        <f>L651/6</f>
        <v>0</v>
      </c>
      <c r="N651" s="137"/>
      <c r="O651" s="85"/>
      <c r="P651" s="137"/>
      <c r="Q651" s="137"/>
      <c r="R651" s="137"/>
      <c r="S651" s="85"/>
      <c r="T651" s="140">
        <f>SUM(N651:S651)</f>
        <v>0</v>
      </c>
      <c r="U651" s="140">
        <f>T651+L651</f>
        <v>0</v>
      </c>
      <c r="V651" s="85">
        <v>0</v>
      </c>
      <c r="W651" s="88">
        <f>V651-U651</f>
        <v>0</v>
      </c>
      <c r="X651" s="47">
        <f>U646-U651</f>
        <v>0</v>
      </c>
    </row>
    <row r="652" spans="1:28" s="51" customFormat="1" ht="18" hidden="1" customHeight="1">
      <c r="A652" s="614"/>
      <c r="B652" s="581"/>
      <c r="C652" s="581"/>
      <c r="D652" s="187" t="str">
        <f>серпень!D575</f>
        <v>тариф, грн.</v>
      </c>
      <c r="E652" s="92" t="e">
        <f>E653/E651*1000</f>
        <v>#DIV/0!</v>
      </c>
      <c r="F652" s="92">
        <v>152.63999999999999</v>
      </c>
      <c r="G652" s="92">
        <v>152.63999999999999</v>
      </c>
      <c r="H652" s="92">
        <v>152.63999999999999</v>
      </c>
      <c r="I652" s="92">
        <v>152.63999999999999</v>
      </c>
      <c r="J652" s="92">
        <v>152.63999999999999</v>
      </c>
      <c r="K652" s="92">
        <v>152.63999999999999</v>
      </c>
      <c r="L652" s="92" t="e">
        <f>L653/L651*1000</f>
        <v>#DIV/0!</v>
      </c>
      <c r="M652" s="92" t="e">
        <f>M653/M651*1000</f>
        <v>#DIV/0!</v>
      </c>
      <c r="N652" s="92">
        <v>152.63999999999999</v>
      </c>
      <c r="O652" s="92">
        <v>152.63999999999999</v>
      </c>
      <c r="P652" s="92">
        <v>152.63999999999999</v>
      </c>
      <c r="Q652" s="92">
        <v>152.63999999999999</v>
      </c>
      <c r="R652" s="92">
        <v>152.63999999999999</v>
      </c>
      <c r="S652" s="92">
        <v>152.63999999999999</v>
      </c>
      <c r="T652" s="92" t="e">
        <f>T653/T651*1000</f>
        <v>#DIV/0!</v>
      </c>
      <c r="U652" s="92" t="e">
        <f>U653/U651*1000</f>
        <v>#DIV/0!</v>
      </c>
      <c r="V652" s="105" t="e">
        <f>V653/V651*1000</f>
        <v>#DIV/0!</v>
      </c>
      <c r="W652" s="86" t="e">
        <f>W653/W651*1000</f>
        <v>#DIV/0!</v>
      </c>
      <c r="X652" s="59"/>
    </row>
    <row r="653" spans="1:28" s="126" customFormat="1" ht="18" hidden="1" customHeight="1">
      <c r="A653" s="614"/>
      <c r="B653" s="581"/>
      <c r="C653" s="581"/>
      <c r="D653" s="198" t="str">
        <f>серпень!D576</f>
        <v>касові видатки, тис.грн.</v>
      </c>
      <c r="E653" s="108"/>
      <c r="F653" s="98">
        <f>F651*F652/1000</f>
        <v>0</v>
      </c>
      <c r="G653" s="98">
        <f t="shared" ref="G653:K653" si="771">G651*G652/1000</f>
        <v>0</v>
      </c>
      <c r="H653" s="98">
        <f t="shared" si="771"/>
        <v>0</v>
      </c>
      <c r="I653" s="98">
        <f t="shared" si="771"/>
        <v>0</v>
      </c>
      <c r="J653" s="98">
        <f t="shared" si="771"/>
        <v>0</v>
      </c>
      <c r="K653" s="98">
        <f t="shared" si="771"/>
        <v>0</v>
      </c>
      <c r="L653" s="98">
        <f>SUM(F653:K653)</f>
        <v>0</v>
      </c>
      <c r="M653" s="98">
        <f>L653/6</f>
        <v>0</v>
      </c>
      <c r="N653" s="98">
        <f>N651*N652/1000</f>
        <v>0</v>
      </c>
      <c r="O653" s="98">
        <f t="shared" ref="O653:S653" si="772">O651*O652/1000</f>
        <v>0</v>
      </c>
      <c r="P653" s="98">
        <f t="shared" si="772"/>
        <v>0</v>
      </c>
      <c r="Q653" s="98">
        <f t="shared" si="772"/>
        <v>0</v>
      </c>
      <c r="R653" s="98">
        <f t="shared" si="772"/>
        <v>0</v>
      </c>
      <c r="S653" s="98">
        <f t="shared" si="772"/>
        <v>0</v>
      </c>
      <c r="T653" s="98">
        <f>SUM(N653:S653)</f>
        <v>0</v>
      </c>
      <c r="U653" s="98">
        <f>T653+L653</f>
        <v>0</v>
      </c>
      <c r="V653" s="98">
        <f>V648</f>
        <v>0</v>
      </c>
      <c r="W653" s="109">
        <f>V653-U653</f>
        <v>0</v>
      </c>
      <c r="X653" s="63">
        <f>U648-U653</f>
        <v>0</v>
      </c>
    </row>
    <row r="654" spans="1:28" s="126" customFormat="1" ht="18" hidden="1" customHeight="1">
      <c r="A654" s="614"/>
      <c r="B654" s="581"/>
      <c r="C654" s="581"/>
      <c r="D654" s="201" t="str">
        <f>серпень!D577</f>
        <v>дотація</v>
      </c>
      <c r="E654" s="108"/>
      <c r="F654" s="98"/>
      <c r="G654" s="98"/>
      <c r="H654" s="98"/>
      <c r="I654" s="98"/>
      <c r="J654" s="98"/>
      <c r="K654" s="98"/>
      <c r="L654" s="98">
        <f>SUM(F654:K654)</f>
        <v>0</v>
      </c>
      <c r="M654" s="98">
        <f>L654/6</f>
        <v>0</v>
      </c>
      <c r="N654" s="98"/>
      <c r="O654" s="98"/>
      <c r="P654" s="98"/>
      <c r="Q654" s="98"/>
      <c r="R654" s="98"/>
      <c r="S654" s="98"/>
      <c r="T654" s="98">
        <f>SUM(N654:S654)</f>
        <v>0</v>
      </c>
      <c r="U654" s="98">
        <f>T654+L654</f>
        <v>0</v>
      </c>
      <c r="V654" s="98">
        <f>V649</f>
        <v>0</v>
      </c>
      <c r="W654" s="109">
        <f>V654-U654</f>
        <v>0</v>
      </c>
      <c r="X654" s="63">
        <f>U649-U654</f>
        <v>0</v>
      </c>
    </row>
    <row r="655" spans="1:28" s="126" customFormat="1" ht="18" hidden="1" customHeight="1">
      <c r="A655" s="614"/>
      <c r="B655" s="581"/>
      <c r="C655" s="581"/>
      <c r="D655" s="201" t="str">
        <f>серпень!D578</f>
        <v xml:space="preserve">місцевий </v>
      </c>
      <c r="E655" s="108"/>
      <c r="F655" s="98">
        <f t="shared" ref="F655:K655" si="773">F653-F654</f>
        <v>0</v>
      </c>
      <c r="G655" s="98">
        <f t="shared" si="773"/>
        <v>0</v>
      </c>
      <c r="H655" s="98">
        <f t="shared" si="773"/>
        <v>0</v>
      </c>
      <c r="I655" s="98">
        <f t="shared" si="773"/>
        <v>0</v>
      </c>
      <c r="J655" s="98">
        <f t="shared" si="773"/>
        <v>0</v>
      </c>
      <c r="K655" s="98">
        <f t="shared" si="773"/>
        <v>0</v>
      </c>
      <c r="L655" s="98">
        <f>SUM(F655:K655)</f>
        <v>0</v>
      </c>
      <c r="M655" s="98">
        <f>L655/6</f>
        <v>0</v>
      </c>
      <c r="N655" s="98">
        <f t="shared" ref="N655:S655" si="774">N653-N654</f>
        <v>0</v>
      </c>
      <c r="O655" s="98">
        <f t="shared" si="774"/>
        <v>0</v>
      </c>
      <c r="P655" s="98">
        <f t="shared" si="774"/>
        <v>0</v>
      </c>
      <c r="Q655" s="98">
        <f t="shared" si="774"/>
        <v>0</v>
      </c>
      <c r="R655" s="98">
        <f t="shared" si="774"/>
        <v>0</v>
      </c>
      <c r="S655" s="98">
        <f t="shared" si="774"/>
        <v>0</v>
      </c>
      <c r="T655" s="98">
        <f>SUM(N655:S655)</f>
        <v>0</v>
      </c>
      <c r="U655" s="98">
        <f>T655+L655</f>
        <v>0</v>
      </c>
      <c r="V655" s="98">
        <f>V650</f>
        <v>0</v>
      </c>
      <c r="W655" s="109">
        <f>V655-U655</f>
        <v>0</v>
      </c>
      <c r="X655" s="63">
        <f>U650-U655</f>
        <v>0</v>
      </c>
    </row>
    <row r="656" spans="1:28" s="43" customFormat="1" ht="18" hidden="1" customHeight="1">
      <c r="A656" s="614"/>
      <c r="B656" s="581"/>
      <c r="C656" s="581"/>
      <c r="D656" s="202" t="str">
        <f>серпень!D579</f>
        <v>план</v>
      </c>
      <c r="E656" s="100"/>
      <c r="F656" s="100">
        <f t="shared" ref="F656:K656" si="775">F650</f>
        <v>0</v>
      </c>
      <c r="G656" s="100">
        <f t="shared" si="775"/>
        <v>0</v>
      </c>
      <c r="H656" s="100">
        <f t="shared" si="775"/>
        <v>0</v>
      </c>
      <c r="I656" s="100">
        <f t="shared" si="775"/>
        <v>0</v>
      </c>
      <c r="J656" s="100">
        <f t="shared" si="775"/>
        <v>0</v>
      </c>
      <c r="K656" s="100">
        <f t="shared" si="775"/>
        <v>0</v>
      </c>
      <c r="L656" s="100">
        <f>SUM(F656:K656)</f>
        <v>0</v>
      </c>
      <c r="M656" s="100">
        <f>L656/6</f>
        <v>0</v>
      </c>
      <c r="N656" s="100">
        <f t="shared" ref="N656:S656" si="776">N650+N649</f>
        <v>0</v>
      </c>
      <c r="O656" s="100">
        <f t="shared" si="776"/>
        <v>0</v>
      </c>
      <c r="P656" s="100">
        <f t="shared" si="776"/>
        <v>0</v>
      </c>
      <c r="Q656" s="100">
        <f t="shared" si="776"/>
        <v>0</v>
      </c>
      <c r="R656" s="100">
        <f t="shared" si="776"/>
        <v>0</v>
      </c>
      <c r="S656" s="100">
        <f t="shared" si="776"/>
        <v>0</v>
      </c>
      <c r="T656" s="100">
        <f>SUM(N656:S656)</f>
        <v>0</v>
      </c>
      <c r="U656" s="100">
        <f>T656+L656</f>
        <v>0</v>
      </c>
      <c r="V656" s="100">
        <f>V653</f>
        <v>0</v>
      </c>
      <c r="W656" s="100">
        <f>V656-U656</f>
        <v>0</v>
      </c>
    </row>
    <row r="657" spans="1:28" s="43" customFormat="1" ht="18" hidden="1" customHeight="1">
      <c r="A657" s="614"/>
      <c r="B657" s="581"/>
      <c r="C657" s="581"/>
      <c r="D657" s="202" t="str">
        <f>серпень!D580</f>
        <v xml:space="preserve">відхилення </v>
      </c>
      <c r="E657" s="100"/>
      <c r="F657" s="100">
        <f t="shared" ref="F657:K657" si="777">F653-F656</f>
        <v>0</v>
      </c>
      <c r="G657" s="100">
        <f t="shared" si="777"/>
        <v>0</v>
      </c>
      <c r="H657" s="100">
        <f t="shared" si="777"/>
        <v>0</v>
      </c>
      <c r="I657" s="100">
        <f t="shared" si="777"/>
        <v>0</v>
      </c>
      <c r="J657" s="100">
        <f t="shared" si="777"/>
        <v>0</v>
      </c>
      <c r="K657" s="100">
        <f t="shared" si="777"/>
        <v>0</v>
      </c>
      <c r="L657" s="100"/>
      <c r="M657" s="100"/>
      <c r="N657" s="100">
        <f t="shared" ref="N657:S657" si="778">N653-N656</f>
        <v>0</v>
      </c>
      <c r="O657" s="100">
        <f t="shared" si="778"/>
        <v>0</v>
      </c>
      <c r="P657" s="100">
        <f t="shared" si="778"/>
        <v>0</v>
      </c>
      <c r="Q657" s="100">
        <f t="shared" si="778"/>
        <v>0</v>
      </c>
      <c r="R657" s="100">
        <f t="shared" si="778"/>
        <v>0</v>
      </c>
      <c r="S657" s="100">
        <f t="shared" si="778"/>
        <v>0</v>
      </c>
      <c r="T657" s="100"/>
      <c r="U657" s="100"/>
      <c r="V657" s="100"/>
      <c r="W657" s="100"/>
    </row>
    <row r="658" spans="1:28" s="43" customFormat="1" ht="12.55" hidden="1">
      <c r="A658" s="614"/>
      <c r="B658" s="581"/>
      <c r="C658" s="581"/>
      <c r="D658" s="202" t="str">
        <f>серпень!D581</f>
        <v>відхилення з наростаючим</v>
      </c>
      <c r="E658" s="100"/>
      <c r="F658" s="100">
        <f>F657</f>
        <v>0</v>
      </c>
      <c r="G658" s="100">
        <f>G657+F658</f>
        <v>0</v>
      </c>
      <c r="H658" s="100">
        <f>H657+G658</f>
        <v>0</v>
      </c>
      <c r="I658" s="100">
        <f>I657+H658</f>
        <v>0</v>
      </c>
      <c r="J658" s="100">
        <f>J657+I658</f>
        <v>0</v>
      </c>
      <c r="K658" s="100">
        <f>K657+J658</f>
        <v>0</v>
      </c>
      <c r="L658" s="100"/>
      <c r="M658" s="100"/>
      <c r="N658" s="100">
        <f>N657+K658</f>
        <v>0</v>
      </c>
      <c r="O658" s="100">
        <f>O657+N658</f>
        <v>0</v>
      </c>
      <c r="P658" s="100">
        <f>P657+O658</f>
        <v>0</v>
      </c>
      <c r="Q658" s="100">
        <f>Q657+P658</f>
        <v>0</v>
      </c>
      <c r="R658" s="100">
        <f>R657+Q658</f>
        <v>0</v>
      </c>
      <c r="S658" s="100">
        <f>S657+R658</f>
        <v>0</v>
      </c>
      <c r="T658" s="100"/>
      <c r="U658" s="100"/>
      <c r="V658" s="100"/>
      <c r="W658" s="100"/>
    </row>
    <row r="659" spans="1:28" s="55" customFormat="1" ht="18" hidden="1" customHeight="1">
      <c r="A659" s="614"/>
      <c r="B659" s="654" t="s">
        <v>129</v>
      </c>
      <c r="C659" s="581"/>
      <c r="D659" s="178" t="str">
        <f>серпень!D582</f>
        <v>факт. нат.п-ки 2023</v>
      </c>
      <c r="E659" s="85"/>
      <c r="F659" s="85"/>
      <c r="G659" s="85"/>
      <c r="H659" s="85"/>
      <c r="I659" s="85"/>
      <c r="J659" s="85"/>
      <c r="K659" s="85"/>
      <c r="L659" s="153">
        <f>SUM(F659:K659)</f>
        <v>0</v>
      </c>
      <c r="M659" s="153">
        <f>L659/6</f>
        <v>0</v>
      </c>
      <c r="N659" s="85"/>
      <c r="O659" s="85"/>
      <c r="P659" s="85"/>
      <c r="Q659" s="85"/>
      <c r="R659" s="85"/>
      <c r="S659" s="85"/>
      <c r="T659" s="140">
        <f>SUM(N659:S659)</f>
        <v>0</v>
      </c>
      <c r="U659" s="103">
        <f>T659+L659</f>
        <v>0</v>
      </c>
      <c r="V659" s="85"/>
      <c r="W659" s="88"/>
      <c r="X659" s="47"/>
      <c r="Y659" s="48"/>
      <c r="Z659" s="48"/>
      <c r="AA659" s="48"/>
      <c r="AB659" s="48"/>
    </row>
    <row r="660" spans="1:28" s="48" customFormat="1" ht="18" hidden="1" customHeight="1">
      <c r="A660" s="614"/>
      <c r="B660" s="581"/>
      <c r="C660" s="581"/>
      <c r="D660" s="178" t="str">
        <f>серпень!D583</f>
        <v>факт. нат.п-ки 2024</v>
      </c>
      <c r="E660" s="85"/>
      <c r="F660" s="137"/>
      <c r="G660" s="137"/>
      <c r="H660" s="152"/>
      <c r="I660" s="137"/>
      <c r="J660" s="137"/>
      <c r="K660" s="137"/>
      <c r="L660" s="140">
        <f>SUM(F660:K660)</f>
        <v>0</v>
      </c>
      <c r="M660" s="140">
        <f>L660/6</f>
        <v>0</v>
      </c>
      <c r="N660" s="85"/>
      <c r="O660" s="137"/>
      <c r="P660" s="137"/>
      <c r="Q660" s="137"/>
      <c r="R660" s="137"/>
      <c r="S660" s="137"/>
      <c r="T660" s="140">
        <f>SUM(N660:S660)</f>
        <v>0</v>
      </c>
      <c r="U660" s="103">
        <f>T660+L660</f>
        <v>0</v>
      </c>
      <c r="V660" s="85"/>
      <c r="W660" s="88"/>
      <c r="X660" s="47"/>
    </row>
    <row r="661" spans="1:28" s="48" customFormat="1" ht="18" hidden="1" customHeight="1">
      <c r="A661" s="614"/>
      <c r="B661" s="581"/>
      <c r="C661" s="581"/>
      <c r="D661" s="178" t="str">
        <f>серпень!D584</f>
        <v>факт. нат.п-ки 2025</v>
      </c>
      <c r="E661" s="85"/>
      <c r="F661" s="11"/>
      <c r="G661" s="261"/>
      <c r="H661" s="322"/>
      <c r="I661" s="11"/>
      <c r="J661" s="11"/>
      <c r="K661" s="137"/>
      <c r="L661" s="153">
        <f>SUM(F661:K661)</f>
        <v>0</v>
      </c>
      <c r="M661" s="153">
        <f>L661/6</f>
        <v>0</v>
      </c>
      <c r="N661" s="85"/>
      <c r="O661" s="137"/>
      <c r="P661" s="137"/>
      <c r="Q661" s="137"/>
      <c r="R661" s="137"/>
      <c r="S661" s="137"/>
      <c r="T661" s="140">
        <f>SUM(N661:S661)</f>
        <v>0</v>
      </c>
      <c r="U661" s="103">
        <f>T661+L661</f>
        <v>0</v>
      </c>
      <c r="V661" s="85"/>
      <c r="W661" s="88">
        <f>V661-U661</f>
        <v>0</v>
      </c>
      <c r="X661" s="47"/>
    </row>
    <row r="662" spans="1:28" s="51" customFormat="1" ht="18" hidden="1" customHeight="1">
      <c r="A662" s="614"/>
      <c r="B662" s="581"/>
      <c r="C662" s="581"/>
      <c r="D662" s="187" t="str">
        <f>серпень!D585</f>
        <v>тариф, грн.</v>
      </c>
      <c r="E662" s="92" t="e">
        <f>E663/E661*1000</f>
        <v>#DIV/0!</v>
      </c>
      <c r="F662" s="92" t="e">
        <f t="shared" ref="F662:K662" si="779">F663/F661*1000</f>
        <v>#DIV/0!</v>
      </c>
      <c r="G662" s="92" t="e">
        <f t="shared" si="779"/>
        <v>#DIV/0!</v>
      </c>
      <c r="H662" s="92" t="e">
        <f t="shared" si="779"/>
        <v>#DIV/0!</v>
      </c>
      <c r="I662" s="92" t="e">
        <f t="shared" si="779"/>
        <v>#DIV/0!</v>
      </c>
      <c r="J662" s="92" t="e">
        <f t="shared" si="779"/>
        <v>#DIV/0!</v>
      </c>
      <c r="K662" s="92" t="e">
        <f t="shared" si="779"/>
        <v>#DIV/0!</v>
      </c>
      <c r="L662" s="92" t="e">
        <f>L663/L661*1000</f>
        <v>#DIV/0!</v>
      </c>
      <c r="M662" s="92" t="e">
        <f>M663/M661*1000</f>
        <v>#DIV/0!</v>
      </c>
      <c r="N662" s="92" t="e">
        <f t="shared" ref="N662:Q662" si="780">N663/N661*1000</f>
        <v>#DIV/0!</v>
      </c>
      <c r="O662" s="92" t="e">
        <f t="shared" si="780"/>
        <v>#DIV/0!</v>
      </c>
      <c r="P662" s="92" t="e">
        <f t="shared" si="780"/>
        <v>#DIV/0!</v>
      </c>
      <c r="Q662" s="92" t="e">
        <f t="shared" si="780"/>
        <v>#DIV/0!</v>
      </c>
      <c r="R662" s="92">
        <v>143.11199999999999</v>
      </c>
      <c r="S662" s="92">
        <v>143.11199999999999</v>
      </c>
      <c r="T662" s="92" t="e">
        <f>T663/T661*1000</f>
        <v>#DIV/0!</v>
      </c>
      <c r="U662" s="92" t="e">
        <f>U663/U661*1000</f>
        <v>#DIV/0!</v>
      </c>
      <c r="V662" s="105" t="e">
        <f>V663/V661*1000</f>
        <v>#DIV/0!</v>
      </c>
      <c r="W662" s="86" t="e">
        <f>W663/W661*1000</f>
        <v>#DIV/0!</v>
      </c>
      <c r="X662" s="59"/>
    </row>
    <row r="663" spans="1:28" s="130" customFormat="1" ht="18" hidden="1" customHeight="1">
      <c r="A663" s="614"/>
      <c r="B663" s="581"/>
      <c r="C663" s="581"/>
      <c r="D663" s="191" t="str">
        <f>серпень!D586</f>
        <v>сума, тис.грн.</v>
      </c>
      <c r="E663" s="93"/>
      <c r="F663" s="93">
        <v>0</v>
      </c>
      <c r="G663" s="93">
        <v>0</v>
      </c>
      <c r="H663" s="93">
        <v>0</v>
      </c>
      <c r="I663" s="93">
        <v>0</v>
      </c>
      <c r="J663" s="93">
        <v>0</v>
      </c>
      <c r="K663" s="93">
        <v>0</v>
      </c>
      <c r="L663" s="106">
        <f>SUM(F663:K663)</f>
        <v>0</v>
      </c>
      <c r="M663" s="106">
        <f>L663/6</f>
        <v>0</v>
      </c>
      <c r="N663" s="93">
        <v>0</v>
      </c>
      <c r="O663" s="93">
        <v>0</v>
      </c>
      <c r="P663" s="93">
        <v>0</v>
      </c>
      <c r="Q663" s="93">
        <v>0</v>
      </c>
      <c r="R663" s="93">
        <v>0</v>
      </c>
      <c r="S663" s="93">
        <v>0</v>
      </c>
      <c r="T663" s="106">
        <f>SUM(N663:S663)</f>
        <v>0</v>
      </c>
      <c r="U663" s="106">
        <f>T663+L663</f>
        <v>0</v>
      </c>
      <c r="V663" s="107">
        <f>V664+V665</f>
        <v>0</v>
      </c>
      <c r="W663" s="94">
        <f>V663-U663</f>
        <v>0</v>
      </c>
    </row>
    <row r="664" spans="1:28" s="130" customFormat="1" ht="18" hidden="1" customHeight="1">
      <c r="A664" s="614"/>
      <c r="B664" s="581"/>
      <c r="C664" s="581"/>
      <c r="D664" s="174" t="str">
        <f>серпень!D587</f>
        <v>дотація</v>
      </c>
      <c r="E664" s="95"/>
      <c r="F664" s="93"/>
      <c r="G664" s="93"/>
      <c r="H664" s="93"/>
      <c r="I664" s="93"/>
      <c r="J664" s="93"/>
      <c r="K664" s="93"/>
      <c r="L664" s="106">
        <f>SUM(F664:K664)</f>
        <v>0</v>
      </c>
      <c r="M664" s="106">
        <f>L664/6</f>
        <v>0</v>
      </c>
      <c r="N664" s="93"/>
      <c r="O664" s="93"/>
      <c r="P664" s="93"/>
      <c r="Q664" s="93"/>
      <c r="R664" s="93"/>
      <c r="S664" s="93"/>
      <c r="T664" s="106">
        <f>SUM(N664:S664)</f>
        <v>0</v>
      </c>
      <c r="U664" s="106">
        <f>T664+L664</f>
        <v>0</v>
      </c>
      <c r="V664" s="107">
        <v>0</v>
      </c>
      <c r="W664" s="94">
        <f>V664-U664</f>
        <v>0</v>
      </c>
    </row>
    <row r="665" spans="1:28" s="130" customFormat="1" ht="18" hidden="1" customHeight="1">
      <c r="A665" s="614"/>
      <c r="B665" s="581"/>
      <c r="C665" s="581"/>
      <c r="D665" s="174" t="str">
        <f>серпень!D588</f>
        <v>місцевий (план), тис.грн</v>
      </c>
      <c r="E665" s="95"/>
      <c r="F665" s="93">
        <f>0.186-0.186</f>
        <v>0</v>
      </c>
      <c r="G665" s="93">
        <f t="shared" ref="G665:K665" si="781">0.186-0.186</f>
        <v>0</v>
      </c>
      <c r="H665" s="93">
        <f t="shared" si="781"/>
        <v>0</v>
      </c>
      <c r="I665" s="93">
        <f t="shared" si="781"/>
        <v>0</v>
      </c>
      <c r="J665" s="93">
        <f t="shared" si="781"/>
        <v>0</v>
      </c>
      <c r="K665" s="93">
        <f t="shared" si="781"/>
        <v>0</v>
      </c>
      <c r="L665" s="106">
        <f>SUM(F665:K665)</f>
        <v>0</v>
      </c>
      <c r="M665" s="106">
        <f>L665/6</f>
        <v>0</v>
      </c>
      <c r="N665" s="93">
        <v>0</v>
      </c>
      <c r="O665" s="93">
        <v>0</v>
      </c>
      <c r="P665" s="93">
        <v>0</v>
      </c>
      <c r="Q665" s="93">
        <v>0</v>
      </c>
      <c r="R665" s="93">
        <v>0</v>
      </c>
      <c r="S665" s="93">
        <v>0</v>
      </c>
      <c r="T665" s="106">
        <f>SUM(N665:S665)</f>
        <v>0</v>
      </c>
      <c r="U665" s="106">
        <f>T665+L665</f>
        <v>0</v>
      </c>
      <c r="V665" s="107">
        <v>0</v>
      </c>
      <c r="W665" s="94">
        <f>V665-U665</f>
        <v>0</v>
      </c>
    </row>
    <row r="666" spans="1:28" s="48" customFormat="1" ht="18" hidden="1" customHeight="1">
      <c r="A666" s="614"/>
      <c r="B666" s="581"/>
      <c r="C666" s="581"/>
      <c r="D666" s="178" t="str">
        <f>серпень!D589</f>
        <v>касові нат.п-ки 2025</v>
      </c>
      <c r="E666" s="85"/>
      <c r="F666" s="85"/>
      <c r="G666" s="137"/>
      <c r="H666" s="137"/>
      <c r="I666" s="137"/>
      <c r="J666" s="137"/>
      <c r="K666" s="137"/>
      <c r="L666" s="140">
        <f>SUM(F666:K666)</f>
        <v>0</v>
      </c>
      <c r="M666" s="140">
        <f>L666/6</f>
        <v>0</v>
      </c>
      <c r="N666" s="137"/>
      <c r="O666" s="85"/>
      <c r="P666" s="137"/>
      <c r="Q666" s="137"/>
      <c r="R666" s="137"/>
      <c r="S666" s="85"/>
      <c r="T666" s="140">
        <f>SUM(N666:S666)</f>
        <v>0</v>
      </c>
      <c r="U666" s="140">
        <f>T666+L666</f>
        <v>0</v>
      </c>
      <c r="V666" s="85">
        <f>V661</f>
        <v>0</v>
      </c>
      <c r="W666" s="88">
        <f>V666-U666</f>
        <v>0</v>
      </c>
      <c r="X666" s="47">
        <f>U661-U666</f>
        <v>0</v>
      </c>
    </row>
    <row r="667" spans="1:28" s="51" customFormat="1" ht="18" hidden="1" customHeight="1">
      <c r="A667" s="614"/>
      <c r="B667" s="581"/>
      <c r="C667" s="581"/>
      <c r="D667" s="187" t="str">
        <f>серпень!D590</f>
        <v>тариф, грн.</v>
      </c>
      <c r="E667" s="92" t="e">
        <f>E668/E666*1000</f>
        <v>#DIV/0!</v>
      </c>
      <c r="F667" s="92" t="e">
        <f t="shared" ref="F667:K667" si="782">F668/F666*1000</f>
        <v>#DIV/0!</v>
      </c>
      <c r="G667" s="92" t="e">
        <f t="shared" si="782"/>
        <v>#DIV/0!</v>
      </c>
      <c r="H667" s="92" t="e">
        <f t="shared" si="782"/>
        <v>#DIV/0!</v>
      </c>
      <c r="I667" s="92" t="e">
        <f t="shared" si="782"/>
        <v>#DIV/0!</v>
      </c>
      <c r="J667" s="92" t="e">
        <f t="shared" si="782"/>
        <v>#DIV/0!</v>
      </c>
      <c r="K667" s="92" t="e">
        <f t="shared" si="782"/>
        <v>#DIV/0!</v>
      </c>
      <c r="L667" s="92" t="e">
        <f>L668/L666*1000</f>
        <v>#DIV/0!</v>
      </c>
      <c r="M667" s="92" t="e">
        <f>M668/M666*1000</f>
        <v>#DIV/0!</v>
      </c>
      <c r="N667" s="92" t="e">
        <f t="shared" ref="N667:R667" si="783">N668/N666*1000</f>
        <v>#DIV/0!</v>
      </c>
      <c r="O667" s="92" t="e">
        <f t="shared" si="783"/>
        <v>#DIV/0!</v>
      </c>
      <c r="P667" s="92" t="e">
        <f t="shared" si="783"/>
        <v>#DIV/0!</v>
      </c>
      <c r="Q667" s="92" t="e">
        <f t="shared" si="783"/>
        <v>#DIV/0!</v>
      </c>
      <c r="R667" s="92" t="e">
        <f t="shared" si="783"/>
        <v>#DIV/0!</v>
      </c>
      <c r="S667" s="92">
        <v>143.11199999999999</v>
      </c>
      <c r="T667" s="92" t="e">
        <f>T668/T666*1000</f>
        <v>#DIV/0!</v>
      </c>
      <c r="U667" s="92" t="e">
        <f>U668/U666*1000</f>
        <v>#DIV/0!</v>
      </c>
      <c r="V667" s="105" t="e">
        <f>V668/V666*1000</f>
        <v>#DIV/0!</v>
      </c>
      <c r="W667" s="86" t="e">
        <f>W668/W666*1000</f>
        <v>#DIV/0!</v>
      </c>
      <c r="X667" s="59"/>
    </row>
    <row r="668" spans="1:28" s="126" customFormat="1" ht="18" hidden="1" customHeight="1">
      <c r="A668" s="614"/>
      <c r="B668" s="581"/>
      <c r="C668" s="581"/>
      <c r="D668" s="198" t="str">
        <f>серпень!D591</f>
        <v>касові видатки, тис.грн.</v>
      </c>
      <c r="E668" s="108"/>
      <c r="F668" s="98">
        <v>0</v>
      </c>
      <c r="G668" s="98">
        <v>0</v>
      </c>
      <c r="H668" s="98">
        <v>0</v>
      </c>
      <c r="I668" s="98">
        <v>0</v>
      </c>
      <c r="J668" s="98">
        <v>0</v>
      </c>
      <c r="K668" s="98">
        <v>0</v>
      </c>
      <c r="L668" s="98">
        <f>SUM(F668:K668)</f>
        <v>0</v>
      </c>
      <c r="M668" s="98">
        <f>L668/6</f>
        <v>0</v>
      </c>
      <c r="N668" s="98">
        <v>0</v>
      </c>
      <c r="O668" s="98">
        <v>0</v>
      </c>
      <c r="P668" s="98">
        <v>0</v>
      </c>
      <c r="Q668" s="98">
        <v>0</v>
      </c>
      <c r="R668" s="98">
        <v>0</v>
      </c>
      <c r="S668" s="98">
        <v>0</v>
      </c>
      <c r="T668" s="98">
        <f>SUM(N668:S668)</f>
        <v>0</v>
      </c>
      <c r="U668" s="98">
        <f>T668+L668</f>
        <v>0</v>
      </c>
      <c r="V668" s="98">
        <f>V663</f>
        <v>0</v>
      </c>
      <c r="W668" s="109">
        <f>V668-U668</f>
        <v>0</v>
      </c>
      <c r="X668" s="63">
        <f>U663-U668</f>
        <v>0</v>
      </c>
    </row>
    <row r="669" spans="1:28" s="126" customFormat="1" ht="18" hidden="1" customHeight="1">
      <c r="A669" s="614"/>
      <c r="B669" s="581"/>
      <c r="C669" s="581"/>
      <c r="D669" s="201" t="str">
        <f>серпень!D592</f>
        <v>дотація</v>
      </c>
      <c r="E669" s="108"/>
      <c r="F669" s="98"/>
      <c r="G669" s="98"/>
      <c r="H669" s="98"/>
      <c r="I669" s="98"/>
      <c r="J669" s="98"/>
      <c r="K669" s="98"/>
      <c r="L669" s="98">
        <f>SUM(F669:K669)</f>
        <v>0</v>
      </c>
      <c r="M669" s="98">
        <f>L669/6</f>
        <v>0</v>
      </c>
      <c r="N669" s="98"/>
      <c r="O669" s="98"/>
      <c r="P669" s="98"/>
      <c r="Q669" s="98"/>
      <c r="R669" s="98"/>
      <c r="S669" s="98"/>
      <c r="T669" s="98">
        <f>SUM(N669:S669)</f>
        <v>0</v>
      </c>
      <c r="U669" s="98">
        <f>T669+L669</f>
        <v>0</v>
      </c>
      <c r="V669" s="98">
        <f>V664</f>
        <v>0</v>
      </c>
      <c r="W669" s="109">
        <f>V669-U669</f>
        <v>0</v>
      </c>
      <c r="X669" s="63">
        <f>U664-U669</f>
        <v>0</v>
      </c>
    </row>
    <row r="670" spans="1:28" s="126" customFormat="1" ht="18" hidden="1" customHeight="1">
      <c r="A670" s="614"/>
      <c r="B670" s="581"/>
      <c r="C670" s="581"/>
      <c r="D670" s="201" t="str">
        <f>серпень!D593</f>
        <v xml:space="preserve">місцевий </v>
      </c>
      <c r="E670" s="108"/>
      <c r="F670" s="98">
        <f t="shared" ref="F670:K670" si="784">F668-F669</f>
        <v>0</v>
      </c>
      <c r="G670" s="98">
        <f t="shared" si="784"/>
        <v>0</v>
      </c>
      <c r="H670" s="98">
        <f t="shared" si="784"/>
        <v>0</v>
      </c>
      <c r="I670" s="98">
        <f t="shared" si="784"/>
        <v>0</v>
      </c>
      <c r="J670" s="98">
        <f t="shared" si="784"/>
        <v>0</v>
      </c>
      <c r="K670" s="98">
        <f t="shared" si="784"/>
        <v>0</v>
      </c>
      <c r="L670" s="98">
        <f>SUM(F670:K670)</f>
        <v>0</v>
      </c>
      <c r="M670" s="98">
        <f>L670/6</f>
        <v>0</v>
      </c>
      <c r="N670" s="98">
        <f t="shared" ref="N670:S670" si="785">N668-N669</f>
        <v>0</v>
      </c>
      <c r="O670" s="98">
        <f t="shared" si="785"/>
        <v>0</v>
      </c>
      <c r="P670" s="98">
        <f t="shared" si="785"/>
        <v>0</v>
      </c>
      <c r="Q670" s="98">
        <f t="shared" si="785"/>
        <v>0</v>
      </c>
      <c r="R670" s="98">
        <f t="shared" si="785"/>
        <v>0</v>
      </c>
      <c r="S670" s="98">
        <f t="shared" si="785"/>
        <v>0</v>
      </c>
      <c r="T670" s="98">
        <f>SUM(N670:S670)</f>
        <v>0</v>
      </c>
      <c r="U670" s="98">
        <f>T670+L670</f>
        <v>0</v>
      </c>
      <c r="V670" s="98">
        <f>V665</f>
        <v>0</v>
      </c>
      <c r="W670" s="109">
        <f>V670-U670</f>
        <v>0</v>
      </c>
      <c r="X670" s="63">
        <f>U665-U670</f>
        <v>0</v>
      </c>
    </row>
    <row r="671" spans="1:28" s="43" customFormat="1" ht="18" hidden="1" customHeight="1">
      <c r="A671" s="614"/>
      <c r="B671" s="581"/>
      <c r="C671" s="581"/>
      <c r="D671" s="202" t="str">
        <f>серпень!D594</f>
        <v>план</v>
      </c>
      <c r="E671" s="100"/>
      <c r="F671" s="100">
        <f t="shared" ref="F671:K671" si="786">F665</f>
        <v>0</v>
      </c>
      <c r="G671" s="100">
        <f t="shared" si="786"/>
        <v>0</v>
      </c>
      <c r="H671" s="100">
        <f t="shared" si="786"/>
        <v>0</v>
      </c>
      <c r="I671" s="100">
        <f t="shared" si="786"/>
        <v>0</v>
      </c>
      <c r="J671" s="100">
        <f t="shared" si="786"/>
        <v>0</v>
      </c>
      <c r="K671" s="100">
        <f t="shared" si="786"/>
        <v>0</v>
      </c>
      <c r="L671" s="100">
        <f>SUM(F671:K671)</f>
        <v>0</v>
      </c>
      <c r="M671" s="100">
        <f>L671/6</f>
        <v>0</v>
      </c>
      <c r="N671" s="100">
        <f t="shared" ref="N671:S671" si="787">N665+N664</f>
        <v>0</v>
      </c>
      <c r="O671" s="100">
        <f t="shared" si="787"/>
        <v>0</v>
      </c>
      <c r="P671" s="100">
        <f t="shared" si="787"/>
        <v>0</v>
      </c>
      <c r="Q671" s="100">
        <f t="shared" si="787"/>
        <v>0</v>
      </c>
      <c r="R671" s="100">
        <f t="shared" si="787"/>
        <v>0</v>
      </c>
      <c r="S671" s="100">
        <f t="shared" si="787"/>
        <v>0</v>
      </c>
      <c r="T671" s="100">
        <f>SUM(N671:S671)</f>
        <v>0</v>
      </c>
      <c r="U671" s="100">
        <f>T671+L671</f>
        <v>0</v>
      </c>
      <c r="V671" s="100">
        <f>V668</f>
        <v>0</v>
      </c>
      <c r="W671" s="100">
        <f>V671-U671</f>
        <v>0</v>
      </c>
    </row>
    <row r="672" spans="1:28" s="43" customFormat="1" ht="18" hidden="1" customHeight="1">
      <c r="A672" s="614"/>
      <c r="B672" s="581"/>
      <c r="C672" s="581"/>
      <c r="D672" s="202" t="str">
        <f>серпень!D595</f>
        <v xml:space="preserve">відхилення </v>
      </c>
      <c r="E672" s="100"/>
      <c r="F672" s="100">
        <f t="shared" ref="F672:K672" si="788">F668-F671</f>
        <v>0</v>
      </c>
      <c r="G672" s="100">
        <f t="shared" si="788"/>
        <v>0</v>
      </c>
      <c r="H672" s="100">
        <f t="shared" si="788"/>
        <v>0</v>
      </c>
      <c r="I672" s="100">
        <f t="shared" si="788"/>
        <v>0</v>
      </c>
      <c r="J672" s="100">
        <f t="shared" si="788"/>
        <v>0</v>
      </c>
      <c r="K672" s="100">
        <f t="shared" si="788"/>
        <v>0</v>
      </c>
      <c r="L672" s="100"/>
      <c r="M672" s="100"/>
      <c r="N672" s="100">
        <f t="shared" ref="N672:S672" si="789">N668-N671</f>
        <v>0</v>
      </c>
      <c r="O672" s="100">
        <f t="shared" si="789"/>
        <v>0</v>
      </c>
      <c r="P672" s="100">
        <f t="shared" si="789"/>
        <v>0</v>
      </c>
      <c r="Q672" s="100">
        <f t="shared" si="789"/>
        <v>0</v>
      </c>
      <c r="R672" s="100">
        <f t="shared" si="789"/>
        <v>0</v>
      </c>
      <c r="S672" s="100">
        <f t="shared" si="789"/>
        <v>0</v>
      </c>
      <c r="T672" s="100"/>
      <c r="U672" s="100"/>
      <c r="V672" s="100"/>
      <c r="W672" s="100"/>
    </row>
    <row r="673" spans="1:28" s="43" customFormat="1" ht="12.55" hidden="1">
      <c r="A673" s="614"/>
      <c r="B673" s="581"/>
      <c r="C673" s="581"/>
      <c r="D673" s="202" t="str">
        <f>серпень!D596</f>
        <v>відхилення з наростаючим</v>
      </c>
      <c r="E673" s="100"/>
      <c r="F673" s="100">
        <f>F672</f>
        <v>0</v>
      </c>
      <c r="G673" s="100">
        <f>G672+F673</f>
        <v>0</v>
      </c>
      <c r="H673" s="100">
        <f>H672+G673</f>
        <v>0</v>
      </c>
      <c r="I673" s="100">
        <f>I672+H673</f>
        <v>0</v>
      </c>
      <c r="J673" s="100">
        <f>J672+I673</f>
        <v>0</v>
      </c>
      <c r="K673" s="100">
        <f>K672+J673</f>
        <v>0</v>
      </c>
      <c r="L673" s="100"/>
      <c r="M673" s="100"/>
      <c r="N673" s="100">
        <f>N672+K673</f>
        <v>0</v>
      </c>
      <c r="O673" s="100">
        <f>O672+N673</f>
        <v>0</v>
      </c>
      <c r="P673" s="100">
        <f>P672+O673</f>
        <v>0</v>
      </c>
      <c r="Q673" s="100">
        <f>Q672+P673</f>
        <v>0</v>
      </c>
      <c r="R673" s="100">
        <f>R672+Q673</f>
        <v>0</v>
      </c>
      <c r="S673" s="100">
        <f>S672+R673</f>
        <v>0</v>
      </c>
      <c r="T673" s="100"/>
      <c r="U673" s="100"/>
      <c r="V673" s="100"/>
      <c r="W673" s="100"/>
    </row>
    <row r="674" spans="1:28" s="55" customFormat="1" ht="15.85" hidden="1" customHeight="1">
      <c r="A674" s="614"/>
      <c r="B674" s="581" t="s">
        <v>68</v>
      </c>
      <c r="C674" s="581"/>
      <c r="D674" s="178" t="str">
        <f>серпень!D597</f>
        <v>факт. нат.п-ки 2023</v>
      </c>
      <c r="E674" s="85"/>
      <c r="F674" s="12"/>
      <c r="G674" s="12"/>
      <c r="H674" s="12"/>
      <c r="I674" s="12"/>
      <c r="J674" s="12"/>
      <c r="K674" s="12"/>
      <c r="L674" s="140">
        <f>SUM(F674:K674)</f>
        <v>0</v>
      </c>
      <c r="M674" s="140">
        <f>L674/6</f>
        <v>0</v>
      </c>
      <c r="N674" s="12"/>
      <c r="O674" s="12"/>
      <c r="P674" s="12"/>
      <c r="Q674" s="12"/>
      <c r="R674" s="12"/>
      <c r="S674" s="12"/>
      <c r="T674" s="140">
        <f>SUM(N674:S674)</f>
        <v>0</v>
      </c>
      <c r="U674" s="103">
        <f>T674+L674</f>
        <v>0</v>
      </c>
      <c r="V674" s="104"/>
      <c r="W674" s="88">
        <f>V674-U674</f>
        <v>0</v>
      </c>
      <c r="X674" s="47"/>
      <c r="Y674" s="48"/>
      <c r="Z674" s="48"/>
      <c r="AA674" s="48"/>
      <c r="AB674" s="48"/>
    </row>
    <row r="675" spans="1:28" s="48" customFormat="1" ht="15.85" hidden="1" customHeight="1">
      <c r="A675" s="614"/>
      <c r="B675" s="581"/>
      <c r="C675" s="581"/>
      <c r="D675" s="178" t="str">
        <f>серпень!D598</f>
        <v>факт. нат.п-ки 2024</v>
      </c>
      <c r="E675" s="85"/>
      <c r="F675" s="12"/>
      <c r="G675" s="12"/>
      <c r="H675" s="12"/>
      <c r="I675" s="12"/>
      <c r="J675" s="12"/>
      <c r="K675" s="12"/>
      <c r="L675" s="140">
        <f>SUM(F675:K675)</f>
        <v>0</v>
      </c>
      <c r="M675" s="140">
        <f>L675/6</f>
        <v>0</v>
      </c>
      <c r="N675" s="85"/>
      <c r="O675" s="85"/>
      <c r="P675" s="85"/>
      <c r="Q675" s="85"/>
      <c r="R675" s="85"/>
      <c r="S675" s="85"/>
      <c r="T675" s="140">
        <f>SUM(N675:S675)</f>
        <v>0</v>
      </c>
      <c r="U675" s="103">
        <f>T675+L675</f>
        <v>0</v>
      </c>
      <c r="V675" s="104"/>
      <c r="W675" s="88">
        <f>V675-U675</f>
        <v>0</v>
      </c>
      <c r="X675" s="47"/>
    </row>
    <row r="676" spans="1:28" s="48" customFormat="1" ht="15.85" hidden="1" customHeight="1">
      <c r="A676" s="614"/>
      <c r="B676" s="581"/>
      <c r="C676" s="581"/>
      <c r="D676" s="178" t="str">
        <f>серпень!D599</f>
        <v>факт. нат.п-ки 2025</v>
      </c>
      <c r="E676" s="85"/>
      <c r="F676" s="12"/>
      <c r="G676" s="12"/>
      <c r="H676" s="12"/>
      <c r="I676" s="12"/>
      <c r="J676" s="12"/>
      <c r="K676" s="12"/>
      <c r="L676" s="140">
        <f>SUM(F676:K676)</f>
        <v>0</v>
      </c>
      <c r="M676" s="140">
        <f>L676/6</f>
        <v>0</v>
      </c>
      <c r="N676" s="12"/>
      <c r="O676" s="12"/>
      <c r="P676" s="12"/>
      <c r="Q676" s="12"/>
      <c r="R676" s="12"/>
      <c r="S676" s="85"/>
      <c r="T676" s="140">
        <f>SUM(N676:S676)</f>
        <v>0</v>
      </c>
      <c r="U676" s="103">
        <f>T676+L676</f>
        <v>0</v>
      </c>
      <c r="V676" s="85"/>
      <c r="W676" s="88">
        <f>V676-U676</f>
        <v>0</v>
      </c>
      <c r="X676" s="47"/>
    </row>
    <row r="677" spans="1:28" s="51" customFormat="1" ht="15.85" hidden="1" customHeight="1">
      <c r="A677" s="614"/>
      <c r="B677" s="581"/>
      <c r="C677" s="581"/>
      <c r="D677" s="187" t="str">
        <f>серпень!D600</f>
        <v>тариф, грн.</v>
      </c>
      <c r="E677" s="92"/>
      <c r="F677" s="92"/>
      <c r="G677" s="92"/>
      <c r="H677" s="92"/>
      <c r="I677" s="92"/>
      <c r="J677" s="92"/>
      <c r="K677" s="92"/>
      <c r="L677" s="92" t="e">
        <f>L678/L676*1000</f>
        <v>#DIV/0!</v>
      </c>
      <c r="M677" s="92" t="e">
        <f>M678/M676*1000</f>
        <v>#DIV/0!</v>
      </c>
      <c r="N677" s="92"/>
      <c r="O677" s="92"/>
      <c r="P677" s="92"/>
      <c r="Q677" s="92"/>
      <c r="R677" s="92"/>
      <c r="S677" s="92"/>
      <c r="T677" s="92" t="e">
        <f>T678/T676*1000</f>
        <v>#DIV/0!</v>
      </c>
      <c r="U677" s="92" t="e">
        <f>U678/U676*1000</f>
        <v>#DIV/0!</v>
      </c>
      <c r="V677" s="105" t="e">
        <f>V678/V676*1000</f>
        <v>#DIV/0!</v>
      </c>
      <c r="W677" s="86" t="e">
        <f>W678/W676*1000</f>
        <v>#DIV/0!</v>
      </c>
      <c r="X677" s="59"/>
    </row>
    <row r="678" spans="1:28" s="130" customFormat="1" ht="15.85" hidden="1" customHeight="1">
      <c r="A678" s="614"/>
      <c r="B678" s="581"/>
      <c r="C678" s="581"/>
      <c r="D678" s="191" t="str">
        <f>серпень!D601</f>
        <v>сума, тис.грн.</v>
      </c>
      <c r="E678" s="93"/>
      <c r="F678" s="93">
        <f t="shared" ref="F678:K678" si="790">F676*F677/1000</f>
        <v>0</v>
      </c>
      <c r="G678" s="93">
        <f t="shared" si="790"/>
        <v>0</v>
      </c>
      <c r="H678" s="93">
        <f t="shared" si="790"/>
        <v>0</v>
      </c>
      <c r="I678" s="93">
        <f t="shared" si="790"/>
        <v>0</v>
      </c>
      <c r="J678" s="93">
        <f t="shared" si="790"/>
        <v>0</v>
      </c>
      <c r="K678" s="93">
        <f t="shared" si="790"/>
        <v>0</v>
      </c>
      <c r="L678" s="106">
        <f>SUM(F678:K678)</f>
        <v>0</v>
      </c>
      <c r="M678" s="106">
        <f>L678/6</f>
        <v>0</v>
      </c>
      <c r="N678" s="93">
        <f t="shared" ref="N678:S678" si="791">N676*N677/1000</f>
        <v>0</v>
      </c>
      <c r="O678" s="93">
        <f t="shared" si="791"/>
        <v>0</v>
      </c>
      <c r="P678" s="93">
        <f t="shared" si="791"/>
        <v>0</v>
      </c>
      <c r="Q678" s="93">
        <f t="shared" si="791"/>
        <v>0</v>
      </c>
      <c r="R678" s="93">
        <f t="shared" si="791"/>
        <v>0</v>
      </c>
      <c r="S678" s="93">
        <f t="shared" si="791"/>
        <v>0</v>
      </c>
      <c r="T678" s="106">
        <f>SUM(N678:S678)</f>
        <v>0</v>
      </c>
      <c r="U678" s="106">
        <f>T678+L678</f>
        <v>0</v>
      </c>
      <c r="V678" s="107">
        <f>V679+V680</f>
        <v>0</v>
      </c>
      <c r="W678" s="94">
        <f>V678-U678</f>
        <v>0</v>
      </c>
    </row>
    <row r="679" spans="1:28" s="130" customFormat="1" ht="15.85" hidden="1" customHeight="1">
      <c r="A679" s="614"/>
      <c r="B679" s="581"/>
      <c r="C679" s="581"/>
      <c r="D679" s="174" t="str">
        <f>серпень!D602</f>
        <v>дотація</v>
      </c>
      <c r="E679" s="95"/>
      <c r="F679" s="93"/>
      <c r="G679" s="93"/>
      <c r="H679" s="93"/>
      <c r="I679" s="93"/>
      <c r="J679" s="93"/>
      <c r="K679" s="93"/>
      <c r="L679" s="106">
        <f>SUM(F679:K679)</f>
        <v>0</v>
      </c>
      <c r="M679" s="106">
        <f>L679/6</f>
        <v>0</v>
      </c>
      <c r="N679" s="93"/>
      <c r="O679" s="93"/>
      <c r="P679" s="93"/>
      <c r="Q679" s="93"/>
      <c r="R679" s="93"/>
      <c r="S679" s="93"/>
      <c r="T679" s="106">
        <f>SUM(N679:S679)</f>
        <v>0</v>
      </c>
      <c r="U679" s="106">
        <f>T679+L679</f>
        <v>0</v>
      </c>
      <c r="V679" s="107">
        <v>0</v>
      </c>
      <c r="W679" s="94">
        <f>V679-U679</f>
        <v>0</v>
      </c>
    </row>
    <row r="680" spans="1:28" s="130" customFormat="1" ht="15.85" hidden="1" customHeight="1">
      <c r="A680" s="614"/>
      <c r="B680" s="581"/>
      <c r="C680" s="581"/>
      <c r="D680" s="174" t="str">
        <f>серпень!D603</f>
        <v>місцевий (план), тис.грн</v>
      </c>
      <c r="E680" s="95"/>
      <c r="F680" s="93"/>
      <c r="G680" s="93"/>
      <c r="H680" s="93"/>
      <c r="I680" s="93"/>
      <c r="J680" s="93"/>
      <c r="K680" s="93"/>
      <c r="L680" s="106">
        <f>SUM(F680:K680)</f>
        <v>0</v>
      </c>
      <c r="M680" s="106">
        <f>L680/6</f>
        <v>0</v>
      </c>
      <c r="N680" s="93"/>
      <c r="O680" s="93"/>
      <c r="P680" s="93"/>
      <c r="Q680" s="93"/>
      <c r="R680" s="93"/>
      <c r="S680" s="93"/>
      <c r="T680" s="106">
        <f>SUM(N680:S680)</f>
        <v>0</v>
      </c>
      <c r="U680" s="106">
        <f>T680+L680</f>
        <v>0</v>
      </c>
      <c r="V680" s="107">
        <v>0</v>
      </c>
      <c r="W680" s="94">
        <f>V680-U680</f>
        <v>0</v>
      </c>
    </row>
    <row r="681" spans="1:28" s="48" customFormat="1" ht="15.85" hidden="1" customHeight="1">
      <c r="A681" s="614"/>
      <c r="B681" s="581"/>
      <c r="C681" s="581"/>
      <c r="D681" s="178" t="str">
        <f>серпень!D604</f>
        <v>касові нат.п-ки 2025</v>
      </c>
      <c r="E681" s="85"/>
      <c r="F681" s="85"/>
      <c r="G681" s="85"/>
      <c r="H681" s="85"/>
      <c r="I681" s="85"/>
      <c r="J681" s="85"/>
      <c r="K681" s="85"/>
      <c r="L681" s="140">
        <f>SUM(F681:K681)</f>
        <v>0</v>
      </c>
      <c r="M681" s="140">
        <f>L681/6</f>
        <v>0</v>
      </c>
      <c r="N681" s="85"/>
      <c r="O681" s="85"/>
      <c r="P681" s="85"/>
      <c r="Q681" s="85"/>
      <c r="R681" s="85"/>
      <c r="S681" s="85"/>
      <c r="T681" s="140">
        <f>SUM(N681:S681)</f>
        <v>0</v>
      </c>
      <c r="U681" s="140">
        <f>T681+L681</f>
        <v>0</v>
      </c>
      <c r="V681" s="85">
        <f>V676</f>
        <v>0</v>
      </c>
      <c r="W681" s="88">
        <f>V681-U681</f>
        <v>0</v>
      </c>
      <c r="X681" s="47">
        <f>U676-U681</f>
        <v>0</v>
      </c>
    </row>
    <row r="682" spans="1:28" s="51" customFormat="1" ht="15.85" hidden="1" customHeight="1">
      <c r="A682" s="614"/>
      <c r="B682" s="581"/>
      <c r="C682" s="581"/>
      <c r="D682" s="187" t="str">
        <f>серпень!D605</f>
        <v>тариф, грн.</v>
      </c>
      <c r="E682" s="92" t="e">
        <f>E683/E681*1000</f>
        <v>#DIV/0!</v>
      </c>
      <c r="F682" s="92"/>
      <c r="G682" s="92"/>
      <c r="H682" s="92"/>
      <c r="I682" s="92"/>
      <c r="J682" s="92"/>
      <c r="K682" s="92"/>
      <c r="L682" s="92" t="e">
        <f>L683/L681*1000</f>
        <v>#DIV/0!</v>
      </c>
      <c r="M682" s="92" t="e">
        <f>M683/M681*1000</f>
        <v>#DIV/0!</v>
      </c>
      <c r="N682" s="92"/>
      <c r="O682" s="92"/>
      <c r="P682" s="92"/>
      <c r="Q682" s="92"/>
      <c r="R682" s="92"/>
      <c r="S682" s="92"/>
      <c r="T682" s="92" t="e">
        <f>T683/T681*1000</f>
        <v>#DIV/0!</v>
      </c>
      <c r="U682" s="92" t="e">
        <f>U683/U681*1000</f>
        <v>#DIV/0!</v>
      </c>
      <c r="V682" s="105" t="e">
        <f>V683/V681*1000</f>
        <v>#DIV/0!</v>
      </c>
      <c r="W682" s="86" t="e">
        <f>W683/W681*1000</f>
        <v>#DIV/0!</v>
      </c>
      <c r="X682" s="59"/>
    </row>
    <row r="683" spans="1:28" s="126" customFormat="1" ht="15.85" hidden="1" customHeight="1">
      <c r="A683" s="614"/>
      <c r="B683" s="581"/>
      <c r="C683" s="581"/>
      <c r="D683" s="198" t="str">
        <f>серпень!D606</f>
        <v>касові видатки, тис.грн.</v>
      </c>
      <c r="E683" s="108"/>
      <c r="F683" s="98">
        <f t="shared" ref="F683:K683" si="792">F681*F682/1000</f>
        <v>0</v>
      </c>
      <c r="G683" s="98">
        <f t="shared" si="792"/>
        <v>0</v>
      </c>
      <c r="H683" s="98">
        <f t="shared" si="792"/>
        <v>0</v>
      </c>
      <c r="I683" s="98">
        <f t="shared" si="792"/>
        <v>0</v>
      </c>
      <c r="J683" s="98">
        <f t="shared" si="792"/>
        <v>0</v>
      </c>
      <c r="K683" s="98">
        <f t="shared" si="792"/>
        <v>0</v>
      </c>
      <c r="L683" s="98">
        <f>SUM(F683:K683)</f>
        <v>0</v>
      </c>
      <c r="M683" s="98">
        <f>L683/6</f>
        <v>0</v>
      </c>
      <c r="N683" s="98">
        <f t="shared" ref="N683:S683" si="793">N681*N682/1000</f>
        <v>0</v>
      </c>
      <c r="O683" s="98">
        <f t="shared" si="793"/>
        <v>0</v>
      </c>
      <c r="P683" s="98">
        <f t="shared" si="793"/>
        <v>0</v>
      </c>
      <c r="Q683" s="98">
        <f t="shared" si="793"/>
        <v>0</v>
      </c>
      <c r="R683" s="98">
        <f t="shared" si="793"/>
        <v>0</v>
      </c>
      <c r="S683" s="98">
        <f t="shared" si="793"/>
        <v>0</v>
      </c>
      <c r="T683" s="98">
        <f>SUM(N683:S683)</f>
        <v>0</v>
      </c>
      <c r="U683" s="98">
        <f>T683+L683</f>
        <v>0</v>
      </c>
      <c r="V683" s="98">
        <f>V678</f>
        <v>0</v>
      </c>
      <c r="W683" s="109">
        <f>V683-U683</f>
        <v>0</v>
      </c>
      <c r="X683" s="63">
        <f>U678-U683</f>
        <v>0</v>
      </c>
    </row>
    <row r="684" spans="1:28" s="126" customFormat="1" ht="15.85" hidden="1" customHeight="1">
      <c r="A684" s="614"/>
      <c r="B684" s="581"/>
      <c r="C684" s="581"/>
      <c r="D684" s="201" t="str">
        <f>серпень!D607</f>
        <v>дотація</v>
      </c>
      <c r="E684" s="108"/>
      <c r="F684" s="98"/>
      <c r="G684" s="98"/>
      <c r="H684" s="98"/>
      <c r="I684" s="98"/>
      <c r="J684" s="98"/>
      <c r="K684" s="98"/>
      <c r="L684" s="98">
        <f>SUM(F684:K684)</f>
        <v>0</v>
      </c>
      <c r="M684" s="98">
        <f>L684/6</f>
        <v>0</v>
      </c>
      <c r="N684" s="98"/>
      <c r="O684" s="98"/>
      <c r="P684" s="98"/>
      <c r="Q684" s="98"/>
      <c r="R684" s="98"/>
      <c r="S684" s="98"/>
      <c r="T684" s="98">
        <f>SUM(N684:S684)</f>
        <v>0</v>
      </c>
      <c r="U684" s="98">
        <f>T684+L684</f>
        <v>0</v>
      </c>
      <c r="V684" s="98">
        <f>V679</f>
        <v>0</v>
      </c>
      <c r="W684" s="109">
        <f>V684-U684</f>
        <v>0</v>
      </c>
      <c r="X684" s="63">
        <f>U679-U684</f>
        <v>0</v>
      </c>
    </row>
    <row r="685" spans="1:28" s="126" customFormat="1" ht="15.85" hidden="1" customHeight="1">
      <c r="A685" s="614"/>
      <c r="B685" s="581"/>
      <c r="C685" s="581"/>
      <c r="D685" s="201" t="str">
        <f>серпень!D608</f>
        <v xml:space="preserve">місцевий </v>
      </c>
      <c r="E685" s="108"/>
      <c r="F685" s="98">
        <f t="shared" ref="F685:K685" si="794">F683-F684</f>
        <v>0</v>
      </c>
      <c r="G685" s="98">
        <f t="shared" si="794"/>
        <v>0</v>
      </c>
      <c r="H685" s="98">
        <f t="shared" si="794"/>
        <v>0</v>
      </c>
      <c r="I685" s="98">
        <f t="shared" si="794"/>
        <v>0</v>
      </c>
      <c r="J685" s="98">
        <f t="shared" si="794"/>
        <v>0</v>
      </c>
      <c r="K685" s="98">
        <f t="shared" si="794"/>
        <v>0</v>
      </c>
      <c r="L685" s="98">
        <f>SUM(F685:K685)</f>
        <v>0</v>
      </c>
      <c r="M685" s="98">
        <f>L685/6</f>
        <v>0</v>
      </c>
      <c r="N685" s="98">
        <f t="shared" ref="N685:S685" si="795">N683-N684</f>
        <v>0</v>
      </c>
      <c r="O685" s="98">
        <f t="shared" si="795"/>
        <v>0</v>
      </c>
      <c r="P685" s="98">
        <f t="shared" si="795"/>
        <v>0</v>
      </c>
      <c r="Q685" s="98">
        <f t="shared" si="795"/>
        <v>0</v>
      </c>
      <c r="R685" s="98">
        <f t="shared" si="795"/>
        <v>0</v>
      </c>
      <c r="S685" s="98">
        <f t="shared" si="795"/>
        <v>0</v>
      </c>
      <c r="T685" s="98">
        <f>SUM(N685:S685)</f>
        <v>0</v>
      </c>
      <c r="U685" s="98">
        <f>T685+L685</f>
        <v>0</v>
      </c>
      <c r="V685" s="98">
        <f>V680</f>
        <v>0</v>
      </c>
      <c r="W685" s="109">
        <f>V685-U685</f>
        <v>0</v>
      </c>
      <c r="X685" s="63">
        <f>U680-U685</f>
        <v>0</v>
      </c>
    </row>
    <row r="686" spans="1:28" s="43" customFormat="1" ht="15.85" hidden="1" customHeight="1">
      <c r="A686" s="614"/>
      <c r="B686" s="581"/>
      <c r="C686" s="581"/>
      <c r="D686" s="202" t="str">
        <f>серпень!D609</f>
        <v>план</v>
      </c>
      <c r="E686" s="100"/>
      <c r="F686" s="100">
        <f t="shared" ref="F686:K686" si="796">F680</f>
        <v>0</v>
      </c>
      <c r="G686" s="100">
        <f t="shared" si="796"/>
        <v>0</v>
      </c>
      <c r="H686" s="100">
        <f t="shared" si="796"/>
        <v>0</v>
      </c>
      <c r="I686" s="100">
        <f t="shared" si="796"/>
        <v>0</v>
      </c>
      <c r="J686" s="100">
        <f t="shared" si="796"/>
        <v>0</v>
      </c>
      <c r="K686" s="100">
        <f t="shared" si="796"/>
        <v>0</v>
      </c>
      <c r="L686" s="100">
        <f>SUM(F686:K686)</f>
        <v>0</v>
      </c>
      <c r="M686" s="100">
        <f>L686/6</f>
        <v>0</v>
      </c>
      <c r="N686" s="100">
        <f t="shared" ref="N686:S686" si="797">N680+N679</f>
        <v>0</v>
      </c>
      <c r="O686" s="100">
        <f t="shared" si="797"/>
        <v>0</v>
      </c>
      <c r="P686" s="100">
        <f t="shared" si="797"/>
        <v>0</v>
      </c>
      <c r="Q686" s="100">
        <f t="shared" si="797"/>
        <v>0</v>
      </c>
      <c r="R686" s="100">
        <f t="shared" si="797"/>
        <v>0</v>
      </c>
      <c r="S686" s="100">
        <f t="shared" si="797"/>
        <v>0</v>
      </c>
      <c r="T686" s="100">
        <f>SUM(N686:S686)</f>
        <v>0</v>
      </c>
      <c r="U686" s="100">
        <f>T686+L686</f>
        <v>0</v>
      </c>
      <c r="V686" s="100">
        <f>V683</f>
        <v>0</v>
      </c>
      <c r="W686" s="100">
        <f>V686-U686</f>
        <v>0</v>
      </c>
    </row>
    <row r="687" spans="1:28" s="43" customFormat="1" ht="18.2" hidden="1" customHeight="1">
      <c r="A687" s="614"/>
      <c r="B687" s="581"/>
      <c r="C687" s="581"/>
      <c r="D687" s="202" t="str">
        <f>серпень!D610</f>
        <v xml:space="preserve">відхилення </v>
      </c>
      <c r="E687" s="100"/>
      <c r="F687" s="100">
        <f t="shared" ref="F687:K687" si="798">F683-F686</f>
        <v>0</v>
      </c>
      <c r="G687" s="100">
        <f t="shared" si="798"/>
        <v>0</v>
      </c>
      <c r="H687" s="100">
        <f t="shared" si="798"/>
        <v>0</v>
      </c>
      <c r="I687" s="100">
        <f t="shared" si="798"/>
        <v>0</v>
      </c>
      <c r="J687" s="100">
        <f t="shared" si="798"/>
        <v>0</v>
      </c>
      <c r="K687" s="100">
        <f t="shared" si="798"/>
        <v>0</v>
      </c>
      <c r="L687" s="100"/>
      <c r="M687" s="100"/>
      <c r="N687" s="100">
        <f t="shared" ref="N687:S687" si="799">N683-N686</f>
        <v>0</v>
      </c>
      <c r="O687" s="100">
        <f t="shared" si="799"/>
        <v>0</v>
      </c>
      <c r="P687" s="100">
        <f t="shared" si="799"/>
        <v>0</v>
      </c>
      <c r="Q687" s="100">
        <f t="shared" si="799"/>
        <v>0</v>
      </c>
      <c r="R687" s="100">
        <f t="shared" si="799"/>
        <v>0</v>
      </c>
      <c r="S687" s="100">
        <f t="shared" si="799"/>
        <v>0</v>
      </c>
      <c r="T687" s="100"/>
      <c r="U687" s="100"/>
      <c r="V687" s="100"/>
      <c r="W687" s="100"/>
    </row>
    <row r="688" spans="1:28" s="43" customFormat="1" ht="18.350000000000001" hidden="1" customHeight="1">
      <c r="A688" s="614"/>
      <c r="B688" s="581"/>
      <c r="C688" s="581"/>
      <c r="D688" s="202" t="str">
        <f>серпень!D611</f>
        <v>відхилення з наростаючим</v>
      </c>
      <c r="E688" s="100"/>
      <c r="F688" s="100">
        <f>F687</f>
        <v>0</v>
      </c>
      <c r="G688" s="100">
        <f>G687+F688</f>
        <v>0</v>
      </c>
      <c r="H688" s="100">
        <f>H687+G688</f>
        <v>0</v>
      </c>
      <c r="I688" s="100">
        <f>I687+H688</f>
        <v>0</v>
      </c>
      <c r="J688" s="100">
        <f>J687+I688</f>
        <v>0</v>
      </c>
      <c r="K688" s="100">
        <f>K687+J688</f>
        <v>0</v>
      </c>
      <c r="L688" s="100"/>
      <c r="M688" s="100"/>
      <c r="N688" s="100">
        <f>N687+K688</f>
        <v>0</v>
      </c>
      <c r="O688" s="100">
        <f>O687+N688</f>
        <v>0</v>
      </c>
      <c r="P688" s="100">
        <f>P687+O688</f>
        <v>0</v>
      </c>
      <c r="Q688" s="100">
        <f>Q687+P688</f>
        <v>0</v>
      </c>
      <c r="R688" s="100">
        <f>R687+Q688</f>
        <v>0</v>
      </c>
      <c r="S688" s="100">
        <f>S687+R688</f>
        <v>0</v>
      </c>
      <c r="T688" s="100"/>
      <c r="U688" s="100"/>
      <c r="V688" s="100"/>
      <c r="W688" s="100"/>
    </row>
    <row r="689" spans="1:28" s="55" customFormat="1" ht="15.85" hidden="1" customHeight="1">
      <c r="A689" s="614"/>
      <c r="B689" s="654" t="s">
        <v>133</v>
      </c>
      <c r="C689" s="581"/>
      <c r="D689" s="178" t="str">
        <f>серпень!D612</f>
        <v>факт. нат.п-ки 2023</v>
      </c>
      <c r="E689" s="85"/>
      <c r="F689" s="12"/>
      <c r="G689" s="12"/>
      <c r="H689" s="12"/>
      <c r="I689" s="12"/>
      <c r="J689" s="12"/>
      <c r="K689" s="12"/>
      <c r="L689" s="140">
        <f>SUM(F689:K689)</f>
        <v>0</v>
      </c>
      <c r="M689" s="140">
        <f>L689/6</f>
        <v>0</v>
      </c>
      <c r="N689" s="12"/>
      <c r="O689" s="12"/>
      <c r="P689" s="12"/>
      <c r="Q689" s="12"/>
      <c r="R689" s="12"/>
      <c r="S689" s="12"/>
      <c r="T689" s="140">
        <f>SUM(N689:S689)</f>
        <v>0</v>
      </c>
      <c r="U689" s="103">
        <f>T689+L689</f>
        <v>0</v>
      </c>
      <c r="V689" s="104"/>
      <c r="W689" s="88">
        <f>V689-U689</f>
        <v>0</v>
      </c>
      <c r="X689" s="47"/>
      <c r="Y689" s="48"/>
      <c r="Z689" s="48"/>
      <c r="AA689" s="48"/>
      <c r="AB689" s="48"/>
    </row>
    <row r="690" spans="1:28" s="48" customFormat="1" ht="15.85" hidden="1" customHeight="1">
      <c r="A690" s="614"/>
      <c r="B690" s="581"/>
      <c r="C690" s="581"/>
      <c r="D690" s="178" t="str">
        <f>серпень!D613</f>
        <v>факт. нат.п-ки 2024</v>
      </c>
      <c r="E690" s="85"/>
      <c r="F690" s="12"/>
      <c r="G690" s="12"/>
      <c r="H690" s="12"/>
      <c r="I690" s="12"/>
      <c r="J690" s="12"/>
      <c r="K690" s="12"/>
      <c r="L690" s="140">
        <f>SUM(F690:K690)</f>
        <v>0</v>
      </c>
      <c r="M690" s="140">
        <f>L690/6</f>
        <v>0</v>
      </c>
      <c r="N690" s="85"/>
      <c r="O690" s="85"/>
      <c r="P690" s="85"/>
      <c r="Q690" s="85"/>
      <c r="R690" s="85"/>
      <c r="S690" s="85"/>
      <c r="T690" s="140">
        <f>SUM(N690:S690)</f>
        <v>0</v>
      </c>
      <c r="U690" s="103">
        <f>T690+L690</f>
        <v>0</v>
      </c>
      <c r="V690" s="104"/>
      <c r="W690" s="88">
        <f>V690-U690</f>
        <v>0</v>
      </c>
      <c r="X690" s="47"/>
    </row>
    <row r="691" spans="1:28" s="48" customFormat="1" ht="15.85" hidden="1" customHeight="1">
      <c r="A691" s="614"/>
      <c r="B691" s="581"/>
      <c r="C691" s="581"/>
      <c r="D691" s="178" t="str">
        <f>серпень!D614</f>
        <v>факт. нат.п-ки 2025</v>
      </c>
      <c r="E691" s="85"/>
      <c r="F691" s="12"/>
      <c r="G691" s="12"/>
      <c r="H691" s="12"/>
      <c r="I691" s="12"/>
      <c r="J691" s="12"/>
      <c r="K691" s="12"/>
      <c r="L691" s="140">
        <f>SUM(F691:K691)</f>
        <v>0</v>
      </c>
      <c r="M691" s="140">
        <f>L691/6</f>
        <v>0</v>
      </c>
      <c r="N691" s="12"/>
      <c r="O691" s="12"/>
      <c r="P691" s="12"/>
      <c r="Q691" s="12"/>
      <c r="R691" s="12"/>
      <c r="S691" s="85"/>
      <c r="T691" s="140">
        <f>SUM(N691:S691)</f>
        <v>0</v>
      </c>
      <c r="U691" s="103">
        <f>T691+L691</f>
        <v>0</v>
      </c>
      <c r="V691" s="85"/>
      <c r="W691" s="88">
        <f>V691-U691</f>
        <v>0</v>
      </c>
      <c r="X691" s="47"/>
    </row>
    <row r="692" spans="1:28" s="51" customFormat="1" ht="15.85" hidden="1" customHeight="1">
      <c r="A692" s="614"/>
      <c r="B692" s="581"/>
      <c r="C692" s="581"/>
      <c r="D692" s="187" t="str">
        <f>серпень!D615</f>
        <v>тариф, грн.</v>
      </c>
      <c r="E692" s="92"/>
      <c r="F692" s="92"/>
      <c r="G692" s="92"/>
      <c r="H692" s="92"/>
      <c r="I692" s="92"/>
      <c r="J692" s="92"/>
      <c r="K692" s="92"/>
      <c r="L692" s="92" t="e">
        <f>L693/L691*1000</f>
        <v>#DIV/0!</v>
      </c>
      <c r="M692" s="92" t="e">
        <f>M693/M691*1000</f>
        <v>#DIV/0!</v>
      </c>
      <c r="N692" s="92"/>
      <c r="O692" s="92"/>
      <c r="P692" s="92"/>
      <c r="Q692" s="92"/>
      <c r="R692" s="92"/>
      <c r="S692" s="92"/>
      <c r="T692" s="92" t="e">
        <f>T693/T691*1000</f>
        <v>#DIV/0!</v>
      </c>
      <c r="U692" s="92" t="e">
        <f>U693/U691*1000</f>
        <v>#DIV/0!</v>
      </c>
      <c r="V692" s="105" t="e">
        <f>V693/V691*1000</f>
        <v>#DIV/0!</v>
      </c>
      <c r="W692" s="86" t="e">
        <f>W693/W691*1000</f>
        <v>#DIV/0!</v>
      </c>
      <c r="X692" s="59"/>
    </row>
    <row r="693" spans="1:28" s="130" customFormat="1" ht="15.85" hidden="1" customHeight="1">
      <c r="A693" s="614"/>
      <c r="B693" s="581"/>
      <c r="C693" s="581"/>
      <c r="D693" s="191" t="str">
        <f>серпень!D616</f>
        <v>сума, тис.грн.</v>
      </c>
      <c r="E693" s="93"/>
      <c r="F693" s="93">
        <f t="shared" ref="F693:K693" si="800">F691*F692/1000</f>
        <v>0</v>
      </c>
      <c r="G693" s="93">
        <f t="shared" si="800"/>
        <v>0</v>
      </c>
      <c r="H693" s="93">
        <f t="shared" si="800"/>
        <v>0</v>
      </c>
      <c r="I693" s="93">
        <f t="shared" si="800"/>
        <v>0</v>
      </c>
      <c r="J693" s="93">
        <f t="shared" si="800"/>
        <v>0</v>
      </c>
      <c r="K693" s="93">
        <f t="shared" si="800"/>
        <v>0</v>
      </c>
      <c r="L693" s="106">
        <f>SUM(F693:K693)</f>
        <v>0</v>
      </c>
      <c r="M693" s="106">
        <f>L693/6</f>
        <v>0</v>
      </c>
      <c r="N693" s="93">
        <f t="shared" ref="N693:S693" si="801">N691*N692/1000</f>
        <v>0</v>
      </c>
      <c r="O693" s="93">
        <f t="shared" si="801"/>
        <v>0</v>
      </c>
      <c r="P693" s="93">
        <f t="shared" si="801"/>
        <v>0</v>
      </c>
      <c r="Q693" s="93">
        <f t="shared" si="801"/>
        <v>0</v>
      </c>
      <c r="R693" s="93">
        <f t="shared" si="801"/>
        <v>0</v>
      </c>
      <c r="S693" s="93">
        <f t="shared" si="801"/>
        <v>0</v>
      </c>
      <c r="T693" s="106">
        <f>SUM(N693:S693)</f>
        <v>0</v>
      </c>
      <c r="U693" s="106">
        <f>T693+L693</f>
        <v>0</v>
      </c>
      <c r="V693" s="107">
        <f>V694+V695</f>
        <v>0</v>
      </c>
      <c r="W693" s="94">
        <f>V693-U693</f>
        <v>0</v>
      </c>
    </row>
    <row r="694" spans="1:28" s="130" customFormat="1" ht="15.85" hidden="1" customHeight="1">
      <c r="A694" s="614"/>
      <c r="B694" s="581"/>
      <c r="C694" s="581"/>
      <c r="D694" s="174" t="str">
        <f>серпень!D617</f>
        <v>дотація</v>
      </c>
      <c r="E694" s="95"/>
      <c r="F694" s="93"/>
      <c r="G694" s="93"/>
      <c r="H694" s="93"/>
      <c r="I694" s="93"/>
      <c r="J694" s="93"/>
      <c r="K694" s="93"/>
      <c r="L694" s="106">
        <f>SUM(F694:K694)</f>
        <v>0</v>
      </c>
      <c r="M694" s="106">
        <f>L694/6</f>
        <v>0</v>
      </c>
      <c r="N694" s="93"/>
      <c r="O694" s="93"/>
      <c r="P694" s="93"/>
      <c r="Q694" s="93"/>
      <c r="R694" s="93"/>
      <c r="S694" s="93"/>
      <c r="T694" s="106">
        <f>SUM(N694:S694)</f>
        <v>0</v>
      </c>
      <c r="U694" s="106">
        <f>T694+L694</f>
        <v>0</v>
      </c>
      <c r="V694" s="107">
        <v>0</v>
      </c>
      <c r="W694" s="94">
        <f>V694-U694</f>
        <v>0</v>
      </c>
    </row>
    <row r="695" spans="1:28" s="130" customFormat="1" ht="15.85" hidden="1" customHeight="1">
      <c r="A695" s="614"/>
      <c r="B695" s="581"/>
      <c r="C695" s="581"/>
      <c r="D695" s="174" t="str">
        <f>серпень!D618</f>
        <v>місцевий (план), тис.грн</v>
      </c>
      <c r="E695" s="95"/>
      <c r="F695" s="93"/>
      <c r="G695" s="93"/>
      <c r="H695" s="93"/>
      <c r="I695" s="93"/>
      <c r="J695" s="93"/>
      <c r="K695" s="93"/>
      <c r="L695" s="106">
        <f>SUM(F695:K695)</f>
        <v>0</v>
      </c>
      <c r="M695" s="106">
        <f>L695/6</f>
        <v>0</v>
      </c>
      <c r="N695" s="93"/>
      <c r="O695" s="93"/>
      <c r="P695" s="93"/>
      <c r="Q695" s="93"/>
      <c r="R695" s="93"/>
      <c r="S695" s="93"/>
      <c r="T695" s="106">
        <f>SUM(N695:S695)</f>
        <v>0</v>
      </c>
      <c r="U695" s="106">
        <f>T695+L695</f>
        <v>0</v>
      </c>
      <c r="V695" s="107">
        <v>0</v>
      </c>
      <c r="W695" s="94">
        <f>V695-U695</f>
        <v>0</v>
      </c>
    </row>
    <row r="696" spans="1:28" s="48" customFormat="1" ht="15.85" hidden="1" customHeight="1">
      <c r="A696" s="614"/>
      <c r="B696" s="581"/>
      <c r="C696" s="581"/>
      <c r="D696" s="178" t="str">
        <f>серпень!D619</f>
        <v>касові нат.п-ки 2025</v>
      </c>
      <c r="E696" s="85"/>
      <c r="F696" s="85"/>
      <c r="G696" s="85"/>
      <c r="H696" s="85"/>
      <c r="I696" s="85"/>
      <c r="J696" s="85"/>
      <c r="K696" s="85"/>
      <c r="L696" s="140">
        <f>SUM(F696:K696)</f>
        <v>0</v>
      </c>
      <c r="M696" s="140">
        <f>L696/6</f>
        <v>0</v>
      </c>
      <c r="N696" s="85"/>
      <c r="O696" s="85"/>
      <c r="P696" s="85"/>
      <c r="Q696" s="85"/>
      <c r="R696" s="85"/>
      <c r="S696" s="85"/>
      <c r="T696" s="140">
        <f>SUM(N696:S696)</f>
        <v>0</v>
      </c>
      <c r="U696" s="140">
        <f>T696+L696</f>
        <v>0</v>
      </c>
      <c r="V696" s="85">
        <f>V691</f>
        <v>0</v>
      </c>
      <c r="W696" s="88">
        <f>V696-U696</f>
        <v>0</v>
      </c>
      <c r="X696" s="47">
        <f>U691-U696</f>
        <v>0</v>
      </c>
    </row>
    <row r="697" spans="1:28" s="51" customFormat="1" ht="15.85" hidden="1" customHeight="1">
      <c r="A697" s="614"/>
      <c r="B697" s="581"/>
      <c r="C697" s="581"/>
      <c r="D697" s="187" t="str">
        <f>серпень!D620</f>
        <v>тариф, грн.</v>
      </c>
      <c r="E697" s="92" t="e">
        <f>E698/E696*1000</f>
        <v>#DIV/0!</v>
      </c>
      <c r="F697" s="92"/>
      <c r="G697" s="92"/>
      <c r="H697" s="92"/>
      <c r="I697" s="92"/>
      <c r="J697" s="92"/>
      <c r="K697" s="92"/>
      <c r="L697" s="92" t="e">
        <f>L698/L696*1000</f>
        <v>#DIV/0!</v>
      </c>
      <c r="M697" s="92" t="e">
        <f>M698/M696*1000</f>
        <v>#DIV/0!</v>
      </c>
      <c r="N697" s="92"/>
      <c r="O697" s="92"/>
      <c r="P697" s="92"/>
      <c r="Q697" s="92"/>
      <c r="R697" s="92"/>
      <c r="S697" s="92"/>
      <c r="T697" s="92" t="e">
        <f>T698/T696*1000</f>
        <v>#DIV/0!</v>
      </c>
      <c r="U697" s="92" t="e">
        <f>U698/U696*1000</f>
        <v>#DIV/0!</v>
      </c>
      <c r="V697" s="105" t="e">
        <f>V698/V696*1000</f>
        <v>#DIV/0!</v>
      </c>
      <c r="W697" s="86" t="e">
        <f>W698/W696*1000</f>
        <v>#DIV/0!</v>
      </c>
      <c r="X697" s="59"/>
    </row>
    <row r="698" spans="1:28" s="126" customFormat="1" ht="15.85" hidden="1" customHeight="1">
      <c r="A698" s="614"/>
      <c r="B698" s="581"/>
      <c r="C698" s="581"/>
      <c r="D698" s="198" t="str">
        <f>серпень!D621</f>
        <v>касові видатки, тис.грн.</v>
      </c>
      <c r="E698" s="108"/>
      <c r="F698" s="98">
        <f t="shared" ref="F698:K698" si="802">F696*F697/1000</f>
        <v>0</v>
      </c>
      <c r="G698" s="98">
        <f t="shared" si="802"/>
        <v>0</v>
      </c>
      <c r="H698" s="98">
        <f t="shared" si="802"/>
        <v>0</v>
      </c>
      <c r="I698" s="98">
        <f t="shared" si="802"/>
        <v>0</v>
      </c>
      <c r="J698" s="98">
        <f t="shared" si="802"/>
        <v>0</v>
      </c>
      <c r="K698" s="98">
        <f t="shared" si="802"/>
        <v>0</v>
      </c>
      <c r="L698" s="98">
        <f>SUM(F698:K698)</f>
        <v>0</v>
      </c>
      <c r="M698" s="98">
        <f>L698/6</f>
        <v>0</v>
      </c>
      <c r="N698" s="98">
        <f t="shared" ref="N698:S698" si="803">N696*N697/1000</f>
        <v>0</v>
      </c>
      <c r="O698" s="98">
        <f t="shared" si="803"/>
        <v>0</v>
      </c>
      <c r="P698" s="98">
        <f t="shared" si="803"/>
        <v>0</v>
      </c>
      <c r="Q698" s="98">
        <f t="shared" si="803"/>
        <v>0</v>
      </c>
      <c r="R698" s="98">
        <f t="shared" si="803"/>
        <v>0</v>
      </c>
      <c r="S698" s="98">
        <f t="shared" si="803"/>
        <v>0</v>
      </c>
      <c r="T698" s="98">
        <f>SUM(N698:S698)</f>
        <v>0</v>
      </c>
      <c r="U698" s="98">
        <f>T698+L698</f>
        <v>0</v>
      </c>
      <c r="V698" s="98">
        <f>V693</f>
        <v>0</v>
      </c>
      <c r="W698" s="109">
        <f>V698-U698</f>
        <v>0</v>
      </c>
      <c r="X698" s="63">
        <f>U693-U698</f>
        <v>0</v>
      </c>
    </row>
    <row r="699" spans="1:28" s="126" customFormat="1" ht="15.85" hidden="1" customHeight="1">
      <c r="A699" s="614"/>
      <c r="B699" s="581"/>
      <c r="C699" s="581"/>
      <c r="D699" s="201" t="str">
        <f>серпень!D622</f>
        <v>дотація</v>
      </c>
      <c r="E699" s="108"/>
      <c r="F699" s="98"/>
      <c r="G699" s="98"/>
      <c r="H699" s="98"/>
      <c r="I699" s="98"/>
      <c r="J699" s="98"/>
      <c r="K699" s="98"/>
      <c r="L699" s="98">
        <f>SUM(F699:K699)</f>
        <v>0</v>
      </c>
      <c r="M699" s="98">
        <f>L699/6</f>
        <v>0</v>
      </c>
      <c r="N699" s="98"/>
      <c r="O699" s="98"/>
      <c r="P699" s="98"/>
      <c r="Q699" s="98"/>
      <c r="R699" s="98"/>
      <c r="S699" s="98"/>
      <c r="T699" s="98">
        <f>SUM(N699:S699)</f>
        <v>0</v>
      </c>
      <c r="U699" s="98">
        <f>T699+L699</f>
        <v>0</v>
      </c>
      <c r="V699" s="98">
        <f>V694</f>
        <v>0</v>
      </c>
      <c r="W699" s="109">
        <f>V699-U699</f>
        <v>0</v>
      </c>
      <c r="X699" s="63">
        <f>U694-U699</f>
        <v>0</v>
      </c>
    </row>
    <row r="700" spans="1:28" s="126" customFormat="1" ht="15.85" hidden="1" customHeight="1">
      <c r="A700" s="614"/>
      <c r="B700" s="581"/>
      <c r="C700" s="581"/>
      <c r="D700" s="201" t="str">
        <f>серпень!D623</f>
        <v xml:space="preserve">місцевий </v>
      </c>
      <c r="E700" s="108"/>
      <c r="F700" s="98">
        <f t="shared" ref="F700:K700" si="804">F698-F699</f>
        <v>0</v>
      </c>
      <c r="G700" s="98">
        <f t="shared" si="804"/>
        <v>0</v>
      </c>
      <c r="H700" s="98">
        <f t="shared" si="804"/>
        <v>0</v>
      </c>
      <c r="I700" s="98">
        <f t="shared" si="804"/>
        <v>0</v>
      </c>
      <c r="J700" s="98">
        <f t="shared" si="804"/>
        <v>0</v>
      </c>
      <c r="K700" s="98">
        <f t="shared" si="804"/>
        <v>0</v>
      </c>
      <c r="L700" s="98">
        <f>SUM(F700:K700)</f>
        <v>0</v>
      </c>
      <c r="M700" s="98">
        <f>L700/6</f>
        <v>0</v>
      </c>
      <c r="N700" s="98">
        <f t="shared" ref="N700:S700" si="805">N698-N699</f>
        <v>0</v>
      </c>
      <c r="O700" s="98">
        <f t="shared" si="805"/>
        <v>0</v>
      </c>
      <c r="P700" s="98">
        <f t="shared" si="805"/>
        <v>0</v>
      </c>
      <c r="Q700" s="98">
        <f t="shared" si="805"/>
        <v>0</v>
      </c>
      <c r="R700" s="98">
        <f t="shared" si="805"/>
        <v>0</v>
      </c>
      <c r="S700" s="98">
        <f t="shared" si="805"/>
        <v>0</v>
      </c>
      <c r="T700" s="98">
        <f>SUM(N700:S700)</f>
        <v>0</v>
      </c>
      <c r="U700" s="98">
        <f>T700+L700</f>
        <v>0</v>
      </c>
      <c r="V700" s="98">
        <f>V695</f>
        <v>0</v>
      </c>
      <c r="W700" s="109">
        <f>V700-U700</f>
        <v>0</v>
      </c>
      <c r="X700" s="63">
        <f>U695-U700</f>
        <v>0</v>
      </c>
    </row>
    <row r="701" spans="1:28" s="43" customFormat="1" ht="15.85" hidden="1" customHeight="1">
      <c r="A701" s="614"/>
      <c r="B701" s="581"/>
      <c r="C701" s="581"/>
      <c r="D701" s="202" t="str">
        <f>серпень!D624</f>
        <v>план</v>
      </c>
      <c r="E701" s="100"/>
      <c r="F701" s="100">
        <f t="shared" ref="F701:K701" si="806">F695</f>
        <v>0</v>
      </c>
      <c r="G701" s="100">
        <f t="shared" si="806"/>
        <v>0</v>
      </c>
      <c r="H701" s="100">
        <f t="shared" si="806"/>
        <v>0</v>
      </c>
      <c r="I701" s="100">
        <f t="shared" si="806"/>
        <v>0</v>
      </c>
      <c r="J701" s="100">
        <f t="shared" si="806"/>
        <v>0</v>
      </c>
      <c r="K701" s="100">
        <f t="shared" si="806"/>
        <v>0</v>
      </c>
      <c r="L701" s="100">
        <f>SUM(F701:K701)</f>
        <v>0</v>
      </c>
      <c r="M701" s="100">
        <f>L701/6</f>
        <v>0</v>
      </c>
      <c r="N701" s="100">
        <f t="shared" ref="N701:S701" si="807">N695+N694</f>
        <v>0</v>
      </c>
      <c r="O701" s="100">
        <f t="shared" si="807"/>
        <v>0</v>
      </c>
      <c r="P701" s="100">
        <f t="shared" si="807"/>
        <v>0</v>
      </c>
      <c r="Q701" s="100">
        <f t="shared" si="807"/>
        <v>0</v>
      </c>
      <c r="R701" s="100">
        <f t="shared" si="807"/>
        <v>0</v>
      </c>
      <c r="S701" s="100">
        <f t="shared" si="807"/>
        <v>0</v>
      </c>
      <c r="T701" s="100">
        <f>SUM(N701:S701)</f>
        <v>0</v>
      </c>
      <c r="U701" s="100">
        <f>T701+L701</f>
        <v>0</v>
      </c>
      <c r="V701" s="100">
        <f>V698</f>
        <v>0</v>
      </c>
      <c r="W701" s="100">
        <f>V701-U701</f>
        <v>0</v>
      </c>
    </row>
    <row r="702" spans="1:28" s="43" customFormat="1" ht="18.2" hidden="1" customHeight="1">
      <c r="A702" s="614"/>
      <c r="B702" s="581"/>
      <c r="C702" s="581"/>
      <c r="D702" s="202" t="str">
        <f>серпень!D625</f>
        <v xml:space="preserve">відхилення </v>
      </c>
      <c r="E702" s="100"/>
      <c r="F702" s="100">
        <f t="shared" ref="F702:K702" si="808">F698-F701</f>
        <v>0</v>
      </c>
      <c r="G702" s="100">
        <f t="shared" si="808"/>
        <v>0</v>
      </c>
      <c r="H702" s="100">
        <f t="shared" si="808"/>
        <v>0</v>
      </c>
      <c r="I702" s="100">
        <f t="shared" si="808"/>
        <v>0</v>
      </c>
      <c r="J702" s="100">
        <f t="shared" si="808"/>
        <v>0</v>
      </c>
      <c r="K702" s="100">
        <f t="shared" si="808"/>
        <v>0</v>
      </c>
      <c r="L702" s="100"/>
      <c r="M702" s="100"/>
      <c r="N702" s="100">
        <f t="shared" ref="N702:S702" si="809">N698-N701</f>
        <v>0</v>
      </c>
      <c r="O702" s="100">
        <f t="shared" si="809"/>
        <v>0</v>
      </c>
      <c r="P702" s="100">
        <f t="shared" si="809"/>
        <v>0</v>
      </c>
      <c r="Q702" s="100">
        <f t="shared" si="809"/>
        <v>0</v>
      </c>
      <c r="R702" s="100">
        <f t="shared" si="809"/>
        <v>0</v>
      </c>
      <c r="S702" s="100">
        <f t="shared" si="809"/>
        <v>0</v>
      </c>
      <c r="T702" s="100"/>
      <c r="U702" s="100"/>
      <c r="V702" s="100"/>
      <c r="W702" s="100"/>
    </row>
    <row r="703" spans="1:28" s="43" customFormat="1" ht="18.350000000000001" hidden="1" customHeight="1">
      <c r="A703" s="614"/>
      <c r="B703" s="581"/>
      <c r="C703" s="581"/>
      <c r="D703" s="202" t="str">
        <f>серпень!D626</f>
        <v>відхилення з наростаючим</v>
      </c>
      <c r="E703" s="100"/>
      <c r="F703" s="100">
        <f>F702</f>
        <v>0</v>
      </c>
      <c r="G703" s="100">
        <f>G702+F703</f>
        <v>0</v>
      </c>
      <c r="H703" s="100">
        <f>H702+G703</f>
        <v>0</v>
      </c>
      <c r="I703" s="100">
        <f>I702+H703</f>
        <v>0</v>
      </c>
      <c r="J703" s="100">
        <f>J702+I703</f>
        <v>0</v>
      </c>
      <c r="K703" s="100">
        <f>K702+J703</f>
        <v>0</v>
      </c>
      <c r="L703" s="100"/>
      <c r="M703" s="100"/>
      <c r="N703" s="100">
        <f>N702+K703</f>
        <v>0</v>
      </c>
      <c r="O703" s="100">
        <f>O702+N703</f>
        <v>0</v>
      </c>
      <c r="P703" s="100">
        <f>P702+O703</f>
        <v>0</v>
      </c>
      <c r="Q703" s="100">
        <f>Q702+P703</f>
        <v>0</v>
      </c>
      <c r="R703" s="100">
        <f>R702+Q703</f>
        <v>0</v>
      </c>
      <c r="S703" s="100">
        <f>S702+R703</f>
        <v>0</v>
      </c>
      <c r="T703" s="100"/>
      <c r="U703" s="100"/>
      <c r="V703" s="100"/>
      <c r="W703" s="100"/>
    </row>
    <row r="704" spans="1:28" s="47" customFormat="1" ht="17.100000000000001" hidden="1" customHeight="1">
      <c r="A704" s="614"/>
      <c r="B704" s="585" t="s">
        <v>122</v>
      </c>
      <c r="C704" s="586"/>
      <c r="D704" s="178" t="str">
        <f>серпень!D627</f>
        <v>факт. нат.п-ки 2023</v>
      </c>
      <c r="E704" s="179"/>
      <c r="F704" s="264">
        <f>F719+F734</f>
        <v>0</v>
      </c>
      <c r="G704" s="264">
        <f t="shared" ref="G704:K704" si="810">G719+G734</f>
        <v>0</v>
      </c>
      <c r="H704" s="264">
        <f t="shared" si="810"/>
        <v>0</v>
      </c>
      <c r="I704" s="264">
        <f t="shared" si="810"/>
        <v>0</v>
      </c>
      <c r="J704" s="264">
        <f t="shared" si="810"/>
        <v>0</v>
      </c>
      <c r="K704" s="264">
        <f t="shared" si="810"/>
        <v>0</v>
      </c>
      <c r="L704" s="234">
        <f>SUM(F704:K704)</f>
        <v>0</v>
      </c>
      <c r="M704" s="234">
        <f>L704/6</f>
        <v>0</v>
      </c>
      <c r="N704" s="264">
        <f>N719+N734</f>
        <v>0</v>
      </c>
      <c r="O704" s="264">
        <f t="shared" ref="O704:S704" si="811">O719+O734</f>
        <v>0</v>
      </c>
      <c r="P704" s="264">
        <f t="shared" si="811"/>
        <v>0</v>
      </c>
      <c r="Q704" s="264">
        <f t="shared" si="811"/>
        <v>0</v>
      </c>
      <c r="R704" s="264">
        <f t="shared" si="811"/>
        <v>0</v>
      </c>
      <c r="S704" s="264">
        <f t="shared" si="811"/>
        <v>0</v>
      </c>
      <c r="T704" s="234">
        <f>SUM(N704:S704)</f>
        <v>0</v>
      </c>
      <c r="U704" s="491">
        <f>T704+L704</f>
        <v>0</v>
      </c>
      <c r="V704" s="492">
        <f t="shared" ref="V704:V706" si="812">V719+V734</f>
        <v>0</v>
      </c>
      <c r="W704" s="184">
        <f>V704-U704</f>
        <v>0</v>
      </c>
    </row>
    <row r="705" spans="1:24" s="47" customFormat="1" ht="17.100000000000001" hidden="1" customHeight="1">
      <c r="A705" s="614"/>
      <c r="B705" s="587"/>
      <c r="C705" s="588"/>
      <c r="D705" s="178" t="str">
        <f>серпень!D628</f>
        <v>факт. нат.п-ки 2024</v>
      </c>
      <c r="E705" s="179"/>
      <c r="F705" s="264">
        <f t="shared" ref="F705:K706" si="813">F720+F735</f>
        <v>0</v>
      </c>
      <c r="G705" s="264">
        <f t="shared" si="813"/>
        <v>0</v>
      </c>
      <c r="H705" s="264">
        <f t="shared" si="813"/>
        <v>0</v>
      </c>
      <c r="I705" s="264">
        <f t="shared" si="813"/>
        <v>0</v>
      </c>
      <c r="J705" s="264">
        <f t="shared" si="813"/>
        <v>0</v>
      </c>
      <c r="K705" s="264">
        <f t="shared" si="813"/>
        <v>0</v>
      </c>
      <c r="L705" s="234">
        <f>SUM(F705:K705)</f>
        <v>0</v>
      </c>
      <c r="M705" s="234">
        <f>L705/6</f>
        <v>0</v>
      </c>
      <c r="N705" s="260">
        <f t="shared" ref="N705:S706" si="814">N720+N735</f>
        <v>0</v>
      </c>
      <c r="O705" s="260">
        <f t="shared" si="814"/>
        <v>0</v>
      </c>
      <c r="P705" s="260">
        <f t="shared" si="814"/>
        <v>0</v>
      </c>
      <c r="Q705" s="260">
        <f t="shared" si="814"/>
        <v>0</v>
      </c>
      <c r="R705" s="260">
        <f t="shared" si="814"/>
        <v>0</v>
      </c>
      <c r="S705" s="260">
        <f t="shared" si="814"/>
        <v>0</v>
      </c>
      <c r="T705" s="234">
        <f>SUM(N705:S705)</f>
        <v>0</v>
      </c>
      <c r="U705" s="491">
        <f>T705+L705</f>
        <v>0</v>
      </c>
      <c r="V705" s="492">
        <f t="shared" si="812"/>
        <v>0</v>
      </c>
      <c r="W705" s="184">
        <f>V705-U705</f>
        <v>0</v>
      </c>
    </row>
    <row r="706" spans="1:24" s="47" customFormat="1" ht="17.100000000000001" hidden="1" customHeight="1">
      <c r="A706" s="614"/>
      <c r="B706" s="587"/>
      <c r="C706" s="588"/>
      <c r="D706" s="178" t="str">
        <f>серпень!D629</f>
        <v>факт. нат.п-ки 2025</v>
      </c>
      <c r="E706" s="179"/>
      <c r="F706" s="264">
        <f t="shared" si="813"/>
        <v>0</v>
      </c>
      <c r="G706" s="264">
        <f t="shared" si="813"/>
        <v>0</v>
      </c>
      <c r="H706" s="264">
        <f t="shared" si="813"/>
        <v>0</v>
      </c>
      <c r="I706" s="264">
        <f t="shared" si="813"/>
        <v>0</v>
      </c>
      <c r="J706" s="264">
        <f t="shared" si="813"/>
        <v>0</v>
      </c>
      <c r="K706" s="264">
        <f t="shared" si="813"/>
        <v>0</v>
      </c>
      <c r="L706" s="234">
        <f>SUM(F706:K706)</f>
        <v>0</v>
      </c>
      <c r="M706" s="234">
        <f>L706/6</f>
        <v>0</v>
      </c>
      <c r="N706" s="264">
        <f t="shared" si="814"/>
        <v>0</v>
      </c>
      <c r="O706" s="264">
        <f t="shared" si="814"/>
        <v>0</v>
      </c>
      <c r="P706" s="264">
        <f t="shared" si="814"/>
        <v>0</v>
      </c>
      <c r="Q706" s="264">
        <f t="shared" si="814"/>
        <v>0</v>
      </c>
      <c r="R706" s="264">
        <f t="shared" si="814"/>
        <v>0</v>
      </c>
      <c r="S706" s="260">
        <f t="shared" si="814"/>
        <v>0</v>
      </c>
      <c r="T706" s="234">
        <f>SUM(N706:S706)</f>
        <v>0</v>
      </c>
      <c r="U706" s="491">
        <f>T706+L706</f>
        <v>0</v>
      </c>
      <c r="V706" s="260">
        <f t="shared" si="812"/>
        <v>0</v>
      </c>
      <c r="W706" s="184">
        <f>V706-U706</f>
        <v>0</v>
      </c>
    </row>
    <row r="707" spans="1:24" s="47" customFormat="1" ht="17.100000000000001" hidden="1" customHeight="1">
      <c r="A707" s="614"/>
      <c r="B707" s="587"/>
      <c r="C707" s="588"/>
      <c r="D707" s="187" t="str">
        <f>серпень!D630</f>
        <v>тариф, грн.</v>
      </c>
      <c r="E707" s="188"/>
      <c r="F707" s="188" t="e">
        <f>F708/F706*1000</f>
        <v>#DIV/0!</v>
      </c>
      <c r="G707" s="188" t="e">
        <f t="shared" ref="G707:K707" si="815">G708/G706*1000</f>
        <v>#DIV/0!</v>
      </c>
      <c r="H707" s="188" t="e">
        <f t="shared" si="815"/>
        <v>#DIV/0!</v>
      </c>
      <c r="I707" s="188" t="e">
        <f t="shared" si="815"/>
        <v>#DIV/0!</v>
      </c>
      <c r="J707" s="188" t="e">
        <f t="shared" si="815"/>
        <v>#DIV/0!</v>
      </c>
      <c r="K707" s="188" t="e">
        <f t="shared" si="815"/>
        <v>#DIV/0!</v>
      </c>
      <c r="L707" s="188" t="e">
        <f>L708/L706*1000</f>
        <v>#DIV/0!</v>
      </c>
      <c r="M707" s="188" t="e">
        <f>M708/M706*1000</f>
        <v>#DIV/0!</v>
      </c>
      <c r="N707" s="188" t="e">
        <f>N708/N706*1000</f>
        <v>#DIV/0!</v>
      </c>
      <c r="O707" s="188" t="e">
        <f t="shared" ref="O707:S707" si="816">O708/O706*1000</f>
        <v>#DIV/0!</v>
      </c>
      <c r="P707" s="188" t="e">
        <f t="shared" si="816"/>
        <v>#DIV/0!</v>
      </c>
      <c r="Q707" s="188" t="e">
        <f t="shared" si="816"/>
        <v>#DIV/0!</v>
      </c>
      <c r="R707" s="188" t="e">
        <f t="shared" si="816"/>
        <v>#DIV/0!</v>
      </c>
      <c r="S707" s="188" t="e">
        <f t="shared" si="816"/>
        <v>#DIV/0!</v>
      </c>
      <c r="T707" s="188" t="e">
        <f>T708/T706*1000</f>
        <v>#DIV/0!</v>
      </c>
      <c r="U707" s="188" t="e">
        <f>U708/U706*1000</f>
        <v>#DIV/0!</v>
      </c>
      <c r="V707" s="218" t="e">
        <f>V708/V706*1000</f>
        <v>#DIV/0!</v>
      </c>
      <c r="W707" s="189" t="e">
        <f>W708/W706*1000</f>
        <v>#DIV/0!</v>
      </c>
    </row>
    <row r="708" spans="1:24" s="47" customFormat="1" ht="17.100000000000001" hidden="1" customHeight="1">
      <c r="A708" s="614"/>
      <c r="B708" s="587"/>
      <c r="C708" s="588"/>
      <c r="D708" s="191" t="str">
        <f>серпень!D631</f>
        <v>сума, тис.грн.</v>
      </c>
      <c r="E708" s="192"/>
      <c r="F708" s="192">
        <f>F723+F738</f>
        <v>0</v>
      </c>
      <c r="G708" s="192">
        <f t="shared" ref="G708:K708" si="817">G723+G738</f>
        <v>0</v>
      </c>
      <c r="H708" s="192">
        <f t="shared" si="817"/>
        <v>0</v>
      </c>
      <c r="I708" s="192">
        <f t="shared" si="817"/>
        <v>0</v>
      </c>
      <c r="J708" s="192">
        <f t="shared" si="817"/>
        <v>0</v>
      </c>
      <c r="K708" s="192">
        <f t="shared" si="817"/>
        <v>0</v>
      </c>
      <c r="L708" s="194">
        <f>SUM(F708:K708)</f>
        <v>0</v>
      </c>
      <c r="M708" s="194">
        <f>L708/6</f>
        <v>0</v>
      </c>
      <c r="N708" s="192">
        <f>N723+N738</f>
        <v>0</v>
      </c>
      <c r="O708" s="192">
        <f t="shared" ref="O708:S708" si="818">O723+O738</f>
        <v>0</v>
      </c>
      <c r="P708" s="192">
        <f t="shared" si="818"/>
        <v>0</v>
      </c>
      <c r="Q708" s="192">
        <f t="shared" si="818"/>
        <v>0</v>
      </c>
      <c r="R708" s="192">
        <f t="shared" si="818"/>
        <v>0</v>
      </c>
      <c r="S708" s="192">
        <f t="shared" si="818"/>
        <v>0</v>
      </c>
      <c r="T708" s="194">
        <f>SUM(N708:S708)</f>
        <v>0</v>
      </c>
      <c r="U708" s="194">
        <f>T708+L708</f>
        <v>0</v>
      </c>
      <c r="V708" s="171">
        <f t="shared" ref="V708:V711" si="819">V723+V738</f>
        <v>0</v>
      </c>
      <c r="W708" s="193">
        <f>V708-U708</f>
        <v>0</v>
      </c>
    </row>
    <row r="709" spans="1:24" s="47" customFormat="1" ht="17.100000000000001" hidden="1" customHeight="1">
      <c r="A709" s="614"/>
      <c r="B709" s="587"/>
      <c r="C709" s="588"/>
      <c r="D709" s="174" t="str">
        <f>серпень!D632</f>
        <v>дотація</v>
      </c>
      <c r="E709" s="210"/>
      <c r="F709" s="192">
        <f t="shared" ref="F709:K711" si="820">F724+F739</f>
        <v>0</v>
      </c>
      <c r="G709" s="192">
        <f t="shared" si="820"/>
        <v>0</v>
      </c>
      <c r="H709" s="192">
        <f t="shared" si="820"/>
        <v>0</v>
      </c>
      <c r="I709" s="192">
        <f t="shared" si="820"/>
        <v>0</v>
      </c>
      <c r="J709" s="192">
        <f t="shared" si="820"/>
        <v>0</v>
      </c>
      <c r="K709" s="192">
        <f t="shared" si="820"/>
        <v>0</v>
      </c>
      <c r="L709" s="194">
        <f>SUM(F709:K709)</f>
        <v>0</v>
      </c>
      <c r="M709" s="194">
        <f>L709/6</f>
        <v>0</v>
      </c>
      <c r="N709" s="192">
        <f t="shared" ref="N709:S711" si="821">N724+N739</f>
        <v>0</v>
      </c>
      <c r="O709" s="192">
        <f t="shared" si="821"/>
        <v>0</v>
      </c>
      <c r="P709" s="192">
        <f t="shared" si="821"/>
        <v>0</v>
      </c>
      <c r="Q709" s="192">
        <f t="shared" si="821"/>
        <v>0</v>
      </c>
      <c r="R709" s="192">
        <f t="shared" si="821"/>
        <v>0</v>
      </c>
      <c r="S709" s="192">
        <f t="shared" si="821"/>
        <v>0</v>
      </c>
      <c r="T709" s="194">
        <f>SUM(N709:S709)</f>
        <v>0</v>
      </c>
      <c r="U709" s="194">
        <f>T709+L709</f>
        <v>0</v>
      </c>
      <c r="V709" s="171">
        <f t="shared" si="819"/>
        <v>0</v>
      </c>
      <c r="W709" s="193">
        <f>V709-U709</f>
        <v>0</v>
      </c>
    </row>
    <row r="710" spans="1:24" s="47" customFormat="1" ht="17.100000000000001" hidden="1" customHeight="1">
      <c r="A710" s="614"/>
      <c r="B710" s="587"/>
      <c r="C710" s="588"/>
      <c r="D710" s="174" t="str">
        <f>серпень!D633</f>
        <v>місцевий (план), тис.грн</v>
      </c>
      <c r="E710" s="210"/>
      <c r="F710" s="192">
        <f t="shared" si="820"/>
        <v>0</v>
      </c>
      <c r="G710" s="192">
        <f t="shared" si="820"/>
        <v>0</v>
      </c>
      <c r="H710" s="192">
        <f t="shared" si="820"/>
        <v>0</v>
      </c>
      <c r="I710" s="192">
        <f t="shared" si="820"/>
        <v>0</v>
      </c>
      <c r="J710" s="192">
        <f t="shared" si="820"/>
        <v>0</v>
      </c>
      <c r="K710" s="192">
        <f t="shared" si="820"/>
        <v>0</v>
      </c>
      <c r="L710" s="194">
        <f>SUM(F710:K710)</f>
        <v>0</v>
      </c>
      <c r="M710" s="194">
        <f>L710/6</f>
        <v>0</v>
      </c>
      <c r="N710" s="192">
        <f t="shared" si="821"/>
        <v>0</v>
      </c>
      <c r="O710" s="192">
        <f t="shared" si="821"/>
        <v>0</v>
      </c>
      <c r="P710" s="192">
        <f t="shared" si="821"/>
        <v>0</v>
      </c>
      <c r="Q710" s="192">
        <f t="shared" si="821"/>
        <v>0</v>
      </c>
      <c r="R710" s="192">
        <f t="shared" si="821"/>
        <v>0</v>
      </c>
      <c r="S710" s="192">
        <f t="shared" si="821"/>
        <v>0</v>
      </c>
      <c r="T710" s="194">
        <f>SUM(N710:S710)</f>
        <v>0</v>
      </c>
      <c r="U710" s="194">
        <f>T710+L710</f>
        <v>0</v>
      </c>
      <c r="V710" s="171">
        <f t="shared" si="819"/>
        <v>0</v>
      </c>
      <c r="W710" s="193">
        <f>V710-U710</f>
        <v>0</v>
      </c>
    </row>
    <row r="711" spans="1:24" s="47" customFormat="1" ht="17.100000000000001" hidden="1" customHeight="1">
      <c r="A711" s="614"/>
      <c r="B711" s="587"/>
      <c r="C711" s="588"/>
      <c r="D711" s="178" t="str">
        <f>серпень!D634</f>
        <v>касові нат.п-ки 2025</v>
      </c>
      <c r="E711" s="179"/>
      <c r="F711" s="260">
        <f>F726+F741</f>
        <v>0</v>
      </c>
      <c r="G711" s="260">
        <f t="shared" si="820"/>
        <v>0</v>
      </c>
      <c r="H711" s="260">
        <f t="shared" si="820"/>
        <v>0</v>
      </c>
      <c r="I711" s="260">
        <f t="shared" si="820"/>
        <v>0</v>
      </c>
      <c r="J711" s="260">
        <f t="shared" si="820"/>
        <v>0</v>
      </c>
      <c r="K711" s="260">
        <f t="shared" si="820"/>
        <v>0</v>
      </c>
      <c r="L711" s="234">
        <f>SUM(F711:K711)</f>
        <v>0</v>
      </c>
      <c r="M711" s="234">
        <f>L711/6</f>
        <v>0</v>
      </c>
      <c r="N711" s="260">
        <f>N726+N741</f>
        <v>0</v>
      </c>
      <c r="O711" s="260">
        <f t="shared" si="821"/>
        <v>0</v>
      </c>
      <c r="P711" s="260">
        <f t="shared" si="821"/>
        <v>0</v>
      </c>
      <c r="Q711" s="260">
        <f t="shared" si="821"/>
        <v>0</v>
      </c>
      <c r="R711" s="260">
        <f t="shared" si="821"/>
        <v>0</v>
      </c>
      <c r="S711" s="260">
        <f t="shared" si="821"/>
        <v>0</v>
      </c>
      <c r="T711" s="234">
        <f>SUM(N711:S711)</f>
        <v>0</v>
      </c>
      <c r="U711" s="234">
        <f>T711+L711</f>
        <v>0</v>
      </c>
      <c r="V711" s="260">
        <f t="shared" si="819"/>
        <v>0</v>
      </c>
      <c r="W711" s="184">
        <f>V711-U711</f>
        <v>0</v>
      </c>
      <c r="X711" s="47">
        <f>U706-U711</f>
        <v>0</v>
      </c>
    </row>
    <row r="712" spans="1:24" s="47" customFormat="1" ht="17.100000000000001" hidden="1" customHeight="1">
      <c r="A712" s="614"/>
      <c r="B712" s="587"/>
      <c r="C712" s="588"/>
      <c r="D712" s="187" t="str">
        <f>серпень!D635</f>
        <v>тариф, грн.</v>
      </c>
      <c r="E712" s="188" t="e">
        <f>E713/E711*1000</f>
        <v>#DIV/0!</v>
      </c>
      <c r="F712" s="188" t="e">
        <f>F713/F711*1000</f>
        <v>#DIV/0!</v>
      </c>
      <c r="G712" s="188" t="e">
        <f t="shared" ref="G712:K712" si="822">G713/G711*1000</f>
        <v>#DIV/0!</v>
      </c>
      <c r="H712" s="188" t="e">
        <f t="shared" si="822"/>
        <v>#DIV/0!</v>
      </c>
      <c r="I712" s="188" t="e">
        <f t="shared" si="822"/>
        <v>#DIV/0!</v>
      </c>
      <c r="J712" s="188" t="e">
        <f t="shared" si="822"/>
        <v>#DIV/0!</v>
      </c>
      <c r="K712" s="188" t="e">
        <f t="shared" si="822"/>
        <v>#DIV/0!</v>
      </c>
      <c r="L712" s="188" t="e">
        <f>L713/L711*1000</f>
        <v>#DIV/0!</v>
      </c>
      <c r="M712" s="188" t="e">
        <f>M713/M711*1000</f>
        <v>#DIV/0!</v>
      </c>
      <c r="N712" s="188" t="e">
        <f t="shared" ref="N712:S712" si="823">N713/N711*1000</f>
        <v>#DIV/0!</v>
      </c>
      <c r="O712" s="188" t="e">
        <f t="shared" si="823"/>
        <v>#DIV/0!</v>
      </c>
      <c r="P712" s="188" t="e">
        <f t="shared" si="823"/>
        <v>#DIV/0!</v>
      </c>
      <c r="Q712" s="188" t="e">
        <f t="shared" si="823"/>
        <v>#DIV/0!</v>
      </c>
      <c r="R712" s="188" t="e">
        <f t="shared" si="823"/>
        <v>#DIV/0!</v>
      </c>
      <c r="S712" s="188" t="e">
        <f t="shared" si="823"/>
        <v>#DIV/0!</v>
      </c>
      <c r="T712" s="188" t="e">
        <f>T713/T711*1000</f>
        <v>#DIV/0!</v>
      </c>
      <c r="U712" s="188" t="e">
        <f>U713/U711*1000</f>
        <v>#DIV/0!</v>
      </c>
      <c r="V712" s="218" t="e">
        <f>V713/V711*1000</f>
        <v>#DIV/0!</v>
      </c>
      <c r="W712" s="189" t="e">
        <f>W713/W711*1000</f>
        <v>#DIV/0!</v>
      </c>
    </row>
    <row r="713" spans="1:24" s="47" customFormat="1" ht="17.100000000000001" hidden="1" customHeight="1">
      <c r="A713" s="614"/>
      <c r="B713" s="587"/>
      <c r="C713" s="588"/>
      <c r="D713" s="198" t="str">
        <f>серпень!D636</f>
        <v>касові видатки, тис.грн.</v>
      </c>
      <c r="E713" s="220"/>
      <c r="F713" s="199">
        <f>F728+F743</f>
        <v>0</v>
      </c>
      <c r="G713" s="199">
        <f t="shared" ref="G713:K713" si="824">G728+G743</f>
        <v>0</v>
      </c>
      <c r="H713" s="199">
        <f t="shared" si="824"/>
        <v>0</v>
      </c>
      <c r="I713" s="199">
        <f t="shared" si="824"/>
        <v>0</v>
      </c>
      <c r="J713" s="199">
        <f t="shared" si="824"/>
        <v>0</v>
      </c>
      <c r="K713" s="199">
        <f t="shared" si="824"/>
        <v>0</v>
      </c>
      <c r="L713" s="199">
        <f>SUM(F713:K713)</f>
        <v>0</v>
      </c>
      <c r="M713" s="199">
        <f>L713/6</f>
        <v>0</v>
      </c>
      <c r="N713" s="199">
        <f>N728+N743</f>
        <v>0</v>
      </c>
      <c r="O713" s="199">
        <f t="shared" ref="O713:S713" si="825">O728+O743</f>
        <v>0</v>
      </c>
      <c r="P713" s="199">
        <f t="shared" si="825"/>
        <v>0</v>
      </c>
      <c r="Q713" s="199">
        <f t="shared" si="825"/>
        <v>0</v>
      </c>
      <c r="R713" s="199">
        <f t="shared" si="825"/>
        <v>0</v>
      </c>
      <c r="S713" s="199">
        <f t="shared" si="825"/>
        <v>0</v>
      </c>
      <c r="T713" s="199">
        <f>SUM(N713:S713)</f>
        <v>0</v>
      </c>
      <c r="U713" s="199">
        <f>T713+L713</f>
        <v>0</v>
      </c>
      <c r="V713" s="199">
        <f t="shared" ref="V713:V715" si="826">V728+V743</f>
        <v>0</v>
      </c>
      <c r="W713" s="221">
        <f>V713-U713</f>
        <v>0</v>
      </c>
      <c r="X713" s="47">
        <f>U708-U713</f>
        <v>0</v>
      </c>
    </row>
    <row r="714" spans="1:24" s="47" customFormat="1" ht="17.100000000000001" hidden="1" customHeight="1">
      <c r="A714" s="614"/>
      <c r="B714" s="587"/>
      <c r="C714" s="588"/>
      <c r="D714" s="201" t="str">
        <f>серпень!D637</f>
        <v>дотація</v>
      </c>
      <c r="E714" s="220"/>
      <c r="F714" s="199">
        <f t="shared" ref="F714:K715" si="827">F729+F744</f>
        <v>0</v>
      </c>
      <c r="G714" s="199">
        <f t="shared" si="827"/>
        <v>0</v>
      </c>
      <c r="H714" s="199">
        <f t="shared" si="827"/>
        <v>0</v>
      </c>
      <c r="I714" s="199">
        <f t="shared" si="827"/>
        <v>0</v>
      </c>
      <c r="J714" s="199">
        <f t="shared" si="827"/>
        <v>0</v>
      </c>
      <c r="K714" s="199">
        <f t="shared" si="827"/>
        <v>0</v>
      </c>
      <c r="L714" s="199">
        <f>SUM(F714:K714)</f>
        <v>0</v>
      </c>
      <c r="M714" s="199">
        <f>L714/6</f>
        <v>0</v>
      </c>
      <c r="N714" s="199">
        <f t="shared" ref="N714:S715" si="828">N729+N744</f>
        <v>0</v>
      </c>
      <c r="O714" s="199">
        <f t="shared" si="828"/>
        <v>0</v>
      </c>
      <c r="P714" s="199">
        <f t="shared" si="828"/>
        <v>0</v>
      </c>
      <c r="Q714" s="199">
        <f t="shared" si="828"/>
        <v>0</v>
      </c>
      <c r="R714" s="199">
        <f t="shared" si="828"/>
        <v>0</v>
      </c>
      <c r="S714" s="199">
        <f t="shared" si="828"/>
        <v>0</v>
      </c>
      <c r="T714" s="199">
        <f>SUM(N714:S714)</f>
        <v>0</v>
      </c>
      <c r="U714" s="199">
        <f>T714+L714</f>
        <v>0</v>
      </c>
      <c r="V714" s="199">
        <f t="shared" si="826"/>
        <v>0</v>
      </c>
      <c r="W714" s="221">
        <f>V714-U714</f>
        <v>0</v>
      </c>
      <c r="X714" s="47">
        <f>U709-U714</f>
        <v>0</v>
      </c>
    </row>
    <row r="715" spans="1:24" s="47" customFormat="1" ht="17.100000000000001" hidden="1" customHeight="1">
      <c r="A715" s="614"/>
      <c r="B715" s="587"/>
      <c r="C715" s="588"/>
      <c r="D715" s="201" t="str">
        <f>серпень!D638</f>
        <v xml:space="preserve">місцевий </v>
      </c>
      <c r="E715" s="220"/>
      <c r="F715" s="199">
        <f t="shared" si="827"/>
        <v>0</v>
      </c>
      <c r="G715" s="199">
        <f t="shared" si="827"/>
        <v>0</v>
      </c>
      <c r="H715" s="199">
        <f t="shared" si="827"/>
        <v>0</v>
      </c>
      <c r="I715" s="199">
        <f t="shared" si="827"/>
        <v>0</v>
      </c>
      <c r="J715" s="199">
        <f t="shared" si="827"/>
        <v>0</v>
      </c>
      <c r="K715" s="199">
        <f t="shared" si="827"/>
        <v>0</v>
      </c>
      <c r="L715" s="199">
        <f>SUM(F715:K715)</f>
        <v>0</v>
      </c>
      <c r="M715" s="199">
        <f>L715/6</f>
        <v>0</v>
      </c>
      <c r="N715" s="199">
        <f t="shared" si="828"/>
        <v>0</v>
      </c>
      <c r="O715" s="199">
        <f t="shared" si="828"/>
        <v>0</v>
      </c>
      <c r="P715" s="199">
        <f t="shared" si="828"/>
        <v>0</v>
      </c>
      <c r="Q715" s="199">
        <f t="shared" si="828"/>
        <v>0</v>
      </c>
      <c r="R715" s="199">
        <f t="shared" si="828"/>
        <v>0</v>
      </c>
      <c r="S715" s="199">
        <f t="shared" si="828"/>
        <v>0</v>
      </c>
      <c r="T715" s="199">
        <f>SUM(N715:S715)</f>
        <v>0</v>
      </c>
      <c r="U715" s="199">
        <f>T715+L715</f>
        <v>0</v>
      </c>
      <c r="V715" s="199">
        <f t="shared" si="826"/>
        <v>0</v>
      </c>
      <c r="W715" s="221">
        <f>V715-U715</f>
        <v>0</v>
      </c>
      <c r="X715" s="47">
        <f>U710-U715</f>
        <v>0</v>
      </c>
    </row>
    <row r="716" spans="1:24" s="47" customFormat="1" ht="17.100000000000001" hidden="1" customHeight="1">
      <c r="A716" s="614"/>
      <c r="B716" s="587"/>
      <c r="C716" s="588"/>
      <c r="D716" s="202" t="str">
        <f>серпень!D639</f>
        <v>план</v>
      </c>
      <c r="E716" s="203"/>
      <c r="F716" s="203">
        <f t="shared" ref="F716:K716" si="829">F710</f>
        <v>0</v>
      </c>
      <c r="G716" s="203">
        <f t="shared" si="829"/>
        <v>0</v>
      </c>
      <c r="H716" s="203">
        <f t="shared" si="829"/>
        <v>0</v>
      </c>
      <c r="I716" s="203">
        <f t="shared" si="829"/>
        <v>0</v>
      </c>
      <c r="J716" s="203">
        <f t="shared" si="829"/>
        <v>0</v>
      </c>
      <c r="K716" s="203">
        <f t="shared" si="829"/>
        <v>0</v>
      </c>
      <c r="L716" s="203">
        <f>SUM(F716:K716)</f>
        <v>0</v>
      </c>
      <c r="M716" s="203">
        <f>L716/6</f>
        <v>0</v>
      </c>
      <c r="N716" s="203">
        <f t="shared" ref="N716:S716" si="830">N710+N709</f>
        <v>0</v>
      </c>
      <c r="O716" s="203">
        <f t="shared" si="830"/>
        <v>0</v>
      </c>
      <c r="P716" s="203">
        <f t="shared" si="830"/>
        <v>0</v>
      </c>
      <c r="Q716" s="203">
        <f t="shared" si="830"/>
        <v>0</v>
      </c>
      <c r="R716" s="203">
        <f t="shared" si="830"/>
        <v>0</v>
      </c>
      <c r="S716" s="203">
        <f t="shared" si="830"/>
        <v>0</v>
      </c>
      <c r="T716" s="203">
        <f>SUM(N716:S716)</f>
        <v>0</v>
      </c>
      <c r="U716" s="203">
        <f>T716+L716</f>
        <v>0</v>
      </c>
      <c r="V716" s="203">
        <f>V713</f>
        <v>0</v>
      </c>
      <c r="W716" s="203">
        <f>V716-U716</f>
        <v>0</v>
      </c>
    </row>
    <row r="717" spans="1:24" s="47" customFormat="1" ht="19.600000000000001" hidden="1" customHeight="1">
      <c r="A717" s="614"/>
      <c r="B717" s="587"/>
      <c r="C717" s="588"/>
      <c r="D717" s="202" t="str">
        <f>серпень!D640</f>
        <v xml:space="preserve">відхилення </v>
      </c>
      <c r="E717" s="203"/>
      <c r="F717" s="203">
        <f t="shared" ref="F717:K717" si="831">F713-F716</f>
        <v>0</v>
      </c>
      <c r="G717" s="203">
        <f t="shared" si="831"/>
        <v>0</v>
      </c>
      <c r="H717" s="203">
        <f t="shared" si="831"/>
        <v>0</v>
      </c>
      <c r="I717" s="203">
        <f t="shared" si="831"/>
        <v>0</v>
      </c>
      <c r="J717" s="203">
        <f t="shared" si="831"/>
        <v>0</v>
      </c>
      <c r="K717" s="203">
        <f t="shared" si="831"/>
        <v>0</v>
      </c>
      <c r="L717" s="203"/>
      <c r="M717" s="203"/>
      <c r="N717" s="203">
        <f t="shared" ref="N717:S717" si="832">N713-N716</f>
        <v>0</v>
      </c>
      <c r="O717" s="203">
        <f t="shared" si="832"/>
        <v>0</v>
      </c>
      <c r="P717" s="203">
        <f t="shared" si="832"/>
        <v>0</v>
      </c>
      <c r="Q717" s="203">
        <f t="shared" si="832"/>
        <v>0</v>
      </c>
      <c r="R717" s="203">
        <f t="shared" si="832"/>
        <v>0</v>
      </c>
      <c r="S717" s="203">
        <f t="shared" si="832"/>
        <v>0</v>
      </c>
      <c r="T717" s="203"/>
      <c r="U717" s="203"/>
      <c r="V717" s="203"/>
      <c r="W717" s="203"/>
    </row>
    <row r="718" spans="1:24" s="47" customFormat="1" ht="19.600000000000001" hidden="1" customHeight="1">
      <c r="A718" s="614"/>
      <c r="B718" s="589"/>
      <c r="C718" s="590"/>
      <c r="D718" s="202" t="str">
        <f>серпень!D641</f>
        <v>відхилення з наростаючим</v>
      </c>
      <c r="E718" s="203"/>
      <c r="F718" s="203">
        <f>F717</f>
        <v>0</v>
      </c>
      <c r="G718" s="203">
        <f>G717+F718</f>
        <v>0</v>
      </c>
      <c r="H718" s="203">
        <f>H717+G718</f>
        <v>0</v>
      </c>
      <c r="I718" s="203">
        <f>I717+H718</f>
        <v>0</v>
      </c>
      <c r="J718" s="203">
        <f>J717+I718</f>
        <v>0</v>
      </c>
      <c r="K718" s="203">
        <f>K717+J718</f>
        <v>0</v>
      </c>
      <c r="L718" s="203"/>
      <c r="M718" s="203"/>
      <c r="N718" s="203">
        <f>N717+K718</f>
        <v>0</v>
      </c>
      <c r="O718" s="203">
        <f>O717+N718</f>
        <v>0</v>
      </c>
      <c r="P718" s="203">
        <f>P717+O718</f>
        <v>0</v>
      </c>
      <c r="Q718" s="203">
        <f>Q717+P718</f>
        <v>0</v>
      </c>
      <c r="R718" s="203">
        <f>R717+Q718</f>
        <v>0</v>
      </c>
      <c r="S718" s="203">
        <f>S717+R718</f>
        <v>0</v>
      </c>
      <c r="T718" s="203"/>
      <c r="U718" s="203"/>
      <c r="V718" s="203"/>
      <c r="W718" s="203"/>
    </row>
    <row r="719" spans="1:24" s="47" customFormat="1" ht="17.100000000000001" hidden="1" customHeight="1">
      <c r="A719" s="614"/>
      <c r="B719" s="580" t="s">
        <v>125</v>
      </c>
      <c r="C719" s="575"/>
      <c r="D719" s="178" t="str">
        <f>серпень!D642</f>
        <v>факт. нат.п-ки 2023</v>
      </c>
      <c r="E719" s="179"/>
      <c r="F719" s="180"/>
      <c r="G719" s="180"/>
      <c r="H719" s="180"/>
      <c r="I719" s="180"/>
      <c r="J719" s="180"/>
      <c r="K719" s="180"/>
      <c r="L719" s="215">
        <f>SUM(F719:K719)</f>
        <v>0</v>
      </c>
      <c r="M719" s="215">
        <f>L719/6</f>
        <v>0</v>
      </c>
      <c r="N719" s="180"/>
      <c r="O719" s="180"/>
      <c r="P719" s="180"/>
      <c r="Q719" s="180"/>
      <c r="R719" s="180"/>
      <c r="S719" s="180"/>
      <c r="T719" s="215">
        <f>SUM(N719:S719)</f>
        <v>0</v>
      </c>
      <c r="U719" s="226">
        <f>T719+L719</f>
        <v>0</v>
      </c>
      <c r="V719" s="227"/>
      <c r="W719" s="184">
        <f>V719-U719</f>
        <v>0</v>
      </c>
    </row>
    <row r="720" spans="1:24" s="47" customFormat="1" ht="17.100000000000001" hidden="1" customHeight="1">
      <c r="A720" s="614"/>
      <c r="B720" s="576"/>
      <c r="C720" s="577"/>
      <c r="D720" s="178" t="str">
        <f>серпень!D643</f>
        <v>факт. нат.п-ки 2024</v>
      </c>
      <c r="E720" s="179"/>
      <c r="F720" s="180"/>
      <c r="G720" s="180"/>
      <c r="H720" s="180"/>
      <c r="I720" s="180"/>
      <c r="J720" s="180"/>
      <c r="K720" s="180"/>
      <c r="L720" s="215">
        <f>SUM(F720:K720)</f>
        <v>0</v>
      </c>
      <c r="M720" s="215">
        <f>L720/6</f>
        <v>0</v>
      </c>
      <c r="N720" s="179"/>
      <c r="O720" s="179"/>
      <c r="P720" s="179"/>
      <c r="Q720" s="179"/>
      <c r="R720" s="179"/>
      <c r="S720" s="179"/>
      <c r="T720" s="215">
        <f>SUM(N720:S720)</f>
        <v>0</v>
      </c>
      <c r="U720" s="226">
        <f>T720+L720</f>
        <v>0</v>
      </c>
      <c r="V720" s="227"/>
      <c r="W720" s="184">
        <f>V720-U720</f>
        <v>0</v>
      </c>
    </row>
    <row r="721" spans="1:24" s="47" customFormat="1" ht="17.100000000000001" hidden="1" customHeight="1">
      <c r="A721" s="614"/>
      <c r="B721" s="576"/>
      <c r="C721" s="577"/>
      <c r="D721" s="178" t="str">
        <f>серпень!D644</f>
        <v>факт. нат.п-ки 2025</v>
      </c>
      <c r="E721" s="179"/>
      <c r="F721" s="180"/>
      <c r="G721" s="180"/>
      <c r="H721" s="180"/>
      <c r="I721" s="180"/>
      <c r="J721" s="180"/>
      <c r="K721" s="180"/>
      <c r="L721" s="215">
        <f>SUM(F721:K721)</f>
        <v>0</v>
      </c>
      <c r="M721" s="215">
        <f>L721/6</f>
        <v>0</v>
      </c>
      <c r="N721" s="180"/>
      <c r="O721" s="180"/>
      <c r="P721" s="180"/>
      <c r="Q721" s="180"/>
      <c r="R721" s="180"/>
      <c r="S721" s="179"/>
      <c r="T721" s="215">
        <f>SUM(N721:S721)</f>
        <v>0</v>
      </c>
      <c r="U721" s="226">
        <f>T721+L721</f>
        <v>0</v>
      </c>
      <c r="V721" s="179"/>
      <c r="W721" s="184">
        <f>V721-U721</f>
        <v>0</v>
      </c>
    </row>
    <row r="722" spans="1:24" s="47" customFormat="1" ht="17.100000000000001" hidden="1" customHeight="1">
      <c r="A722" s="614"/>
      <c r="B722" s="576"/>
      <c r="C722" s="577"/>
      <c r="D722" s="187" t="str">
        <f>серпень!D645</f>
        <v>тариф, грн.</v>
      </c>
      <c r="E722" s="188"/>
      <c r="F722" s="188">
        <v>0</v>
      </c>
      <c r="G722" s="188">
        <v>0</v>
      </c>
      <c r="H722" s="188">
        <v>0</v>
      </c>
      <c r="I722" s="188">
        <v>0</v>
      </c>
      <c r="J722" s="188">
        <v>0</v>
      </c>
      <c r="K722" s="188">
        <v>0</v>
      </c>
      <c r="L722" s="188" t="e">
        <f>L723/L721*1000</f>
        <v>#DIV/0!</v>
      </c>
      <c r="M722" s="188" t="e">
        <f>M723/M721*1000</f>
        <v>#DIV/0!</v>
      </c>
      <c r="N722" s="188">
        <v>0</v>
      </c>
      <c r="O722" s="188">
        <v>0</v>
      </c>
      <c r="P722" s="188">
        <v>0</v>
      </c>
      <c r="Q722" s="188">
        <v>0</v>
      </c>
      <c r="R722" s="188">
        <v>0</v>
      </c>
      <c r="S722" s="188">
        <v>0</v>
      </c>
      <c r="T722" s="188" t="e">
        <f>T723/T721*1000</f>
        <v>#DIV/0!</v>
      </c>
      <c r="U722" s="188" t="e">
        <f>U723/U721*1000</f>
        <v>#DIV/0!</v>
      </c>
      <c r="V722" s="218" t="e">
        <f>V723/V721*1000</f>
        <v>#DIV/0!</v>
      </c>
      <c r="W722" s="189" t="e">
        <f>W723/W721*1000</f>
        <v>#DIV/0!</v>
      </c>
    </row>
    <row r="723" spans="1:24" s="47" customFormat="1" ht="17.100000000000001" hidden="1" customHeight="1">
      <c r="A723" s="614"/>
      <c r="B723" s="576"/>
      <c r="C723" s="577"/>
      <c r="D723" s="191" t="str">
        <f>серпень!D646</f>
        <v>сума, тис.грн.</v>
      </c>
      <c r="E723" s="192"/>
      <c r="F723" s="192">
        <f>F721*F722/1000</f>
        <v>0</v>
      </c>
      <c r="G723" s="192">
        <f t="shared" ref="G723" si="833">G721*G722/1000</f>
        <v>0</v>
      </c>
      <c r="H723" s="192">
        <f t="shared" ref="H723" si="834">H721*H722/1000</f>
        <v>0</v>
      </c>
      <c r="I723" s="192">
        <f t="shared" ref="I723" si="835">I721*I722/1000</f>
        <v>0</v>
      </c>
      <c r="J723" s="192">
        <f t="shared" ref="J723" si="836">J721*J722/1000</f>
        <v>0</v>
      </c>
      <c r="K723" s="192">
        <f t="shared" ref="K723" si="837">K721*K722/1000</f>
        <v>0</v>
      </c>
      <c r="L723" s="194">
        <f>SUM(F723:K723)</f>
        <v>0</v>
      </c>
      <c r="M723" s="194">
        <f>L723/6</f>
        <v>0</v>
      </c>
      <c r="N723" s="192">
        <f>N721*N722/1000</f>
        <v>0</v>
      </c>
      <c r="O723" s="192">
        <f t="shared" ref="O723" si="838">O721*O722/1000</f>
        <v>0</v>
      </c>
      <c r="P723" s="192">
        <f t="shared" ref="P723" si="839">P721*P722/1000</f>
        <v>0</v>
      </c>
      <c r="Q723" s="192">
        <f t="shared" ref="Q723" si="840">Q721*Q722/1000</f>
        <v>0</v>
      </c>
      <c r="R723" s="192">
        <f t="shared" ref="R723" si="841">R721*R722/1000</f>
        <v>0</v>
      </c>
      <c r="S723" s="192">
        <f t="shared" ref="S723" si="842">S721*S722/1000</f>
        <v>0</v>
      </c>
      <c r="T723" s="194">
        <f>SUM(N723:S723)</f>
        <v>0</v>
      </c>
      <c r="U723" s="194">
        <f>T723+L723</f>
        <v>0</v>
      </c>
      <c r="V723" s="171">
        <f>V724+V725</f>
        <v>0</v>
      </c>
      <c r="W723" s="193">
        <f>V723-U723</f>
        <v>0</v>
      </c>
    </row>
    <row r="724" spans="1:24" s="47" customFormat="1" ht="17.100000000000001" hidden="1" customHeight="1">
      <c r="A724" s="614"/>
      <c r="B724" s="576"/>
      <c r="C724" s="577"/>
      <c r="D724" s="174" t="str">
        <f>серпень!D647</f>
        <v>дотація</v>
      </c>
      <c r="E724" s="210"/>
      <c r="F724" s="192"/>
      <c r="G724" s="192"/>
      <c r="H724" s="192"/>
      <c r="I724" s="192"/>
      <c r="J724" s="192"/>
      <c r="K724" s="192"/>
      <c r="L724" s="194">
        <f>SUM(F724:K724)</f>
        <v>0</v>
      </c>
      <c r="M724" s="194">
        <f>L724/6</f>
        <v>0</v>
      </c>
      <c r="N724" s="192"/>
      <c r="O724" s="192"/>
      <c r="P724" s="192"/>
      <c r="Q724" s="192"/>
      <c r="R724" s="192"/>
      <c r="S724" s="192"/>
      <c r="T724" s="194">
        <f>SUM(N724:S724)</f>
        <v>0</v>
      </c>
      <c r="U724" s="194">
        <f>T724+L724</f>
        <v>0</v>
      </c>
      <c r="V724" s="171">
        <v>0</v>
      </c>
      <c r="W724" s="193">
        <f>V724-U724</f>
        <v>0</v>
      </c>
    </row>
    <row r="725" spans="1:24" s="47" customFormat="1" ht="17.100000000000001" hidden="1" customHeight="1">
      <c r="A725" s="614"/>
      <c r="B725" s="576"/>
      <c r="C725" s="577"/>
      <c r="D725" s="174" t="str">
        <f>серпень!D648</f>
        <v>місцевий (план), тис.грн</v>
      </c>
      <c r="E725" s="210"/>
      <c r="F725" s="192"/>
      <c r="G725" s="192"/>
      <c r="H725" s="192"/>
      <c r="I725" s="192"/>
      <c r="J725" s="192"/>
      <c r="K725" s="192"/>
      <c r="L725" s="194">
        <f>SUM(F725:K725)</f>
        <v>0</v>
      </c>
      <c r="M725" s="194">
        <f>L725/6</f>
        <v>0</v>
      </c>
      <c r="N725" s="192"/>
      <c r="O725" s="192"/>
      <c r="P725" s="192"/>
      <c r="Q725" s="192"/>
      <c r="R725" s="192"/>
      <c r="S725" s="192"/>
      <c r="T725" s="194">
        <f>SUM(N725:S725)</f>
        <v>0</v>
      </c>
      <c r="U725" s="194">
        <f>T725+L725</f>
        <v>0</v>
      </c>
      <c r="V725" s="171">
        <v>0</v>
      </c>
      <c r="W725" s="193">
        <f>V725-U725</f>
        <v>0</v>
      </c>
    </row>
    <row r="726" spans="1:24" s="47" customFormat="1" ht="17.100000000000001" hidden="1" customHeight="1">
      <c r="A726" s="614"/>
      <c r="B726" s="576"/>
      <c r="C726" s="577"/>
      <c r="D726" s="178" t="str">
        <f>серпень!D649</f>
        <v>касові нат.п-ки 2025</v>
      </c>
      <c r="E726" s="179"/>
      <c r="F726" s="179"/>
      <c r="G726" s="179"/>
      <c r="H726" s="179"/>
      <c r="I726" s="179"/>
      <c r="J726" s="179"/>
      <c r="K726" s="179"/>
      <c r="L726" s="215">
        <f>SUM(F726:K726)</f>
        <v>0</v>
      </c>
      <c r="M726" s="215">
        <f>L726/6</f>
        <v>0</v>
      </c>
      <c r="N726" s="179"/>
      <c r="O726" s="179"/>
      <c r="P726" s="179"/>
      <c r="Q726" s="179"/>
      <c r="R726" s="179"/>
      <c r="S726" s="179"/>
      <c r="T726" s="215">
        <f>SUM(N726:S726)</f>
        <v>0</v>
      </c>
      <c r="U726" s="215">
        <f>T726+L726</f>
        <v>0</v>
      </c>
      <c r="V726" s="179">
        <f>V721</f>
        <v>0</v>
      </c>
      <c r="W726" s="184">
        <f>V726-U726</f>
        <v>0</v>
      </c>
      <c r="X726" s="47">
        <f>U721-U726</f>
        <v>0</v>
      </c>
    </row>
    <row r="727" spans="1:24" s="47" customFormat="1" ht="17.100000000000001" hidden="1" customHeight="1">
      <c r="A727" s="614"/>
      <c r="B727" s="576"/>
      <c r="C727" s="577"/>
      <c r="D727" s="187" t="str">
        <f>серпень!D650</f>
        <v>тариф, грн.</v>
      </c>
      <c r="E727" s="188" t="e">
        <f>E728/E726*1000</f>
        <v>#DIV/0!</v>
      </c>
      <c r="F727" s="188">
        <v>0</v>
      </c>
      <c r="G727" s="188">
        <v>0</v>
      </c>
      <c r="H727" s="188">
        <v>0</v>
      </c>
      <c r="I727" s="188">
        <v>0</v>
      </c>
      <c r="J727" s="188">
        <v>0</v>
      </c>
      <c r="K727" s="188">
        <v>0</v>
      </c>
      <c r="L727" s="188" t="e">
        <f>L728/L726*1000</f>
        <v>#DIV/0!</v>
      </c>
      <c r="M727" s="188" t="e">
        <f>M728/M726*1000</f>
        <v>#DIV/0!</v>
      </c>
      <c r="N727" s="188">
        <v>0</v>
      </c>
      <c r="O727" s="188">
        <v>0</v>
      </c>
      <c r="P727" s="188">
        <v>0</v>
      </c>
      <c r="Q727" s="188">
        <v>0</v>
      </c>
      <c r="R727" s="188">
        <v>0</v>
      </c>
      <c r="S727" s="188">
        <v>0</v>
      </c>
      <c r="T727" s="188" t="e">
        <f>T728/T726*1000</f>
        <v>#DIV/0!</v>
      </c>
      <c r="U727" s="188" t="e">
        <f>U728/U726*1000</f>
        <v>#DIV/0!</v>
      </c>
      <c r="V727" s="218" t="e">
        <f>V728/V726*1000</f>
        <v>#DIV/0!</v>
      </c>
      <c r="W727" s="189" t="e">
        <f>W728/W726*1000</f>
        <v>#DIV/0!</v>
      </c>
    </row>
    <row r="728" spans="1:24" s="47" customFormat="1" ht="17.100000000000001" hidden="1" customHeight="1">
      <c r="A728" s="614"/>
      <c r="B728" s="576"/>
      <c r="C728" s="577"/>
      <c r="D728" s="198" t="str">
        <f>серпень!D651</f>
        <v>касові видатки, тис.грн.</v>
      </c>
      <c r="E728" s="220"/>
      <c r="F728" s="199">
        <f>F726*F727/1000</f>
        <v>0</v>
      </c>
      <c r="G728" s="199">
        <f t="shared" ref="G728" si="843">G726*G727/1000</f>
        <v>0</v>
      </c>
      <c r="H728" s="199">
        <f t="shared" ref="H728" si="844">H726*H727/1000</f>
        <v>0</v>
      </c>
      <c r="I728" s="199">
        <f t="shared" ref="I728" si="845">I726*I727/1000</f>
        <v>0</v>
      </c>
      <c r="J728" s="199">
        <f t="shared" ref="J728" si="846">J726*J727/1000</f>
        <v>0</v>
      </c>
      <c r="K728" s="199">
        <f t="shared" ref="K728" si="847">K726*K727/1000</f>
        <v>0</v>
      </c>
      <c r="L728" s="199">
        <f>SUM(F728:K728)</f>
        <v>0</v>
      </c>
      <c r="M728" s="199">
        <f>L728/6</f>
        <v>0</v>
      </c>
      <c r="N728" s="199">
        <f>N726*N727/1000</f>
        <v>0</v>
      </c>
      <c r="O728" s="199">
        <f t="shared" ref="O728" si="848">O726*O727/1000</f>
        <v>0</v>
      </c>
      <c r="P728" s="199">
        <f t="shared" ref="P728" si="849">P726*P727/1000</f>
        <v>0</v>
      </c>
      <c r="Q728" s="199">
        <f t="shared" ref="Q728" si="850">Q726*Q727/1000</f>
        <v>0</v>
      </c>
      <c r="R728" s="199">
        <f t="shared" ref="R728" si="851">R726*R727/1000</f>
        <v>0</v>
      </c>
      <c r="S728" s="199">
        <f t="shared" ref="S728" si="852">S726*S727/1000</f>
        <v>0</v>
      </c>
      <c r="T728" s="199">
        <f>SUM(N728:S728)</f>
        <v>0</v>
      </c>
      <c r="U728" s="199">
        <f>T728+L728</f>
        <v>0</v>
      </c>
      <c r="V728" s="199">
        <f>V723</f>
        <v>0</v>
      </c>
      <c r="W728" s="221">
        <f>V728-U728</f>
        <v>0</v>
      </c>
      <c r="X728" s="47">
        <f>U723-U728</f>
        <v>0</v>
      </c>
    </row>
    <row r="729" spans="1:24" s="47" customFormat="1" ht="17.100000000000001" hidden="1" customHeight="1">
      <c r="A729" s="614"/>
      <c r="B729" s="576"/>
      <c r="C729" s="577"/>
      <c r="D729" s="201" t="str">
        <f>серпень!D652</f>
        <v>дотація</v>
      </c>
      <c r="E729" s="220"/>
      <c r="F729" s="199"/>
      <c r="G729" s="199"/>
      <c r="H729" s="199"/>
      <c r="I729" s="199"/>
      <c r="J729" s="199"/>
      <c r="K729" s="199"/>
      <c r="L729" s="199">
        <f>SUM(F729:K729)</f>
        <v>0</v>
      </c>
      <c r="M729" s="199">
        <f>L729/6</f>
        <v>0</v>
      </c>
      <c r="N729" s="199"/>
      <c r="O729" s="199"/>
      <c r="P729" s="199"/>
      <c r="Q729" s="199"/>
      <c r="R729" s="199"/>
      <c r="S729" s="199"/>
      <c r="T729" s="199">
        <f>SUM(N729:S729)</f>
        <v>0</v>
      </c>
      <c r="U729" s="199">
        <f>T729+L729</f>
        <v>0</v>
      </c>
      <c r="V729" s="199">
        <f>V724</f>
        <v>0</v>
      </c>
      <c r="W729" s="221">
        <f>V729-U729</f>
        <v>0</v>
      </c>
      <c r="X729" s="47">
        <f>U724-U729</f>
        <v>0</v>
      </c>
    </row>
    <row r="730" spans="1:24" s="47" customFormat="1" ht="17.100000000000001" hidden="1" customHeight="1">
      <c r="A730" s="614"/>
      <c r="B730" s="576"/>
      <c r="C730" s="577"/>
      <c r="D730" s="201" t="str">
        <f>серпень!D653</f>
        <v xml:space="preserve">місцевий </v>
      </c>
      <c r="E730" s="220"/>
      <c r="F730" s="199">
        <f t="shared" ref="F730:K730" si="853">F728-F729</f>
        <v>0</v>
      </c>
      <c r="G730" s="199">
        <f t="shared" si="853"/>
        <v>0</v>
      </c>
      <c r="H730" s="199">
        <f t="shared" si="853"/>
        <v>0</v>
      </c>
      <c r="I730" s="199">
        <f t="shared" si="853"/>
        <v>0</v>
      </c>
      <c r="J730" s="199">
        <f t="shared" si="853"/>
        <v>0</v>
      </c>
      <c r="K730" s="199">
        <f t="shared" si="853"/>
        <v>0</v>
      </c>
      <c r="L730" s="199">
        <f>SUM(F730:K730)</f>
        <v>0</v>
      </c>
      <c r="M730" s="199">
        <f>L730/6</f>
        <v>0</v>
      </c>
      <c r="N730" s="199">
        <f t="shared" ref="N730:S730" si="854">N728-N729</f>
        <v>0</v>
      </c>
      <c r="O730" s="199">
        <f t="shared" si="854"/>
        <v>0</v>
      </c>
      <c r="P730" s="199">
        <f t="shared" si="854"/>
        <v>0</v>
      </c>
      <c r="Q730" s="199">
        <f t="shared" si="854"/>
        <v>0</v>
      </c>
      <c r="R730" s="199">
        <f t="shared" si="854"/>
        <v>0</v>
      </c>
      <c r="S730" s="199">
        <f t="shared" si="854"/>
        <v>0</v>
      </c>
      <c r="T730" s="199">
        <f>SUM(N730:S730)</f>
        <v>0</v>
      </c>
      <c r="U730" s="199">
        <f>T730+L730</f>
        <v>0</v>
      </c>
      <c r="V730" s="199">
        <f>V725</f>
        <v>0</v>
      </c>
      <c r="W730" s="221">
        <f>V730-U730</f>
        <v>0</v>
      </c>
      <c r="X730" s="47">
        <f>U725-U730</f>
        <v>0</v>
      </c>
    </row>
    <row r="731" spans="1:24" s="47" customFormat="1" ht="17.100000000000001" hidden="1" customHeight="1">
      <c r="A731" s="614"/>
      <c r="B731" s="576"/>
      <c r="C731" s="577"/>
      <c r="D731" s="202" t="str">
        <f>серпень!D654</f>
        <v>план</v>
      </c>
      <c r="E731" s="203"/>
      <c r="F731" s="203">
        <f t="shared" ref="F731:K731" si="855">F725</f>
        <v>0</v>
      </c>
      <c r="G731" s="203">
        <f t="shared" si="855"/>
        <v>0</v>
      </c>
      <c r="H731" s="203">
        <f t="shared" si="855"/>
        <v>0</v>
      </c>
      <c r="I731" s="203">
        <f t="shared" si="855"/>
        <v>0</v>
      </c>
      <c r="J731" s="203">
        <f t="shared" si="855"/>
        <v>0</v>
      </c>
      <c r="K731" s="203">
        <f t="shared" si="855"/>
        <v>0</v>
      </c>
      <c r="L731" s="203">
        <f>SUM(F731:K731)</f>
        <v>0</v>
      </c>
      <c r="M731" s="203">
        <f>L731/6</f>
        <v>0</v>
      </c>
      <c r="N731" s="203">
        <f t="shared" ref="N731:S731" si="856">N725+N724</f>
        <v>0</v>
      </c>
      <c r="O731" s="203">
        <f t="shared" si="856"/>
        <v>0</v>
      </c>
      <c r="P731" s="203">
        <f t="shared" si="856"/>
        <v>0</v>
      </c>
      <c r="Q731" s="203">
        <f t="shared" si="856"/>
        <v>0</v>
      </c>
      <c r="R731" s="203">
        <f t="shared" si="856"/>
        <v>0</v>
      </c>
      <c r="S731" s="203">
        <f t="shared" si="856"/>
        <v>0</v>
      </c>
      <c r="T731" s="203">
        <f>SUM(N731:S731)</f>
        <v>0</v>
      </c>
      <c r="U731" s="203">
        <f>T731+L731</f>
        <v>0</v>
      </c>
      <c r="V731" s="203">
        <f>V728</f>
        <v>0</v>
      </c>
      <c r="W731" s="203">
        <f>V731-U731</f>
        <v>0</v>
      </c>
    </row>
    <row r="732" spans="1:24" s="47" customFormat="1" ht="19.600000000000001" hidden="1" customHeight="1">
      <c r="A732" s="614"/>
      <c r="B732" s="576"/>
      <c r="C732" s="577"/>
      <c r="D732" s="202" t="str">
        <f>серпень!D655</f>
        <v xml:space="preserve">відхилення </v>
      </c>
      <c r="E732" s="203"/>
      <c r="F732" s="203">
        <f t="shared" ref="F732:K732" si="857">F728-F731</f>
        <v>0</v>
      </c>
      <c r="G732" s="203">
        <f t="shared" si="857"/>
        <v>0</v>
      </c>
      <c r="H732" s="203">
        <f t="shared" si="857"/>
        <v>0</v>
      </c>
      <c r="I732" s="203">
        <f t="shared" si="857"/>
        <v>0</v>
      </c>
      <c r="J732" s="203">
        <f t="shared" si="857"/>
        <v>0</v>
      </c>
      <c r="K732" s="203">
        <f t="shared" si="857"/>
        <v>0</v>
      </c>
      <c r="L732" s="203"/>
      <c r="M732" s="203"/>
      <c r="N732" s="203">
        <f t="shared" ref="N732:S732" si="858">N728-N731</f>
        <v>0</v>
      </c>
      <c r="O732" s="203">
        <f t="shared" si="858"/>
        <v>0</v>
      </c>
      <c r="P732" s="203">
        <f t="shared" si="858"/>
        <v>0</v>
      </c>
      <c r="Q732" s="203">
        <f t="shared" si="858"/>
        <v>0</v>
      </c>
      <c r="R732" s="203">
        <f t="shared" si="858"/>
        <v>0</v>
      </c>
      <c r="S732" s="203">
        <f t="shared" si="858"/>
        <v>0</v>
      </c>
      <c r="T732" s="203"/>
      <c r="U732" s="203"/>
      <c r="V732" s="203"/>
      <c r="W732" s="203"/>
    </row>
    <row r="733" spans="1:24" s="47" customFormat="1" ht="19.600000000000001" hidden="1" customHeight="1">
      <c r="A733" s="614"/>
      <c r="B733" s="578"/>
      <c r="C733" s="579"/>
      <c r="D733" s="202" t="str">
        <f>серпень!D656</f>
        <v>відхилення з наростаючим</v>
      </c>
      <c r="E733" s="203"/>
      <c r="F733" s="203">
        <f>F732</f>
        <v>0</v>
      </c>
      <c r="G733" s="203">
        <f>G732+F733</f>
        <v>0</v>
      </c>
      <c r="H733" s="203">
        <f>H732+G733</f>
        <v>0</v>
      </c>
      <c r="I733" s="203">
        <f>I732+H733</f>
        <v>0</v>
      </c>
      <c r="J733" s="203">
        <f>J732+I733</f>
        <v>0</v>
      </c>
      <c r="K733" s="203">
        <f>K732+J733</f>
        <v>0</v>
      </c>
      <c r="L733" s="203"/>
      <c r="M733" s="203"/>
      <c r="N733" s="203">
        <f>N732+K733</f>
        <v>0</v>
      </c>
      <c r="O733" s="203">
        <f>O732+N733</f>
        <v>0</v>
      </c>
      <c r="P733" s="203">
        <f>P732+O733</f>
        <v>0</v>
      </c>
      <c r="Q733" s="203">
        <f>Q732+P733</f>
        <v>0</v>
      </c>
      <c r="R733" s="203">
        <f>R732+Q733</f>
        <v>0</v>
      </c>
      <c r="S733" s="203">
        <f>S732+R733</f>
        <v>0</v>
      </c>
      <c r="T733" s="203"/>
      <c r="U733" s="203"/>
      <c r="V733" s="203"/>
      <c r="W733" s="203"/>
    </row>
    <row r="734" spans="1:24" s="47" customFormat="1" ht="19.600000000000001" hidden="1" customHeight="1">
      <c r="A734" s="614"/>
      <c r="B734" s="580" t="s">
        <v>124</v>
      </c>
      <c r="C734" s="575"/>
      <c r="D734" s="178" t="str">
        <f>серпень!D657</f>
        <v>факт. нат.п-ки 2023</v>
      </c>
      <c r="E734" s="179"/>
      <c r="F734" s="180"/>
      <c r="G734" s="180"/>
      <c r="H734" s="180"/>
      <c r="I734" s="180"/>
      <c r="J734" s="180"/>
      <c r="K734" s="180"/>
      <c r="L734" s="215">
        <f>SUM(F734:K734)</f>
        <v>0</v>
      </c>
      <c r="M734" s="215">
        <f>L734/6</f>
        <v>0</v>
      </c>
      <c r="N734" s="180"/>
      <c r="O734" s="180"/>
      <c r="P734" s="180"/>
      <c r="Q734" s="180"/>
      <c r="R734" s="180"/>
      <c r="S734" s="180"/>
      <c r="T734" s="215">
        <f>SUM(N734:S734)</f>
        <v>0</v>
      </c>
      <c r="U734" s="226">
        <f>T734+L734</f>
        <v>0</v>
      </c>
      <c r="V734" s="227"/>
      <c r="W734" s="184">
        <f>V734-U734</f>
        <v>0</v>
      </c>
    </row>
    <row r="735" spans="1:24" s="47" customFormat="1" ht="17.100000000000001" hidden="1" customHeight="1">
      <c r="A735" s="614"/>
      <c r="B735" s="576"/>
      <c r="C735" s="577"/>
      <c r="D735" s="178" t="str">
        <f>серпень!D658</f>
        <v>факт. нат.п-ки 2024</v>
      </c>
      <c r="E735" s="179"/>
      <c r="F735" s="180"/>
      <c r="G735" s="180"/>
      <c r="H735" s="180"/>
      <c r="I735" s="180"/>
      <c r="J735" s="180"/>
      <c r="K735" s="180"/>
      <c r="L735" s="215">
        <f>SUM(F735:K735)</f>
        <v>0</v>
      </c>
      <c r="M735" s="215">
        <f>L735/6</f>
        <v>0</v>
      </c>
      <c r="N735" s="179"/>
      <c r="O735" s="179"/>
      <c r="P735" s="179"/>
      <c r="Q735" s="179"/>
      <c r="R735" s="179"/>
      <c r="S735" s="179"/>
      <c r="T735" s="215">
        <f>SUM(N735:S735)</f>
        <v>0</v>
      </c>
      <c r="U735" s="226">
        <f>T735+L735</f>
        <v>0</v>
      </c>
      <c r="V735" s="227"/>
      <c r="W735" s="184">
        <f>V735-U735</f>
        <v>0</v>
      </c>
    </row>
    <row r="736" spans="1:24" s="47" customFormat="1" ht="17.100000000000001" hidden="1" customHeight="1">
      <c r="A736" s="614"/>
      <c r="B736" s="576"/>
      <c r="C736" s="577"/>
      <c r="D736" s="178" t="str">
        <f>серпень!D659</f>
        <v>факт. нат.п-ки 2025</v>
      </c>
      <c r="E736" s="179"/>
      <c r="F736" s="180"/>
      <c r="G736" s="180"/>
      <c r="H736" s="180"/>
      <c r="I736" s="180"/>
      <c r="J736" s="180"/>
      <c r="K736" s="180"/>
      <c r="L736" s="215">
        <f>SUM(F736:K736)</f>
        <v>0</v>
      </c>
      <c r="M736" s="215">
        <f>L736/6</f>
        <v>0</v>
      </c>
      <c r="N736" s="180"/>
      <c r="O736" s="180"/>
      <c r="P736" s="180"/>
      <c r="Q736" s="180"/>
      <c r="R736" s="180"/>
      <c r="S736" s="179"/>
      <c r="T736" s="215">
        <f>SUM(N736:S736)</f>
        <v>0</v>
      </c>
      <c r="U736" s="226">
        <f>T736+L736</f>
        <v>0</v>
      </c>
      <c r="V736" s="179"/>
      <c r="W736" s="184">
        <f>V736-U736</f>
        <v>0</v>
      </c>
    </row>
    <row r="737" spans="1:24" s="47" customFormat="1" ht="17.100000000000001" hidden="1" customHeight="1">
      <c r="A737" s="614"/>
      <c r="B737" s="576"/>
      <c r="C737" s="577"/>
      <c r="D737" s="187" t="str">
        <f>серпень!D660</f>
        <v>тариф, грн.</v>
      </c>
      <c r="E737" s="188"/>
      <c r="F737" s="188">
        <v>0</v>
      </c>
      <c r="G737" s="188">
        <v>0</v>
      </c>
      <c r="H737" s="188">
        <v>0</v>
      </c>
      <c r="I737" s="188">
        <v>0</v>
      </c>
      <c r="J737" s="188">
        <v>0</v>
      </c>
      <c r="K737" s="188">
        <v>0</v>
      </c>
      <c r="L737" s="188" t="e">
        <f>L738/L736*1000</f>
        <v>#DIV/0!</v>
      </c>
      <c r="M737" s="188" t="e">
        <f>M738/M736*1000</f>
        <v>#DIV/0!</v>
      </c>
      <c r="N737" s="188">
        <v>0</v>
      </c>
      <c r="O737" s="188">
        <v>0</v>
      </c>
      <c r="P737" s="188">
        <v>0</v>
      </c>
      <c r="Q737" s="188">
        <v>0</v>
      </c>
      <c r="R737" s="188">
        <v>0</v>
      </c>
      <c r="S737" s="188">
        <v>0</v>
      </c>
      <c r="T737" s="188" t="e">
        <f>T738/T736*1000</f>
        <v>#DIV/0!</v>
      </c>
      <c r="U737" s="188" t="e">
        <f>U738/U736*1000</f>
        <v>#DIV/0!</v>
      </c>
      <c r="V737" s="218" t="e">
        <f>V738/V736*1000</f>
        <v>#DIV/0!</v>
      </c>
      <c r="W737" s="189" t="e">
        <f>W738/W736*1000</f>
        <v>#DIV/0!</v>
      </c>
    </row>
    <row r="738" spans="1:24" s="47" customFormat="1" ht="17.100000000000001" hidden="1" customHeight="1">
      <c r="A738" s="614"/>
      <c r="B738" s="576"/>
      <c r="C738" s="577"/>
      <c r="D738" s="191" t="str">
        <f>серпень!D661</f>
        <v>сума, тис.грн.</v>
      </c>
      <c r="E738" s="192"/>
      <c r="F738" s="192">
        <f>F736*F737/1000</f>
        <v>0</v>
      </c>
      <c r="G738" s="192">
        <f t="shared" ref="G738:K738" si="859">G736*G737/1000</f>
        <v>0</v>
      </c>
      <c r="H738" s="192">
        <f t="shared" si="859"/>
        <v>0</v>
      </c>
      <c r="I738" s="192">
        <f t="shared" si="859"/>
        <v>0</v>
      </c>
      <c r="J738" s="192">
        <f t="shared" si="859"/>
        <v>0</v>
      </c>
      <c r="K738" s="192">
        <f t="shared" si="859"/>
        <v>0</v>
      </c>
      <c r="L738" s="194">
        <f>SUM(F738:K738)</f>
        <v>0</v>
      </c>
      <c r="M738" s="194">
        <f>L738/6</f>
        <v>0</v>
      </c>
      <c r="N738" s="192">
        <f t="shared" ref="N738" si="860">N736*N737/1000</f>
        <v>0</v>
      </c>
      <c r="O738" s="192">
        <f t="shared" ref="O738" si="861">O736*O737/1000</f>
        <v>0</v>
      </c>
      <c r="P738" s="192">
        <f t="shared" ref="P738" si="862">P736*P737/1000</f>
        <v>0</v>
      </c>
      <c r="Q738" s="192">
        <f t="shared" ref="Q738" si="863">Q736*Q737/1000</f>
        <v>0</v>
      </c>
      <c r="R738" s="192">
        <f t="shared" ref="R738" si="864">R736*R737/1000</f>
        <v>0</v>
      </c>
      <c r="S738" s="192">
        <f t="shared" ref="S738" si="865">S736*S737/1000</f>
        <v>0</v>
      </c>
      <c r="T738" s="194">
        <f>SUM(N738:S738)</f>
        <v>0</v>
      </c>
      <c r="U738" s="194">
        <f>T738+L738</f>
        <v>0</v>
      </c>
      <c r="V738" s="171">
        <f>V739+V740</f>
        <v>0</v>
      </c>
      <c r="W738" s="193">
        <f>V738-U738</f>
        <v>0</v>
      </c>
    </row>
    <row r="739" spans="1:24" s="47" customFormat="1" ht="17.100000000000001" hidden="1" customHeight="1">
      <c r="A739" s="614"/>
      <c r="B739" s="576"/>
      <c r="C739" s="577"/>
      <c r="D739" s="174" t="str">
        <f>серпень!D662</f>
        <v>дотація</v>
      </c>
      <c r="E739" s="210"/>
      <c r="F739" s="192"/>
      <c r="G739" s="192"/>
      <c r="H739" s="192"/>
      <c r="I739" s="192"/>
      <c r="J739" s="192"/>
      <c r="K739" s="192"/>
      <c r="L739" s="194">
        <f>SUM(F739:K739)</f>
        <v>0</v>
      </c>
      <c r="M739" s="194">
        <f>L739/6</f>
        <v>0</v>
      </c>
      <c r="N739" s="192"/>
      <c r="O739" s="192"/>
      <c r="P739" s="192"/>
      <c r="Q739" s="192"/>
      <c r="R739" s="192"/>
      <c r="S739" s="192"/>
      <c r="T739" s="194">
        <f>SUM(N739:S739)</f>
        <v>0</v>
      </c>
      <c r="U739" s="194">
        <f>T739+L739</f>
        <v>0</v>
      </c>
      <c r="V739" s="171">
        <v>0</v>
      </c>
      <c r="W739" s="193">
        <f>V739-U739</f>
        <v>0</v>
      </c>
    </row>
    <row r="740" spans="1:24" s="47" customFormat="1" ht="17.100000000000001" hidden="1" customHeight="1">
      <c r="A740" s="614"/>
      <c r="B740" s="576"/>
      <c r="C740" s="577"/>
      <c r="D740" s="174" t="str">
        <f>серпень!D663</f>
        <v>місцевий (план), тис.грн</v>
      </c>
      <c r="E740" s="210"/>
      <c r="F740" s="192"/>
      <c r="G740" s="192"/>
      <c r="H740" s="192"/>
      <c r="I740" s="192"/>
      <c r="J740" s="192"/>
      <c r="K740" s="192"/>
      <c r="L740" s="194">
        <f>SUM(F740:K740)</f>
        <v>0</v>
      </c>
      <c r="M740" s="194">
        <f>L740/6</f>
        <v>0</v>
      </c>
      <c r="N740" s="192"/>
      <c r="O740" s="192"/>
      <c r="P740" s="192"/>
      <c r="Q740" s="192"/>
      <c r="R740" s="192"/>
      <c r="S740" s="192"/>
      <c r="T740" s="194">
        <f>SUM(N740:S740)</f>
        <v>0</v>
      </c>
      <c r="U740" s="194">
        <f>T740+L740</f>
        <v>0</v>
      </c>
      <c r="V740" s="171">
        <v>0</v>
      </c>
      <c r="W740" s="193">
        <f>V740-U740</f>
        <v>0</v>
      </c>
    </row>
    <row r="741" spans="1:24" s="47" customFormat="1" ht="17.100000000000001" hidden="1" customHeight="1">
      <c r="A741" s="614"/>
      <c r="B741" s="576"/>
      <c r="C741" s="577"/>
      <c r="D741" s="178" t="str">
        <f>серпень!D664</f>
        <v>касові нат.п-ки 2025</v>
      </c>
      <c r="E741" s="179"/>
      <c r="F741" s="179"/>
      <c r="G741" s="179"/>
      <c r="H741" s="179"/>
      <c r="I741" s="179"/>
      <c r="J741" s="179"/>
      <c r="K741" s="179"/>
      <c r="L741" s="215">
        <f>SUM(F741:K741)</f>
        <v>0</v>
      </c>
      <c r="M741" s="215">
        <f>L741/6</f>
        <v>0</v>
      </c>
      <c r="N741" s="179"/>
      <c r="O741" s="179"/>
      <c r="P741" s="179"/>
      <c r="Q741" s="179"/>
      <c r="R741" s="179"/>
      <c r="S741" s="179"/>
      <c r="T741" s="215">
        <f>SUM(N741:S741)</f>
        <v>0</v>
      </c>
      <c r="U741" s="215">
        <f>T741+L741</f>
        <v>0</v>
      </c>
      <c r="V741" s="179">
        <f>V736</f>
        <v>0</v>
      </c>
      <c r="W741" s="184">
        <f>V741-U741</f>
        <v>0</v>
      </c>
      <c r="X741" s="47">
        <f>U736-U741</f>
        <v>0</v>
      </c>
    </row>
    <row r="742" spans="1:24" s="47" customFormat="1" ht="17.100000000000001" hidden="1" customHeight="1">
      <c r="A742" s="614"/>
      <c r="B742" s="576"/>
      <c r="C742" s="577"/>
      <c r="D742" s="187" t="str">
        <f>серпень!D665</f>
        <v>тариф, грн.</v>
      </c>
      <c r="E742" s="188" t="e">
        <f>E743/E741*1000</f>
        <v>#DIV/0!</v>
      </c>
      <c r="F742" s="188">
        <v>0</v>
      </c>
      <c r="G742" s="188">
        <v>0</v>
      </c>
      <c r="H742" s="188">
        <v>0</v>
      </c>
      <c r="I742" s="188">
        <v>0</v>
      </c>
      <c r="J742" s="188">
        <v>0</v>
      </c>
      <c r="K742" s="188">
        <v>0</v>
      </c>
      <c r="L742" s="188" t="e">
        <f>L743/L741*1000</f>
        <v>#DIV/0!</v>
      </c>
      <c r="M742" s="188" t="e">
        <f>M743/M741*1000</f>
        <v>#DIV/0!</v>
      </c>
      <c r="N742" s="188">
        <v>0</v>
      </c>
      <c r="O742" s="188">
        <v>0</v>
      </c>
      <c r="P742" s="188">
        <v>0</v>
      </c>
      <c r="Q742" s="188">
        <v>0</v>
      </c>
      <c r="R742" s="188">
        <v>0</v>
      </c>
      <c r="S742" s="188">
        <v>0</v>
      </c>
      <c r="T742" s="188" t="e">
        <f>T743/T741*1000</f>
        <v>#DIV/0!</v>
      </c>
      <c r="U742" s="188" t="e">
        <f>U743/U741*1000</f>
        <v>#DIV/0!</v>
      </c>
      <c r="V742" s="218" t="e">
        <f>V743/V741*1000</f>
        <v>#DIV/0!</v>
      </c>
      <c r="W742" s="189" t="e">
        <f>W743/W741*1000</f>
        <v>#DIV/0!</v>
      </c>
    </row>
    <row r="743" spans="1:24" s="47" customFormat="1" ht="17.100000000000001" hidden="1" customHeight="1">
      <c r="A743" s="614"/>
      <c r="B743" s="576"/>
      <c r="C743" s="577"/>
      <c r="D743" s="198" t="str">
        <f>серпень!D666</f>
        <v>касові видатки, тис.грн.</v>
      </c>
      <c r="E743" s="220"/>
      <c r="F743" s="199">
        <f>F741*F742/1000</f>
        <v>0</v>
      </c>
      <c r="G743" s="199">
        <f t="shared" ref="G743:K743" si="866">G741*G742/1000</f>
        <v>0</v>
      </c>
      <c r="H743" s="199">
        <f t="shared" si="866"/>
        <v>0</v>
      </c>
      <c r="I743" s="199">
        <f t="shared" si="866"/>
        <v>0</v>
      </c>
      <c r="J743" s="199">
        <f t="shared" si="866"/>
        <v>0</v>
      </c>
      <c r="K743" s="199">
        <f t="shared" si="866"/>
        <v>0</v>
      </c>
      <c r="L743" s="199">
        <f>SUM(F743:K743)</f>
        <v>0</v>
      </c>
      <c r="M743" s="199">
        <f>L743/6</f>
        <v>0</v>
      </c>
      <c r="N743" s="199">
        <f>N741*N742/1000</f>
        <v>0</v>
      </c>
      <c r="O743" s="199">
        <f t="shared" ref="O743" si="867">O741*O742/1000</f>
        <v>0</v>
      </c>
      <c r="P743" s="199">
        <f t="shared" ref="P743" si="868">P741*P742/1000</f>
        <v>0</v>
      </c>
      <c r="Q743" s="199">
        <f t="shared" ref="Q743" si="869">Q741*Q742/1000</f>
        <v>0</v>
      </c>
      <c r="R743" s="199">
        <f t="shared" ref="R743" si="870">R741*R742/1000</f>
        <v>0</v>
      </c>
      <c r="S743" s="199">
        <f t="shared" ref="S743" si="871">S741*S742/1000</f>
        <v>0</v>
      </c>
      <c r="T743" s="199">
        <f>SUM(N743:S743)</f>
        <v>0</v>
      </c>
      <c r="U743" s="199">
        <f>T743+L743</f>
        <v>0</v>
      </c>
      <c r="V743" s="199">
        <f>V738</f>
        <v>0</v>
      </c>
      <c r="W743" s="221">
        <f>V743-U743</f>
        <v>0</v>
      </c>
      <c r="X743" s="47">
        <f>U738-U743</f>
        <v>0</v>
      </c>
    </row>
    <row r="744" spans="1:24" s="47" customFormat="1" ht="17.100000000000001" hidden="1" customHeight="1">
      <c r="A744" s="614"/>
      <c r="B744" s="576"/>
      <c r="C744" s="577"/>
      <c r="D744" s="201" t="str">
        <f>серпень!D667</f>
        <v>дотація</v>
      </c>
      <c r="E744" s="220"/>
      <c r="F744" s="199"/>
      <c r="G744" s="199"/>
      <c r="H744" s="199"/>
      <c r="I744" s="199"/>
      <c r="J744" s="199"/>
      <c r="K744" s="199"/>
      <c r="L744" s="199">
        <f>SUM(F744:K744)</f>
        <v>0</v>
      </c>
      <c r="M744" s="199">
        <f>L744/6</f>
        <v>0</v>
      </c>
      <c r="N744" s="199"/>
      <c r="O744" s="199"/>
      <c r="P744" s="199"/>
      <c r="Q744" s="199"/>
      <c r="R744" s="199"/>
      <c r="S744" s="199"/>
      <c r="T744" s="199">
        <f>SUM(N744:S744)</f>
        <v>0</v>
      </c>
      <c r="U744" s="199">
        <f>T744+L744</f>
        <v>0</v>
      </c>
      <c r="V744" s="199">
        <f>V739</f>
        <v>0</v>
      </c>
      <c r="W744" s="221">
        <f>V744-U744</f>
        <v>0</v>
      </c>
      <c r="X744" s="47">
        <f>U739-U744</f>
        <v>0</v>
      </c>
    </row>
    <row r="745" spans="1:24" s="47" customFormat="1" ht="17.100000000000001" hidden="1" customHeight="1">
      <c r="A745" s="614"/>
      <c r="B745" s="576"/>
      <c r="C745" s="577"/>
      <c r="D745" s="201" t="str">
        <f>серпень!D668</f>
        <v xml:space="preserve">місцевий </v>
      </c>
      <c r="E745" s="220"/>
      <c r="F745" s="199">
        <f t="shared" ref="F745:K745" si="872">F743-F744</f>
        <v>0</v>
      </c>
      <c r="G745" s="199">
        <f t="shared" si="872"/>
        <v>0</v>
      </c>
      <c r="H745" s="199">
        <f t="shared" si="872"/>
        <v>0</v>
      </c>
      <c r="I745" s="199">
        <f t="shared" si="872"/>
        <v>0</v>
      </c>
      <c r="J745" s="199">
        <f t="shared" si="872"/>
        <v>0</v>
      </c>
      <c r="K745" s="199">
        <f t="shared" si="872"/>
        <v>0</v>
      </c>
      <c r="L745" s="199">
        <f>SUM(F745:K745)</f>
        <v>0</v>
      </c>
      <c r="M745" s="199">
        <f>L745/6</f>
        <v>0</v>
      </c>
      <c r="N745" s="199">
        <f t="shared" ref="N745:S745" si="873">N743-N744</f>
        <v>0</v>
      </c>
      <c r="O745" s="199">
        <f t="shared" si="873"/>
        <v>0</v>
      </c>
      <c r="P745" s="199">
        <f t="shared" si="873"/>
        <v>0</v>
      </c>
      <c r="Q745" s="199">
        <f t="shared" si="873"/>
        <v>0</v>
      </c>
      <c r="R745" s="199">
        <f t="shared" si="873"/>
        <v>0</v>
      </c>
      <c r="S745" s="199">
        <f t="shared" si="873"/>
        <v>0</v>
      </c>
      <c r="T745" s="199">
        <f>SUM(N745:S745)</f>
        <v>0</v>
      </c>
      <c r="U745" s="199">
        <f>T745+L745</f>
        <v>0</v>
      </c>
      <c r="V745" s="199">
        <f>V740</f>
        <v>0</v>
      </c>
      <c r="W745" s="221">
        <f>V745-U745</f>
        <v>0</v>
      </c>
      <c r="X745" s="47">
        <f>U740-U745</f>
        <v>0</v>
      </c>
    </row>
    <row r="746" spans="1:24" s="47" customFormat="1" ht="17.100000000000001" hidden="1" customHeight="1">
      <c r="A746" s="614"/>
      <c r="B746" s="576"/>
      <c r="C746" s="577"/>
      <c r="D746" s="202" t="str">
        <f>серпень!D669</f>
        <v>план</v>
      </c>
      <c r="E746" s="203"/>
      <c r="F746" s="203">
        <f t="shared" ref="F746:K746" si="874">F740</f>
        <v>0</v>
      </c>
      <c r="G746" s="203">
        <f t="shared" si="874"/>
        <v>0</v>
      </c>
      <c r="H746" s="203">
        <f t="shared" si="874"/>
        <v>0</v>
      </c>
      <c r="I746" s="203">
        <f t="shared" si="874"/>
        <v>0</v>
      </c>
      <c r="J746" s="203">
        <f t="shared" si="874"/>
        <v>0</v>
      </c>
      <c r="K746" s="203">
        <f t="shared" si="874"/>
        <v>0</v>
      </c>
      <c r="L746" s="203">
        <f>SUM(F746:K746)</f>
        <v>0</v>
      </c>
      <c r="M746" s="203">
        <f>L746/6</f>
        <v>0</v>
      </c>
      <c r="N746" s="203">
        <f t="shared" ref="N746:S746" si="875">N740+N739</f>
        <v>0</v>
      </c>
      <c r="O746" s="203">
        <f t="shared" si="875"/>
        <v>0</v>
      </c>
      <c r="P746" s="203">
        <f t="shared" si="875"/>
        <v>0</v>
      </c>
      <c r="Q746" s="203">
        <f t="shared" si="875"/>
        <v>0</v>
      </c>
      <c r="R746" s="203">
        <f t="shared" si="875"/>
        <v>0</v>
      </c>
      <c r="S746" s="203">
        <f t="shared" si="875"/>
        <v>0</v>
      </c>
      <c r="T746" s="203">
        <f>SUM(N746:S746)</f>
        <v>0</v>
      </c>
      <c r="U746" s="203">
        <f>T746+L746</f>
        <v>0</v>
      </c>
      <c r="V746" s="203">
        <f>V743</f>
        <v>0</v>
      </c>
      <c r="W746" s="203">
        <f>V746-U746</f>
        <v>0</v>
      </c>
    </row>
    <row r="747" spans="1:24" s="47" customFormat="1" ht="17.100000000000001" hidden="1" customHeight="1">
      <c r="A747" s="614"/>
      <c r="B747" s="576"/>
      <c r="C747" s="577"/>
      <c r="D747" s="202" t="str">
        <f>серпень!D670</f>
        <v xml:space="preserve">відхилення </v>
      </c>
      <c r="E747" s="203"/>
      <c r="F747" s="203">
        <f t="shared" ref="F747:K747" si="876">F743-F746</f>
        <v>0</v>
      </c>
      <c r="G747" s="203">
        <f t="shared" si="876"/>
        <v>0</v>
      </c>
      <c r="H747" s="203">
        <f t="shared" si="876"/>
        <v>0</v>
      </c>
      <c r="I747" s="203">
        <f t="shared" si="876"/>
        <v>0</v>
      </c>
      <c r="J747" s="203">
        <f t="shared" si="876"/>
        <v>0</v>
      </c>
      <c r="K747" s="203">
        <f t="shared" si="876"/>
        <v>0</v>
      </c>
      <c r="L747" s="203"/>
      <c r="M747" s="203"/>
      <c r="N747" s="203">
        <f t="shared" ref="N747:S747" si="877">N743-N746</f>
        <v>0</v>
      </c>
      <c r="O747" s="203">
        <f t="shared" si="877"/>
        <v>0</v>
      </c>
      <c r="P747" s="203">
        <f t="shared" si="877"/>
        <v>0</v>
      </c>
      <c r="Q747" s="203">
        <f t="shared" si="877"/>
        <v>0</v>
      </c>
      <c r="R747" s="203">
        <f t="shared" si="877"/>
        <v>0</v>
      </c>
      <c r="S747" s="203">
        <f t="shared" si="877"/>
        <v>0</v>
      </c>
      <c r="T747" s="203"/>
      <c r="U747" s="203"/>
      <c r="V747" s="203"/>
      <c r="W747" s="203"/>
    </row>
    <row r="748" spans="1:24" s="47" customFormat="1" ht="19.600000000000001" hidden="1" customHeight="1">
      <c r="A748" s="615"/>
      <c r="B748" s="578"/>
      <c r="C748" s="579"/>
      <c r="D748" s="202" t="str">
        <f>серпень!D671</f>
        <v>відхилення з наростаючим</v>
      </c>
      <c r="E748" s="203"/>
      <c r="F748" s="203">
        <f>F747</f>
        <v>0</v>
      </c>
      <c r="G748" s="203">
        <f>G747+F748</f>
        <v>0</v>
      </c>
      <c r="H748" s="203">
        <f>H747+G748</f>
        <v>0</v>
      </c>
      <c r="I748" s="203">
        <f>I747+H748</f>
        <v>0</v>
      </c>
      <c r="J748" s="203">
        <f>J747+I748</f>
        <v>0</v>
      </c>
      <c r="K748" s="203">
        <f>K747+J748</f>
        <v>0</v>
      </c>
      <c r="L748" s="203"/>
      <c r="M748" s="203"/>
      <c r="N748" s="203">
        <f>N747+K748</f>
        <v>0</v>
      </c>
      <c r="O748" s="203">
        <f>O747+N748</f>
        <v>0</v>
      </c>
      <c r="P748" s="203">
        <f>P747+O748</f>
        <v>0</v>
      </c>
      <c r="Q748" s="203">
        <f>Q747+P748</f>
        <v>0</v>
      </c>
      <c r="R748" s="203">
        <f>R747+Q748</f>
        <v>0</v>
      </c>
      <c r="S748" s="203">
        <f>S747+R748</f>
        <v>0</v>
      </c>
      <c r="T748" s="203"/>
      <c r="U748" s="203"/>
      <c r="V748" s="203"/>
      <c r="W748" s="203"/>
    </row>
    <row r="749" spans="1:24" ht="23.35" customHeight="1">
      <c r="L749" s="15"/>
      <c r="M749" s="15"/>
      <c r="N749" s="15"/>
      <c r="T749" s="15"/>
      <c r="U749" s="15"/>
    </row>
    <row r="750" spans="1:24" ht="23.35" customHeight="1">
      <c r="L750" s="15"/>
      <c r="M750" s="15"/>
      <c r="N750" s="15"/>
      <c r="T750" s="15"/>
      <c r="U750" s="15"/>
    </row>
    <row r="751" spans="1:24" ht="23.35" customHeight="1">
      <c r="L751" s="15"/>
      <c r="M751" s="15"/>
      <c r="N751" s="15"/>
      <c r="T751" s="15"/>
      <c r="U751" s="15"/>
    </row>
    <row r="752" spans="1:24" ht="23.35" customHeight="1">
      <c r="L752" s="15"/>
      <c r="M752" s="15"/>
      <c r="N752" s="15"/>
      <c r="T752" s="15"/>
      <c r="U752" s="15"/>
    </row>
    <row r="753" spans="12:21" ht="23.35" customHeight="1">
      <c r="L753" s="15"/>
      <c r="M753" s="15"/>
      <c r="N753" s="15"/>
      <c r="T753" s="15"/>
      <c r="U753" s="15"/>
    </row>
    <row r="754" spans="12:21" ht="23.35" customHeight="1">
      <c r="L754" s="15"/>
      <c r="M754" s="15"/>
      <c r="N754" s="15"/>
      <c r="T754" s="15"/>
      <c r="U754" s="15"/>
    </row>
    <row r="755" spans="12:21" ht="23.35" customHeight="1">
      <c r="L755" s="15"/>
      <c r="M755" s="15"/>
      <c r="N755" s="15"/>
      <c r="T755" s="15"/>
      <c r="U755" s="15"/>
    </row>
    <row r="756" spans="12:21" ht="23.35" customHeight="1">
      <c r="L756" s="15"/>
      <c r="M756" s="15"/>
      <c r="N756" s="15"/>
      <c r="T756" s="15"/>
      <c r="U756" s="15"/>
    </row>
    <row r="757" spans="12:21" ht="23.35" customHeight="1">
      <c r="L757" s="15"/>
      <c r="M757" s="15"/>
      <c r="N757" s="15"/>
      <c r="T757" s="15"/>
      <c r="U757" s="15"/>
    </row>
    <row r="758" spans="12:21" ht="23.35" customHeight="1">
      <c r="L758" s="15"/>
      <c r="M758" s="15"/>
      <c r="N758" s="15"/>
      <c r="T758" s="15"/>
      <c r="U758" s="15"/>
    </row>
    <row r="759" spans="12:21" ht="23.35" customHeight="1">
      <c r="L759" s="15"/>
      <c r="M759" s="15"/>
      <c r="N759" s="15"/>
      <c r="T759" s="15"/>
      <c r="U759" s="15"/>
    </row>
    <row r="760" spans="12:21" ht="23.35" customHeight="1">
      <c r="L760" s="15"/>
      <c r="M760" s="15"/>
      <c r="N760" s="15"/>
      <c r="T760" s="15"/>
      <c r="U760" s="15"/>
    </row>
    <row r="761" spans="12:21" ht="23.35" customHeight="1">
      <c r="L761" s="15"/>
      <c r="M761" s="15"/>
      <c r="N761" s="15"/>
      <c r="T761" s="15"/>
      <c r="U761" s="15"/>
    </row>
    <row r="762" spans="12:21" ht="23.35" customHeight="1">
      <c r="L762" s="15"/>
      <c r="M762" s="15"/>
      <c r="N762" s="15"/>
      <c r="T762" s="15"/>
      <c r="U762" s="15"/>
    </row>
    <row r="763" spans="12:21" ht="23.35" customHeight="1">
      <c r="L763" s="15"/>
      <c r="M763" s="15"/>
      <c r="N763" s="15"/>
      <c r="T763" s="15"/>
      <c r="U763" s="15"/>
    </row>
    <row r="764" spans="12:21" ht="23.35" customHeight="1">
      <c r="L764" s="15"/>
      <c r="M764" s="15"/>
      <c r="N764" s="15"/>
      <c r="T764" s="15"/>
      <c r="U764" s="15"/>
    </row>
    <row r="765" spans="12:21" ht="23.35" customHeight="1">
      <c r="L765" s="15"/>
      <c r="M765" s="15"/>
      <c r="N765" s="15"/>
      <c r="T765" s="15"/>
      <c r="U765" s="15"/>
    </row>
    <row r="766" spans="12:21" ht="23.35" customHeight="1">
      <c r="L766" s="15"/>
      <c r="M766" s="15"/>
      <c r="N766" s="15"/>
      <c r="T766" s="15"/>
      <c r="U766" s="15"/>
    </row>
    <row r="767" spans="12:21" ht="23.35" customHeight="1">
      <c r="L767" s="15"/>
      <c r="M767" s="15"/>
      <c r="N767" s="15"/>
      <c r="T767" s="15"/>
      <c r="U767" s="15"/>
    </row>
    <row r="768" spans="12:21" ht="23.35" customHeight="1">
      <c r="L768" s="15"/>
      <c r="M768" s="15"/>
      <c r="N768" s="15"/>
      <c r="T768" s="15"/>
      <c r="U768" s="15"/>
    </row>
    <row r="769" spans="12:21" ht="23.35" customHeight="1">
      <c r="L769" s="15"/>
      <c r="M769" s="15"/>
      <c r="N769" s="15"/>
      <c r="T769" s="15"/>
      <c r="U769" s="15"/>
    </row>
    <row r="770" spans="12:21" ht="23.35" customHeight="1">
      <c r="L770" s="15"/>
      <c r="M770" s="15"/>
      <c r="N770" s="15"/>
      <c r="T770" s="15"/>
      <c r="U770" s="15"/>
    </row>
    <row r="771" spans="12:21" ht="23.35" customHeight="1">
      <c r="L771" s="15"/>
      <c r="M771" s="15"/>
      <c r="N771" s="15"/>
      <c r="T771" s="15"/>
      <c r="U771" s="15"/>
    </row>
    <row r="772" spans="12:21" ht="23.35" customHeight="1">
      <c r="L772" s="15"/>
      <c r="M772" s="15"/>
      <c r="N772" s="15"/>
      <c r="T772" s="15"/>
      <c r="U772" s="15"/>
    </row>
    <row r="773" spans="12:21" ht="23.35" customHeight="1">
      <c r="L773" s="15"/>
      <c r="M773" s="15"/>
      <c r="N773" s="15"/>
      <c r="T773" s="15"/>
      <c r="U773" s="15"/>
    </row>
    <row r="774" spans="12:21" ht="23.35" customHeight="1">
      <c r="L774" s="15"/>
      <c r="M774" s="15"/>
      <c r="N774" s="15"/>
      <c r="T774" s="15"/>
      <c r="U774" s="15"/>
    </row>
    <row r="775" spans="12:21" ht="23.35" customHeight="1">
      <c r="L775" s="15"/>
      <c r="M775" s="15"/>
      <c r="N775" s="15"/>
      <c r="T775" s="15"/>
      <c r="U775" s="15"/>
    </row>
    <row r="776" spans="12:21" ht="23.35" customHeight="1">
      <c r="L776" s="15"/>
      <c r="M776" s="15"/>
      <c r="N776" s="15"/>
      <c r="T776" s="15"/>
      <c r="U776" s="15"/>
    </row>
    <row r="777" spans="12:21" ht="23.35" customHeight="1">
      <c r="L777" s="15"/>
      <c r="M777" s="15"/>
      <c r="N777" s="15"/>
      <c r="T777" s="15"/>
      <c r="U777" s="15"/>
    </row>
    <row r="778" spans="12:21" ht="23.35" customHeight="1">
      <c r="L778" s="15"/>
      <c r="M778" s="15"/>
      <c r="N778" s="15"/>
      <c r="T778" s="15"/>
      <c r="U778" s="15"/>
    </row>
    <row r="779" spans="12:21" ht="23.35" customHeight="1">
      <c r="L779" s="15"/>
      <c r="M779" s="15"/>
      <c r="N779" s="15"/>
      <c r="T779" s="15"/>
      <c r="U779" s="15"/>
    </row>
    <row r="780" spans="12:21" ht="23.35" customHeight="1">
      <c r="L780" s="15"/>
      <c r="M780" s="15"/>
      <c r="N780" s="15"/>
      <c r="T780" s="15"/>
      <c r="U780" s="15"/>
    </row>
    <row r="781" spans="12:21" ht="23.35" customHeight="1">
      <c r="L781" s="15"/>
      <c r="M781" s="15"/>
      <c r="N781" s="15"/>
      <c r="T781" s="15"/>
      <c r="U781" s="15"/>
    </row>
    <row r="782" spans="12:21" ht="23.35" customHeight="1">
      <c r="L782" s="15"/>
      <c r="M782" s="15"/>
      <c r="N782" s="15"/>
      <c r="T782" s="15"/>
      <c r="U782" s="15"/>
    </row>
    <row r="783" spans="12:21" ht="23.35" customHeight="1">
      <c r="L783" s="15"/>
      <c r="M783" s="15"/>
      <c r="N783" s="15"/>
      <c r="T783" s="15"/>
      <c r="U783" s="15"/>
    </row>
    <row r="784" spans="12:21" ht="23.35" customHeight="1">
      <c r="L784" s="15"/>
      <c r="M784" s="15"/>
      <c r="N784" s="15"/>
      <c r="T784" s="15"/>
      <c r="U784" s="15"/>
    </row>
    <row r="785" spans="12:21" ht="23.35" customHeight="1">
      <c r="L785" s="15"/>
      <c r="M785" s="15"/>
      <c r="N785" s="15"/>
      <c r="T785" s="15"/>
      <c r="U785" s="15"/>
    </row>
    <row r="786" spans="12:21" ht="23.35" customHeight="1">
      <c r="L786" s="15"/>
      <c r="M786" s="15"/>
      <c r="N786" s="15"/>
      <c r="T786" s="15"/>
      <c r="U786" s="15"/>
    </row>
    <row r="787" spans="12:21" ht="23.35" customHeight="1">
      <c r="L787" s="15"/>
      <c r="M787" s="15"/>
      <c r="N787" s="15"/>
      <c r="T787" s="15"/>
      <c r="U787" s="15"/>
    </row>
    <row r="788" spans="12:21" ht="23.35" customHeight="1">
      <c r="L788" s="15"/>
      <c r="M788" s="15"/>
      <c r="N788" s="15"/>
      <c r="T788" s="15"/>
      <c r="U788" s="15"/>
    </row>
    <row r="789" spans="12:21" ht="23.35" customHeight="1">
      <c r="L789" s="15"/>
      <c r="M789" s="15"/>
      <c r="N789" s="15"/>
      <c r="T789" s="15"/>
      <c r="U789" s="15"/>
    </row>
    <row r="790" spans="12:21" ht="23.35" customHeight="1">
      <c r="L790" s="15"/>
      <c r="M790" s="15"/>
      <c r="N790" s="15"/>
      <c r="T790" s="15"/>
      <c r="U790" s="15"/>
    </row>
    <row r="791" spans="12:21" ht="23.35" customHeight="1">
      <c r="L791" s="15"/>
      <c r="M791" s="15"/>
      <c r="N791" s="15"/>
      <c r="T791" s="15"/>
      <c r="U791" s="15"/>
    </row>
    <row r="792" spans="12:21" ht="23.35" customHeight="1">
      <c r="L792" s="15"/>
      <c r="M792" s="15"/>
      <c r="N792" s="15"/>
      <c r="T792" s="15"/>
      <c r="U792" s="15"/>
    </row>
    <row r="793" spans="12:21" ht="23.35" customHeight="1">
      <c r="L793" s="15"/>
      <c r="M793" s="15"/>
      <c r="N793" s="15"/>
      <c r="T793" s="15"/>
      <c r="U793" s="15"/>
    </row>
    <row r="794" spans="12:21" ht="23.35" customHeight="1">
      <c r="L794" s="15"/>
      <c r="M794" s="15"/>
      <c r="N794" s="15"/>
      <c r="T794" s="15"/>
      <c r="U794" s="15"/>
    </row>
    <row r="795" spans="12:21" ht="23.35" customHeight="1">
      <c r="L795" s="15"/>
      <c r="M795" s="15"/>
      <c r="N795" s="15"/>
      <c r="T795" s="15"/>
      <c r="U795" s="15"/>
    </row>
    <row r="796" spans="12:21" ht="23.35" customHeight="1">
      <c r="L796" s="15"/>
      <c r="M796" s="15"/>
      <c r="N796" s="15"/>
      <c r="T796" s="15"/>
      <c r="U796" s="15"/>
    </row>
    <row r="797" spans="12:21" ht="23.35" customHeight="1">
      <c r="L797" s="15"/>
      <c r="M797" s="15"/>
      <c r="N797" s="15"/>
      <c r="T797" s="15"/>
      <c r="U797" s="15"/>
    </row>
    <row r="798" spans="12:21" ht="23.35" customHeight="1">
      <c r="L798" s="15"/>
      <c r="M798" s="15"/>
      <c r="N798" s="15"/>
      <c r="T798" s="15"/>
      <c r="U798" s="15"/>
    </row>
    <row r="799" spans="12:21" ht="23.35" customHeight="1">
      <c r="L799" s="15"/>
      <c r="M799" s="15"/>
      <c r="N799" s="15"/>
      <c r="T799" s="15"/>
      <c r="U799" s="15"/>
    </row>
    <row r="800" spans="12:21" ht="23.35" customHeight="1">
      <c r="L800" s="15"/>
      <c r="M800" s="15"/>
      <c r="N800" s="15"/>
      <c r="T800" s="15"/>
      <c r="U800" s="15"/>
    </row>
    <row r="801" spans="12:21" ht="23.35" customHeight="1">
      <c r="L801" s="15"/>
      <c r="M801" s="15"/>
      <c r="N801" s="15"/>
      <c r="T801" s="15"/>
      <c r="U801" s="15"/>
    </row>
    <row r="802" spans="12:21" ht="23.35" customHeight="1">
      <c r="L802" s="15"/>
      <c r="M802" s="15"/>
      <c r="N802" s="15"/>
      <c r="T802" s="15"/>
      <c r="U802" s="15"/>
    </row>
    <row r="803" spans="12:21" ht="23.35" customHeight="1">
      <c r="L803" s="15"/>
      <c r="M803" s="15"/>
      <c r="N803" s="15"/>
      <c r="T803" s="15"/>
      <c r="U803" s="15"/>
    </row>
    <row r="804" spans="12:21" ht="23.35" customHeight="1">
      <c r="L804" s="15"/>
      <c r="M804" s="15"/>
      <c r="N804" s="15"/>
      <c r="T804" s="15"/>
      <c r="U804" s="15"/>
    </row>
    <row r="805" spans="12:21" ht="23.35" customHeight="1">
      <c r="L805" s="15"/>
      <c r="M805" s="15"/>
      <c r="N805" s="15"/>
      <c r="T805" s="15"/>
      <c r="U805" s="15"/>
    </row>
    <row r="806" spans="12:21" ht="23.35" customHeight="1">
      <c r="L806" s="15"/>
      <c r="M806" s="15"/>
      <c r="N806" s="15"/>
      <c r="T806" s="15"/>
      <c r="U806" s="15"/>
    </row>
    <row r="807" spans="12:21" ht="23.35" customHeight="1">
      <c r="L807" s="15"/>
      <c r="M807" s="15"/>
      <c r="N807" s="15"/>
      <c r="T807" s="15"/>
      <c r="U807" s="15"/>
    </row>
    <row r="808" spans="12:21" ht="23.35" customHeight="1">
      <c r="L808" s="15"/>
      <c r="M808" s="15"/>
      <c r="N808" s="15"/>
      <c r="T808" s="15"/>
      <c r="U808" s="15"/>
    </row>
    <row r="809" spans="12:21" ht="23.35" customHeight="1">
      <c r="L809" s="15"/>
      <c r="M809" s="15"/>
      <c r="N809" s="15"/>
      <c r="T809" s="15"/>
      <c r="U809" s="15"/>
    </row>
    <row r="810" spans="12:21" ht="23.35" customHeight="1">
      <c r="L810" s="15"/>
      <c r="M810" s="15"/>
      <c r="N810" s="15"/>
      <c r="T810" s="15"/>
      <c r="U810" s="15"/>
    </row>
    <row r="811" spans="12:21" ht="23.35" customHeight="1">
      <c r="L811" s="15"/>
      <c r="M811" s="15"/>
      <c r="N811" s="15"/>
      <c r="T811" s="15"/>
      <c r="U811" s="15"/>
    </row>
    <row r="812" spans="12:21" ht="23.35" customHeight="1">
      <c r="L812" s="15"/>
      <c r="M812" s="15"/>
      <c r="N812" s="15"/>
      <c r="T812" s="15"/>
      <c r="U812" s="15"/>
    </row>
    <row r="813" spans="12:21" ht="23.35" customHeight="1">
      <c r="L813" s="15"/>
      <c r="M813" s="15"/>
      <c r="N813" s="15"/>
      <c r="T813" s="15"/>
      <c r="U813" s="15"/>
    </row>
    <row r="814" spans="12:21" ht="23.35" customHeight="1">
      <c r="L814" s="15"/>
      <c r="M814" s="15"/>
      <c r="N814" s="15"/>
      <c r="T814" s="15"/>
      <c r="U814" s="15"/>
    </row>
    <row r="815" spans="12:21" ht="23.35" customHeight="1">
      <c r="L815" s="15"/>
      <c r="M815" s="15"/>
      <c r="N815" s="15"/>
      <c r="T815" s="15"/>
      <c r="U815" s="15"/>
    </row>
    <row r="816" spans="12:21" ht="23.35" customHeight="1">
      <c r="L816" s="15"/>
      <c r="M816" s="15"/>
      <c r="N816" s="15"/>
      <c r="T816" s="15"/>
      <c r="U816" s="15"/>
    </row>
    <row r="817" spans="12:21" ht="23.35" customHeight="1">
      <c r="L817" s="15"/>
      <c r="M817" s="15"/>
      <c r="N817" s="15"/>
      <c r="T817" s="15"/>
      <c r="U817" s="15"/>
    </row>
    <row r="818" spans="12:21" ht="23.35" customHeight="1">
      <c r="L818" s="15"/>
      <c r="M818" s="15"/>
      <c r="N818" s="15"/>
      <c r="T818" s="15"/>
      <c r="U818" s="15"/>
    </row>
    <row r="819" spans="12:21" ht="23.35" customHeight="1">
      <c r="L819" s="15"/>
      <c r="M819" s="15"/>
      <c r="N819" s="15"/>
      <c r="T819" s="15"/>
      <c r="U819" s="15"/>
    </row>
    <row r="820" spans="12:21" ht="23.35" customHeight="1">
      <c r="L820" s="15"/>
      <c r="M820" s="15"/>
      <c r="N820" s="15"/>
      <c r="T820" s="15"/>
      <c r="U820" s="15"/>
    </row>
    <row r="821" spans="12:21" ht="23.35" customHeight="1">
      <c r="L821" s="15"/>
      <c r="M821" s="15"/>
      <c r="N821" s="15"/>
      <c r="T821" s="15"/>
      <c r="U821" s="15"/>
    </row>
    <row r="822" spans="12:21" ht="23.35" customHeight="1">
      <c r="L822" s="15"/>
      <c r="M822" s="15"/>
      <c r="N822" s="15"/>
      <c r="T822" s="15"/>
      <c r="U822" s="15"/>
    </row>
    <row r="823" spans="12:21" ht="23.35" customHeight="1">
      <c r="L823" s="15"/>
      <c r="M823" s="15"/>
      <c r="N823" s="15"/>
      <c r="T823" s="15"/>
      <c r="U823" s="15"/>
    </row>
    <row r="824" spans="12:21" ht="23.35" customHeight="1">
      <c r="L824" s="15"/>
      <c r="M824" s="15"/>
      <c r="N824" s="15"/>
      <c r="T824" s="15"/>
      <c r="U824" s="15"/>
    </row>
    <row r="825" spans="12:21" ht="23.35" customHeight="1">
      <c r="L825" s="15"/>
      <c r="M825" s="15"/>
      <c r="N825" s="15"/>
      <c r="T825" s="15"/>
      <c r="U825" s="15"/>
    </row>
    <row r="826" spans="12:21" ht="23.35" customHeight="1">
      <c r="L826" s="15"/>
      <c r="M826" s="15"/>
      <c r="N826" s="15"/>
      <c r="T826" s="15"/>
      <c r="U826" s="15"/>
    </row>
    <row r="827" spans="12:21" ht="23.35" customHeight="1">
      <c r="L827" s="15"/>
      <c r="M827" s="15"/>
      <c r="N827" s="15"/>
      <c r="T827" s="15"/>
      <c r="U827" s="15"/>
    </row>
    <row r="828" spans="12:21" ht="23.35" customHeight="1">
      <c r="L828" s="15"/>
      <c r="M828" s="15"/>
      <c r="N828" s="15"/>
      <c r="T828" s="15"/>
      <c r="U828" s="15"/>
    </row>
    <row r="829" spans="12:21" ht="23.35" customHeight="1">
      <c r="L829" s="15"/>
      <c r="M829" s="15"/>
      <c r="N829" s="15"/>
      <c r="T829" s="15"/>
      <c r="U829" s="15"/>
    </row>
    <row r="830" spans="12:21" ht="23.35" customHeight="1">
      <c r="L830" s="15"/>
      <c r="M830" s="15"/>
      <c r="N830" s="15"/>
      <c r="T830" s="15"/>
      <c r="U830" s="15"/>
    </row>
    <row r="831" spans="12:21" ht="23.35" customHeight="1">
      <c r="L831" s="15"/>
      <c r="M831" s="15"/>
      <c r="N831" s="15"/>
      <c r="T831" s="15"/>
      <c r="U831" s="15"/>
    </row>
    <row r="832" spans="12:21" ht="23.35" customHeight="1">
      <c r="L832" s="15"/>
      <c r="M832" s="15"/>
      <c r="N832" s="15"/>
      <c r="T832" s="15"/>
      <c r="U832" s="15"/>
    </row>
    <row r="833" spans="12:21" ht="23.35" customHeight="1">
      <c r="L833" s="15"/>
      <c r="M833" s="15"/>
      <c r="N833" s="15"/>
      <c r="T833" s="15"/>
      <c r="U833" s="15"/>
    </row>
    <row r="834" spans="12:21" ht="23.35" customHeight="1">
      <c r="L834" s="15"/>
      <c r="M834" s="15"/>
      <c r="N834" s="15"/>
      <c r="T834" s="15"/>
      <c r="U834" s="15"/>
    </row>
    <row r="835" spans="12:21" ht="23.35" customHeight="1">
      <c r="L835" s="15"/>
      <c r="M835" s="15"/>
      <c r="N835" s="15"/>
      <c r="T835" s="15"/>
      <c r="U835" s="15"/>
    </row>
    <row r="836" spans="12:21" ht="23.35" customHeight="1">
      <c r="L836" s="15"/>
      <c r="M836" s="15"/>
      <c r="N836" s="15"/>
      <c r="T836" s="15"/>
      <c r="U836" s="15"/>
    </row>
    <row r="837" spans="12:21" ht="23.35" customHeight="1">
      <c r="L837" s="15"/>
      <c r="M837" s="15"/>
      <c r="N837" s="15"/>
      <c r="T837" s="15"/>
      <c r="U837" s="15"/>
    </row>
    <row r="838" spans="12:21" ht="23.35" customHeight="1">
      <c r="L838" s="15"/>
      <c r="M838" s="15"/>
      <c r="N838" s="15"/>
      <c r="T838" s="15"/>
      <c r="U838" s="15"/>
    </row>
    <row r="839" spans="12:21" ht="23.35" customHeight="1">
      <c r="L839" s="15"/>
      <c r="M839" s="15"/>
      <c r="N839" s="15"/>
      <c r="T839" s="15"/>
      <c r="U839" s="15"/>
    </row>
    <row r="840" spans="12:21" ht="23.35" customHeight="1">
      <c r="L840" s="15"/>
      <c r="M840" s="15"/>
      <c r="N840" s="15"/>
      <c r="T840" s="15"/>
      <c r="U840" s="15"/>
    </row>
    <row r="841" spans="12:21" ht="23.35" customHeight="1">
      <c r="L841" s="15"/>
      <c r="M841" s="15"/>
      <c r="N841" s="15"/>
      <c r="T841" s="15"/>
      <c r="U841" s="15"/>
    </row>
    <row r="842" spans="12:21" ht="23.35" customHeight="1">
      <c r="L842" s="15"/>
      <c r="M842" s="15"/>
      <c r="N842" s="15"/>
      <c r="T842" s="15"/>
      <c r="U842" s="15"/>
    </row>
    <row r="843" spans="12:21" ht="23.35" customHeight="1">
      <c r="L843" s="15"/>
      <c r="M843" s="15"/>
      <c r="N843" s="15"/>
      <c r="T843" s="15"/>
      <c r="U843" s="15"/>
    </row>
    <row r="844" spans="12:21" ht="23.35" customHeight="1">
      <c r="L844" s="15"/>
      <c r="M844" s="15"/>
      <c r="N844" s="15"/>
      <c r="T844" s="15"/>
      <c r="U844" s="15"/>
    </row>
    <row r="845" spans="12:21" ht="23.35" customHeight="1">
      <c r="L845" s="15"/>
      <c r="M845" s="15"/>
      <c r="N845" s="15"/>
      <c r="T845" s="15"/>
      <c r="U845" s="15"/>
    </row>
    <row r="846" spans="12:21" ht="23.35" customHeight="1">
      <c r="L846" s="15"/>
      <c r="M846" s="15"/>
      <c r="N846" s="15"/>
      <c r="T846" s="15"/>
      <c r="U846" s="15"/>
    </row>
    <row r="847" spans="12:21" ht="23.35" customHeight="1">
      <c r="L847" s="15"/>
      <c r="M847" s="15"/>
      <c r="N847" s="15"/>
      <c r="T847" s="15"/>
      <c r="U847" s="15"/>
    </row>
    <row r="848" spans="12:21" ht="23.35" customHeight="1">
      <c r="L848" s="15"/>
      <c r="M848" s="15"/>
      <c r="N848" s="15"/>
      <c r="T848" s="15"/>
      <c r="U848" s="15"/>
    </row>
    <row r="849" spans="12:21" ht="23.35" customHeight="1">
      <c r="L849" s="15"/>
      <c r="M849" s="15"/>
      <c r="N849" s="15"/>
      <c r="T849" s="15"/>
      <c r="U849" s="15"/>
    </row>
    <row r="850" spans="12:21" ht="23.35" customHeight="1">
      <c r="L850" s="15"/>
      <c r="M850" s="15"/>
      <c r="N850" s="15"/>
      <c r="T850" s="15"/>
      <c r="U850" s="15"/>
    </row>
    <row r="851" spans="12:21" ht="23.35" customHeight="1">
      <c r="L851" s="15"/>
      <c r="M851" s="15"/>
      <c r="N851" s="15"/>
      <c r="T851" s="15"/>
      <c r="U851" s="15"/>
    </row>
    <row r="852" spans="12:21" ht="23.35" customHeight="1">
      <c r="L852" s="15"/>
      <c r="M852" s="15"/>
      <c r="N852" s="15"/>
      <c r="T852" s="15"/>
      <c r="U852" s="15"/>
    </row>
    <row r="853" spans="12:21" ht="23.35" customHeight="1">
      <c r="L853" s="15"/>
      <c r="M853" s="15"/>
      <c r="N853" s="15"/>
      <c r="T853" s="15"/>
      <c r="U853" s="15"/>
    </row>
    <row r="854" spans="12:21" ht="23.35" customHeight="1">
      <c r="L854" s="15"/>
      <c r="M854" s="15"/>
      <c r="N854" s="15"/>
      <c r="T854" s="15"/>
      <c r="U854" s="15"/>
    </row>
    <row r="855" spans="12:21" ht="23.35" customHeight="1">
      <c r="L855" s="15"/>
      <c r="M855" s="15"/>
      <c r="N855" s="15"/>
      <c r="T855" s="15"/>
      <c r="U855" s="15"/>
    </row>
    <row r="856" spans="12:21" ht="23.35" customHeight="1">
      <c r="L856" s="15"/>
      <c r="M856" s="15"/>
      <c r="N856" s="15"/>
      <c r="T856" s="15"/>
      <c r="U856" s="15"/>
    </row>
    <row r="857" spans="12:21" ht="23.35" customHeight="1">
      <c r="L857" s="15"/>
      <c r="M857" s="15"/>
      <c r="N857" s="15"/>
      <c r="T857" s="15"/>
      <c r="U857" s="15"/>
    </row>
    <row r="858" spans="12:21" ht="23.35" customHeight="1">
      <c r="L858" s="15"/>
      <c r="M858" s="15"/>
      <c r="N858" s="15"/>
      <c r="T858" s="15"/>
      <c r="U858" s="15"/>
    </row>
    <row r="859" spans="12:21" ht="23.35" customHeight="1">
      <c r="L859" s="15"/>
      <c r="M859" s="15"/>
      <c r="N859" s="15"/>
      <c r="T859" s="15"/>
      <c r="U859" s="15"/>
    </row>
    <row r="860" spans="12:21" ht="23.35" customHeight="1">
      <c r="L860" s="15"/>
      <c r="M860" s="15"/>
      <c r="N860" s="15"/>
      <c r="T860" s="15"/>
      <c r="U860" s="15"/>
    </row>
    <row r="861" spans="12:21" ht="23.35" customHeight="1">
      <c r="L861" s="15"/>
      <c r="M861" s="15"/>
      <c r="N861" s="15"/>
      <c r="T861" s="15"/>
      <c r="U861" s="15"/>
    </row>
    <row r="862" spans="12:21" ht="23.35" customHeight="1">
      <c r="L862" s="15"/>
      <c r="M862" s="15"/>
      <c r="N862" s="15"/>
      <c r="T862" s="15"/>
      <c r="U862" s="15"/>
    </row>
    <row r="863" spans="12:21" ht="23.35" customHeight="1">
      <c r="L863" s="15"/>
      <c r="M863" s="15"/>
      <c r="N863" s="15"/>
      <c r="T863" s="15"/>
      <c r="U863" s="15"/>
    </row>
    <row r="864" spans="12:21" ht="23.35" customHeight="1">
      <c r="L864" s="15"/>
      <c r="M864" s="15"/>
      <c r="N864" s="15"/>
      <c r="T864" s="15"/>
      <c r="U864" s="15"/>
    </row>
    <row r="865" spans="12:21" ht="23.35" customHeight="1">
      <c r="L865" s="15"/>
      <c r="M865" s="15"/>
      <c r="N865" s="15"/>
      <c r="T865" s="15"/>
      <c r="U865" s="15"/>
    </row>
    <row r="866" spans="12:21" ht="23.35" customHeight="1">
      <c r="L866" s="15"/>
      <c r="M866" s="15"/>
      <c r="N866" s="15"/>
      <c r="T866" s="15"/>
      <c r="U866" s="15"/>
    </row>
    <row r="867" spans="12:21" ht="23.35" customHeight="1">
      <c r="L867" s="15"/>
      <c r="M867" s="15"/>
      <c r="N867" s="15"/>
      <c r="T867" s="15"/>
      <c r="U867" s="15"/>
    </row>
    <row r="868" spans="12:21" ht="23.35" customHeight="1">
      <c r="L868" s="15"/>
      <c r="M868" s="15"/>
      <c r="N868" s="15"/>
      <c r="T868" s="15"/>
      <c r="U868" s="15"/>
    </row>
    <row r="869" spans="12:21" ht="23.35" customHeight="1">
      <c r="L869" s="15"/>
      <c r="M869" s="15"/>
      <c r="N869" s="15"/>
      <c r="T869" s="15"/>
      <c r="U869" s="15"/>
    </row>
    <row r="870" spans="12:21" ht="23.35" customHeight="1">
      <c r="L870" s="15"/>
      <c r="M870" s="15"/>
      <c r="N870" s="15"/>
      <c r="T870" s="15"/>
      <c r="U870" s="15"/>
    </row>
    <row r="871" spans="12:21" ht="23.35" customHeight="1">
      <c r="L871" s="15"/>
      <c r="M871" s="15"/>
      <c r="N871" s="15"/>
      <c r="T871" s="15"/>
      <c r="U871" s="15"/>
    </row>
    <row r="872" spans="12:21" ht="23.35" customHeight="1">
      <c r="L872" s="15"/>
      <c r="M872" s="15"/>
      <c r="N872" s="15"/>
      <c r="T872" s="15"/>
      <c r="U872" s="15"/>
    </row>
    <row r="873" spans="12:21" ht="23.35" customHeight="1">
      <c r="L873" s="15"/>
      <c r="M873" s="15"/>
      <c r="N873" s="15"/>
      <c r="T873" s="15"/>
      <c r="U873" s="15"/>
    </row>
    <row r="874" spans="12:21" ht="23.35" customHeight="1">
      <c r="L874" s="15"/>
      <c r="M874" s="15"/>
      <c r="N874" s="15"/>
      <c r="T874" s="15"/>
      <c r="U874" s="15"/>
    </row>
    <row r="875" spans="12:21" ht="23.35" customHeight="1">
      <c r="L875" s="15"/>
      <c r="M875" s="15"/>
      <c r="N875" s="15"/>
      <c r="T875" s="15"/>
      <c r="U875" s="15"/>
    </row>
    <row r="876" spans="12:21" ht="23.35" customHeight="1">
      <c r="L876" s="15"/>
      <c r="M876" s="15"/>
      <c r="N876" s="15"/>
      <c r="T876" s="15"/>
      <c r="U876" s="15"/>
    </row>
    <row r="877" spans="12:21" ht="23.35" customHeight="1">
      <c r="L877" s="15"/>
      <c r="M877" s="15"/>
      <c r="N877" s="15"/>
      <c r="T877" s="15"/>
      <c r="U877" s="15"/>
    </row>
    <row r="878" spans="12:21" ht="23.35" customHeight="1">
      <c r="L878" s="15"/>
      <c r="M878" s="15"/>
      <c r="N878" s="15"/>
      <c r="T878" s="15"/>
      <c r="U878" s="15"/>
    </row>
    <row r="879" spans="12:21" ht="23.35" customHeight="1">
      <c r="L879" s="15"/>
      <c r="M879" s="15"/>
      <c r="N879" s="15"/>
      <c r="T879" s="15"/>
      <c r="U879" s="15"/>
    </row>
    <row r="880" spans="12:21" ht="23.35" customHeight="1">
      <c r="L880" s="15"/>
      <c r="M880" s="15"/>
      <c r="N880" s="15"/>
      <c r="T880" s="15"/>
      <c r="U880" s="15"/>
    </row>
    <row r="881" spans="12:21" ht="23.35" customHeight="1">
      <c r="L881" s="15"/>
      <c r="M881" s="15"/>
      <c r="N881" s="15"/>
      <c r="T881" s="15"/>
      <c r="U881" s="15"/>
    </row>
    <row r="882" spans="12:21" ht="23.35" customHeight="1">
      <c r="L882" s="15"/>
      <c r="M882" s="15"/>
      <c r="N882" s="15"/>
      <c r="T882" s="15"/>
      <c r="U882" s="15"/>
    </row>
    <row r="883" spans="12:21" ht="23.35" customHeight="1">
      <c r="L883" s="15"/>
      <c r="M883" s="15"/>
      <c r="N883" s="15"/>
      <c r="T883" s="15"/>
      <c r="U883" s="15"/>
    </row>
    <row r="884" spans="12:21" ht="23.35" customHeight="1">
      <c r="L884" s="15"/>
      <c r="M884" s="15"/>
      <c r="N884" s="15"/>
      <c r="T884" s="15"/>
      <c r="U884" s="15"/>
    </row>
    <row r="885" spans="12:21" ht="23.35" customHeight="1">
      <c r="L885" s="15"/>
      <c r="M885" s="15"/>
      <c r="N885" s="15"/>
      <c r="T885" s="15"/>
      <c r="U885" s="15"/>
    </row>
    <row r="886" spans="12:21" ht="23.35" customHeight="1">
      <c r="L886" s="15"/>
      <c r="M886" s="15"/>
      <c r="N886" s="15"/>
      <c r="T886" s="15"/>
      <c r="U886" s="15"/>
    </row>
    <row r="887" spans="12:21" ht="23.35" customHeight="1">
      <c r="L887" s="15"/>
      <c r="M887" s="15"/>
      <c r="N887" s="15"/>
      <c r="T887" s="15"/>
      <c r="U887" s="15"/>
    </row>
    <row r="888" spans="12:21" ht="23.35" customHeight="1">
      <c r="L888" s="15"/>
      <c r="M888" s="15"/>
      <c r="N888" s="15"/>
      <c r="T888" s="15"/>
      <c r="U888" s="15"/>
    </row>
    <row r="889" spans="12:21" ht="23.35" customHeight="1">
      <c r="L889" s="15"/>
      <c r="M889" s="15"/>
      <c r="N889" s="15"/>
      <c r="T889" s="15"/>
      <c r="U889" s="15"/>
    </row>
    <row r="890" spans="12:21" ht="23.35" customHeight="1">
      <c r="L890" s="15"/>
      <c r="M890" s="15"/>
      <c r="N890" s="15"/>
      <c r="T890" s="15"/>
      <c r="U890" s="15"/>
    </row>
    <row r="891" spans="12:21" ht="23.35" customHeight="1">
      <c r="L891" s="15"/>
      <c r="M891" s="15"/>
      <c r="N891" s="15"/>
      <c r="T891" s="15"/>
      <c r="U891" s="15"/>
    </row>
    <row r="892" spans="12:21" ht="23.35" customHeight="1">
      <c r="L892" s="15"/>
      <c r="M892" s="15"/>
      <c r="N892" s="15"/>
      <c r="T892" s="15"/>
      <c r="U892" s="15"/>
    </row>
    <row r="893" spans="12:21" ht="23.35" customHeight="1">
      <c r="L893" s="15"/>
      <c r="M893" s="15"/>
      <c r="N893" s="15"/>
      <c r="T893" s="15"/>
      <c r="U893" s="15"/>
    </row>
    <row r="894" spans="12:21" ht="23.35" customHeight="1">
      <c r="L894" s="15"/>
      <c r="M894" s="15"/>
      <c r="N894" s="15"/>
      <c r="T894" s="15"/>
      <c r="U894" s="15"/>
    </row>
    <row r="895" spans="12:21" ht="23.35" customHeight="1">
      <c r="L895" s="15"/>
      <c r="M895" s="15"/>
      <c r="N895" s="15"/>
      <c r="T895" s="15"/>
      <c r="U895" s="15"/>
    </row>
    <row r="896" spans="12:21" ht="23.35" customHeight="1">
      <c r="L896" s="15"/>
      <c r="M896" s="15"/>
      <c r="N896" s="15"/>
      <c r="T896" s="15"/>
      <c r="U896" s="15"/>
    </row>
    <row r="897" spans="12:21" ht="23.35" customHeight="1">
      <c r="L897" s="15"/>
      <c r="M897" s="15"/>
      <c r="N897" s="15"/>
      <c r="T897" s="15"/>
      <c r="U897" s="15"/>
    </row>
    <row r="898" spans="12:21" ht="23.35" customHeight="1">
      <c r="L898" s="15"/>
      <c r="M898" s="15"/>
      <c r="N898" s="15"/>
      <c r="T898" s="15"/>
      <c r="U898" s="15"/>
    </row>
    <row r="899" spans="12:21" ht="23.35" customHeight="1">
      <c r="L899" s="15"/>
      <c r="M899" s="15"/>
      <c r="N899" s="15"/>
      <c r="T899" s="15"/>
      <c r="U899" s="15"/>
    </row>
    <row r="900" spans="12:21" ht="23.35" customHeight="1">
      <c r="L900" s="15"/>
      <c r="M900" s="15"/>
      <c r="N900" s="15"/>
      <c r="T900" s="15"/>
      <c r="U900" s="15"/>
    </row>
    <row r="901" spans="12:21" ht="23.35" customHeight="1">
      <c r="L901" s="15"/>
      <c r="M901" s="15"/>
      <c r="N901" s="15"/>
      <c r="T901" s="15"/>
      <c r="U901" s="15"/>
    </row>
    <row r="902" spans="12:21" ht="23.35" customHeight="1">
      <c r="L902" s="15"/>
      <c r="M902" s="15"/>
      <c r="N902" s="15"/>
      <c r="T902" s="15"/>
      <c r="U902" s="15"/>
    </row>
    <row r="903" spans="12:21" ht="23.35" customHeight="1">
      <c r="L903" s="15"/>
      <c r="M903" s="15"/>
      <c r="N903" s="15"/>
      <c r="T903" s="15"/>
      <c r="U903" s="15"/>
    </row>
    <row r="904" spans="12:21" ht="23.35" customHeight="1">
      <c r="L904" s="15"/>
      <c r="M904" s="15"/>
      <c r="N904" s="15"/>
      <c r="T904" s="15"/>
      <c r="U904" s="15"/>
    </row>
    <row r="905" spans="12:21" ht="23.35" customHeight="1">
      <c r="L905" s="15"/>
      <c r="M905" s="15"/>
      <c r="N905" s="15"/>
      <c r="T905" s="15"/>
      <c r="U905" s="15"/>
    </row>
    <row r="906" spans="12:21" ht="23.35" customHeight="1">
      <c r="L906" s="15"/>
      <c r="M906" s="15"/>
      <c r="N906" s="15"/>
      <c r="T906" s="15"/>
      <c r="U906" s="15"/>
    </row>
    <row r="907" spans="12:21" ht="23.35" customHeight="1">
      <c r="L907" s="15"/>
      <c r="M907" s="15"/>
      <c r="N907" s="15"/>
      <c r="T907" s="15"/>
      <c r="U907" s="15"/>
    </row>
    <row r="908" spans="12:21" ht="23.35" customHeight="1">
      <c r="L908" s="15"/>
      <c r="M908" s="15"/>
      <c r="N908" s="15"/>
      <c r="T908" s="15"/>
      <c r="U908" s="15"/>
    </row>
    <row r="909" spans="12:21" ht="23.35" customHeight="1">
      <c r="L909" s="15"/>
      <c r="M909" s="15"/>
      <c r="N909" s="15"/>
      <c r="T909" s="15"/>
      <c r="U909" s="15"/>
    </row>
    <row r="910" spans="12:21" ht="23.35" customHeight="1">
      <c r="L910" s="15"/>
      <c r="M910" s="15"/>
      <c r="N910" s="15"/>
      <c r="T910" s="15"/>
      <c r="U910" s="15"/>
    </row>
    <row r="911" spans="12:21" ht="23.35" customHeight="1">
      <c r="L911" s="15"/>
      <c r="M911" s="15"/>
      <c r="N911" s="15"/>
      <c r="T911" s="15"/>
      <c r="U911" s="15"/>
    </row>
    <row r="912" spans="12:21" ht="23.35" customHeight="1">
      <c r="L912" s="15"/>
      <c r="M912" s="15"/>
      <c r="N912" s="15"/>
      <c r="T912" s="15"/>
      <c r="U912" s="15"/>
    </row>
    <row r="913" spans="12:21" ht="23.35" customHeight="1">
      <c r="L913" s="15"/>
      <c r="M913" s="15"/>
      <c r="N913" s="15"/>
      <c r="T913" s="15"/>
      <c r="U913" s="15"/>
    </row>
    <row r="914" spans="12:21" ht="23.35" customHeight="1">
      <c r="L914" s="15"/>
      <c r="M914" s="15"/>
      <c r="N914" s="15"/>
      <c r="T914" s="15"/>
      <c r="U914" s="15"/>
    </row>
    <row r="915" spans="12:21" ht="23.35" customHeight="1">
      <c r="L915" s="15"/>
      <c r="M915" s="15"/>
      <c r="N915" s="15"/>
      <c r="T915" s="15"/>
      <c r="U915" s="15"/>
    </row>
    <row r="916" spans="12:21" ht="23.35" customHeight="1">
      <c r="L916" s="15"/>
      <c r="M916" s="15"/>
      <c r="N916" s="15"/>
      <c r="T916" s="15"/>
      <c r="U916" s="15"/>
    </row>
    <row r="917" spans="12:21" ht="23.35" customHeight="1">
      <c r="L917" s="15"/>
      <c r="M917" s="15"/>
      <c r="N917" s="15"/>
      <c r="T917" s="15"/>
      <c r="U917" s="15"/>
    </row>
    <row r="918" spans="12:21" ht="23.35" customHeight="1">
      <c r="L918" s="15"/>
      <c r="M918" s="15"/>
      <c r="N918" s="15"/>
      <c r="T918" s="15"/>
      <c r="U918" s="15"/>
    </row>
    <row r="919" spans="12:21" ht="23.35" customHeight="1">
      <c r="L919" s="15"/>
      <c r="M919" s="15"/>
      <c r="N919" s="15"/>
      <c r="T919" s="15"/>
      <c r="U919" s="15"/>
    </row>
    <row r="920" spans="12:21" ht="23.35" customHeight="1">
      <c r="L920" s="15"/>
      <c r="M920" s="15"/>
      <c r="N920" s="15"/>
      <c r="T920" s="15"/>
      <c r="U920" s="15"/>
    </row>
    <row r="921" spans="12:21" ht="23.35" customHeight="1">
      <c r="L921" s="15"/>
      <c r="M921" s="15"/>
      <c r="N921" s="15"/>
      <c r="T921" s="15"/>
      <c r="U921" s="15"/>
    </row>
    <row r="922" spans="12:21" ht="23.35" customHeight="1">
      <c r="L922" s="15"/>
      <c r="M922" s="15"/>
      <c r="N922" s="15"/>
      <c r="T922" s="15"/>
      <c r="U922" s="15"/>
    </row>
    <row r="923" spans="12:21" ht="23.35" customHeight="1">
      <c r="L923" s="15"/>
      <c r="M923" s="15"/>
      <c r="N923" s="15"/>
      <c r="T923" s="15"/>
      <c r="U923" s="15"/>
    </row>
    <row r="924" spans="12:21" ht="23.35" customHeight="1">
      <c r="L924" s="15"/>
      <c r="M924" s="15"/>
      <c r="N924" s="15"/>
      <c r="T924" s="15"/>
      <c r="U924" s="15"/>
    </row>
    <row r="925" spans="12:21" ht="23.35" customHeight="1">
      <c r="L925" s="15"/>
      <c r="M925" s="15"/>
      <c r="N925" s="15"/>
      <c r="T925" s="15"/>
      <c r="U925" s="15"/>
    </row>
    <row r="926" spans="12:21" ht="23.35" customHeight="1">
      <c r="L926" s="15"/>
      <c r="M926" s="15"/>
      <c r="N926" s="15"/>
      <c r="T926" s="15"/>
      <c r="U926" s="15"/>
    </row>
    <row r="927" spans="12:21" ht="23.35" customHeight="1">
      <c r="L927" s="15"/>
      <c r="M927" s="15"/>
      <c r="N927" s="15"/>
      <c r="T927" s="15"/>
      <c r="U927" s="15"/>
    </row>
    <row r="928" spans="12:21" ht="23.35" customHeight="1">
      <c r="L928" s="15"/>
      <c r="M928" s="15"/>
      <c r="N928" s="15"/>
      <c r="T928" s="15"/>
      <c r="U928" s="15"/>
    </row>
    <row r="929" spans="12:21" ht="23.35" customHeight="1">
      <c r="L929" s="15"/>
      <c r="M929" s="15"/>
      <c r="N929" s="15"/>
      <c r="T929" s="15"/>
      <c r="U929" s="15"/>
    </row>
    <row r="930" spans="12:21" ht="23.35" customHeight="1">
      <c r="L930" s="15"/>
      <c r="M930" s="15"/>
      <c r="N930" s="15"/>
      <c r="T930" s="15"/>
      <c r="U930" s="15"/>
    </row>
    <row r="931" spans="12:21" ht="23.35" customHeight="1">
      <c r="L931" s="15"/>
      <c r="M931" s="15"/>
      <c r="N931" s="15"/>
      <c r="T931" s="15"/>
      <c r="U931" s="15"/>
    </row>
    <row r="932" spans="12:21" ht="23.35" customHeight="1">
      <c r="L932" s="15"/>
      <c r="M932" s="15"/>
      <c r="N932" s="15"/>
      <c r="T932" s="15"/>
      <c r="U932" s="15"/>
    </row>
    <row r="933" spans="12:21" ht="23.35" customHeight="1">
      <c r="L933" s="15"/>
      <c r="M933" s="15"/>
      <c r="N933" s="15"/>
      <c r="T933" s="15"/>
      <c r="U933" s="15"/>
    </row>
    <row r="934" spans="12:21" ht="23.35" customHeight="1">
      <c r="L934" s="15"/>
      <c r="M934" s="15"/>
      <c r="N934" s="15"/>
      <c r="T934" s="15"/>
      <c r="U934" s="15"/>
    </row>
    <row r="935" spans="12:21" ht="23.35" customHeight="1">
      <c r="L935" s="15"/>
      <c r="M935" s="15"/>
      <c r="N935" s="15"/>
      <c r="T935" s="15"/>
      <c r="U935" s="15"/>
    </row>
    <row r="936" spans="12:21" ht="23.35" customHeight="1">
      <c r="L936" s="15"/>
      <c r="M936" s="15"/>
      <c r="N936" s="15"/>
      <c r="T936" s="15"/>
      <c r="U936" s="15"/>
    </row>
    <row r="937" spans="12:21" ht="23.35" customHeight="1">
      <c r="L937" s="15"/>
      <c r="M937" s="15"/>
      <c r="N937" s="15"/>
      <c r="T937" s="15"/>
      <c r="U937" s="15"/>
    </row>
    <row r="938" spans="12:21" ht="23.35" customHeight="1">
      <c r="L938" s="15"/>
      <c r="M938" s="15"/>
      <c r="N938" s="15"/>
      <c r="T938" s="15"/>
      <c r="U938" s="15"/>
    </row>
    <row r="939" spans="12:21" ht="23.35" customHeight="1">
      <c r="L939" s="15"/>
      <c r="M939" s="15"/>
      <c r="N939" s="15"/>
      <c r="T939" s="15"/>
      <c r="U939" s="15"/>
    </row>
    <row r="940" spans="12:21" ht="23.35" customHeight="1">
      <c r="L940" s="15"/>
      <c r="M940" s="15"/>
      <c r="N940" s="15"/>
      <c r="T940" s="15"/>
      <c r="U940" s="15"/>
    </row>
    <row r="941" spans="12:21" ht="23.35" customHeight="1">
      <c r="L941" s="15"/>
      <c r="M941" s="15"/>
      <c r="N941" s="15"/>
      <c r="T941" s="15"/>
      <c r="U941" s="15"/>
    </row>
    <row r="942" spans="12:21" ht="23.35" customHeight="1">
      <c r="L942" s="15"/>
      <c r="M942" s="15"/>
      <c r="N942" s="15"/>
      <c r="T942" s="15"/>
      <c r="U942" s="15"/>
    </row>
    <row r="943" spans="12:21" ht="23.35" customHeight="1">
      <c r="L943" s="15"/>
      <c r="M943" s="15"/>
      <c r="N943" s="15"/>
      <c r="T943" s="15"/>
      <c r="U943" s="15"/>
    </row>
    <row r="944" spans="12:21" ht="23.35" customHeight="1">
      <c r="L944" s="15"/>
      <c r="M944" s="15"/>
      <c r="N944" s="15"/>
      <c r="T944" s="15"/>
      <c r="U944" s="15"/>
    </row>
    <row r="945" spans="12:21" ht="23.35" customHeight="1">
      <c r="L945" s="15"/>
      <c r="M945" s="15"/>
      <c r="N945" s="15"/>
      <c r="T945" s="15"/>
      <c r="U945" s="15"/>
    </row>
    <row r="946" spans="12:21" ht="23.35" customHeight="1">
      <c r="L946" s="15"/>
      <c r="M946" s="15"/>
      <c r="N946" s="15"/>
      <c r="T946" s="15"/>
      <c r="U946" s="15"/>
    </row>
    <row r="947" spans="12:21" ht="23.35" customHeight="1">
      <c r="L947" s="15"/>
      <c r="M947" s="15"/>
      <c r="N947" s="15"/>
      <c r="T947" s="15"/>
      <c r="U947" s="15"/>
    </row>
    <row r="948" spans="12:21" ht="23.35" customHeight="1">
      <c r="L948" s="15"/>
      <c r="M948" s="15"/>
      <c r="N948" s="15"/>
      <c r="T948" s="15"/>
      <c r="U948" s="15"/>
    </row>
    <row r="949" spans="12:21" ht="23.35" customHeight="1">
      <c r="L949" s="15"/>
      <c r="M949" s="15"/>
      <c r="N949" s="15"/>
      <c r="T949" s="15"/>
      <c r="U949" s="15"/>
    </row>
    <row r="950" spans="12:21" ht="23.35" customHeight="1">
      <c r="L950" s="15"/>
      <c r="M950" s="15"/>
      <c r="N950" s="15"/>
      <c r="T950" s="15"/>
      <c r="U950" s="15"/>
    </row>
    <row r="951" spans="12:21" ht="23.35" customHeight="1">
      <c r="L951" s="15"/>
      <c r="M951" s="15"/>
      <c r="N951" s="15"/>
      <c r="T951" s="15"/>
      <c r="U951" s="15"/>
    </row>
    <row r="952" spans="12:21" ht="23.35" customHeight="1">
      <c r="L952" s="15"/>
      <c r="M952" s="15"/>
      <c r="N952" s="15"/>
      <c r="T952" s="15"/>
      <c r="U952" s="15"/>
    </row>
    <row r="953" spans="12:21" ht="23.35" customHeight="1">
      <c r="L953" s="15"/>
      <c r="M953" s="15"/>
      <c r="N953" s="15"/>
      <c r="T953" s="15"/>
      <c r="U953" s="15"/>
    </row>
    <row r="954" spans="12:21" ht="23.35" customHeight="1">
      <c r="L954" s="15"/>
      <c r="M954" s="15"/>
      <c r="N954" s="15"/>
      <c r="T954" s="15"/>
      <c r="U954" s="15"/>
    </row>
    <row r="955" spans="12:21" ht="23.35" customHeight="1">
      <c r="L955" s="15"/>
      <c r="M955" s="15"/>
      <c r="N955" s="15"/>
      <c r="T955" s="15"/>
      <c r="U955" s="15"/>
    </row>
    <row r="956" spans="12:21" ht="23.35" customHeight="1">
      <c r="L956" s="15"/>
      <c r="M956" s="15"/>
      <c r="N956" s="15"/>
      <c r="T956" s="15"/>
      <c r="U956" s="15"/>
    </row>
    <row r="957" spans="12:21" ht="23.35" customHeight="1">
      <c r="L957" s="15"/>
      <c r="M957" s="15"/>
      <c r="N957" s="15"/>
      <c r="T957" s="15"/>
      <c r="U957" s="15"/>
    </row>
    <row r="958" spans="12:21" ht="23.35" customHeight="1">
      <c r="L958" s="15"/>
      <c r="M958" s="15"/>
      <c r="N958" s="15"/>
      <c r="T958" s="15"/>
      <c r="U958" s="15"/>
    </row>
    <row r="959" spans="12:21" ht="23.35" customHeight="1">
      <c r="L959" s="15"/>
      <c r="M959" s="15"/>
      <c r="N959" s="15"/>
      <c r="T959" s="15"/>
      <c r="U959" s="15"/>
    </row>
    <row r="960" spans="12:21" ht="23.35" customHeight="1">
      <c r="L960" s="15"/>
      <c r="M960" s="15"/>
      <c r="N960" s="15"/>
      <c r="T960" s="15"/>
      <c r="U960" s="15"/>
    </row>
    <row r="961" spans="12:21" ht="23.35" customHeight="1">
      <c r="L961" s="15"/>
      <c r="M961" s="15"/>
      <c r="N961" s="15"/>
      <c r="T961" s="15"/>
      <c r="U961" s="15"/>
    </row>
    <row r="962" spans="12:21" ht="23.35" customHeight="1">
      <c r="L962" s="15"/>
      <c r="M962" s="15"/>
      <c r="N962" s="15"/>
      <c r="T962" s="15"/>
      <c r="U962" s="15"/>
    </row>
    <row r="963" spans="12:21" ht="23.35" customHeight="1">
      <c r="L963" s="15"/>
      <c r="M963" s="15"/>
      <c r="N963" s="15"/>
      <c r="T963" s="15"/>
      <c r="U963" s="15"/>
    </row>
    <row r="964" spans="12:21" ht="23.35" customHeight="1">
      <c r="L964" s="15"/>
      <c r="M964" s="15"/>
      <c r="N964" s="15"/>
      <c r="T964" s="15"/>
      <c r="U964" s="15"/>
    </row>
    <row r="965" spans="12:21" ht="23.35" customHeight="1">
      <c r="L965" s="15"/>
      <c r="M965" s="15"/>
      <c r="N965" s="15"/>
      <c r="T965" s="15"/>
      <c r="U965" s="15"/>
    </row>
    <row r="966" spans="12:21" ht="23.35" customHeight="1">
      <c r="L966" s="15"/>
      <c r="M966" s="15"/>
      <c r="N966" s="15"/>
      <c r="T966" s="15"/>
      <c r="U966" s="15"/>
    </row>
    <row r="967" spans="12:21" ht="23.35" customHeight="1">
      <c r="L967" s="15"/>
      <c r="M967" s="15"/>
      <c r="N967" s="15"/>
      <c r="T967" s="15"/>
      <c r="U967" s="15"/>
    </row>
    <row r="968" spans="12:21" ht="23.35" customHeight="1">
      <c r="L968" s="15"/>
      <c r="M968" s="15"/>
      <c r="N968" s="15"/>
      <c r="T968" s="15"/>
      <c r="U968" s="15"/>
    </row>
    <row r="969" spans="12:21" ht="23.35" customHeight="1">
      <c r="L969" s="15"/>
      <c r="M969" s="15"/>
      <c r="N969" s="15"/>
      <c r="T969" s="15"/>
      <c r="U969" s="15"/>
    </row>
    <row r="970" spans="12:21" ht="23.35" customHeight="1">
      <c r="L970" s="15"/>
      <c r="M970" s="15"/>
      <c r="N970" s="15"/>
      <c r="T970" s="15"/>
      <c r="U970" s="15"/>
    </row>
    <row r="971" spans="12:21" ht="23.35" customHeight="1">
      <c r="L971" s="15"/>
      <c r="M971" s="15"/>
      <c r="N971" s="15"/>
      <c r="T971" s="15"/>
      <c r="U971" s="15"/>
    </row>
    <row r="972" spans="12:21" ht="23.35" customHeight="1">
      <c r="L972" s="15"/>
      <c r="M972" s="15"/>
      <c r="N972" s="15"/>
      <c r="T972" s="15"/>
      <c r="U972" s="15"/>
    </row>
    <row r="973" spans="12:21" ht="23.35" customHeight="1">
      <c r="L973" s="15"/>
      <c r="M973" s="15"/>
      <c r="N973" s="15"/>
      <c r="T973" s="15"/>
      <c r="U973" s="15"/>
    </row>
    <row r="974" spans="12:21" ht="23.35" customHeight="1">
      <c r="L974" s="15"/>
      <c r="M974" s="15"/>
      <c r="N974" s="15"/>
      <c r="T974" s="15"/>
      <c r="U974" s="15"/>
    </row>
    <row r="975" spans="12:21" ht="23.35" customHeight="1">
      <c r="L975" s="15"/>
      <c r="M975" s="15"/>
      <c r="N975" s="15"/>
      <c r="T975" s="15"/>
      <c r="U975" s="15"/>
    </row>
    <row r="976" spans="12:21" ht="23.35" customHeight="1">
      <c r="L976" s="15"/>
      <c r="M976" s="15"/>
      <c r="N976" s="15"/>
      <c r="T976" s="15"/>
      <c r="U976" s="15"/>
    </row>
    <row r="977" spans="12:21" ht="23.35" customHeight="1">
      <c r="L977" s="15"/>
      <c r="M977" s="15"/>
      <c r="N977" s="15"/>
      <c r="T977" s="15"/>
      <c r="U977" s="15"/>
    </row>
    <row r="978" spans="12:21" ht="23.35" customHeight="1">
      <c r="L978" s="15"/>
      <c r="M978" s="15"/>
      <c r="N978" s="15"/>
      <c r="T978" s="15"/>
      <c r="U978" s="15"/>
    </row>
    <row r="979" spans="12:21" ht="23.35" customHeight="1">
      <c r="L979" s="15"/>
      <c r="M979" s="15"/>
      <c r="N979" s="15"/>
      <c r="T979" s="15"/>
      <c r="U979" s="15"/>
    </row>
    <row r="980" spans="12:21" ht="23.35" customHeight="1">
      <c r="L980" s="15"/>
      <c r="M980" s="15"/>
      <c r="N980" s="15"/>
      <c r="T980" s="15"/>
      <c r="U980" s="15"/>
    </row>
    <row r="981" spans="12:21" ht="23.35" customHeight="1">
      <c r="L981" s="15"/>
      <c r="M981" s="15"/>
      <c r="N981" s="15"/>
      <c r="T981" s="15"/>
      <c r="U981" s="15"/>
    </row>
    <row r="982" spans="12:21" ht="23.35" customHeight="1">
      <c r="L982" s="15"/>
      <c r="M982" s="15"/>
      <c r="N982" s="15"/>
      <c r="T982" s="15"/>
      <c r="U982" s="15"/>
    </row>
    <row r="983" spans="12:21" ht="23.35" customHeight="1">
      <c r="L983" s="15"/>
      <c r="M983" s="15"/>
      <c r="N983" s="15"/>
      <c r="T983" s="15"/>
      <c r="U983" s="15"/>
    </row>
    <row r="984" spans="12:21" ht="23.35" customHeight="1">
      <c r="L984" s="15"/>
      <c r="M984" s="15"/>
      <c r="N984" s="15"/>
      <c r="T984" s="15"/>
      <c r="U984" s="15"/>
    </row>
    <row r="985" spans="12:21" ht="23.35" customHeight="1">
      <c r="L985" s="15"/>
      <c r="M985" s="15"/>
      <c r="N985" s="15"/>
      <c r="T985" s="15"/>
      <c r="U985" s="15"/>
    </row>
    <row r="986" spans="12:21" ht="23.35" customHeight="1">
      <c r="L986" s="15"/>
      <c r="M986" s="15"/>
      <c r="N986" s="15"/>
      <c r="T986" s="15"/>
      <c r="U986" s="15"/>
    </row>
    <row r="987" spans="12:21" ht="23.35" customHeight="1">
      <c r="L987" s="15"/>
      <c r="M987" s="15"/>
      <c r="N987" s="15"/>
      <c r="T987" s="15"/>
      <c r="U987" s="15"/>
    </row>
    <row r="988" spans="12:21" ht="23.35" customHeight="1">
      <c r="L988" s="15"/>
      <c r="M988" s="15"/>
      <c r="N988" s="15"/>
      <c r="T988" s="15"/>
      <c r="U988" s="15"/>
    </row>
    <row r="989" spans="12:21" ht="23.35" customHeight="1">
      <c r="L989" s="15"/>
      <c r="M989" s="15"/>
      <c r="N989" s="15"/>
      <c r="T989" s="15"/>
      <c r="U989" s="15"/>
    </row>
    <row r="990" spans="12:21" ht="23.35" customHeight="1">
      <c r="L990" s="15"/>
      <c r="M990" s="15"/>
      <c r="N990" s="15"/>
      <c r="T990" s="15"/>
      <c r="U990" s="15"/>
    </row>
    <row r="991" spans="12:21" ht="23.35" customHeight="1">
      <c r="L991" s="15"/>
      <c r="M991" s="15"/>
      <c r="N991" s="15"/>
      <c r="T991" s="15"/>
      <c r="U991" s="15"/>
    </row>
    <row r="992" spans="12:21" ht="23.35" customHeight="1">
      <c r="L992" s="15"/>
      <c r="M992" s="15"/>
      <c r="N992" s="15"/>
      <c r="T992" s="15"/>
      <c r="U992" s="15"/>
    </row>
    <row r="993" spans="12:21" ht="23.35" customHeight="1">
      <c r="L993" s="15"/>
      <c r="M993" s="15"/>
      <c r="N993" s="15"/>
      <c r="T993" s="15"/>
      <c r="U993" s="15"/>
    </row>
    <row r="994" spans="12:21" ht="23.35" customHeight="1">
      <c r="L994" s="15"/>
      <c r="M994" s="15"/>
      <c r="N994" s="15"/>
      <c r="T994" s="15"/>
      <c r="U994" s="15"/>
    </row>
    <row r="995" spans="12:21" ht="23.35" customHeight="1">
      <c r="L995" s="15"/>
      <c r="M995" s="15"/>
      <c r="N995" s="15"/>
      <c r="T995" s="15"/>
      <c r="U995" s="15"/>
    </row>
    <row r="996" spans="12:21" ht="23.35" customHeight="1">
      <c r="L996" s="15"/>
      <c r="M996" s="15"/>
      <c r="N996" s="15"/>
      <c r="T996" s="15"/>
      <c r="U996" s="15"/>
    </row>
    <row r="997" spans="12:21" ht="23.35" customHeight="1">
      <c r="L997" s="15"/>
      <c r="M997" s="15"/>
      <c r="N997" s="15"/>
      <c r="T997" s="15"/>
      <c r="U997" s="15"/>
    </row>
    <row r="998" spans="12:21" ht="23.35" customHeight="1">
      <c r="L998" s="15"/>
      <c r="M998" s="15"/>
      <c r="N998" s="15"/>
      <c r="T998" s="15"/>
      <c r="U998" s="15"/>
    </row>
    <row r="999" spans="12:21" ht="23.35" customHeight="1">
      <c r="L999" s="15"/>
      <c r="M999" s="15"/>
      <c r="N999" s="15"/>
      <c r="T999" s="15"/>
      <c r="U999" s="15"/>
    </row>
    <row r="1000" spans="12:21" ht="23.35" customHeight="1">
      <c r="L1000" s="15"/>
      <c r="M1000" s="15"/>
      <c r="N1000" s="15"/>
      <c r="T1000" s="15"/>
      <c r="U1000" s="15"/>
    </row>
    <row r="1001" spans="12:21" ht="23.35" customHeight="1">
      <c r="L1001" s="15"/>
      <c r="M1001" s="15"/>
      <c r="N1001" s="15"/>
      <c r="T1001" s="15"/>
      <c r="U1001" s="15"/>
    </row>
    <row r="1002" spans="12:21" ht="23.35" customHeight="1">
      <c r="L1002" s="15"/>
      <c r="M1002" s="15"/>
      <c r="N1002" s="15"/>
      <c r="T1002" s="15"/>
      <c r="U1002" s="15"/>
    </row>
    <row r="1003" spans="12:21" ht="23.35" customHeight="1">
      <c r="L1003" s="15"/>
      <c r="M1003" s="15"/>
      <c r="N1003" s="15"/>
      <c r="T1003" s="15"/>
      <c r="U1003" s="15"/>
    </row>
    <row r="1004" spans="12:21" ht="23.35" customHeight="1">
      <c r="L1004" s="15"/>
      <c r="M1004" s="15"/>
      <c r="N1004" s="15"/>
      <c r="T1004" s="15"/>
      <c r="U1004" s="15"/>
    </row>
    <row r="1005" spans="12:21" ht="23.35" customHeight="1">
      <c r="L1005" s="15"/>
      <c r="M1005" s="15"/>
      <c r="N1005" s="15"/>
      <c r="T1005" s="15"/>
      <c r="U1005" s="15"/>
    </row>
    <row r="1006" spans="12:21" ht="23.35" customHeight="1">
      <c r="L1006" s="15"/>
      <c r="M1006" s="15"/>
      <c r="N1006" s="15"/>
      <c r="T1006" s="15"/>
      <c r="U1006" s="15"/>
    </row>
    <row r="1007" spans="12:21" ht="23.35" customHeight="1">
      <c r="L1007" s="15"/>
      <c r="M1007" s="15"/>
      <c r="N1007" s="15"/>
      <c r="T1007" s="15"/>
      <c r="U1007" s="15"/>
    </row>
    <row r="1008" spans="12:21" ht="23.35" customHeight="1">
      <c r="L1008" s="15"/>
      <c r="M1008" s="15"/>
      <c r="N1008" s="15"/>
      <c r="T1008" s="15"/>
      <c r="U1008" s="15"/>
    </row>
    <row r="1009" spans="12:21" ht="23.35" customHeight="1">
      <c r="L1009" s="15"/>
      <c r="M1009" s="15"/>
      <c r="N1009" s="15"/>
      <c r="T1009" s="15"/>
      <c r="U1009" s="15"/>
    </row>
    <row r="1010" spans="12:21" ht="23.35" customHeight="1">
      <c r="L1010" s="15"/>
      <c r="M1010" s="15"/>
      <c r="N1010" s="15"/>
      <c r="T1010" s="15"/>
      <c r="U1010" s="15"/>
    </row>
    <row r="1011" spans="12:21" ht="23.35" customHeight="1">
      <c r="L1011" s="15"/>
      <c r="M1011" s="15"/>
      <c r="N1011" s="15"/>
      <c r="T1011" s="15"/>
      <c r="U1011" s="15"/>
    </row>
    <row r="1012" spans="12:21" ht="23.35" customHeight="1">
      <c r="L1012" s="15"/>
      <c r="M1012" s="15"/>
      <c r="N1012" s="15"/>
      <c r="T1012" s="15"/>
      <c r="U1012" s="15"/>
    </row>
    <row r="1013" spans="12:21" ht="23.35" customHeight="1">
      <c r="L1013" s="15"/>
      <c r="M1013" s="15"/>
      <c r="N1013" s="15"/>
      <c r="T1013" s="15"/>
      <c r="U1013" s="15"/>
    </row>
    <row r="1014" spans="12:21" ht="23.35" customHeight="1">
      <c r="L1014" s="15"/>
      <c r="M1014" s="15"/>
      <c r="N1014" s="15"/>
      <c r="T1014" s="15"/>
      <c r="U1014" s="15"/>
    </row>
    <row r="1015" spans="12:21" ht="23.35" customHeight="1">
      <c r="L1015" s="15"/>
      <c r="M1015" s="15"/>
      <c r="N1015" s="15"/>
      <c r="T1015" s="15"/>
      <c r="U1015" s="15"/>
    </row>
    <row r="1016" spans="12:21" ht="23.35" customHeight="1">
      <c r="L1016" s="15"/>
      <c r="M1016" s="15"/>
      <c r="N1016" s="15"/>
      <c r="T1016" s="15"/>
      <c r="U1016" s="15"/>
    </row>
    <row r="1017" spans="12:21" ht="23.35" customHeight="1">
      <c r="L1017" s="15"/>
      <c r="M1017" s="15"/>
      <c r="N1017" s="15"/>
      <c r="T1017" s="15"/>
      <c r="U1017" s="15"/>
    </row>
    <row r="1018" spans="12:21" ht="23.35" customHeight="1">
      <c r="L1018" s="15"/>
      <c r="M1018" s="15"/>
      <c r="N1018" s="15"/>
      <c r="T1018" s="15"/>
      <c r="U1018" s="15"/>
    </row>
    <row r="1019" spans="12:21" ht="23.35" customHeight="1">
      <c r="L1019" s="15"/>
      <c r="M1019" s="15"/>
      <c r="N1019" s="15"/>
      <c r="T1019" s="15"/>
      <c r="U1019" s="15"/>
    </row>
    <row r="1020" spans="12:21" ht="23.35" customHeight="1">
      <c r="L1020" s="15"/>
      <c r="M1020" s="15"/>
      <c r="N1020" s="15"/>
      <c r="T1020" s="15"/>
      <c r="U1020" s="15"/>
    </row>
    <row r="1021" spans="12:21" ht="23.35" customHeight="1">
      <c r="L1021" s="15"/>
      <c r="M1021" s="15"/>
      <c r="N1021" s="15"/>
      <c r="T1021" s="15"/>
      <c r="U1021" s="15"/>
    </row>
    <row r="1022" spans="12:21" ht="23.35" customHeight="1">
      <c r="L1022" s="15"/>
      <c r="M1022" s="15"/>
      <c r="N1022" s="15"/>
      <c r="T1022" s="15"/>
      <c r="U1022" s="15"/>
    </row>
    <row r="1023" spans="12:21" ht="23.35" customHeight="1">
      <c r="L1023" s="15"/>
      <c r="M1023" s="15"/>
      <c r="N1023" s="15"/>
      <c r="T1023" s="15"/>
      <c r="U1023" s="15"/>
    </row>
    <row r="1024" spans="12:21" ht="23.35" customHeight="1">
      <c r="L1024" s="15"/>
      <c r="M1024" s="15"/>
      <c r="N1024" s="15"/>
      <c r="T1024" s="15"/>
      <c r="U1024" s="15"/>
    </row>
    <row r="1025" spans="12:21" ht="23.35" customHeight="1">
      <c r="L1025" s="15"/>
      <c r="M1025" s="15"/>
      <c r="N1025" s="15"/>
      <c r="T1025" s="15"/>
      <c r="U1025" s="15"/>
    </row>
    <row r="1026" spans="12:21" ht="23.35" customHeight="1">
      <c r="L1026" s="15"/>
      <c r="M1026" s="15"/>
      <c r="N1026" s="15"/>
      <c r="T1026" s="15"/>
      <c r="U1026" s="15"/>
    </row>
    <row r="1027" spans="12:21" ht="23.35" customHeight="1">
      <c r="L1027" s="15"/>
      <c r="M1027" s="15"/>
      <c r="N1027" s="15"/>
      <c r="T1027" s="15"/>
      <c r="U1027" s="15"/>
    </row>
    <row r="1028" spans="12:21" ht="23.35" customHeight="1">
      <c r="L1028" s="15"/>
      <c r="M1028" s="15"/>
      <c r="N1028" s="15"/>
      <c r="T1028" s="15"/>
      <c r="U1028" s="15"/>
    </row>
    <row r="1029" spans="12:21" ht="23.35" customHeight="1">
      <c r="L1029" s="15"/>
      <c r="M1029" s="15"/>
      <c r="N1029" s="15"/>
      <c r="T1029" s="15"/>
      <c r="U1029" s="15"/>
    </row>
    <row r="1030" spans="12:21" ht="23.35" customHeight="1">
      <c r="L1030" s="15"/>
      <c r="M1030" s="15"/>
      <c r="N1030" s="15"/>
      <c r="T1030" s="15"/>
      <c r="U1030" s="15"/>
    </row>
    <row r="1031" spans="12:21" ht="23.35" customHeight="1">
      <c r="L1031" s="15"/>
      <c r="M1031" s="15"/>
      <c r="N1031" s="15"/>
      <c r="T1031" s="15"/>
      <c r="U1031" s="15"/>
    </row>
    <row r="1032" spans="12:21" ht="23.35" customHeight="1">
      <c r="L1032" s="15"/>
      <c r="M1032" s="15"/>
      <c r="N1032" s="15"/>
      <c r="T1032" s="15"/>
      <c r="U1032" s="15"/>
    </row>
    <row r="1033" spans="12:21" ht="23.35" customHeight="1">
      <c r="L1033" s="15"/>
      <c r="M1033" s="15"/>
      <c r="N1033" s="15"/>
      <c r="T1033" s="15"/>
      <c r="U1033" s="15"/>
    </row>
    <row r="1034" spans="12:21" ht="23.35" customHeight="1">
      <c r="L1034" s="15"/>
      <c r="M1034" s="15"/>
      <c r="N1034" s="15"/>
      <c r="T1034" s="15"/>
      <c r="U1034" s="15"/>
    </row>
    <row r="1035" spans="12:21" ht="23.35" customHeight="1">
      <c r="L1035" s="15"/>
      <c r="M1035" s="15"/>
      <c r="N1035" s="15"/>
      <c r="T1035" s="15"/>
      <c r="U1035" s="15"/>
    </row>
    <row r="1036" spans="12:21" ht="23.35" customHeight="1">
      <c r="L1036" s="15"/>
      <c r="M1036" s="15"/>
      <c r="N1036" s="15"/>
      <c r="T1036" s="15"/>
      <c r="U1036" s="15"/>
    </row>
    <row r="1037" spans="12:21" ht="23.35" customHeight="1">
      <c r="L1037" s="15"/>
      <c r="M1037" s="15"/>
      <c r="N1037" s="15"/>
      <c r="T1037" s="15"/>
      <c r="U1037" s="15"/>
    </row>
    <row r="1038" spans="12:21" ht="23.35" customHeight="1">
      <c r="L1038" s="15"/>
      <c r="M1038" s="15"/>
      <c r="N1038" s="15"/>
      <c r="T1038" s="15"/>
      <c r="U1038" s="15"/>
    </row>
    <row r="1039" spans="12:21" ht="23.35" customHeight="1">
      <c r="L1039" s="15"/>
      <c r="M1039" s="15"/>
      <c r="N1039" s="15"/>
      <c r="T1039" s="15"/>
      <c r="U1039" s="15"/>
    </row>
    <row r="1040" spans="12:21" ht="23.35" customHeight="1">
      <c r="L1040" s="15"/>
      <c r="M1040" s="15"/>
      <c r="N1040" s="15"/>
      <c r="T1040" s="15"/>
      <c r="U1040" s="15"/>
    </row>
    <row r="1041" spans="12:21" ht="23.35" customHeight="1">
      <c r="L1041" s="15"/>
      <c r="M1041" s="15"/>
      <c r="N1041" s="15"/>
      <c r="T1041" s="15"/>
      <c r="U1041" s="15"/>
    </row>
    <row r="1042" spans="12:21" ht="23.35" customHeight="1">
      <c r="L1042" s="15"/>
      <c r="M1042" s="15"/>
      <c r="N1042" s="15"/>
      <c r="T1042" s="15"/>
      <c r="U1042" s="15"/>
    </row>
    <row r="1043" spans="12:21" ht="23.35" customHeight="1">
      <c r="L1043" s="15"/>
      <c r="M1043" s="15"/>
      <c r="N1043" s="15"/>
      <c r="T1043" s="15"/>
      <c r="U1043" s="15"/>
    </row>
    <row r="1044" spans="12:21" ht="23.35" customHeight="1">
      <c r="L1044" s="15"/>
      <c r="M1044" s="15"/>
      <c r="N1044" s="15"/>
      <c r="T1044" s="15"/>
      <c r="U1044" s="15"/>
    </row>
    <row r="1045" spans="12:21" ht="23.35" customHeight="1">
      <c r="L1045" s="15"/>
      <c r="M1045" s="15"/>
      <c r="N1045" s="15"/>
      <c r="T1045" s="15"/>
      <c r="U1045" s="15"/>
    </row>
    <row r="1046" spans="12:21" ht="23.35" customHeight="1">
      <c r="L1046" s="15"/>
      <c r="M1046" s="15"/>
      <c r="N1046" s="15"/>
      <c r="T1046" s="15"/>
      <c r="U1046" s="15"/>
    </row>
    <row r="1047" spans="12:21" ht="23.35" customHeight="1">
      <c r="L1047" s="15"/>
      <c r="M1047" s="15"/>
      <c r="N1047" s="15"/>
      <c r="T1047" s="15"/>
      <c r="U1047" s="15"/>
    </row>
    <row r="1048" spans="12:21" ht="23.35" customHeight="1">
      <c r="L1048" s="15"/>
      <c r="M1048" s="15"/>
      <c r="N1048" s="15"/>
      <c r="T1048" s="15"/>
      <c r="U1048" s="15"/>
    </row>
    <row r="1049" spans="12:21" ht="23.35" customHeight="1">
      <c r="L1049" s="15"/>
      <c r="M1049" s="15"/>
      <c r="N1049" s="15"/>
      <c r="T1049" s="15"/>
      <c r="U1049" s="15"/>
    </row>
    <row r="1050" spans="12:21" ht="23.35" customHeight="1">
      <c r="L1050" s="15"/>
      <c r="M1050" s="15"/>
      <c r="N1050" s="15"/>
      <c r="T1050" s="15"/>
      <c r="U1050" s="15"/>
    </row>
    <row r="1051" spans="12:21" ht="23.35" customHeight="1">
      <c r="L1051" s="15"/>
      <c r="M1051" s="15"/>
      <c r="N1051" s="15"/>
      <c r="T1051" s="15"/>
      <c r="U1051" s="15"/>
    </row>
    <row r="1052" spans="12:21" ht="23.35" customHeight="1">
      <c r="L1052" s="15"/>
      <c r="M1052" s="15"/>
      <c r="N1052" s="15"/>
      <c r="T1052" s="15"/>
      <c r="U1052" s="15"/>
    </row>
    <row r="1053" spans="12:21" ht="23.35" customHeight="1">
      <c r="L1053" s="15"/>
      <c r="M1053" s="15"/>
      <c r="N1053" s="15"/>
      <c r="T1053" s="15"/>
      <c r="U1053" s="15"/>
    </row>
    <row r="1054" spans="12:21" ht="23.35" customHeight="1">
      <c r="L1054" s="15"/>
      <c r="M1054" s="15"/>
      <c r="N1054" s="15"/>
      <c r="T1054" s="15"/>
      <c r="U1054" s="15"/>
    </row>
    <row r="1055" spans="12:21" ht="23.35" customHeight="1">
      <c r="L1055" s="15"/>
      <c r="M1055" s="15"/>
      <c r="N1055" s="15"/>
      <c r="T1055" s="15"/>
      <c r="U1055" s="15"/>
    </row>
    <row r="1056" spans="12:21" ht="23.35" customHeight="1">
      <c r="L1056" s="15"/>
      <c r="M1056" s="15"/>
      <c r="N1056" s="15"/>
      <c r="T1056" s="15"/>
      <c r="U1056" s="15"/>
    </row>
    <row r="1057" spans="12:21" ht="23.35" customHeight="1">
      <c r="L1057" s="15"/>
      <c r="M1057" s="15"/>
      <c r="N1057" s="15"/>
      <c r="T1057" s="15"/>
      <c r="U1057" s="15"/>
    </row>
    <row r="1058" spans="12:21" ht="23.35" customHeight="1">
      <c r="L1058" s="15"/>
      <c r="M1058" s="15"/>
      <c r="N1058" s="15"/>
      <c r="T1058" s="15"/>
      <c r="U1058" s="15"/>
    </row>
    <row r="1059" spans="12:21" ht="23.35" customHeight="1">
      <c r="L1059" s="15"/>
      <c r="M1059" s="15"/>
      <c r="N1059" s="15"/>
      <c r="T1059" s="15"/>
      <c r="U1059" s="15"/>
    </row>
    <row r="1060" spans="12:21" ht="23.35" customHeight="1">
      <c r="L1060" s="15"/>
      <c r="M1060" s="15"/>
      <c r="N1060" s="15"/>
      <c r="T1060" s="15"/>
      <c r="U1060" s="15"/>
    </row>
    <row r="1061" spans="12:21" ht="23.35" customHeight="1">
      <c r="L1061" s="15"/>
      <c r="M1061" s="15"/>
      <c r="N1061" s="15"/>
      <c r="T1061" s="15"/>
      <c r="U1061" s="15"/>
    </row>
    <row r="1062" spans="12:21" ht="23.35" customHeight="1">
      <c r="L1062" s="15"/>
      <c r="M1062" s="15"/>
      <c r="N1062" s="15"/>
      <c r="T1062" s="15"/>
      <c r="U1062" s="15"/>
    </row>
    <row r="1063" spans="12:21" ht="23.35" customHeight="1">
      <c r="L1063" s="15"/>
      <c r="M1063" s="15"/>
      <c r="N1063" s="15"/>
      <c r="T1063" s="15"/>
      <c r="U1063" s="15"/>
    </row>
    <row r="1064" spans="12:21" ht="23.35" customHeight="1">
      <c r="L1064" s="15"/>
      <c r="M1064" s="15"/>
      <c r="N1064" s="15"/>
      <c r="T1064" s="15"/>
      <c r="U1064" s="15"/>
    </row>
    <row r="1065" spans="12:21" ht="23.35" customHeight="1">
      <c r="L1065" s="15"/>
      <c r="M1065" s="15"/>
      <c r="N1065" s="15"/>
      <c r="T1065" s="15"/>
      <c r="U1065" s="15"/>
    </row>
    <row r="1066" spans="12:21" ht="23.35" customHeight="1">
      <c r="L1066" s="15"/>
      <c r="M1066" s="15"/>
      <c r="N1066" s="15"/>
      <c r="T1066" s="15"/>
      <c r="U1066" s="15"/>
    </row>
    <row r="1067" spans="12:21" ht="23.35" customHeight="1">
      <c r="L1067" s="15"/>
      <c r="M1067" s="15"/>
      <c r="N1067" s="15"/>
      <c r="T1067" s="15"/>
      <c r="U1067" s="15"/>
    </row>
    <row r="1068" spans="12:21" ht="23.35" customHeight="1">
      <c r="L1068" s="15"/>
      <c r="M1068" s="15"/>
      <c r="N1068" s="15"/>
      <c r="T1068" s="15"/>
      <c r="U1068" s="15"/>
    </row>
    <row r="1069" spans="12:21" ht="23.35" customHeight="1">
      <c r="L1069" s="15"/>
      <c r="M1069" s="15"/>
      <c r="N1069" s="15"/>
      <c r="T1069" s="15"/>
      <c r="U1069" s="15"/>
    </row>
    <row r="1070" spans="12:21" ht="23.35" customHeight="1">
      <c r="L1070" s="15"/>
      <c r="M1070" s="15"/>
      <c r="N1070" s="15"/>
      <c r="T1070" s="15"/>
      <c r="U1070" s="15"/>
    </row>
    <row r="1071" spans="12:21" ht="23.35" customHeight="1">
      <c r="L1071" s="15"/>
      <c r="M1071" s="15"/>
      <c r="N1071" s="15"/>
      <c r="T1071" s="15"/>
      <c r="U1071" s="15"/>
    </row>
    <row r="1072" spans="12:21" ht="23.35" customHeight="1">
      <c r="L1072" s="15"/>
      <c r="M1072" s="15"/>
      <c r="N1072" s="15"/>
      <c r="T1072" s="15"/>
      <c r="U1072" s="15"/>
    </row>
    <row r="1073" spans="12:21" ht="23.35" customHeight="1">
      <c r="L1073" s="15"/>
      <c r="M1073" s="15"/>
      <c r="N1073" s="15"/>
      <c r="T1073" s="15"/>
      <c r="U1073" s="15"/>
    </row>
    <row r="1074" spans="12:21" ht="23.35" customHeight="1">
      <c r="L1074" s="15"/>
      <c r="M1074" s="15"/>
      <c r="N1074" s="15"/>
      <c r="T1074" s="15"/>
      <c r="U1074" s="15"/>
    </row>
    <row r="1075" spans="12:21" ht="23.35" customHeight="1">
      <c r="L1075" s="15"/>
      <c r="M1075" s="15"/>
      <c r="N1075" s="15"/>
      <c r="T1075" s="15"/>
      <c r="U1075" s="15"/>
    </row>
    <row r="1076" spans="12:21" ht="23.35" customHeight="1">
      <c r="L1076" s="15"/>
      <c r="M1076" s="15"/>
      <c r="N1076" s="15"/>
      <c r="T1076" s="15"/>
      <c r="U1076" s="15"/>
    </row>
    <row r="1077" spans="12:21" ht="23.35" customHeight="1">
      <c r="L1077" s="15"/>
      <c r="M1077" s="15"/>
      <c r="N1077" s="15"/>
      <c r="T1077" s="15"/>
      <c r="U1077" s="15"/>
    </row>
    <row r="1078" spans="12:21" ht="23.35" customHeight="1">
      <c r="L1078" s="15"/>
      <c r="M1078" s="15"/>
      <c r="N1078" s="15"/>
      <c r="T1078" s="15"/>
      <c r="U1078" s="15"/>
    </row>
    <row r="1079" spans="12:21" ht="23.35" customHeight="1">
      <c r="L1079" s="15"/>
      <c r="M1079" s="15"/>
      <c r="N1079" s="15"/>
      <c r="T1079" s="15"/>
      <c r="U1079" s="15"/>
    </row>
    <row r="1080" spans="12:21" ht="23.35" customHeight="1">
      <c r="L1080" s="15"/>
      <c r="M1080" s="15"/>
      <c r="N1080" s="15"/>
      <c r="T1080" s="15"/>
      <c r="U1080" s="15"/>
    </row>
    <row r="1081" spans="12:21" ht="23.35" customHeight="1">
      <c r="L1081" s="15"/>
      <c r="M1081" s="15"/>
      <c r="N1081" s="15"/>
      <c r="T1081" s="15"/>
      <c r="U1081" s="15"/>
    </row>
    <row r="1082" spans="12:21" ht="23.35" customHeight="1">
      <c r="L1082" s="15"/>
      <c r="M1082" s="15"/>
      <c r="N1082" s="15"/>
      <c r="T1082" s="15"/>
      <c r="U1082" s="15"/>
    </row>
    <row r="1083" spans="12:21" ht="23.35" customHeight="1">
      <c r="L1083" s="15"/>
      <c r="M1083" s="15"/>
      <c r="N1083" s="15"/>
      <c r="T1083" s="15"/>
      <c r="U1083" s="15"/>
    </row>
    <row r="1084" spans="12:21" ht="23.35" customHeight="1">
      <c r="L1084" s="15"/>
      <c r="M1084" s="15"/>
      <c r="N1084" s="15"/>
      <c r="T1084" s="15"/>
      <c r="U1084" s="15"/>
    </row>
    <row r="1085" spans="12:21" ht="23.35" customHeight="1">
      <c r="L1085" s="15"/>
      <c r="M1085" s="15"/>
      <c r="N1085" s="15"/>
      <c r="T1085" s="15"/>
      <c r="U1085" s="15"/>
    </row>
    <row r="1086" spans="12:21" ht="23.35" customHeight="1">
      <c r="L1086" s="15"/>
      <c r="M1086" s="15"/>
      <c r="N1086" s="15"/>
      <c r="T1086" s="15"/>
      <c r="U1086" s="15"/>
    </row>
    <row r="1087" spans="12:21" ht="23.35" customHeight="1">
      <c r="L1087" s="15"/>
      <c r="M1087" s="15"/>
      <c r="N1087" s="15"/>
      <c r="T1087" s="15"/>
      <c r="U1087" s="15"/>
    </row>
    <row r="1088" spans="12:21" ht="23.35" customHeight="1">
      <c r="L1088" s="15"/>
      <c r="M1088" s="15"/>
      <c r="N1088" s="15"/>
      <c r="T1088" s="15"/>
      <c r="U1088" s="15"/>
    </row>
    <row r="1089" spans="12:21" ht="23.35" customHeight="1">
      <c r="L1089" s="15"/>
      <c r="M1089" s="15"/>
      <c r="N1089" s="15"/>
      <c r="T1089" s="15"/>
      <c r="U1089" s="15"/>
    </row>
    <row r="1090" spans="12:21" ht="23.35" customHeight="1">
      <c r="L1090" s="15"/>
      <c r="M1090" s="15"/>
      <c r="N1090" s="15"/>
      <c r="T1090" s="15"/>
      <c r="U1090" s="15"/>
    </row>
    <row r="1091" spans="12:21" ht="23.35" customHeight="1">
      <c r="L1091" s="15"/>
      <c r="M1091" s="15"/>
      <c r="N1091" s="15"/>
      <c r="T1091" s="15"/>
      <c r="U1091" s="15"/>
    </row>
    <row r="1092" spans="12:21" ht="23.35" customHeight="1">
      <c r="L1092" s="15"/>
      <c r="M1092" s="15"/>
      <c r="N1092" s="15"/>
      <c r="T1092" s="15"/>
      <c r="U1092" s="15"/>
    </row>
    <row r="1093" spans="12:21" ht="23.35" customHeight="1">
      <c r="L1093" s="15"/>
      <c r="M1093" s="15"/>
      <c r="N1093" s="15"/>
      <c r="T1093" s="15"/>
      <c r="U1093" s="15"/>
    </row>
    <row r="1094" spans="12:21" ht="23.35" customHeight="1">
      <c r="L1094" s="15"/>
      <c r="M1094" s="15"/>
      <c r="N1094" s="15"/>
      <c r="T1094" s="15"/>
      <c r="U1094" s="15"/>
    </row>
    <row r="1095" spans="12:21" ht="23.35" customHeight="1">
      <c r="L1095" s="15"/>
      <c r="M1095" s="15"/>
      <c r="N1095" s="15"/>
      <c r="T1095" s="15"/>
      <c r="U1095" s="15"/>
    </row>
    <row r="1096" spans="12:21" ht="23.35" customHeight="1">
      <c r="L1096" s="15"/>
      <c r="M1096" s="15"/>
      <c r="N1096" s="15"/>
      <c r="T1096" s="15"/>
      <c r="U1096" s="15"/>
    </row>
    <row r="1097" spans="12:21" ht="23.35" customHeight="1">
      <c r="L1097" s="15"/>
      <c r="M1097" s="15"/>
      <c r="N1097" s="15"/>
      <c r="T1097" s="15"/>
      <c r="U1097" s="15"/>
    </row>
    <row r="1098" spans="12:21" ht="23.35" customHeight="1">
      <c r="L1098" s="15"/>
      <c r="M1098" s="15"/>
      <c r="N1098" s="15"/>
      <c r="T1098" s="15"/>
      <c r="U1098" s="15"/>
    </row>
    <row r="1099" spans="12:21" ht="23.35" customHeight="1">
      <c r="L1099" s="15"/>
      <c r="M1099" s="15"/>
      <c r="N1099" s="15"/>
      <c r="T1099" s="15"/>
      <c r="U1099" s="15"/>
    </row>
    <row r="1100" spans="12:21" ht="23.35" customHeight="1">
      <c r="L1100" s="15"/>
      <c r="M1100" s="15"/>
      <c r="N1100" s="15"/>
      <c r="T1100" s="15"/>
      <c r="U1100" s="15"/>
    </row>
    <row r="1101" spans="12:21" ht="23.35" customHeight="1">
      <c r="L1101" s="15"/>
      <c r="M1101" s="15"/>
      <c r="N1101" s="15"/>
      <c r="T1101" s="15"/>
      <c r="U1101" s="15"/>
    </row>
    <row r="1102" spans="12:21" ht="23.35" customHeight="1">
      <c r="L1102" s="15"/>
      <c r="M1102" s="15"/>
      <c r="N1102" s="15"/>
      <c r="T1102" s="15"/>
      <c r="U1102" s="15"/>
    </row>
    <row r="1103" spans="12:21" ht="23.35" customHeight="1">
      <c r="L1103" s="15"/>
      <c r="M1103" s="15"/>
      <c r="N1103" s="15"/>
      <c r="T1103" s="15"/>
      <c r="U1103" s="15"/>
    </row>
    <row r="1104" spans="12:21" ht="23.35" customHeight="1">
      <c r="L1104" s="15"/>
      <c r="M1104" s="15"/>
      <c r="N1104" s="15"/>
      <c r="T1104" s="15"/>
      <c r="U1104" s="15"/>
    </row>
    <row r="1105" spans="12:21" ht="23.35" customHeight="1">
      <c r="L1105" s="15"/>
      <c r="M1105" s="15"/>
      <c r="N1105" s="15"/>
      <c r="T1105" s="15"/>
      <c r="U1105" s="15"/>
    </row>
    <row r="1106" spans="12:21" ht="23.35" customHeight="1">
      <c r="L1106" s="15"/>
      <c r="M1106" s="15"/>
      <c r="N1106" s="15"/>
      <c r="T1106" s="15"/>
      <c r="U1106" s="15"/>
    </row>
    <row r="1107" spans="12:21" ht="23.35" customHeight="1">
      <c r="L1107" s="15"/>
      <c r="M1107" s="15"/>
      <c r="N1107" s="15"/>
      <c r="T1107" s="15"/>
      <c r="U1107" s="15"/>
    </row>
    <row r="1108" spans="12:21" ht="23.35" customHeight="1">
      <c r="L1108" s="15"/>
      <c r="M1108" s="15"/>
      <c r="N1108" s="15"/>
      <c r="T1108" s="15"/>
      <c r="U1108" s="15"/>
    </row>
    <row r="1109" spans="12:21" ht="23.35" customHeight="1">
      <c r="L1109" s="15"/>
      <c r="M1109" s="15"/>
      <c r="N1109" s="15"/>
      <c r="T1109" s="15"/>
      <c r="U1109" s="15"/>
    </row>
    <row r="1110" spans="12:21" ht="23.35" customHeight="1">
      <c r="L1110" s="15"/>
      <c r="M1110" s="15"/>
      <c r="N1110" s="15"/>
      <c r="T1110" s="15"/>
      <c r="U1110" s="15"/>
    </row>
    <row r="1111" spans="12:21" ht="23.35" customHeight="1">
      <c r="L1111" s="15"/>
      <c r="M1111" s="15"/>
      <c r="N1111" s="15"/>
      <c r="T1111" s="15"/>
      <c r="U1111" s="15"/>
    </row>
    <row r="1112" spans="12:21" ht="23.35" customHeight="1">
      <c r="L1112" s="15"/>
      <c r="M1112" s="15"/>
      <c r="N1112" s="15"/>
      <c r="T1112" s="15"/>
      <c r="U1112" s="15"/>
    </row>
    <row r="1113" spans="12:21" ht="23.35" customHeight="1">
      <c r="L1113" s="15"/>
      <c r="M1113" s="15"/>
      <c r="N1113" s="15"/>
      <c r="T1113" s="15"/>
      <c r="U1113" s="15"/>
    </row>
    <row r="1114" spans="12:21" ht="23.35" customHeight="1">
      <c r="L1114" s="15"/>
      <c r="M1114" s="15"/>
      <c r="N1114" s="15"/>
      <c r="T1114" s="15"/>
      <c r="U1114" s="15"/>
    </row>
    <row r="1115" spans="12:21" ht="23.35" customHeight="1">
      <c r="L1115" s="15"/>
      <c r="M1115" s="15"/>
      <c r="N1115" s="15"/>
      <c r="T1115" s="15"/>
      <c r="U1115" s="15"/>
    </row>
    <row r="1116" spans="12:21" ht="23.35" customHeight="1">
      <c r="L1116" s="15"/>
      <c r="M1116" s="15"/>
      <c r="N1116" s="15"/>
      <c r="T1116" s="15"/>
      <c r="U1116" s="15"/>
    </row>
    <row r="1117" spans="12:21" ht="23.35" customHeight="1">
      <c r="L1117" s="15"/>
      <c r="M1117" s="15"/>
      <c r="N1117" s="15"/>
      <c r="T1117" s="15"/>
      <c r="U1117" s="15"/>
    </row>
    <row r="1118" spans="12:21" ht="23.35" customHeight="1">
      <c r="L1118" s="15"/>
      <c r="M1118" s="15"/>
      <c r="N1118" s="15"/>
      <c r="T1118" s="15"/>
      <c r="U1118" s="15"/>
    </row>
    <row r="1119" spans="12:21" ht="23.35" customHeight="1">
      <c r="L1119" s="15"/>
      <c r="M1119" s="15"/>
      <c r="N1119" s="15"/>
      <c r="T1119" s="15"/>
      <c r="U1119" s="15"/>
    </row>
    <row r="1120" spans="12:21" ht="23.35" customHeight="1">
      <c r="L1120" s="15"/>
      <c r="M1120" s="15"/>
      <c r="N1120" s="15"/>
      <c r="T1120" s="15"/>
      <c r="U1120" s="15"/>
    </row>
    <row r="1121" spans="12:21" ht="23.35" customHeight="1">
      <c r="L1121" s="15"/>
      <c r="M1121" s="15"/>
      <c r="N1121" s="15"/>
      <c r="T1121" s="15"/>
      <c r="U1121" s="15"/>
    </row>
    <row r="1122" spans="12:21" ht="23.35" customHeight="1">
      <c r="L1122" s="15"/>
      <c r="M1122" s="15"/>
      <c r="N1122" s="15"/>
      <c r="T1122" s="15"/>
      <c r="U1122" s="15"/>
    </row>
    <row r="1123" spans="12:21" ht="23.35" customHeight="1">
      <c r="L1123" s="15"/>
      <c r="M1123" s="15"/>
      <c r="N1123" s="15"/>
      <c r="T1123" s="15"/>
      <c r="U1123" s="15"/>
    </row>
    <row r="1124" spans="12:21" ht="23.35" customHeight="1">
      <c r="L1124" s="15"/>
      <c r="M1124" s="15"/>
      <c r="N1124" s="15"/>
      <c r="T1124" s="15"/>
      <c r="U1124" s="15"/>
    </row>
    <row r="1125" spans="12:21" ht="23.35" customHeight="1">
      <c r="L1125" s="15"/>
      <c r="M1125" s="15"/>
      <c r="N1125" s="15"/>
      <c r="T1125" s="15"/>
      <c r="U1125" s="15"/>
    </row>
    <row r="1126" spans="12:21" ht="23.35" customHeight="1">
      <c r="L1126" s="15"/>
      <c r="M1126" s="15"/>
      <c r="N1126" s="15"/>
      <c r="T1126" s="15"/>
      <c r="U1126" s="15"/>
    </row>
    <row r="1127" spans="12:21" ht="23.35" customHeight="1">
      <c r="L1127" s="15"/>
      <c r="M1127" s="15"/>
      <c r="N1127" s="15"/>
      <c r="T1127" s="15"/>
      <c r="U1127" s="15"/>
    </row>
    <row r="1128" spans="12:21" ht="23.35" customHeight="1">
      <c r="L1128" s="15"/>
      <c r="M1128" s="15"/>
      <c r="N1128" s="15"/>
      <c r="T1128" s="15"/>
      <c r="U1128" s="15"/>
    </row>
    <row r="1129" spans="12:21" ht="23.35" customHeight="1">
      <c r="L1129" s="15"/>
      <c r="M1129" s="15"/>
      <c r="N1129" s="15"/>
      <c r="T1129" s="15"/>
      <c r="U1129" s="15"/>
    </row>
    <row r="1130" spans="12:21" ht="23.35" customHeight="1">
      <c r="L1130" s="15"/>
      <c r="M1130" s="15"/>
      <c r="N1130" s="15"/>
      <c r="T1130" s="15"/>
      <c r="U1130" s="15"/>
    </row>
    <row r="1131" spans="12:21" ht="23.35" customHeight="1">
      <c r="L1131" s="15"/>
      <c r="M1131" s="15"/>
      <c r="N1131" s="15"/>
      <c r="T1131" s="15"/>
      <c r="U1131" s="15"/>
    </row>
    <row r="1132" spans="12:21" ht="23.35" customHeight="1">
      <c r="L1132" s="15"/>
      <c r="M1132" s="15"/>
      <c r="N1132" s="15"/>
      <c r="T1132" s="15"/>
      <c r="U1132" s="15"/>
    </row>
    <row r="1133" spans="12:21" ht="23.35" customHeight="1">
      <c r="L1133" s="15"/>
      <c r="M1133" s="15"/>
      <c r="N1133" s="15"/>
      <c r="T1133" s="15"/>
      <c r="U1133" s="15"/>
    </row>
    <row r="1134" spans="12:21" ht="23.35" customHeight="1">
      <c r="L1134" s="15"/>
      <c r="M1134" s="15"/>
      <c r="N1134" s="15"/>
      <c r="T1134" s="15"/>
      <c r="U1134" s="15"/>
    </row>
    <row r="1135" spans="12:21" ht="23.35" customHeight="1">
      <c r="L1135" s="15"/>
      <c r="M1135" s="15"/>
      <c r="N1135" s="15"/>
      <c r="T1135" s="15"/>
      <c r="U1135" s="15"/>
    </row>
    <row r="1136" spans="12:21" ht="23.35" customHeight="1">
      <c r="L1136" s="15"/>
      <c r="M1136" s="15"/>
      <c r="N1136" s="15"/>
      <c r="T1136" s="15"/>
      <c r="U1136" s="15"/>
    </row>
    <row r="1137" spans="12:21" ht="23.35" customHeight="1">
      <c r="L1137" s="15"/>
      <c r="M1137" s="15"/>
      <c r="N1137" s="15"/>
      <c r="T1137" s="15"/>
      <c r="U1137" s="15"/>
    </row>
    <row r="1138" spans="12:21" ht="23.35" customHeight="1">
      <c r="L1138" s="15"/>
      <c r="M1138" s="15"/>
      <c r="N1138" s="15"/>
      <c r="T1138" s="15"/>
      <c r="U1138" s="15"/>
    </row>
    <row r="1139" spans="12:21" ht="23.35" customHeight="1">
      <c r="L1139" s="15"/>
      <c r="M1139" s="15"/>
      <c r="N1139" s="15"/>
      <c r="T1139" s="15"/>
      <c r="U1139" s="15"/>
    </row>
    <row r="1140" spans="12:21" ht="23.35" customHeight="1">
      <c r="L1140" s="15"/>
      <c r="M1140" s="15"/>
      <c r="N1140" s="15"/>
      <c r="T1140" s="15"/>
      <c r="U1140" s="15"/>
    </row>
    <row r="1141" spans="12:21" ht="23.35" customHeight="1">
      <c r="L1141" s="15"/>
      <c r="M1141" s="15"/>
      <c r="N1141" s="15"/>
      <c r="T1141" s="15"/>
      <c r="U1141" s="15"/>
    </row>
    <row r="1142" spans="12:21" ht="23.35" customHeight="1">
      <c r="L1142" s="15"/>
      <c r="M1142" s="15"/>
      <c r="N1142" s="15"/>
      <c r="T1142" s="15"/>
      <c r="U1142" s="15"/>
    </row>
    <row r="1143" spans="12:21" ht="23.35" customHeight="1">
      <c r="L1143" s="15"/>
      <c r="M1143" s="15"/>
      <c r="N1143" s="15"/>
      <c r="T1143" s="15"/>
      <c r="U1143" s="15"/>
    </row>
    <row r="1144" spans="12:21" ht="23.35" customHeight="1">
      <c r="L1144" s="15"/>
      <c r="M1144" s="15"/>
      <c r="N1144" s="15"/>
      <c r="T1144" s="15"/>
      <c r="U1144" s="15"/>
    </row>
    <row r="1145" spans="12:21" ht="23.35" customHeight="1">
      <c r="L1145" s="15"/>
      <c r="M1145" s="15"/>
      <c r="N1145" s="15"/>
      <c r="T1145" s="15"/>
      <c r="U1145" s="15"/>
    </row>
    <row r="1146" spans="12:21" ht="23.35" customHeight="1">
      <c r="L1146" s="15"/>
      <c r="M1146" s="15"/>
      <c r="N1146" s="15"/>
      <c r="T1146" s="15"/>
      <c r="U1146" s="15"/>
    </row>
    <row r="1147" spans="12:21" ht="23.35" customHeight="1">
      <c r="L1147" s="15"/>
      <c r="M1147" s="15"/>
      <c r="N1147" s="15"/>
      <c r="T1147" s="15"/>
      <c r="U1147" s="15"/>
    </row>
    <row r="1148" spans="12:21" ht="23.35" customHeight="1">
      <c r="L1148" s="15"/>
      <c r="M1148" s="15"/>
      <c r="N1148" s="15"/>
      <c r="T1148" s="15"/>
      <c r="U1148" s="15"/>
    </row>
    <row r="1149" spans="12:21" ht="23.35" customHeight="1">
      <c r="L1149" s="15"/>
      <c r="M1149" s="15"/>
      <c r="N1149" s="15"/>
      <c r="T1149" s="15"/>
      <c r="U1149" s="15"/>
    </row>
    <row r="1150" spans="12:21" ht="23.35" customHeight="1">
      <c r="L1150" s="15"/>
      <c r="M1150" s="15"/>
      <c r="N1150" s="15"/>
      <c r="T1150" s="15"/>
      <c r="U1150" s="15"/>
    </row>
    <row r="1151" spans="12:21" ht="23.35" customHeight="1">
      <c r="L1151" s="15"/>
      <c r="M1151" s="15"/>
      <c r="N1151" s="15"/>
      <c r="T1151" s="15"/>
      <c r="U1151" s="15"/>
    </row>
    <row r="1152" spans="12:21" ht="23.35" customHeight="1">
      <c r="L1152" s="15"/>
      <c r="M1152" s="15"/>
      <c r="N1152" s="15"/>
      <c r="T1152" s="15"/>
      <c r="U1152" s="15"/>
    </row>
    <row r="1153" spans="12:21" ht="23.35" customHeight="1">
      <c r="L1153" s="15"/>
      <c r="M1153" s="15"/>
      <c r="N1153" s="15"/>
      <c r="T1153" s="15"/>
      <c r="U1153" s="15"/>
    </row>
    <row r="1154" spans="12:21" ht="23.35" customHeight="1">
      <c r="L1154" s="15"/>
      <c r="M1154" s="15"/>
      <c r="N1154" s="15"/>
      <c r="T1154" s="15"/>
      <c r="U1154" s="15"/>
    </row>
    <row r="1155" spans="12:21" ht="23.35" customHeight="1">
      <c r="L1155" s="15"/>
      <c r="M1155" s="15"/>
      <c r="N1155" s="15"/>
      <c r="T1155" s="15"/>
      <c r="U1155" s="15"/>
    </row>
    <row r="1156" spans="12:21" ht="23.35" customHeight="1">
      <c r="L1156" s="15"/>
      <c r="M1156" s="15"/>
      <c r="N1156" s="15"/>
      <c r="T1156" s="15"/>
      <c r="U1156" s="15"/>
    </row>
    <row r="1157" spans="12:21" ht="23.35" customHeight="1">
      <c r="L1157" s="15"/>
      <c r="M1157" s="15"/>
      <c r="N1157" s="15"/>
      <c r="T1157" s="15"/>
      <c r="U1157" s="15"/>
    </row>
    <row r="1158" spans="12:21" ht="23.35" customHeight="1">
      <c r="L1158" s="15"/>
      <c r="M1158" s="15"/>
      <c r="N1158" s="15"/>
      <c r="T1158" s="15"/>
      <c r="U1158" s="15"/>
    </row>
    <row r="1159" spans="12:21" ht="23.35" customHeight="1">
      <c r="L1159" s="15"/>
      <c r="M1159" s="15"/>
      <c r="N1159" s="15"/>
      <c r="T1159" s="15"/>
      <c r="U1159" s="15"/>
    </row>
    <row r="1160" spans="12:21" ht="23.35" customHeight="1">
      <c r="L1160" s="15"/>
      <c r="M1160" s="15"/>
      <c r="N1160" s="15"/>
      <c r="T1160" s="15"/>
      <c r="U1160" s="15"/>
    </row>
    <row r="1161" spans="12:21" ht="23.35" customHeight="1">
      <c r="L1161" s="15"/>
      <c r="M1161" s="15"/>
      <c r="N1161" s="15"/>
      <c r="T1161" s="15"/>
      <c r="U1161" s="15"/>
    </row>
    <row r="1162" spans="12:21" ht="23.35" customHeight="1">
      <c r="L1162" s="15"/>
      <c r="M1162" s="15"/>
      <c r="N1162" s="15"/>
      <c r="T1162" s="15"/>
      <c r="U1162" s="15"/>
    </row>
    <row r="1163" spans="12:21" ht="23.35" customHeight="1">
      <c r="L1163" s="15"/>
      <c r="M1163" s="15"/>
      <c r="N1163" s="15"/>
      <c r="T1163" s="15"/>
      <c r="U1163" s="15"/>
    </row>
    <row r="1164" spans="12:21" ht="23.35" customHeight="1">
      <c r="L1164" s="15"/>
      <c r="M1164" s="15"/>
      <c r="N1164" s="15"/>
      <c r="T1164" s="15"/>
      <c r="U1164" s="15"/>
    </row>
    <row r="1165" spans="12:21" ht="23.35" customHeight="1">
      <c r="L1165" s="15"/>
      <c r="M1165" s="15"/>
      <c r="N1165" s="15"/>
      <c r="T1165" s="15"/>
      <c r="U1165" s="15"/>
    </row>
    <row r="1166" spans="12:21" ht="23.35" customHeight="1">
      <c r="L1166" s="15"/>
      <c r="M1166" s="15"/>
      <c r="N1166" s="15"/>
      <c r="T1166" s="15"/>
      <c r="U1166" s="15"/>
    </row>
    <row r="1167" spans="12:21" ht="23.35" customHeight="1">
      <c r="L1167" s="15"/>
      <c r="M1167" s="15"/>
      <c r="N1167" s="15"/>
      <c r="T1167" s="15"/>
      <c r="U1167" s="15"/>
    </row>
    <row r="1168" spans="12:21" ht="23.35" customHeight="1">
      <c r="L1168" s="15"/>
      <c r="M1168" s="15"/>
      <c r="N1168" s="15"/>
      <c r="T1168" s="15"/>
      <c r="U1168" s="15"/>
    </row>
    <row r="1169" spans="12:21" ht="23.35" customHeight="1">
      <c r="L1169" s="15"/>
      <c r="M1169" s="15"/>
      <c r="N1169" s="15"/>
      <c r="T1169" s="15"/>
      <c r="U1169" s="15"/>
    </row>
    <row r="1170" spans="12:21" ht="23.35" customHeight="1">
      <c r="L1170" s="15"/>
      <c r="M1170" s="15"/>
      <c r="N1170" s="15"/>
      <c r="T1170" s="15"/>
      <c r="U1170" s="15"/>
    </row>
    <row r="1171" spans="12:21" ht="23.35" customHeight="1">
      <c r="L1171" s="15"/>
      <c r="M1171" s="15"/>
      <c r="N1171" s="15"/>
      <c r="T1171" s="15"/>
      <c r="U1171" s="15"/>
    </row>
    <row r="1172" spans="12:21" ht="23.35" customHeight="1">
      <c r="L1172" s="15"/>
      <c r="M1172" s="15"/>
      <c r="N1172" s="15"/>
      <c r="T1172" s="15"/>
      <c r="U1172" s="15"/>
    </row>
    <row r="1173" spans="12:21" ht="23.35" customHeight="1">
      <c r="L1173" s="15"/>
      <c r="M1173" s="15"/>
      <c r="N1173" s="15"/>
      <c r="T1173" s="15"/>
      <c r="U1173" s="15"/>
    </row>
    <row r="1174" spans="12:21" ht="23.35" customHeight="1">
      <c r="L1174" s="15"/>
      <c r="M1174" s="15"/>
      <c r="N1174" s="15"/>
      <c r="T1174" s="15"/>
      <c r="U1174" s="15"/>
    </row>
    <row r="1175" spans="12:21" ht="23.35" customHeight="1">
      <c r="L1175" s="15"/>
      <c r="M1175" s="15"/>
      <c r="N1175" s="15"/>
      <c r="T1175" s="15"/>
      <c r="U1175" s="15"/>
    </row>
    <row r="1176" spans="12:21" ht="23.35" customHeight="1">
      <c r="L1176" s="15"/>
      <c r="M1176" s="15"/>
      <c r="N1176" s="15"/>
      <c r="T1176" s="15"/>
      <c r="U1176" s="15"/>
    </row>
    <row r="1177" spans="12:21" ht="23.35" customHeight="1">
      <c r="L1177" s="15"/>
      <c r="M1177" s="15"/>
      <c r="N1177" s="15"/>
      <c r="T1177" s="15"/>
      <c r="U1177" s="15"/>
    </row>
    <row r="1178" spans="12:21" ht="23.35" customHeight="1">
      <c r="L1178" s="15"/>
      <c r="M1178" s="15"/>
      <c r="N1178" s="15"/>
      <c r="T1178" s="15"/>
      <c r="U1178" s="15"/>
    </row>
    <row r="1179" spans="12:21" ht="23.35" customHeight="1">
      <c r="L1179" s="15"/>
      <c r="M1179" s="15"/>
      <c r="N1179" s="15"/>
      <c r="T1179" s="15"/>
      <c r="U1179" s="15"/>
    </row>
    <row r="1180" spans="12:21" ht="23.35" customHeight="1">
      <c r="L1180" s="15"/>
      <c r="M1180" s="15"/>
      <c r="N1180" s="15"/>
      <c r="T1180" s="15"/>
      <c r="U1180" s="15"/>
    </row>
    <row r="1181" spans="12:21" ht="23.35" customHeight="1">
      <c r="L1181" s="15"/>
      <c r="M1181" s="15"/>
      <c r="N1181" s="15"/>
      <c r="T1181" s="15"/>
      <c r="U1181" s="15"/>
    </row>
    <row r="1182" spans="12:21" ht="23.35" customHeight="1">
      <c r="L1182" s="15"/>
      <c r="M1182" s="15"/>
      <c r="N1182" s="15"/>
      <c r="T1182" s="15"/>
      <c r="U1182" s="15"/>
    </row>
    <row r="1183" spans="12:21" ht="23.35" customHeight="1">
      <c r="L1183" s="15"/>
      <c r="M1183" s="15"/>
      <c r="N1183" s="15"/>
      <c r="T1183" s="15"/>
      <c r="U1183" s="15"/>
    </row>
    <row r="1184" spans="12:21" ht="23.35" customHeight="1">
      <c r="L1184" s="15"/>
      <c r="M1184" s="15"/>
      <c r="N1184" s="15"/>
      <c r="T1184" s="15"/>
      <c r="U1184" s="15"/>
    </row>
    <row r="1185" spans="12:21" ht="23.35" customHeight="1">
      <c r="L1185" s="15"/>
      <c r="M1185" s="15"/>
      <c r="N1185" s="15"/>
      <c r="T1185" s="15"/>
      <c r="U1185" s="15"/>
    </row>
    <row r="1186" spans="12:21" ht="23.35" customHeight="1">
      <c r="L1186" s="15"/>
      <c r="M1186" s="15"/>
      <c r="N1186" s="15"/>
      <c r="T1186" s="15"/>
      <c r="U1186" s="15"/>
    </row>
    <row r="1187" spans="12:21" ht="23.35" customHeight="1">
      <c r="L1187" s="15"/>
      <c r="M1187" s="15"/>
      <c r="N1187" s="15"/>
      <c r="T1187" s="15"/>
      <c r="U1187" s="15"/>
    </row>
    <row r="1188" spans="12:21" ht="23.35" customHeight="1">
      <c r="L1188" s="15"/>
      <c r="M1188" s="15"/>
      <c r="N1188" s="15"/>
      <c r="T1188" s="15"/>
      <c r="U1188" s="15"/>
    </row>
    <row r="1189" spans="12:21" ht="23.35" customHeight="1">
      <c r="L1189" s="15"/>
      <c r="M1189" s="15"/>
      <c r="N1189" s="15"/>
      <c r="T1189" s="15"/>
      <c r="U1189" s="15"/>
    </row>
    <row r="1190" spans="12:21" ht="23.35" customHeight="1">
      <c r="L1190" s="15"/>
      <c r="M1190" s="15"/>
      <c r="N1190" s="15"/>
      <c r="T1190" s="15"/>
      <c r="U1190" s="15"/>
    </row>
    <row r="1191" spans="12:21" ht="23.35" customHeight="1">
      <c r="L1191" s="15"/>
      <c r="M1191" s="15"/>
      <c r="N1191" s="15"/>
      <c r="T1191" s="15"/>
      <c r="U1191" s="15"/>
    </row>
    <row r="1192" spans="12:21" ht="23.35" customHeight="1">
      <c r="L1192" s="15"/>
      <c r="M1192" s="15"/>
      <c r="N1192" s="15"/>
      <c r="T1192" s="15"/>
      <c r="U1192" s="15"/>
    </row>
    <row r="1193" spans="12:21" ht="23.35" customHeight="1">
      <c r="L1193" s="15"/>
      <c r="M1193" s="15"/>
      <c r="N1193" s="15"/>
      <c r="T1193" s="15"/>
      <c r="U1193" s="15"/>
    </row>
    <row r="1194" spans="12:21" ht="23.35" customHeight="1">
      <c r="L1194" s="15"/>
      <c r="M1194" s="15"/>
      <c r="N1194" s="15"/>
      <c r="T1194" s="15"/>
      <c r="U1194" s="15"/>
    </row>
    <row r="1195" spans="12:21" ht="23.35" customHeight="1">
      <c r="L1195" s="15"/>
      <c r="M1195" s="15"/>
      <c r="N1195" s="15"/>
      <c r="T1195" s="15"/>
      <c r="U1195" s="15"/>
    </row>
    <row r="1196" spans="12:21" ht="23.35" customHeight="1">
      <c r="L1196" s="15"/>
      <c r="M1196" s="15"/>
      <c r="N1196" s="15"/>
      <c r="T1196" s="15"/>
      <c r="U1196" s="15"/>
    </row>
    <row r="1197" spans="12:21" ht="23.35" customHeight="1">
      <c r="L1197" s="15"/>
      <c r="M1197" s="15"/>
      <c r="N1197" s="15"/>
      <c r="T1197" s="15"/>
      <c r="U1197" s="15"/>
    </row>
    <row r="1198" spans="12:21" ht="23.35" customHeight="1">
      <c r="L1198" s="15"/>
      <c r="M1198" s="15"/>
      <c r="N1198" s="15"/>
      <c r="T1198" s="15"/>
      <c r="U1198" s="15"/>
    </row>
    <row r="1199" spans="12:21" ht="23.35" customHeight="1">
      <c r="L1199" s="15"/>
      <c r="M1199" s="15"/>
      <c r="N1199" s="15"/>
      <c r="T1199" s="15"/>
      <c r="U1199" s="15"/>
    </row>
    <row r="1200" spans="12:21" ht="23.35" customHeight="1">
      <c r="L1200" s="15"/>
      <c r="M1200" s="15"/>
      <c r="N1200" s="15"/>
      <c r="T1200" s="15"/>
      <c r="U1200" s="15"/>
    </row>
    <row r="1201" spans="12:21" ht="23.35" customHeight="1">
      <c r="L1201" s="15"/>
      <c r="M1201" s="15"/>
      <c r="N1201" s="15"/>
      <c r="T1201" s="15"/>
      <c r="U1201" s="15"/>
    </row>
    <row r="1202" spans="12:21" ht="23.35" customHeight="1">
      <c r="L1202" s="15"/>
      <c r="M1202" s="15"/>
      <c r="N1202" s="15"/>
      <c r="T1202" s="15"/>
      <c r="U1202" s="15"/>
    </row>
    <row r="1203" spans="12:21" ht="23.35" customHeight="1">
      <c r="L1203" s="15"/>
      <c r="M1203" s="15"/>
      <c r="N1203" s="15"/>
      <c r="T1203" s="15"/>
      <c r="U1203" s="15"/>
    </row>
    <row r="1204" spans="12:21" ht="23.35" customHeight="1">
      <c r="L1204" s="15"/>
      <c r="M1204" s="15"/>
      <c r="N1204" s="15"/>
      <c r="T1204" s="15"/>
      <c r="U1204" s="15"/>
    </row>
    <row r="1205" spans="12:21" ht="23.35" customHeight="1">
      <c r="L1205" s="15"/>
      <c r="M1205" s="15"/>
      <c r="N1205" s="15"/>
      <c r="T1205" s="15"/>
      <c r="U1205" s="15"/>
    </row>
    <row r="1206" spans="12:21" ht="23.35" customHeight="1">
      <c r="L1206" s="15"/>
      <c r="M1206" s="15"/>
      <c r="N1206" s="15"/>
      <c r="T1206" s="15"/>
      <c r="U1206" s="15"/>
    </row>
    <row r="1207" spans="12:21" ht="23.35" customHeight="1">
      <c r="L1207" s="15"/>
      <c r="M1207" s="15"/>
      <c r="N1207" s="15"/>
      <c r="T1207" s="15"/>
      <c r="U1207" s="15"/>
    </row>
    <row r="1208" spans="12:21" ht="23.35" customHeight="1">
      <c r="L1208" s="15"/>
      <c r="M1208" s="15"/>
      <c r="N1208" s="15"/>
      <c r="T1208" s="15"/>
      <c r="U1208" s="15"/>
    </row>
    <row r="1209" spans="12:21" ht="23.35" customHeight="1">
      <c r="L1209" s="15"/>
      <c r="M1209" s="15"/>
      <c r="N1209" s="15"/>
      <c r="T1209" s="15"/>
      <c r="U1209" s="15"/>
    </row>
    <row r="1210" spans="12:21" ht="23.35" customHeight="1">
      <c r="L1210" s="15"/>
      <c r="M1210" s="15"/>
      <c r="N1210" s="15"/>
      <c r="T1210" s="15"/>
      <c r="U1210" s="15"/>
    </row>
    <row r="1211" spans="12:21" ht="23.35" customHeight="1">
      <c r="L1211" s="15"/>
      <c r="M1211" s="15"/>
      <c r="N1211" s="15"/>
      <c r="T1211" s="15"/>
      <c r="U1211" s="15"/>
    </row>
    <row r="1212" spans="12:21" ht="23.35" customHeight="1">
      <c r="L1212" s="15"/>
      <c r="M1212" s="15"/>
      <c r="N1212" s="15"/>
      <c r="T1212" s="15"/>
      <c r="U1212" s="15"/>
    </row>
    <row r="1213" spans="12:21" ht="23.35" customHeight="1">
      <c r="L1213" s="15"/>
      <c r="M1213" s="15"/>
      <c r="N1213" s="15"/>
      <c r="T1213" s="15"/>
      <c r="U1213" s="15"/>
    </row>
    <row r="1214" spans="12:21" ht="23.35" customHeight="1">
      <c r="L1214" s="15"/>
      <c r="M1214" s="15"/>
      <c r="N1214" s="15"/>
      <c r="T1214" s="15"/>
      <c r="U1214" s="15"/>
    </row>
    <row r="1215" spans="12:21" ht="23.35" customHeight="1">
      <c r="L1215" s="15"/>
      <c r="M1215" s="15"/>
      <c r="N1215" s="15"/>
      <c r="T1215" s="15"/>
      <c r="U1215" s="15"/>
    </row>
    <row r="1216" spans="12:21" ht="23.35" customHeight="1">
      <c r="L1216" s="15"/>
      <c r="M1216" s="15"/>
      <c r="N1216" s="15"/>
      <c r="T1216" s="15"/>
      <c r="U1216" s="15"/>
    </row>
    <row r="1217" spans="12:21" ht="23.35" customHeight="1">
      <c r="L1217" s="15"/>
      <c r="M1217" s="15"/>
      <c r="N1217" s="15"/>
      <c r="T1217" s="15"/>
      <c r="U1217" s="15"/>
    </row>
    <row r="1218" spans="12:21" ht="23.35" customHeight="1">
      <c r="L1218" s="15"/>
      <c r="M1218" s="15"/>
      <c r="N1218" s="15"/>
      <c r="T1218" s="15"/>
      <c r="U1218" s="15"/>
    </row>
    <row r="1219" spans="12:21" ht="23.35" customHeight="1">
      <c r="L1219" s="15"/>
      <c r="M1219" s="15"/>
      <c r="N1219" s="15"/>
      <c r="T1219" s="15"/>
      <c r="U1219" s="15"/>
    </row>
    <row r="1220" spans="12:21" ht="23.35" customHeight="1">
      <c r="L1220" s="15"/>
      <c r="M1220" s="15"/>
      <c r="N1220" s="15"/>
      <c r="T1220" s="15"/>
      <c r="U1220" s="15"/>
    </row>
    <row r="1221" spans="12:21" ht="23.35" customHeight="1">
      <c r="L1221" s="15"/>
      <c r="M1221" s="15"/>
      <c r="N1221" s="15"/>
      <c r="T1221" s="15"/>
      <c r="U1221" s="15"/>
    </row>
    <row r="1222" spans="12:21" ht="23.35" customHeight="1">
      <c r="L1222" s="15"/>
      <c r="M1222" s="15"/>
      <c r="N1222" s="15"/>
      <c r="T1222" s="15"/>
      <c r="U1222" s="15"/>
    </row>
    <row r="1223" spans="12:21" ht="23.35" customHeight="1">
      <c r="L1223" s="15"/>
      <c r="M1223" s="15"/>
      <c r="N1223" s="15"/>
      <c r="T1223" s="15"/>
      <c r="U1223" s="15"/>
    </row>
    <row r="1224" spans="12:21" ht="23.35" customHeight="1">
      <c r="L1224" s="15"/>
      <c r="M1224" s="15"/>
      <c r="N1224" s="15"/>
      <c r="T1224" s="15"/>
      <c r="U1224" s="15"/>
    </row>
    <row r="1225" spans="12:21" ht="23.35" customHeight="1">
      <c r="L1225" s="15"/>
      <c r="M1225" s="15"/>
      <c r="N1225" s="15"/>
      <c r="T1225" s="15"/>
      <c r="U1225" s="15"/>
    </row>
    <row r="1226" spans="12:21" ht="23.35" customHeight="1">
      <c r="L1226" s="15"/>
      <c r="M1226" s="15"/>
      <c r="N1226" s="15"/>
      <c r="T1226" s="15"/>
      <c r="U1226" s="15"/>
    </row>
    <row r="1227" spans="12:21" ht="23.35" customHeight="1">
      <c r="L1227" s="15"/>
      <c r="M1227" s="15"/>
      <c r="N1227" s="15"/>
      <c r="T1227" s="15"/>
      <c r="U1227" s="15"/>
    </row>
    <row r="1228" spans="12:21" ht="23.35" customHeight="1">
      <c r="L1228" s="15"/>
      <c r="M1228" s="15"/>
      <c r="N1228" s="15"/>
      <c r="T1228" s="15"/>
      <c r="U1228" s="15"/>
    </row>
    <row r="1229" spans="12:21" ht="23.35" customHeight="1">
      <c r="L1229" s="15"/>
      <c r="M1229" s="15"/>
      <c r="N1229" s="15"/>
      <c r="T1229" s="15"/>
      <c r="U1229" s="15"/>
    </row>
    <row r="1230" spans="12:21" ht="23.35" customHeight="1">
      <c r="L1230" s="15"/>
      <c r="M1230" s="15"/>
      <c r="N1230" s="15"/>
      <c r="T1230" s="15"/>
      <c r="U1230" s="15"/>
    </row>
    <row r="1231" spans="12:21" ht="23.35" customHeight="1">
      <c r="L1231" s="15"/>
      <c r="M1231" s="15"/>
      <c r="N1231" s="15"/>
      <c r="T1231" s="15"/>
      <c r="U1231" s="15"/>
    </row>
    <row r="1232" spans="12:21" ht="23.35" customHeight="1">
      <c r="L1232" s="15"/>
      <c r="M1232" s="15"/>
      <c r="N1232" s="15"/>
      <c r="T1232" s="15"/>
      <c r="U1232" s="15"/>
    </row>
    <row r="1233" spans="12:21" ht="23.35" customHeight="1">
      <c r="L1233" s="15"/>
      <c r="M1233" s="15"/>
      <c r="N1233" s="15"/>
      <c r="T1233" s="15"/>
      <c r="U1233" s="15"/>
    </row>
    <row r="1234" spans="12:21" ht="23.35" customHeight="1">
      <c r="L1234" s="15"/>
      <c r="M1234" s="15"/>
      <c r="N1234" s="15"/>
      <c r="T1234" s="15"/>
      <c r="U1234" s="15"/>
    </row>
    <row r="1235" spans="12:21" ht="23.35" customHeight="1">
      <c r="L1235" s="15"/>
      <c r="M1235" s="15"/>
      <c r="N1235" s="15"/>
      <c r="T1235" s="15"/>
      <c r="U1235" s="15"/>
    </row>
    <row r="1236" spans="12:21" ht="23.35" customHeight="1">
      <c r="L1236" s="15"/>
      <c r="M1236" s="15"/>
      <c r="N1236" s="15"/>
      <c r="T1236" s="15"/>
      <c r="U1236" s="15"/>
    </row>
    <row r="1237" spans="12:21" ht="23.35" customHeight="1">
      <c r="L1237" s="15"/>
      <c r="M1237" s="15"/>
      <c r="N1237" s="15"/>
      <c r="T1237" s="15"/>
      <c r="U1237" s="15"/>
    </row>
    <row r="1238" spans="12:21" ht="23.35" customHeight="1">
      <c r="L1238" s="15"/>
      <c r="M1238" s="15"/>
      <c r="N1238" s="15"/>
      <c r="T1238" s="15"/>
      <c r="U1238" s="15"/>
    </row>
    <row r="1239" spans="12:21" ht="23.35" customHeight="1">
      <c r="L1239" s="15"/>
      <c r="M1239" s="15"/>
      <c r="N1239" s="15"/>
      <c r="T1239" s="15"/>
      <c r="U1239" s="15"/>
    </row>
    <row r="1240" spans="12:21" ht="23.35" customHeight="1">
      <c r="L1240" s="15"/>
      <c r="M1240" s="15"/>
      <c r="N1240" s="15"/>
      <c r="T1240" s="15"/>
      <c r="U1240" s="15"/>
    </row>
    <row r="1241" spans="12:21" ht="23.35" customHeight="1">
      <c r="L1241" s="15"/>
      <c r="M1241" s="15"/>
      <c r="N1241" s="15"/>
      <c r="T1241" s="15"/>
      <c r="U1241" s="15"/>
    </row>
    <row r="1242" spans="12:21" ht="23.35" customHeight="1">
      <c r="L1242" s="15"/>
      <c r="M1242" s="15"/>
      <c r="N1242" s="15"/>
      <c r="T1242" s="15"/>
      <c r="U1242" s="15"/>
    </row>
    <row r="1243" spans="12:21" ht="23.35" customHeight="1">
      <c r="L1243" s="15"/>
      <c r="M1243" s="15"/>
      <c r="N1243" s="15"/>
      <c r="T1243" s="15"/>
      <c r="U1243" s="15"/>
    </row>
    <row r="1244" spans="12:21" ht="23.35" customHeight="1">
      <c r="L1244" s="15"/>
      <c r="M1244" s="15"/>
      <c r="N1244" s="15"/>
      <c r="T1244" s="15"/>
      <c r="U1244" s="15"/>
    </row>
    <row r="1245" spans="12:21" ht="23.35" customHeight="1">
      <c r="L1245" s="15"/>
      <c r="M1245" s="15"/>
      <c r="N1245" s="15"/>
      <c r="T1245" s="15"/>
      <c r="U1245" s="15"/>
    </row>
    <row r="1246" spans="12:21" ht="23.35" customHeight="1">
      <c r="L1246" s="15"/>
      <c r="M1246" s="15"/>
      <c r="N1246" s="15"/>
      <c r="T1246" s="15"/>
      <c r="U1246" s="15"/>
    </row>
    <row r="1247" spans="12:21" ht="23.35" customHeight="1">
      <c r="L1247" s="15"/>
      <c r="M1247" s="15"/>
      <c r="N1247" s="15"/>
      <c r="T1247" s="15"/>
      <c r="U1247" s="15"/>
    </row>
    <row r="1248" spans="12:21" ht="23.35" customHeight="1">
      <c r="L1248" s="15"/>
      <c r="M1248" s="15"/>
      <c r="N1248" s="15"/>
      <c r="T1248" s="15"/>
      <c r="U1248" s="15"/>
    </row>
    <row r="1249" spans="12:21" ht="23.35" customHeight="1">
      <c r="L1249" s="15"/>
      <c r="M1249" s="15"/>
      <c r="N1249" s="15"/>
      <c r="T1249" s="15"/>
      <c r="U1249" s="15"/>
    </row>
    <row r="1250" spans="12:21" ht="23.35" customHeight="1">
      <c r="L1250" s="15"/>
      <c r="M1250" s="15"/>
      <c r="N1250" s="15"/>
      <c r="T1250" s="15"/>
      <c r="U1250" s="15"/>
    </row>
    <row r="1251" spans="12:21" ht="23.35" customHeight="1">
      <c r="L1251" s="15"/>
      <c r="M1251" s="15"/>
      <c r="N1251" s="15"/>
      <c r="T1251" s="15"/>
      <c r="U1251" s="15"/>
    </row>
    <row r="1252" spans="12:21" ht="23.35" customHeight="1">
      <c r="L1252" s="15"/>
      <c r="M1252" s="15"/>
      <c r="N1252" s="15"/>
      <c r="T1252" s="15"/>
      <c r="U1252" s="15"/>
    </row>
    <row r="1253" spans="12:21" ht="23.35" customHeight="1">
      <c r="L1253" s="15"/>
      <c r="M1253" s="15"/>
      <c r="N1253" s="15"/>
      <c r="T1253" s="15"/>
      <c r="U1253" s="15"/>
    </row>
    <row r="1254" spans="12:21" ht="23.35" customHeight="1">
      <c r="L1254" s="15"/>
      <c r="M1254" s="15"/>
      <c r="N1254" s="15"/>
      <c r="T1254" s="15"/>
      <c r="U1254" s="15"/>
    </row>
    <row r="1255" spans="12:21" ht="23.35" customHeight="1">
      <c r="L1255" s="15"/>
      <c r="M1255" s="15"/>
      <c r="N1255" s="15"/>
      <c r="T1255" s="15"/>
      <c r="U1255" s="15"/>
    </row>
    <row r="1256" spans="12:21" ht="23.35" customHeight="1">
      <c r="L1256" s="15"/>
      <c r="M1256" s="15"/>
      <c r="N1256" s="15"/>
      <c r="T1256" s="15"/>
      <c r="U1256" s="15"/>
    </row>
    <row r="1257" spans="12:21" ht="23.35" customHeight="1">
      <c r="L1257" s="15"/>
      <c r="M1257" s="15"/>
      <c r="N1257" s="15"/>
      <c r="T1257" s="15"/>
      <c r="U1257" s="15"/>
    </row>
    <row r="1258" spans="12:21" ht="23.35" customHeight="1">
      <c r="L1258" s="15"/>
      <c r="M1258" s="15"/>
      <c r="N1258" s="15"/>
      <c r="T1258" s="15"/>
      <c r="U1258" s="15"/>
    </row>
    <row r="1259" spans="12:21" ht="23.35" customHeight="1">
      <c r="L1259" s="15"/>
      <c r="M1259" s="15"/>
      <c r="N1259" s="15"/>
      <c r="T1259" s="15"/>
      <c r="U1259" s="15"/>
    </row>
    <row r="1260" spans="12:21" ht="23.35" customHeight="1">
      <c r="L1260" s="15"/>
      <c r="M1260" s="15"/>
      <c r="N1260" s="15"/>
      <c r="T1260" s="15"/>
      <c r="U1260" s="15"/>
    </row>
    <row r="1261" spans="12:21" ht="23.35" customHeight="1">
      <c r="L1261" s="15"/>
      <c r="M1261" s="15"/>
      <c r="N1261" s="15"/>
      <c r="T1261" s="15"/>
      <c r="U1261" s="15"/>
    </row>
    <row r="1262" spans="12:21" ht="23.35" customHeight="1">
      <c r="L1262" s="15"/>
      <c r="M1262" s="15"/>
      <c r="N1262" s="15"/>
      <c r="T1262" s="15"/>
      <c r="U1262" s="15"/>
    </row>
    <row r="1263" spans="12:21" ht="23.35" customHeight="1">
      <c r="L1263" s="15"/>
      <c r="M1263" s="15"/>
      <c r="N1263" s="15"/>
      <c r="T1263" s="15"/>
      <c r="U1263" s="15"/>
    </row>
    <row r="1264" spans="12:21" ht="23.35" customHeight="1">
      <c r="L1264" s="15"/>
      <c r="M1264" s="15"/>
      <c r="N1264" s="15"/>
      <c r="T1264" s="15"/>
      <c r="U1264" s="15"/>
    </row>
    <row r="1265" spans="12:21" ht="23.35" customHeight="1">
      <c r="L1265" s="15"/>
      <c r="M1265" s="15"/>
      <c r="N1265" s="15"/>
      <c r="T1265" s="15"/>
      <c r="U1265" s="15"/>
    </row>
    <row r="1266" spans="12:21" ht="23.35" customHeight="1">
      <c r="L1266" s="15"/>
      <c r="M1266" s="15"/>
      <c r="N1266" s="15"/>
      <c r="T1266" s="15"/>
      <c r="U1266" s="15"/>
    </row>
    <row r="1267" spans="12:21" ht="23.35" customHeight="1">
      <c r="L1267" s="15"/>
      <c r="M1267" s="15"/>
      <c r="N1267" s="15"/>
      <c r="T1267" s="15"/>
      <c r="U1267" s="15"/>
    </row>
    <row r="1268" spans="12:21" ht="23.35" customHeight="1">
      <c r="L1268" s="15"/>
      <c r="M1268" s="15"/>
      <c r="N1268" s="15"/>
      <c r="T1268" s="15"/>
      <c r="U1268" s="15"/>
    </row>
    <row r="1269" spans="12:21" ht="23.35" customHeight="1">
      <c r="L1269" s="15"/>
      <c r="M1269" s="15"/>
      <c r="N1269" s="15"/>
      <c r="T1269" s="15"/>
      <c r="U1269" s="15"/>
    </row>
    <row r="1270" spans="12:21" ht="23.35" customHeight="1">
      <c r="L1270" s="15"/>
      <c r="M1270" s="15"/>
      <c r="N1270" s="15"/>
      <c r="T1270" s="15"/>
      <c r="U1270" s="15"/>
    </row>
    <row r="1271" spans="12:21" ht="23.35" customHeight="1">
      <c r="L1271" s="15"/>
      <c r="M1271" s="15"/>
      <c r="N1271" s="15"/>
      <c r="T1271" s="15"/>
      <c r="U1271" s="15"/>
    </row>
    <row r="1272" spans="12:21" ht="23.35" customHeight="1">
      <c r="L1272" s="15"/>
      <c r="M1272" s="15"/>
      <c r="N1272" s="15"/>
      <c r="T1272" s="15"/>
      <c r="U1272" s="15"/>
    </row>
    <row r="1273" spans="12:21" ht="23.35" customHeight="1">
      <c r="L1273" s="15"/>
      <c r="M1273" s="15"/>
      <c r="N1273" s="15"/>
      <c r="T1273" s="15"/>
      <c r="U1273" s="15"/>
    </row>
    <row r="1274" spans="12:21" ht="23.35" customHeight="1">
      <c r="L1274" s="15"/>
      <c r="M1274" s="15"/>
      <c r="N1274" s="15"/>
      <c r="T1274" s="15"/>
      <c r="U1274" s="15"/>
    </row>
    <row r="1275" spans="12:21" ht="23.35" customHeight="1">
      <c r="L1275" s="15"/>
      <c r="M1275" s="15"/>
      <c r="N1275" s="15"/>
      <c r="T1275" s="15"/>
      <c r="U1275" s="15"/>
    </row>
    <row r="1276" spans="12:21" ht="23.35" customHeight="1">
      <c r="L1276" s="15"/>
      <c r="M1276" s="15"/>
      <c r="N1276" s="15"/>
      <c r="T1276" s="15"/>
      <c r="U1276" s="15"/>
    </row>
    <row r="1277" spans="12:21" ht="23.35" customHeight="1">
      <c r="L1277" s="15"/>
      <c r="M1277" s="15"/>
      <c r="N1277" s="15"/>
      <c r="T1277" s="15"/>
      <c r="U1277" s="15"/>
    </row>
    <row r="1278" spans="12:21" ht="23.35" customHeight="1">
      <c r="L1278" s="15"/>
      <c r="M1278" s="15"/>
      <c r="N1278" s="15"/>
      <c r="T1278" s="15"/>
      <c r="U1278" s="15"/>
    </row>
    <row r="1279" spans="12:21" ht="23.35" customHeight="1">
      <c r="L1279" s="15"/>
      <c r="M1279" s="15"/>
      <c r="N1279" s="15"/>
      <c r="T1279" s="15"/>
      <c r="U1279" s="15"/>
    </row>
    <row r="1280" spans="12:21" ht="23.35" customHeight="1">
      <c r="L1280" s="15"/>
      <c r="M1280" s="15"/>
      <c r="N1280" s="15"/>
      <c r="T1280" s="15"/>
      <c r="U1280" s="15"/>
    </row>
    <row r="1281" spans="12:21" ht="23.35" customHeight="1">
      <c r="L1281" s="15"/>
      <c r="M1281" s="15"/>
      <c r="N1281" s="15"/>
      <c r="T1281" s="15"/>
      <c r="U1281" s="15"/>
    </row>
    <row r="1282" spans="12:21" ht="23.35" customHeight="1">
      <c r="L1282" s="15"/>
      <c r="M1282" s="15"/>
      <c r="N1282" s="15"/>
      <c r="T1282" s="15"/>
      <c r="U1282" s="15"/>
    </row>
    <row r="1283" spans="12:21" ht="23.35" customHeight="1">
      <c r="L1283" s="15"/>
      <c r="M1283" s="15"/>
      <c r="N1283" s="15"/>
      <c r="T1283" s="15"/>
      <c r="U1283" s="15"/>
    </row>
    <row r="1284" spans="12:21" ht="23.35" customHeight="1">
      <c r="L1284" s="15"/>
      <c r="M1284" s="15"/>
      <c r="N1284" s="15"/>
      <c r="T1284" s="15"/>
      <c r="U1284" s="15"/>
    </row>
    <row r="1285" spans="12:21" ht="23.35" customHeight="1">
      <c r="L1285" s="15"/>
      <c r="M1285" s="15"/>
      <c r="N1285" s="15"/>
      <c r="T1285" s="15"/>
      <c r="U1285" s="15"/>
    </row>
    <row r="1286" spans="12:21" ht="23.35" customHeight="1">
      <c r="L1286" s="15"/>
      <c r="M1286" s="15"/>
      <c r="N1286" s="15"/>
      <c r="T1286" s="15"/>
      <c r="U1286" s="15"/>
    </row>
    <row r="1287" spans="12:21" ht="23.35" customHeight="1">
      <c r="L1287" s="15"/>
      <c r="M1287" s="15"/>
      <c r="N1287" s="15"/>
      <c r="T1287" s="15"/>
      <c r="U1287" s="15"/>
    </row>
    <row r="1288" spans="12:21" ht="23.35" customHeight="1">
      <c r="L1288" s="15"/>
      <c r="M1288" s="15"/>
      <c r="N1288" s="15"/>
      <c r="T1288" s="15"/>
      <c r="U1288" s="15"/>
    </row>
    <row r="1289" spans="12:21" ht="23.35" customHeight="1">
      <c r="L1289" s="15"/>
      <c r="M1289" s="15"/>
      <c r="N1289" s="15"/>
      <c r="T1289" s="15"/>
      <c r="U1289" s="15"/>
    </row>
    <row r="1290" spans="12:21" ht="23.35" customHeight="1">
      <c r="L1290" s="15"/>
      <c r="M1290" s="15"/>
      <c r="N1290" s="15"/>
      <c r="T1290" s="15"/>
      <c r="U1290" s="15"/>
    </row>
    <row r="1291" spans="12:21" ht="23.35" customHeight="1">
      <c r="L1291" s="15"/>
      <c r="M1291" s="15"/>
      <c r="N1291" s="15"/>
      <c r="T1291" s="15"/>
      <c r="U1291" s="15"/>
    </row>
    <row r="1292" spans="12:21" ht="23.35" customHeight="1">
      <c r="L1292" s="15"/>
      <c r="M1292" s="15"/>
      <c r="N1292" s="15"/>
      <c r="T1292" s="15"/>
      <c r="U1292" s="15"/>
    </row>
    <row r="1293" spans="12:21" ht="23.35" customHeight="1">
      <c r="L1293" s="15"/>
      <c r="M1293" s="15"/>
      <c r="N1293" s="15"/>
      <c r="T1293" s="15"/>
      <c r="U1293" s="15"/>
    </row>
    <row r="1294" spans="12:21" ht="23.35" customHeight="1">
      <c r="L1294" s="15"/>
      <c r="M1294" s="15"/>
      <c r="N1294" s="15"/>
      <c r="T1294" s="15"/>
      <c r="U1294" s="15"/>
    </row>
    <row r="1295" spans="12:21" ht="23.35" customHeight="1">
      <c r="L1295" s="15"/>
      <c r="M1295" s="15"/>
      <c r="N1295" s="15"/>
      <c r="T1295" s="15"/>
      <c r="U1295" s="15"/>
    </row>
    <row r="1296" spans="12:21" ht="23.35" customHeight="1">
      <c r="L1296" s="15"/>
      <c r="M1296" s="15"/>
      <c r="N1296" s="15"/>
      <c r="T1296" s="15"/>
      <c r="U1296" s="15"/>
    </row>
    <row r="1297" spans="12:21" ht="23.35" customHeight="1">
      <c r="L1297" s="15"/>
      <c r="M1297" s="15"/>
      <c r="N1297" s="15"/>
      <c r="T1297" s="15"/>
      <c r="U1297" s="15"/>
    </row>
    <row r="1298" spans="12:21" ht="23.35" customHeight="1">
      <c r="L1298" s="15"/>
      <c r="M1298" s="15"/>
      <c r="N1298" s="15"/>
      <c r="T1298" s="15"/>
      <c r="U1298" s="15"/>
    </row>
    <row r="1299" spans="12:21" ht="23.35" customHeight="1">
      <c r="L1299" s="15"/>
      <c r="M1299" s="15"/>
      <c r="N1299" s="15"/>
      <c r="T1299" s="15"/>
      <c r="U1299" s="15"/>
    </row>
    <row r="1300" spans="12:21" ht="23.35" customHeight="1">
      <c r="L1300" s="15"/>
      <c r="M1300" s="15"/>
      <c r="N1300" s="15"/>
      <c r="T1300" s="15"/>
      <c r="U1300" s="15"/>
    </row>
    <row r="1301" spans="12:21" ht="23.35" customHeight="1">
      <c r="L1301" s="15"/>
      <c r="M1301" s="15"/>
      <c r="N1301" s="15"/>
      <c r="T1301" s="15"/>
      <c r="U1301" s="15"/>
    </row>
    <row r="1302" spans="12:21" ht="23.35" customHeight="1">
      <c r="L1302" s="15"/>
      <c r="M1302" s="15"/>
      <c r="N1302" s="15"/>
      <c r="T1302" s="15"/>
      <c r="U1302" s="15"/>
    </row>
    <row r="1303" spans="12:21" ht="23.35" customHeight="1">
      <c r="L1303" s="15"/>
      <c r="M1303" s="15"/>
      <c r="N1303" s="15"/>
      <c r="T1303" s="15"/>
      <c r="U1303" s="15"/>
    </row>
    <row r="1304" spans="12:21" ht="23.35" customHeight="1">
      <c r="L1304" s="15"/>
      <c r="M1304" s="15"/>
      <c r="N1304" s="15"/>
      <c r="T1304" s="15"/>
      <c r="U1304" s="15"/>
    </row>
    <row r="1305" spans="12:21" ht="23.35" customHeight="1">
      <c r="L1305" s="15"/>
      <c r="M1305" s="15"/>
      <c r="N1305" s="15"/>
      <c r="T1305" s="15"/>
      <c r="U1305" s="15"/>
    </row>
    <row r="1306" spans="12:21" ht="23.35" customHeight="1">
      <c r="L1306" s="15"/>
      <c r="M1306" s="15"/>
      <c r="N1306" s="15"/>
      <c r="T1306" s="15"/>
      <c r="U1306" s="15"/>
    </row>
    <row r="1307" spans="12:21" ht="23.35" customHeight="1">
      <c r="L1307" s="15"/>
      <c r="M1307" s="15"/>
      <c r="N1307" s="15"/>
      <c r="T1307" s="15"/>
      <c r="U1307" s="15"/>
    </row>
    <row r="1308" spans="12:21" ht="23.35" customHeight="1">
      <c r="L1308" s="15"/>
      <c r="M1308" s="15"/>
      <c r="N1308" s="15"/>
      <c r="T1308" s="15"/>
      <c r="U1308" s="15"/>
    </row>
    <row r="1309" spans="12:21" ht="23.35" customHeight="1">
      <c r="L1309" s="15"/>
      <c r="M1309" s="15"/>
      <c r="N1309" s="15"/>
      <c r="T1309" s="15"/>
      <c r="U1309" s="15"/>
    </row>
    <row r="1310" spans="12:21" ht="23.35" customHeight="1">
      <c r="L1310" s="15"/>
      <c r="M1310" s="15"/>
      <c r="N1310" s="15"/>
      <c r="T1310" s="15"/>
      <c r="U1310" s="15"/>
    </row>
    <row r="1311" spans="12:21" ht="23.35" customHeight="1">
      <c r="L1311" s="15"/>
      <c r="M1311" s="15"/>
      <c r="N1311" s="15"/>
      <c r="T1311" s="15"/>
      <c r="U1311" s="15"/>
    </row>
    <row r="1312" spans="12:21" ht="23.35" customHeight="1">
      <c r="L1312" s="15"/>
      <c r="M1312" s="15"/>
      <c r="N1312" s="15"/>
      <c r="T1312" s="15"/>
      <c r="U1312" s="15"/>
    </row>
    <row r="1313" spans="12:21" ht="23.35" customHeight="1">
      <c r="L1313" s="15"/>
      <c r="M1313" s="15"/>
      <c r="N1313" s="15"/>
      <c r="T1313" s="15"/>
      <c r="U1313" s="15"/>
    </row>
    <row r="1314" spans="12:21" ht="23.35" customHeight="1">
      <c r="L1314" s="15"/>
      <c r="M1314" s="15"/>
      <c r="N1314" s="15"/>
      <c r="T1314" s="15"/>
      <c r="U1314" s="15"/>
    </row>
    <row r="1315" spans="12:21" ht="23.35" customHeight="1">
      <c r="L1315" s="15"/>
      <c r="M1315" s="15"/>
      <c r="N1315" s="15"/>
      <c r="T1315" s="15"/>
      <c r="U1315" s="15"/>
    </row>
    <row r="1316" spans="12:21" ht="23.35" customHeight="1">
      <c r="L1316" s="15"/>
      <c r="M1316" s="15"/>
      <c r="N1316" s="15"/>
      <c r="T1316" s="15"/>
      <c r="U1316" s="15"/>
    </row>
    <row r="1317" spans="12:21" ht="23.35" customHeight="1">
      <c r="L1317" s="15"/>
      <c r="M1317" s="15"/>
      <c r="N1317" s="15"/>
      <c r="T1317" s="15"/>
      <c r="U1317" s="15"/>
    </row>
    <row r="1318" spans="12:21" ht="23.35" customHeight="1">
      <c r="L1318" s="15"/>
      <c r="M1318" s="15"/>
      <c r="N1318" s="15"/>
      <c r="T1318" s="15"/>
      <c r="U1318" s="15"/>
    </row>
    <row r="1319" spans="12:21" ht="23.35" customHeight="1">
      <c r="L1319" s="15"/>
      <c r="M1319" s="15"/>
      <c r="N1319" s="15"/>
      <c r="T1319" s="15"/>
      <c r="U1319" s="15"/>
    </row>
    <row r="1320" spans="12:21" ht="23.35" customHeight="1">
      <c r="L1320" s="15"/>
      <c r="M1320" s="15"/>
      <c r="N1320" s="15"/>
      <c r="T1320" s="15"/>
      <c r="U1320" s="15"/>
    </row>
    <row r="1321" spans="12:21" ht="23.35" customHeight="1">
      <c r="L1321" s="15"/>
      <c r="M1321" s="15"/>
      <c r="N1321" s="15"/>
      <c r="T1321" s="15"/>
      <c r="U1321" s="15"/>
    </row>
    <row r="1322" spans="12:21" ht="23.35" customHeight="1">
      <c r="L1322" s="15"/>
      <c r="M1322" s="15"/>
      <c r="N1322" s="15"/>
      <c r="T1322" s="15"/>
      <c r="U1322" s="15"/>
    </row>
    <row r="1323" spans="12:21" ht="23.35" customHeight="1">
      <c r="L1323" s="15"/>
      <c r="M1323" s="15"/>
      <c r="N1323" s="15"/>
      <c r="T1323" s="15"/>
      <c r="U1323" s="15"/>
    </row>
    <row r="1324" spans="12:21" ht="23.35" customHeight="1">
      <c r="L1324" s="15"/>
      <c r="M1324" s="15"/>
      <c r="N1324" s="15"/>
      <c r="T1324" s="15"/>
      <c r="U1324" s="15"/>
    </row>
    <row r="1325" spans="12:21" ht="23.35" customHeight="1">
      <c r="L1325" s="15"/>
      <c r="M1325" s="15"/>
      <c r="N1325" s="15"/>
      <c r="T1325" s="15"/>
      <c r="U1325" s="15"/>
    </row>
    <row r="1326" spans="12:21" ht="23.35" customHeight="1">
      <c r="L1326" s="15"/>
      <c r="M1326" s="15"/>
      <c r="N1326" s="15"/>
      <c r="T1326" s="15"/>
      <c r="U1326" s="15"/>
    </row>
    <row r="1327" spans="12:21" ht="23.35" customHeight="1">
      <c r="L1327" s="15"/>
      <c r="M1327" s="15"/>
      <c r="N1327" s="15"/>
      <c r="T1327" s="15"/>
      <c r="U1327" s="15"/>
    </row>
    <row r="1328" spans="12:21" ht="23.35" customHeight="1">
      <c r="L1328" s="15"/>
      <c r="M1328" s="15"/>
      <c r="N1328" s="15"/>
      <c r="T1328" s="15"/>
      <c r="U1328" s="15"/>
    </row>
    <row r="1329" spans="12:21" ht="23.35" customHeight="1">
      <c r="L1329" s="15"/>
      <c r="M1329" s="15"/>
      <c r="N1329" s="15"/>
      <c r="T1329" s="15"/>
      <c r="U1329" s="15"/>
    </row>
    <row r="1330" spans="12:21" ht="23.35" customHeight="1">
      <c r="L1330" s="15"/>
      <c r="M1330" s="15"/>
      <c r="N1330" s="15"/>
      <c r="T1330" s="15"/>
      <c r="U1330" s="15"/>
    </row>
    <row r="1331" spans="12:21" ht="23.35" customHeight="1">
      <c r="L1331" s="15"/>
      <c r="M1331" s="15"/>
      <c r="N1331" s="15"/>
      <c r="T1331" s="15"/>
      <c r="U1331" s="15"/>
    </row>
    <row r="1332" spans="12:21" ht="23.35" customHeight="1">
      <c r="L1332" s="15"/>
      <c r="M1332" s="15"/>
      <c r="N1332" s="15"/>
      <c r="T1332" s="15"/>
      <c r="U1332" s="15"/>
    </row>
    <row r="1333" spans="12:21" ht="23.35" customHeight="1">
      <c r="L1333" s="15"/>
      <c r="M1333" s="15"/>
      <c r="N1333" s="15"/>
      <c r="T1333" s="15"/>
      <c r="U1333" s="15"/>
    </row>
    <row r="1334" spans="12:21" ht="23.35" customHeight="1">
      <c r="L1334" s="15"/>
      <c r="M1334" s="15"/>
      <c r="N1334" s="15"/>
      <c r="T1334" s="15"/>
      <c r="U1334" s="15"/>
    </row>
    <row r="1335" spans="12:21" ht="23.35" customHeight="1">
      <c r="L1335" s="15"/>
      <c r="M1335" s="15"/>
      <c r="N1335" s="15"/>
      <c r="T1335" s="15"/>
      <c r="U1335" s="15"/>
    </row>
    <row r="1336" spans="12:21" ht="23.35" customHeight="1">
      <c r="L1336" s="15"/>
      <c r="M1336" s="15"/>
      <c r="N1336" s="15"/>
      <c r="T1336" s="15"/>
      <c r="U1336" s="15"/>
    </row>
    <row r="1337" spans="12:21" ht="23.35" customHeight="1">
      <c r="L1337" s="15"/>
      <c r="M1337" s="15"/>
      <c r="N1337" s="15"/>
      <c r="T1337" s="15"/>
      <c r="U1337" s="15"/>
    </row>
    <row r="1338" spans="12:21" ht="23.35" customHeight="1">
      <c r="L1338" s="15"/>
      <c r="M1338" s="15"/>
      <c r="N1338" s="15"/>
      <c r="T1338" s="15"/>
      <c r="U1338" s="15"/>
    </row>
    <row r="1339" spans="12:21" ht="23.35" customHeight="1">
      <c r="L1339" s="15"/>
      <c r="M1339" s="15"/>
      <c r="N1339" s="15"/>
      <c r="T1339" s="15"/>
      <c r="U1339" s="15"/>
    </row>
    <row r="1340" spans="12:21" ht="23.35" customHeight="1">
      <c r="L1340" s="15"/>
      <c r="M1340" s="15"/>
      <c r="N1340" s="15"/>
      <c r="T1340" s="15"/>
      <c r="U1340" s="15"/>
    </row>
    <row r="1341" spans="12:21" ht="23.35" customHeight="1">
      <c r="L1341" s="15"/>
      <c r="M1341" s="15"/>
      <c r="N1341" s="15"/>
      <c r="T1341" s="15"/>
      <c r="U1341" s="15"/>
    </row>
    <row r="1342" spans="12:21" ht="23.35" customHeight="1">
      <c r="L1342" s="15"/>
      <c r="M1342" s="15"/>
      <c r="N1342" s="15"/>
      <c r="T1342" s="15"/>
      <c r="U1342" s="15"/>
    </row>
    <row r="1343" spans="12:21" ht="23.35" customHeight="1">
      <c r="L1343" s="15"/>
      <c r="M1343" s="15"/>
      <c r="N1343" s="15"/>
      <c r="T1343" s="15"/>
      <c r="U1343" s="15"/>
    </row>
    <row r="1344" spans="12:21" ht="23.35" customHeight="1">
      <c r="L1344" s="15"/>
      <c r="M1344" s="15"/>
      <c r="N1344" s="15"/>
      <c r="T1344" s="15"/>
      <c r="U1344" s="15"/>
    </row>
    <row r="1345" spans="12:21" ht="23.35" customHeight="1">
      <c r="L1345" s="15"/>
      <c r="M1345" s="15"/>
      <c r="N1345" s="15"/>
      <c r="T1345" s="15"/>
      <c r="U1345" s="15"/>
    </row>
    <row r="1346" spans="12:21" ht="23.35" customHeight="1">
      <c r="L1346" s="15"/>
      <c r="M1346" s="15"/>
      <c r="N1346" s="15"/>
      <c r="T1346" s="15"/>
      <c r="U1346" s="15"/>
    </row>
    <row r="1347" spans="12:21" ht="23.35" customHeight="1">
      <c r="L1347" s="15"/>
      <c r="M1347" s="15"/>
      <c r="N1347" s="15"/>
      <c r="T1347" s="15"/>
      <c r="U1347" s="15"/>
    </row>
    <row r="1348" spans="12:21" ht="23.35" customHeight="1">
      <c r="L1348" s="15"/>
      <c r="M1348" s="15"/>
      <c r="N1348" s="15"/>
      <c r="T1348" s="15"/>
      <c r="U1348" s="15"/>
    </row>
    <row r="1349" spans="12:21" ht="23.35" customHeight="1">
      <c r="L1349" s="15"/>
      <c r="M1349" s="15"/>
      <c r="N1349" s="15"/>
      <c r="T1349" s="15"/>
      <c r="U1349" s="15"/>
    </row>
    <row r="1350" spans="12:21" ht="23.35" customHeight="1">
      <c r="L1350" s="15"/>
      <c r="M1350" s="15"/>
      <c r="N1350" s="15"/>
      <c r="T1350" s="15"/>
      <c r="U1350" s="15"/>
    </row>
    <row r="1351" spans="12:21" ht="23.35" customHeight="1">
      <c r="L1351" s="15"/>
      <c r="M1351" s="15"/>
      <c r="N1351" s="15"/>
      <c r="T1351" s="15"/>
      <c r="U1351" s="15"/>
    </row>
    <row r="1352" spans="12:21" ht="23.35" customHeight="1">
      <c r="L1352" s="15"/>
      <c r="M1352" s="15"/>
      <c r="N1352" s="15"/>
      <c r="T1352" s="15"/>
      <c r="U1352" s="15"/>
    </row>
    <row r="1353" spans="12:21" ht="23.35" customHeight="1">
      <c r="L1353" s="15"/>
      <c r="M1353" s="15"/>
      <c r="N1353" s="15"/>
      <c r="T1353" s="15"/>
      <c r="U1353" s="15"/>
    </row>
    <row r="1354" spans="12:21" ht="23.35" customHeight="1">
      <c r="L1354" s="15"/>
      <c r="M1354" s="15"/>
      <c r="N1354" s="15"/>
      <c r="T1354" s="15"/>
      <c r="U1354" s="15"/>
    </row>
    <row r="1355" spans="12:21" ht="23.35" customHeight="1">
      <c r="L1355" s="15"/>
      <c r="M1355" s="15"/>
      <c r="N1355" s="15"/>
      <c r="T1355" s="15"/>
      <c r="U1355" s="15"/>
    </row>
    <row r="1356" spans="12:21" ht="23.35" customHeight="1">
      <c r="L1356" s="15"/>
      <c r="M1356" s="15"/>
      <c r="N1356" s="15"/>
      <c r="T1356" s="15"/>
      <c r="U1356" s="15"/>
    </row>
    <row r="1357" spans="12:21" ht="23.35" customHeight="1">
      <c r="L1357" s="15"/>
      <c r="M1357" s="15"/>
      <c r="N1357" s="15"/>
      <c r="T1357" s="15"/>
      <c r="U1357" s="15"/>
    </row>
    <row r="1358" spans="12:21" ht="23.35" customHeight="1">
      <c r="L1358" s="15"/>
      <c r="M1358" s="15"/>
      <c r="N1358" s="15"/>
      <c r="T1358" s="15"/>
      <c r="U1358" s="15"/>
    </row>
    <row r="1359" spans="12:21" ht="23.35" customHeight="1">
      <c r="L1359" s="15"/>
      <c r="M1359" s="15"/>
      <c r="N1359" s="15"/>
      <c r="T1359" s="15"/>
      <c r="U1359" s="15"/>
    </row>
    <row r="1360" spans="12:21" ht="23.35" customHeight="1">
      <c r="L1360" s="15"/>
      <c r="M1360" s="15"/>
      <c r="N1360" s="15"/>
      <c r="T1360" s="15"/>
      <c r="U1360" s="15"/>
    </row>
    <row r="1361" spans="12:21" ht="23.35" customHeight="1">
      <c r="L1361" s="15"/>
      <c r="M1361" s="15"/>
      <c r="N1361" s="15"/>
      <c r="T1361" s="15"/>
      <c r="U1361" s="15"/>
    </row>
    <row r="1362" spans="12:21" ht="23.35" customHeight="1">
      <c r="L1362" s="15"/>
      <c r="M1362" s="15"/>
      <c r="N1362" s="15"/>
      <c r="T1362" s="15"/>
      <c r="U1362" s="15"/>
    </row>
    <row r="1363" spans="12:21" ht="23.35" customHeight="1">
      <c r="L1363" s="15"/>
      <c r="M1363" s="15"/>
      <c r="N1363" s="15"/>
      <c r="T1363" s="15"/>
      <c r="U1363" s="15"/>
    </row>
    <row r="1364" spans="12:21" ht="23.35" customHeight="1">
      <c r="L1364" s="15"/>
      <c r="M1364" s="15"/>
      <c r="N1364" s="15"/>
      <c r="T1364" s="15"/>
      <c r="U1364" s="15"/>
    </row>
    <row r="1365" spans="12:21" ht="23.35" customHeight="1">
      <c r="L1365" s="15"/>
      <c r="M1365" s="15"/>
      <c r="N1365" s="15"/>
      <c r="T1365" s="15"/>
      <c r="U1365" s="15"/>
    </row>
    <row r="1366" spans="12:21" ht="23.35" customHeight="1">
      <c r="L1366" s="15"/>
      <c r="M1366" s="15"/>
      <c r="N1366" s="15"/>
      <c r="T1366" s="15"/>
      <c r="U1366" s="15"/>
    </row>
    <row r="1367" spans="12:21" ht="23.35" customHeight="1">
      <c r="L1367" s="15"/>
      <c r="M1367" s="15"/>
      <c r="N1367" s="15"/>
      <c r="T1367" s="15"/>
      <c r="U1367" s="15"/>
    </row>
    <row r="1368" spans="12:21" ht="23.35" customHeight="1">
      <c r="L1368" s="15"/>
      <c r="M1368" s="15"/>
      <c r="N1368" s="15"/>
      <c r="T1368" s="15"/>
      <c r="U1368" s="15"/>
    </row>
    <row r="1369" spans="12:21" ht="23.35" customHeight="1">
      <c r="L1369" s="15"/>
      <c r="M1369" s="15"/>
      <c r="N1369" s="15"/>
      <c r="T1369" s="15"/>
      <c r="U1369" s="15"/>
    </row>
    <row r="1370" spans="12:21" ht="23.35" customHeight="1">
      <c r="L1370" s="15"/>
      <c r="M1370" s="15"/>
      <c r="N1370" s="15"/>
      <c r="T1370" s="15"/>
      <c r="U1370" s="15"/>
    </row>
    <row r="1371" spans="12:21" ht="23.35" customHeight="1">
      <c r="L1371" s="15"/>
      <c r="M1371" s="15"/>
      <c r="N1371" s="15"/>
      <c r="T1371" s="15"/>
      <c r="U1371" s="15"/>
    </row>
    <row r="1372" spans="12:21" ht="23.35" customHeight="1">
      <c r="L1372" s="15"/>
      <c r="M1372" s="15"/>
      <c r="N1372" s="15"/>
      <c r="T1372" s="15"/>
      <c r="U1372" s="15"/>
    </row>
    <row r="1373" spans="12:21" ht="23.35" customHeight="1">
      <c r="L1373" s="15"/>
      <c r="M1373" s="15"/>
      <c r="N1373" s="15"/>
      <c r="T1373" s="15"/>
      <c r="U1373" s="15"/>
    </row>
    <row r="1374" spans="12:21" ht="23.35" customHeight="1">
      <c r="L1374" s="15"/>
      <c r="M1374" s="15"/>
      <c r="N1374" s="15"/>
      <c r="T1374" s="15"/>
      <c r="U1374" s="15"/>
    </row>
    <row r="1375" spans="12:21" ht="23.35" customHeight="1">
      <c r="L1375" s="15"/>
      <c r="M1375" s="15"/>
      <c r="N1375" s="15"/>
      <c r="T1375" s="15"/>
      <c r="U1375" s="15"/>
    </row>
    <row r="1376" spans="12:21" ht="23.35" customHeight="1">
      <c r="L1376" s="15"/>
      <c r="M1376" s="15"/>
      <c r="N1376" s="15"/>
      <c r="T1376" s="15"/>
      <c r="U1376" s="15"/>
    </row>
    <row r="1377" spans="12:21" ht="23.35" customHeight="1">
      <c r="L1377" s="15"/>
      <c r="M1377" s="15"/>
      <c r="N1377" s="15"/>
      <c r="T1377" s="15"/>
      <c r="U1377" s="15"/>
    </row>
    <row r="1378" spans="12:21" ht="23.35" customHeight="1">
      <c r="L1378" s="15"/>
      <c r="M1378" s="15"/>
      <c r="N1378" s="15"/>
      <c r="T1378" s="15"/>
      <c r="U1378" s="15"/>
    </row>
    <row r="1379" spans="12:21" ht="23.35" customHeight="1">
      <c r="L1379" s="15"/>
      <c r="M1379" s="15"/>
      <c r="N1379" s="15"/>
      <c r="T1379" s="15"/>
      <c r="U1379" s="15"/>
    </row>
    <row r="1380" spans="12:21" ht="23.35" customHeight="1">
      <c r="L1380" s="15"/>
      <c r="M1380" s="15"/>
      <c r="N1380" s="15"/>
      <c r="T1380" s="15"/>
      <c r="U1380" s="15"/>
    </row>
    <row r="1381" spans="12:21" ht="23.35" customHeight="1">
      <c r="L1381" s="15"/>
      <c r="M1381" s="15"/>
      <c r="N1381" s="15"/>
      <c r="T1381" s="15"/>
      <c r="U1381" s="15"/>
    </row>
    <row r="1382" spans="12:21" ht="23.35" customHeight="1">
      <c r="L1382" s="15"/>
      <c r="M1382" s="15"/>
      <c r="N1382" s="15"/>
      <c r="T1382" s="15"/>
      <c r="U1382" s="15"/>
    </row>
    <row r="1383" spans="12:21" ht="23.35" customHeight="1">
      <c r="L1383" s="15"/>
      <c r="M1383" s="15"/>
      <c r="N1383" s="15"/>
      <c r="T1383" s="15"/>
      <c r="U1383" s="15"/>
    </row>
    <row r="1384" spans="12:21" ht="23.35" customHeight="1">
      <c r="L1384" s="15"/>
      <c r="M1384" s="15"/>
      <c r="N1384" s="15"/>
      <c r="T1384" s="15"/>
      <c r="U1384" s="15"/>
    </row>
    <row r="1385" spans="12:21" ht="23.35" customHeight="1">
      <c r="L1385" s="15"/>
      <c r="M1385" s="15"/>
      <c r="N1385" s="15"/>
      <c r="T1385" s="15"/>
      <c r="U1385" s="15"/>
    </row>
    <row r="1386" spans="12:21" ht="23.35" customHeight="1">
      <c r="L1386" s="15"/>
      <c r="M1386" s="15"/>
      <c r="N1386" s="15"/>
      <c r="T1386" s="15"/>
      <c r="U1386" s="15"/>
    </row>
    <row r="1387" spans="12:21" ht="23.35" customHeight="1">
      <c r="L1387" s="15"/>
      <c r="M1387" s="15"/>
      <c r="N1387" s="15"/>
      <c r="T1387" s="15"/>
      <c r="U1387" s="15"/>
    </row>
    <row r="1388" spans="12:21" ht="23.35" customHeight="1">
      <c r="L1388" s="15"/>
      <c r="M1388" s="15"/>
      <c r="N1388" s="15"/>
      <c r="T1388" s="15"/>
      <c r="U1388" s="15"/>
    </row>
    <row r="1389" spans="12:21" ht="23.35" customHeight="1">
      <c r="L1389" s="15"/>
      <c r="M1389" s="15"/>
      <c r="N1389" s="15"/>
      <c r="T1389" s="15"/>
      <c r="U1389" s="15"/>
    </row>
    <row r="1390" spans="12:21" ht="23.35" customHeight="1">
      <c r="L1390" s="15"/>
      <c r="M1390" s="15"/>
      <c r="N1390" s="15"/>
      <c r="T1390" s="15"/>
      <c r="U1390" s="15"/>
    </row>
    <row r="1391" spans="12:21" ht="23.35" customHeight="1">
      <c r="L1391" s="15"/>
      <c r="M1391" s="15"/>
      <c r="N1391" s="15"/>
      <c r="T1391" s="15"/>
      <c r="U1391" s="15"/>
    </row>
    <row r="1392" spans="12:21" ht="23.35" customHeight="1">
      <c r="L1392" s="15"/>
      <c r="M1392" s="15"/>
      <c r="N1392" s="15"/>
      <c r="T1392" s="15"/>
      <c r="U1392" s="15"/>
    </row>
    <row r="1393" spans="12:21" ht="23.35" customHeight="1">
      <c r="L1393" s="15"/>
      <c r="M1393" s="15"/>
      <c r="N1393" s="15"/>
      <c r="T1393" s="15"/>
      <c r="U1393" s="15"/>
    </row>
    <row r="1394" spans="12:21" ht="23.35" customHeight="1">
      <c r="L1394" s="15"/>
      <c r="M1394" s="15"/>
      <c r="N1394" s="15"/>
      <c r="T1394" s="15"/>
      <c r="U1394" s="15"/>
    </row>
    <row r="1395" spans="12:21" ht="23.35" customHeight="1">
      <c r="L1395" s="15"/>
      <c r="M1395" s="15"/>
      <c r="N1395" s="15"/>
      <c r="T1395" s="15"/>
      <c r="U1395" s="15"/>
    </row>
    <row r="1396" spans="12:21" ht="23.35" customHeight="1">
      <c r="L1396" s="15"/>
      <c r="M1396" s="15"/>
      <c r="N1396" s="15"/>
      <c r="T1396" s="15"/>
      <c r="U1396" s="15"/>
    </row>
    <row r="1397" spans="12:21" ht="23.35" customHeight="1">
      <c r="L1397" s="15"/>
      <c r="M1397" s="15"/>
      <c r="N1397" s="15"/>
      <c r="T1397" s="15"/>
      <c r="U1397" s="15"/>
    </row>
    <row r="1398" spans="12:21" ht="23.35" customHeight="1">
      <c r="L1398" s="15"/>
      <c r="M1398" s="15"/>
      <c r="N1398" s="15"/>
      <c r="T1398" s="15"/>
      <c r="U1398" s="15"/>
    </row>
    <row r="1399" spans="12:21" ht="23.35" customHeight="1">
      <c r="L1399" s="15"/>
      <c r="M1399" s="15"/>
      <c r="N1399" s="15"/>
      <c r="T1399" s="15"/>
      <c r="U1399" s="15"/>
    </row>
    <row r="1400" spans="12:21" ht="23.35" customHeight="1">
      <c r="L1400" s="15"/>
      <c r="M1400" s="15"/>
      <c r="N1400" s="15"/>
      <c r="T1400" s="15"/>
      <c r="U1400" s="15"/>
    </row>
    <row r="1401" spans="12:21" ht="23.35" customHeight="1">
      <c r="L1401" s="15"/>
      <c r="M1401" s="15"/>
      <c r="N1401" s="15"/>
      <c r="T1401" s="15"/>
      <c r="U1401" s="15"/>
    </row>
    <row r="1402" spans="12:21" ht="23.35" customHeight="1">
      <c r="L1402" s="15"/>
      <c r="M1402" s="15"/>
      <c r="N1402" s="15"/>
      <c r="T1402" s="15"/>
      <c r="U1402" s="15"/>
    </row>
    <row r="1403" spans="12:21" ht="23.35" customHeight="1">
      <c r="L1403" s="15"/>
      <c r="M1403" s="15"/>
      <c r="N1403" s="15"/>
      <c r="T1403" s="15"/>
      <c r="U1403" s="15"/>
    </row>
    <row r="1404" spans="12:21" ht="23.35" customHeight="1">
      <c r="L1404" s="15"/>
      <c r="M1404" s="15"/>
      <c r="N1404" s="15"/>
      <c r="T1404" s="15"/>
      <c r="U1404" s="15"/>
    </row>
    <row r="1405" spans="12:21" ht="23.35" customHeight="1">
      <c r="L1405" s="15"/>
      <c r="M1405" s="15"/>
      <c r="N1405" s="15"/>
      <c r="T1405" s="15"/>
      <c r="U1405" s="15"/>
    </row>
    <row r="1406" spans="12:21" ht="23.35" customHeight="1">
      <c r="L1406" s="15"/>
      <c r="M1406" s="15"/>
      <c r="N1406" s="15"/>
      <c r="T1406" s="15"/>
      <c r="U1406" s="15"/>
    </row>
    <row r="1407" spans="12:21" ht="23.35" customHeight="1">
      <c r="L1407" s="15"/>
      <c r="M1407" s="15"/>
      <c r="N1407" s="15"/>
      <c r="T1407" s="15"/>
      <c r="U1407" s="15"/>
    </row>
    <row r="1408" spans="12:21" ht="23.35" customHeight="1">
      <c r="L1408" s="15"/>
      <c r="M1408" s="15"/>
      <c r="N1408" s="15"/>
      <c r="T1408" s="15"/>
      <c r="U1408" s="15"/>
    </row>
    <row r="1409" spans="12:21" ht="23.35" customHeight="1">
      <c r="L1409" s="15"/>
      <c r="M1409" s="15"/>
      <c r="N1409" s="15"/>
      <c r="T1409" s="15"/>
      <c r="U1409" s="15"/>
    </row>
    <row r="1410" spans="12:21" ht="23.35" customHeight="1">
      <c r="L1410" s="15"/>
      <c r="M1410" s="15"/>
      <c r="N1410" s="15"/>
      <c r="T1410" s="15"/>
      <c r="U1410" s="15"/>
    </row>
    <row r="1411" spans="12:21" ht="23.35" customHeight="1">
      <c r="L1411" s="15"/>
      <c r="M1411" s="15"/>
      <c r="N1411" s="15"/>
      <c r="T1411" s="15"/>
      <c r="U1411" s="15"/>
    </row>
    <row r="1412" spans="12:21" ht="23.35" customHeight="1">
      <c r="L1412" s="15"/>
      <c r="M1412" s="15"/>
      <c r="N1412" s="15"/>
      <c r="T1412" s="15"/>
      <c r="U1412" s="15"/>
    </row>
    <row r="1413" spans="12:21" ht="23.35" customHeight="1">
      <c r="L1413" s="15"/>
      <c r="M1413" s="15"/>
      <c r="N1413" s="15"/>
      <c r="T1413" s="15"/>
      <c r="U1413" s="15"/>
    </row>
    <row r="1414" spans="12:21" ht="23.35" customHeight="1">
      <c r="L1414" s="15"/>
      <c r="M1414" s="15"/>
      <c r="N1414" s="15"/>
      <c r="T1414" s="15"/>
      <c r="U1414" s="15"/>
    </row>
    <row r="1415" spans="12:21" ht="23.35" customHeight="1">
      <c r="L1415" s="15"/>
      <c r="M1415" s="15"/>
      <c r="N1415" s="15"/>
      <c r="T1415" s="15"/>
      <c r="U1415" s="15"/>
    </row>
    <row r="1416" spans="12:21" ht="23.35" customHeight="1">
      <c r="L1416" s="15"/>
      <c r="M1416" s="15"/>
      <c r="N1416" s="15"/>
      <c r="T1416" s="15"/>
      <c r="U1416" s="15"/>
    </row>
    <row r="1417" spans="12:21" ht="23.35" customHeight="1">
      <c r="L1417" s="15"/>
      <c r="M1417" s="15"/>
      <c r="N1417" s="15"/>
      <c r="T1417" s="15"/>
      <c r="U1417" s="15"/>
    </row>
    <row r="1418" spans="12:21" ht="23.35" customHeight="1">
      <c r="L1418" s="15"/>
      <c r="M1418" s="15"/>
      <c r="N1418" s="15"/>
      <c r="T1418" s="15"/>
      <c r="U1418" s="15"/>
    </row>
    <row r="1419" spans="12:21" ht="23.35" customHeight="1">
      <c r="L1419" s="15"/>
      <c r="M1419" s="15"/>
      <c r="N1419" s="15"/>
      <c r="T1419" s="15"/>
      <c r="U1419" s="15"/>
    </row>
    <row r="1420" spans="12:21" ht="23.35" customHeight="1">
      <c r="L1420" s="15"/>
      <c r="M1420" s="15"/>
      <c r="N1420" s="15"/>
      <c r="T1420" s="15"/>
      <c r="U1420" s="15"/>
    </row>
    <row r="1421" spans="12:21" ht="23.35" customHeight="1">
      <c r="L1421" s="15"/>
      <c r="M1421" s="15"/>
      <c r="N1421" s="15"/>
      <c r="T1421" s="15"/>
      <c r="U1421" s="15"/>
    </row>
    <row r="1422" spans="12:21" ht="23.35" customHeight="1">
      <c r="L1422" s="15"/>
      <c r="M1422" s="15"/>
      <c r="N1422" s="15"/>
      <c r="T1422" s="15"/>
      <c r="U1422" s="15"/>
    </row>
    <row r="1423" spans="12:21" ht="23.35" customHeight="1">
      <c r="L1423" s="15"/>
      <c r="M1423" s="15"/>
      <c r="N1423" s="15"/>
      <c r="T1423" s="15"/>
      <c r="U1423" s="15"/>
    </row>
    <row r="1424" spans="12:21" ht="23.35" customHeight="1">
      <c r="L1424" s="15"/>
      <c r="M1424" s="15"/>
      <c r="N1424" s="15"/>
      <c r="T1424" s="15"/>
      <c r="U1424" s="15"/>
    </row>
    <row r="1425" spans="12:21" ht="23.35" customHeight="1">
      <c r="L1425" s="15"/>
      <c r="M1425" s="15"/>
      <c r="N1425" s="15"/>
      <c r="T1425" s="15"/>
      <c r="U1425" s="15"/>
    </row>
    <row r="1426" spans="12:21" ht="23.35" customHeight="1">
      <c r="L1426" s="15"/>
      <c r="M1426" s="15"/>
      <c r="N1426" s="15"/>
      <c r="T1426" s="15"/>
      <c r="U1426" s="15"/>
    </row>
    <row r="1427" spans="12:21" ht="23.35" customHeight="1">
      <c r="L1427" s="15"/>
      <c r="M1427" s="15"/>
      <c r="N1427" s="15"/>
      <c r="T1427" s="15"/>
      <c r="U1427" s="15"/>
    </row>
    <row r="1428" spans="12:21" ht="23.35" customHeight="1">
      <c r="L1428" s="15"/>
      <c r="M1428" s="15"/>
      <c r="N1428" s="15"/>
      <c r="T1428" s="15"/>
      <c r="U1428" s="15"/>
    </row>
    <row r="1429" spans="12:21" ht="23.35" customHeight="1">
      <c r="L1429" s="15"/>
      <c r="M1429" s="15"/>
      <c r="N1429" s="15"/>
      <c r="T1429" s="15"/>
      <c r="U1429" s="15"/>
    </row>
    <row r="1430" spans="12:21" ht="23.35" customHeight="1">
      <c r="L1430" s="15"/>
      <c r="M1430" s="15"/>
      <c r="N1430" s="15"/>
      <c r="T1430" s="15"/>
      <c r="U1430" s="15"/>
    </row>
    <row r="1431" spans="12:21" ht="23.35" customHeight="1">
      <c r="L1431" s="15"/>
      <c r="M1431" s="15"/>
      <c r="N1431" s="15"/>
      <c r="T1431" s="15"/>
      <c r="U1431" s="15"/>
    </row>
    <row r="1432" spans="12:21" ht="23.35" customHeight="1">
      <c r="L1432" s="15"/>
      <c r="M1432" s="15"/>
      <c r="N1432" s="15"/>
      <c r="T1432" s="15"/>
      <c r="U1432" s="15"/>
    </row>
    <row r="1433" spans="12:21" ht="23.35" customHeight="1">
      <c r="L1433" s="15"/>
      <c r="M1433" s="15"/>
      <c r="N1433" s="15"/>
      <c r="T1433" s="15"/>
      <c r="U1433" s="15"/>
    </row>
    <row r="1434" spans="12:21" ht="23.35" customHeight="1">
      <c r="L1434" s="15"/>
      <c r="M1434" s="15"/>
      <c r="N1434" s="15"/>
      <c r="T1434" s="15"/>
      <c r="U1434" s="15"/>
    </row>
    <row r="1435" spans="12:21" ht="23.35" customHeight="1">
      <c r="L1435" s="15"/>
      <c r="M1435" s="15"/>
      <c r="N1435" s="15"/>
      <c r="T1435" s="15"/>
      <c r="U1435" s="15"/>
    </row>
    <row r="1436" spans="12:21" ht="23.35" customHeight="1">
      <c r="L1436" s="15"/>
      <c r="M1436" s="15"/>
      <c r="N1436" s="15"/>
      <c r="T1436" s="15"/>
      <c r="U1436" s="15"/>
    </row>
    <row r="1437" spans="12:21" ht="23.35" customHeight="1">
      <c r="L1437" s="15"/>
      <c r="M1437" s="15"/>
      <c r="N1437" s="15"/>
      <c r="T1437" s="15"/>
      <c r="U1437" s="15"/>
    </row>
    <row r="1438" spans="12:21" ht="23.35" customHeight="1">
      <c r="L1438" s="15"/>
      <c r="M1438" s="15"/>
      <c r="N1438" s="15"/>
      <c r="T1438" s="15"/>
      <c r="U1438" s="15"/>
    </row>
    <row r="1439" spans="12:21" ht="23.35" customHeight="1">
      <c r="L1439" s="15"/>
      <c r="M1439" s="15"/>
      <c r="N1439" s="15"/>
      <c r="T1439" s="15"/>
      <c r="U1439" s="15"/>
    </row>
    <row r="1440" spans="12:21" ht="23.35" customHeight="1">
      <c r="L1440" s="15"/>
      <c r="M1440" s="15"/>
      <c r="N1440" s="15"/>
      <c r="T1440" s="15"/>
      <c r="U1440" s="15"/>
    </row>
    <row r="1441" spans="12:21" ht="23.35" customHeight="1">
      <c r="L1441" s="15"/>
      <c r="M1441" s="15"/>
      <c r="N1441" s="15"/>
      <c r="T1441" s="15"/>
      <c r="U1441" s="15"/>
    </row>
    <row r="1442" spans="12:21" ht="23.35" customHeight="1">
      <c r="L1442" s="15"/>
      <c r="M1442" s="15"/>
      <c r="N1442" s="15"/>
      <c r="T1442" s="15"/>
      <c r="U1442" s="15"/>
    </row>
    <row r="1443" spans="12:21" ht="23.35" customHeight="1">
      <c r="L1443" s="15"/>
      <c r="M1443" s="15"/>
      <c r="N1443" s="15"/>
      <c r="T1443" s="15"/>
      <c r="U1443" s="15"/>
    </row>
    <row r="1444" spans="12:21" ht="23.35" customHeight="1">
      <c r="L1444" s="15"/>
      <c r="M1444" s="15"/>
      <c r="N1444" s="15"/>
      <c r="T1444" s="15"/>
      <c r="U1444" s="15"/>
    </row>
    <row r="1445" spans="12:21" ht="23.35" customHeight="1">
      <c r="L1445" s="15"/>
      <c r="M1445" s="15"/>
      <c r="N1445" s="15"/>
      <c r="T1445" s="15"/>
      <c r="U1445" s="15"/>
    </row>
    <row r="1446" spans="12:21" ht="23.35" customHeight="1">
      <c r="L1446" s="15"/>
      <c r="M1446" s="15"/>
      <c r="N1446" s="15"/>
      <c r="T1446" s="15"/>
      <c r="U1446" s="15"/>
    </row>
    <row r="1447" spans="12:21" ht="23.35" customHeight="1">
      <c r="L1447" s="15"/>
      <c r="M1447" s="15"/>
      <c r="N1447" s="15"/>
      <c r="T1447" s="15"/>
      <c r="U1447" s="15"/>
    </row>
    <row r="1448" spans="12:21" ht="23.35" customHeight="1">
      <c r="L1448" s="15"/>
      <c r="M1448" s="15"/>
      <c r="N1448" s="15"/>
      <c r="T1448" s="15"/>
      <c r="U1448" s="15"/>
    </row>
    <row r="1449" spans="12:21" ht="23.35" customHeight="1">
      <c r="L1449" s="15"/>
      <c r="M1449" s="15"/>
      <c r="N1449" s="15"/>
      <c r="T1449" s="15"/>
      <c r="U1449" s="15"/>
    </row>
    <row r="1450" spans="12:21" ht="23.35" customHeight="1">
      <c r="L1450" s="15"/>
      <c r="M1450" s="15"/>
      <c r="N1450" s="15"/>
      <c r="T1450" s="15"/>
      <c r="U1450" s="15"/>
    </row>
    <row r="1451" spans="12:21" ht="23.35" customHeight="1">
      <c r="L1451" s="15"/>
      <c r="M1451" s="15"/>
      <c r="N1451" s="15"/>
      <c r="T1451" s="15"/>
      <c r="U1451" s="15"/>
    </row>
    <row r="1452" spans="12:21" ht="23.35" customHeight="1">
      <c r="L1452" s="15"/>
      <c r="M1452" s="15"/>
      <c r="N1452" s="15"/>
      <c r="T1452" s="15"/>
      <c r="U1452" s="15"/>
    </row>
    <row r="1453" spans="12:21" ht="23.35" customHeight="1">
      <c r="L1453" s="15"/>
      <c r="M1453" s="15"/>
      <c r="N1453" s="15"/>
      <c r="T1453" s="15"/>
      <c r="U1453" s="15"/>
    </row>
    <row r="1454" spans="12:21" ht="23.35" customHeight="1">
      <c r="L1454" s="15"/>
      <c r="M1454" s="15"/>
      <c r="N1454" s="15"/>
      <c r="T1454" s="15"/>
      <c r="U1454" s="15"/>
    </row>
    <row r="1455" spans="12:21" ht="23.35" customHeight="1">
      <c r="L1455" s="15"/>
      <c r="M1455" s="15"/>
      <c r="N1455" s="15"/>
      <c r="T1455" s="15"/>
      <c r="U1455" s="15"/>
    </row>
    <row r="1456" spans="12:21" ht="23.35" customHeight="1">
      <c r="L1456" s="15"/>
      <c r="M1456" s="15"/>
      <c r="N1456" s="15"/>
      <c r="T1456" s="15"/>
      <c r="U1456" s="15"/>
    </row>
    <row r="1457" spans="12:21" ht="23.35" customHeight="1">
      <c r="L1457" s="15"/>
      <c r="M1457" s="15"/>
      <c r="N1457" s="15"/>
      <c r="T1457" s="15"/>
      <c r="U1457" s="15"/>
    </row>
    <row r="1458" spans="12:21" ht="23.35" customHeight="1">
      <c r="L1458" s="15"/>
      <c r="M1458" s="15"/>
      <c r="N1458" s="15"/>
      <c r="T1458" s="15"/>
      <c r="U1458" s="15"/>
    </row>
    <row r="1459" spans="12:21" ht="23.35" customHeight="1">
      <c r="L1459" s="15"/>
      <c r="M1459" s="15"/>
      <c r="N1459" s="15"/>
      <c r="T1459" s="15"/>
      <c r="U1459" s="15"/>
    </row>
    <row r="1460" spans="12:21" ht="23.35" customHeight="1">
      <c r="L1460" s="15"/>
      <c r="M1460" s="15"/>
      <c r="N1460" s="15"/>
      <c r="T1460" s="15"/>
      <c r="U1460" s="15"/>
    </row>
    <row r="1461" spans="12:21" ht="23.35" customHeight="1">
      <c r="L1461" s="15"/>
      <c r="M1461" s="15"/>
      <c r="N1461" s="15"/>
      <c r="T1461" s="15"/>
      <c r="U1461" s="15"/>
    </row>
    <row r="1462" spans="12:21" ht="23.35" customHeight="1">
      <c r="L1462" s="15"/>
      <c r="M1462" s="15"/>
      <c r="N1462" s="15"/>
      <c r="T1462" s="15"/>
      <c r="U1462" s="15"/>
    </row>
    <row r="1463" spans="12:21" ht="23.35" customHeight="1">
      <c r="L1463" s="15"/>
      <c r="M1463" s="15"/>
      <c r="N1463" s="15"/>
      <c r="T1463" s="15"/>
      <c r="U1463" s="15"/>
    </row>
    <row r="1464" spans="12:21" ht="23.35" customHeight="1">
      <c r="L1464" s="15"/>
      <c r="M1464" s="15"/>
      <c r="N1464" s="15"/>
      <c r="T1464" s="15"/>
      <c r="U1464" s="15"/>
    </row>
    <row r="1465" spans="12:21" ht="23.35" customHeight="1">
      <c r="L1465" s="15"/>
      <c r="M1465" s="15"/>
      <c r="N1465" s="15"/>
      <c r="T1465" s="15"/>
      <c r="U1465" s="15"/>
    </row>
    <row r="1466" spans="12:21" ht="23.35" customHeight="1">
      <c r="L1466" s="15"/>
      <c r="M1466" s="15"/>
      <c r="N1466" s="15"/>
      <c r="T1466" s="15"/>
      <c r="U1466" s="15"/>
    </row>
    <row r="1467" spans="12:21" ht="23.35" customHeight="1">
      <c r="L1467" s="15"/>
      <c r="M1467" s="15"/>
      <c r="N1467" s="15"/>
      <c r="T1467" s="15"/>
      <c r="U1467" s="15"/>
    </row>
    <row r="1468" spans="12:21" ht="23.35" customHeight="1">
      <c r="L1468" s="15"/>
      <c r="M1468" s="15"/>
      <c r="N1468" s="15"/>
      <c r="T1468" s="15"/>
      <c r="U1468" s="15"/>
    </row>
    <row r="1469" spans="12:21" ht="23.35" customHeight="1">
      <c r="L1469" s="15"/>
      <c r="M1469" s="15"/>
      <c r="N1469" s="15"/>
      <c r="T1469" s="15"/>
      <c r="U1469" s="15"/>
    </row>
    <row r="1470" spans="12:21" ht="23.35" customHeight="1">
      <c r="L1470" s="15"/>
      <c r="M1470" s="15"/>
      <c r="N1470" s="15"/>
      <c r="T1470" s="15"/>
      <c r="U1470" s="15"/>
    </row>
    <row r="1471" spans="12:21" ht="23.35" customHeight="1">
      <c r="L1471" s="15"/>
      <c r="M1471" s="15"/>
      <c r="N1471" s="15"/>
      <c r="T1471" s="15"/>
      <c r="U1471" s="15"/>
    </row>
    <row r="1472" spans="12:21" ht="23.35" customHeight="1">
      <c r="L1472" s="15"/>
      <c r="M1472" s="15"/>
      <c r="N1472" s="15"/>
      <c r="T1472" s="15"/>
      <c r="U1472" s="15"/>
    </row>
    <row r="1473" spans="12:21" ht="23.35" customHeight="1">
      <c r="L1473" s="15"/>
      <c r="M1473" s="15"/>
      <c r="N1473" s="15"/>
      <c r="T1473" s="15"/>
      <c r="U1473" s="15"/>
    </row>
    <row r="1474" spans="12:21" ht="23.35" customHeight="1">
      <c r="L1474" s="15"/>
      <c r="M1474" s="15"/>
      <c r="N1474" s="15"/>
      <c r="T1474" s="15"/>
      <c r="U1474" s="15"/>
    </row>
    <row r="1475" spans="12:21" ht="23.35" customHeight="1">
      <c r="L1475" s="15"/>
      <c r="M1475" s="15"/>
      <c r="N1475" s="15"/>
      <c r="T1475" s="15"/>
      <c r="U1475" s="15"/>
    </row>
    <row r="1476" spans="12:21" ht="23.35" customHeight="1">
      <c r="L1476" s="15"/>
      <c r="M1476" s="15"/>
      <c r="N1476" s="15"/>
      <c r="T1476" s="15"/>
      <c r="U1476" s="15"/>
    </row>
    <row r="1477" spans="12:21" ht="23.35" customHeight="1">
      <c r="L1477" s="15"/>
      <c r="M1477" s="15"/>
      <c r="N1477" s="15"/>
      <c r="T1477" s="15"/>
      <c r="U1477" s="15"/>
    </row>
    <row r="1478" spans="12:21" ht="23.35" customHeight="1">
      <c r="L1478" s="15"/>
      <c r="M1478" s="15"/>
      <c r="N1478" s="15"/>
      <c r="T1478" s="15"/>
      <c r="U1478" s="15"/>
    </row>
    <row r="1479" spans="12:21" ht="23.35" customHeight="1">
      <c r="L1479" s="15"/>
      <c r="M1479" s="15"/>
      <c r="N1479" s="15"/>
      <c r="T1479" s="15"/>
      <c r="U1479" s="15"/>
    </row>
    <row r="1480" spans="12:21" ht="23.35" customHeight="1">
      <c r="L1480" s="15"/>
      <c r="M1480" s="15"/>
      <c r="N1480" s="15"/>
      <c r="T1480" s="15"/>
      <c r="U1480" s="15"/>
    </row>
    <row r="1481" spans="12:21" ht="23.35" customHeight="1">
      <c r="L1481" s="15"/>
      <c r="M1481" s="15"/>
      <c r="N1481" s="15"/>
      <c r="T1481" s="15"/>
      <c r="U1481" s="15"/>
    </row>
    <row r="1482" spans="12:21" ht="23.35" customHeight="1">
      <c r="L1482" s="15"/>
      <c r="M1482" s="15"/>
      <c r="N1482" s="15"/>
      <c r="T1482" s="15"/>
      <c r="U1482" s="15"/>
    </row>
    <row r="1483" spans="12:21" ht="23.35" customHeight="1">
      <c r="L1483" s="15"/>
      <c r="M1483" s="15"/>
      <c r="N1483" s="15"/>
      <c r="T1483" s="15"/>
      <c r="U1483" s="15"/>
    </row>
    <row r="1484" spans="12:21" ht="23.35" customHeight="1">
      <c r="L1484" s="15"/>
      <c r="M1484" s="15"/>
      <c r="N1484" s="15"/>
      <c r="T1484" s="15"/>
      <c r="U1484" s="15"/>
    </row>
    <row r="1485" spans="12:21" ht="23.35" customHeight="1">
      <c r="L1485" s="15"/>
      <c r="M1485" s="15"/>
      <c r="N1485" s="15"/>
      <c r="T1485" s="15"/>
      <c r="U1485" s="15"/>
    </row>
    <row r="1486" spans="12:21" ht="23.35" customHeight="1">
      <c r="L1486" s="15"/>
      <c r="M1486" s="15"/>
      <c r="N1486" s="15"/>
      <c r="T1486" s="15"/>
      <c r="U1486" s="15"/>
    </row>
    <row r="1487" spans="12:21" ht="23.35" customHeight="1">
      <c r="L1487" s="15"/>
      <c r="M1487" s="15"/>
      <c r="N1487" s="15"/>
      <c r="T1487" s="15"/>
      <c r="U1487" s="15"/>
    </row>
    <row r="1488" spans="12:21" ht="23.35" customHeight="1">
      <c r="L1488" s="15"/>
      <c r="M1488" s="15"/>
      <c r="N1488" s="15"/>
      <c r="T1488" s="15"/>
      <c r="U1488" s="15"/>
    </row>
    <row r="1489" spans="12:21" ht="23.35" customHeight="1">
      <c r="L1489" s="15"/>
      <c r="M1489" s="15"/>
      <c r="N1489" s="15"/>
      <c r="T1489" s="15"/>
      <c r="U1489" s="15"/>
    </row>
    <row r="1490" spans="12:21" ht="23.35" customHeight="1">
      <c r="L1490" s="15"/>
      <c r="M1490" s="15"/>
      <c r="N1490" s="15"/>
      <c r="T1490" s="15"/>
      <c r="U1490" s="15"/>
    </row>
    <row r="1491" spans="12:21" ht="23.35" customHeight="1">
      <c r="L1491" s="15"/>
      <c r="M1491" s="15"/>
      <c r="N1491" s="15"/>
      <c r="T1491" s="15"/>
      <c r="U1491" s="15"/>
    </row>
    <row r="1492" spans="12:21" ht="23.35" customHeight="1">
      <c r="L1492" s="15"/>
      <c r="M1492" s="15"/>
      <c r="N1492" s="15"/>
      <c r="T1492" s="15"/>
      <c r="U1492" s="15"/>
    </row>
    <row r="1493" spans="12:21" ht="23.35" customHeight="1">
      <c r="L1493" s="15"/>
      <c r="M1493" s="15"/>
      <c r="N1493" s="15"/>
      <c r="T1493" s="15"/>
      <c r="U1493" s="15"/>
    </row>
    <row r="1494" spans="12:21" ht="23.35" customHeight="1">
      <c r="L1494" s="15"/>
      <c r="M1494" s="15"/>
      <c r="N1494" s="15"/>
      <c r="T1494" s="15"/>
      <c r="U1494" s="15"/>
    </row>
    <row r="1495" spans="12:21" ht="23.35" customHeight="1">
      <c r="L1495" s="15"/>
      <c r="M1495" s="15"/>
      <c r="N1495" s="15"/>
      <c r="T1495" s="15"/>
      <c r="U1495" s="15"/>
    </row>
    <row r="1496" spans="12:21" ht="23.35" customHeight="1">
      <c r="L1496" s="15"/>
      <c r="M1496" s="15"/>
      <c r="N1496" s="15"/>
      <c r="T1496" s="15"/>
      <c r="U1496" s="15"/>
    </row>
    <row r="1497" spans="12:21" ht="23.35" customHeight="1">
      <c r="L1497" s="15"/>
      <c r="M1497" s="15"/>
      <c r="N1497" s="15"/>
      <c r="T1497" s="15"/>
      <c r="U1497" s="15"/>
    </row>
    <row r="1498" spans="12:21" ht="23.35" customHeight="1">
      <c r="L1498" s="15"/>
      <c r="M1498" s="15"/>
      <c r="N1498" s="15"/>
      <c r="T1498" s="15"/>
      <c r="U1498" s="15"/>
    </row>
    <row r="1499" spans="12:21" ht="23.35" customHeight="1">
      <c r="L1499" s="15"/>
      <c r="M1499" s="15"/>
      <c r="N1499" s="15"/>
      <c r="T1499" s="15"/>
      <c r="U1499" s="15"/>
    </row>
    <row r="1500" spans="12:21" ht="23.35" customHeight="1">
      <c r="L1500" s="15"/>
      <c r="M1500" s="15"/>
      <c r="N1500" s="15"/>
      <c r="T1500" s="15"/>
      <c r="U1500" s="15"/>
    </row>
    <row r="1501" spans="12:21" ht="23.35" customHeight="1">
      <c r="L1501" s="15"/>
      <c r="M1501" s="15"/>
      <c r="N1501" s="15"/>
      <c r="T1501" s="15"/>
      <c r="U1501" s="15"/>
    </row>
    <row r="1502" spans="12:21" ht="23.35" customHeight="1">
      <c r="L1502" s="15"/>
      <c r="M1502" s="15"/>
      <c r="N1502" s="15"/>
      <c r="T1502" s="15"/>
      <c r="U1502" s="15"/>
    </row>
    <row r="1503" spans="12:21" ht="23.35" customHeight="1">
      <c r="L1503" s="15"/>
      <c r="M1503" s="15"/>
      <c r="N1503" s="15"/>
      <c r="T1503" s="15"/>
      <c r="U1503" s="15"/>
    </row>
    <row r="1504" spans="12:21" ht="23.35" customHeight="1">
      <c r="L1504" s="15"/>
      <c r="M1504" s="15"/>
      <c r="N1504" s="15"/>
      <c r="T1504" s="15"/>
      <c r="U1504" s="15"/>
    </row>
    <row r="1505" spans="12:21" ht="23.35" customHeight="1">
      <c r="L1505" s="15"/>
      <c r="M1505" s="15"/>
      <c r="N1505" s="15"/>
      <c r="T1505" s="15"/>
      <c r="U1505" s="15"/>
    </row>
    <row r="1506" spans="12:21" ht="23.35" customHeight="1">
      <c r="L1506" s="15"/>
      <c r="M1506" s="15"/>
      <c r="N1506" s="15"/>
      <c r="T1506" s="15"/>
      <c r="U1506" s="15"/>
    </row>
    <row r="1507" spans="12:21" ht="23.35" customHeight="1">
      <c r="L1507" s="15"/>
      <c r="M1507" s="15"/>
      <c r="N1507" s="15"/>
      <c r="T1507" s="15"/>
      <c r="U1507" s="15"/>
    </row>
    <row r="1508" spans="12:21" ht="23.35" customHeight="1">
      <c r="L1508" s="15"/>
      <c r="M1508" s="15"/>
      <c r="N1508" s="15"/>
      <c r="T1508" s="15"/>
      <c r="U1508" s="15"/>
    </row>
    <row r="1509" spans="12:21" ht="23.35" customHeight="1">
      <c r="L1509" s="15"/>
      <c r="M1509" s="15"/>
      <c r="N1509" s="15"/>
      <c r="T1509" s="15"/>
      <c r="U1509" s="15"/>
    </row>
    <row r="1510" spans="12:21" ht="23.35" customHeight="1">
      <c r="L1510" s="15"/>
      <c r="M1510" s="15"/>
      <c r="N1510" s="15"/>
      <c r="T1510" s="15"/>
      <c r="U1510" s="15"/>
    </row>
    <row r="1511" spans="12:21" ht="23.35" customHeight="1">
      <c r="L1511" s="15"/>
      <c r="M1511" s="15"/>
      <c r="N1511" s="15"/>
      <c r="T1511" s="15"/>
      <c r="U1511" s="15"/>
    </row>
    <row r="1512" spans="12:21" ht="23.35" customHeight="1">
      <c r="L1512" s="15"/>
      <c r="M1512" s="15"/>
      <c r="N1512" s="15"/>
      <c r="T1512" s="15"/>
      <c r="U1512" s="15"/>
    </row>
    <row r="1513" spans="12:21" ht="23.35" customHeight="1">
      <c r="L1513" s="15"/>
      <c r="M1513" s="15"/>
      <c r="N1513" s="15"/>
      <c r="T1513" s="15"/>
      <c r="U1513" s="15"/>
    </row>
    <row r="1514" spans="12:21" ht="23.35" customHeight="1">
      <c r="L1514" s="15"/>
      <c r="M1514" s="15"/>
      <c r="N1514" s="15"/>
      <c r="T1514" s="15"/>
      <c r="U1514" s="15"/>
    </row>
    <row r="1515" spans="12:21" ht="23.35" customHeight="1">
      <c r="L1515" s="15"/>
      <c r="M1515" s="15"/>
      <c r="N1515" s="15"/>
      <c r="T1515" s="15"/>
      <c r="U1515" s="15"/>
    </row>
    <row r="1516" spans="12:21" ht="23.35" customHeight="1">
      <c r="L1516" s="15"/>
      <c r="M1516" s="15"/>
      <c r="N1516" s="15"/>
      <c r="T1516" s="15"/>
      <c r="U1516" s="15"/>
    </row>
    <row r="1517" spans="12:21" ht="23.35" customHeight="1">
      <c r="L1517" s="15"/>
      <c r="M1517" s="15"/>
      <c r="N1517" s="15"/>
      <c r="T1517" s="15"/>
      <c r="U1517" s="15"/>
    </row>
    <row r="1518" spans="12:21" ht="23.35" customHeight="1">
      <c r="L1518" s="15"/>
      <c r="M1518" s="15"/>
      <c r="N1518" s="15"/>
      <c r="T1518" s="15"/>
      <c r="U1518" s="15"/>
    </row>
    <row r="1519" spans="12:21" ht="23.35" customHeight="1">
      <c r="L1519" s="15"/>
      <c r="M1519" s="15"/>
      <c r="N1519" s="15"/>
      <c r="T1519" s="15"/>
      <c r="U1519" s="15"/>
    </row>
    <row r="1520" spans="12:21" ht="23.35" customHeight="1">
      <c r="L1520" s="15"/>
      <c r="M1520" s="15"/>
      <c r="N1520" s="15"/>
      <c r="T1520" s="15"/>
      <c r="U1520" s="15"/>
    </row>
    <row r="1521" spans="12:21" ht="23.35" customHeight="1">
      <c r="L1521" s="15"/>
      <c r="M1521" s="15"/>
      <c r="N1521" s="15"/>
      <c r="T1521" s="15"/>
      <c r="U1521" s="15"/>
    </row>
    <row r="1522" spans="12:21" ht="23.35" customHeight="1">
      <c r="L1522" s="15"/>
      <c r="M1522" s="15"/>
      <c r="N1522" s="15"/>
      <c r="T1522" s="15"/>
      <c r="U1522" s="15"/>
    </row>
    <row r="1523" spans="12:21" ht="23.35" customHeight="1">
      <c r="L1523" s="15"/>
      <c r="M1523" s="15"/>
      <c r="N1523" s="15"/>
      <c r="T1523" s="15"/>
      <c r="U1523" s="15"/>
    </row>
    <row r="1524" spans="12:21" ht="23.35" customHeight="1">
      <c r="L1524" s="15"/>
      <c r="M1524" s="15"/>
      <c r="N1524" s="15"/>
      <c r="T1524" s="15"/>
      <c r="U1524" s="15"/>
    </row>
    <row r="1525" spans="12:21" ht="23.35" customHeight="1">
      <c r="L1525" s="15"/>
      <c r="M1525" s="15"/>
      <c r="N1525" s="15"/>
      <c r="T1525" s="15"/>
      <c r="U1525" s="15"/>
    </row>
    <row r="1526" spans="12:21" ht="23.35" customHeight="1">
      <c r="L1526" s="15"/>
      <c r="M1526" s="15"/>
      <c r="N1526" s="15"/>
      <c r="T1526" s="15"/>
      <c r="U1526" s="15"/>
    </row>
    <row r="1527" spans="12:21" ht="23.35" customHeight="1">
      <c r="L1527" s="15"/>
      <c r="M1527" s="15"/>
      <c r="N1527" s="15"/>
      <c r="T1527" s="15"/>
      <c r="U1527" s="15"/>
    </row>
    <row r="1528" spans="12:21" ht="23.35" customHeight="1">
      <c r="L1528" s="15"/>
      <c r="M1528" s="15"/>
      <c r="N1528" s="15"/>
      <c r="T1528" s="15"/>
      <c r="U1528" s="15"/>
    </row>
    <row r="1529" spans="12:21" ht="23.35" customHeight="1">
      <c r="L1529" s="15"/>
      <c r="M1529" s="15"/>
      <c r="N1529" s="15"/>
      <c r="T1529" s="15"/>
      <c r="U1529" s="15"/>
    </row>
    <row r="1530" spans="12:21" ht="23.35" customHeight="1">
      <c r="L1530" s="15"/>
      <c r="M1530" s="15"/>
      <c r="N1530" s="15"/>
      <c r="T1530" s="15"/>
      <c r="U1530" s="15"/>
    </row>
    <row r="1531" spans="12:21" ht="23.35" customHeight="1">
      <c r="L1531" s="15"/>
      <c r="M1531" s="15"/>
      <c r="N1531" s="15"/>
      <c r="T1531" s="15"/>
      <c r="U1531" s="15"/>
    </row>
    <row r="1532" spans="12:21" ht="23.35" customHeight="1">
      <c r="L1532" s="15"/>
      <c r="M1532" s="15"/>
      <c r="N1532" s="15"/>
      <c r="T1532" s="15"/>
      <c r="U1532" s="15"/>
    </row>
    <row r="1533" spans="12:21" ht="23.35" customHeight="1">
      <c r="L1533" s="15"/>
      <c r="M1533" s="15"/>
      <c r="N1533" s="15"/>
      <c r="T1533" s="15"/>
      <c r="U1533" s="15"/>
    </row>
    <row r="1534" spans="12:21" ht="23.35" customHeight="1">
      <c r="L1534" s="15"/>
      <c r="M1534" s="15"/>
      <c r="N1534" s="15"/>
      <c r="T1534" s="15"/>
      <c r="U1534" s="15"/>
    </row>
    <row r="1535" spans="12:21" ht="23.35" customHeight="1">
      <c r="L1535" s="15"/>
      <c r="M1535" s="15"/>
      <c r="N1535" s="15"/>
      <c r="T1535" s="15"/>
      <c r="U1535" s="15"/>
    </row>
    <row r="1536" spans="12:21" ht="23.35" customHeight="1">
      <c r="L1536" s="15"/>
      <c r="M1536" s="15"/>
      <c r="N1536" s="15"/>
      <c r="T1536" s="15"/>
      <c r="U1536" s="15"/>
    </row>
    <row r="1537" spans="12:21" ht="23.35" customHeight="1">
      <c r="L1537" s="15"/>
      <c r="M1537" s="15"/>
      <c r="N1537" s="15"/>
      <c r="T1537" s="15"/>
      <c r="U1537" s="15"/>
    </row>
    <row r="1538" spans="12:21" ht="23.35" customHeight="1">
      <c r="L1538" s="15"/>
      <c r="M1538" s="15"/>
      <c r="N1538" s="15"/>
      <c r="T1538" s="15"/>
      <c r="U1538" s="15"/>
    </row>
    <row r="1539" spans="12:21" ht="23.35" customHeight="1">
      <c r="L1539" s="15"/>
      <c r="M1539" s="15"/>
      <c r="N1539" s="15"/>
      <c r="T1539" s="15"/>
      <c r="U1539" s="15"/>
    </row>
    <row r="1540" spans="12:21" ht="23.35" customHeight="1">
      <c r="L1540" s="15"/>
      <c r="M1540" s="15"/>
      <c r="N1540" s="15"/>
      <c r="T1540" s="15"/>
      <c r="U1540" s="15"/>
    </row>
    <row r="1541" spans="12:21" ht="23.35" customHeight="1">
      <c r="L1541" s="15"/>
      <c r="M1541" s="15"/>
      <c r="N1541" s="15"/>
      <c r="T1541" s="15"/>
      <c r="U1541" s="15"/>
    </row>
    <row r="1542" spans="12:21" ht="23.35" customHeight="1">
      <c r="L1542" s="15"/>
      <c r="M1542" s="15"/>
      <c r="N1542" s="15"/>
      <c r="T1542" s="15"/>
      <c r="U1542" s="15"/>
    </row>
    <row r="1543" spans="12:21" ht="23.35" customHeight="1">
      <c r="L1543" s="15"/>
      <c r="M1543" s="15"/>
      <c r="N1543" s="15"/>
      <c r="T1543" s="15"/>
      <c r="U1543" s="15"/>
    </row>
    <row r="1544" spans="12:21" ht="23.35" customHeight="1">
      <c r="L1544" s="15"/>
      <c r="M1544" s="15"/>
      <c r="N1544" s="15"/>
      <c r="T1544" s="15"/>
      <c r="U1544" s="15"/>
    </row>
    <row r="1545" spans="12:21" ht="23.35" customHeight="1">
      <c r="L1545" s="15"/>
      <c r="M1545" s="15"/>
      <c r="N1545" s="15"/>
      <c r="T1545" s="15"/>
      <c r="U1545" s="15"/>
    </row>
    <row r="1546" spans="12:21" ht="23.35" customHeight="1">
      <c r="L1546" s="15"/>
      <c r="M1546" s="15"/>
      <c r="N1546" s="15"/>
      <c r="T1546" s="15"/>
      <c r="U1546" s="15"/>
    </row>
    <row r="1547" spans="12:21" ht="23.35" customHeight="1">
      <c r="L1547" s="15"/>
      <c r="M1547" s="15"/>
      <c r="N1547" s="15"/>
      <c r="T1547" s="15"/>
      <c r="U1547" s="15"/>
    </row>
    <row r="1548" spans="12:21" ht="23.35" customHeight="1">
      <c r="L1548" s="15"/>
      <c r="M1548" s="15"/>
      <c r="N1548" s="15"/>
      <c r="T1548" s="15"/>
      <c r="U1548" s="15"/>
    </row>
    <row r="1549" spans="12:21" ht="23.35" customHeight="1">
      <c r="L1549" s="15"/>
      <c r="M1549" s="15"/>
      <c r="N1549" s="15"/>
      <c r="T1549" s="15"/>
      <c r="U1549" s="15"/>
    </row>
    <row r="1550" spans="12:21" ht="23.35" customHeight="1">
      <c r="L1550" s="15"/>
      <c r="M1550" s="15"/>
      <c r="N1550" s="15"/>
      <c r="T1550" s="15"/>
      <c r="U1550" s="15"/>
    </row>
    <row r="1551" spans="12:21" ht="23.35" customHeight="1">
      <c r="L1551" s="15"/>
      <c r="M1551" s="15"/>
      <c r="N1551" s="15"/>
      <c r="T1551" s="15"/>
      <c r="U1551" s="15"/>
    </row>
    <row r="1552" spans="12:21" ht="23.35" customHeight="1">
      <c r="L1552" s="15"/>
      <c r="M1552" s="15"/>
      <c r="N1552" s="15"/>
      <c r="T1552" s="15"/>
      <c r="U1552" s="15"/>
    </row>
    <row r="1553" spans="12:21" ht="23.35" customHeight="1">
      <c r="L1553" s="15"/>
      <c r="M1553" s="15"/>
      <c r="N1553" s="15"/>
      <c r="T1553" s="15"/>
      <c r="U1553" s="15"/>
    </row>
    <row r="1554" spans="12:21" ht="23.35" customHeight="1">
      <c r="L1554" s="15"/>
      <c r="M1554" s="15"/>
      <c r="N1554" s="15"/>
      <c r="T1554" s="15"/>
      <c r="U1554" s="15"/>
    </row>
    <row r="1555" spans="12:21" ht="23.35" customHeight="1">
      <c r="L1555" s="15"/>
      <c r="M1555" s="15"/>
      <c r="N1555" s="15"/>
      <c r="T1555" s="15"/>
      <c r="U1555" s="15"/>
    </row>
    <row r="1556" spans="12:21" ht="23.35" customHeight="1">
      <c r="L1556" s="15"/>
      <c r="M1556" s="15"/>
      <c r="N1556" s="15"/>
      <c r="T1556" s="15"/>
      <c r="U1556" s="15"/>
    </row>
    <row r="1557" spans="12:21" ht="23.35" customHeight="1">
      <c r="L1557" s="15"/>
      <c r="M1557" s="15"/>
      <c r="N1557" s="15"/>
      <c r="T1557" s="15"/>
      <c r="U1557" s="15"/>
    </row>
    <row r="1558" spans="12:21" ht="23.35" customHeight="1">
      <c r="L1558" s="15"/>
      <c r="M1558" s="15"/>
      <c r="N1558" s="15"/>
      <c r="T1558" s="15"/>
      <c r="U1558" s="15"/>
    </row>
    <row r="1559" spans="12:21" ht="23.35" customHeight="1">
      <c r="L1559" s="15"/>
      <c r="M1559" s="15"/>
      <c r="N1559" s="15"/>
      <c r="T1559" s="15"/>
      <c r="U1559" s="15"/>
    </row>
    <row r="1560" spans="12:21" ht="23.35" customHeight="1">
      <c r="L1560" s="15"/>
      <c r="M1560" s="15"/>
      <c r="N1560" s="15"/>
      <c r="T1560" s="15"/>
      <c r="U1560" s="15"/>
    </row>
    <row r="1561" spans="12:21" ht="23.35" customHeight="1">
      <c r="L1561" s="15"/>
      <c r="M1561" s="15"/>
      <c r="N1561" s="15"/>
      <c r="T1561" s="15"/>
      <c r="U1561" s="15"/>
    </row>
    <row r="1562" spans="12:21" ht="23.35" customHeight="1">
      <c r="L1562" s="15"/>
      <c r="M1562" s="15"/>
      <c r="N1562" s="15"/>
      <c r="T1562" s="15"/>
      <c r="U1562" s="15"/>
    </row>
    <row r="1563" spans="12:21" ht="23.35" customHeight="1">
      <c r="L1563" s="15"/>
      <c r="M1563" s="15"/>
      <c r="N1563" s="15"/>
      <c r="T1563" s="15"/>
      <c r="U1563" s="15"/>
    </row>
    <row r="1564" spans="12:21" ht="23.35" customHeight="1">
      <c r="L1564" s="15"/>
      <c r="M1564" s="15"/>
      <c r="N1564" s="15"/>
      <c r="T1564" s="15"/>
      <c r="U1564" s="15"/>
    </row>
    <row r="1565" spans="12:21" ht="23.35" customHeight="1">
      <c r="L1565" s="15"/>
      <c r="M1565" s="15"/>
      <c r="N1565" s="15"/>
      <c r="T1565" s="15"/>
      <c r="U1565" s="15"/>
    </row>
    <row r="1566" spans="12:21" ht="23.35" customHeight="1">
      <c r="L1566" s="15"/>
      <c r="M1566" s="15"/>
      <c r="N1566" s="15"/>
      <c r="T1566" s="15"/>
      <c r="U1566" s="15"/>
    </row>
    <row r="1567" spans="12:21" ht="23.35" customHeight="1">
      <c r="L1567" s="15"/>
      <c r="M1567" s="15"/>
      <c r="N1567" s="15"/>
      <c r="T1567" s="15"/>
      <c r="U1567" s="15"/>
    </row>
    <row r="1568" spans="12:21" ht="23.35" customHeight="1">
      <c r="L1568" s="15"/>
      <c r="M1568" s="15"/>
      <c r="N1568" s="15"/>
      <c r="T1568" s="15"/>
      <c r="U1568" s="15"/>
    </row>
    <row r="1569" spans="12:21" ht="23.35" customHeight="1">
      <c r="L1569" s="15"/>
      <c r="M1569" s="15"/>
      <c r="N1569" s="15"/>
      <c r="T1569" s="15"/>
      <c r="U1569" s="15"/>
    </row>
    <row r="1570" spans="12:21" ht="23.35" customHeight="1">
      <c r="L1570" s="15"/>
      <c r="M1570" s="15"/>
      <c r="N1570" s="15"/>
      <c r="T1570" s="15"/>
      <c r="U1570" s="15"/>
    </row>
    <row r="1571" spans="12:21" ht="23.35" customHeight="1">
      <c r="L1571" s="15"/>
      <c r="M1571" s="15"/>
      <c r="N1571" s="15"/>
      <c r="T1571" s="15"/>
      <c r="U1571" s="15"/>
    </row>
    <row r="1572" spans="12:21" ht="23.35" customHeight="1">
      <c r="L1572" s="15"/>
      <c r="M1572" s="15"/>
      <c r="N1572" s="15"/>
      <c r="T1572" s="15"/>
      <c r="U1572" s="15"/>
    </row>
    <row r="1573" spans="12:21" ht="23.35" customHeight="1">
      <c r="L1573" s="15"/>
      <c r="M1573" s="15"/>
      <c r="N1573" s="15"/>
      <c r="T1573" s="15"/>
      <c r="U1573" s="15"/>
    </row>
    <row r="1574" spans="12:21" ht="23.35" customHeight="1">
      <c r="L1574" s="15"/>
      <c r="M1574" s="15"/>
      <c r="N1574" s="15"/>
      <c r="T1574" s="15"/>
      <c r="U1574" s="15"/>
    </row>
    <row r="1575" spans="12:21" ht="23.35" customHeight="1">
      <c r="L1575" s="15"/>
      <c r="M1575" s="15"/>
      <c r="N1575" s="15"/>
      <c r="T1575" s="15"/>
      <c r="U1575" s="15"/>
    </row>
    <row r="1576" spans="12:21" ht="23.35" customHeight="1">
      <c r="L1576" s="15"/>
      <c r="M1576" s="15"/>
      <c r="N1576" s="15"/>
      <c r="T1576" s="15"/>
      <c r="U1576" s="15"/>
    </row>
    <row r="1577" spans="12:21" ht="23.35" customHeight="1">
      <c r="L1577" s="15"/>
      <c r="M1577" s="15"/>
      <c r="N1577" s="15"/>
      <c r="T1577" s="15"/>
      <c r="U1577" s="15"/>
    </row>
    <row r="1578" spans="12:21" ht="23.35" customHeight="1">
      <c r="L1578" s="15"/>
      <c r="M1578" s="15"/>
      <c r="N1578" s="15"/>
      <c r="T1578" s="15"/>
      <c r="U1578" s="15"/>
    </row>
    <row r="1579" spans="12:21" ht="23.35" customHeight="1">
      <c r="L1579" s="15"/>
      <c r="M1579" s="15"/>
      <c r="N1579" s="15"/>
      <c r="T1579" s="15"/>
      <c r="U1579" s="15"/>
    </row>
    <row r="1580" spans="12:21" ht="23.35" customHeight="1">
      <c r="L1580" s="15"/>
      <c r="M1580" s="15"/>
      <c r="N1580" s="15"/>
      <c r="T1580" s="15"/>
      <c r="U1580" s="15"/>
    </row>
    <row r="1581" spans="12:21" ht="23.35" customHeight="1">
      <c r="L1581" s="15"/>
      <c r="M1581" s="15"/>
      <c r="N1581" s="15"/>
      <c r="T1581" s="15"/>
      <c r="U1581" s="15"/>
    </row>
    <row r="1582" spans="12:21" ht="23.35" customHeight="1">
      <c r="L1582" s="15"/>
      <c r="M1582" s="15"/>
      <c r="N1582" s="15"/>
      <c r="T1582" s="15"/>
      <c r="U1582" s="15"/>
    </row>
    <row r="1583" spans="12:21" ht="23.35" customHeight="1">
      <c r="L1583" s="15"/>
      <c r="M1583" s="15"/>
      <c r="N1583" s="15"/>
      <c r="T1583" s="15"/>
      <c r="U1583" s="15"/>
    </row>
    <row r="1584" spans="12:21" ht="23.35" customHeight="1">
      <c r="L1584" s="15"/>
      <c r="M1584" s="15"/>
      <c r="N1584" s="15"/>
      <c r="T1584" s="15"/>
      <c r="U1584" s="15"/>
    </row>
    <row r="1585" spans="12:21" ht="23.35" customHeight="1">
      <c r="L1585" s="15"/>
      <c r="M1585" s="15"/>
      <c r="N1585" s="15"/>
      <c r="T1585" s="15"/>
      <c r="U1585" s="15"/>
    </row>
    <row r="1586" spans="12:21" ht="23.35" customHeight="1">
      <c r="L1586" s="15"/>
      <c r="M1586" s="15"/>
      <c r="N1586" s="15"/>
      <c r="T1586" s="15"/>
      <c r="U1586" s="15"/>
    </row>
    <row r="1587" spans="12:21" ht="23.35" customHeight="1">
      <c r="L1587" s="15"/>
      <c r="M1587" s="15"/>
      <c r="N1587" s="15"/>
      <c r="T1587" s="15"/>
      <c r="U1587" s="15"/>
    </row>
    <row r="1588" spans="12:21" ht="23.35" customHeight="1">
      <c r="L1588" s="15"/>
      <c r="M1588" s="15"/>
      <c r="N1588" s="15"/>
      <c r="T1588" s="15"/>
      <c r="U1588" s="15"/>
    </row>
    <row r="1589" spans="12:21" ht="23.35" customHeight="1">
      <c r="L1589" s="15"/>
      <c r="M1589" s="15"/>
      <c r="N1589" s="15"/>
      <c r="T1589" s="15"/>
      <c r="U1589" s="15"/>
    </row>
    <row r="1590" spans="12:21" ht="23.35" customHeight="1">
      <c r="L1590" s="15"/>
      <c r="M1590" s="15"/>
      <c r="N1590" s="15"/>
      <c r="T1590" s="15"/>
      <c r="U1590" s="15"/>
    </row>
    <row r="1591" spans="12:21" ht="23.35" customHeight="1">
      <c r="L1591" s="15"/>
      <c r="M1591" s="15"/>
      <c r="N1591" s="15"/>
      <c r="T1591" s="15"/>
      <c r="U1591" s="15"/>
    </row>
    <row r="1592" spans="12:21" ht="23.35" customHeight="1">
      <c r="L1592" s="15"/>
      <c r="M1592" s="15"/>
      <c r="N1592" s="15"/>
      <c r="T1592" s="15"/>
      <c r="U1592" s="15"/>
    </row>
    <row r="1593" spans="12:21" ht="23.35" customHeight="1">
      <c r="L1593" s="15"/>
      <c r="M1593" s="15"/>
      <c r="N1593" s="15"/>
      <c r="T1593" s="15"/>
      <c r="U1593" s="15"/>
    </row>
    <row r="1594" spans="12:21" ht="23.35" customHeight="1">
      <c r="L1594" s="15"/>
      <c r="M1594" s="15"/>
      <c r="N1594" s="15"/>
      <c r="T1594" s="15"/>
      <c r="U1594" s="15"/>
    </row>
    <row r="1595" spans="12:21" ht="23.35" customHeight="1">
      <c r="L1595" s="15"/>
      <c r="M1595" s="15"/>
      <c r="N1595" s="15"/>
      <c r="T1595" s="15"/>
      <c r="U1595" s="15"/>
    </row>
    <row r="1596" spans="12:21" ht="23.35" customHeight="1">
      <c r="L1596" s="15"/>
      <c r="M1596" s="15"/>
      <c r="N1596" s="15"/>
      <c r="T1596" s="15"/>
      <c r="U1596" s="15"/>
    </row>
    <row r="1597" spans="12:21" ht="23.35" customHeight="1">
      <c r="L1597" s="15"/>
      <c r="M1597" s="15"/>
      <c r="N1597" s="15"/>
      <c r="T1597" s="15"/>
      <c r="U1597" s="15"/>
    </row>
    <row r="1598" spans="12:21" ht="23.35" customHeight="1">
      <c r="L1598" s="15"/>
      <c r="M1598" s="15"/>
      <c r="N1598" s="15"/>
      <c r="T1598" s="15"/>
      <c r="U1598" s="15"/>
    </row>
    <row r="1599" spans="12:21" ht="23.35" customHeight="1">
      <c r="L1599" s="15"/>
      <c r="M1599" s="15"/>
      <c r="N1599" s="15"/>
      <c r="T1599" s="15"/>
      <c r="U1599" s="15"/>
    </row>
    <row r="1600" spans="12:21" ht="23.35" customHeight="1">
      <c r="L1600" s="15"/>
      <c r="M1600" s="15"/>
      <c r="N1600" s="15"/>
      <c r="T1600" s="15"/>
      <c r="U1600" s="15"/>
    </row>
    <row r="1601" spans="12:21" ht="23.35" customHeight="1">
      <c r="L1601" s="15"/>
      <c r="M1601" s="15"/>
      <c r="N1601" s="15"/>
      <c r="T1601" s="15"/>
      <c r="U1601" s="15"/>
    </row>
    <row r="1602" spans="12:21" ht="23.35" customHeight="1">
      <c r="L1602" s="15"/>
      <c r="M1602" s="15"/>
      <c r="N1602" s="15"/>
      <c r="T1602" s="15"/>
      <c r="U1602" s="15"/>
    </row>
    <row r="1603" spans="12:21" ht="23.35" customHeight="1">
      <c r="L1603" s="15"/>
      <c r="M1603" s="15"/>
      <c r="N1603" s="15"/>
      <c r="T1603" s="15"/>
      <c r="U1603" s="15"/>
    </row>
    <row r="1604" spans="12:21" ht="23.35" customHeight="1">
      <c r="L1604" s="15"/>
      <c r="M1604" s="15"/>
      <c r="N1604" s="15"/>
      <c r="T1604" s="15"/>
      <c r="U1604" s="15"/>
    </row>
    <row r="1605" spans="12:21" ht="23.35" customHeight="1">
      <c r="L1605" s="15"/>
      <c r="M1605" s="15"/>
      <c r="N1605" s="15"/>
      <c r="T1605" s="15"/>
      <c r="U1605" s="15"/>
    </row>
    <row r="1606" spans="12:21" ht="23.35" customHeight="1">
      <c r="L1606" s="15"/>
      <c r="M1606" s="15"/>
      <c r="N1606" s="15"/>
      <c r="T1606" s="15"/>
      <c r="U1606" s="15"/>
    </row>
    <row r="1607" spans="12:21" ht="23.35" customHeight="1">
      <c r="L1607" s="15"/>
      <c r="M1607" s="15"/>
      <c r="N1607" s="15"/>
      <c r="T1607" s="15"/>
      <c r="U1607" s="15"/>
    </row>
    <row r="1608" spans="12:21" ht="23.35" customHeight="1">
      <c r="L1608" s="15"/>
      <c r="M1608" s="15"/>
      <c r="N1608" s="15"/>
      <c r="T1608" s="15"/>
      <c r="U1608" s="15"/>
    </row>
    <row r="1609" spans="12:21" ht="23.35" customHeight="1">
      <c r="L1609" s="15"/>
      <c r="M1609" s="15"/>
      <c r="N1609" s="15"/>
      <c r="T1609" s="15"/>
      <c r="U1609" s="15"/>
    </row>
    <row r="1610" spans="12:21" ht="23.35" customHeight="1">
      <c r="L1610" s="15"/>
      <c r="M1610" s="15"/>
      <c r="N1610" s="15"/>
      <c r="T1610" s="15"/>
      <c r="U1610" s="15"/>
    </row>
    <row r="1611" spans="12:21" ht="23.35" customHeight="1">
      <c r="L1611" s="15"/>
      <c r="M1611" s="15"/>
      <c r="N1611" s="15"/>
      <c r="T1611" s="15"/>
      <c r="U1611" s="15"/>
    </row>
    <row r="1612" spans="12:21" ht="23.35" customHeight="1">
      <c r="L1612" s="15"/>
      <c r="M1612" s="15"/>
      <c r="N1612" s="15"/>
      <c r="T1612" s="15"/>
      <c r="U1612" s="15"/>
    </row>
    <row r="1613" spans="12:21" ht="23.35" customHeight="1">
      <c r="L1613" s="15"/>
      <c r="M1613" s="15"/>
      <c r="N1613" s="15"/>
      <c r="T1613" s="15"/>
      <c r="U1613" s="15"/>
    </row>
    <row r="1614" spans="12:21" ht="23.35" customHeight="1">
      <c r="L1614" s="15"/>
      <c r="M1614" s="15"/>
      <c r="N1614" s="15"/>
      <c r="T1614" s="15"/>
      <c r="U1614" s="15"/>
    </row>
    <row r="1615" spans="12:21" ht="23.35" customHeight="1">
      <c r="L1615" s="15"/>
      <c r="M1615" s="15"/>
      <c r="N1615" s="15"/>
      <c r="T1615" s="15"/>
      <c r="U1615" s="15"/>
    </row>
    <row r="1616" spans="12:21" ht="23.35" customHeight="1">
      <c r="L1616" s="15"/>
      <c r="M1616" s="15"/>
      <c r="N1616" s="15"/>
      <c r="T1616" s="15"/>
      <c r="U1616" s="15"/>
    </row>
    <row r="1617" spans="12:21" ht="23.35" customHeight="1">
      <c r="L1617" s="15"/>
      <c r="M1617" s="15"/>
      <c r="N1617" s="15"/>
      <c r="T1617" s="15"/>
      <c r="U1617" s="15"/>
    </row>
    <row r="1618" spans="12:21" ht="23.35" customHeight="1">
      <c r="L1618" s="15"/>
      <c r="M1618" s="15"/>
      <c r="N1618" s="15"/>
      <c r="T1618" s="15"/>
      <c r="U1618" s="15"/>
    </row>
    <row r="1619" spans="12:21" ht="23.35" customHeight="1">
      <c r="L1619" s="15"/>
      <c r="M1619" s="15"/>
      <c r="N1619" s="15"/>
      <c r="T1619" s="15"/>
      <c r="U1619" s="15"/>
    </row>
    <row r="1620" spans="12:21" ht="23.35" customHeight="1">
      <c r="L1620" s="15"/>
      <c r="M1620" s="15"/>
      <c r="N1620" s="15"/>
      <c r="T1620" s="15"/>
      <c r="U1620" s="15"/>
    </row>
    <row r="1621" spans="12:21" ht="23.35" customHeight="1">
      <c r="L1621" s="15"/>
      <c r="M1621" s="15"/>
      <c r="N1621" s="15"/>
      <c r="T1621" s="15"/>
      <c r="U1621" s="15"/>
    </row>
    <row r="1622" spans="12:21" ht="23.35" customHeight="1">
      <c r="L1622" s="15"/>
      <c r="M1622" s="15"/>
      <c r="N1622" s="15"/>
      <c r="T1622" s="15"/>
      <c r="U1622" s="15"/>
    </row>
    <row r="1623" spans="12:21" ht="23.35" customHeight="1">
      <c r="L1623" s="15"/>
      <c r="M1623" s="15"/>
      <c r="N1623" s="15"/>
      <c r="T1623" s="15"/>
      <c r="U1623" s="15"/>
    </row>
    <row r="1624" spans="12:21" ht="23.35" customHeight="1">
      <c r="L1624" s="15"/>
      <c r="M1624" s="15"/>
      <c r="N1624" s="15"/>
      <c r="T1624" s="15"/>
      <c r="U1624" s="15"/>
    </row>
    <row r="1625" spans="12:21" ht="23.35" customHeight="1">
      <c r="L1625" s="15"/>
      <c r="M1625" s="15"/>
      <c r="N1625" s="15"/>
      <c r="T1625" s="15"/>
      <c r="U1625" s="15"/>
    </row>
    <row r="1626" spans="12:21" ht="23.35" customHeight="1">
      <c r="L1626" s="15"/>
      <c r="M1626" s="15"/>
      <c r="N1626" s="15"/>
      <c r="T1626" s="15"/>
      <c r="U1626" s="15"/>
    </row>
    <row r="1627" spans="12:21" ht="23.35" customHeight="1">
      <c r="L1627" s="15"/>
      <c r="M1627" s="15"/>
      <c r="N1627" s="15"/>
      <c r="T1627" s="15"/>
      <c r="U1627" s="15"/>
    </row>
    <row r="1628" spans="12:21" ht="23.35" customHeight="1">
      <c r="L1628" s="15"/>
      <c r="M1628" s="15"/>
      <c r="N1628" s="15"/>
      <c r="T1628" s="15"/>
      <c r="U1628" s="15"/>
    </row>
    <row r="1629" spans="12:21" ht="23.35" customHeight="1">
      <c r="L1629" s="15"/>
      <c r="M1629" s="15"/>
      <c r="N1629" s="15"/>
      <c r="T1629" s="15"/>
      <c r="U1629" s="15"/>
    </row>
    <row r="1630" spans="12:21" ht="23.35" customHeight="1">
      <c r="L1630" s="15"/>
      <c r="M1630" s="15"/>
      <c r="N1630" s="15"/>
      <c r="T1630" s="15"/>
      <c r="U1630" s="15"/>
    </row>
    <row r="1631" spans="12:21" ht="23.35" customHeight="1">
      <c r="L1631" s="15"/>
      <c r="M1631" s="15"/>
      <c r="N1631" s="15"/>
      <c r="T1631" s="15"/>
      <c r="U1631" s="15"/>
    </row>
    <row r="1632" spans="12:21" ht="23.35" customHeight="1">
      <c r="L1632" s="15"/>
      <c r="M1632" s="15"/>
      <c r="N1632" s="15"/>
      <c r="T1632" s="15"/>
      <c r="U1632" s="15"/>
    </row>
    <row r="1633" spans="12:21" ht="23.35" customHeight="1">
      <c r="L1633" s="15"/>
      <c r="M1633" s="15"/>
      <c r="N1633" s="15"/>
      <c r="T1633" s="15"/>
      <c r="U1633" s="15"/>
    </row>
    <row r="1634" spans="12:21" ht="23.35" customHeight="1">
      <c r="L1634" s="15"/>
      <c r="M1634" s="15"/>
      <c r="N1634" s="15"/>
      <c r="T1634" s="15"/>
      <c r="U1634" s="15"/>
    </row>
    <row r="1635" spans="12:21" ht="23.35" customHeight="1">
      <c r="L1635" s="15"/>
      <c r="M1635" s="15"/>
      <c r="N1635" s="15"/>
      <c r="T1635" s="15"/>
      <c r="U1635" s="15"/>
    </row>
    <row r="1636" spans="12:21" ht="23.35" customHeight="1">
      <c r="L1636" s="15"/>
      <c r="M1636" s="15"/>
      <c r="N1636" s="15"/>
      <c r="T1636" s="15"/>
      <c r="U1636" s="15"/>
    </row>
    <row r="1637" spans="12:21" ht="23.35" customHeight="1">
      <c r="L1637" s="15"/>
      <c r="M1637" s="15"/>
      <c r="N1637" s="15"/>
      <c r="T1637" s="15"/>
      <c r="U1637" s="15"/>
    </row>
    <row r="1638" spans="12:21" ht="23.35" customHeight="1">
      <c r="L1638" s="15"/>
      <c r="M1638" s="15"/>
      <c r="N1638" s="15"/>
      <c r="T1638" s="15"/>
      <c r="U1638" s="15"/>
    </row>
    <row r="1639" spans="12:21" ht="23.35" customHeight="1">
      <c r="L1639" s="15"/>
      <c r="M1639" s="15"/>
      <c r="N1639" s="15"/>
      <c r="T1639" s="15"/>
      <c r="U1639" s="15"/>
    </row>
    <row r="1640" spans="12:21" ht="23.35" customHeight="1">
      <c r="L1640" s="15"/>
      <c r="M1640" s="15"/>
      <c r="N1640" s="15"/>
      <c r="T1640" s="15"/>
      <c r="U1640" s="15"/>
    </row>
    <row r="1641" spans="12:21" ht="23.35" customHeight="1">
      <c r="L1641" s="15"/>
      <c r="M1641" s="15"/>
      <c r="N1641" s="15"/>
      <c r="T1641" s="15"/>
      <c r="U1641" s="15"/>
    </row>
    <row r="1642" spans="12:21" ht="23.35" customHeight="1">
      <c r="L1642" s="15"/>
      <c r="M1642" s="15"/>
      <c r="N1642" s="15"/>
      <c r="T1642" s="15"/>
      <c r="U1642" s="15"/>
    </row>
    <row r="1643" spans="12:21" ht="23.35" customHeight="1">
      <c r="L1643" s="15"/>
      <c r="M1643" s="15"/>
      <c r="N1643" s="15"/>
      <c r="T1643" s="15"/>
      <c r="U1643" s="15"/>
    </row>
    <row r="1644" spans="12:21" ht="23.35" customHeight="1">
      <c r="L1644" s="15"/>
      <c r="M1644" s="15"/>
      <c r="N1644" s="15"/>
      <c r="T1644" s="15"/>
      <c r="U1644" s="15"/>
    </row>
    <row r="1645" spans="12:21" ht="23.35" customHeight="1">
      <c r="L1645" s="15"/>
      <c r="M1645" s="15"/>
      <c r="N1645" s="15"/>
      <c r="T1645" s="15"/>
      <c r="U1645" s="15"/>
    </row>
    <row r="1646" spans="12:21" ht="23.35" customHeight="1">
      <c r="L1646" s="15"/>
      <c r="M1646" s="15"/>
      <c r="N1646" s="15"/>
      <c r="T1646" s="15"/>
      <c r="U1646" s="15"/>
    </row>
    <row r="1647" spans="12:21" ht="23.35" customHeight="1">
      <c r="L1647" s="15"/>
      <c r="M1647" s="15"/>
      <c r="N1647" s="15"/>
      <c r="T1647" s="15"/>
      <c r="U1647" s="15"/>
    </row>
    <row r="1648" spans="12:21" ht="23.35" customHeight="1">
      <c r="L1648" s="15"/>
      <c r="M1648" s="15"/>
      <c r="N1648" s="15"/>
      <c r="T1648" s="15"/>
      <c r="U1648" s="15"/>
    </row>
    <row r="1649" spans="12:21" ht="23.35" customHeight="1">
      <c r="L1649" s="15"/>
      <c r="M1649" s="15"/>
      <c r="N1649" s="15"/>
      <c r="T1649" s="15"/>
      <c r="U1649" s="15"/>
    </row>
    <row r="1650" spans="12:21" ht="23.35" customHeight="1">
      <c r="L1650" s="15"/>
      <c r="M1650" s="15"/>
      <c r="N1650" s="15"/>
      <c r="T1650" s="15"/>
      <c r="U1650" s="15"/>
    </row>
    <row r="1651" spans="12:21" ht="23.35" customHeight="1">
      <c r="L1651" s="15"/>
      <c r="M1651" s="15"/>
      <c r="N1651" s="15"/>
      <c r="T1651" s="15"/>
      <c r="U1651" s="15"/>
    </row>
    <row r="1652" spans="12:21" ht="23.35" customHeight="1">
      <c r="L1652" s="15"/>
      <c r="M1652" s="15"/>
      <c r="N1652" s="15"/>
      <c r="T1652" s="15"/>
      <c r="U1652" s="15"/>
    </row>
    <row r="1653" spans="12:21" ht="23.35" customHeight="1">
      <c r="L1653" s="15"/>
      <c r="M1653" s="15"/>
      <c r="N1653" s="15"/>
      <c r="T1653" s="15"/>
      <c r="U1653" s="15"/>
    </row>
    <row r="1654" spans="12:21" ht="23.35" customHeight="1">
      <c r="L1654" s="15"/>
      <c r="M1654" s="15"/>
      <c r="N1654" s="15"/>
      <c r="T1654" s="15"/>
      <c r="U1654" s="15"/>
    </row>
    <row r="1655" spans="12:21" ht="23.35" customHeight="1">
      <c r="L1655" s="15"/>
      <c r="M1655" s="15"/>
      <c r="N1655" s="15"/>
      <c r="T1655" s="15"/>
      <c r="U1655" s="15"/>
    </row>
    <row r="1656" spans="12:21" ht="23.35" customHeight="1">
      <c r="L1656" s="15"/>
      <c r="M1656" s="15"/>
      <c r="N1656" s="15"/>
      <c r="T1656" s="15"/>
      <c r="U1656" s="15"/>
    </row>
    <row r="1657" spans="12:21" ht="23.35" customHeight="1">
      <c r="L1657" s="15"/>
      <c r="M1657" s="15"/>
      <c r="N1657" s="15"/>
      <c r="T1657" s="15"/>
      <c r="U1657" s="15"/>
    </row>
    <row r="1658" spans="12:21" ht="23.35" customHeight="1">
      <c r="L1658" s="15"/>
      <c r="M1658" s="15"/>
      <c r="N1658" s="15"/>
      <c r="T1658" s="15"/>
      <c r="U1658" s="15"/>
    </row>
    <row r="1659" spans="12:21" ht="23.35" customHeight="1">
      <c r="L1659" s="15"/>
      <c r="M1659" s="15"/>
      <c r="N1659" s="15"/>
      <c r="T1659" s="15"/>
      <c r="U1659" s="15"/>
    </row>
    <row r="1660" spans="12:21" ht="23.35" customHeight="1">
      <c r="L1660" s="15"/>
      <c r="M1660" s="15"/>
      <c r="N1660" s="15"/>
      <c r="T1660" s="15"/>
      <c r="U1660" s="15"/>
    </row>
    <row r="1661" spans="12:21" ht="23.35" customHeight="1">
      <c r="L1661" s="15"/>
      <c r="M1661" s="15"/>
      <c r="N1661" s="15"/>
      <c r="T1661" s="15"/>
      <c r="U1661" s="15"/>
    </row>
    <row r="1662" spans="12:21" ht="23.35" customHeight="1">
      <c r="L1662" s="15"/>
      <c r="M1662" s="15"/>
      <c r="N1662" s="15"/>
      <c r="T1662" s="15"/>
      <c r="U1662" s="15"/>
    </row>
    <row r="1663" spans="12:21" ht="23.35" customHeight="1">
      <c r="L1663" s="15"/>
      <c r="M1663" s="15"/>
      <c r="N1663" s="15"/>
      <c r="T1663" s="15"/>
      <c r="U1663" s="15"/>
    </row>
    <row r="1664" spans="12:21" ht="23.35" customHeight="1">
      <c r="L1664" s="15"/>
      <c r="M1664" s="15"/>
      <c r="N1664" s="15"/>
      <c r="T1664" s="15"/>
      <c r="U1664" s="15"/>
    </row>
    <row r="1665" spans="12:21" ht="23.35" customHeight="1">
      <c r="L1665" s="15"/>
      <c r="M1665" s="15"/>
      <c r="N1665" s="15"/>
      <c r="T1665" s="15"/>
      <c r="U1665" s="15"/>
    </row>
    <row r="1666" spans="12:21" ht="23.35" customHeight="1">
      <c r="L1666" s="15"/>
      <c r="M1666" s="15"/>
      <c r="N1666" s="15"/>
      <c r="T1666" s="15"/>
      <c r="U1666" s="15"/>
    </row>
    <row r="1667" spans="12:21" ht="23.35" customHeight="1">
      <c r="L1667" s="15"/>
      <c r="M1667" s="15"/>
      <c r="N1667" s="15"/>
      <c r="T1667" s="15"/>
      <c r="U1667" s="15"/>
    </row>
    <row r="1668" spans="12:21" ht="23.35" customHeight="1">
      <c r="L1668" s="15"/>
      <c r="M1668" s="15"/>
      <c r="N1668" s="15"/>
      <c r="T1668" s="15"/>
      <c r="U1668" s="15"/>
    </row>
    <row r="1669" spans="12:21" ht="23.35" customHeight="1">
      <c r="L1669" s="15"/>
      <c r="M1669" s="15"/>
      <c r="N1669" s="15"/>
      <c r="T1669" s="15"/>
      <c r="U1669" s="15"/>
    </row>
    <row r="1670" spans="12:21" ht="23.35" customHeight="1">
      <c r="L1670" s="15"/>
      <c r="M1670" s="15"/>
      <c r="N1670" s="15"/>
      <c r="T1670" s="15"/>
      <c r="U1670" s="15"/>
    </row>
    <row r="1671" spans="12:21" ht="23.35" customHeight="1">
      <c r="L1671" s="15"/>
      <c r="M1671" s="15"/>
      <c r="N1671" s="15"/>
      <c r="T1671" s="15"/>
      <c r="U1671" s="15"/>
    </row>
    <row r="1672" spans="12:21" ht="23.35" customHeight="1">
      <c r="L1672" s="15"/>
      <c r="M1672" s="15"/>
      <c r="N1672" s="15"/>
      <c r="T1672" s="15"/>
      <c r="U1672" s="15"/>
    </row>
    <row r="1673" spans="12:21" ht="23.35" customHeight="1">
      <c r="L1673" s="15"/>
      <c r="M1673" s="15"/>
      <c r="N1673" s="15"/>
      <c r="T1673" s="15"/>
      <c r="U1673" s="15"/>
    </row>
    <row r="1674" spans="12:21" ht="23.35" customHeight="1">
      <c r="L1674" s="15"/>
      <c r="M1674" s="15"/>
      <c r="N1674" s="15"/>
      <c r="T1674" s="15"/>
      <c r="U1674" s="15"/>
    </row>
    <row r="1675" spans="12:21" ht="23.35" customHeight="1">
      <c r="L1675" s="15"/>
      <c r="M1675" s="15"/>
      <c r="N1675" s="15"/>
      <c r="T1675" s="15"/>
      <c r="U1675" s="15"/>
    </row>
    <row r="1676" spans="12:21" ht="23.35" customHeight="1">
      <c r="L1676" s="15"/>
      <c r="M1676" s="15"/>
      <c r="N1676" s="15"/>
      <c r="T1676" s="15"/>
      <c r="U1676" s="15"/>
    </row>
    <row r="1677" spans="12:21" ht="23.35" customHeight="1">
      <c r="L1677" s="15"/>
      <c r="M1677" s="15"/>
      <c r="N1677" s="15"/>
      <c r="T1677" s="15"/>
      <c r="U1677" s="15"/>
    </row>
    <row r="1678" spans="12:21" ht="23.35" customHeight="1">
      <c r="L1678" s="15"/>
      <c r="M1678" s="15"/>
      <c r="N1678" s="15"/>
      <c r="T1678" s="15"/>
      <c r="U1678" s="15"/>
    </row>
    <row r="1679" spans="12:21" ht="23.35" customHeight="1">
      <c r="L1679" s="15"/>
      <c r="M1679" s="15"/>
      <c r="N1679" s="15"/>
      <c r="T1679" s="15"/>
      <c r="U1679" s="15"/>
    </row>
    <row r="1680" spans="12:21" ht="23.35" customHeight="1">
      <c r="L1680" s="15"/>
      <c r="M1680" s="15"/>
      <c r="N1680" s="15"/>
      <c r="T1680" s="15"/>
      <c r="U1680" s="15"/>
    </row>
    <row r="1681" spans="12:21" ht="23.35" customHeight="1">
      <c r="L1681" s="15"/>
      <c r="M1681" s="15"/>
      <c r="N1681" s="15"/>
      <c r="T1681" s="15"/>
      <c r="U1681" s="15"/>
    </row>
    <row r="1682" spans="12:21" ht="23.35" customHeight="1">
      <c r="L1682" s="15"/>
      <c r="M1682" s="15"/>
      <c r="N1682" s="15"/>
      <c r="T1682" s="15"/>
      <c r="U1682" s="15"/>
    </row>
    <row r="1683" spans="12:21" ht="23.35" customHeight="1">
      <c r="L1683" s="15"/>
      <c r="M1683" s="15"/>
      <c r="N1683" s="15"/>
      <c r="T1683" s="15"/>
      <c r="U1683" s="15"/>
    </row>
    <row r="1684" spans="12:21" ht="23.35" customHeight="1">
      <c r="L1684" s="15"/>
      <c r="M1684" s="15"/>
      <c r="N1684" s="15"/>
      <c r="T1684" s="15"/>
      <c r="U1684" s="15"/>
    </row>
    <row r="1685" spans="12:21" ht="23.35" customHeight="1">
      <c r="L1685" s="15"/>
      <c r="M1685" s="15"/>
      <c r="N1685" s="15"/>
      <c r="T1685" s="15"/>
      <c r="U1685" s="15"/>
    </row>
    <row r="1686" spans="12:21" ht="23.35" customHeight="1">
      <c r="L1686" s="15"/>
      <c r="M1686" s="15"/>
      <c r="N1686" s="15"/>
      <c r="T1686" s="15"/>
      <c r="U1686" s="15"/>
    </row>
    <row r="1687" spans="12:21" ht="23.35" customHeight="1">
      <c r="L1687" s="15"/>
      <c r="M1687" s="15"/>
      <c r="N1687" s="15"/>
      <c r="T1687" s="15"/>
      <c r="U1687" s="15"/>
    </row>
    <row r="1688" spans="12:21" ht="23.35" customHeight="1">
      <c r="L1688" s="15"/>
      <c r="M1688" s="15"/>
      <c r="N1688" s="15"/>
      <c r="T1688" s="15"/>
      <c r="U1688" s="15"/>
    </row>
    <row r="1689" spans="12:21" ht="23.35" customHeight="1">
      <c r="L1689" s="15"/>
      <c r="M1689" s="15"/>
      <c r="N1689" s="15"/>
      <c r="T1689" s="15"/>
      <c r="U1689" s="15"/>
    </row>
    <row r="1690" spans="12:21" ht="23.35" customHeight="1">
      <c r="L1690" s="15"/>
      <c r="M1690" s="15"/>
      <c r="N1690" s="15"/>
      <c r="T1690" s="15"/>
      <c r="U1690" s="15"/>
    </row>
    <row r="1691" spans="12:21" ht="23.35" customHeight="1">
      <c r="L1691" s="15"/>
      <c r="M1691" s="15"/>
      <c r="N1691" s="15"/>
      <c r="T1691" s="15"/>
      <c r="U1691" s="15"/>
    </row>
    <row r="1692" spans="12:21" ht="23.35" customHeight="1">
      <c r="L1692" s="15"/>
      <c r="M1692" s="15"/>
      <c r="N1692" s="15"/>
      <c r="T1692" s="15"/>
      <c r="U1692" s="15"/>
    </row>
    <row r="1693" spans="12:21" ht="23.35" customHeight="1">
      <c r="L1693" s="15"/>
      <c r="M1693" s="15"/>
      <c r="N1693" s="15"/>
      <c r="T1693" s="15"/>
      <c r="U1693" s="15"/>
    </row>
    <row r="1694" spans="12:21" ht="23.35" customHeight="1">
      <c r="L1694" s="15"/>
      <c r="M1694" s="15"/>
      <c r="N1694" s="15"/>
      <c r="T1694" s="15"/>
      <c r="U1694" s="15"/>
    </row>
    <row r="1695" spans="12:21" ht="23.35" customHeight="1">
      <c r="L1695" s="15"/>
      <c r="M1695" s="15"/>
      <c r="N1695" s="15"/>
      <c r="T1695" s="15"/>
      <c r="U1695" s="15"/>
    </row>
    <row r="1696" spans="12:21" ht="23.35" customHeight="1">
      <c r="L1696" s="15"/>
      <c r="M1696" s="15"/>
      <c r="N1696" s="15"/>
      <c r="T1696" s="15"/>
      <c r="U1696" s="15"/>
    </row>
    <row r="1697" spans="12:21" ht="23.35" customHeight="1">
      <c r="L1697" s="15"/>
      <c r="M1697" s="15"/>
      <c r="N1697" s="15"/>
      <c r="T1697" s="15"/>
      <c r="U1697" s="15"/>
    </row>
    <row r="1698" spans="12:21" ht="23.35" customHeight="1">
      <c r="L1698" s="15"/>
      <c r="M1698" s="15"/>
      <c r="N1698" s="15"/>
      <c r="T1698" s="15"/>
      <c r="U1698" s="15"/>
    </row>
    <row r="1699" spans="12:21" ht="23.35" customHeight="1">
      <c r="L1699" s="15"/>
      <c r="M1699" s="15"/>
      <c r="N1699" s="15"/>
      <c r="T1699" s="15"/>
      <c r="U1699" s="15"/>
    </row>
    <row r="1700" spans="12:21" ht="23.35" customHeight="1">
      <c r="L1700" s="15"/>
      <c r="M1700" s="15"/>
      <c r="N1700" s="15"/>
      <c r="T1700" s="15"/>
      <c r="U1700" s="15"/>
    </row>
    <row r="1701" spans="12:21" ht="23.35" customHeight="1">
      <c r="L1701" s="15"/>
      <c r="M1701" s="15"/>
      <c r="N1701" s="15"/>
      <c r="T1701" s="15"/>
      <c r="U1701" s="15"/>
    </row>
    <row r="1702" spans="12:21" ht="23.35" customHeight="1">
      <c r="L1702" s="15"/>
      <c r="M1702" s="15"/>
      <c r="N1702" s="15"/>
      <c r="T1702" s="15"/>
      <c r="U1702" s="15"/>
    </row>
    <row r="1703" spans="12:21" ht="23.35" customHeight="1">
      <c r="L1703" s="15"/>
      <c r="M1703" s="15"/>
      <c r="N1703" s="15"/>
      <c r="T1703" s="15"/>
      <c r="U1703" s="15"/>
    </row>
    <row r="1704" spans="12:21" ht="23.35" customHeight="1">
      <c r="L1704" s="15"/>
      <c r="M1704" s="15"/>
      <c r="N1704" s="15"/>
      <c r="T1704" s="15"/>
      <c r="U1704" s="15"/>
    </row>
    <row r="1705" spans="12:21" ht="23.35" customHeight="1">
      <c r="L1705" s="15"/>
      <c r="M1705" s="15"/>
      <c r="N1705" s="15"/>
      <c r="T1705" s="15"/>
      <c r="U1705" s="15"/>
    </row>
    <row r="1706" spans="12:21" ht="23.35" customHeight="1">
      <c r="L1706" s="15"/>
      <c r="M1706" s="15"/>
      <c r="N1706" s="15"/>
      <c r="T1706" s="15"/>
      <c r="U1706" s="15"/>
    </row>
    <row r="1707" spans="12:21" ht="23.35" customHeight="1">
      <c r="L1707" s="15"/>
      <c r="M1707" s="15"/>
      <c r="N1707" s="15"/>
      <c r="T1707" s="15"/>
      <c r="U1707" s="15"/>
    </row>
    <row r="1708" spans="12:21" ht="23.35" customHeight="1">
      <c r="L1708" s="15"/>
      <c r="M1708" s="15"/>
      <c r="N1708" s="15"/>
      <c r="T1708" s="15"/>
      <c r="U1708" s="15"/>
    </row>
    <row r="1709" spans="12:21" ht="23.35" customHeight="1">
      <c r="L1709" s="15"/>
      <c r="M1709" s="15"/>
      <c r="N1709" s="15"/>
      <c r="T1709" s="15"/>
      <c r="U1709" s="15"/>
    </row>
    <row r="1710" spans="12:21" ht="23.35" customHeight="1">
      <c r="L1710" s="15"/>
      <c r="M1710" s="15"/>
      <c r="N1710" s="15"/>
      <c r="T1710" s="15"/>
      <c r="U1710" s="15"/>
    </row>
    <row r="1711" spans="12:21" ht="23.35" customHeight="1">
      <c r="L1711" s="15"/>
      <c r="M1711" s="15"/>
      <c r="N1711" s="15"/>
      <c r="T1711" s="15"/>
      <c r="U1711" s="15"/>
    </row>
    <row r="1712" spans="12:21" ht="23.35" customHeight="1">
      <c r="L1712" s="15"/>
      <c r="M1712" s="15"/>
      <c r="N1712" s="15"/>
      <c r="T1712" s="15"/>
      <c r="U1712" s="15"/>
    </row>
    <row r="1713" spans="12:21" ht="23.35" customHeight="1">
      <c r="L1713" s="15"/>
      <c r="M1713" s="15"/>
      <c r="N1713" s="15"/>
      <c r="T1713" s="15"/>
      <c r="U1713" s="15"/>
    </row>
    <row r="1714" spans="12:21" ht="23.35" customHeight="1">
      <c r="L1714" s="15"/>
      <c r="M1714" s="15"/>
      <c r="N1714" s="15"/>
      <c r="T1714" s="15"/>
      <c r="U1714" s="15"/>
    </row>
    <row r="1715" spans="12:21" ht="23.35" customHeight="1">
      <c r="L1715" s="15"/>
      <c r="M1715" s="15"/>
      <c r="N1715" s="15"/>
      <c r="T1715" s="15"/>
      <c r="U1715" s="15"/>
    </row>
    <row r="1716" spans="12:21" ht="23.35" customHeight="1">
      <c r="L1716" s="15"/>
      <c r="M1716" s="15"/>
      <c r="N1716" s="15"/>
      <c r="T1716" s="15"/>
      <c r="U1716" s="15"/>
    </row>
    <row r="1717" spans="12:21" ht="23.35" customHeight="1">
      <c r="L1717" s="15"/>
      <c r="M1717" s="15"/>
      <c r="N1717" s="15"/>
      <c r="T1717" s="15"/>
      <c r="U1717" s="15"/>
    </row>
    <row r="1718" spans="12:21" ht="23.35" customHeight="1">
      <c r="L1718" s="15"/>
      <c r="M1718" s="15"/>
      <c r="N1718" s="15"/>
      <c r="T1718" s="15"/>
      <c r="U1718" s="15"/>
    </row>
    <row r="1719" spans="12:21" ht="23.35" customHeight="1">
      <c r="L1719" s="15"/>
      <c r="M1719" s="15"/>
      <c r="N1719" s="15"/>
      <c r="T1719" s="15"/>
      <c r="U1719" s="15"/>
    </row>
    <row r="1720" spans="12:21" ht="23.35" customHeight="1">
      <c r="L1720" s="15"/>
      <c r="M1720" s="15"/>
      <c r="N1720" s="15"/>
      <c r="T1720" s="15"/>
      <c r="U1720" s="15"/>
    </row>
    <row r="1721" spans="12:21" ht="23.35" customHeight="1">
      <c r="L1721" s="15"/>
      <c r="M1721" s="15"/>
      <c r="N1721" s="15"/>
      <c r="T1721" s="15"/>
      <c r="U1721" s="15"/>
    </row>
    <row r="1722" spans="12:21" ht="23.35" customHeight="1">
      <c r="L1722" s="15"/>
      <c r="M1722" s="15"/>
      <c r="N1722" s="15"/>
      <c r="T1722" s="15"/>
      <c r="U1722" s="15"/>
    </row>
    <row r="1723" spans="12:21" ht="23.35" customHeight="1">
      <c r="L1723" s="15"/>
      <c r="M1723" s="15"/>
      <c r="N1723" s="15"/>
      <c r="T1723" s="15"/>
      <c r="U1723" s="15"/>
    </row>
    <row r="1724" spans="12:21" ht="23.35" customHeight="1">
      <c r="L1724" s="15"/>
      <c r="M1724" s="15"/>
      <c r="N1724" s="15"/>
      <c r="T1724" s="15"/>
      <c r="U1724" s="15"/>
    </row>
    <row r="1725" spans="12:21" ht="23.35" customHeight="1">
      <c r="L1725" s="15"/>
      <c r="M1725" s="15"/>
      <c r="N1725" s="15"/>
      <c r="T1725" s="15"/>
      <c r="U1725" s="15"/>
    </row>
    <row r="1726" spans="12:21" ht="23.35" customHeight="1">
      <c r="L1726" s="15"/>
      <c r="M1726" s="15"/>
      <c r="N1726" s="15"/>
      <c r="T1726" s="15"/>
      <c r="U1726" s="15"/>
    </row>
    <row r="1727" spans="12:21" ht="23.35" customHeight="1">
      <c r="L1727" s="15"/>
      <c r="M1727" s="15"/>
      <c r="N1727" s="15"/>
      <c r="T1727" s="15"/>
      <c r="U1727" s="15"/>
    </row>
    <row r="1728" spans="12:21" ht="23.35" customHeight="1">
      <c r="L1728" s="15"/>
      <c r="M1728" s="15"/>
      <c r="N1728" s="15"/>
      <c r="T1728" s="15"/>
      <c r="U1728" s="15"/>
    </row>
    <row r="1729" spans="12:21" ht="23.35" customHeight="1">
      <c r="L1729" s="15"/>
      <c r="M1729" s="15"/>
      <c r="N1729" s="15"/>
      <c r="T1729" s="15"/>
      <c r="U1729" s="15"/>
    </row>
    <row r="1730" spans="12:21" ht="23.35" customHeight="1">
      <c r="L1730" s="15"/>
      <c r="M1730" s="15"/>
      <c r="N1730" s="15"/>
      <c r="T1730" s="15"/>
      <c r="U1730" s="15"/>
    </row>
    <row r="1731" spans="12:21" ht="23.35" customHeight="1">
      <c r="L1731" s="15"/>
      <c r="M1731" s="15"/>
      <c r="N1731" s="15"/>
      <c r="T1731" s="15"/>
      <c r="U1731" s="15"/>
    </row>
    <row r="1732" spans="12:21" ht="23.35" customHeight="1">
      <c r="L1732" s="15"/>
      <c r="M1732" s="15"/>
      <c r="N1732" s="15"/>
      <c r="T1732" s="15"/>
      <c r="U1732" s="15"/>
    </row>
    <row r="1733" spans="12:21" ht="23.35" customHeight="1">
      <c r="L1733" s="15"/>
      <c r="M1733" s="15"/>
      <c r="N1733" s="15"/>
      <c r="T1733" s="15"/>
      <c r="U1733" s="15"/>
    </row>
    <row r="1734" spans="12:21" ht="23.35" customHeight="1">
      <c r="L1734" s="15"/>
      <c r="M1734" s="15"/>
      <c r="N1734" s="15"/>
      <c r="T1734" s="15"/>
      <c r="U1734" s="15"/>
    </row>
    <row r="1735" spans="12:21" ht="23.35" customHeight="1">
      <c r="L1735" s="15"/>
      <c r="M1735" s="15"/>
      <c r="N1735" s="15"/>
      <c r="T1735" s="15"/>
      <c r="U1735" s="15"/>
    </row>
    <row r="1736" spans="12:21" ht="23.35" customHeight="1">
      <c r="L1736" s="15"/>
      <c r="M1736" s="15"/>
      <c r="N1736" s="15"/>
      <c r="T1736" s="15"/>
      <c r="U1736" s="15"/>
    </row>
    <row r="1737" spans="12:21" ht="23.35" customHeight="1">
      <c r="L1737" s="15"/>
      <c r="M1737" s="15"/>
      <c r="N1737" s="15"/>
      <c r="T1737" s="15"/>
      <c r="U1737" s="15"/>
    </row>
    <row r="1738" spans="12:21" ht="23.35" customHeight="1">
      <c r="L1738" s="15"/>
      <c r="M1738" s="15"/>
      <c r="N1738" s="15"/>
      <c r="T1738" s="15"/>
      <c r="U1738" s="15"/>
    </row>
    <row r="1739" spans="12:21" ht="23.35" customHeight="1">
      <c r="L1739" s="15"/>
      <c r="M1739" s="15"/>
      <c r="N1739" s="15"/>
      <c r="T1739" s="15"/>
      <c r="U1739" s="15"/>
    </row>
    <row r="1740" spans="12:21" ht="23.35" customHeight="1">
      <c r="L1740" s="15"/>
      <c r="M1740" s="15"/>
      <c r="N1740" s="15"/>
      <c r="T1740" s="15"/>
      <c r="U1740" s="15"/>
    </row>
    <row r="1741" spans="12:21" ht="23.35" customHeight="1">
      <c r="L1741" s="15"/>
      <c r="M1741" s="15"/>
      <c r="N1741" s="15"/>
      <c r="T1741" s="15"/>
      <c r="U1741" s="15"/>
    </row>
    <row r="1742" spans="12:21" ht="23.35" customHeight="1">
      <c r="L1742" s="15"/>
      <c r="M1742" s="15"/>
      <c r="N1742" s="15"/>
      <c r="T1742" s="15"/>
      <c r="U1742" s="15"/>
    </row>
    <row r="1743" spans="12:21" ht="23.35" customHeight="1">
      <c r="L1743" s="15"/>
      <c r="M1743" s="15"/>
      <c r="N1743" s="15"/>
      <c r="T1743" s="15"/>
      <c r="U1743" s="15"/>
    </row>
    <row r="1744" spans="12:21" ht="23.35" customHeight="1">
      <c r="L1744" s="15"/>
      <c r="M1744" s="15"/>
      <c r="N1744" s="15"/>
      <c r="T1744" s="15"/>
      <c r="U1744" s="15"/>
    </row>
    <row r="1745" spans="12:21" ht="23.35" customHeight="1">
      <c r="L1745" s="15"/>
      <c r="M1745" s="15"/>
      <c r="N1745" s="15"/>
      <c r="T1745" s="15"/>
      <c r="U1745" s="15"/>
    </row>
    <row r="1746" spans="12:21" ht="23.35" customHeight="1">
      <c r="L1746" s="15"/>
      <c r="M1746" s="15"/>
      <c r="N1746" s="15"/>
      <c r="T1746" s="15"/>
      <c r="U1746" s="15"/>
    </row>
    <row r="1747" spans="12:21" ht="23.35" customHeight="1">
      <c r="L1747" s="15"/>
      <c r="M1747" s="15"/>
      <c r="N1747" s="15"/>
      <c r="T1747" s="15"/>
      <c r="U1747" s="15"/>
    </row>
    <row r="1748" spans="12:21" ht="23.35" customHeight="1">
      <c r="L1748" s="15"/>
      <c r="M1748" s="15"/>
      <c r="N1748" s="15"/>
      <c r="T1748" s="15"/>
      <c r="U1748" s="15"/>
    </row>
    <row r="1749" spans="12:21" ht="23.35" customHeight="1">
      <c r="L1749" s="15"/>
      <c r="M1749" s="15"/>
      <c r="N1749" s="15"/>
      <c r="T1749" s="15"/>
      <c r="U1749" s="15"/>
    </row>
    <row r="1750" spans="12:21" ht="23.35" customHeight="1">
      <c r="L1750" s="15"/>
      <c r="M1750" s="15"/>
      <c r="N1750" s="15"/>
      <c r="T1750" s="15"/>
      <c r="U1750" s="15"/>
    </row>
    <row r="1751" spans="12:21" ht="23.35" customHeight="1">
      <c r="L1751" s="15"/>
      <c r="M1751" s="15"/>
      <c r="N1751" s="15"/>
      <c r="T1751" s="15"/>
      <c r="U1751" s="15"/>
    </row>
    <row r="1752" spans="12:21" ht="23.35" customHeight="1">
      <c r="L1752" s="15"/>
      <c r="M1752" s="15"/>
      <c r="N1752" s="15"/>
      <c r="T1752" s="15"/>
      <c r="U1752" s="15"/>
    </row>
    <row r="1753" spans="12:21" ht="23.35" customHeight="1">
      <c r="L1753" s="15"/>
      <c r="M1753" s="15"/>
      <c r="N1753" s="15"/>
      <c r="T1753" s="15"/>
      <c r="U1753" s="15"/>
    </row>
    <row r="1754" spans="12:21" ht="23.35" customHeight="1">
      <c r="L1754" s="15"/>
      <c r="M1754" s="15"/>
      <c r="N1754" s="15"/>
      <c r="T1754" s="15"/>
      <c r="U1754" s="15"/>
    </row>
    <row r="1755" spans="12:21" ht="23.35" customHeight="1">
      <c r="L1755" s="15"/>
      <c r="M1755" s="15"/>
      <c r="N1755" s="15"/>
      <c r="T1755" s="15"/>
      <c r="U1755" s="15"/>
    </row>
    <row r="1756" spans="12:21" ht="23.35" customHeight="1">
      <c r="L1756" s="15"/>
      <c r="M1756" s="15"/>
      <c r="N1756" s="15"/>
      <c r="T1756" s="15"/>
      <c r="U1756" s="15"/>
    </row>
    <row r="1757" spans="12:21" ht="23.35" customHeight="1">
      <c r="L1757" s="15"/>
      <c r="M1757" s="15"/>
      <c r="N1757" s="15"/>
      <c r="T1757" s="15"/>
      <c r="U1757" s="15"/>
    </row>
    <row r="1758" spans="12:21" ht="23.35" customHeight="1">
      <c r="L1758" s="15"/>
      <c r="M1758" s="15"/>
      <c r="N1758" s="15"/>
      <c r="T1758" s="15"/>
      <c r="U1758" s="15"/>
    </row>
    <row r="1759" spans="12:21" ht="23.35" customHeight="1">
      <c r="L1759" s="15"/>
      <c r="M1759" s="15"/>
      <c r="N1759" s="15"/>
      <c r="T1759" s="15"/>
      <c r="U1759" s="15"/>
    </row>
    <row r="1760" spans="12:21" ht="23.35" customHeight="1">
      <c r="L1760" s="15"/>
      <c r="M1760" s="15"/>
      <c r="N1760" s="15"/>
      <c r="T1760" s="15"/>
      <c r="U1760" s="15"/>
    </row>
    <row r="1761" spans="12:21" ht="23.35" customHeight="1">
      <c r="L1761" s="15"/>
      <c r="M1761" s="15"/>
      <c r="N1761" s="15"/>
      <c r="T1761" s="15"/>
      <c r="U1761" s="15"/>
    </row>
    <row r="1762" spans="12:21" ht="23.35" customHeight="1">
      <c r="L1762" s="15"/>
      <c r="M1762" s="15"/>
      <c r="N1762" s="15"/>
      <c r="T1762" s="15"/>
      <c r="U1762" s="15"/>
    </row>
    <row r="1763" spans="12:21" ht="23.35" customHeight="1">
      <c r="L1763" s="15"/>
      <c r="M1763" s="15"/>
      <c r="N1763" s="15"/>
      <c r="T1763" s="15"/>
      <c r="U1763" s="15"/>
    </row>
    <row r="1764" spans="12:21" ht="23.35" customHeight="1">
      <c r="L1764" s="15"/>
      <c r="M1764" s="15"/>
      <c r="N1764" s="15"/>
      <c r="T1764" s="15"/>
      <c r="U1764" s="15"/>
    </row>
    <row r="1765" spans="12:21" ht="23.35" customHeight="1">
      <c r="L1765" s="15"/>
      <c r="M1765" s="15"/>
      <c r="N1765" s="15"/>
      <c r="T1765" s="15"/>
      <c r="U1765" s="15"/>
    </row>
    <row r="1766" spans="12:21" ht="23.35" customHeight="1">
      <c r="L1766" s="15"/>
      <c r="M1766" s="15"/>
      <c r="N1766" s="15"/>
      <c r="T1766" s="15"/>
      <c r="U1766" s="15"/>
    </row>
    <row r="1767" spans="12:21" ht="23.35" customHeight="1">
      <c r="L1767" s="15"/>
      <c r="M1767" s="15"/>
      <c r="N1767" s="15"/>
      <c r="T1767" s="15"/>
      <c r="U1767" s="15"/>
    </row>
    <row r="1768" spans="12:21" ht="23.35" customHeight="1">
      <c r="L1768" s="15"/>
      <c r="M1768" s="15"/>
      <c r="N1768" s="15"/>
      <c r="T1768" s="15"/>
      <c r="U1768" s="15"/>
    </row>
    <row r="1769" spans="12:21" ht="23.35" customHeight="1">
      <c r="L1769" s="15"/>
      <c r="M1769" s="15"/>
      <c r="N1769" s="15"/>
      <c r="T1769" s="15"/>
      <c r="U1769" s="15"/>
    </row>
    <row r="1770" spans="12:21" ht="23.35" customHeight="1">
      <c r="L1770" s="15"/>
      <c r="M1770" s="15"/>
      <c r="N1770" s="15"/>
      <c r="T1770" s="15"/>
      <c r="U1770" s="15"/>
    </row>
    <row r="1771" spans="12:21" ht="23.35" customHeight="1">
      <c r="L1771" s="15"/>
      <c r="M1771" s="15"/>
      <c r="N1771" s="15"/>
      <c r="T1771" s="15"/>
      <c r="U1771" s="15"/>
    </row>
    <row r="1772" spans="12:21" ht="23.35" customHeight="1">
      <c r="L1772" s="15"/>
      <c r="M1772" s="15"/>
      <c r="N1772" s="15"/>
      <c r="T1772" s="15"/>
      <c r="U1772" s="15"/>
    </row>
    <row r="1773" spans="12:21" ht="23.35" customHeight="1">
      <c r="L1773" s="15"/>
      <c r="M1773" s="15"/>
      <c r="N1773" s="15"/>
      <c r="T1773" s="15"/>
      <c r="U1773" s="15"/>
    </row>
    <row r="1774" spans="12:21" ht="23.35" customHeight="1">
      <c r="L1774" s="15"/>
      <c r="M1774" s="15"/>
      <c r="N1774" s="15"/>
      <c r="T1774" s="15"/>
      <c r="U1774" s="15"/>
    </row>
    <row r="1775" spans="12:21" ht="23.35" customHeight="1">
      <c r="L1775" s="15"/>
      <c r="M1775" s="15"/>
      <c r="N1775" s="15"/>
      <c r="T1775" s="15"/>
      <c r="U1775" s="15"/>
    </row>
    <row r="1776" spans="12:21" ht="23.35" customHeight="1">
      <c r="L1776" s="15"/>
      <c r="M1776" s="15"/>
      <c r="N1776" s="15"/>
      <c r="T1776" s="15"/>
      <c r="U1776" s="15"/>
    </row>
    <row r="1777" spans="12:21" ht="23.35" customHeight="1">
      <c r="L1777" s="15"/>
      <c r="M1777" s="15"/>
      <c r="N1777" s="15"/>
      <c r="T1777" s="15"/>
      <c r="U1777" s="15"/>
    </row>
    <row r="1778" spans="12:21" ht="23.35" customHeight="1">
      <c r="L1778" s="15"/>
      <c r="M1778" s="15"/>
      <c r="N1778" s="15"/>
      <c r="T1778" s="15"/>
      <c r="U1778" s="15"/>
    </row>
    <row r="1779" spans="12:21" ht="23.35" customHeight="1">
      <c r="L1779" s="15"/>
      <c r="M1779" s="15"/>
      <c r="N1779" s="15"/>
      <c r="T1779" s="15"/>
      <c r="U1779" s="15"/>
    </row>
    <row r="1780" spans="12:21" ht="23.35" customHeight="1">
      <c r="L1780" s="15"/>
      <c r="M1780" s="15"/>
      <c r="N1780" s="15"/>
      <c r="T1780" s="15"/>
      <c r="U1780" s="15"/>
    </row>
    <row r="1781" spans="12:21" ht="23.35" customHeight="1">
      <c r="L1781" s="15"/>
      <c r="M1781" s="15"/>
      <c r="N1781" s="15"/>
      <c r="T1781" s="15"/>
      <c r="U1781" s="15"/>
    </row>
    <row r="1782" spans="12:21" ht="23.35" customHeight="1">
      <c r="L1782" s="15"/>
      <c r="M1782" s="15"/>
      <c r="N1782" s="15"/>
      <c r="T1782" s="15"/>
      <c r="U1782" s="15"/>
    </row>
    <row r="1783" spans="12:21" ht="23.35" customHeight="1">
      <c r="L1783" s="15"/>
      <c r="M1783" s="15"/>
      <c r="N1783" s="15"/>
      <c r="T1783" s="15"/>
      <c r="U1783" s="15"/>
    </row>
    <row r="1784" spans="12:21" ht="23.35" customHeight="1">
      <c r="L1784" s="15"/>
      <c r="M1784" s="15"/>
      <c r="N1784" s="15"/>
      <c r="T1784" s="15"/>
      <c r="U1784" s="15"/>
    </row>
    <row r="1785" spans="12:21" ht="23.35" customHeight="1">
      <c r="L1785" s="15"/>
      <c r="M1785" s="15"/>
      <c r="N1785" s="15"/>
      <c r="T1785" s="15"/>
      <c r="U1785" s="15"/>
    </row>
    <row r="1786" spans="12:21" ht="23.35" customHeight="1">
      <c r="L1786" s="15"/>
      <c r="M1786" s="15"/>
      <c r="N1786" s="15"/>
      <c r="T1786" s="15"/>
      <c r="U1786" s="15"/>
    </row>
    <row r="1787" spans="12:21" ht="23.35" customHeight="1">
      <c r="L1787" s="15"/>
      <c r="M1787" s="15"/>
      <c r="N1787" s="15"/>
      <c r="T1787" s="15"/>
      <c r="U1787" s="15"/>
    </row>
    <row r="1788" spans="12:21" ht="23.35" customHeight="1">
      <c r="L1788" s="15"/>
      <c r="M1788" s="15"/>
      <c r="N1788" s="15"/>
      <c r="T1788" s="15"/>
      <c r="U1788" s="15"/>
    </row>
    <row r="1789" spans="12:21" ht="23.35" customHeight="1">
      <c r="L1789" s="15"/>
      <c r="M1789" s="15"/>
      <c r="N1789" s="15"/>
      <c r="T1789" s="15"/>
      <c r="U1789" s="15"/>
    </row>
    <row r="1790" spans="12:21" ht="23.35" customHeight="1">
      <c r="L1790" s="15"/>
      <c r="M1790" s="15"/>
      <c r="N1790" s="15"/>
      <c r="T1790" s="15"/>
      <c r="U1790" s="15"/>
    </row>
    <row r="1791" spans="12:21" ht="23.35" customHeight="1">
      <c r="L1791" s="15"/>
      <c r="M1791" s="15"/>
      <c r="N1791" s="15"/>
      <c r="T1791" s="15"/>
      <c r="U1791" s="15"/>
    </row>
    <row r="1792" spans="12:21" ht="23.35" customHeight="1">
      <c r="L1792" s="15"/>
      <c r="M1792" s="15"/>
      <c r="N1792" s="15"/>
      <c r="T1792" s="15"/>
      <c r="U1792" s="15"/>
    </row>
    <row r="1793" spans="12:21" ht="23.35" customHeight="1">
      <c r="L1793" s="15"/>
      <c r="M1793" s="15"/>
      <c r="N1793" s="15"/>
      <c r="T1793" s="15"/>
      <c r="U1793" s="15"/>
    </row>
    <row r="1794" spans="12:21" ht="23.35" customHeight="1">
      <c r="L1794" s="15"/>
      <c r="M1794" s="15"/>
      <c r="N1794" s="15"/>
      <c r="T1794" s="15"/>
      <c r="U1794" s="15"/>
    </row>
    <row r="1795" spans="12:21" ht="23.35" customHeight="1">
      <c r="L1795" s="15"/>
      <c r="M1795" s="15"/>
      <c r="N1795" s="15"/>
      <c r="T1795" s="15"/>
      <c r="U1795" s="15"/>
    </row>
    <row r="1796" spans="12:21" ht="23.35" customHeight="1">
      <c r="L1796" s="15"/>
      <c r="M1796" s="15"/>
      <c r="N1796" s="15"/>
      <c r="T1796" s="15"/>
      <c r="U1796" s="15"/>
    </row>
    <row r="1797" spans="12:21" ht="23.35" customHeight="1">
      <c r="L1797" s="15"/>
      <c r="M1797" s="15"/>
      <c r="N1797" s="15"/>
      <c r="T1797" s="15"/>
      <c r="U1797" s="15"/>
    </row>
    <row r="1798" spans="12:21" ht="23.35" customHeight="1">
      <c r="L1798" s="15"/>
      <c r="M1798" s="15"/>
      <c r="N1798" s="15"/>
      <c r="T1798" s="15"/>
      <c r="U1798" s="15"/>
    </row>
    <row r="1799" spans="12:21" ht="23.35" customHeight="1">
      <c r="L1799" s="15"/>
      <c r="M1799" s="15"/>
      <c r="N1799" s="15"/>
      <c r="T1799" s="15"/>
      <c r="U1799" s="15"/>
    </row>
    <row r="1800" spans="12:21" ht="23.35" customHeight="1">
      <c r="L1800" s="15"/>
      <c r="M1800" s="15"/>
      <c r="N1800" s="15"/>
      <c r="T1800" s="15"/>
      <c r="U1800" s="15"/>
    </row>
    <row r="1801" spans="12:21" ht="23.35" customHeight="1">
      <c r="L1801" s="15"/>
      <c r="M1801" s="15"/>
      <c r="N1801" s="15"/>
      <c r="T1801" s="15"/>
      <c r="U1801" s="15"/>
    </row>
    <row r="1802" spans="12:21" ht="23.35" customHeight="1">
      <c r="L1802" s="15"/>
      <c r="M1802" s="15"/>
      <c r="N1802" s="15"/>
      <c r="T1802" s="15"/>
      <c r="U1802" s="15"/>
    </row>
    <row r="1803" spans="12:21" ht="23.35" customHeight="1">
      <c r="L1803" s="15"/>
      <c r="M1803" s="15"/>
      <c r="N1803" s="15"/>
      <c r="T1803" s="15"/>
      <c r="U1803" s="15"/>
    </row>
    <row r="1804" spans="12:21" ht="23.35" customHeight="1">
      <c r="L1804" s="15"/>
      <c r="M1804" s="15"/>
      <c r="N1804" s="15"/>
      <c r="T1804" s="15"/>
      <c r="U1804" s="15"/>
    </row>
    <row r="1805" spans="12:21" ht="23.35" customHeight="1">
      <c r="L1805" s="15"/>
      <c r="M1805" s="15"/>
      <c r="N1805" s="15"/>
      <c r="T1805" s="15"/>
      <c r="U1805" s="15"/>
    </row>
    <row r="1806" spans="12:21" ht="23.35" customHeight="1">
      <c r="L1806" s="15"/>
      <c r="M1806" s="15"/>
      <c r="N1806" s="15"/>
      <c r="T1806" s="15"/>
      <c r="U1806" s="15"/>
    </row>
    <row r="1807" spans="12:21" ht="23.35" customHeight="1">
      <c r="L1807" s="15"/>
      <c r="M1807" s="15"/>
      <c r="N1807" s="15"/>
      <c r="T1807" s="15"/>
      <c r="U1807" s="15"/>
    </row>
    <row r="1808" spans="12:21" ht="23.35" customHeight="1">
      <c r="L1808" s="15"/>
      <c r="M1808" s="15"/>
      <c r="N1808" s="15"/>
      <c r="T1808" s="15"/>
      <c r="U1808" s="15"/>
    </row>
    <row r="1809" spans="12:21" ht="23.35" customHeight="1">
      <c r="L1809" s="15"/>
      <c r="M1809" s="15"/>
      <c r="N1809" s="15"/>
      <c r="T1809" s="15"/>
      <c r="U1809" s="15"/>
    </row>
    <row r="1810" spans="12:21" ht="23.35" customHeight="1">
      <c r="L1810" s="15"/>
      <c r="M1810" s="15"/>
      <c r="N1810" s="15"/>
      <c r="T1810" s="15"/>
      <c r="U1810" s="15"/>
    </row>
    <row r="1811" spans="12:21" ht="23.35" customHeight="1">
      <c r="L1811" s="15"/>
      <c r="M1811" s="15"/>
      <c r="N1811" s="15"/>
      <c r="T1811" s="15"/>
      <c r="U1811" s="15"/>
    </row>
    <row r="1812" spans="12:21" ht="23.35" customHeight="1">
      <c r="L1812" s="15"/>
      <c r="M1812" s="15"/>
      <c r="N1812" s="15"/>
      <c r="T1812" s="15"/>
      <c r="U1812" s="15"/>
    </row>
    <row r="1813" spans="12:21" ht="23.35" customHeight="1">
      <c r="L1813" s="15"/>
      <c r="M1813" s="15"/>
      <c r="N1813" s="15"/>
      <c r="T1813" s="15"/>
      <c r="U1813" s="15"/>
    </row>
    <row r="1814" spans="12:21" ht="23.35" customHeight="1">
      <c r="L1814" s="15"/>
      <c r="M1814" s="15"/>
      <c r="N1814" s="15"/>
      <c r="T1814" s="15"/>
      <c r="U1814" s="15"/>
    </row>
    <row r="1815" spans="12:21" ht="23.35" customHeight="1">
      <c r="L1815" s="15"/>
      <c r="M1815" s="15"/>
      <c r="N1815" s="15"/>
      <c r="T1815" s="15"/>
      <c r="U1815" s="15"/>
    </row>
    <row r="1816" spans="12:21" ht="23.35" customHeight="1">
      <c r="L1816" s="15"/>
      <c r="M1816" s="15"/>
      <c r="N1816" s="15"/>
      <c r="T1816" s="15"/>
      <c r="U1816" s="15"/>
    </row>
    <row r="1817" spans="12:21" ht="23.35" customHeight="1">
      <c r="L1817" s="15"/>
      <c r="M1817" s="15"/>
      <c r="N1817" s="15"/>
      <c r="T1817" s="15"/>
      <c r="U1817" s="15"/>
    </row>
    <row r="1818" spans="12:21" ht="23.35" customHeight="1">
      <c r="L1818" s="15"/>
      <c r="M1818" s="15"/>
      <c r="N1818" s="15"/>
      <c r="T1818" s="15"/>
      <c r="U1818" s="15"/>
    </row>
    <row r="1819" spans="12:21" ht="23.35" customHeight="1">
      <c r="L1819" s="15"/>
      <c r="M1819" s="15"/>
      <c r="N1819" s="15"/>
      <c r="T1819" s="15"/>
      <c r="U1819" s="15"/>
    </row>
    <row r="1820" spans="12:21" ht="23.35" customHeight="1">
      <c r="L1820" s="15"/>
      <c r="M1820" s="15"/>
      <c r="N1820" s="15"/>
      <c r="T1820" s="15"/>
      <c r="U1820" s="15"/>
    </row>
    <row r="1821" spans="12:21" ht="23.35" customHeight="1">
      <c r="L1821" s="15"/>
      <c r="M1821" s="15"/>
      <c r="N1821" s="15"/>
      <c r="T1821" s="15"/>
      <c r="U1821" s="15"/>
    </row>
    <row r="1822" spans="12:21" ht="23.35" customHeight="1">
      <c r="L1822" s="15"/>
      <c r="M1822" s="15"/>
      <c r="N1822" s="15"/>
      <c r="T1822" s="15"/>
      <c r="U1822" s="15"/>
    </row>
    <row r="1823" spans="12:21" ht="23.35" customHeight="1">
      <c r="L1823" s="15"/>
      <c r="M1823" s="15"/>
      <c r="N1823" s="15"/>
      <c r="T1823" s="15"/>
      <c r="U1823" s="15"/>
    </row>
    <row r="1824" spans="12:21" ht="23.35" customHeight="1">
      <c r="L1824" s="15"/>
      <c r="M1824" s="15"/>
      <c r="N1824" s="15"/>
      <c r="T1824" s="15"/>
      <c r="U1824" s="15"/>
    </row>
    <row r="1825" spans="12:21" ht="23.35" customHeight="1">
      <c r="L1825" s="15"/>
      <c r="M1825" s="15"/>
      <c r="N1825" s="15"/>
      <c r="T1825" s="15"/>
      <c r="U1825" s="15"/>
    </row>
    <row r="1826" spans="12:21" ht="23.35" customHeight="1">
      <c r="L1826" s="15"/>
      <c r="M1826" s="15"/>
      <c r="N1826" s="15"/>
      <c r="T1826" s="15"/>
      <c r="U1826" s="15"/>
    </row>
    <row r="1827" spans="12:21" ht="23.35" customHeight="1">
      <c r="L1827" s="15"/>
      <c r="M1827" s="15"/>
      <c r="N1827" s="15"/>
      <c r="T1827" s="15"/>
      <c r="U1827" s="15"/>
    </row>
    <row r="1828" spans="12:21" ht="23.35" customHeight="1">
      <c r="L1828" s="15"/>
      <c r="M1828" s="15"/>
      <c r="N1828" s="15"/>
      <c r="T1828" s="15"/>
      <c r="U1828" s="15"/>
    </row>
    <row r="1829" spans="12:21" ht="23.35" customHeight="1">
      <c r="N1829" s="15"/>
    </row>
  </sheetData>
  <mergeCells count="72">
    <mergeCell ref="B734:C748"/>
    <mergeCell ref="A516:A748"/>
    <mergeCell ref="B659:C673"/>
    <mergeCell ref="B674:C688"/>
    <mergeCell ref="B689:C703"/>
    <mergeCell ref="B704:C718"/>
    <mergeCell ref="B719:C733"/>
    <mergeCell ref="B550:C566"/>
    <mergeCell ref="B567:C581"/>
    <mergeCell ref="B582:C596"/>
    <mergeCell ref="B597:C611"/>
    <mergeCell ref="B612:C626"/>
    <mergeCell ref="B627:C643"/>
    <mergeCell ref="B644:C658"/>
    <mergeCell ref="B533:C549"/>
    <mergeCell ref="V1:W1"/>
    <mergeCell ref="C6:W6"/>
    <mergeCell ref="A471:A515"/>
    <mergeCell ref="A208:A252"/>
    <mergeCell ref="A330:A346"/>
    <mergeCell ref="A347:A408"/>
    <mergeCell ref="A409:A470"/>
    <mergeCell ref="A22:A207"/>
    <mergeCell ref="C88:C102"/>
    <mergeCell ref="C133:C147"/>
    <mergeCell ref="C73:C87"/>
    <mergeCell ref="C103:C117"/>
    <mergeCell ref="C118:C132"/>
    <mergeCell ref="C148:C162"/>
    <mergeCell ref="B22:C38"/>
    <mergeCell ref="B39:C55"/>
    <mergeCell ref="B456:C470"/>
    <mergeCell ref="B471:C485"/>
    <mergeCell ref="W13:W14"/>
    <mergeCell ref="A15:W15"/>
    <mergeCell ref="A16:C18"/>
    <mergeCell ref="A19:C21"/>
    <mergeCell ref="F13:U13"/>
    <mergeCell ref="V13:V14"/>
    <mergeCell ref="A13:C14"/>
    <mergeCell ref="D13:D14"/>
    <mergeCell ref="E13:E14"/>
    <mergeCell ref="A253:A329"/>
    <mergeCell ref="B253:C269"/>
    <mergeCell ref="B330:C346"/>
    <mergeCell ref="B270:B299"/>
    <mergeCell ref="C285:C299"/>
    <mergeCell ref="F7:R7"/>
    <mergeCell ref="G8:Q8"/>
    <mergeCell ref="B394:C408"/>
    <mergeCell ref="B409:C425"/>
    <mergeCell ref="B426:C440"/>
    <mergeCell ref="C315:C329"/>
    <mergeCell ref="B300:B329"/>
    <mergeCell ref="C270:C284"/>
    <mergeCell ref="C300:C314"/>
    <mergeCell ref="B486:C500"/>
    <mergeCell ref="B501:C515"/>
    <mergeCell ref="B516:C532"/>
    <mergeCell ref="B56:C72"/>
    <mergeCell ref="B73:B117"/>
    <mergeCell ref="B118:B162"/>
    <mergeCell ref="B163:C177"/>
    <mergeCell ref="B178:C192"/>
    <mergeCell ref="B193:C207"/>
    <mergeCell ref="B208:C222"/>
    <mergeCell ref="B223:C237"/>
    <mergeCell ref="B238:C252"/>
    <mergeCell ref="B379:C393"/>
    <mergeCell ref="B441:C455"/>
    <mergeCell ref="B347:C363"/>
    <mergeCell ref="B364:C378"/>
  </mergeCells>
  <pageMargins left="0.27559055118110237" right="0.27559055118110237" top="0.31496062992125984" bottom="0.31496062992125984" header="0.19685039370078741" footer="0.31496062992125984"/>
  <pageSetup paperSize="9" scale="30" fitToHeight="2" orientation="portrait" r:id="rId1"/>
  <rowBreaks count="2" manualBreakCount="2">
    <brk id="329" max="22" man="1"/>
    <brk id="515" max="2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">
    <tabColor rgb="FFFFC000"/>
  </sheetPr>
  <dimension ref="A1:AB1906"/>
  <sheetViews>
    <sheetView view="pageBreakPreview" zoomScale="70" zoomScaleNormal="70" zoomScaleSheetLayoutView="70" workbookViewId="0">
      <pane xSplit="5" ySplit="15" topLeftCell="G66" activePane="bottomRight" state="frozen"/>
      <selection activeCell="C5" sqref="C5:W5"/>
      <selection pane="topRight" activeCell="C5" sqref="C5:W5"/>
      <selection pane="bottomLeft" activeCell="C5" sqref="C5:W5"/>
      <selection pane="bottomRight" activeCell="P83" sqref="P83"/>
    </sheetView>
  </sheetViews>
  <sheetFormatPr defaultColWidth="9.33203125" defaultRowHeight="12.55"/>
  <cols>
    <col min="1" max="1" width="10.44140625" style="249" customWidth="1"/>
    <col min="2" max="2" width="6.44140625" style="249" customWidth="1"/>
    <col min="3" max="3" width="7" style="155" customWidth="1"/>
    <col min="4" max="4" width="33.5546875" style="155" customWidth="1"/>
    <col min="5" max="5" width="15.109375" style="1" customWidth="1"/>
    <col min="6" max="6" width="13.6640625" style="15" customWidth="1"/>
    <col min="7" max="10" width="11.44140625" style="15" customWidth="1"/>
    <col min="11" max="11" width="12.44140625" style="15" customWidth="1"/>
    <col min="12" max="12" width="13.6640625" style="16" customWidth="1"/>
    <col min="13" max="13" width="12.5546875" style="16" customWidth="1"/>
    <col min="14" max="14" width="12" style="17" customWidth="1"/>
    <col min="15" max="17" width="11.44140625" style="15" customWidth="1"/>
    <col min="18" max="18" width="10.6640625" style="15" bestFit="1" customWidth="1"/>
    <col min="19" max="19" width="11.33203125" style="15" customWidth="1"/>
    <col min="20" max="20" width="13.44140625" style="16" customWidth="1"/>
    <col min="21" max="21" width="13.5546875" style="16" customWidth="1"/>
    <col min="22" max="22" width="13.44140625" style="78" customWidth="1"/>
    <col min="23" max="23" width="15.33203125" style="15" customWidth="1"/>
    <col min="24" max="24" width="13.44140625" style="13" customWidth="1"/>
    <col min="25" max="25" width="9.33203125" style="13"/>
    <col min="26" max="27" width="12.44140625" style="13" customWidth="1"/>
    <col min="28" max="16384" width="9.33203125" style="13"/>
  </cols>
  <sheetData>
    <row r="1" spans="1:27" s="3" customFormat="1" ht="31.95" customHeight="1">
      <c r="A1" s="545" t="s">
        <v>101</v>
      </c>
      <c r="E1" s="493" t="s">
        <v>131</v>
      </c>
      <c r="F1" s="472">
        <v>2602</v>
      </c>
      <c r="G1" s="472">
        <v>380035</v>
      </c>
      <c r="H1" s="472">
        <v>221295</v>
      </c>
      <c r="I1" s="472">
        <v>126155</v>
      </c>
      <c r="J1" s="472">
        <v>21948</v>
      </c>
      <c r="K1" s="472">
        <v>13342</v>
      </c>
      <c r="L1" s="472"/>
      <c r="M1" s="472"/>
      <c r="N1" s="472">
        <v>160861</v>
      </c>
      <c r="O1" s="472">
        <v>31509</v>
      </c>
      <c r="P1" s="472">
        <v>31955</v>
      </c>
      <c r="Q1" s="472">
        <v>39949</v>
      </c>
      <c r="R1" s="472">
        <v>64100</v>
      </c>
      <c r="S1" s="472">
        <v>186403</v>
      </c>
      <c r="T1" s="472">
        <v>1280154</v>
      </c>
      <c r="U1" s="329">
        <v>1280154</v>
      </c>
      <c r="V1" s="681" t="s">
        <v>3</v>
      </c>
      <c r="W1" s="681"/>
      <c r="Y1" s="311"/>
      <c r="Z1" s="310"/>
      <c r="AA1" s="312"/>
    </row>
    <row r="2" spans="1:27" s="3" customFormat="1" ht="17.7" customHeight="1">
      <c r="A2" s="155"/>
      <c r="B2" s="155"/>
      <c r="C2" s="158"/>
      <c r="D2" s="159"/>
      <c r="E2" s="385"/>
      <c r="F2" s="476">
        <f>F1/1000</f>
        <v>2.6019999999999999</v>
      </c>
      <c r="G2" s="476">
        <f t="shared" ref="G2:K2" si="0">G1/1000</f>
        <v>380.03500000000003</v>
      </c>
      <c r="H2" s="476">
        <f t="shared" si="0"/>
        <v>221.29499999999999</v>
      </c>
      <c r="I2" s="476">
        <f t="shared" si="0"/>
        <v>126.155</v>
      </c>
      <c r="J2" s="476">
        <f t="shared" si="0"/>
        <v>21.948</v>
      </c>
      <c r="K2" s="476">
        <f t="shared" si="0"/>
        <v>13.342000000000001</v>
      </c>
      <c r="L2" s="476"/>
      <c r="M2" s="476"/>
      <c r="N2" s="476">
        <f>N1/1000</f>
        <v>160.86099999999999</v>
      </c>
      <c r="O2" s="476">
        <f t="shared" ref="O2:S2" si="1">O1/1000</f>
        <v>31.509</v>
      </c>
      <c r="P2" s="476">
        <f t="shared" si="1"/>
        <v>31.954999999999998</v>
      </c>
      <c r="Q2" s="476">
        <f t="shared" si="1"/>
        <v>39.948999999999998</v>
      </c>
      <c r="R2" s="476">
        <f t="shared" si="1"/>
        <v>64.099999999999994</v>
      </c>
      <c r="S2" s="476">
        <f t="shared" si="1"/>
        <v>186.40299999999999</v>
      </c>
      <c r="T2" s="479">
        <f>SUM(F2:S2)</f>
        <v>1280.154</v>
      </c>
      <c r="U2" s="329">
        <f>U1/1000</f>
        <v>1280.154</v>
      </c>
      <c r="V2" s="77"/>
      <c r="W2" s="1"/>
      <c r="Y2" s="163"/>
      <c r="Z2" s="293"/>
      <c r="AA2" s="270"/>
    </row>
    <row r="3" spans="1:27" s="3" customFormat="1" ht="17.7" customHeight="1">
      <c r="A3" s="155"/>
      <c r="B3" s="155"/>
      <c r="C3" s="158"/>
      <c r="D3" s="159"/>
      <c r="E3" s="385"/>
      <c r="F3" s="477">
        <f>F2-F17-F18</f>
        <v>0</v>
      </c>
      <c r="G3" s="477">
        <f t="shared" ref="G3:K3" si="2">G2-G17-G18</f>
        <v>0</v>
      </c>
      <c r="H3" s="477">
        <f t="shared" si="2"/>
        <v>0</v>
      </c>
      <c r="I3" s="477">
        <f t="shared" si="2"/>
        <v>0</v>
      </c>
      <c r="J3" s="477">
        <f t="shared" si="2"/>
        <v>0</v>
      </c>
      <c r="K3" s="477">
        <f t="shared" si="2"/>
        <v>0</v>
      </c>
      <c r="L3" s="477"/>
      <c r="M3" s="477"/>
      <c r="N3" s="477">
        <f>N2-N17-N18</f>
        <v>0</v>
      </c>
      <c r="O3" s="477">
        <f t="shared" ref="O3" si="3">O2-O17-O18</f>
        <v>0</v>
      </c>
      <c r="P3" s="477">
        <f t="shared" ref="P3" si="4">P2-P17-P18</f>
        <v>0</v>
      </c>
      <c r="Q3" s="477">
        <f t="shared" ref="Q3" si="5">Q2-Q17-Q18</f>
        <v>0</v>
      </c>
      <c r="R3" s="477">
        <f t="shared" ref="R3" si="6">R2-R17-R18</f>
        <v>0</v>
      </c>
      <c r="S3" s="477">
        <f t="shared" ref="S3" si="7">S2-S17-S18</f>
        <v>0</v>
      </c>
      <c r="T3" s="478">
        <f>SUM(F3:S3)</f>
        <v>0</v>
      </c>
      <c r="U3" s="329">
        <f>U2-V16</f>
        <v>0</v>
      </c>
      <c r="V3" s="77"/>
      <c r="W3" s="1"/>
      <c r="Y3" s="163"/>
      <c r="Z3" s="293"/>
      <c r="AA3" s="270"/>
    </row>
    <row r="4" spans="1:27" s="3" customFormat="1" ht="17.55" customHeight="1">
      <c r="A4" s="155"/>
      <c r="B4" s="155"/>
      <c r="C4" s="158"/>
      <c r="D4" s="159"/>
      <c r="E4" s="4"/>
      <c r="F4" s="426"/>
      <c r="G4" s="424"/>
      <c r="H4" s="5"/>
      <c r="I4" s="5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77"/>
      <c r="W4" s="1"/>
      <c r="Y4" s="163"/>
      <c r="Z4" s="293"/>
      <c r="AA4" s="270"/>
    </row>
    <row r="5" spans="1:27" s="7" customFormat="1" ht="15.65">
      <c r="A5" s="162"/>
      <c r="B5" s="162"/>
      <c r="Y5" s="163"/>
      <c r="Z5" s="293"/>
      <c r="AA5" s="270"/>
    </row>
    <row r="6" spans="1:27" s="7" customFormat="1" ht="17.55">
      <c r="A6" s="162"/>
      <c r="B6" s="162"/>
      <c r="C6" s="680" t="s">
        <v>85</v>
      </c>
      <c r="D6" s="680"/>
      <c r="E6" s="680"/>
      <c r="F6" s="680"/>
      <c r="G6" s="680"/>
      <c r="H6" s="680"/>
      <c r="I6" s="680"/>
      <c r="J6" s="680"/>
      <c r="K6" s="680"/>
      <c r="L6" s="680"/>
      <c r="M6" s="680"/>
      <c r="N6" s="680"/>
      <c r="O6" s="680"/>
      <c r="P6" s="680"/>
      <c r="Q6" s="680"/>
      <c r="R6" s="680"/>
      <c r="S6" s="680"/>
      <c r="T6" s="680"/>
      <c r="U6" s="680"/>
      <c r="V6" s="680"/>
      <c r="W6" s="680"/>
      <c r="Y6" s="163"/>
      <c r="Z6" s="293"/>
      <c r="AA6" s="270"/>
    </row>
    <row r="7" spans="1:27" s="7" customFormat="1" ht="22.55" customHeight="1">
      <c r="A7" s="162"/>
      <c r="B7" s="162"/>
      <c r="D7" s="514"/>
      <c r="E7" s="514"/>
      <c r="F7" s="674" t="s">
        <v>113</v>
      </c>
      <c r="G7" s="674"/>
      <c r="H7" s="674"/>
      <c r="I7" s="674"/>
      <c r="J7" s="674"/>
      <c r="K7" s="674"/>
      <c r="L7" s="674"/>
      <c r="M7" s="674"/>
      <c r="N7" s="674"/>
      <c r="O7" s="674"/>
      <c r="P7" s="674"/>
      <c r="Q7" s="674"/>
      <c r="R7" s="514"/>
      <c r="S7" s="514"/>
      <c r="T7" s="514"/>
      <c r="U7" s="514"/>
      <c r="V7" s="514"/>
      <c r="W7" s="514"/>
      <c r="Y7" s="163"/>
      <c r="Z7" s="293"/>
      <c r="AA7" s="270"/>
    </row>
    <row r="8" spans="1:27" s="7" customFormat="1" ht="15.65">
      <c r="A8" s="162"/>
      <c r="D8" s="513"/>
      <c r="E8" s="513"/>
      <c r="F8" s="613" t="str">
        <f>серпень!C8</f>
        <v>станом на 01.09.2025</v>
      </c>
      <c r="G8" s="613"/>
      <c r="H8" s="613"/>
      <c r="I8" s="613"/>
      <c r="J8" s="613"/>
      <c r="K8" s="613"/>
      <c r="L8" s="613"/>
      <c r="M8" s="613"/>
      <c r="N8" s="613"/>
      <c r="O8" s="613"/>
      <c r="P8" s="613"/>
      <c r="Q8" s="613"/>
      <c r="R8" s="513"/>
      <c r="S8" s="513"/>
      <c r="T8" s="513"/>
      <c r="U8" s="513"/>
      <c r="V8" s="513"/>
      <c r="W8" s="513"/>
    </row>
    <row r="9" spans="1:27" s="3" customFormat="1" ht="20.7" customHeight="1">
      <c r="A9" s="155"/>
      <c r="B9" s="155"/>
      <c r="C9" s="155"/>
      <c r="D9" s="164"/>
      <c r="E9" s="1"/>
      <c r="F9" s="376"/>
      <c r="G9" s="376"/>
      <c r="H9" s="376"/>
      <c r="I9" s="376"/>
      <c r="J9" s="376"/>
      <c r="K9" s="376"/>
      <c r="L9" s="1"/>
      <c r="M9" s="1"/>
      <c r="N9" s="376"/>
      <c r="O9" s="376"/>
      <c r="P9" s="376"/>
      <c r="Q9" s="376"/>
      <c r="R9" s="376"/>
      <c r="S9" s="376"/>
      <c r="T9" s="1"/>
      <c r="U9" s="1"/>
      <c r="V9" s="77"/>
      <c r="W9" s="1"/>
    </row>
    <row r="10" spans="1:27" s="3" customFormat="1" ht="20.7" customHeight="1">
      <c r="A10" s="155"/>
      <c r="B10" s="155"/>
      <c r="C10" s="155"/>
      <c r="D10" s="164"/>
      <c r="E10" s="1" t="s">
        <v>126</v>
      </c>
      <c r="F10" s="376">
        <v>149.69</v>
      </c>
      <c r="G10" s="376">
        <v>221914.65</v>
      </c>
      <c r="H10" s="376">
        <v>219490.75</v>
      </c>
      <c r="I10" s="376">
        <v>170147.63</v>
      </c>
      <c r="J10" s="376">
        <v>102803.61</v>
      </c>
      <c r="K10" s="376">
        <v>38846.21</v>
      </c>
      <c r="L10" s="1"/>
      <c r="M10" s="1"/>
      <c r="N10" s="376">
        <v>172338.91</v>
      </c>
      <c r="O10" s="376">
        <v>20075.439999999999</v>
      </c>
      <c r="P10" s="376"/>
      <c r="Q10" s="376"/>
      <c r="R10" s="376"/>
      <c r="S10" s="376"/>
      <c r="T10" s="1"/>
      <c r="U10" s="1"/>
      <c r="V10" s="77"/>
      <c r="W10" s="1"/>
    </row>
    <row r="11" spans="1:27" s="3" customFormat="1" ht="13.15" customHeight="1">
      <c r="A11" s="155"/>
      <c r="B11" s="155"/>
      <c r="C11" s="155"/>
      <c r="D11" s="164"/>
      <c r="E11" s="1"/>
      <c r="F11" s="328">
        <f>F10/1000</f>
        <v>0.15</v>
      </c>
      <c r="G11" s="328">
        <f t="shared" ref="G11:K11" si="8">G10/1000</f>
        <v>221.91499999999999</v>
      </c>
      <c r="H11" s="328">
        <f t="shared" si="8"/>
        <v>219.49100000000001</v>
      </c>
      <c r="I11" s="328">
        <f t="shared" si="8"/>
        <v>170.148</v>
      </c>
      <c r="J11" s="328">
        <f t="shared" si="8"/>
        <v>102.804</v>
      </c>
      <c r="K11" s="328">
        <f t="shared" si="8"/>
        <v>38.845999999999997</v>
      </c>
      <c r="L11" s="1"/>
      <c r="M11" s="1"/>
      <c r="N11" s="328">
        <f>N10/1000</f>
        <v>172.339</v>
      </c>
      <c r="O11" s="328">
        <f t="shared" ref="O11:S11" si="9">O10/1000</f>
        <v>20.074999999999999</v>
      </c>
      <c r="P11" s="328">
        <f t="shared" si="9"/>
        <v>0</v>
      </c>
      <c r="Q11" s="328">
        <f t="shared" si="9"/>
        <v>0</v>
      </c>
      <c r="R11" s="328">
        <f t="shared" si="9"/>
        <v>0</v>
      </c>
      <c r="S11" s="328">
        <f t="shared" si="9"/>
        <v>0</v>
      </c>
      <c r="T11" s="1"/>
      <c r="U11" s="1"/>
      <c r="V11" s="393"/>
      <c r="W11" s="1"/>
    </row>
    <row r="12" spans="1:27" s="36" customFormat="1" ht="16.3" customHeight="1">
      <c r="A12" s="525"/>
      <c r="B12" s="525"/>
      <c r="C12" s="525"/>
      <c r="D12" s="526"/>
      <c r="E12" s="527"/>
      <c r="F12" s="534">
        <f>F11-F19</f>
        <v>0</v>
      </c>
      <c r="G12" s="534">
        <f t="shared" ref="G12:K12" si="10">G11-G19</f>
        <v>-1E-3</v>
      </c>
      <c r="H12" s="534">
        <f t="shared" si="10"/>
        <v>1E-3</v>
      </c>
      <c r="I12" s="534">
        <f t="shared" si="10"/>
        <v>0</v>
      </c>
      <c r="J12" s="534">
        <f t="shared" si="10"/>
        <v>-2E-3</v>
      </c>
      <c r="K12" s="534">
        <f t="shared" si="10"/>
        <v>1E-3</v>
      </c>
      <c r="L12" s="527"/>
      <c r="M12" s="527"/>
      <c r="N12" s="534">
        <f>N11-N19</f>
        <v>0</v>
      </c>
      <c r="O12" s="534">
        <f t="shared" ref="O12" si="11">O11-O19</f>
        <v>0</v>
      </c>
      <c r="P12" s="534">
        <f t="shared" ref="P12" si="12">P11-P19</f>
        <v>-18.678999999999998</v>
      </c>
      <c r="Q12" s="534">
        <f t="shared" ref="Q12" si="13">Q11-Q19</f>
        <v>-60.204000000000001</v>
      </c>
      <c r="R12" s="534">
        <f t="shared" ref="R12" si="14">R11-R19</f>
        <v>-37.996000000000002</v>
      </c>
      <c r="S12" s="534">
        <f t="shared" ref="S12" si="15">S11-S19</f>
        <v>-198.773</v>
      </c>
      <c r="T12" s="527">
        <f>SUM(F12:S12)</f>
        <v>-315.65300000000002</v>
      </c>
      <c r="U12" s="527"/>
      <c r="V12" s="528"/>
      <c r="W12" s="527"/>
    </row>
    <row r="13" spans="1:27" s="3" customFormat="1" ht="39.450000000000003" customHeight="1">
      <c r="A13" s="668" t="s">
        <v>5</v>
      </c>
      <c r="B13" s="668"/>
      <c r="C13" s="668"/>
      <c r="D13" s="668"/>
      <c r="E13" s="648" t="str">
        <f>серпень!E13</f>
        <v>оплата в січні 2025 за грудень 2024 року/в грудні 2024за січень 2025</v>
      </c>
      <c r="F13" s="675" t="s">
        <v>6</v>
      </c>
      <c r="G13" s="675"/>
      <c r="H13" s="675"/>
      <c r="I13" s="675"/>
      <c r="J13" s="675"/>
      <c r="K13" s="675"/>
      <c r="L13" s="675"/>
      <c r="M13" s="675"/>
      <c r="N13" s="675"/>
      <c r="O13" s="675"/>
      <c r="P13" s="675"/>
      <c r="Q13" s="675"/>
      <c r="R13" s="675"/>
      <c r="S13" s="675"/>
      <c r="T13" s="675"/>
      <c r="U13" s="675"/>
      <c r="V13" s="676" t="s">
        <v>7</v>
      </c>
      <c r="W13" s="676" t="s">
        <v>8</v>
      </c>
    </row>
    <row r="14" spans="1:27" s="3" customFormat="1" ht="51.05" customHeight="1">
      <c r="A14" s="668"/>
      <c r="B14" s="668"/>
      <c r="C14" s="668"/>
      <c r="D14" s="672"/>
      <c r="E14" s="649"/>
      <c r="F14" s="8" t="s">
        <v>9</v>
      </c>
      <c r="G14" s="8" t="s">
        <v>10</v>
      </c>
      <c r="H14" s="8" t="s">
        <v>11</v>
      </c>
      <c r="I14" s="8" t="s">
        <v>12</v>
      </c>
      <c r="J14" s="8" t="s">
        <v>13</v>
      </c>
      <c r="K14" s="8" t="s">
        <v>14</v>
      </c>
      <c r="L14" s="9" t="s">
        <v>15</v>
      </c>
      <c r="M14" s="9" t="s">
        <v>16</v>
      </c>
      <c r="N14" s="8" t="s">
        <v>17</v>
      </c>
      <c r="O14" s="8" t="s">
        <v>18</v>
      </c>
      <c r="P14" s="8" t="s">
        <v>19</v>
      </c>
      <c r="Q14" s="8" t="s">
        <v>20</v>
      </c>
      <c r="R14" s="8" t="s">
        <v>21</v>
      </c>
      <c r="S14" s="8" t="s">
        <v>22</v>
      </c>
      <c r="T14" s="9" t="s">
        <v>23</v>
      </c>
      <c r="U14" s="9" t="s">
        <v>2</v>
      </c>
      <c r="V14" s="676"/>
      <c r="W14" s="676"/>
    </row>
    <row r="15" spans="1:27" s="18" customFormat="1" ht="18.649999999999999" customHeight="1">
      <c r="A15" s="677" t="s">
        <v>94</v>
      </c>
      <c r="B15" s="678"/>
      <c r="C15" s="678"/>
      <c r="D15" s="678"/>
      <c r="E15" s="678"/>
      <c r="F15" s="678"/>
      <c r="G15" s="678"/>
      <c r="H15" s="678"/>
      <c r="I15" s="678"/>
      <c r="J15" s="678"/>
      <c r="K15" s="678"/>
      <c r="L15" s="678"/>
      <c r="M15" s="678"/>
      <c r="N15" s="678"/>
      <c r="O15" s="678"/>
      <c r="P15" s="678"/>
      <c r="Q15" s="678"/>
      <c r="R15" s="678"/>
      <c r="S15" s="678"/>
      <c r="T15" s="678"/>
      <c r="U15" s="678"/>
      <c r="V15" s="678"/>
      <c r="W15" s="679"/>
      <c r="X15" s="37"/>
    </row>
    <row r="16" spans="1:27" s="173" customFormat="1" ht="18" customHeight="1">
      <c r="A16" s="621">
        <v>2270</v>
      </c>
      <c r="B16" s="622"/>
      <c r="C16" s="623"/>
      <c r="D16" s="170" t="s">
        <v>0</v>
      </c>
      <c r="E16" s="171"/>
      <c r="F16" s="171">
        <f>F28+F336+F475+F522</f>
        <v>220.74700000000001</v>
      </c>
      <c r="G16" s="171">
        <f t="shared" ref="G16:K16" si="16">G28+G336+G475+G522</f>
        <v>218.506</v>
      </c>
      <c r="H16" s="171">
        <f t="shared" si="16"/>
        <v>170.26</v>
      </c>
      <c r="I16" s="171">
        <f t="shared" si="16"/>
        <v>96.596999999999994</v>
      </c>
      <c r="J16" s="171">
        <f t="shared" si="16"/>
        <v>44.683</v>
      </c>
      <c r="K16" s="171">
        <f t="shared" si="16"/>
        <v>106.04300000000001</v>
      </c>
      <c r="L16" s="171">
        <f t="shared" ref="L16:L18" si="17">SUM(F16:K16)</f>
        <v>856.83600000000001</v>
      </c>
      <c r="M16" s="171">
        <f t="shared" ref="M16:M21" si="18">L16/6</f>
        <v>142.80600000000001</v>
      </c>
      <c r="N16" s="171">
        <f>N28+N336+N475+N522</f>
        <v>87.67</v>
      </c>
      <c r="O16" s="171">
        <f t="shared" ref="O16:S16" si="19">O28+O336+O475+O522</f>
        <v>15.457000000000001</v>
      </c>
      <c r="P16" s="171">
        <f t="shared" si="19"/>
        <v>42.966000000000001</v>
      </c>
      <c r="Q16" s="171">
        <f t="shared" si="19"/>
        <v>55.917000000000002</v>
      </c>
      <c r="R16" s="171">
        <f t="shared" si="19"/>
        <v>106.63</v>
      </c>
      <c r="S16" s="171">
        <f t="shared" si="19"/>
        <v>95.944999999999993</v>
      </c>
      <c r="T16" s="171">
        <f t="shared" ref="T16:T18" si="20">SUM(N16:S16)</f>
        <v>404.58499999999998</v>
      </c>
      <c r="U16" s="171">
        <f>T16+L16</f>
        <v>1261.421</v>
      </c>
      <c r="V16" s="171">
        <f>V28+V334+V475+V522</f>
        <v>1280.154</v>
      </c>
      <c r="W16" s="171">
        <f t="shared" ref="W16:W21" si="21">V16-U16</f>
        <v>18.733000000000001</v>
      </c>
      <c r="X16" s="172"/>
    </row>
    <row r="17" spans="1:25" s="173" customFormat="1" ht="18" customHeight="1">
      <c r="A17" s="624"/>
      <c r="B17" s="625"/>
      <c r="C17" s="626"/>
      <c r="D17" s="174" t="s">
        <v>55</v>
      </c>
      <c r="E17" s="171"/>
      <c r="F17" s="171">
        <f t="shared" ref="F17:K17" si="22">F29+F337+F476+F540</f>
        <v>0</v>
      </c>
      <c r="G17" s="171">
        <f t="shared" si="22"/>
        <v>0</v>
      </c>
      <c r="H17" s="171">
        <f t="shared" si="22"/>
        <v>0</v>
      </c>
      <c r="I17" s="171">
        <f t="shared" si="22"/>
        <v>0</v>
      </c>
      <c r="J17" s="171">
        <f t="shared" si="22"/>
        <v>0</v>
      </c>
      <c r="K17" s="171">
        <f t="shared" si="22"/>
        <v>0</v>
      </c>
      <c r="L17" s="171">
        <f t="shared" si="17"/>
        <v>0</v>
      </c>
      <c r="M17" s="171">
        <f>L17/6</f>
        <v>0</v>
      </c>
      <c r="N17" s="171">
        <f t="shared" ref="N17:S17" si="23">N29+N337+N476+N540</f>
        <v>0</v>
      </c>
      <c r="O17" s="171">
        <f t="shared" si="23"/>
        <v>0</v>
      </c>
      <c r="P17" s="171">
        <f t="shared" si="23"/>
        <v>0</v>
      </c>
      <c r="Q17" s="171">
        <f t="shared" si="23"/>
        <v>0</v>
      </c>
      <c r="R17" s="171">
        <f t="shared" si="23"/>
        <v>0</v>
      </c>
      <c r="S17" s="171">
        <f t="shared" si="23"/>
        <v>0</v>
      </c>
      <c r="T17" s="171">
        <f t="shared" si="20"/>
        <v>0</v>
      </c>
      <c r="U17" s="171">
        <f>T17+L17</f>
        <v>0</v>
      </c>
      <c r="V17" s="171">
        <f>V29+V337+V476+V540</f>
        <v>0</v>
      </c>
      <c r="W17" s="171">
        <f t="shared" si="21"/>
        <v>0</v>
      </c>
      <c r="X17" s="172"/>
    </row>
    <row r="18" spans="1:25" s="173" customFormat="1" ht="18" customHeight="1">
      <c r="A18" s="627"/>
      <c r="B18" s="628"/>
      <c r="C18" s="629"/>
      <c r="D18" s="170" t="s">
        <v>24</v>
      </c>
      <c r="E18" s="171"/>
      <c r="F18" s="171">
        <f>F30+F338+F477+F524</f>
        <v>2.6019999999999999</v>
      </c>
      <c r="G18" s="171">
        <f t="shared" ref="G18:K18" si="24">G30+G338+G477+G524</f>
        <v>380.03500000000003</v>
      </c>
      <c r="H18" s="171">
        <f t="shared" si="24"/>
        <v>221.29499999999999</v>
      </c>
      <c r="I18" s="171">
        <f t="shared" si="24"/>
        <v>126.155</v>
      </c>
      <c r="J18" s="171">
        <f t="shared" si="24"/>
        <v>21.948</v>
      </c>
      <c r="K18" s="171">
        <f t="shared" si="24"/>
        <v>13.342000000000001</v>
      </c>
      <c r="L18" s="171">
        <f t="shared" si="17"/>
        <v>765.37699999999995</v>
      </c>
      <c r="M18" s="171">
        <f t="shared" si="18"/>
        <v>127.563</v>
      </c>
      <c r="N18" s="171">
        <f t="shared" ref="N18:S18" si="25">N30+N338+N477+N524</f>
        <v>160.86099999999999</v>
      </c>
      <c r="O18" s="171">
        <f t="shared" si="25"/>
        <v>31.509</v>
      </c>
      <c r="P18" s="171">
        <f t="shared" si="25"/>
        <v>31.954999999999998</v>
      </c>
      <c r="Q18" s="171">
        <f t="shared" si="25"/>
        <v>39.948999999999998</v>
      </c>
      <c r="R18" s="171">
        <f t="shared" si="25"/>
        <v>64.099999999999994</v>
      </c>
      <c r="S18" s="171">
        <f t="shared" si="25"/>
        <v>186.40299999999999</v>
      </c>
      <c r="T18" s="171">
        <f t="shared" si="20"/>
        <v>514.77700000000004</v>
      </c>
      <c r="U18" s="171">
        <f>T18+L18</f>
        <v>1280.154</v>
      </c>
      <c r="V18" s="171">
        <f>V30+V338+V477+V524</f>
        <v>1280.154</v>
      </c>
      <c r="W18" s="171">
        <f t="shared" si="21"/>
        <v>0</v>
      </c>
      <c r="X18" s="172"/>
    </row>
    <row r="19" spans="1:25" s="116" customFormat="1" ht="15.65" customHeight="1">
      <c r="A19" s="630">
        <v>2270</v>
      </c>
      <c r="B19" s="631"/>
      <c r="C19" s="632"/>
      <c r="D19" s="115" t="s">
        <v>25</v>
      </c>
      <c r="E19" s="62">
        <f t="shared" ref="E19:K19" si="26">E33+E341+E480+E527</f>
        <v>0</v>
      </c>
      <c r="F19" s="62">
        <f t="shared" si="26"/>
        <v>0.15</v>
      </c>
      <c r="G19" s="62">
        <f t="shared" si="26"/>
        <v>221.916</v>
      </c>
      <c r="H19" s="62">
        <f t="shared" si="26"/>
        <v>219.49</v>
      </c>
      <c r="I19" s="62">
        <f t="shared" si="26"/>
        <v>170.148</v>
      </c>
      <c r="J19" s="62">
        <f t="shared" si="26"/>
        <v>102.806</v>
      </c>
      <c r="K19" s="62">
        <f t="shared" si="26"/>
        <v>38.844999999999999</v>
      </c>
      <c r="L19" s="62">
        <f t="shared" ref="L19:L21" si="27">SUM(F19:K19)</f>
        <v>753.35500000000002</v>
      </c>
      <c r="M19" s="62">
        <f t="shared" si="18"/>
        <v>125.559</v>
      </c>
      <c r="N19" s="62">
        <f t="shared" ref="N19:S21" si="28">N33+N341+N480+N527</f>
        <v>172.339</v>
      </c>
      <c r="O19" s="62">
        <f t="shared" si="28"/>
        <v>20.074999999999999</v>
      </c>
      <c r="P19" s="62">
        <f t="shared" si="28"/>
        <v>18.678999999999998</v>
      </c>
      <c r="Q19" s="62">
        <f t="shared" si="28"/>
        <v>60.204000000000001</v>
      </c>
      <c r="R19" s="62">
        <f t="shared" si="28"/>
        <v>37.996000000000002</v>
      </c>
      <c r="S19" s="62">
        <f t="shared" si="28"/>
        <v>198.773</v>
      </c>
      <c r="T19" s="62">
        <f t="shared" ref="T19:T21" si="29">SUM(N19:S19)</f>
        <v>508.06599999999997</v>
      </c>
      <c r="U19" s="62">
        <f t="shared" ref="U19:U21" si="30">T19+L19</f>
        <v>1261.421</v>
      </c>
      <c r="V19" s="62">
        <f>V33+V341+V480+V527</f>
        <v>1280.154</v>
      </c>
      <c r="W19" s="62">
        <f t="shared" si="21"/>
        <v>18.733000000000001</v>
      </c>
      <c r="X19" s="63">
        <f>U16-U19</f>
        <v>0</v>
      </c>
    </row>
    <row r="20" spans="1:25" s="116" customFormat="1" ht="14.4" customHeight="1">
      <c r="A20" s="633"/>
      <c r="B20" s="634"/>
      <c r="C20" s="635"/>
      <c r="D20" s="115" t="s">
        <v>55</v>
      </c>
      <c r="E20" s="62"/>
      <c r="F20" s="62">
        <f t="shared" ref="F20:K21" si="31">F34+F342+F481+F528</f>
        <v>0</v>
      </c>
      <c r="G20" s="62">
        <f t="shared" si="31"/>
        <v>0</v>
      </c>
      <c r="H20" s="62">
        <f t="shared" si="31"/>
        <v>0</v>
      </c>
      <c r="I20" s="62">
        <f t="shared" si="31"/>
        <v>0</v>
      </c>
      <c r="J20" s="62">
        <f t="shared" si="31"/>
        <v>0</v>
      </c>
      <c r="K20" s="62">
        <f t="shared" si="31"/>
        <v>0</v>
      </c>
      <c r="L20" s="62">
        <f t="shared" si="27"/>
        <v>0</v>
      </c>
      <c r="M20" s="62">
        <f t="shared" si="18"/>
        <v>0</v>
      </c>
      <c r="N20" s="62">
        <f t="shared" si="28"/>
        <v>0</v>
      </c>
      <c r="O20" s="62">
        <f t="shared" si="28"/>
        <v>0</v>
      </c>
      <c r="P20" s="62">
        <f t="shared" si="28"/>
        <v>0</v>
      </c>
      <c r="Q20" s="62">
        <f t="shared" si="28"/>
        <v>0</v>
      </c>
      <c r="R20" s="62">
        <f t="shared" si="28"/>
        <v>0</v>
      </c>
      <c r="S20" s="62">
        <f t="shared" si="28"/>
        <v>0</v>
      </c>
      <c r="T20" s="62">
        <f t="shared" si="29"/>
        <v>0</v>
      </c>
      <c r="U20" s="62">
        <f t="shared" si="30"/>
        <v>0</v>
      </c>
      <c r="V20" s="62">
        <f>V34+V342+V481+V528</f>
        <v>0</v>
      </c>
      <c r="W20" s="62">
        <f t="shared" si="21"/>
        <v>0</v>
      </c>
      <c r="X20" s="63">
        <f>U17-U20</f>
        <v>0</v>
      </c>
    </row>
    <row r="21" spans="1:25" s="116" customFormat="1" ht="16.3" customHeight="1">
      <c r="A21" s="636"/>
      <c r="B21" s="637"/>
      <c r="C21" s="638"/>
      <c r="D21" s="115" t="s">
        <v>24</v>
      </c>
      <c r="E21" s="62"/>
      <c r="F21" s="62">
        <f t="shared" si="31"/>
        <v>0.15</v>
      </c>
      <c r="G21" s="62">
        <f t="shared" si="31"/>
        <v>221.916</v>
      </c>
      <c r="H21" s="62">
        <f t="shared" si="31"/>
        <v>219.49</v>
      </c>
      <c r="I21" s="62">
        <f t="shared" si="31"/>
        <v>170.148</v>
      </c>
      <c r="J21" s="62">
        <f t="shared" si="31"/>
        <v>102.806</v>
      </c>
      <c r="K21" s="62">
        <f t="shared" si="31"/>
        <v>38.844999999999999</v>
      </c>
      <c r="L21" s="62">
        <f t="shared" si="27"/>
        <v>753.35500000000002</v>
      </c>
      <c r="M21" s="62">
        <f t="shared" si="18"/>
        <v>125.559</v>
      </c>
      <c r="N21" s="62">
        <f t="shared" si="28"/>
        <v>172.339</v>
      </c>
      <c r="O21" s="62">
        <f t="shared" si="28"/>
        <v>20.074999999999999</v>
      </c>
      <c r="P21" s="62">
        <f t="shared" si="28"/>
        <v>18.678999999999998</v>
      </c>
      <c r="Q21" s="62">
        <f t="shared" si="28"/>
        <v>60.204000000000001</v>
      </c>
      <c r="R21" s="62">
        <f t="shared" si="28"/>
        <v>37.996000000000002</v>
      </c>
      <c r="S21" s="62">
        <f t="shared" si="28"/>
        <v>198.773</v>
      </c>
      <c r="T21" s="62">
        <f t="shared" si="29"/>
        <v>508.06599999999997</v>
      </c>
      <c r="U21" s="62">
        <f t="shared" si="30"/>
        <v>1261.421</v>
      </c>
      <c r="V21" s="62">
        <f>V35+V343+V482+V529</f>
        <v>1280.154</v>
      </c>
      <c r="W21" s="62">
        <f t="shared" si="21"/>
        <v>18.733000000000001</v>
      </c>
      <c r="X21" s="63">
        <f>U18-U21</f>
        <v>18.733000000000001</v>
      </c>
    </row>
    <row r="22" spans="1:25" s="186" customFormat="1" ht="18" customHeight="1">
      <c r="A22" s="609">
        <v>2271</v>
      </c>
      <c r="B22" s="580" t="s">
        <v>86</v>
      </c>
      <c r="C22" s="575"/>
      <c r="D22" s="178" t="str">
        <f>серпень!D22</f>
        <v>факт. нат.п-ки 2023</v>
      </c>
      <c r="E22" s="179"/>
      <c r="F22" s="180">
        <f t="shared" ref="F22:K24" si="32">F56+F163+F208+F253</f>
        <v>1.9</v>
      </c>
      <c r="G22" s="180">
        <f t="shared" si="32"/>
        <v>11.8</v>
      </c>
      <c r="H22" s="180">
        <f t="shared" si="32"/>
        <v>12.4</v>
      </c>
      <c r="I22" s="180">
        <f t="shared" si="32"/>
        <v>0.1</v>
      </c>
      <c r="J22" s="180">
        <f t="shared" si="32"/>
        <v>0.1</v>
      </c>
      <c r="K22" s="180">
        <f t="shared" si="32"/>
        <v>0.1</v>
      </c>
      <c r="L22" s="181">
        <f t="shared" ref="L22:L23" si="33">SUM(F22:K22)</f>
        <v>26.4</v>
      </c>
      <c r="M22" s="181">
        <f>L22/6</f>
        <v>4.4000000000000004</v>
      </c>
      <c r="N22" s="180">
        <f t="shared" ref="N22:S24" si="34">N56+N163+N208+N253</f>
        <v>0.1</v>
      </c>
      <c r="O22" s="180">
        <f t="shared" si="34"/>
        <v>0.1</v>
      </c>
      <c r="P22" s="180">
        <f t="shared" si="34"/>
        <v>0.1</v>
      </c>
      <c r="Q22" s="180">
        <f t="shared" si="34"/>
        <v>0.1</v>
      </c>
      <c r="R22" s="180">
        <f t="shared" si="34"/>
        <v>7.7</v>
      </c>
      <c r="S22" s="180">
        <f t="shared" si="34"/>
        <v>16.399999999999999</v>
      </c>
      <c r="T22" s="181">
        <f t="shared" ref="T22:T23" si="35">SUM(N22:S22)</f>
        <v>24.5</v>
      </c>
      <c r="U22" s="182">
        <f>T22+L22</f>
        <v>50.9</v>
      </c>
      <c r="V22" s="183">
        <f>V56+V163+V208+V253</f>
        <v>49.7</v>
      </c>
      <c r="W22" s="184"/>
      <c r="X22" s="185"/>
    </row>
    <row r="23" spans="1:25" s="186" customFormat="1" ht="18" customHeight="1">
      <c r="A23" s="610"/>
      <c r="B23" s="576"/>
      <c r="C23" s="577"/>
      <c r="D23" s="178" t="str">
        <f>серпень!D23</f>
        <v>факт. нат.п-ки 2024</v>
      </c>
      <c r="E23" s="179"/>
      <c r="F23" s="180">
        <f t="shared" si="32"/>
        <v>21</v>
      </c>
      <c r="G23" s="180">
        <f t="shared" si="32"/>
        <v>16</v>
      </c>
      <c r="H23" s="180">
        <f t="shared" si="32"/>
        <v>15.7</v>
      </c>
      <c r="I23" s="180">
        <f t="shared" si="32"/>
        <v>0.1</v>
      </c>
      <c r="J23" s="180">
        <f t="shared" si="32"/>
        <v>0.1</v>
      </c>
      <c r="K23" s="180">
        <f t="shared" si="32"/>
        <v>0.1</v>
      </c>
      <c r="L23" s="181">
        <f t="shared" si="33"/>
        <v>53</v>
      </c>
      <c r="M23" s="181">
        <f>L23/6</f>
        <v>8.8000000000000007</v>
      </c>
      <c r="N23" s="180">
        <f t="shared" si="34"/>
        <v>0.1</v>
      </c>
      <c r="O23" s="180">
        <f t="shared" si="34"/>
        <v>0.1</v>
      </c>
      <c r="P23" s="180">
        <f t="shared" si="34"/>
        <v>0.1</v>
      </c>
      <c r="Q23" s="180">
        <f t="shared" si="34"/>
        <v>0.1</v>
      </c>
      <c r="R23" s="180">
        <f t="shared" si="34"/>
        <v>7.7</v>
      </c>
      <c r="S23" s="180">
        <f t="shared" si="34"/>
        <v>16.399999999999999</v>
      </c>
      <c r="T23" s="181">
        <f t="shared" si="35"/>
        <v>24.5</v>
      </c>
      <c r="U23" s="182">
        <f t="shared" ref="U23:U24" si="36">T23+L23</f>
        <v>77.5</v>
      </c>
      <c r="V23" s="183">
        <f>V57+V164+V209+V254</f>
        <v>76.3</v>
      </c>
      <c r="W23" s="184"/>
      <c r="X23" s="185"/>
    </row>
    <row r="24" spans="1:25" s="186" customFormat="1" ht="18" customHeight="1">
      <c r="A24" s="610"/>
      <c r="B24" s="576"/>
      <c r="C24" s="577"/>
      <c r="D24" s="178" t="str">
        <f>серпень!D24</f>
        <v>факт. нат.п-ки 2025</v>
      </c>
      <c r="E24" s="179"/>
      <c r="F24" s="264">
        <f>F58+F165+F210+F255</f>
        <v>23.4</v>
      </c>
      <c r="G24" s="264">
        <f t="shared" si="32"/>
        <v>22.9</v>
      </c>
      <c r="H24" s="264">
        <f t="shared" si="32"/>
        <v>11.9</v>
      </c>
      <c r="I24" s="264">
        <f>I58+I165+I210+I255</f>
        <v>0</v>
      </c>
      <c r="J24" s="264">
        <f t="shared" si="32"/>
        <v>0</v>
      </c>
      <c r="K24" s="264">
        <f t="shared" si="32"/>
        <v>0</v>
      </c>
      <c r="L24" s="181">
        <f t="shared" ref="L24" si="37">SUM(F24:K24)</f>
        <v>58.2</v>
      </c>
      <c r="M24" s="181">
        <f>L24/6</f>
        <v>9.6999999999999993</v>
      </c>
      <c r="N24" s="263">
        <f>N58+N165+N210+N255</f>
        <v>0</v>
      </c>
      <c r="O24" s="263">
        <f t="shared" si="34"/>
        <v>0</v>
      </c>
      <c r="P24" s="263">
        <f t="shared" si="34"/>
        <v>0</v>
      </c>
      <c r="Q24" s="263">
        <f t="shared" si="34"/>
        <v>0</v>
      </c>
      <c r="R24" s="263">
        <f t="shared" si="34"/>
        <v>7.6</v>
      </c>
      <c r="S24" s="263">
        <f t="shared" si="34"/>
        <v>3</v>
      </c>
      <c r="T24" s="326">
        <f t="shared" ref="T24" si="38">SUM(N24:S24)</f>
        <v>10.6</v>
      </c>
      <c r="U24" s="326">
        <f t="shared" si="36"/>
        <v>68.8</v>
      </c>
      <c r="V24" s="183">
        <f>V58+V165+V210+V255</f>
        <v>63</v>
      </c>
      <c r="W24" s="184">
        <f>V24-U24</f>
        <v>-5.8</v>
      </c>
      <c r="X24" s="185"/>
    </row>
    <row r="25" spans="1:25" s="190" customFormat="1" ht="18" customHeight="1">
      <c r="A25" s="610"/>
      <c r="B25" s="576"/>
      <c r="C25" s="577"/>
      <c r="D25" s="187" t="str">
        <f>серпень!D25</f>
        <v>тариф, грн.</v>
      </c>
      <c r="E25" s="188"/>
      <c r="F25" s="188">
        <f>F26/F24*1000</f>
        <v>2932.2649999999999</v>
      </c>
      <c r="G25" s="188">
        <f t="shared" ref="G25:W25" si="39">G26/G24*1000</f>
        <v>3092.4450000000002</v>
      </c>
      <c r="H25" s="188">
        <f t="shared" si="39"/>
        <v>3081.4290000000001</v>
      </c>
      <c r="I25" s="188" t="e">
        <f t="shared" si="39"/>
        <v>#DIV/0!</v>
      </c>
      <c r="J25" s="188" t="e">
        <f t="shared" si="39"/>
        <v>#DIV/0!</v>
      </c>
      <c r="K25" s="188" t="e">
        <f t="shared" si="39"/>
        <v>#DIV/0!</v>
      </c>
      <c r="L25" s="188">
        <f t="shared" si="39"/>
        <v>3025.79</v>
      </c>
      <c r="M25" s="188">
        <f t="shared" si="39"/>
        <v>3025.7730000000001</v>
      </c>
      <c r="N25" s="188" t="e">
        <f t="shared" si="39"/>
        <v>#DIV/0!</v>
      </c>
      <c r="O25" s="188" t="e">
        <f>O26/O24*1000</f>
        <v>#DIV/0!</v>
      </c>
      <c r="P25" s="188" t="e">
        <f>P26/P24*1000</f>
        <v>#DIV/0!</v>
      </c>
      <c r="Q25" s="188" t="e">
        <f>Q26/Q24*1000</f>
        <v>#DIV/0!</v>
      </c>
      <c r="R25" s="188">
        <f>R26/R24*1000</f>
        <v>3096.3159999999998</v>
      </c>
      <c r="S25" s="188">
        <f>S26/S24*1000</f>
        <v>3096.3330000000001</v>
      </c>
      <c r="T25" s="188">
        <f t="shared" si="39"/>
        <v>3096.3209999999999</v>
      </c>
      <c r="U25" s="188">
        <f t="shared" si="39"/>
        <v>3036.6570000000002</v>
      </c>
      <c r="V25" s="188">
        <f t="shared" si="39"/>
        <v>2926.3020000000001</v>
      </c>
      <c r="W25" s="189">
        <f t="shared" si="39"/>
        <v>4235.3450000000003</v>
      </c>
      <c r="X25" s="185"/>
    </row>
    <row r="26" spans="1:25" s="196" customFormat="1" ht="18" customHeight="1">
      <c r="A26" s="610"/>
      <c r="B26" s="576"/>
      <c r="C26" s="577"/>
      <c r="D26" s="191" t="str">
        <f>серпень!D26</f>
        <v>сума, тис.грн.</v>
      </c>
      <c r="E26" s="192"/>
      <c r="F26" s="193">
        <f>F60+F167+F212+F257</f>
        <v>68.614999999999995</v>
      </c>
      <c r="G26" s="193">
        <f t="shared" ref="G26:K26" si="40">G60+G167+G212+G257</f>
        <v>70.816999999999993</v>
      </c>
      <c r="H26" s="193">
        <f t="shared" si="40"/>
        <v>36.668999999999997</v>
      </c>
      <c r="I26" s="193">
        <f t="shared" si="40"/>
        <v>0</v>
      </c>
      <c r="J26" s="193">
        <f t="shared" si="40"/>
        <v>0</v>
      </c>
      <c r="K26" s="193">
        <f t="shared" si="40"/>
        <v>0</v>
      </c>
      <c r="L26" s="194">
        <f t="shared" ref="L26:L31" si="41">SUM(F26:K26)</f>
        <v>176.101</v>
      </c>
      <c r="M26" s="194">
        <f t="shared" ref="M26:M31" si="42">L26/6</f>
        <v>29.35</v>
      </c>
      <c r="N26" s="193">
        <f t="shared" ref="N26:S26" si="43">N60+N167+N212+N257</f>
        <v>0</v>
      </c>
      <c r="O26" s="193">
        <f t="shared" si="43"/>
        <v>0</v>
      </c>
      <c r="P26" s="193">
        <f t="shared" si="43"/>
        <v>0</v>
      </c>
      <c r="Q26" s="193">
        <f t="shared" si="43"/>
        <v>0</v>
      </c>
      <c r="R26" s="193">
        <f t="shared" si="43"/>
        <v>23.532</v>
      </c>
      <c r="S26" s="193">
        <f t="shared" si="43"/>
        <v>9.2889999999999997</v>
      </c>
      <c r="T26" s="194">
        <f>SUM(N26:S26)</f>
        <v>32.820999999999998</v>
      </c>
      <c r="U26" s="194">
        <f>T26+L26</f>
        <v>208.922</v>
      </c>
      <c r="V26" s="171">
        <f>V60+V167+V212+V257</f>
        <v>184.357</v>
      </c>
      <c r="W26" s="193">
        <f>W60+W167+W212+W257</f>
        <v>-24.565000000000001</v>
      </c>
      <c r="X26" s="195"/>
    </row>
    <row r="27" spans="1:25" s="196" customFormat="1" ht="18" customHeight="1">
      <c r="A27" s="610"/>
      <c r="B27" s="576"/>
      <c r="C27" s="577"/>
      <c r="D27" s="174" t="str">
        <f>серпень!D27</f>
        <v>абоненська плата, тис.грн.</v>
      </c>
      <c r="E27" s="192"/>
      <c r="F27" s="278">
        <f>F44+F258</f>
        <v>6.827</v>
      </c>
      <c r="G27" s="278">
        <f t="shared" ref="G27:K27" si="44">G44+G258</f>
        <v>6.8529999999999998</v>
      </c>
      <c r="H27" s="278">
        <f t="shared" si="44"/>
        <v>6.8520000000000003</v>
      </c>
      <c r="I27" s="278">
        <f t="shared" si="44"/>
        <v>6.8529999999999998</v>
      </c>
      <c r="J27" s="278">
        <f t="shared" si="44"/>
        <v>6.8529999999999998</v>
      </c>
      <c r="K27" s="278">
        <f t="shared" si="44"/>
        <v>6.8529999999999998</v>
      </c>
      <c r="L27" s="194">
        <f t="shared" si="41"/>
        <v>41.091000000000001</v>
      </c>
      <c r="M27" s="194">
        <f t="shared" si="42"/>
        <v>6.8490000000000002</v>
      </c>
      <c r="N27" s="278">
        <f>N44+N258</f>
        <v>6.8529999999999998</v>
      </c>
      <c r="O27" s="278">
        <f t="shared" ref="O27:S27" si="45">O44+O258</f>
        <v>6.2350000000000003</v>
      </c>
      <c r="P27" s="278">
        <f t="shared" si="45"/>
        <v>6.2350000000000003</v>
      </c>
      <c r="Q27" s="278">
        <f t="shared" si="45"/>
        <v>6.2350000000000003</v>
      </c>
      <c r="R27" s="278">
        <f t="shared" si="45"/>
        <v>6.2350000000000003</v>
      </c>
      <c r="S27" s="278">
        <f t="shared" si="45"/>
        <v>6.2350000000000003</v>
      </c>
      <c r="T27" s="194">
        <f>SUM(N27:S27)</f>
        <v>38.027999999999999</v>
      </c>
      <c r="U27" s="194">
        <f>T27+L27</f>
        <v>79.119</v>
      </c>
      <c r="V27" s="171">
        <f t="shared" ref="V27" si="46">V44+V258</f>
        <v>74.543999999999997</v>
      </c>
      <c r="W27" s="193">
        <f>W61+W168+W213+W258</f>
        <v>-4.5750000000000002</v>
      </c>
      <c r="X27" s="195"/>
    </row>
    <row r="28" spans="1:25" s="196" customFormat="1" ht="18" customHeight="1">
      <c r="A28" s="610"/>
      <c r="B28" s="576"/>
      <c r="C28" s="577"/>
      <c r="D28" s="174" t="str">
        <f>серпень!D28</f>
        <v>разом сума тис. грн+абонплата</v>
      </c>
      <c r="E28" s="192"/>
      <c r="F28" s="278">
        <f>F62+F167+F212+F259</f>
        <v>75.441999999999993</v>
      </c>
      <c r="G28" s="278">
        <f t="shared" ref="G28:K28" si="47">G62+G167+G212+G259</f>
        <v>77.67</v>
      </c>
      <c r="H28" s="278">
        <f t="shared" si="47"/>
        <v>43.521000000000001</v>
      </c>
      <c r="I28" s="278">
        <f t="shared" si="47"/>
        <v>6.8529999999999998</v>
      </c>
      <c r="J28" s="278">
        <f t="shared" si="47"/>
        <v>6.8529999999999998</v>
      </c>
      <c r="K28" s="278">
        <f t="shared" si="47"/>
        <v>6.8529999999999998</v>
      </c>
      <c r="L28" s="194">
        <f t="shared" si="41"/>
        <v>217.19200000000001</v>
      </c>
      <c r="M28" s="194">
        <f t="shared" si="42"/>
        <v>36.198999999999998</v>
      </c>
      <c r="N28" s="278">
        <f>N62+N167+N212+N259</f>
        <v>6.8529999999999998</v>
      </c>
      <c r="O28" s="278">
        <f t="shared" ref="O28:S28" si="48">O62+O167+O212+O259</f>
        <v>6.2350000000000003</v>
      </c>
      <c r="P28" s="278">
        <f t="shared" si="48"/>
        <v>6.2350000000000003</v>
      </c>
      <c r="Q28" s="278">
        <f t="shared" si="48"/>
        <v>6.2350000000000003</v>
      </c>
      <c r="R28" s="278">
        <f t="shared" si="48"/>
        <v>29.766999999999999</v>
      </c>
      <c r="S28" s="278">
        <f t="shared" si="48"/>
        <v>15.523999999999999</v>
      </c>
      <c r="T28" s="194">
        <f t="shared" ref="T28:T29" si="49">SUM(N28:S28)</f>
        <v>70.849000000000004</v>
      </c>
      <c r="U28" s="194">
        <f t="shared" ref="U28:U29" si="50">T28+L28</f>
        <v>288.041</v>
      </c>
      <c r="V28" s="171">
        <f>V45+V259</f>
        <v>258.90100000000001</v>
      </c>
      <c r="W28" s="278">
        <f t="shared" ref="W28" si="51">W26+W27</f>
        <v>-29.14</v>
      </c>
      <c r="X28" s="195"/>
    </row>
    <row r="29" spans="1:25" s="196" customFormat="1" ht="18" customHeight="1">
      <c r="A29" s="610"/>
      <c r="B29" s="576"/>
      <c r="C29" s="577"/>
      <c r="D29" s="174" t="str">
        <f>серпень!D29</f>
        <v>дотація</v>
      </c>
      <c r="E29" s="192"/>
      <c r="F29" s="193">
        <f t="shared" ref="F29:K31" si="52">F63+F168+F213+F260</f>
        <v>0</v>
      </c>
      <c r="G29" s="193">
        <f t="shared" si="52"/>
        <v>0</v>
      </c>
      <c r="H29" s="193">
        <f t="shared" si="52"/>
        <v>0</v>
      </c>
      <c r="I29" s="193">
        <f t="shared" si="52"/>
        <v>0</v>
      </c>
      <c r="J29" s="193">
        <f t="shared" si="52"/>
        <v>0</v>
      </c>
      <c r="K29" s="193">
        <f t="shared" si="52"/>
        <v>0</v>
      </c>
      <c r="L29" s="194">
        <f t="shared" si="41"/>
        <v>0</v>
      </c>
      <c r="M29" s="194">
        <f t="shared" si="42"/>
        <v>0</v>
      </c>
      <c r="N29" s="193">
        <f t="shared" ref="N29:S31" si="53">N63+N168+N213+N260</f>
        <v>0</v>
      </c>
      <c r="O29" s="193">
        <f t="shared" si="53"/>
        <v>0</v>
      </c>
      <c r="P29" s="193">
        <f t="shared" si="53"/>
        <v>0</v>
      </c>
      <c r="Q29" s="193">
        <f t="shared" si="53"/>
        <v>0</v>
      </c>
      <c r="R29" s="193">
        <f t="shared" si="53"/>
        <v>0</v>
      </c>
      <c r="S29" s="193">
        <f t="shared" si="53"/>
        <v>0</v>
      </c>
      <c r="T29" s="194">
        <f t="shared" si="49"/>
        <v>0</v>
      </c>
      <c r="U29" s="194">
        <f t="shared" si="50"/>
        <v>0</v>
      </c>
      <c r="V29" s="171">
        <f>V63+V168+V213+V260</f>
        <v>0</v>
      </c>
      <c r="W29" s="192">
        <f t="shared" ref="W29" si="54">W63+W169+W214+W260</f>
        <v>0</v>
      </c>
      <c r="X29" s="195"/>
      <c r="Y29" s="197"/>
    </row>
    <row r="30" spans="1:25" s="196" customFormat="1" ht="18" customHeight="1">
      <c r="A30" s="610"/>
      <c r="B30" s="576"/>
      <c r="C30" s="577"/>
      <c r="D30" s="174" t="str">
        <f>серпень!D30</f>
        <v>місцевий (план), тис.грн</v>
      </c>
      <c r="E30" s="192"/>
      <c r="F30" s="193">
        <f t="shared" si="52"/>
        <v>0</v>
      </c>
      <c r="G30" s="193">
        <f t="shared" si="52"/>
        <v>75.441999999999993</v>
      </c>
      <c r="H30" s="193">
        <f t="shared" si="52"/>
        <v>77.67</v>
      </c>
      <c r="I30" s="193">
        <f t="shared" si="52"/>
        <v>43.561999999999998</v>
      </c>
      <c r="J30" s="193">
        <f t="shared" si="52"/>
        <v>6.8120000000000003</v>
      </c>
      <c r="K30" s="193">
        <f t="shared" si="52"/>
        <v>6.8540000000000001</v>
      </c>
      <c r="L30" s="194">
        <f t="shared" si="41"/>
        <v>210.34</v>
      </c>
      <c r="M30" s="194">
        <f t="shared" si="42"/>
        <v>35.057000000000002</v>
      </c>
      <c r="N30" s="193">
        <f t="shared" si="53"/>
        <v>6.8540000000000001</v>
      </c>
      <c r="O30" s="193">
        <f t="shared" si="53"/>
        <v>6.85</v>
      </c>
      <c r="P30" s="193">
        <f t="shared" si="53"/>
        <v>6.2119999999999997</v>
      </c>
      <c r="Q30" s="193">
        <f t="shared" si="53"/>
        <v>6.2119999999999997</v>
      </c>
      <c r="R30" s="193">
        <f t="shared" si="53"/>
        <v>6.2119999999999997</v>
      </c>
      <c r="S30" s="193">
        <f t="shared" si="53"/>
        <v>16.221</v>
      </c>
      <c r="T30" s="194">
        <f>SUM(N30:S30)</f>
        <v>48.561</v>
      </c>
      <c r="U30" s="194">
        <f>T30+L30</f>
        <v>258.90100000000001</v>
      </c>
      <c r="V30" s="171">
        <f>V64+V169+V214+V261</f>
        <v>258.90100000000001</v>
      </c>
      <c r="W30" s="192">
        <f>W64+W169+W214</f>
        <v>0</v>
      </c>
      <c r="X30" s="195"/>
      <c r="Y30" s="197"/>
    </row>
    <row r="31" spans="1:25" s="186" customFormat="1" ht="18" customHeight="1">
      <c r="A31" s="610"/>
      <c r="B31" s="576"/>
      <c r="C31" s="577"/>
      <c r="D31" s="178" t="str">
        <f>серпень!D31</f>
        <v>касові нат.п-ки 2025</v>
      </c>
      <c r="E31" s="180">
        <f>E65+E170+E215+E262</f>
        <v>0</v>
      </c>
      <c r="F31" s="260">
        <f>F65+F170+F215+F262</f>
        <v>0</v>
      </c>
      <c r="G31" s="260">
        <f t="shared" si="52"/>
        <v>23.4</v>
      </c>
      <c r="H31" s="260">
        <f t="shared" si="52"/>
        <v>22.9</v>
      </c>
      <c r="I31" s="260">
        <f t="shared" si="52"/>
        <v>11.9</v>
      </c>
      <c r="J31" s="260">
        <f t="shared" si="52"/>
        <v>0</v>
      </c>
      <c r="K31" s="260">
        <f t="shared" si="52"/>
        <v>0</v>
      </c>
      <c r="L31" s="181">
        <f t="shared" si="41"/>
        <v>58.2</v>
      </c>
      <c r="M31" s="181">
        <f t="shared" si="42"/>
        <v>9.6999999999999993</v>
      </c>
      <c r="N31" s="260">
        <f>N65+N170+N215+N262</f>
        <v>0</v>
      </c>
      <c r="O31" s="260">
        <f t="shared" si="53"/>
        <v>0</v>
      </c>
      <c r="P31" s="260">
        <f t="shared" si="53"/>
        <v>0</v>
      </c>
      <c r="Q31" s="260">
        <f t="shared" si="53"/>
        <v>0</v>
      </c>
      <c r="R31" s="260">
        <f t="shared" si="53"/>
        <v>0</v>
      </c>
      <c r="S31" s="260">
        <f t="shared" si="53"/>
        <v>10.6</v>
      </c>
      <c r="T31" s="325">
        <f>SUM(N31:S31)</f>
        <v>10.6</v>
      </c>
      <c r="U31" s="325">
        <f>T31+L31</f>
        <v>68.8</v>
      </c>
      <c r="V31" s="183">
        <f t="shared" ref="V31:W31" si="55">V65+V170+V215</f>
        <v>63</v>
      </c>
      <c r="W31" s="184">
        <f t="shared" si="55"/>
        <v>-5.8</v>
      </c>
      <c r="X31" s="279">
        <f>U24-U31</f>
        <v>0</v>
      </c>
    </row>
    <row r="32" spans="1:25" s="190" customFormat="1" ht="18" customHeight="1">
      <c r="A32" s="610"/>
      <c r="B32" s="576"/>
      <c r="C32" s="577"/>
      <c r="D32" s="187" t="str">
        <f>серпень!D32</f>
        <v>тариф, грн.</v>
      </c>
      <c r="E32" s="188" t="e">
        <f t="shared" ref="E32:K32" si="56">E33/E31*1000</f>
        <v>#DIV/0!</v>
      </c>
      <c r="F32" s="188" t="e">
        <f t="shared" si="56"/>
        <v>#DIV/0!</v>
      </c>
      <c r="G32" s="188">
        <f t="shared" si="56"/>
        <v>3224.0169999999998</v>
      </c>
      <c r="H32" s="188">
        <f t="shared" si="56"/>
        <v>3391.703</v>
      </c>
      <c r="I32" s="188">
        <f t="shared" si="56"/>
        <v>3657.2269999999999</v>
      </c>
      <c r="J32" s="188" t="e">
        <f t="shared" si="56"/>
        <v>#DIV/0!</v>
      </c>
      <c r="K32" s="188" t="e">
        <f t="shared" si="56"/>
        <v>#DIV/0!</v>
      </c>
      <c r="L32" s="188">
        <f>L33/L31*1000</f>
        <v>3614.0720000000001</v>
      </c>
      <c r="M32" s="188">
        <f>M33/M31*1000</f>
        <v>3614.1239999999998</v>
      </c>
      <c r="N32" s="188" t="e">
        <f t="shared" ref="N32:S32" si="57">N33/N31*1000</f>
        <v>#DIV/0!</v>
      </c>
      <c r="O32" s="188" t="e">
        <f t="shared" si="57"/>
        <v>#DIV/0!</v>
      </c>
      <c r="P32" s="188" t="e">
        <f t="shared" si="57"/>
        <v>#DIV/0!</v>
      </c>
      <c r="Q32" s="188" t="e">
        <f t="shared" si="57"/>
        <v>#DIV/0!</v>
      </c>
      <c r="R32" s="188" t="e">
        <f t="shared" si="57"/>
        <v>#DIV/0!</v>
      </c>
      <c r="S32" s="188">
        <f t="shared" si="57"/>
        <v>4272.7359999999999</v>
      </c>
      <c r="T32" s="188">
        <f>T33/T31*1000</f>
        <v>7330.3770000000004</v>
      </c>
      <c r="U32" s="188">
        <f>U33/U31*1000</f>
        <v>4186.6419999999998</v>
      </c>
      <c r="V32" s="188">
        <f>V33/V31*1000</f>
        <v>4109.54</v>
      </c>
      <c r="W32" s="189">
        <f>W33/W31*1000</f>
        <v>5024.1379999999999</v>
      </c>
      <c r="X32" s="185"/>
    </row>
    <row r="33" spans="1:25" s="176" customFormat="1" ht="18" customHeight="1">
      <c r="A33" s="610"/>
      <c r="B33" s="576"/>
      <c r="C33" s="577"/>
      <c r="D33" s="198" t="str">
        <f>серпень!D33</f>
        <v>касові видатки, тис.грн.</v>
      </c>
      <c r="E33" s="199">
        <f t="shared" ref="E33" si="58">E67+E172+E217+E264</f>
        <v>0</v>
      </c>
      <c r="F33" s="199">
        <f>F67+F172+F217+F264</f>
        <v>0</v>
      </c>
      <c r="G33" s="199">
        <f t="shared" ref="G33:K33" si="59">G67+G172+G217+G264</f>
        <v>75.441999999999993</v>
      </c>
      <c r="H33" s="199">
        <f t="shared" si="59"/>
        <v>77.67</v>
      </c>
      <c r="I33" s="199">
        <f t="shared" si="59"/>
        <v>43.521000000000001</v>
      </c>
      <c r="J33" s="199">
        <f t="shared" si="59"/>
        <v>6.8529999999999998</v>
      </c>
      <c r="K33" s="199">
        <f t="shared" si="59"/>
        <v>6.8529999999999998</v>
      </c>
      <c r="L33" s="199">
        <f>SUM(F33:K33)</f>
        <v>210.339</v>
      </c>
      <c r="M33" s="199">
        <f>L33/6</f>
        <v>35.057000000000002</v>
      </c>
      <c r="N33" s="199">
        <f>N67+N172+N217+N264</f>
        <v>6.8529999999999998</v>
      </c>
      <c r="O33" s="199">
        <f t="shared" ref="O33:S33" si="60">O67+O172+O217+O264</f>
        <v>6.8520000000000003</v>
      </c>
      <c r="P33" s="199">
        <f t="shared" si="60"/>
        <v>6.2359999999999998</v>
      </c>
      <c r="Q33" s="199">
        <f t="shared" si="60"/>
        <v>6.2350000000000003</v>
      </c>
      <c r="R33" s="199">
        <f t="shared" si="60"/>
        <v>6.2350000000000003</v>
      </c>
      <c r="S33" s="199">
        <f t="shared" si="60"/>
        <v>45.290999999999997</v>
      </c>
      <c r="T33" s="199">
        <f>SUM(N33:S33)</f>
        <v>77.701999999999998</v>
      </c>
      <c r="U33" s="199">
        <f>T33+L33</f>
        <v>288.041</v>
      </c>
      <c r="V33" s="175">
        <f>V67+V172+V217+V264</f>
        <v>258.90100000000001</v>
      </c>
      <c r="W33" s="200">
        <f>W67+W172+W217+W264</f>
        <v>-29.14</v>
      </c>
      <c r="X33" s="176">
        <f>U28-U33</f>
        <v>0</v>
      </c>
    </row>
    <row r="34" spans="1:25" s="176" customFormat="1" ht="18" customHeight="1">
      <c r="A34" s="610"/>
      <c r="B34" s="576"/>
      <c r="C34" s="577"/>
      <c r="D34" s="201" t="str">
        <f>серпень!D34</f>
        <v>дотація</v>
      </c>
      <c r="E34" s="199"/>
      <c r="F34" s="199">
        <f t="shared" ref="F34:K35" si="61">F68+F173+F218+F265</f>
        <v>0</v>
      </c>
      <c r="G34" s="199">
        <f t="shared" si="61"/>
        <v>0</v>
      </c>
      <c r="H34" s="199">
        <f t="shared" si="61"/>
        <v>0</v>
      </c>
      <c r="I34" s="199">
        <f t="shared" si="61"/>
        <v>0</v>
      </c>
      <c r="J34" s="199">
        <f t="shared" si="61"/>
        <v>0</v>
      </c>
      <c r="K34" s="199">
        <f t="shared" si="61"/>
        <v>0</v>
      </c>
      <c r="L34" s="199">
        <f>SUM(F34:K34)</f>
        <v>0</v>
      </c>
      <c r="M34" s="199">
        <f>L34/6</f>
        <v>0</v>
      </c>
      <c r="N34" s="199">
        <f t="shared" ref="N34:S35" si="62">N68+N173+N218+N265</f>
        <v>0</v>
      </c>
      <c r="O34" s="199">
        <f t="shared" si="62"/>
        <v>0</v>
      </c>
      <c r="P34" s="199">
        <f t="shared" si="62"/>
        <v>0</v>
      </c>
      <c r="Q34" s="199">
        <f t="shared" si="62"/>
        <v>0</v>
      </c>
      <c r="R34" s="199">
        <f t="shared" si="62"/>
        <v>0</v>
      </c>
      <c r="S34" s="199">
        <f t="shared" si="62"/>
        <v>0</v>
      </c>
      <c r="T34" s="199">
        <f>SUM(N34:S34)</f>
        <v>0</v>
      </c>
      <c r="U34" s="199">
        <f>T34+L34</f>
        <v>0</v>
      </c>
      <c r="V34" s="175">
        <f>V68+V173+V218+V265</f>
        <v>0</v>
      </c>
      <c r="W34" s="200">
        <f>V34-U34</f>
        <v>0</v>
      </c>
      <c r="X34" s="176">
        <f>U29-U34</f>
        <v>0</v>
      </c>
    </row>
    <row r="35" spans="1:25" s="176" customFormat="1" ht="18" customHeight="1">
      <c r="A35" s="610"/>
      <c r="B35" s="576"/>
      <c r="C35" s="577"/>
      <c r="D35" s="201" t="str">
        <f>серпень!D35</f>
        <v xml:space="preserve">місцевий </v>
      </c>
      <c r="E35" s="199"/>
      <c r="F35" s="199">
        <f t="shared" si="61"/>
        <v>0</v>
      </c>
      <c r="G35" s="199">
        <f t="shared" si="61"/>
        <v>75.441999999999993</v>
      </c>
      <c r="H35" s="199">
        <f t="shared" si="61"/>
        <v>77.67</v>
      </c>
      <c r="I35" s="199">
        <f t="shared" si="61"/>
        <v>43.521000000000001</v>
      </c>
      <c r="J35" s="199">
        <f t="shared" si="61"/>
        <v>6.8529999999999998</v>
      </c>
      <c r="K35" s="199">
        <f t="shared" si="61"/>
        <v>6.8529999999999998</v>
      </c>
      <c r="L35" s="199">
        <f>SUM(F35:K35)</f>
        <v>210.339</v>
      </c>
      <c r="M35" s="199">
        <f>L35/6</f>
        <v>35.057000000000002</v>
      </c>
      <c r="N35" s="199">
        <f t="shared" si="62"/>
        <v>6.8529999999999998</v>
      </c>
      <c r="O35" s="199">
        <f t="shared" si="62"/>
        <v>6.8520000000000003</v>
      </c>
      <c r="P35" s="199">
        <f t="shared" si="62"/>
        <v>6.2359999999999998</v>
      </c>
      <c r="Q35" s="199">
        <f t="shared" si="62"/>
        <v>6.2350000000000003</v>
      </c>
      <c r="R35" s="199">
        <f t="shared" si="62"/>
        <v>6.2350000000000003</v>
      </c>
      <c r="S35" s="199">
        <f t="shared" si="62"/>
        <v>45.290999999999997</v>
      </c>
      <c r="T35" s="199">
        <f>SUM(N35:S35)</f>
        <v>77.701999999999998</v>
      </c>
      <c r="U35" s="199">
        <f>T35+L35</f>
        <v>288.041</v>
      </c>
      <c r="V35" s="175">
        <f>V69+V174+V219+V266</f>
        <v>258.90100000000001</v>
      </c>
      <c r="W35" s="200">
        <f>V35-U35</f>
        <v>-29.14</v>
      </c>
      <c r="X35" s="176">
        <f>U30-U35</f>
        <v>-29.14</v>
      </c>
    </row>
    <row r="36" spans="1:25" s="205" customFormat="1" ht="18" customHeight="1">
      <c r="A36" s="610"/>
      <c r="B36" s="576"/>
      <c r="C36" s="577"/>
      <c r="D36" s="202" t="str">
        <f>серпень!D36</f>
        <v>план</v>
      </c>
      <c r="E36" s="203"/>
      <c r="F36" s="203">
        <f t="shared" ref="F36:K36" si="63">F30</f>
        <v>0</v>
      </c>
      <c r="G36" s="203">
        <f t="shared" si="63"/>
        <v>75.441999999999993</v>
      </c>
      <c r="H36" s="203">
        <f t="shared" si="63"/>
        <v>77.67</v>
      </c>
      <c r="I36" s="203">
        <f>I30</f>
        <v>43.561999999999998</v>
      </c>
      <c r="J36" s="203">
        <f>J30</f>
        <v>6.8120000000000003</v>
      </c>
      <c r="K36" s="203">
        <f t="shared" si="63"/>
        <v>6.8540000000000001</v>
      </c>
      <c r="L36" s="203">
        <f>SUM(F36:K36)</f>
        <v>210.34</v>
      </c>
      <c r="M36" s="203">
        <f>L36/6</f>
        <v>35.057000000000002</v>
      </c>
      <c r="N36" s="203">
        <f t="shared" ref="N36:S36" si="64">N30+N29</f>
        <v>6.8540000000000001</v>
      </c>
      <c r="O36" s="203">
        <f t="shared" si="64"/>
        <v>6.85</v>
      </c>
      <c r="P36" s="203">
        <f t="shared" si="64"/>
        <v>6.2119999999999997</v>
      </c>
      <c r="Q36" s="203">
        <f t="shared" si="64"/>
        <v>6.2119999999999997</v>
      </c>
      <c r="R36" s="203">
        <f t="shared" si="64"/>
        <v>6.2119999999999997</v>
      </c>
      <c r="S36" s="203">
        <f t="shared" si="64"/>
        <v>16.221</v>
      </c>
      <c r="T36" s="203">
        <f>SUM(N36:S36)</f>
        <v>48.561</v>
      </c>
      <c r="U36" s="203">
        <f>T36+L36</f>
        <v>258.90100000000001</v>
      </c>
      <c r="V36" s="204">
        <f>V70+V175+V220+V267</f>
        <v>258.90100000000001</v>
      </c>
      <c r="W36" s="203">
        <f>V36-U36</f>
        <v>0</v>
      </c>
    </row>
    <row r="37" spans="1:25" s="205" customFormat="1" ht="18" customHeight="1">
      <c r="A37" s="610"/>
      <c r="B37" s="576"/>
      <c r="C37" s="577"/>
      <c r="D37" s="202" t="str">
        <f>серпень!D37</f>
        <v xml:space="preserve">відхилення </v>
      </c>
      <c r="E37" s="203"/>
      <c r="F37" s="203">
        <f t="shared" ref="F37:K37" si="65">F33-F36</f>
        <v>0</v>
      </c>
      <c r="G37" s="203">
        <f t="shared" si="65"/>
        <v>0</v>
      </c>
      <c r="H37" s="203">
        <f t="shared" si="65"/>
        <v>0</v>
      </c>
      <c r="I37" s="203">
        <f t="shared" si="65"/>
        <v>-4.1000000000000002E-2</v>
      </c>
      <c r="J37" s="203">
        <f t="shared" si="65"/>
        <v>4.1000000000000002E-2</v>
      </c>
      <c r="K37" s="203">
        <f t="shared" si="65"/>
        <v>-1E-3</v>
      </c>
      <c r="L37" s="203"/>
      <c r="M37" s="203"/>
      <c r="N37" s="203">
        <f t="shared" ref="N37:S37" si="66">N33-N36</f>
        <v>-1E-3</v>
      </c>
      <c r="O37" s="203">
        <f t="shared" si="66"/>
        <v>2E-3</v>
      </c>
      <c r="P37" s="203">
        <f t="shared" si="66"/>
        <v>2.4E-2</v>
      </c>
      <c r="Q37" s="203">
        <f t="shared" si="66"/>
        <v>2.3E-2</v>
      </c>
      <c r="R37" s="203">
        <f t="shared" si="66"/>
        <v>2.3E-2</v>
      </c>
      <c r="S37" s="203">
        <f t="shared" si="66"/>
        <v>29.07</v>
      </c>
      <c r="T37" s="203"/>
      <c r="U37" s="203"/>
      <c r="V37" s="203"/>
      <c r="W37" s="203"/>
    </row>
    <row r="38" spans="1:25" s="205" customFormat="1" ht="18" customHeight="1">
      <c r="A38" s="610"/>
      <c r="B38" s="576"/>
      <c r="C38" s="577"/>
      <c r="D38" s="202" t="str">
        <f>серпень!D38</f>
        <v>відхилення з наростаючим</v>
      </c>
      <c r="E38" s="203"/>
      <c r="F38" s="203">
        <f>F37</f>
        <v>0</v>
      </c>
      <c r="G38" s="203">
        <f>G37+F38</f>
        <v>0</v>
      </c>
      <c r="H38" s="203">
        <f>H37+G38</f>
        <v>0</v>
      </c>
      <c r="I38" s="203">
        <f>I37+H38</f>
        <v>-4.1000000000000002E-2</v>
      </c>
      <c r="J38" s="203">
        <f>J37+I38</f>
        <v>0</v>
      </c>
      <c r="K38" s="203">
        <f>K37+J38</f>
        <v>-1E-3</v>
      </c>
      <c r="L38" s="203"/>
      <c r="M38" s="203"/>
      <c r="N38" s="203">
        <f>N37+K38</f>
        <v>-2E-3</v>
      </c>
      <c r="O38" s="203">
        <f>O37+N38</f>
        <v>0</v>
      </c>
      <c r="P38" s="203">
        <f>P37+O38</f>
        <v>2.4E-2</v>
      </c>
      <c r="Q38" s="203">
        <f>Q37+P38</f>
        <v>4.7E-2</v>
      </c>
      <c r="R38" s="203">
        <f>R37+Q38</f>
        <v>7.0000000000000007E-2</v>
      </c>
      <c r="S38" s="203">
        <f>S37+R38</f>
        <v>29.14</v>
      </c>
      <c r="T38" s="203"/>
      <c r="U38" s="203"/>
      <c r="V38" s="203"/>
      <c r="W38" s="203"/>
    </row>
    <row r="39" spans="1:25" s="206" customFormat="1" ht="18" customHeight="1">
      <c r="A39" s="610"/>
      <c r="B39" s="581" t="s">
        <v>71</v>
      </c>
      <c r="C39" s="581"/>
      <c r="D39" s="178" t="str">
        <f>серпень!D39</f>
        <v>факт. нат.п-ки 2023</v>
      </c>
      <c r="E39" s="179"/>
      <c r="F39" s="180">
        <f t="shared" ref="F39:K40" si="67">F56+F163+F208</f>
        <v>1.9</v>
      </c>
      <c r="G39" s="180">
        <f t="shared" si="67"/>
        <v>11.8</v>
      </c>
      <c r="H39" s="180">
        <f t="shared" si="67"/>
        <v>12.4</v>
      </c>
      <c r="I39" s="180">
        <f t="shared" si="67"/>
        <v>0.1</v>
      </c>
      <c r="J39" s="180">
        <f t="shared" si="67"/>
        <v>0.1</v>
      </c>
      <c r="K39" s="180">
        <f t="shared" si="67"/>
        <v>0.1</v>
      </c>
      <c r="L39" s="181">
        <f>SUM(F39:K39)</f>
        <v>26.4</v>
      </c>
      <c r="M39" s="181">
        <f>L39/6</f>
        <v>4.4000000000000004</v>
      </c>
      <c r="N39" s="180">
        <f t="shared" ref="N39:S40" si="68">N56+N163+N208</f>
        <v>0.1</v>
      </c>
      <c r="O39" s="180">
        <f t="shared" si="68"/>
        <v>0.1</v>
      </c>
      <c r="P39" s="180">
        <f t="shared" si="68"/>
        <v>0.1</v>
      </c>
      <c r="Q39" s="180">
        <f t="shared" si="68"/>
        <v>0.1</v>
      </c>
      <c r="R39" s="180">
        <f t="shared" si="68"/>
        <v>7.7</v>
      </c>
      <c r="S39" s="180">
        <f t="shared" si="68"/>
        <v>16.399999999999999</v>
      </c>
      <c r="T39" s="181">
        <f>SUM(N39:S39)</f>
        <v>24.5</v>
      </c>
      <c r="U39" s="182">
        <f>T39+L39</f>
        <v>50.9</v>
      </c>
      <c r="V39" s="183">
        <f>V56+V163</f>
        <v>49.7</v>
      </c>
      <c r="W39" s="184"/>
    </row>
    <row r="40" spans="1:25" s="206" customFormat="1" ht="18" customHeight="1">
      <c r="A40" s="610"/>
      <c r="B40" s="581"/>
      <c r="C40" s="581"/>
      <c r="D40" s="178" t="str">
        <f>серпень!D40</f>
        <v>факт. нат.п-ки 2024</v>
      </c>
      <c r="E40" s="179"/>
      <c r="F40" s="180">
        <f t="shared" si="67"/>
        <v>21</v>
      </c>
      <c r="G40" s="180">
        <f t="shared" si="67"/>
        <v>16</v>
      </c>
      <c r="H40" s="180">
        <f t="shared" si="67"/>
        <v>15.7</v>
      </c>
      <c r="I40" s="180">
        <f t="shared" si="67"/>
        <v>0.1</v>
      </c>
      <c r="J40" s="180">
        <f t="shared" si="67"/>
        <v>0.1</v>
      </c>
      <c r="K40" s="180">
        <f t="shared" si="67"/>
        <v>0.1</v>
      </c>
      <c r="L40" s="181">
        <f>SUM(F40:K40)</f>
        <v>53</v>
      </c>
      <c r="M40" s="181">
        <f>L40/6</f>
        <v>8.8000000000000007</v>
      </c>
      <c r="N40" s="180">
        <f t="shared" si="68"/>
        <v>0.1</v>
      </c>
      <c r="O40" s="180">
        <f t="shared" si="68"/>
        <v>0.1</v>
      </c>
      <c r="P40" s="180">
        <f t="shared" si="68"/>
        <v>0.1</v>
      </c>
      <c r="Q40" s="180">
        <f t="shared" si="68"/>
        <v>0.1</v>
      </c>
      <c r="R40" s="180">
        <f t="shared" si="68"/>
        <v>7.7</v>
      </c>
      <c r="S40" s="180">
        <f t="shared" si="68"/>
        <v>16.399999999999999</v>
      </c>
      <c r="T40" s="181">
        <f>SUM(N40:S40)</f>
        <v>24.5</v>
      </c>
      <c r="U40" s="182">
        <f>T40+L40</f>
        <v>77.5</v>
      </c>
      <c r="V40" s="183">
        <f>V57+V164</f>
        <v>76.3</v>
      </c>
      <c r="W40" s="184"/>
    </row>
    <row r="41" spans="1:25" s="206" customFormat="1" ht="18" customHeight="1">
      <c r="A41" s="610"/>
      <c r="B41" s="581"/>
      <c r="C41" s="581"/>
      <c r="D41" s="178" t="str">
        <f>серпень!D41</f>
        <v>факт. нат.п-ки 2025</v>
      </c>
      <c r="E41" s="179"/>
      <c r="F41" s="180">
        <f>F90+F135+F165+F210</f>
        <v>23.4</v>
      </c>
      <c r="G41" s="180">
        <f t="shared" ref="G41:K41" si="69">G90+G135+G165+G210</f>
        <v>22.9</v>
      </c>
      <c r="H41" s="180">
        <f t="shared" si="69"/>
        <v>11.9</v>
      </c>
      <c r="I41" s="180">
        <f t="shared" si="69"/>
        <v>0</v>
      </c>
      <c r="J41" s="180">
        <f t="shared" si="69"/>
        <v>0</v>
      </c>
      <c r="K41" s="180">
        <f t="shared" si="69"/>
        <v>0</v>
      </c>
      <c r="L41" s="181">
        <f>SUM(F41:K41)</f>
        <v>58.2</v>
      </c>
      <c r="M41" s="181">
        <f>L41/6</f>
        <v>9.6999999999999993</v>
      </c>
      <c r="N41" s="180">
        <f>N90+N135+N165+N210</f>
        <v>0</v>
      </c>
      <c r="O41" s="180">
        <f t="shared" ref="O41:S41" si="70">O90+O135+O165+O210</f>
        <v>0</v>
      </c>
      <c r="P41" s="180">
        <f t="shared" si="70"/>
        <v>0</v>
      </c>
      <c r="Q41" s="180">
        <f t="shared" si="70"/>
        <v>0</v>
      </c>
      <c r="R41" s="180">
        <f t="shared" si="70"/>
        <v>7.6</v>
      </c>
      <c r="S41" s="180">
        <f t="shared" si="70"/>
        <v>3</v>
      </c>
      <c r="T41" s="181">
        <f>SUM(N41:S41)</f>
        <v>10.6</v>
      </c>
      <c r="U41" s="182">
        <f>T41+L41</f>
        <v>68.8</v>
      </c>
      <c r="V41" s="264">
        <f t="shared" ref="V41" si="71">V58+V165+V210</f>
        <v>63</v>
      </c>
      <c r="W41" s="184">
        <f>V41-U41</f>
        <v>-5.8</v>
      </c>
    </row>
    <row r="42" spans="1:25" s="206" customFormat="1" ht="18" customHeight="1">
      <c r="A42" s="610"/>
      <c r="B42" s="581"/>
      <c r="C42" s="581"/>
      <c r="D42" s="187" t="str">
        <f>серпень!D42</f>
        <v>тариф, грн.</v>
      </c>
      <c r="E42" s="188"/>
      <c r="F42" s="188">
        <f t="shared" ref="F42:S42" si="72">F43/F41*1000</f>
        <v>2932.2649999999999</v>
      </c>
      <c r="G42" s="188">
        <f t="shared" si="72"/>
        <v>3092.4450000000002</v>
      </c>
      <c r="H42" s="188">
        <f t="shared" si="72"/>
        <v>3081.4290000000001</v>
      </c>
      <c r="I42" s="188" t="e">
        <f>I43/I41*1000</f>
        <v>#DIV/0!</v>
      </c>
      <c r="J42" s="188" t="e">
        <f>J43/J41*1000</f>
        <v>#DIV/0!</v>
      </c>
      <c r="K42" s="188" t="e">
        <f t="shared" si="72"/>
        <v>#DIV/0!</v>
      </c>
      <c r="L42" s="188">
        <f t="shared" si="72"/>
        <v>3025.79</v>
      </c>
      <c r="M42" s="188">
        <f t="shared" si="72"/>
        <v>3025.7730000000001</v>
      </c>
      <c r="N42" s="188" t="e">
        <f t="shared" si="72"/>
        <v>#DIV/0!</v>
      </c>
      <c r="O42" s="188" t="e">
        <f t="shared" si="72"/>
        <v>#DIV/0!</v>
      </c>
      <c r="P42" s="188" t="e">
        <f t="shared" si="72"/>
        <v>#DIV/0!</v>
      </c>
      <c r="Q42" s="188" t="e">
        <f t="shared" si="72"/>
        <v>#DIV/0!</v>
      </c>
      <c r="R42" s="188">
        <f t="shared" si="72"/>
        <v>3096.3159999999998</v>
      </c>
      <c r="S42" s="188">
        <f t="shared" si="72"/>
        <v>3096.3330000000001</v>
      </c>
      <c r="T42" s="188">
        <f>T43/T41*1000</f>
        <v>3096.3209999999999</v>
      </c>
      <c r="U42" s="188">
        <f>U43/U41*1000</f>
        <v>3036.6570000000002</v>
      </c>
      <c r="V42" s="188">
        <f>V43/V41*1000</f>
        <v>2926.3020000000001</v>
      </c>
      <c r="W42" s="189">
        <f>W43/W41*1000</f>
        <v>4235.3450000000003</v>
      </c>
    </row>
    <row r="43" spans="1:25" s="206" customFormat="1" ht="18" customHeight="1">
      <c r="A43" s="610"/>
      <c r="B43" s="581"/>
      <c r="C43" s="581"/>
      <c r="D43" s="191" t="str">
        <f>серпень!D43</f>
        <v>сума, тис.грн.</v>
      </c>
      <c r="E43" s="192"/>
      <c r="F43" s="193">
        <f>F92+F137+F167+F212</f>
        <v>68.614999999999995</v>
      </c>
      <c r="G43" s="193">
        <f t="shared" ref="G43:K43" si="73">G92+G137+G167+G212</f>
        <v>70.816999999999993</v>
      </c>
      <c r="H43" s="193">
        <f t="shared" si="73"/>
        <v>36.668999999999997</v>
      </c>
      <c r="I43" s="193">
        <f t="shared" si="73"/>
        <v>0</v>
      </c>
      <c r="J43" s="193">
        <f t="shared" si="73"/>
        <v>0</v>
      </c>
      <c r="K43" s="193">
        <f t="shared" si="73"/>
        <v>0</v>
      </c>
      <c r="L43" s="194">
        <f t="shared" ref="L43:L48" si="74">SUM(F43:K43)</f>
        <v>176.101</v>
      </c>
      <c r="M43" s="194">
        <f t="shared" ref="M43:M48" si="75">L43/6</f>
        <v>29.35</v>
      </c>
      <c r="N43" s="193">
        <f>N92+N137+N167+N212</f>
        <v>0</v>
      </c>
      <c r="O43" s="193">
        <f t="shared" ref="O43:S43" si="76">O92+O137+O167+O212</f>
        <v>0</v>
      </c>
      <c r="P43" s="193">
        <f t="shared" si="76"/>
        <v>0</v>
      </c>
      <c r="Q43" s="193">
        <f t="shared" si="76"/>
        <v>0</v>
      </c>
      <c r="R43" s="193">
        <f t="shared" si="76"/>
        <v>23.532</v>
      </c>
      <c r="S43" s="193">
        <f t="shared" si="76"/>
        <v>9.2889999999999997</v>
      </c>
      <c r="T43" s="194">
        <f>SUM(N43:S43)</f>
        <v>32.820999999999998</v>
      </c>
      <c r="U43" s="194">
        <f>T43+L43</f>
        <v>208.922</v>
      </c>
      <c r="V43" s="171">
        <f>V60+V167+V212</f>
        <v>184.357</v>
      </c>
      <c r="W43" s="193">
        <f>V43-U43</f>
        <v>-24.565000000000001</v>
      </c>
    </row>
    <row r="44" spans="1:25" s="206" customFormat="1" ht="18" customHeight="1">
      <c r="A44" s="610"/>
      <c r="B44" s="581"/>
      <c r="C44" s="581"/>
      <c r="D44" s="174" t="str">
        <f>серпень!D44</f>
        <v>абоненська плата, тис.грн.</v>
      </c>
      <c r="E44" s="192"/>
      <c r="F44" s="193">
        <f t="shared" ref="F44:K44" si="77">F77+F107+F122+F152</f>
        <v>6.827</v>
      </c>
      <c r="G44" s="193">
        <f t="shared" si="77"/>
        <v>6.8529999999999998</v>
      </c>
      <c r="H44" s="193">
        <f t="shared" si="77"/>
        <v>6.8520000000000003</v>
      </c>
      <c r="I44" s="193">
        <f t="shared" si="77"/>
        <v>6.8529999999999998</v>
      </c>
      <c r="J44" s="193">
        <f t="shared" si="77"/>
        <v>6.8529999999999998</v>
      </c>
      <c r="K44" s="193">
        <f t="shared" si="77"/>
        <v>6.8529999999999998</v>
      </c>
      <c r="L44" s="194">
        <f t="shared" si="74"/>
        <v>41.091000000000001</v>
      </c>
      <c r="M44" s="194">
        <f t="shared" si="75"/>
        <v>6.8490000000000002</v>
      </c>
      <c r="N44" s="193">
        <f t="shared" ref="N44:S44" si="78">N77+N107+N122+N152</f>
        <v>6.8529999999999998</v>
      </c>
      <c r="O44" s="193">
        <f t="shared" si="78"/>
        <v>6.2350000000000003</v>
      </c>
      <c r="P44" s="193">
        <f t="shared" si="78"/>
        <v>6.2350000000000003</v>
      </c>
      <c r="Q44" s="193">
        <f t="shared" si="78"/>
        <v>6.2350000000000003</v>
      </c>
      <c r="R44" s="193">
        <f t="shared" si="78"/>
        <v>6.2350000000000003</v>
      </c>
      <c r="S44" s="193">
        <f t="shared" si="78"/>
        <v>6.2350000000000003</v>
      </c>
      <c r="T44" s="194">
        <f t="shared" ref="T44:T46" si="79">SUM(N44:S44)</f>
        <v>38.027999999999999</v>
      </c>
      <c r="U44" s="194">
        <f t="shared" ref="U44:U46" si="80">T44+L44</f>
        <v>79.119</v>
      </c>
      <c r="V44" s="171">
        <f t="shared" ref="V44:V45" si="81">V61</f>
        <v>74.543999999999997</v>
      </c>
      <c r="W44" s="193">
        <f t="shared" ref="W44:W45" si="82">V44-U44</f>
        <v>-4.5750000000000002</v>
      </c>
    </row>
    <row r="45" spans="1:25" s="206" customFormat="1" ht="18" customHeight="1">
      <c r="A45" s="610"/>
      <c r="B45" s="581"/>
      <c r="C45" s="581"/>
      <c r="D45" s="174" t="str">
        <f>серпень!D45</f>
        <v>разом сума тис. грн+абонплата</v>
      </c>
      <c r="E45" s="192"/>
      <c r="F45" s="193">
        <f>F43+F44</f>
        <v>75.441999999999993</v>
      </c>
      <c r="G45" s="193">
        <f t="shared" ref="G45:K45" si="83">G43+G44</f>
        <v>77.67</v>
      </c>
      <c r="H45" s="193">
        <f t="shared" si="83"/>
        <v>43.521000000000001</v>
      </c>
      <c r="I45" s="193">
        <f t="shared" si="83"/>
        <v>6.8529999999999998</v>
      </c>
      <c r="J45" s="193">
        <f t="shared" si="83"/>
        <v>6.8529999999999998</v>
      </c>
      <c r="K45" s="193">
        <f t="shared" si="83"/>
        <v>6.8529999999999998</v>
      </c>
      <c r="L45" s="194">
        <f t="shared" si="74"/>
        <v>217.19200000000001</v>
      </c>
      <c r="M45" s="194">
        <f t="shared" si="75"/>
        <v>36.198999999999998</v>
      </c>
      <c r="N45" s="193">
        <f t="shared" ref="N45:S45" si="84">N43+N44</f>
        <v>6.8529999999999998</v>
      </c>
      <c r="O45" s="193">
        <f t="shared" si="84"/>
        <v>6.2350000000000003</v>
      </c>
      <c r="P45" s="193">
        <f t="shared" si="84"/>
        <v>6.2350000000000003</v>
      </c>
      <c r="Q45" s="193">
        <f t="shared" si="84"/>
        <v>6.2350000000000003</v>
      </c>
      <c r="R45" s="193">
        <f t="shared" si="84"/>
        <v>29.766999999999999</v>
      </c>
      <c r="S45" s="193">
        <f t="shared" si="84"/>
        <v>15.523999999999999</v>
      </c>
      <c r="T45" s="194">
        <f t="shared" ref="T45" si="85">SUM(N45:S45)</f>
        <v>70.849000000000004</v>
      </c>
      <c r="U45" s="194">
        <f t="shared" si="80"/>
        <v>288.041</v>
      </c>
      <c r="V45" s="171">
        <f t="shared" si="81"/>
        <v>258.90100000000001</v>
      </c>
      <c r="W45" s="193">
        <f t="shared" si="82"/>
        <v>-29.14</v>
      </c>
    </row>
    <row r="46" spans="1:25" s="206" customFormat="1" ht="18" customHeight="1">
      <c r="A46" s="610"/>
      <c r="B46" s="581"/>
      <c r="C46" s="581"/>
      <c r="D46" s="174" t="str">
        <f>серпень!D46</f>
        <v>дотація</v>
      </c>
      <c r="E46" s="192"/>
      <c r="F46" s="193">
        <f>F63+F168+F213</f>
        <v>0</v>
      </c>
      <c r="G46" s="193">
        <f t="shared" ref="G46:K47" si="86">G63+G168+G213</f>
        <v>0</v>
      </c>
      <c r="H46" s="193">
        <f t="shared" si="86"/>
        <v>0</v>
      </c>
      <c r="I46" s="193">
        <f t="shared" si="86"/>
        <v>0</v>
      </c>
      <c r="J46" s="193">
        <f t="shared" si="86"/>
        <v>0</v>
      </c>
      <c r="K46" s="193">
        <f t="shared" si="86"/>
        <v>0</v>
      </c>
      <c r="L46" s="194">
        <f t="shared" si="74"/>
        <v>0</v>
      </c>
      <c r="M46" s="194">
        <f t="shared" si="75"/>
        <v>0</v>
      </c>
      <c r="N46" s="193">
        <f t="shared" ref="N46:S47" si="87">N63+N168+N213</f>
        <v>0</v>
      </c>
      <c r="O46" s="193">
        <f t="shared" si="87"/>
        <v>0</v>
      </c>
      <c r="P46" s="193">
        <f t="shared" si="87"/>
        <v>0</v>
      </c>
      <c r="Q46" s="193">
        <f t="shared" si="87"/>
        <v>0</v>
      </c>
      <c r="R46" s="193">
        <f t="shared" si="87"/>
        <v>0</v>
      </c>
      <c r="S46" s="193">
        <f t="shared" si="87"/>
        <v>0</v>
      </c>
      <c r="T46" s="194">
        <f t="shared" si="79"/>
        <v>0</v>
      </c>
      <c r="U46" s="194">
        <f t="shared" si="80"/>
        <v>0</v>
      </c>
      <c r="V46" s="171">
        <f t="shared" ref="V46:V47" si="88">V63+V168+V213</f>
        <v>0</v>
      </c>
      <c r="W46" s="192">
        <f>V46-U46</f>
        <v>0</v>
      </c>
    </row>
    <row r="47" spans="1:25" s="206" customFormat="1" ht="18" customHeight="1">
      <c r="A47" s="610"/>
      <c r="B47" s="581"/>
      <c r="C47" s="581"/>
      <c r="D47" s="174" t="str">
        <f>серпень!D47</f>
        <v>місцевий (план), тис.грн</v>
      </c>
      <c r="E47" s="192"/>
      <c r="F47" s="193">
        <f>F64+F169+F214</f>
        <v>0</v>
      </c>
      <c r="G47" s="193">
        <f t="shared" si="86"/>
        <v>75.441999999999993</v>
      </c>
      <c r="H47" s="193">
        <f t="shared" si="86"/>
        <v>77.67</v>
      </c>
      <c r="I47" s="193">
        <f t="shared" si="86"/>
        <v>43.561999999999998</v>
      </c>
      <c r="J47" s="193">
        <f t="shared" si="86"/>
        <v>6.8120000000000003</v>
      </c>
      <c r="K47" s="193">
        <f t="shared" si="86"/>
        <v>6.8540000000000001</v>
      </c>
      <c r="L47" s="194">
        <f t="shared" si="74"/>
        <v>210.34</v>
      </c>
      <c r="M47" s="194">
        <f t="shared" si="75"/>
        <v>35.057000000000002</v>
      </c>
      <c r="N47" s="193">
        <f t="shared" si="87"/>
        <v>6.8540000000000001</v>
      </c>
      <c r="O47" s="193">
        <f t="shared" si="87"/>
        <v>6.85</v>
      </c>
      <c r="P47" s="193">
        <f t="shared" si="87"/>
        <v>6.2119999999999997</v>
      </c>
      <c r="Q47" s="193">
        <f t="shared" si="87"/>
        <v>6.2119999999999997</v>
      </c>
      <c r="R47" s="193">
        <f t="shared" si="87"/>
        <v>6.2119999999999997</v>
      </c>
      <c r="S47" s="193">
        <f t="shared" si="87"/>
        <v>16.221</v>
      </c>
      <c r="T47" s="194">
        <f>SUM(N47:S47)</f>
        <v>48.561</v>
      </c>
      <c r="U47" s="194">
        <f>T47+L47</f>
        <v>258.90100000000001</v>
      </c>
      <c r="V47" s="171">
        <f t="shared" si="88"/>
        <v>258.90100000000001</v>
      </c>
      <c r="W47" s="192">
        <f>V47-U47</f>
        <v>0</v>
      </c>
    </row>
    <row r="48" spans="1:25" s="206" customFormat="1" ht="18" customHeight="1">
      <c r="A48" s="610"/>
      <c r="B48" s="581"/>
      <c r="C48" s="581"/>
      <c r="D48" s="178" t="str">
        <f>серпень!D48</f>
        <v>касові нат.п-ки 2025</v>
      </c>
      <c r="E48" s="179">
        <f t="shared" ref="E48" si="89">E65+E170+E215</f>
        <v>0</v>
      </c>
      <c r="F48" s="264">
        <f>F95+F140+F170+F215</f>
        <v>0</v>
      </c>
      <c r="G48" s="264">
        <f t="shared" ref="G48:K48" si="90">G95+G140+G170+G215</f>
        <v>23.4</v>
      </c>
      <c r="H48" s="264">
        <f t="shared" si="90"/>
        <v>22.9</v>
      </c>
      <c r="I48" s="264">
        <f t="shared" si="90"/>
        <v>11.9</v>
      </c>
      <c r="J48" s="264">
        <f>J95+J140+J170+J215</f>
        <v>0</v>
      </c>
      <c r="K48" s="264">
        <f t="shared" si="90"/>
        <v>0</v>
      </c>
      <c r="L48" s="181">
        <f t="shared" si="74"/>
        <v>58.2</v>
      </c>
      <c r="M48" s="181">
        <f t="shared" si="75"/>
        <v>9.6999999999999993</v>
      </c>
      <c r="N48" s="264">
        <f>N95+N140+N170+N215</f>
        <v>0</v>
      </c>
      <c r="O48" s="264">
        <f t="shared" ref="O48:S48" si="91">O95+O140+O170+O215</f>
        <v>0</v>
      </c>
      <c r="P48" s="264">
        <f t="shared" si="91"/>
        <v>0</v>
      </c>
      <c r="Q48" s="264">
        <f t="shared" si="91"/>
        <v>0</v>
      </c>
      <c r="R48" s="264">
        <f t="shared" si="91"/>
        <v>0</v>
      </c>
      <c r="S48" s="264">
        <f t="shared" si="91"/>
        <v>10.6</v>
      </c>
      <c r="T48" s="181">
        <f>SUM(N48:S48)</f>
        <v>10.6</v>
      </c>
      <c r="U48" s="181">
        <f>T48+L48</f>
        <v>68.8</v>
      </c>
      <c r="V48" s="260">
        <f t="shared" ref="V48" si="92">V80+V95+V110+V125+V140+V155+V170+V215</f>
        <v>63.716000000000001</v>
      </c>
      <c r="W48" s="184">
        <f>V48-U48</f>
        <v>-5.0999999999999996</v>
      </c>
      <c r="X48" s="206">
        <f>U41-U48</f>
        <v>0</v>
      </c>
      <c r="Y48" s="176"/>
    </row>
    <row r="49" spans="1:24" s="206" customFormat="1" ht="18" customHeight="1">
      <c r="A49" s="610"/>
      <c r="B49" s="581"/>
      <c r="C49" s="581"/>
      <c r="D49" s="187" t="str">
        <f>серпень!D49</f>
        <v>тариф, грн.</v>
      </c>
      <c r="E49" s="188" t="e">
        <f t="shared" ref="E49:S49" si="93">E50/E48*1000</f>
        <v>#DIV/0!</v>
      </c>
      <c r="F49" s="188" t="e">
        <f t="shared" si="93"/>
        <v>#DIV/0!</v>
      </c>
      <c r="G49" s="188">
        <f t="shared" si="93"/>
        <v>3224.0169999999998</v>
      </c>
      <c r="H49" s="188">
        <f t="shared" si="93"/>
        <v>3391.703</v>
      </c>
      <c r="I49" s="188">
        <f>I50/I48*1000</f>
        <v>3657.2269999999999</v>
      </c>
      <c r="J49" s="188" t="e">
        <f>J50/J48*1000</f>
        <v>#DIV/0!</v>
      </c>
      <c r="K49" s="188" t="e">
        <f t="shared" si="93"/>
        <v>#DIV/0!</v>
      </c>
      <c r="L49" s="188">
        <f t="shared" si="93"/>
        <v>3614.0720000000001</v>
      </c>
      <c r="M49" s="188">
        <f t="shared" si="93"/>
        <v>3614.1239999999998</v>
      </c>
      <c r="N49" s="188" t="e">
        <f t="shared" si="93"/>
        <v>#DIV/0!</v>
      </c>
      <c r="O49" s="188" t="e">
        <f t="shared" si="93"/>
        <v>#DIV/0!</v>
      </c>
      <c r="P49" s="188" t="e">
        <f t="shared" si="93"/>
        <v>#DIV/0!</v>
      </c>
      <c r="Q49" s="188" t="e">
        <f t="shared" si="93"/>
        <v>#DIV/0!</v>
      </c>
      <c r="R49" s="188" t="e">
        <f t="shared" si="93"/>
        <v>#DIV/0!</v>
      </c>
      <c r="S49" s="188">
        <f t="shared" si="93"/>
        <v>4272.7359999999999</v>
      </c>
      <c r="T49" s="188">
        <f>T50/T48*1000</f>
        <v>7330.3770000000004</v>
      </c>
      <c r="U49" s="188">
        <f>U50/U48*1000</f>
        <v>4186.6419999999998</v>
      </c>
      <c r="V49" s="188">
        <f>V50/V48*1000</f>
        <v>4063.3589999999999</v>
      </c>
      <c r="W49" s="189">
        <f>W50/W48*1000</f>
        <v>5713.7250000000004</v>
      </c>
    </row>
    <row r="50" spans="1:24" s="176" customFormat="1" ht="18" customHeight="1">
      <c r="A50" s="610"/>
      <c r="B50" s="581"/>
      <c r="C50" s="581"/>
      <c r="D50" s="198" t="str">
        <f>серпень!D50</f>
        <v>касові видатки, тис.грн.</v>
      </c>
      <c r="E50" s="199">
        <f t="shared" ref="E50" si="94">E67+E172+E217</f>
        <v>0</v>
      </c>
      <c r="F50" s="199">
        <f>F67+F172+F217</f>
        <v>0</v>
      </c>
      <c r="G50" s="199">
        <f t="shared" ref="F50:K52" si="95">G67+G172+G217</f>
        <v>75.441999999999993</v>
      </c>
      <c r="H50" s="199">
        <f t="shared" si="95"/>
        <v>77.67</v>
      </c>
      <c r="I50" s="199">
        <f t="shared" si="95"/>
        <v>43.521000000000001</v>
      </c>
      <c r="J50" s="199">
        <f t="shared" si="95"/>
        <v>6.8529999999999998</v>
      </c>
      <c r="K50" s="199">
        <f t="shared" si="95"/>
        <v>6.8529999999999998</v>
      </c>
      <c r="L50" s="199">
        <f>SUM(F50:K50)</f>
        <v>210.339</v>
      </c>
      <c r="M50" s="199">
        <f>L50/6</f>
        <v>35.057000000000002</v>
      </c>
      <c r="N50" s="199">
        <f>N67+N172+N217</f>
        <v>6.8529999999999998</v>
      </c>
      <c r="O50" s="199">
        <f t="shared" ref="O50:S50" si="96">O67+O172+O217</f>
        <v>6.8520000000000003</v>
      </c>
      <c r="P50" s="199">
        <f t="shared" si="96"/>
        <v>6.2359999999999998</v>
      </c>
      <c r="Q50" s="199">
        <f t="shared" si="96"/>
        <v>6.2350000000000003</v>
      </c>
      <c r="R50" s="199">
        <f t="shared" si="96"/>
        <v>6.2350000000000003</v>
      </c>
      <c r="S50" s="199">
        <f t="shared" si="96"/>
        <v>45.290999999999997</v>
      </c>
      <c r="T50" s="199">
        <f>SUM(N50:S50)</f>
        <v>77.701999999999998</v>
      </c>
      <c r="U50" s="199">
        <f>T50+L50</f>
        <v>288.041</v>
      </c>
      <c r="V50" s="175">
        <f>V67+V172+V217</f>
        <v>258.90100000000001</v>
      </c>
      <c r="W50" s="200">
        <f>V50-U50</f>
        <v>-29.14</v>
      </c>
      <c r="X50" s="176">
        <f>U45-U50</f>
        <v>0</v>
      </c>
    </row>
    <row r="51" spans="1:24" s="176" customFormat="1" ht="18" customHeight="1">
      <c r="A51" s="610"/>
      <c r="B51" s="581"/>
      <c r="C51" s="581"/>
      <c r="D51" s="201" t="str">
        <f>серпень!D51</f>
        <v>дотація</v>
      </c>
      <c r="E51" s="199"/>
      <c r="F51" s="199">
        <f>F68+F173+F218</f>
        <v>0</v>
      </c>
      <c r="G51" s="199">
        <f t="shared" si="95"/>
        <v>0</v>
      </c>
      <c r="H51" s="199">
        <f t="shared" si="95"/>
        <v>0</v>
      </c>
      <c r="I51" s="199">
        <f t="shared" si="95"/>
        <v>0</v>
      </c>
      <c r="J51" s="199">
        <f t="shared" si="95"/>
        <v>0</v>
      </c>
      <c r="K51" s="199">
        <f t="shared" si="95"/>
        <v>0</v>
      </c>
      <c r="L51" s="199">
        <f>SUM(F51:K51)</f>
        <v>0</v>
      </c>
      <c r="M51" s="199">
        <f>L51/6</f>
        <v>0</v>
      </c>
      <c r="N51" s="199">
        <f t="shared" ref="N51:S52" si="97">N68+N173+N218</f>
        <v>0</v>
      </c>
      <c r="O51" s="199">
        <f t="shared" si="97"/>
        <v>0</v>
      </c>
      <c r="P51" s="199">
        <f t="shared" si="97"/>
        <v>0</v>
      </c>
      <c r="Q51" s="199">
        <f t="shared" si="97"/>
        <v>0</v>
      </c>
      <c r="R51" s="199">
        <f t="shared" si="97"/>
        <v>0</v>
      </c>
      <c r="S51" s="199">
        <f t="shared" si="97"/>
        <v>0</v>
      </c>
      <c r="T51" s="199">
        <f>SUM(N51:S51)</f>
        <v>0</v>
      </c>
      <c r="U51" s="199">
        <f>T51+L51</f>
        <v>0</v>
      </c>
      <c r="V51" s="175">
        <f>V68+V173+V218</f>
        <v>0</v>
      </c>
      <c r="W51" s="200">
        <f>V51-U51</f>
        <v>0</v>
      </c>
      <c r="X51" s="176">
        <f>U46-U51</f>
        <v>0</v>
      </c>
    </row>
    <row r="52" spans="1:24" s="176" customFormat="1" ht="18" customHeight="1">
      <c r="A52" s="610"/>
      <c r="B52" s="581"/>
      <c r="C52" s="581"/>
      <c r="D52" s="201" t="str">
        <f>серпень!D52</f>
        <v xml:space="preserve">місцевий </v>
      </c>
      <c r="E52" s="199"/>
      <c r="F52" s="199">
        <f t="shared" si="95"/>
        <v>0</v>
      </c>
      <c r="G52" s="199">
        <f t="shared" si="95"/>
        <v>75.441999999999993</v>
      </c>
      <c r="H52" s="199">
        <f t="shared" si="95"/>
        <v>77.67</v>
      </c>
      <c r="I52" s="199">
        <f>I69+I174+I219</f>
        <v>43.521000000000001</v>
      </c>
      <c r="J52" s="199">
        <f t="shared" si="95"/>
        <v>6.8529999999999998</v>
      </c>
      <c r="K52" s="199">
        <f t="shared" si="95"/>
        <v>6.8529999999999998</v>
      </c>
      <c r="L52" s="199">
        <f>SUM(F52:K52)</f>
        <v>210.339</v>
      </c>
      <c r="M52" s="199">
        <f>L52/6</f>
        <v>35.057000000000002</v>
      </c>
      <c r="N52" s="199">
        <f t="shared" si="97"/>
        <v>6.8529999999999998</v>
      </c>
      <c r="O52" s="199">
        <f t="shared" si="97"/>
        <v>6.8520000000000003</v>
      </c>
      <c r="P52" s="199">
        <f t="shared" si="97"/>
        <v>6.2359999999999998</v>
      </c>
      <c r="Q52" s="199">
        <f t="shared" si="97"/>
        <v>6.2350000000000003</v>
      </c>
      <c r="R52" s="199">
        <f t="shared" si="97"/>
        <v>6.2350000000000003</v>
      </c>
      <c r="S52" s="199">
        <f t="shared" si="97"/>
        <v>45.290999999999997</v>
      </c>
      <c r="T52" s="199">
        <f>SUM(N52:S52)</f>
        <v>77.701999999999998</v>
      </c>
      <c r="U52" s="199">
        <f>T52+L52</f>
        <v>288.041</v>
      </c>
      <c r="V52" s="175">
        <f>V69+V174+V219</f>
        <v>258.90100000000001</v>
      </c>
      <c r="W52" s="200">
        <f>V52-U52</f>
        <v>-29.14</v>
      </c>
      <c r="X52" s="176">
        <f>U47-U52</f>
        <v>-29.14</v>
      </c>
    </row>
    <row r="53" spans="1:24" s="205" customFormat="1" ht="18" customHeight="1">
      <c r="A53" s="610"/>
      <c r="B53" s="581"/>
      <c r="C53" s="581"/>
      <c r="D53" s="202" t="str">
        <f>серпень!D53</f>
        <v>план</v>
      </c>
      <c r="E53" s="203"/>
      <c r="F53" s="203">
        <f t="shared" ref="F53:K53" si="98">F47</f>
        <v>0</v>
      </c>
      <c r="G53" s="203">
        <f t="shared" si="98"/>
        <v>75.441999999999993</v>
      </c>
      <c r="H53" s="203">
        <f t="shared" si="98"/>
        <v>77.67</v>
      </c>
      <c r="I53" s="203">
        <f t="shared" si="98"/>
        <v>43.561999999999998</v>
      </c>
      <c r="J53" s="203">
        <f t="shared" si="98"/>
        <v>6.8120000000000003</v>
      </c>
      <c r="K53" s="203">
        <f t="shared" si="98"/>
        <v>6.8540000000000001</v>
      </c>
      <c r="L53" s="203">
        <f>SUM(F53:K53)</f>
        <v>210.34</v>
      </c>
      <c r="M53" s="203">
        <f>L53/6</f>
        <v>35.057000000000002</v>
      </c>
      <c r="N53" s="203">
        <f>N47+N46</f>
        <v>6.8540000000000001</v>
      </c>
      <c r="O53" s="203">
        <f t="shared" ref="O53:S53" si="99">O47+O46</f>
        <v>6.85</v>
      </c>
      <c r="P53" s="203">
        <f t="shared" si="99"/>
        <v>6.2119999999999997</v>
      </c>
      <c r="Q53" s="203">
        <f t="shared" si="99"/>
        <v>6.2119999999999997</v>
      </c>
      <c r="R53" s="203">
        <f t="shared" si="99"/>
        <v>6.2119999999999997</v>
      </c>
      <c r="S53" s="203">
        <f t="shared" si="99"/>
        <v>16.221</v>
      </c>
      <c r="T53" s="203">
        <f>SUM(N53:S53)</f>
        <v>48.561</v>
      </c>
      <c r="U53" s="203">
        <f>T53+L53</f>
        <v>258.90100000000001</v>
      </c>
      <c r="V53" s="204">
        <f>V47+V46</f>
        <v>258.90100000000001</v>
      </c>
      <c r="W53" s="203">
        <f>V53-U53</f>
        <v>0</v>
      </c>
    </row>
    <row r="54" spans="1:24" s="205" customFormat="1" ht="18" customHeight="1">
      <c r="A54" s="610"/>
      <c r="B54" s="581"/>
      <c r="C54" s="581"/>
      <c r="D54" s="202" t="str">
        <f>серпень!D54</f>
        <v xml:space="preserve">відхилення </v>
      </c>
      <c r="E54" s="203"/>
      <c r="F54" s="203">
        <f t="shared" ref="F54:K54" si="100">F50-F53</f>
        <v>0</v>
      </c>
      <c r="G54" s="203">
        <f t="shared" si="100"/>
        <v>0</v>
      </c>
      <c r="H54" s="203">
        <f t="shared" si="100"/>
        <v>0</v>
      </c>
      <c r="I54" s="203">
        <f t="shared" si="100"/>
        <v>-4.1000000000000002E-2</v>
      </c>
      <c r="J54" s="203">
        <f t="shared" si="100"/>
        <v>4.1000000000000002E-2</v>
      </c>
      <c r="K54" s="203">
        <f t="shared" si="100"/>
        <v>-1E-3</v>
      </c>
      <c r="L54" s="203"/>
      <c r="M54" s="203"/>
      <c r="N54" s="203">
        <f t="shared" ref="N54:S54" si="101">N50-N53</f>
        <v>-1E-3</v>
      </c>
      <c r="O54" s="203">
        <f t="shared" si="101"/>
        <v>2E-3</v>
      </c>
      <c r="P54" s="203">
        <f t="shared" si="101"/>
        <v>2.4E-2</v>
      </c>
      <c r="Q54" s="203">
        <f t="shared" si="101"/>
        <v>2.3E-2</v>
      </c>
      <c r="R54" s="203">
        <f t="shared" si="101"/>
        <v>2.3E-2</v>
      </c>
      <c r="S54" s="203">
        <f t="shared" si="101"/>
        <v>29.07</v>
      </c>
      <c r="T54" s="203"/>
      <c r="U54" s="203"/>
      <c r="V54" s="203"/>
      <c r="W54" s="203"/>
    </row>
    <row r="55" spans="1:24" s="205" customFormat="1" ht="18" customHeight="1">
      <c r="A55" s="610"/>
      <c r="B55" s="581"/>
      <c r="C55" s="581"/>
      <c r="D55" s="202" t="str">
        <f>серпень!D55</f>
        <v>відхилення з наростаючим</v>
      </c>
      <c r="E55" s="203"/>
      <c r="F55" s="203">
        <f>F54</f>
        <v>0</v>
      </c>
      <c r="G55" s="203">
        <f>G54+F55</f>
        <v>0</v>
      </c>
      <c r="H55" s="203">
        <f>H54+G55</f>
        <v>0</v>
      </c>
      <c r="I55" s="203">
        <f>I54+H55</f>
        <v>-4.1000000000000002E-2</v>
      </c>
      <c r="J55" s="203">
        <f>J54+I55</f>
        <v>0</v>
      </c>
      <c r="K55" s="203">
        <f>K54+J55</f>
        <v>-1E-3</v>
      </c>
      <c r="L55" s="203"/>
      <c r="M55" s="203"/>
      <c r="N55" s="203">
        <f>N54+K55</f>
        <v>-2E-3</v>
      </c>
      <c r="O55" s="203">
        <f>O54+N55</f>
        <v>0</v>
      </c>
      <c r="P55" s="203">
        <f>P54+O55</f>
        <v>2.4E-2</v>
      </c>
      <c r="Q55" s="203">
        <f>Q54+P55</f>
        <v>4.7E-2</v>
      </c>
      <c r="R55" s="203">
        <f>R54+Q55</f>
        <v>7.0000000000000007E-2</v>
      </c>
      <c r="S55" s="203">
        <f>S54+R55</f>
        <v>29.14</v>
      </c>
      <c r="T55" s="203"/>
      <c r="U55" s="203"/>
      <c r="V55" s="203"/>
      <c r="W55" s="203"/>
    </row>
    <row r="56" spans="1:24" s="209" customFormat="1" ht="18" customHeight="1">
      <c r="A56" s="610"/>
      <c r="B56" s="580" t="s">
        <v>53</v>
      </c>
      <c r="C56" s="575"/>
      <c r="D56" s="178" t="str">
        <f>серпень!D56</f>
        <v>факт. нат.п-ки 2023</v>
      </c>
      <c r="E56" s="179"/>
      <c r="F56" s="180">
        <f t="shared" ref="F56:K57" si="102">F73+F88+F103+F118+F133+F148</f>
        <v>1.9</v>
      </c>
      <c r="G56" s="180">
        <f t="shared" si="102"/>
        <v>11.8</v>
      </c>
      <c r="H56" s="180">
        <f t="shared" si="102"/>
        <v>12.4</v>
      </c>
      <c r="I56" s="180">
        <f t="shared" si="102"/>
        <v>0.1</v>
      </c>
      <c r="J56" s="180">
        <f t="shared" si="102"/>
        <v>0.1</v>
      </c>
      <c r="K56" s="180">
        <f t="shared" si="102"/>
        <v>0.1</v>
      </c>
      <c r="L56" s="207">
        <f>SUM(F56:K56)</f>
        <v>26.4</v>
      </c>
      <c r="M56" s="207">
        <f>L56/6</f>
        <v>4.4000000000000004</v>
      </c>
      <c r="N56" s="180">
        <f t="shared" ref="N56:S57" si="103">N73+N88+N103+N118+N133+N148</f>
        <v>0.1</v>
      </c>
      <c r="O56" s="180">
        <f t="shared" si="103"/>
        <v>0.1</v>
      </c>
      <c r="P56" s="180">
        <f t="shared" si="103"/>
        <v>0.1</v>
      </c>
      <c r="Q56" s="180">
        <f t="shared" si="103"/>
        <v>0.1</v>
      </c>
      <c r="R56" s="180">
        <f t="shared" si="103"/>
        <v>7.7</v>
      </c>
      <c r="S56" s="180">
        <f t="shared" si="103"/>
        <v>16.399999999999999</v>
      </c>
      <c r="T56" s="207">
        <f>SUM(N56:S56)</f>
        <v>24.5</v>
      </c>
      <c r="U56" s="208">
        <f>T56+L56</f>
        <v>50.9</v>
      </c>
      <c r="V56" s="183">
        <f>V88+V133</f>
        <v>49.7</v>
      </c>
      <c r="W56" s="184"/>
    </row>
    <row r="57" spans="1:24" s="209" customFormat="1" ht="18.649999999999999" customHeight="1">
      <c r="A57" s="610"/>
      <c r="B57" s="576"/>
      <c r="C57" s="577"/>
      <c r="D57" s="178" t="str">
        <f>серпень!D57</f>
        <v>факт. нат.п-ки 2024</v>
      </c>
      <c r="E57" s="179"/>
      <c r="F57" s="180">
        <f t="shared" si="102"/>
        <v>21</v>
      </c>
      <c r="G57" s="180">
        <f t="shared" si="102"/>
        <v>16</v>
      </c>
      <c r="H57" s="180">
        <f t="shared" si="102"/>
        <v>15.7</v>
      </c>
      <c r="I57" s="180">
        <f t="shared" si="102"/>
        <v>0.1</v>
      </c>
      <c r="J57" s="180">
        <f t="shared" si="102"/>
        <v>0.1</v>
      </c>
      <c r="K57" s="180">
        <f t="shared" si="102"/>
        <v>0.1</v>
      </c>
      <c r="L57" s="207">
        <f>SUM(F57:K57)</f>
        <v>53</v>
      </c>
      <c r="M57" s="207">
        <f>L57/6</f>
        <v>8.8000000000000007</v>
      </c>
      <c r="N57" s="179">
        <f t="shared" si="103"/>
        <v>0.1</v>
      </c>
      <c r="O57" s="179">
        <f t="shared" si="103"/>
        <v>0.1</v>
      </c>
      <c r="P57" s="179">
        <f t="shared" si="103"/>
        <v>0.1</v>
      </c>
      <c r="Q57" s="179">
        <f t="shared" si="103"/>
        <v>0.1</v>
      </c>
      <c r="R57" s="179">
        <f t="shared" si="103"/>
        <v>7.7</v>
      </c>
      <c r="S57" s="179">
        <f t="shared" si="103"/>
        <v>16.399999999999999</v>
      </c>
      <c r="T57" s="207">
        <f>SUM(N57:S57)</f>
        <v>24.5</v>
      </c>
      <c r="U57" s="208">
        <f>T57+L57</f>
        <v>77.5</v>
      </c>
      <c r="V57" s="183">
        <f>V89+V134</f>
        <v>76.3</v>
      </c>
      <c r="W57" s="184"/>
    </row>
    <row r="58" spans="1:24" s="209" customFormat="1" ht="18" customHeight="1">
      <c r="A58" s="610"/>
      <c r="B58" s="576"/>
      <c r="C58" s="577"/>
      <c r="D58" s="178" t="str">
        <f>серпень!D58</f>
        <v>факт. нат.п-ки 2025</v>
      </c>
      <c r="E58" s="179"/>
      <c r="F58" s="180">
        <f>F90</f>
        <v>23.4</v>
      </c>
      <c r="G58" s="180">
        <f t="shared" ref="G58:K58" si="104">G90</f>
        <v>22.9</v>
      </c>
      <c r="H58" s="180">
        <f t="shared" si="104"/>
        <v>11.9</v>
      </c>
      <c r="I58" s="180">
        <f t="shared" si="104"/>
        <v>0</v>
      </c>
      <c r="J58" s="180">
        <f t="shared" si="104"/>
        <v>0</v>
      </c>
      <c r="K58" s="180">
        <f t="shared" si="104"/>
        <v>0</v>
      </c>
      <c r="L58" s="337">
        <f>SUM(F58:K58)</f>
        <v>58.2</v>
      </c>
      <c r="M58" s="337">
        <f>L58/6</f>
        <v>9.6999999999999993</v>
      </c>
      <c r="N58" s="345">
        <f>N90</f>
        <v>0</v>
      </c>
      <c r="O58" s="345">
        <f t="shared" ref="O58:S58" si="105">O90</f>
        <v>0</v>
      </c>
      <c r="P58" s="345">
        <f t="shared" si="105"/>
        <v>0</v>
      </c>
      <c r="Q58" s="345">
        <f t="shared" si="105"/>
        <v>0</v>
      </c>
      <c r="R58" s="345">
        <f t="shared" si="105"/>
        <v>7.6</v>
      </c>
      <c r="S58" s="345">
        <f t="shared" si="105"/>
        <v>3</v>
      </c>
      <c r="T58" s="337">
        <f>SUM(N58:S58)</f>
        <v>10.6</v>
      </c>
      <c r="U58" s="347">
        <f>T58+L58</f>
        <v>68.8</v>
      </c>
      <c r="V58" s="233">
        <f>V90+V135</f>
        <v>63</v>
      </c>
      <c r="W58" s="184">
        <f>V58-U58</f>
        <v>-5.8</v>
      </c>
    </row>
    <row r="59" spans="1:24" s="209" customFormat="1" ht="18" customHeight="1">
      <c r="A59" s="610"/>
      <c r="B59" s="576"/>
      <c r="C59" s="577"/>
      <c r="D59" s="187" t="str">
        <f>серпень!D59</f>
        <v>тариф, грн.</v>
      </c>
      <c r="E59" s="188"/>
      <c r="F59" s="188">
        <f t="shared" ref="F59:S59" si="106">F60/F58*1000</f>
        <v>2932.2649999999999</v>
      </c>
      <c r="G59" s="188">
        <f t="shared" si="106"/>
        <v>3092.4450000000002</v>
      </c>
      <c r="H59" s="188">
        <f t="shared" si="106"/>
        <v>3081.4290000000001</v>
      </c>
      <c r="I59" s="188" t="e">
        <f>I60/I58*1000</f>
        <v>#DIV/0!</v>
      </c>
      <c r="J59" s="188" t="e">
        <f>J60/J58*1000</f>
        <v>#DIV/0!</v>
      </c>
      <c r="K59" s="188" t="e">
        <f t="shared" si="106"/>
        <v>#DIV/0!</v>
      </c>
      <c r="L59" s="188">
        <f t="shared" si="106"/>
        <v>3025.79</v>
      </c>
      <c r="M59" s="188">
        <f t="shared" si="106"/>
        <v>3025.7730000000001</v>
      </c>
      <c r="N59" s="188" t="e">
        <f t="shared" si="106"/>
        <v>#DIV/0!</v>
      </c>
      <c r="O59" s="188" t="e">
        <f t="shared" si="106"/>
        <v>#DIV/0!</v>
      </c>
      <c r="P59" s="188" t="e">
        <f t="shared" si="106"/>
        <v>#DIV/0!</v>
      </c>
      <c r="Q59" s="188" t="e">
        <f t="shared" si="106"/>
        <v>#DIV/0!</v>
      </c>
      <c r="R59" s="188">
        <f t="shared" si="106"/>
        <v>3096.3159999999998</v>
      </c>
      <c r="S59" s="188">
        <f t="shared" si="106"/>
        <v>3096.3330000000001</v>
      </c>
      <c r="T59" s="188">
        <f>T60/T58*1000</f>
        <v>3096.3209999999999</v>
      </c>
      <c r="U59" s="188">
        <f>U60/U58*1000</f>
        <v>3036.6570000000002</v>
      </c>
      <c r="V59" s="188">
        <f>V60/V58*1000</f>
        <v>2926.3020000000001</v>
      </c>
      <c r="W59" s="189">
        <f>W60/W58*1000</f>
        <v>4235.3450000000003</v>
      </c>
    </row>
    <row r="60" spans="1:24" s="209" customFormat="1" ht="18" customHeight="1">
      <c r="A60" s="610"/>
      <c r="B60" s="576"/>
      <c r="C60" s="577"/>
      <c r="D60" s="191" t="str">
        <f>серпень!D60</f>
        <v>сума, тис.грн.</v>
      </c>
      <c r="E60" s="192"/>
      <c r="F60" s="192">
        <f>F92+F137</f>
        <v>68.614999999999995</v>
      </c>
      <c r="G60" s="192">
        <f t="shared" ref="G60:K60" si="107">G92+G137</f>
        <v>70.816999999999993</v>
      </c>
      <c r="H60" s="192">
        <f t="shared" si="107"/>
        <v>36.668999999999997</v>
      </c>
      <c r="I60" s="192">
        <f t="shared" si="107"/>
        <v>0</v>
      </c>
      <c r="J60" s="192">
        <f t="shared" si="107"/>
        <v>0</v>
      </c>
      <c r="K60" s="192">
        <f t="shared" si="107"/>
        <v>0</v>
      </c>
      <c r="L60" s="192">
        <f t="shared" ref="L60:L65" si="108">SUM(F60:K60)</f>
        <v>176.101</v>
      </c>
      <c r="M60" s="192">
        <f t="shared" ref="M60:M65" si="109">L60/6</f>
        <v>29.35</v>
      </c>
      <c r="N60" s="192">
        <f>N92+N137</f>
        <v>0</v>
      </c>
      <c r="O60" s="192">
        <f t="shared" ref="O60:S60" si="110">O92+O137</f>
        <v>0</v>
      </c>
      <c r="P60" s="192">
        <f t="shared" si="110"/>
        <v>0</v>
      </c>
      <c r="Q60" s="192">
        <f t="shared" si="110"/>
        <v>0</v>
      </c>
      <c r="R60" s="192">
        <f t="shared" si="110"/>
        <v>23.532</v>
      </c>
      <c r="S60" s="192">
        <f t="shared" si="110"/>
        <v>9.2889999999999997</v>
      </c>
      <c r="T60" s="192">
        <f t="shared" ref="T60:T65" si="111">SUM(N60:S60)</f>
        <v>32.820999999999998</v>
      </c>
      <c r="U60" s="192">
        <f t="shared" ref="U60:U65" si="112">T60+L60</f>
        <v>208.922</v>
      </c>
      <c r="V60" s="192">
        <f t="shared" ref="V60" si="113">V92+V137</f>
        <v>184.357</v>
      </c>
      <c r="W60" s="193">
        <f>V60-U60</f>
        <v>-24.565000000000001</v>
      </c>
    </row>
    <row r="61" spans="1:24" s="209" customFormat="1" ht="18" customHeight="1">
      <c r="A61" s="610"/>
      <c r="B61" s="576"/>
      <c r="C61" s="577"/>
      <c r="D61" s="174" t="str">
        <f>серпень!D61</f>
        <v>абоненська плата, тис.грн.</v>
      </c>
      <c r="E61" s="192"/>
      <c r="F61" s="192">
        <f t="shared" ref="F61:K61" si="114">F77+F107+F122+F152</f>
        <v>6.827</v>
      </c>
      <c r="G61" s="192">
        <f t="shared" si="114"/>
        <v>6.8529999999999998</v>
      </c>
      <c r="H61" s="192">
        <f t="shared" si="114"/>
        <v>6.8520000000000003</v>
      </c>
      <c r="I61" s="192">
        <f t="shared" si="114"/>
        <v>6.8529999999999998</v>
      </c>
      <c r="J61" s="192">
        <f t="shared" si="114"/>
        <v>6.8529999999999998</v>
      </c>
      <c r="K61" s="192">
        <f t="shared" si="114"/>
        <v>6.8529999999999998</v>
      </c>
      <c r="L61" s="192">
        <f t="shared" si="108"/>
        <v>41.091000000000001</v>
      </c>
      <c r="M61" s="192">
        <f t="shared" si="109"/>
        <v>6.8490000000000002</v>
      </c>
      <c r="N61" s="192">
        <f t="shared" ref="N61:S61" si="115">N77+N107+N122+N152</f>
        <v>6.8529999999999998</v>
      </c>
      <c r="O61" s="192">
        <f t="shared" si="115"/>
        <v>6.2350000000000003</v>
      </c>
      <c r="P61" s="192">
        <f t="shared" si="115"/>
        <v>6.2350000000000003</v>
      </c>
      <c r="Q61" s="192">
        <f t="shared" si="115"/>
        <v>6.2350000000000003</v>
      </c>
      <c r="R61" s="192">
        <f t="shared" si="115"/>
        <v>6.2350000000000003</v>
      </c>
      <c r="S61" s="192">
        <f t="shared" si="115"/>
        <v>6.2350000000000003</v>
      </c>
      <c r="T61" s="192">
        <f t="shared" si="111"/>
        <v>38.027999999999999</v>
      </c>
      <c r="U61" s="192">
        <f t="shared" si="112"/>
        <v>79.119</v>
      </c>
      <c r="V61" s="192">
        <f t="shared" ref="V61" si="116">V77+V107+V122+V152</f>
        <v>74.543999999999997</v>
      </c>
      <c r="W61" s="193">
        <f t="shared" ref="W61:W63" si="117">V61-U61</f>
        <v>-4.5750000000000002</v>
      </c>
    </row>
    <row r="62" spans="1:24" s="209" customFormat="1" ht="18" customHeight="1">
      <c r="A62" s="610"/>
      <c r="B62" s="576"/>
      <c r="C62" s="577"/>
      <c r="D62" s="174" t="str">
        <f>серпень!D62</f>
        <v>разом сума тис. грн+абонплата</v>
      </c>
      <c r="E62" s="192"/>
      <c r="F62" s="192">
        <f>F60+F61</f>
        <v>75.441999999999993</v>
      </c>
      <c r="G62" s="192">
        <f t="shared" ref="G62:K62" si="118">G60+G61</f>
        <v>77.67</v>
      </c>
      <c r="H62" s="192">
        <f t="shared" si="118"/>
        <v>43.521000000000001</v>
      </c>
      <c r="I62" s="192">
        <f t="shared" si="118"/>
        <v>6.8529999999999998</v>
      </c>
      <c r="J62" s="192">
        <f t="shared" si="118"/>
        <v>6.8529999999999998</v>
      </c>
      <c r="K62" s="192">
        <f t="shared" si="118"/>
        <v>6.8529999999999998</v>
      </c>
      <c r="L62" s="192">
        <f t="shared" si="108"/>
        <v>217.19200000000001</v>
      </c>
      <c r="M62" s="192">
        <f t="shared" si="109"/>
        <v>36.198999999999998</v>
      </c>
      <c r="N62" s="192">
        <f t="shared" ref="N62:S62" si="119">N60+N61</f>
        <v>6.8529999999999998</v>
      </c>
      <c r="O62" s="192">
        <f t="shared" si="119"/>
        <v>6.2350000000000003</v>
      </c>
      <c r="P62" s="192">
        <f t="shared" si="119"/>
        <v>6.2350000000000003</v>
      </c>
      <c r="Q62" s="192">
        <f t="shared" si="119"/>
        <v>6.2350000000000003</v>
      </c>
      <c r="R62" s="192">
        <f t="shared" si="119"/>
        <v>29.766999999999999</v>
      </c>
      <c r="S62" s="192">
        <f t="shared" si="119"/>
        <v>15.523999999999999</v>
      </c>
      <c r="T62" s="192">
        <f t="shared" si="111"/>
        <v>70.849000000000004</v>
      </c>
      <c r="U62" s="192">
        <f t="shared" si="112"/>
        <v>288.041</v>
      </c>
      <c r="V62" s="192">
        <f t="shared" ref="V62" si="120">V60+V61</f>
        <v>258.90100000000001</v>
      </c>
      <c r="W62" s="193">
        <f t="shared" si="117"/>
        <v>-29.14</v>
      </c>
    </row>
    <row r="63" spans="1:24" s="209" customFormat="1" ht="18" customHeight="1">
      <c r="A63" s="610"/>
      <c r="B63" s="576"/>
      <c r="C63" s="577"/>
      <c r="D63" s="174" t="str">
        <f>серпень!D63</f>
        <v>дотація</v>
      </c>
      <c r="E63" s="210"/>
      <c r="F63" s="192">
        <f t="shared" ref="F63:K64" si="121">F78+F93+F108+F123+F138+F153</f>
        <v>0</v>
      </c>
      <c r="G63" s="192">
        <f t="shared" si="121"/>
        <v>0</v>
      </c>
      <c r="H63" s="192">
        <f t="shared" si="121"/>
        <v>0</v>
      </c>
      <c r="I63" s="192">
        <f t="shared" si="121"/>
        <v>0</v>
      </c>
      <c r="J63" s="192">
        <f t="shared" si="121"/>
        <v>0</v>
      </c>
      <c r="K63" s="192">
        <f t="shared" si="121"/>
        <v>0</v>
      </c>
      <c r="L63" s="192">
        <f t="shared" si="108"/>
        <v>0</v>
      </c>
      <c r="M63" s="192">
        <f t="shared" si="109"/>
        <v>0</v>
      </c>
      <c r="N63" s="192">
        <f t="shared" ref="N63:S64" si="122">N78+N93+N108+N123+N138+N153</f>
        <v>0</v>
      </c>
      <c r="O63" s="192">
        <f t="shared" si="122"/>
        <v>0</v>
      </c>
      <c r="P63" s="192">
        <f t="shared" si="122"/>
        <v>0</v>
      </c>
      <c r="Q63" s="192">
        <f t="shared" si="122"/>
        <v>0</v>
      </c>
      <c r="R63" s="192">
        <f t="shared" si="122"/>
        <v>0</v>
      </c>
      <c r="S63" s="192">
        <f t="shared" si="122"/>
        <v>0</v>
      </c>
      <c r="T63" s="192">
        <f t="shared" si="111"/>
        <v>0</v>
      </c>
      <c r="U63" s="192">
        <f t="shared" si="112"/>
        <v>0</v>
      </c>
      <c r="V63" s="192">
        <f t="shared" ref="V63:V64" si="123">V78+V93+V108+V123+V138+V153</f>
        <v>0</v>
      </c>
      <c r="W63" s="211">
        <f t="shared" si="117"/>
        <v>0</v>
      </c>
    </row>
    <row r="64" spans="1:24" s="209" customFormat="1" ht="18" customHeight="1">
      <c r="A64" s="610"/>
      <c r="B64" s="576"/>
      <c r="C64" s="577"/>
      <c r="D64" s="174" t="str">
        <f>серпень!D64</f>
        <v>місцевий (план), тис.грн</v>
      </c>
      <c r="E64" s="210"/>
      <c r="F64" s="192">
        <f>F79+F94+F109+F124+F139+F154</f>
        <v>0</v>
      </c>
      <c r="G64" s="192">
        <f t="shared" si="121"/>
        <v>75.441999999999993</v>
      </c>
      <c r="H64" s="192">
        <f t="shared" si="121"/>
        <v>77.67</v>
      </c>
      <c r="I64" s="192">
        <f t="shared" si="121"/>
        <v>43.561999999999998</v>
      </c>
      <c r="J64" s="192">
        <f t="shared" si="121"/>
        <v>6.8120000000000003</v>
      </c>
      <c r="K64" s="192">
        <f t="shared" si="121"/>
        <v>6.8540000000000001</v>
      </c>
      <c r="L64" s="192">
        <f t="shared" si="108"/>
        <v>210.34</v>
      </c>
      <c r="M64" s="192">
        <f t="shared" si="109"/>
        <v>35.057000000000002</v>
      </c>
      <c r="N64" s="192">
        <f t="shared" si="122"/>
        <v>6.8540000000000001</v>
      </c>
      <c r="O64" s="192">
        <f t="shared" si="122"/>
        <v>6.85</v>
      </c>
      <c r="P64" s="192">
        <f t="shared" si="122"/>
        <v>6.2119999999999997</v>
      </c>
      <c r="Q64" s="192">
        <f t="shared" si="122"/>
        <v>6.2119999999999997</v>
      </c>
      <c r="R64" s="192">
        <f t="shared" si="122"/>
        <v>6.2119999999999997</v>
      </c>
      <c r="S64" s="192">
        <f t="shared" si="122"/>
        <v>16.221</v>
      </c>
      <c r="T64" s="192">
        <f t="shared" si="111"/>
        <v>48.561</v>
      </c>
      <c r="U64" s="192">
        <f t="shared" si="112"/>
        <v>258.90100000000001</v>
      </c>
      <c r="V64" s="192">
        <f t="shared" si="123"/>
        <v>258.90100000000001</v>
      </c>
      <c r="W64" s="193">
        <f>V64-U64</f>
        <v>0</v>
      </c>
    </row>
    <row r="65" spans="1:24" s="209" customFormat="1" ht="18" customHeight="1">
      <c r="A65" s="610"/>
      <c r="B65" s="576"/>
      <c r="C65" s="577"/>
      <c r="D65" s="178" t="str">
        <f>серпень!D65</f>
        <v>касові нат.п-ки 2025</v>
      </c>
      <c r="E65" s="260">
        <f>E80+E95+E110+E125+E140+E155</f>
        <v>0</v>
      </c>
      <c r="F65" s="414">
        <f>F95</f>
        <v>0</v>
      </c>
      <c r="G65" s="414">
        <f t="shared" ref="G65:K65" si="124">G95</f>
        <v>23.4</v>
      </c>
      <c r="H65" s="414">
        <f t="shared" si="124"/>
        <v>22.9</v>
      </c>
      <c r="I65" s="414">
        <f t="shared" si="124"/>
        <v>11.9</v>
      </c>
      <c r="J65" s="414">
        <f t="shared" si="124"/>
        <v>0</v>
      </c>
      <c r="K65" s="414">
        <f t="shared" si="124"/>
        <v>0</v>
      </c>
      <c r="L65" s="331">
        <f t="shared" si="108"/>
        <v>58.2</v>
      </c>
      <c r="M65" s="331">
        <f t="shared" si="109"/>
        <v>9.6999999999999993</v>
      </c>
      <c r="N65" s="414">
        <f>N95</f>
        <v>0</v>
      </c>
      <c r="O65" s="414">
        <f t="shared" ref="O65:S65" si="125">O95</f>
        <v>0</v>
      </c>
      <c r="P65" s="414">
        <f t="shared" si="125"/>
        <v>0</v>
      </c>
      <c r="Q65" s="414">
        <f t="shared" si="125"/>
        <v>0</v>
      </c>
      <c r="R65" s="414">
        <f t="shared" si="125"/>
        <v>0</v>
      </c>
      <c r="S65" s="414">
        <f t="shared" si="125"/>
        <v>10.6</v>
      </c>
      <c r="T65" s="337">
        <f t="shared" si="111"/>
        <v>10.6</v>
      </c>
      <c r="U65" s="337">
        <f t="shared" si="112"/>
        <v>68.8</v>
      </c>
      <c r="V65" s="414">
        <f t="shared" ref="V65" si="126">V95</f>
        <v>63</v>
      </c>
      <c r="W65" s="184">
        <f>V65-U65</f>
        <v>-5.8</v>
      </c>
      <c r="X65" s="209">
        <f>U58-U65</f>
        <v>0</v>
      </c>
    </row>
    <row r="66" spans="1:24" s="209" customFormat="1" ht="18" customHeight="1">
      <c r="A66" s="610"/>
      <c r="B66" s="576"/>
      <c r="C66" s="577"/>
      <c r="D66" s="187" t="str">
        <f>серпень!D66</f>
        <v>тариф, грн.</v>
      </c>
      <c r="E66" s="188" t="e">
        <f t="shared" ref="E66:S66" si="127">E67/E65*1000</f>
        <v>#DIV/0!</v>
      </c>
      <c r="F66" s="188" t="e">
        <f t="shared" si="127"/>
        <v>#DIV/0!</v>
      </c>
      <c r="G66" s="188">
        <f t="shared" si="127"/>
        <v>3224.0169999999998</v>
      </c>
      <c r="H66" s="188">
        <f t="shared" si="127"/>
        <v>3391.703</v>
      </c>
      <c r="I66" s="188">
        <f>I67/I65*1000</f>
        <v>3657.2269999999999</v>
      </c>
      <c r="J66" s="188" t="e">
        <f>J67/J65*1000</f>
        <v>#DIV/0!</v>
      </c>
      <c r="K66" s="188" t="e">
        <f t="shared" si="127"/>
        <v>#DIV/0!</v>
      </c>
      <c r="L66" s="188">
        <f t="shared" si="127"/>
        <v>3614.0720000000001</v>
      </c>
      <c r="M66" s="188">
        <f t="shared" si="127"/>
        <v>3614.1239999999998</v>
      </c>
      <c r="N66" s="188" t="e">
        <f t="shared" si="127"/>
        <v>#DIV/0!</v>
      </c>
      <c r="O66" s="188" t="e">
        <f t="shared" si="127"/>
        <v>#DIV/0!</v>
      </c>
      <c r="P66" s="188" t="e">
        <f t="shared" si="127"/>
        <v>#DIV/0!</v>
      </c>
      <c r="Q66" s="188" t="e">
        <f t="shared" si="127"/>
        <v>#DIV/0!</v>
      </c>
      <c r="R66" s="188" t="e">
        <f t="shared" si="127"/>
        <v>#DIV/0!</v>
      </c>
      <c r="S66" s="188">
        <f t="shared" si="127"/>
        <v>4272.7359999999999</v>
      </c>
      <c r="T66" s="188">
        <f>T67/T65*1000</f>
        <v>7330.3770000000004</v>
      </c>
      <c r="U66" s="188">
        <f>U67/U65*1000</f>
        <v>4186.6419999999998</v>
      </c>
      <c r="V66" s="188">
        <f>V67/V65*1000</f>
        <v>4109.54</v>
      </c>
      <c r="W66" s="189">
        <f>W67/W65*1000</f>
        <v>5024.1379999999999</v>
      </c>
    </row>
    <row r="67" spans="1:24" s="213" customFormat="1" ht="18" customHeight="1">
      <c r="A67" s="610"/>
      <c r="B67" s="576"/>
      <c r="C67" s="577"/>
      <c r="D67" s="198" t="str">
        <f>серпень!D67</f>
        <v>касові видатки, тис.грн.</v>
      </c>
      <c r="E67" s="199">
        <f>E82+E97+E112+E127+E142+E157+E279+E294+E309+E324</f>
        <v>0</v>
      </c>
      <c r="F67" s="199">
        <f>F82+F97+F112+F127+F142+F157</f>
        <v>0</v>
      </c>
      <c r="G67" s="199">
        <f t="shared" ref="G67:K67" si="128">G82+G97+G112+G127+G142+G157</f>
        <v>75.441999999999993</v>
      </c>
      <c r="H67" s="199">
        <f t="shared" si="128"/>
        <v>77.67</v>
      </c>
      <c r="I67" s="199">
        <f t="shared" si="128"/>
        <v>43.521000000000001</v>
      </c>
      <c r="J67" s="199">
        <f t="shared" si="128"/>
        <v>6.8529999999999998</v>
      </c>
      <c r="K67" s="199">
        <f t="shared" si="128"/>
        <v>6.8529999999999998</v>
      </c>
      <c r="L67" s="199">
        <f>SUM(F67:K67)</f>
        <v>210.339</v>
      </c>
      <c r="M67" s="199">
        <f>L67/6</f>
        <v>35.057000000000002</v>
      </c>
      <c r="N67" s="199">
        <f>N82+N97+N112+N127+N142+N157</f>
        <v>6.8529999999999998</v>
      </c>
      <c r="O67" s="199">
        <f t="shared" ref="O67:S67" si="129">O82+O97+O112+O127+O142+O157</f>
        <v>6.8520000000000003</v>
      </c>
      <c r="P67" s="199">
        <f t="shared" si="129"/>
        <v>6.2359999999999998</v>
      </c>
      <c r="Q67" s="199">
        <f t="shared" si="129"/>
        <v>6.2350000000000003</v>
      </c>
      <c r="R67" s="199">
        <f t="shared" si="129"/>
        <v>6.2350000000000003</v>
      </c>
      <c r="S67" s="199">
        <f t="shared" si="129"/>
        <v>45.290999999999997</v>
      </c>
      <c r="T67" s="199">
        <f>SUM(N67:S67)</f>
        <v>77.701999999999998</v>
      </c>
      <c r="U67" s="199">
        <f>T67+L67</f>
        <v>288.041</v>
      </c>
      <c r="V67" s="199">
        <f t="shared" ref="V67:V69" si="130">V82+V97+V112+V127+V142+V157</f>
        <v>258.90100000000001</v>
      </c>
      <c r="W67" s="175">
        <f>V67-U67</f>
        <v>-29.14</v>
      </c>
      <c r="X67" s="213">
        <f>U62-U67</f>
        <v>0</v>
      </c>
    </row>
    <row r="68" spans="1:24" s="213" customFormat="1" ht="18" customHeight="1">
      <c r="A68" s="610"/>
      <c r="B68" s="576"/>
      <c r="C68" s="577"/>
      <c r="D68" s="201" t="str">
        <f>серпень!D68</f>
        <v>дотація</v>
      </c>
      <c r="E68" s="212"/>
      <c r="F68" s="199">
        <f t="shared" ref="F68:K69" si="131">F83+F98+F113+F128+F143+F158</f>
        <v>0</v>
      </c>
      <c r="G68" s="199">
        <f t="shared" si="131"/>
        <v>0</v>
      </c>
      <c r="H68" s="199">
        <f t="shared" si="131"/>
        <v>0</v>
      </c>
      <c r="I68" s="199">
        <f t="shared" si="131"/>
        <v>0</v>
      </c>
      <c r="J68" s="199">
        <f t="shared" si="131"/>
        <v>0</v>
      </c>
      <c r="K68" s="199">
        <f t="shared" si="131"/>
        <v>0</v>
      </c>
      <c r="L68" s="199">
        <f>SUM(F68:K68)</f>
        <v>0</v>
      </c>
      <c r="M68" s="199">
        <f>L68/6</f>
        <v>0</v>
      </c>
      <c r="N68" s="199">
        <f t="shared" ref="N68:S69" si="132">N83+N98+N113+N128+N143+N158</f>
        <v>0</v>
      </c>
      <c r="O68" s="199">
        <f t="shared" si="132"/>
        <v>0</v>
      </c>
      <c r="P68" s="199">
        <f t="shared" si="132"/>
        <v>0</v>
      </c>
      <c r="Q68" s="199">
        <f t="shared" si="132"/>
        <v>0</v>
      </c>
      <c r="R68" s="199">
        <f t="shared" si="132"/>
        <v>0</v>
      </c>
      <c r="S68" s="199">
        <f t="shared" si="132"/>
        <v>0</v>
      </c>
      <c r="T68" s="199">
        <f>SUM(N68:S68)</f>
        <v>0</v>
      </c>
      <c r="U68" s="199">
        <f>T68+L68</f>
        <v>0</v>
      </c>
      <c r="V68" s="199">
        <f t="shared" si="130"/>
        <v>0</v>
      </c>
      <c r="W68" s="175">
        <f>V68-U68</f>
        <v>0</v>
      </c>
      <c r="X68" s="213">
        <f>U63-U68</f>
        <v>0</v>
      </c>
    </row>
    <row r="69" spans="1:24" s="213" customFormat="1" ht="18" customHeight="1">
      <c r="A69" s="610"/>
      <c r="B69" s="576"/>
      <c r="C69" s="577"/>
      <c r="D69" s="201" t="str">
        <f>серпень!D69</f>
        <v xml:space="preserve">місцевий </v>
      </c>
      <c r="E69" s="212"/>
      <c r="F69" s="199">
        <f t="shared" si="131"/>
        <v>0</v>
      </c>
      <c r="G69" s="199">
        <f t="shared" si="131"/>
        <v>75.441999999999993</v>
      </c>
      <c r="H69" s="199">
        <f t="shared" si="131"/>
        <v>77.67</v>
      </c>
      <c r="I69" s="199">
        <f t="shared" si="131"/>
        <v>43.521000000000001</v>
      </c>
      <c r="J69" s="199">
        <f t="shared" si="131"/>
        <v>6.8529999999999998</v>
      </c>
      <c r="K69" s="199">
        <f t="shared" si="131"/>
        <v>6.8529999999999998</v>
      </c>
      <c r="L69" s="199">
        <f>SUM(F69:K69)</f>
        <v>210.339</v>
      </c>
      <c r="M69" s="199">
        <f>L69/6</f>
        <v>35.057000000000002</v>
      </c>
      <c r="N69" s="199">
        <f t="shared" si="132"/>
        <v>6.8529999999999998</v>
      </c>
      <c r="O69" s="199">
        <f t="shared" si="132"/>
        <v>6.8520000000000003</v>
      </c>
      <c r="P69" s="199">
        <f t="shared" si="132"/>
        <v>6.2359999999999998</v>
      </c>
      <c r="Q69" s="199">
        <f t="shared" si="132"/>
        <v>6.2350000000000003</v>
      </c>
      <c r="R69" s="199">
        <f t="shared" si="132"/>
        <v>6.2350000000000003</v>
      </c>
      <c r="S69" s="199">
        <f t="shared" si="132"/>
        <v>45.290999999999997</v>
      </c>
      <c r="T69" s="199">
        <f>SUM(N69:S69)</f>
        <v>77.701999999999998</v>
      </c>
      <c r="U69" s="199">
        <f>T69+L69</f>
        <v>288.041</v>
      </c>
      <c r="V69" s="199">
        <f t="shared" si="130"/>
        <v>258.90100000000001</v>
      </c>
      <c r="W69" s="175">
        <f>V69-U69</f>
        <v>-29.14</v>
      </c>
      <c r="X69" s="213">
        <f>U64-U69</f>
        <v>-29.14</v>
      </c>
    </row>
    <row r="70" spans="1:24" s="214" customFormat="1" ht="18" customHeight="1">
      <c r="A70" s="610"/>
      <c r="B70" s="576"/>
      <c r="C70" s="577"/>
      <c r="D70" s="202" t="str">
        <f>серпень!D70</f>
        <v>план</v>
      </c>
      <c r="E70" s="203"/>
      <c r="F70" s="203">
        <f t="shared" ref="F70:K70" si="133">F64</f>
        <v>0</v>
      </c>
      <c r="G70" s="203">
        <f t="shared" si="133"/>
        <v>75.441999999999993</v>
      </c>
      <c r="H70" s="203">
        <f t="shared" si="133"/>
        <v>77.67</v>
      </c>
      <c r="I70" s="203">
        <f t="shared" si="133"/>
        <v>43.561999999999998</v>
      </c>
      <c r="J70" s="203">
        <f t="shared" si="133"/>
        <v>6.8120000000000003</v>
      </c>
      <c r="K70" s="203">
        <f t="shared" si="133"/>
        <v>6.8540000000000001</v>
      </c>
      <c r="L70" s="203">
        <f>SUM(F70:K70)</f>
        <v>210.34</v>
      </c>
      <c r="M70" s="203">
        <f>L70/6</f>
        <v>35.057000000000002</v>
      </c>
      <c r="N70" s="203">
        <f>N64+N63</f>
        <v>6.8540000000000001</v>
      </c>
      <c r="O70" s="203">
        <f t="shared" ref="O70:R70" si="134">O64+O63</f>
        <v>6.85</v>
      </c>
      <c r="P70" s="203">
        <f t="shared" si="134"/>
        <v>6.2119999999999997</v>
      </c>
      <c r="Q70" s="203">
        <f t="shared" si="134"/>
        <v>6.2119999999999997</v>
      </c>
      <c r="R70" s="203">
        <f t="shared" si="134"/>
        <v>6.2119999999999997</v>
      </c>
      <c r="S70" s="203">
        <f>S64+S63</f>
        <v>16.221</v>
      </c>
      <c r="T70" s="203">
        <f>SUM(N70:S70)</f>
        <v>48.561</v>
      </c>
      <c r="U70" s="203">
        <f>T70+L70</f>
        <v>258.90100000000001</v>
      </c>
      <c r="V70" s="203">
        <f>V64+V63</f>
        <v>258.90100000000001</v>
      </c>
      <c r="W70" s="204">
        <f>V70-U70</f>
        <v>0</v>
      </c>
    </row>
    <row r="71" spans="1:24" s="214" customFormat="1" ht="18" customHeight="1">
      <c r="A71" s="610"/>
      <c r="B71" s="576"/>
      <c r="C71" s="577"/>
      <c r="D71" s="202" t="str">
        <f>серпень!D71</f>
        <v xml:space="preserve">відхилення </v>
      </c>
      <c r="E71" s="203"/>
      <c r="F71" s="203">
        <f t="shared" ref="F71:K71" si="135">F67-F70</f>
        <v>0</v>
      </c>
      <c r="G71" s="203">
        <f t="shared" si="135"/>
        <v>0</v>
      </c>
      <c r="H71" s="203">
        <f t="shared" si="135"/>
        <v>0</v>
      </c>
      <c r="I71" s="203">
        <f t="shared" si="135"/>
        <v>-4.1000000000000002E-2</v>
      </c>
      <c r="J71" s="203">
        <f t="shared" si="135"/>
        <v>4.1000000000000002E-2</v>
      </c>
      <c r="K71" s="203">
        <f t="shared" si="135"/>
        <v>-1E-3</v>
      </c>
      <c r="L71" s="203"/>
      <c r="M71" s="203"/>
      <c r="N71" s="203">
        <f>N67-N70</f>
        <v>-1E-3</v>
      </c>
      <c r="O71" s="203">
        <f t="shared" ref="O71:S71" si="136">O67-O70</f>
        <v>2E-3</v>
      </c>
      <c r="P71" s="203">
        <f t="shared" si="136"/>
        <v>2.4E-2</v>
      </c>
      <c r="Q71" s="203">
        <f t="shared" si="136"/>
        <v>2.3E-2</v>
      </c>
      <c r="R71" s="203">
        <f t="shared" si="136"/>
        <v>2.3E-2</v>
      </c>
      <c r="S71" s="203">
        <f t="shared" si="136"/>
        <v>29.07</v>
      </c>
      <c r="T71" s="203"/>
      <c r="U71" s="203"/>
      <c r="V71" s="203"/>
      <c r="W71" s="203"/>
    </row>
    <row r="72" spans="1:24" s="214" customFormat="1" ht="18" customHeight="1">
      <c r="A72" s="610"/>
      <c r="B72" s="578"/>
      <c r="C72" s="579"/>
      <c r="D72" s="202" t="str">
        <f>серпень!D72</f>
        <v>відхилення з наростаючим</v>
      </c>
      <c r="E72" s="203"/>
      <c r="F72" s="203">
        <f>F71</f>
        <v>0</v>
      </c>
      <c r="G72" s="203">
        <f>G71+F72</f>
        <v>0</v>
      </c>
      <c r="H72" s="203">
        <f>H71+G72</f>
        <v>0</v>
      </c>
      <c r="I72" s="203">
        <f>I71+H72</f>
        <v>-4.1000000000000002E-2</v>
      </c>
      <c r="J72" s="203">
        <f>J71+I72</f>
        <v>0</v>
      </c>
      <c r="K72" s="203">
        <f>K71+J72</f>
        <v>-1E-3</v>
      </c>
      <c r="L72" s="203"/>
      <c r="M72" s="203"/>
      <c r="N72" s="203">
        <f>N71+K72</f>
        <v>-2E-3</v>
      </c>
      <c r="O72" s="203">
        <f>O71+N72</f>
        <v>0</v>
      </c>
      <c r="P72" s="203">
        <f>P71+O72</f>
        <v>2.4E-2</v>
      </c>
      <c r="Q72" s="203">
        <f>Q71+P72</f>
        <v>4.7E-2</v>
      </c>
      <c r="R72" s="203">
        <f>R71+Q72</f>
        <v>7.0000000000000007E-2</v>
      </c>
      <c r="S72" s="203">
        <f>S71+R72</f>
        <v>29.14</v>
      </c>
      <c r="T72" s="203"/>
      <c r="U72" s="203"/>
      <c r="V72" s="203"/>
      <c r="W72" s="203"/>
    </row>
    <row r="73" spans="1:24" s="214" customFormat="1" ht="18" customHeight="1">
      <c r="A73" s="610"/>
      <c r="B73" s="582" t="s">
        <v>54</v>
      </c>
      <c r="C73" s="582" t="s">
        <v>98</v>
      </c>
      <c r="D73" s="178" t="str">
        <f>серпень!D73</f>
        <v>факт. нат.п-ки 2023</v>
      </c>
      <c r="E73" s="179"/>
      <c r="F73" s="399">
        <v>5.9700000000000003E-2</v>
      </c>
      <c r="G73" s="399">
        <v>5.9700000000000003E-2</v>
      </c>
      <c r="H73" s="342">
        <v>5.9700000000000003E-2</v>
      </c>
      <c r="I73" s="342">
        <v>5.9700000000000003E-2</v>
      </c>
      <c r="J73" s="342">
        <v>5.9700000000000003E-2</v>
      </c>
      <c r="K73" s="342">
        <v>5.9700000000000003E-2</v>
      </c>
      <c r="L73" s="400">
        <f>SUM(F73:K73)</f>
        <v>0.35820000000000002</v>
      </c>
      <c r="M73" s="400">
        <f>L73/6</f>
        <v>5.9700000000000003E-2</v>
      </c>
      <c r="N73" s="342">
        <v>5.9700000000000003E-2</v>
      </c>
      <c r="O73" s="342">
        <v>6.6600000000000006E-2</v>
      </c>
      <c r="P73" s="342">
        <v>5.9700000000000003E-2</v>
      </c>
      <c r="Q73" s="342">
        <v>5.9700000000000003E-2</v>
      </c>
      <c r="R73" s="342">
        <v>5.9700000000000003E-2</v>
      </c>
      <c r="S73" s="342">
        <v>5.9700000000000003E-2</v>
      </c>
      <c r="T73" s="400">
        <f>SUM(N73:S73)</f>
        <v>0.36509999999999998</v>
      </c>
      <c r="U73" s="400">
        <f>T73+L73</f>
        <v>0.72330000000000005</v>
      </c>
      <c r="V73" s="342">
        <v>0.72330000000000005</v>
      </c>
      <c r="W73" s="399"/>
    </row>
    <row r="74" spans="1:24" s="214" customFormat="1" ht="18" customHeight="1">
      <c r="A74" s="610"/>
      <c r="B74" s="583"/>
      <c r="C74" s="583"/>
      <c r="D74" s="178" t="str">
        <f>серпень!D74</f>
        <v>факт. нат.п-ки 2024</v>
      </c>
      <c r="E74" s="179"/>
      <c r="F74" s="399">
        <v>6.5600000000000006E-2</v>
      </c>
      <c r="G74" s="399">
        <v>6.5600000000000006E-2</v>
      </c>
      <c r="H74" s="342">
        <v>6.5600000000000006E-2</v>
      </c>
      <c r="I74" s="342">
        <v>6.5600000000000006E-2</v>
      </c>
      <c r="J74" s="342">
        <v>6.5600000000000006E-2</v>
      </c>
      <c r="K74" s="342">
        <v>6.5600000000000006E-2</v>
      </c>
      <c r="L74" s="400">
        <f>SUM(F74:K74)</f>
        <v>0.39360000000000001</v>
      </c>
      <c r="M74" s="400">
        <f>L74/6</f>
        <v>6.5600000000000006E-2</v>
      </c>
      <c r="N74" s="342">
        <v>6.5600000000000006E-2</v>
      </c>
      <c r="O74" s="342">
        <v>6.5600000000000006E-2</v>
      </c>
      <c r="P74" s="342">
        <v>6.5600000000000006E-2</v>
      </c>
      <c r="Q74" s="342">
        <v>6.5600000000000006E-2</v>
      </c>
      <c r="R74" s="342">
        <v>6.5600000000000006E-2</v>
      </c>
      <c r="S74" s="342">
        <v>6.5600000000000006E-2</v>
      </c>
      <c r="T74" s="400">
        <f>SUM(N74:S74)</f>
        <v>0.39360000000000001</v>
      </c>
      <c r="U74" s="400">
        <f>T74+L74</f>
        <v>0.78720000000000001</v>
      </c>
      <c r="V74" s="342">
        <v>0.78720000000000001</v>
      </c>
      <c r="W74" s="399"/>
    </row>
    <row r="75" spans="1:24" s="214" customFormat="1" ht="18" customHeight="1">
      <c r="A75" s="610"/>
      <c r="B75" s="583"/>
      <c r="C75" s="583"/>
      <c r="D75" s="178" t="str">
        <f>серпень!D75</f>
        <v>факт. нат.п-ки 2025</v>
      </c>
      <c r="E75" s="179"/>
      <c r="F75" s="342">
        <v>6.5598000000000004E-2</v>
      </c>
      <c r="G75" s="342">
        <v>6.5598000000000004E-2</v>
      </c>
      <c r="H75" s="342">
        <v>6.5598000000000004E-2</v>
      </c>
      <c r="I75" s="342">
        <v>6.5598000000000004E-2</v>
      </c>
      <c r="J75" s="342">
        <v>6.5598000000000004E-2</v>
      </c>
      <c r="K75" s="342">
        <v>6.5598000000000004E-2</v>
      </c>
      <c r="L75" s="400">
        <f>SUM(F75:K75)</f>
        <v>0.39358799999999999</v>
      </c>
      <c r="M75" s="400">
        <f>L75/6</f>
        <v>6.5598000000000004E-2</v>
      </c>
      <c r="N75" s="342">
        <v>6.5598000000000004E-2</v>
      </c>
      <c r="O75" s="342">
        <v>5.9692000000000002E-2</v>
      </c>
      <c r="P75" s="342">
        <v>5.9692000000000002E-2</v>
      </c>
      <c r="Q75" s="342">
        <v>5.9692000000000002E-2</v>
      </c>
      <c r="R75" s="342">
        <v>5.9692000000000002E-2</v>
      </c>
      <c r="S75" s="342">
        <v>5.9692000000000002E-2</v>
      </c>
      <c r="T75" s="400">
        <f>SUM(N75:S75)</f>
        <v>0.36405799999999999</v>
      </c>
      <c r="U75" s="400">
        <f>T75+L75</f>
        <v>0.75764600000000004</v>
      </c>
      <c r="V75" s="342">
        <v>0.71640000000000004</v>
      </c>
      <c r="W75" s="399">
        <f>U75-V75</f>
        <v>4.1245999999999998E-2</v>
      </c>
    </row>
    <row r="76" spans="1:24" s="214" customFormat="1" ht="18" customHeight="1">
      <c r="A76" s="610"/>
      <c r="B76" s="583"/>
      <c r="C76" s="583"/>
      <c r="D76" s="187" t="str">
        <f>серпень!D76</f>
        <v>тариф, грн.</v>
      </c>
      <c r="E76" s="188" t="e">
        <f t="shared" ref="E76:K76" si="137">E77/E75*1000</f>
        <v>#DIV/0!</v>
      </c>
      <c r="F76" s="188">
        <f t="shared" si="137"/>
        <v>104073.295</v>
      </c>
      <c r="G76" s="188">
        <f t="shared" si="137"/>
        <v>104469.648</v>
      </c>
      <c r="H76" s="188">
        <f t="shared" si="137"/>
        <v>104454.40399999999</v>
      </c>
      <c r="I76" s="188">
        <f t="shared" si="137"/>
        <v>104469.648</v>
      </c>
      <c r="J76" s="188">
        <f t="shared" si="137"/>
        <v>104469.648</v>
      </c>
      <c r="K76" s="188">
        <f t="shared" si="137"/>
        <v>104469.648</v>
      </c>
      <c r="L76" s="217">
        <f>L77/L75*1000</f>
        <v>104401.05</v>
      </c>
      <c r="M76" s="217">
        <f>M77/M75*1000</f>
        <v>104408.67</v>
      </c>
      <c r="N76" s="217">
        <f t="shared" ref="N76:O76" si="138">N77/N75*1000</f>
        <v>104469.65</v>
      </c>
      <c r="O76" s="217">
        <f t="shared" si="138"/>
        <v>104452.86</v>
      </c>
      <c r="P76" s="217">
        <v>104461.02</v>
      </c>
      <c r="Q76" s="217">
        <v>104461.02</v>
      </c>
      <c r="R76" s="217">
        <v>104461.02</v>
      </c>
      <c r="S76" s="217">
        <v>104461.02</v>
      </c>
      <c r="T76" s="217">
        <f>T77/T75*1000</f>
        <v>104455.88</v>
      </c>
      <c r="U76" s="217">
        <f>U77/U75*1000</f>
        <v>104427.4</v>
      </c>
      <c r="V76" s="218">
        <f>V77/V75*1000</f>
        <v>104053.601</v>
      </c>
      <c r="W76" s="219">
        <f>W77/W75*1000</f>
        <v>-110919.84699999999</v>
      </c>
    </row>
    <row r="77" spans="1:24" s="214" customFormat="1" ht="18" customHeight="1">
      <c r="A77" s="610"/>
      <c r="B77" s="583"/>
      <c r="C77" s="583"/>
      <c r="D77" s="191" t="str">
        <f>серпень!D77</f>
        <v>сума, тис.грн.</v>
      </c>
      <c r="E77" s="192"/>
      <c r="F77" s="192">
        <v>6.827</v>
      </c>
      <c r="G77" s="192">
        <v>6.8529999999999998</v>
      </c>
      <c r="H77" s="192">
        <v>6.8520000000000003</v>
      </c>
      <c r="I77" s="192">
        <v>6.8529999999999998</v>
      </c>
      <c r="J77" s="192">
        <v>6.8529999999999998</v>
      </c>
      <c r="K77" s="192">
        <v>6.8529999999999998</v>
      </c>
      <c r="L77" s="194">
        <f>SUM(F77:K77)</f>
        <v>41.091000000000001</v>
      </c>
      <c r="M77" s="194">
        <f>L77/6</f>
        <v>6.8490000000000002</v>
      </c>
      <c r="N77" s="192">
        <v>6.8529999999999998</v>
      </c>
      <c r="O77" s="192">
        <v>6.2350000000000003</v>
      </c>
      <c r="P77" s="192">
        <f t="shared" ref="P77:S77" si="139">P75*P76/1000</f>
        <v>6.2350000000000003</v>
      </c>
      <c r="Q77" s="192">
        <f t="shared" si="139"/>
        <v>6.2350000000000003</v>
      </c>
      <c r="R77" s="192">
        <f t="shared" si="139"/>
        <v>6.2350000000000003</v>
      </c>
      <c r="S77" s="192">
        <f t="shared" si="139"/>
        <v>6.2350000000000003</v>
      </c>
      <c r="T77" s="194">
        <f>SUM(N77:S77)</f>
        <v>38.027999999999999</v>
      </c>
      <c r="U77" s="194">
        <f>T77+L77</f>
        <v>79.119</v>
      </c>
      <c r="V77" s="171">
        <f>V79</f>
        <v>74.543999999999997</v>
      </c>
      <c r="W77" s="192">
        <f>V77-U77</f>
        <v>-4.5750000000000002</v>
      </c>
    </row>
    <row r="78" spans="1:24" s="214" customFormat="1" ht="18" customHeight="1">
      <c r="A78" s="610"/>
      <c r="B78" s="583"/>
      <c r="C78" s="583"/>
      <c r="D78" s="174" t="str">
        <f>серпень!D78</f>
        <v>дотація</v>
      </c>
      <c r="E78" s="210"/>
      <c r="F78" s="192"/>
      <c r="G78" s="192"/>
      <c r="H78" s="192"/>
      <c r="I78" s="192"/>
      <c r="J78" s="192"/>
      <c r="K78" s="192"/>
      <c r="L78" s="194">
        <f>SUM(F78:K78)</f>
        <v>0</v>
      </c>
      <c r="M78" s="194">
        <f>L78/6</f>
        <v>0</v>
      </c>
      <c r="N78" s="192"/>
      <c r="O78" s="192"/>
      <c r="P78" s="192"/>
      <c r="Q78" s="192"/>
      <c r="R78" s="192"/>
      <c r="S78" s="192"/>
      <c r="T78" s="194">
        <f>SUM(N78:S78)</f>
        <v>0</v>
      </c>
      <c r="U78" s="194">
        <f>T78+L78</f>
        <v>0</v>
      </c>
      <c r="V78" s="171"/>
      <c r="W78" s="192">
        <f>V78-U78</f>
        <v>0</v>
      </c>
    </row>
    <row r="79" spans="1:24" s="214" customFormat="1" ht="18" customHeight="1">
      <c r="A79" s="610"/>
      <c r="B79" s="583"/>
      <c r="C79" s="583"/>
      <c r="D79" s="174" t="str">
        <f>серпень!D79</f>
        <v>місцевий (план), тис.грн</v>
      </c>
      <c r="E79" s="210"/>
      <c r="F79" s="192">
        <f>1.297-1.297</f>
        <v>0</v>
      </c>
      <c r="G79" s="192">
        <f>6.212+0.615</f>
        <v>6.827</v>
      </c>
      <c r="H79" s="192">
        <f>6.212+1.366</f>
        <v>7.5780000000000003</v>
      </c>
      <c r="I79" s="192">
        <v>6.2119999999999997</v>
      </c>
      <c r="J79" s="192">
        <f>6.212+0.6</f>
        <v>6.8120000000000003</v>
      </c>
      <c r="K79" s="192">
        <f>6.212+0.642</f>
        <v>6.8540000000000001</v>
      </c>
      <c r="L79" s="194">
        <f>SUM(F79:K79)</f>
        <v>34.283000000000001</v>
      </c>
      <c r="M79" s="194">
        <f>L79/6</f>
        <v>5.7140000000000004</v>
      </c>
      <c r="N79" s="192">
        <f>6.212+0.642</f>
        <v>6.8540000000000001</v>
      </c>
      <c r="O79" s="192">
        <v>6.85</v>
      </c>
      <c r="P79" s="192">
        <v>6.2119999999999997</v>
      </c>
      <c r="Q79" s="192">
        <v>6.2119999999999997</v>
      </c>
      <c r="R79" s="192">
        <v>6.2119999999999997</v>
      </c>
      <c r="S79" s="192">
        <v>7.9210000000000003</v>
      </c>
      <c r="T79" s="194">
        <f>SUM(N79:S79)</f>
        <v>40.261000000000003</v>
      </c>
      <c r="U79" s="194">
        <f>T79+L79</f>
        <v>74.543999999999997</v>
      </c>
      <c r="V79" s="171">
        <v>74.543999999999997</v>
      </c>
      <c r="W79" s="192">
        <f>V79-U79</f>
        <v>0</v>
      </c>
    </row>
    <row r="80" spans="1:24" s="214" customFormat="1" ht="18" customHeight="1">
      <c r="A80" s="610"/>
      <c r="B80" s="583"/>
      <c r="C80" s="583"/>
      <c r="D80" s="178" t="str">
        <f>серпень!D80</f>
        <v>касові нат.п-ки 2025</v>
      </c>
      <c r="E80" s="179"/>
      <c r="F80" s="396">
        <v>0</v>
      </c>
      <c r="G80" s="258">
        <v>6.5600000000000006E-2</v>
      </c>
      <c r="H80" s="259">
        <v>6.5600000000000006E-2</v>
      </c>
      <c r="I80" s="259">
        <v>6.5600000000000006E-2</v>
      </c>
      <c r="J80" s="259">
        <v>6.5600000000000006E-2</v>
      </c>
      <c r="K80" s="288">
        <v>6.5598000000000004E-2</v>
      </c>
      <c r="L80" s="330">
        <f>SUM(F80:K80)</f>
        <v>0.32800000000000001</v>
      </c>
      <c r="M80" s="330">
        <f>L80/6</f>
        <v>5.4699999999999999E-2</v>
      </c>
      <c r="N80" s="342">
        <v>6.5598000000000004E-2</v>
      </c>
      <c r="O80" s="342">
        <v>6.5598000000000004E-2</v>
      </c>
      <c r="P80" s="342">
        <v>5.9692000000000002E-2</v>
      </c>
      <c r="Q80" s="342">
        <v>5.9692000000000002E-2</v>
      </c>
      <c r="R80" s="342">
        <v>5.9692000000000002E-2</v>
      </c>
      <c r="S80" s="342">
        <f>R75+S75</f>
        <v>0.119384</v>
      </c>
      <c r="T80" s="330">
        <f>SUM(N80:S80)</f>
        <v>0.42970000000000003</v>
      </c>
      <c r="U80" s="411">
        <f>T80+L80</f>
        <v>0.75770000000000004</v>
      </c>
      <c r="V80" s="346">
        <f>V75</f>
        <v>0.71640000000000004</v>
      </c>
      <c r="W80" s="184">
        <f>V80-U80</f>
        <v>0</v>
      </c>
      <c r="X80" s="47">
        <f>U75-U80</f>
        <v>0</v>
      </c>
    </row>
    <row r="81" spans="1:24" s="214" customFormat="1" ht="18" customHeight="1">
      <c r="A81" s="610"/>
      <c r="B81" s="583"/>
      <c r="C81" s="583"/>
      <c r="D81" s="187" t="str">
        <f>серпень!D81</f>
        <v>тариф, грн.</v>
      </c>
      <c r="E81" s="188" t="e">
        <f t="shared" ref="E81:K81" si="140">E82/E80*1000</f>
        <v>#DIV/0!</v>
      </c>
      <c r="F81" s="188" t="e">
        <f t="shared" si="140"/>
        <v>#DIV/0!</v>
      </c>
      <c r="G81" s="188">
        <f t="shared" si="140"/>
        <v>104070.122</v>
      </c>
      <c r="H81" s="188">
        <f t="shared" si="140"/>
        <v>104466.463</v>
      </c>
      <c r="I81" s="188">
        <f t="shared" si="140"/>
        <v>104451.22</v>
      </c>
      <c r="J81" s="188">
        <f t="shared" si="140"/>
        <v>104466.463</v>
      </c>
      <c r="K81" s="188">
        <f t="shared" si="140"/>
        <v>104469.648</v>
      </c>
      <c r="L81" s="217">
        <f t="shared" ref="L81:P81" si="141">L82/L80*1000</f>
        <v>104384.15</v>
      </c>
      <c r="M81" s="217">
        <f t="shared" si="141"/>
        <v>104314.44</v>
      </c>
      <c r="N81" s="217">
        <f t="shared" si="141"/>
        <v>104469.65</v>
      </c>
      <c r="O81" s="217">
        <f t="shared" si="141"/>
        <v>104454.39999999999</v>
      </c>
      <c r="P81" s="217">
        <f t="shared" si="141"/>
        <v>104469.61</v>
      </c>
      <c r="Q81" s="217">
        <v>104461.02</v>
      </c>
      <c r="R81" s="217">
        <v>104461.02</v>
      </c>
      <c r="S81" s="217">
        <v>104461.02</v>
      </c>
      <c r="T81" s="217">
        <f>T82/T80*1000</f>
        <v>104447.29</v>
      </c>
      <c r="U81" s="217">
        <f>U82/U80*1000</f>
        <v>104419.96</v>
      </c>
      <c r="V81" s="218">
        <f>V82/V80*1000</f>
        <v>104053.601</v>
      </c>
      <c r="W81" s="219" t="e">
        <f>W82/W80*1000</f>
        <v>#DIV/0!</v>
      </c>
      <c r="X81" s="47"/>
    </row>
    <row r="82" spans="1:24" s="214" customFormat="1" ht="18" customHeight="1">
      <c r="A82" s="610"/>
      <c r="B82" s="583"/>
      <c r="C82" s="583"/>
      <c r="D82" s="198" t="str">
        <f>серпень!D82</f>
        <v>касові видатки, тис.грн.</v>
      </c>
      <c r="E82" s="220"/>
      <c r="F82" s="199">
        <v>0</v>
      </c>
      <c r="G82" s="199">
        <v>6.827</v>
      </c>
      <c r="H82" s="199">
        <v>6.8529999999999998</v>
      </c>
      <c r="I82" s="199">
        <v>6.8520000000000003</v>
      </c>
      <c r="J82" s="199">
        <v>6.8529999999999998</v>
      </c>
      <c r="K82" s="199">
        <v>6.8529999999999998</v>
      </c>
      <c r="L82" s="199">
        <f>SUM(F82:K82)</f>
        <v>34.238</v>
      </c>
      <c r="M82" s="199">
        <f>L82/6</f>
        <v>5.7060000000000004</v>
      </c>
      <c r="N82" s="199">
        <v>6.8529999999999998</v>
      </c>
      <c r="O82" s="199">
        <f>6.852</f>
        <v>6.8520000000000003</v>
      </c>
      <c r="P82" s="199">
        <v>6.2359999999999998</v>
      </c>
      <c r="Q82" s="199">
        <f t="shared" ref="Q82" si="142">Q80*Q81/1000</f>
        <v>6.2350000000000003</v>
      </c>
      <c r="R82" s="199">
        <f t="shared" ref="R82" si="143">R80*R81/1000</f>
        <v>6.2350000000000003</v>
      </c>
      <c r="S82" s="199">
        <f>S80*S81/1000-0.001</f>
        <v>12.47</v>
      </c>
      <c r="T82" s="199">
        <f>SUM(N82:S82)</f>
        <v>44.881</v>
      </c>
      <c r="U82" s="199">
        <f>T82+L82</f>
        <v>79.119</v>
      </c>
      <c r="V82" s="199">
        <f>V77</f>
        <v>74.543999999999997</v>
      </c>
      <c r="W82" s="221">
        <f>V82-U82</f>
        <v>-4.5750000000000002</v>
      </c>
      <c r="X82" s="63">
        <f>U77-U82</f>
        <v>0</v>
      </c>
    </row>
    <row r="83" spans="1:24" s="214" customFormat="1" ht="18" customHeight="1">
      <c r="A83" s="610"/>
      <c r="B83" s="583"/>
      <c r="C83" s="583"/>
      <c r="D83" s="201" t="str">
        <f>серпень!D83</f>
        <v>дотація</v>
      </c>
      <c r="E83" s="220"/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f>SUM(F83:K83)</f>
        <v>0</v>
      </c>
      <c r="M83" s="199">
        <f>L83/6</f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f>SUM(N83:S83)</f>
        <v>0</v>
      </c>
      <c r="U83" s="199">
        <f>T83+L83</f>
        <v>0</v>
      </c>
      <c r="V83" s="199">
        <f>V78</f>
        <v>0</v>
      </c>
      <c r="W83" s="221">
        <f>V83-U83</f>
        <v>0</v>
      </c>
      <c r="X83" s="63">
        <f>U78-U83</f>
        <v>0</v>
      </c>
    </row>
    <row r="84" spans="1:24" s="214" customFormat="1" ht="18" customHeight="1">
      <c r="A84" s="610"/>
      <c r="B84" s="583"/>
      <c r="C84" s="583"/>
      <c r="D84" s="201" t="str">
        <f>серпень!D84</f>
        <v xml:space="preserve">місцевий </v>
      </c>
      <c r="E84" s="220"/>
      <c r="F84" s="199">
        <f t="shared" ref="F84:K84" si="144">F82-F83</f>
        <v>0</v>
      </c>
      <c r="G84" s="199">
        <f t="shared" si="144"/>
        <v>6.827</v>
      </c>
      <c r="H84" s="199">
        <f t="shared" si="144"/>
        <v>6.8529999999999998</v>
      </c>
      <c r="I84" s="199">
        <f t="shared" si="144"/>
        <v>6.8520000000000003</v>
      </c>
      <c r="J84" s="199">
        <f t="shared" si="144"/>
        <v>6.8529999999999998</v>
      </c>
      <c r="K84" s="199">
        <f t="shared" si="144"/>
        <v>6.8529999999999998</v>
      </c>
      <c r="L84" s="199">
        <f>SUM(F84:K84)</f>
        <v>34.238</v>
      </c>
      <c r="M84" s="199">
        <f>L84/6</f>
        <v>5.7060000000000004</v>
      </c>
      <c r="N84" s="199">
        <f t="shared" ref="N84:S84" si="145">N82-N83</f>
        <v>6.8529999999999998</v>
      </c>
      <c r="O84" s="199">
        <f t="shared" si="145"/>
        <v>6.8520000000000003</v>
      </c>
      <c r="P84" s="199">
        <f t="shared" si="145"/>
        <v>6.2359999999999998</v>
      </c>
      <c r="Q84" s="199">
        <f t="shared" si="145"/>
        <v>6.2350000000000003</v>
      </c>
      <c r="R84" s="199">
        <f t="shared" si="145"/>
        <v>6.2350000000000003</v>
      </c>
      <c r="S84" s="199">
        <f t="shared" si="145"/>
        <v>12.47</v>
      </c>
      <c r="T84" s="199">
        <f>SUM(N84:S84)</f>
        <v>44.881</v>
      </c>
      <c r="U84" s="199">
        <f>T84+L84</f>
        <v>79.119</v>
      </c>
      <c r="V84" s="199">
        <f>V79</f>
        <v>74.543999999999997</v>
      </c>
      <c r="W84" s="221">
        <f>V84-U84</f>
        <v>-4.5750000000000002</v>
      </c>
      <c r="X84" s="63" t="s">
        <v>104</v>
      </c>
    </row>
    <row r="85" spans="1:24" s="214" customFormat="1" ht="18" customHeight="1">
      <c r="A85" s="610"/>
      <c r="B85" s="583"/>
      <c r="C85" s="583"/>
      <c r="D85" s="202" t="str">
        <f>серпень!D85</f>
        <v>план</v>
      </c>
      <c r="E85" s="203"/>
      <c r="F85" s="203">
        <f t="shared" ref="F85:K85" si="146">F78+F79</f>
        <v>0</v>
      </c>
      <c r="G85" s="203">
        <f t="shared" si="146"/>
        <v>6.827</v>
      </c>
      <c r="H85" s="203">
        <f t="shared" si="146"/>
        <v>7.5780000000000003</v>
      </c>
      <c r="I85" s="203">
        <f t="shared" si="146"/>
        <v>6.2119999999999997</v>
      </c>
      <c r="J85" s="203">
        <f t="shared" si="146"/>
        <v>6.8120000000000003</v>
      </c>
      <c r="K85" s="203">
        <f t="shared" si="146"/>
        <v>6.8540000000000001</v>
      </c>
      <c r="L85" s="203">
        <f>SUM(F85:K85)</f>
        <v>34.283000000000001</v>
      </c>
      <c r="M85" s="203">
        <f>L85/6</f>
        <v>5.7140000000000004</v>
      </c>
      <c r="N85" s="203">
        <f t="shared" ref="N85:R85" si="147">N79+N78</f>
        <v>6.8540000000000001</v>
      </c>
      <c r="O85" s="203">
        <f t="shared" si="147"/>
        <v>6.85</v>
      </c>
      <c r="P85" s="203">
        <f t="shared" si="147"/>
        <v>6.2119999999999997</v>
      </c>
      <c r="Q85" s="203">
        <f t="shared" si="147"/>
        <v>6.2119999999999997</v>
      </c>
      <c r="R85" s="203">
        <f t="shared" si="147"/>
        <v>6.2119999999999997</v>
      </c>
      <c r="S85" s="203">
        <f>S79+S78</f>
        <v>7.9210000000000003</v>
      </c>
      <c r="T85" s="203">
        <f>SUM(N85:S85)</f>
        <v>40.261000000000003</v>
      </c>
      <c r="U85" s="203">
        <f>T85+L85</f>
        <v>74.543999999999997</v>
      </c>
      <c r="V85" s="203">
        <f>V82</f>
        <v>74.543999999999997</v>
      </c>
      <c r="W85" s="203">
        <f>V85-U85</f>
        <v>0</v>
      </c>
    </row>
    <row r="86" spans="1:24" s="214" customFormat="1" ht="18" customHeight="1">
      <c r="A86" s="610"/>
      <c r="B86" s="583"/>
      <c r="C86" s="583"/>
      <c r="D86" s="202" t="str">
        <f>серпень!D86</f>
        <v xml:space="preserve">відхилення </v>
      </c>
      <c r="E86" s="203"/>
      <c r="F86" s="203">
        <f t="shared" ref="F86:K86" si="148">F82-F85</f>
        <v>0</v>
      </c>
      <c r="G86" s="203">
        <f t="shared" si="148"/>
        <v>0</v>
      </c>
      <c r="H86" s="203">
        <f t="shared" si="148"/>
        <v>-0.72499999999999998</v>
      </c>
      <c r="I86" s="203">
        <f t="shared" si="148"/>
        <v>0.64</v>
      </c>
      <c r="J86" s="203">
        <f t="shared" si="148"/>
        <v>4.1000000000000002E-2</v>
      </c>
      <c r="K86" s="203">
        <f t="shared" si="148"/>
        <v>-1E-3</v>
      </c>
      <c r="L86" s="203"/>
      <c r="M86" s="203"/>
      <c r="N86" s="203">
        <f t="shared" ref="N86:S86" si="149">N82-N85</f>
        <v>-1E-3</v>
      </c>
      <c r="O86" s="203">
        <f t="shared" si="149"/>
        <v>2E-3</v>
      </c>
      <c r="P86" s="203">
        <f t="shared" si="149"/>
        <v>2.4E-2</v>
      </c>
      <c r="Q86" s="203">
        <f t="shared" si="149"/>
        <v>2.3E-2</v>
      </c>
      <c r="R86" s="203">
        <f t="shared" si="149"/>
        <v>2.3E-2</v>
      </c>
      <c r="S86" s="203">
        <f t="shared" si="149"/>
        <v>4.5490000000000004</v>
      </c>
      <c r="T86" s="203"/>
      <c r="U86" s="203"/>
      <c r="V86" s="203"/>
      <c r="W86" s="203"/>
    </row>
    <row r="87" spans="1:24" s="214" customFormat="1" ht="19.600000000000001" customHeight="1">
      <c r="A87" s="610"/>
      <c r="B87" s="583"/>
      <c r="C87" s="584"/>
      <c r="D87" s="202" t="str">
        <f>серпень!D87</f>
        <v>відхилення з наростаючим</v>
      </c>
      <c r="E87" s="203"/>
      <c r="F87" s="203">
        <f>F86</f>
        <v>0</v>
      </c>
      <c r="G87" s="203">
        <f>G86+F87</f>
        <v>0</v>
      </c>
      <c r="H87" s="203">
        <f>H86+G87</f>
        <v>-0.72499999999999998</v>
      </c>
      <c r="I87" s="203">
        <f>I86+H87</f>
        <v>-8.5000000000000006E-2</v>
      </c>
      <c r="J87" s="203">
        <f>J86+I87</f>
        <v>-4.3999999999999997E-2</v>
      </c>
      <c r="K87" s="203">
        <f>K86+J87</f>
        <v>-4.4999999999999998E-2</v>
      </c>
      <c r="L87" s="203"/>
      <c r="M87" s="203"/>
      <c r="N87" s="203">
        <f>N86+K87</f>
        <v>-4.5999999999999999E-2</v>
      </c>
      <c r="O87" s="203">
        <f>O86+N87</f>
        <v>-4.3999999999999997E-2</v>
      </c>
      <c r="P87" s="203">
        <f>P86+O87</f>
        <v>-0.02</v>
      </c>
      <c r="Q87" s="203">
        <f>Q86+P87</f>
        <v>3.0000000000000001E-3</v>
      </c>
      <c r="R87" s="203">
        <f>R86+Q87</f>
        <v>2.5999999999999999E-2</v>
      </c>
      <c r="S87" s="203">
        <f>S86+R87</f>
        <v>4.5750000000000002</v>
      </c>
      <c r="T87" s="203"/>
      <c r="U87" s="203"/>
      <c r="V87" s="203"/>
      <c r="W87" s="203"/>
    </row>
    <row r="88" spans="1:24" s="47" customFormat="1" ht="18" customHeight="1">
      <c r="A88" s="610"/>
      <c r="B88" s="583"/>
      <c r="C88" s="582" t="s">
        <v>99</v>
      </c>
      <c r="D88" s="178" t="str">
        <f>серпень!D88</f>
        <v>факт. нат.п-ки 2023</v>
      </c>
      <c r="E88" s="11"/>
      <c r="F88" s="12">
        <v>1.8</v>
      </c>
      <c r="G88" s="12">
        <v>11.7</v>
      </c>
      <c r="H88" s="12">
        <v>12.3</v>
      </c>
      <c r="I88" s="12">
        <v>0</v>
      </c>
      <c r="J88" s="12">
        <v>0</v>
      </c>
      <c r="K88" s="12">
        <v>0</v>
      </c>
      <c r="L88" s="65">
        <f>SUM(F88:K88)</f>
        <v>25.8</v>
      </c>
      <c r="M88" s="65">
        <f>L88/6</f>
        <v>4.3</v>
      </c>
      <c r="N88" s="11">
        <v>0</v>
      </c>
      <c r="O88" s="11">
        <v>0</v>
      </c>
      <c r="P88" s="11">
        <v>0</v>
      </c>
      <c r="Q88" s="11">
        <v>0</v>
      </c>
      <c r="R88" s="11">
        <v>7.6</v>
      </c>
      <c r="S88" s="11">
        <v>16.3</v>
      </c>
      <c r="T88" s="65">
        <f>SUM(N88:S88)</f>
        <v>23.9</v>
      </c>
      <c r="U88" s="65">
        <f>T88+L88</f>
        <v>49.7</v>
      </c>
      <c r="V88" s="46">
        <v>49.7</v>
      </c>
      <c r="W88" s="38"/>
    </row>
    <row r="89" spans="1:24" s="47" customFormat="1" ht="18" customHeight="1">
      <c r="A89" s="610"/>
      <c r="B89" s="583"/>
      <c r="C89" s="583"/>
      <c r="D89" s="178" t="str">
        <f>серпень!D89</f>
        <v>факт. нат.п-ки 2024</v>
      </c>
      <c r="E89" s="11"/>
      <c r="F89" s="12">
        <v>20.9</v>
      </c>
      <c r="G89" s="12">
        <v>15.9</v>
      </c>
      <c r="H89" s="12">
        <v>15.6</v>
      </c>
      <c r="I89" s="12">
        <v>0</v>
      </c>
      <c r="J89" s="12">
        <v>0</v>
      </c>
      <c r="K89" s="12">
        <v>0</v>
      </c>
      <c r="L89" s="65">
        <f>SUM(F89:K89)</f>
        <v>52.4</v>
      </c>
      <c r="M89" s="65">
        <f>L89/6</f>
        <v>8.6999999999999993</v>
      </c>
      <c r="N89" s="11">
        <v>0</v>
      </c>
      <c r="O89" s="11">
        <v>0</v>
      </c>
      <c r="P89" s="11">
        <v>0</v>
      </c>
      <c r="Q89" s="11">
        <v>0</v>
      </c>
      <c r="R89" s="11">
        <v>7.6</v>
      </c>
      <c r="S89" s="11">
        <v>16.3</v>
      </c>
      <c r="T89" s="65">
        <f>SUM(N89:S89)</f>
        <v>23.9</v>
      </c>
      <c r="U89" s="65">
        <f>T89+L89</f>
        <v>76.3</v>
      </c>
      <c r="V89" s="46">
        <v>76.3</v>
      </c>
      <c r="W89" s="38"/>
    </row>
    <row r="90" spans="1:24" s="47" customFormat="1" ht="18" customHeight="1">
      <c r="A90" s="610"/>
      <c r="B90" s="583"/>
      <c r="C90" s="583"/>
      <c r="D90" s="178" t="str">
        <f>серпень!D90</f>
        <v>факт. нат.п-ки 2025</v>
      </c>
      <c r="E90" s="11"/>
      <c r="F90" s="12">
        <v>23.4</v>
      </c>
      <c r="G90" s="12">
        <v>22.9</v>
      </c>
      <c r="H90" s="12">
        <v>11.9</v>
      </c>
      <c r="I90" s="12">
        <v>0</v>
      </c>
      <c r="J90" s="12">
        <v>0</v>
      </c>
      <c r="K90" s="12">
        <v>0</v>
      </c>
      <c r="L90" s="65">
        <f>SUM(F90:K90)</f>
        <v>58.2</v>
      </c>
      <c r="M90" s="65">
        <f>L90/6</f>
        <v>9.6999999999999993</v>
      </c>
      <c r="N90" s="11">
        <v>0</v>
      </c>
      <c r="O90" s="11">
        <v>0</v>
      </c>
      <c r="P90" s="11">
        <v>0</v>
      </c>
      <c r="Q90" s="11">
        <v>0</v>
      </c>
      <c r="R90" s="11">
        <v>7.6</v>
      </c>
      <c r="S90" s="11">
        <v>3</v>
      </c>
      <c r="T90" s="65">
        <f>SUM(N90:S90)</f>
        <v>10.6</v>
      </c>
      <c r="U90" s="65">
        <f>T90+L90</f>
        <v>68.8</v>
      </c>
      <c r="V90" s="11">
        <v>63</v>
      </c>
      <c r="W90" s="38">
        <f>U90-V90</f>
        <v>5.8</v>
      </c>
    </row>
    <row r="91" spans="1:24" s="47" customFormat="1" ht="18" customHeight="1">
      <c r="A91" s="610"/>
      <c r="B91" s="583"/>
      <c r="C91" s="583"/>
      <c r="D91" s="187" t="str">
        <f>серпень!D91</f>
        <v>тариф, грн.</v>
      </c>
      <c r="E91" s="49" t="e">
        <f>E92/E90*1000</f>
        <v>#DIV/0!</v>
      </c>
      <c r="F91" s="49">
        <f t="shared" ref="F91:K91" si="150">F92/F90*1000</f>
        <v>2932.2649999999999</v>
      </c>
      <c r="G91" s="49">
        <f t="shared" si="150"/>
        <v>3092.4450000000002</v>
      </c>
      <c r="H91" s="49">
        <f t="shared" si="150"/>
        <v>3081.4290000000001</v>
      </c>
      <c r="I91" s="49" t="e">
        <f t="shared" si="150"/>
        <v>#DIV/0!</v>
      </c>
      <c r="J91" s="49" t="e">
        <f t="shared" si="150"/>
        <v>#DIV/0!</v>
      </c>
      <c r="K91" s="49" t="e">
        <f t="shared" si="150"/>
        <v>#DIV/0!</v>
      </c>
      <c r="L91" s="217">
        <f>L92/L90*1000</f>
        <v>3025.79</v>
      </c>
      <c r="M91" s="217">
        <f>M92/M90*1000</f>
        <v>3025.77</v>
      </c>
      <c r="N91" s="217">
        <v>3096.37</v>
      </c>
      <c r="O91" s="217">
        <v>3096.37</v>
      </c>
      <c r="P91" s="217">
        <v>3096.37</v>
      </c>
      <c r="Q91" s="217">
        <v>3096.37</v>
      </c>
      <c r="R91" s="217">
        <v>3096.37</v>
      </c>
      <c r="S91" s="217">
        <v>3096.37</v>
      </c>
      <c r="T91" s="121">
        <f>T92/T90*1000</f>
        <v>3096.32</v>
      </c>
      <c r="U91" s="121">
        <f>U92/U90*1000</f>
        <v>3036.66</v>
      </c>
      <c r="V91" s="68">
        <f>V92/V90*1000</f>
        <v>2926.3020000000001</v>
      </c>
      <c r="W91" s="14">
        <f>W92/W90*1000</f>
        <v>-4235.3450000000003</v>
      </c>
    </row>
    <row r="92" spans="1:24" s="47" customFormat="1" ht="18" customHeight="1">
      <c r="A92" s="610"/>
      <c r="B92" s="583"/>
      <c r="C92" s="583"/>
      <c r="D92" s="191" t="str">
        <f>серпень!D92</f>
        <v>сума, тис.грн.</v>
      </c>
      <c r="E92" s="52"/>
      <c r="F92" s="52">
        <v>68.614999999999995</v>
      </c>
      <c r="G92" s="52">
        <v>70.816999999999993</v>
      </c>
      <c r="H92" s="52">
        <v>36.668999999999997</v>
      </c>
      <c r="I92" s="52">
        <v>0</v>
      </c>
      <c r="J92" s="52">
        <v>0</v>
      </c>
      <c r="K92" s="52">
        <v>0</v>
      </c>
      <c r="L92" s="69">
        <f>SUM(F92:K92)</f>
        <v>176.101</v>
      </c>
      <c r="M92" s="69">
        <f>L92/6</f>
        <v>29.35</v>
      </c>
      <c r="N92" s="52">
        <f>N90*N91/1000</f>
        <v>0</v>
      </c>
      <c r="O92" s="52">
        <f t="shared" ref="O92" si="151">O90*O91/1000</f>
        <v>0</v>
      </c>
      <c r="P92" s="52">
        <f t="shared" ref="P92" si="152">P90*P91/1000</f>
        <v>0</v>
      </c>
      <c r="Q92" s="52">
        <f t="shared" ref="Q92" si="153">Q90*Q91/1000</f>
        <v>0</v>
      </c>
      <c r="R92" s="52">
        <f t="shared" ref="R92" si="154">R90*R91/1000</f>
        <v>23.532</v>
      </c>
      <c r="S92" s="52">
        <f t="shared" ref="S92" si="155">S90*S91/1000</f>
        <v>9.2889999999999997</v>
      </c>
      <c r="T92" s="69">
        <f>SUM(N92:S92)</f>
        <v>32.820999999999998</v>
      </c>
      <c r="U92" s="69">
        <f>T92+L92</f>
        <v>208.922</v>
      </c>
      <c r="V92" s="70">
        <f>V94</f>
        <v>184.357</v>
      </c>
      <c r="W92" s="53">
        <f>V92-U92</f>
        <v>-24.565000000000001</v>
      </c>
    </row>
    <row r="93" spans="1:24" s="47" customFormat="1" ht="18" customHeight="1">
      <c r="A93" s="610"/>
      <c r="B93" s="583"/>
      <c r="C93" s="583"/>
      <c r="D93" s="174" t="str">
        <f>серпень!D93</f>
        <v>дотація</v>
      </c>
      <c r="E93" s="56"/>
      <c r="F93" s="52"/>
      <c r="G93" s="52"/>
      <c r="H93" s="52"/>
      <c r="I93" s="52"/>
      <c r="J93" s="52"/>
      <c r="K93" s="52"/>
      <c r="L93" s="69">
        <f>SUM(F93:K93)</f>
        <v>0</v>
      </c>
      <c r="M93" s="69">
        <f>L93/6</f>
        <v>0</v>
      </c>
      <c r="N93" s="52"/>
      <c r="O93" s="52"/>
      <c r="P93" s="52"/>
      <c r="Q93" s="52"/>
      <c r="R93" s="52"/>
      <c r="S93" s="52"/>
      <c r="T93" s="69">
        <f>SUM(N93:S93)</f>
        <v>0</v>
      </c>
      <c r="U93" s="69">
        <f>T93+L93</f>
        <v>0</v>
      </c>
      <c r="V93" s="70"/>
      <c r="W93" s="53">
        <f>V93-U93</f>
        <v>0</v>
      </c>
    </row>
    <row r="94" spans="1:24" s="47" customFormat="1" ht="18" customHeight="1">
      <c r="A94" s="610"/>
      <c r="B94" s="583"/>
      <c r="C94" s="583"/>
      <c r="D94" s="174" t="str">
        <f>серпень!D94</f>
        <v>місцевий (план), тис.грн</v>
      </c>
      <c r="E94" s="56"/>
      <c r="F94" s="52">
        <f>5.547-5.547</f>
        <v>0</v>
      </c>
      <c r="G94" s="52">
        <f>61.16+7.455</f>
        <v>68.614999999999995</v>
      </c>
      <c r="H94" s="52">
        <f>46.528+23.564</f>
        <v>70.091999999999999</v>
      </c>
      <c r="I94" s="52">
        <f>45.65-8.3</f>
        <v>37.35</v>
      </c>
      <c r="J94" s="52">
        <v>0</v>
      </c>
      <c r="K94" s="52">
        <v>0</v>
      </c>
      <c r="L94" s="69">
        <f>SUM(F94:K94)</f>
        <v>176.05699999999999</v>
      </c>
      <c r="M94" s="69">
        <f>L94/6</f>
        <v>29.343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v>8.3000000000000007</v>
      </c>
      <c r="T94" s="69">
        <f>SUM(N94:S94)</f>
        <v>8.3000000000000007</v>
      </c>
      <c r="U94" s="69">
        <f>T94+L94</f>
        <v>184.357</v>
      </c>
      <c r="V94" s="70">
        <v>184.357</v>
      </c>
      <c r="W94" s="53">
        <f>V94-U94</f>
        <v>0</v>
      </c>
    </row>
    <row r="95" spans="1:24" s="47" customFormat="1" ht="18" customHeight="1">
      <c r="A95" s="610"/>
      <c r="B95" s="583"/>
      <c r="C95" s="583"/>
      <c r="D95" s="178" t="str">
        <f>серпень!D95</f>
        <v>касові нат.п-ки 2025</v>
      </c>
      <c r="E95" s="11"/>
      <c r="F95" s="11">
        <v>0</v>
      </c>
      <c r="G95" s="12">
        <v>23.4</v>
      </c>
      <c r="H95" s="12">
        <v>22.9</v>
      </c>
      <c r="I95" s="12">
        <v>11.9</v>
      </c>
      <c r="J95" s="12">
        <v>0</v>
      </c>
      <c r="K95" s="12">
        <v>0</v>
      </c>
      <c r="L95" s="65">
        <f>SUM(F95:K95)</f>
        <v>58.2</v>
      </c>
      <c r="M95" s="65">
        <f>L95/6</f>
        <v>9.6999999999999993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f>R90+S90</f>
        <v>10.6</v>
      </c>
      <c r="T95" s="65">
        <f>SUM(N95:S95)</f>
        <v>10.6</v>
      </c>
      <c r="U95" s="65">
        <f>T95+L95</f>
        <v>68.8</v>
      </c>
      <c r="V95" s="11">
        <f>V90</f>
        <v>63</v>
      </c>
      <c r="W95" s="38">
        <f>V95-U95</f>
        <v>-5.8</v>
      </c>
      <c r="X95" s="47">
        <f>U90-U95</f>
        <v>0</v>
      </c>
    </row>
    <row r="96" spans="1:24" s="47" customFormat="1" ht="18" customHeight="1">
      <c r="A96" s="610"/>
      <c r="B96" s="583"/>
      <c r="C96" s="583"/>
      <c r="D96" s="187" t="str">
        <f>серпень!D96</f>
        <v>тариф, грн.</v>
      </c>
      <c r="E96" s="49" t="e">
        <f t="shared" ref="E96:K96" si="156">E97/E95*1000</f>
        <v>#DIV/0!</v>
      </c>
      <c r="F96" s="49" t="e">
        <f t="shared" si="156"/>
        <v>#DIV/0!</v>
      </c>
      <c r="G96" s="49">
        <f t="shared" si="156"/>
        <v>2932.2649999999999</v>
      </c>
      <c r="H96" s="49">
        <f t="shared" si="156"/>
        <v>3092.4450000000002</v>
      </c>
      <c r="I96" s="49">
        <f t="shared" si="156"/>
        <v>3081.4290000000001</v>
      </c>
      <c r="J96" s="49" t="e">
        <f t="shared" si="156"/>
        <v>#DIV/0!</v>
      </c>
      <c r="K96" s="49" t="e">
        <f t="shared" si="156"/>
        <v>#DIV/0!</v>
      </c>
      <c r="L96" s="217">
        <f>L97/L95*1000</f>
        <v>3025.79</v>
      </c>
      <c r="M96" s="217">
        <f>M97/M95*1000</f>
        <v>3025.77</v>
      </c>
      <c r="N96" s="217" t="e">
        <f>N97/N95*1000</f>
        <v>#DIV/0!</v>
      </c>
      <c r="O96" s="217">
        <v>3096.37</v>
      </c>
      <c r="P96" s="217">
        <v>3096.37</v>
      </c>
      <c r="Q96" s="217">
        <v>3096.37</v>
      </c>
      <c r="R96" s="217">
        <v>3096.37</v>
      </c>
      <c r="S96" s="217">
        <v>3096.37</v>
      </c>
      <c r="T96" s="121">
        <f>T97/T95*1000</f>
        <v>3096.32</v>
      </c>
      <c r="U96" s="121">
        <f>U97/U95*1000</f>
        <v>3036.66</v>
      </c>
      <c r="V96" s="68">
        <f>V97/V95*1000</f>
        <v>2926.3020000000001</v>
      </c>
      <c r="W96" s="14">
        <f>W97/W95*1000</f>
        <v>4235.3450000000003</v>
      </c>
    </row>
    <row r="97" spans="1:24" s="63" customFormat="1" ht="18" customHeight="1">
      <c r="A97" s="610"/>
      <c r="B97" s="583"/>
      <c r="C97" s="583"/>
      <c r="D97" s="198" t="str">
        <f>серпень!D97</f>
        <v>касові видатки, тис.грн.</v>
      </c>
      <c r="E97" s="71"/>
      <c r="F97" s="61">
        <v>0</v>
      </c>
      <c r="G97" s="61">
        <v>68.614999999999995</v>
      </c>
      <c r="H97" s="61">
        <v>70.816999999999993</v>
      </c>
      <c r="I97" s="61">
        <v>36.668999999999997</v>
      </c>
      <c r="J97" s="61">
        <v>0</v>
      </c>
      <c r="K97" s="61">
        <v>0</v>
      </c>
      <c r="L97" s="61">
        <f>SUM(F97:K97)</f>
        <v>176.101</v>
      </c>
      <c r="M97" s="61">
        <f>L97/6</f>
        <v>29.35</v>
      </c>
      <c r="N97" s="61">
        <v>0</v>
      </c>
      <c r="O97" s="61">
        <f t="shared" ref="O97" si="157">O95*O96/1000</f>
        <v>0</v>
      </c>
      <c r="P97" s="61">
        <f t="shared" ref="P97" si="158">P95*P96/1000</f>
        <v>0</v>
      </c>
      <c r="Q97" s="61">
        <f t="shared" ref="Q97" si="159">Q95*Q96/1000</f>
        <v>0</v>
      </c>
      <c r="R97" s="61">
        <f t="shared" ref="R97" si="160">R95*R96/1000</f>
        <v>0</v>
      </c>
      <c r="S97" s="61">
        <f>S95*S96/1000-0.001</f>
        <v>32.820999999999998</v>
      </c>
      <c r="T97" s="61">
        <f>SUM(N97:S97)</f>
        <v>32.820999999999998</v>
      </c>
      <c r="U97" s="61">
        <f>T97+L97</f>
        <v>208.922</v>
      </c>
      <c r="V97" s="61">
        <f>V92</f>
        <v>184.357</v>
      </c>
      <c r="W97" s="72">
        <f>V97-U97</f>
        <v>-24.565000000000001</v>
      </c>
      <c r="X97" s="63">
        <f>U92-U97</f>
        <v>0</v>
      </c>
    </row>
    <row r="98" spans="1:24" s="63" customFormat="1" ht="18" customHeight="1">
      <c r="A98" s="610"/>
      <c r="B98" s="583"/>
      <c r="C98" s="583"/>
      <c r="D98" s="201" t="str">
        <f>серпень!D98</f>
        <v>дотація</v>
      </c>
      <c r="E98" s="71"/>
      <c r="F98" s="61">
        <v>0</v>
      </c>
      <c r="G98" s="61">
        <v>0</v>
      </c>
      <c r="H98" s="61">
        <v>0</v>
      </c>
      <c r="I98" s="61">
        <v>0</v>
      </c>
      <c r="J98" s="61">
        <v>0</v>
      </c>
      <c r="K98" s="61">
        <v>0</v>
      </c>
      <c r="L98" s="61">
        <f>SUM(F98:K98)</f>
        <v>0</v>
      </c>
      <c r="M98" s="61">
        <f>L98/6</f>
        <v>0</v>
      </c>
      <c r="N98" s="61">
        <v>0</v>
      </c>
      <c r="O98" s="61">
        <v>0</v>
      </c>
      <c r="P98" s="61">
        <v>0</v>
      </c>
      <c r="Q98" s="61">
        <v>0</v>
      </c>
      <c r="R98" s="61">
        <v>0</v>
      </c>
      <c r="S98" s="61">
        <v>0</v>
      </c>
      <c r="T98" s="61">
        <f>SUM(N98:S98)</f>
        <v>0</v>
      </c>
      <c r="U98" s="61">
        <f>T98+L98</f>
        <v>0</v>
      </c>
      <c r="V98" s="61">
        <f>V93</f>
        <v>0</v>
      </c>
      <c r="W98" s="72">
        <f>V98-U98</f>
        <v>0</v>
      </c>
      <c r="X98" s="63">
        <f>U93-U98</f>
        <v>0</v>
      </c>
    </row>
    <row r="99" spans="1:24" s="63" customFormat="1" ht="18" customHeight="1">
      <c r="A99" s="610"/>
      <c r="B99" s="583"/>
      <c r="C99" s="583"/>
      <c r="D99" s="201" t="str">
        <f>серпень!D99</f>
        <v xml:space="preserve">місцевий </v>
      </c>
      <c r="E99" s="71"/>
      <c r="F99" s="61">
        <f t="shared" ref="F99:K99" si="161">F97-F98</f>
        <v>0</v>
      </c>
      <c r="G99" s="61">
        <f t="shared" si="161"/>
        <v>68.614999999999995</v>
      </c>
      <c r="H99" s="61">
        <f t="shared" si="161"/>
        <v>70.816999999999993</v>
      </c>
      <c r="I99" s="61">
        <f t="shared" si="161"/>
        <v>36.668999999999997</v>
      </c>
      <c r="J99" s="61">
        <f t="shared" si="161"/>
        <v>0</v>
      </c>
      <c r="K99" s="61">
        <f t="shared" si="161"/>
        <v>0</v>
      </c>
      <c r="L99" s="61">
        <f>SUM(F99:K99)</f>
        <v>176.101</v>
      </c>
      <c r="M99" s="61">
        <f>L99/6</f>
        <v>29.35</v>
      </c>
      <c r="N99" s="61">
        <f t="shared" ref="N99:S99" si="162">N97-N98</f>
        <v>0</v>
      </c>
      <c r="O99" s="61">
        <f t="shared" si="162"/>
        <v>0</v>
      </c>
      <c r="P99" s="61">
        <f t="shared" si="162"/>
        <v>0</v>
      </c>
      <c r="Q99" s="61">
        <f t="shared" si="162"/>
        <v>0</v>
      </c>
      <c r="R99" s="61">
        <f t="shared" si="162"/>
        <v>0</v>
      </c>
      <c r="S99" s="61">
        <f t="shared" si="162"/>
        <v>32.820999999999998</v>
      </c>
      <c r="T99" s="61">
        <f>SUM(N99:S99)</f>
        <v>32.820999999999998</v>
      </c>
      <c r="U99" s="61">
        <f>T99+L99</f>
        <v>208.922</v>
      </c>
      <c r="V99" s="61">
        <f>V94</f>
        <v>184.357</v>
      </c>
      <c r="W99" s="72">
        <f>V99-U99</f>
        <v>-24.565000000000001</v>
      </c>
      <c r="X99" s="63">
        <f>U94-U99</f>
        <v>-24.565000000000001</v>
      </c>
    </row>
    <row r="100" spans="1:24" s="43" customFormat="1" ht="18" customHeight="1">
      <c r="A100" s="610"/>
      <c r="B100" s="583"/>
      <c r="C100" s="583"/>
      <c r="D100" s="202" t="str">
        <f>серпень!D100</f>
        <v>план</v>
      </c>
      <c r="E100" s="42"/>
      <c r="F100" s="42">
        <f t="shared" ref="F100:K100" si="163">F93+F94</f>
        <v>0</v>
      </c>
      <c r="G100" s="42">
        <f t="shared" si="163"/>
        <v>68.614999999999995</v>
      </c>
      <c r="H100" s="42">
        <f t="shared" si="163"/>
        <v>70.091999999999999</v>
      </c>
      <c r="I100" s="42">
        <f t="shared" si="163"/>
        <v>37.35</v>
      </c>
      <c r="J100" s="42">
        <f t="shared" si="163"/>
        <v>0</v>
      </c>
      <c r="K100" s="42">
        <f t="shared" si="163"/>
        <v>0</v>
      </c>
      <c r="L100" s="42">
        <f>SUM(F100:K100)</f>
        <v>176.05699999999999</v>
      </c>
      <c r="M100" s="42">
        <f>L100/6</f>
        <v>29.343</v>
      </c>
      <c r="N100" s="42">
        <f t="shared" ref="N100:S100" si="164">N94+N93</f>
        <v>0</v>
      </c>
      <c r="O100" s="42">
        <f t="shared" si="164"/>
        <v>0</v>
      </c>
      <c r="P100" s="42">
        <f t="shared" si="164"/>
        <v>0</v>
      </c>
      <c r="Q100" s="42">
        <f t="shared" si="164"/>
        <v>0</v>
      </c>
      <c r="R100" s="42">
        <f t="shared" si="164"/>
        <v>0</v>
      </c>
      <c r="S100" s="42">
        <f t="shared" si="164"/>
        <v>8.3000000000000007</v>
      </c>
      <c r="T100" s="42">
        <f>SUM(N100:S100)</f>
        <v>8.3000000000000007</v>
      </c>
      <c r="U100" s="42">
        <f>T100+L100</f>
        <v>184.357</v>
      </c>
      <c r="V100" s="42">
        <f>V97</f>
        <v>184.357</v>
      </c>
      <c r="W100" s="42">
        <f>V100-U100</f>
        <v>0</v>
      </c>
    </row>
    <row r="101" spans="1:24" s="43" customFormat="1" ht="18" customHeight="1">
      <c r="A101" s="610"/>
      <c r="B101" s="583"/>
      <c r="C101" s="583"/>
      <c r="D101" s="202" t="str">
        <f>серпень!D101</f>
        <v xml:space="preserve">відхилення </v>
      </c>
      <c r="E101" s="42"/>
      <c r="F101" s="42">
        <f t="shared" ref="F101:K101" si="165">F97-F100</f>
        <v>0</v>
      </c>
      <c r="G101" s="42">
        <f t="shared" si="165"/>
        <v>0</v>
      </c>
      <c r="H101" s="42">
        <f t="shared" si="165"/>
        <v>0.72499999999999998</v>
      </c>
      <c r="I101" s="42">
        <f t="shared" si="165"/>
        <v>-0.68100000000000005</v>
      </c>
      <c r="J101" s="42">
        <f t="shared" si="165"/>
        <v>0</v>
      </c>
      <c r="K101" s="42">
        <f t="shared" si="165"/>
        <v>0</v>
      </c>
      <c r="L101" s="42"/>
      <c r="M101" s="42"/>
      <c r="N101" s="42">
        <f t="shared" ref="N101:S101" si="166">N97-N100</f>
        <v>0</v>
      </c>
      <c r="O101" s="42">
        <f t="shared" si="166"/>
        <v>0</v>
      </c>
      <c r="P101" s="42">
        <f t="shared" si="166"/>
        <v>0</v>
      </c>
      <c r="Q101" s="42">
        <f t="shared" si="166"/>
        <v>0</v>
      </c>
      <c r="R101" s="42">
        <f t="shared" si="166"/>
        <v>0</v>
      </c>
      <c r="S101" s="42">
        <f t="shared" si="166"/>
        <v>24.521000000000001</v>
      </c>
      <c r="T101" s="42"/>
      <c r="U101" s="42"/>
      <c r="V101" s="42"/>
      <c r="W101" s="42"/>
    </row>
    <row r="102" spans="1:24" s="43" customFormat="1" ht="18" customHeight="1">
      <c r="A102" s="610"/>
      <c r="B102" s="583"/>
      <c r="C102" s="584"/>
      <c r="D102" s="202" t="str">
        <f>серпень!D102</f>
        <v>відхилення з наростаючим</v>
      </c>
      <c r="E102" s="42"/>
      <c r="F102" s="42">
        <f>F101</f>
        <v>0</v>
      </c>
      <c r="G102" s="42">
        <f>G101+F102</f>
        <v>0</v>
      </c>
      <c r="H102" s="42">
        <f>H101+G102</f>
        <v>0.72499999999999998</v>
      </c>
      <c r="I102" s="42">
        <f>I101+H102</f>
        <v>4.3999999999999997E-2</v>
      </c>
      <c r="J102" s="42">
        <f>J101+I102</f>
        <v>4.3999999999999997E-2</v>
      </c>
      <c r="K102" s="42">
        <f>K101+J102</f>
        <v>4.3999999999999997E-2</v>
      </c>
      <c r="L102" s="42"/>
      <c r="M102" s="42"/>
      <c r="N102" s="42">
        <f>N101+K102</f>
        <v>4.3999999999999997E-2</v>
      </c>
      <c r="O102" s="42">
        <f>O101+N102</f>
        <v>4.3999999999999997E-2</v>
      </c>
      <c r="P102" s="42">
        <f>P101+O102</f>
        <v>4.3999999999999997E-2</v>
      </c>
      <c r="Q102" s="42">
        <f>Q101+P102</f>
        <v>4.3999999999999997E-2</v>
      </c>
      <c r="R102" s="42">
        <f>R101+Q102</f>
        <v>4.3999999999999997E-2</v>
      </c>
      <c r="S102" s="42">
        <f>S101+R102</f>
        <v>24.565000000000001</v>
      </c>
      <c r="T102" s="42"/>
      <c r="U102" s="42"/>
      <c r="V102" s="42"/>
      <c r="W102" s="42"/>
    </row>
    <row r="103" spans="1:24" s="43" customFormat="1" ht="18" hidden="1" customHeight="1">
      <c r="A103" s="610"/>
      <c r="B103" s="583"/>
      <c r="C103" s="582" t="s">
        <v>96</v>
      </c>
      <c r="D103" s="178" t="str">
        <f>серпень!D103</f>
        <v>факт. нат.п-ки 2023</v>
      </c>
      <c r="E103" s="179"/>
      <c r="F103" s="184"/>
      <c r="G103" s="184"/>
      <c r="H103" s="179"/>
      <c r="I103" s="179"/>
      <c r="J103" s="179"/>
      <c r="K103" s="179"/>
      <c r="L103" s="215">
        <f>SUM(F103:K103)</f>
        <v>0</v>
      </c>
      <c r="M103" s="215">
        <f>L103/6</f>
        <v>0</v>
      </c>
      <c r="N103" s="179"/>
      <c r="O103" s="179"/>
      <c r="P103" s="179"/>
      <c r="Q103" s="179"/>
      <c r="R103" s="179"/>
      <c r="S103" s="179"/>
      <c r="T103" s="215">
        <f>SUM(N103:S103)</f>
        <v>0</v>
      </c>
      <c r="U103" s="215">
        <f>T103+L103</f>
        <v>0</v>
      </c>
      <c r="V103" s="179"/>
      <c r="W103" s="184"/>
    </row>
    <row r="104" spans="1:24" s="43" customFormat="1" ht="18" hidden="1" customHeight="1">
      <c r="A104" s="610"/>
      <c r="B104" s="583"/>
      <c r="C104" s="583"/>
      <c r="D104" s="178" t="str">
        <f>серпень!D104</f>
        <v>факт. нат.п-ки 2024</v>
      </c>
      <c r="E104" s="179"/>
      <c r="F104" s="184"/>
      <c r="G104" s="184"/>
      <c r="H104" s="179"/>
      <c r="I104" s="179"/>
      <c r="J104" s="179"/>
      <c r="K104" s="179"/>
      <c r="L104" s="215">
        <f>SUM(F104:K104)</f>
        <v>0</v>
      </c>
      <c r="M104" s="215">
        <f>L104/6</f>
        <v>0</v>
      </c>
      <c r="N104" s="179"/>
      <c r="O104" s="179"/>
      <c r="P104" s="179"/>
      <c r="Q104" s="179"/>
      <c r="R104" s="179"/>
      <c r="S104" s="179"/>
      <c r="T104" s="215">
        <f>SUM(N104:S104)</f>
        <v>0</v>
      </c>
      <c r="U104" s="215">
        <f>T104+L104</f>
        <v>0</v>
      </c>
      <c r="V104" s="179"/>
      <c r="W104" s="184"/>
    </row>
    <row r="105" spans="1:24" s="205" customFormat="1" ht="23.5" hidden="1" customHeight="1">
      <c r="A105" s="610"/>
      <c r="B105" s="583"/>
      <c r="C105" s="583"/>
      <c r="D105" s="178" t="str">
        <f>серпень!D105</f>
        <v>факт. нат.п-ки 2025</v>
      </c>
      <c r="E105" s="179"/>
      <c r="F105" s="184"/>
      <c r="G105" s="184"/>
      <c r="H105" s="179"/>
      <c r="I105" s="216"/>
      <c r="J105" s="179"/>
      <c r="K105" s="179"/>
      <c r="L105" s="215">
        <f>SUM(F105:K105)</f>
        <v>0</v>
      </c>
      <c r="M105" s="215">
        <f>L105/6</f>
        <v>0</v>
      </c>
      <c r="N105" s="179"/>
      <c r="O105" s="179"/>
      <c r="P105" s="179"/>
      <c r="Q105" s="179"/>
      <c r="R105" s="179"/>
      <c r="S105" s="179"/>
      <c r="T105" s="215">
        <f>SUM(N105:S105)</f>
        <v>0</v>
      </c>
      <c r="U105" s="215">
        <f>T105+L105</f>
        <v>0</v>
      </c>
      <c r="V105" s="179"/>
      <c r="W105" s="184">
        <f>U105-V105</f>
        <v>0</v>
      </c>
    </row>
    <row r="106" spans="1:24" s="205" customFormat="1" ht="23.5" hidden="1" customHeight="1">
      <c r="A106" s="610"/>
      <c r="B106" s="583"/>
      <c r="C106" s="583"/>
      <c r="D106" s="187" t="str">
        <f>серпень!D106</f>
        <v>тариф, грн.</v>
      </c>
      <c r="E106" s="188"/>
      <c r="F106" s="188"/>
      <c r="G106" s="188"/>
      <c r="H106" s="188"/>
      <c r="I106" s="188"/>
      <c r="J106" s="188" t="e">
        <f t="shared" ref="J106:L106" si="167">J107/J105*1000</f>
        <v>#DIV/0!</v>
      </c>
      <c r="K106" s="188" t="e">
        <f t="shared" si="167"/>
        <v>#DIV/0!</v>
      </c>
      <c r="L106" s="188" t="e">
        <f t="shared" si="167"/>
        <v>#DIV/0!</v>
      </c>
      <c r="M106" s="217" t="e">
        <f>M107/M105*1000</f>
        <v>#DIV/0!</v>
      </c>
      <c r="N106" s="188"/>
      <c r="O106" s="188"/>
      <c r="P106" s="218"/>
      <c r="Q106" s="218"/>
      <c r="R106" s="218"/>
      <c r="S106" s="218"/>
      <c r="T106" s="217" t="e">
        <f>T107/T105*1000</f>
        <v>#DIV/0!</v>
      </c>
      <c r="U106" s="217" t="e">
        <f>U107/U105*1000</f>
        <v>#DIV/0!</v>
      </c>
      <c r="V106" s="218" t="e">
        <f>V107/V105*1000</f>
        <v>#DIV/0!</v>
      </c>
      <c r="W106" s="219" t="e">
        <f>W107/W105*1000</f>
        <v>#DIV/0!</v>
      </c>
    </row>
    <row r="107" spans="1:24" s="205" customFormat="1" ht="23.5" hidden="1" customHeight="1">
      <c r="A107" s="610"/>
      <c r="B107" s="583"/>
      <c r="C107" s="583"/>
      <c r="D107" s="191" t="str">
        <f>серпень!D107</f>
        <v>сума, тис.грн.</v>
      </c>
      <c r="E107" s="192"/>
      <c r="F107" s="192"/>
      <c r="G107" s="192"/>
      <c r="H107" s="192"/>
      <c r="I107" s="192"/>
      <c r="J107" s="192"/>
      <c r="K107" s="192"/>
      <c r="L107" s="194">
        <f>SUM(F107:K107)</f>
        <v>0</v>
      </c>
      <c r="M107" s="194">
        <f>L107/6</f>
        <v>0</v>
      </c>
      <c r="N107" s="192"/>
      <c r="O107" s="192"/>
      <c r="P107" s="192"/>
      <c r="Q107" s="192"/>
      <c r="R107" s="192"/>
      <c r="S107" s="192"/>
      <c r="T107" s="194">
        <f>SUM(N107:S107)</f>
        <v>0</v>
      </c>
      <c r="U107" s="194">
        <f>T107+L107</f>
        <v>0</v>
      </c>
      <c r="V107" s="171">
        <f>V108+V109</f>
        <v>0</v>
      </c>
      <c r="W107" s="192">
        <f>V107-U107</f>
        <v>0</v>
      </c>
    </row>
    <row r="108" spans="1:24" s="205" customFormat="1" ht="23.5" hidden="1" customHeight="1">
      <c r="A108" s="610"/>
      <c r="B108" s="583"/>
      <c r="C108" s="583"/>
      <c r="D108" s="174" t="str">
        <f>серпень!D108</f>
        <v>дотація</v>
      </c>
      <c r="E108" s="210"/>
      <c r="F108" s="192"/>
      <c r="G108" s="192"/>
      <c r="H108" s="192"/>
      <c r="I108" s="192"/>
      <c r="J108" s="192"/>
      <c r="K108" s="192"/>
      <c r="L108" s="194">
        <f>SUM(F108:K108)</f>
        <v>0</v>
      </c>
      <c r="M108" s="194">
        <f>L108/6</f>
        <v>0</v>
      </c>
      <c r="N108" s="192"/>
      <c r="O108" s="192"/>
      <c r="P108" s="192"/>
      <c r="Q108" s="192"/>
      <c r="R108" s="192"/>
      <c r="S108" s="192"/>
      <c r="T108" s="194">
        <f>SUM(N108:S108)</f>
        <v>0</v>
      </c>
      <c r="U108" s="194">
        <f>T108+L108</f>
        <v>0</v>
      </c>
      <c r="V108" s="171"/>
      <c r="W108" s="192">
        <f>V108-U108</f>
        <v>0</v>
      </c>
    </row>
    <row r="109" spans="1:24" s="205" customFormat="1" ht="23.5" hidden="1" customHeight="1">
      <c r="A109" s="610"/>
      <c r="B109" s="583"/>
      <c r="C109" s="583"/>
      <c r="D109" s="174" t="str">
        <f>серпень!D109</f>
        <v>місцевий (план), тис.грн</v>
      </c>
      <c r="E109" s="210"/>
      <c r="F109" s="192"/>
      <c r="G109" s="192"/>
      <c r="H109" s="192"/>
      <c r="I109" s="192"/>
      <c r="J109" s="192"/>
      <c r="K109" s="192"/>
      <c r="L109" s="194">
        <f>SUM(F109:K109)</f>
        <v>0</v>
      </c>
      <c r="M109" s="194">
        <f>L109/6</f>
        <v>0</v>
      </c>
      <c r="N109" s="192"/>
      <c r="O109" s="192"/>
      <c r="P109" s="192"/>
      <c r="Q109" s="192"/>
      <c r="R109" s="192"/>
      <c r="S109" s="192"/>
      <c r="T109" s="194">
        <f>SUM(N109:S109)</f>
        <v>0</v>
      </c>
      <c r="U109" s="194">
        <f>T109+L109</f>
        <v>0</v>
      </c>
      <c r="V109" s="171"/>
      <c r="W109" s="192">
        <f>V109-U109</f>
        <v>0</v>
      </c>
    </row>
    <row r="110" spans="1:24" s="205" customFormat="1" ht="23.5" hidden="1" customHeight="1">
      <c r="A110" s="610"/>
      <c r="B110" s="583"/>
      <c r="C110" s="583"/>
      <c r="D110" s="178" t="str">
        <f>серпень!D110</f>
        <v>касові нат.п-ки 2025</v>
      </c>
      <c r="E110" s="179"/>
      <c r="F110" s="184"/>
      <c r="G110" s="184"/>
      <c r="H110" s="179"/>
      <c r="I110" s="179"/>
      <c r="J110" s="216"/>
      <c r="K110" s="179"/>
      <c r="L110" s="215">
        <f>SUM(F110:K110)</f>
        <v>0</v>
      </c>
      <c r="M110" s="215">
        <f>L110/6</f>
        <v>0</v>
      </c>
      <c r="N110" s="179"/>
      <c r="O110" s="179"/>
      <c r="P110" s="179"/>
      <c r="Q110" s="179"/>
      <c r="R110" s="179"/>
      <c r="S110" s="179"/>
      <c r="T110" s="215">
        <f>SUM(N110:S110)</f>
        <v>0</v>
      </c>
      <c r="U110" s="215">
        <f>T110+L110</f>
        <v>0</v>
      </c>
      <c r="V110" s="179">
        <f>V105</f>
        <v>0</v>
      </c>
      <c r="W110" s="184">
        <f>V110-U110</f>
        <v>0</v>
      </c>
      <c r="X110" s="185">
        <f>U105-U110</f>
        <v>0</v>
      </c>
    </row>
    <row r="111" spans="1:24" s="205" customFormat="1" ht="23.5" hidden="1" customHeight="1">
      <c r="A111" s="610"/>
      <c r="B111" s="583"/>
      <c r="C111" s="583"/>
      <c r="D111" s="187" t="str">
        <f>серпень!D111</f>
        <v>тариф, грн.</v>
      </c>
      <c r="E111" s="188" t="e">
        <f t="shared" ref="E111" si="168">E112/E110*1000</f>
        <v>#DIV/0!</v>
      </c>
      <c r="F111" s="188"/>
      <c r="G111" s="188"/>
      <c r="H111" s="188"/>
      <c r="I111" s="188"/>
      <c r="J111" s="188"/>
      <c r="K111" s="188" t="e">
        <f t="shared" ref="K111" si="169">K112/K110*1000</f>
        <v>#DIV/0!</v>
      </c>
      <c r="L111" s="217" t="e">
        <f>L112/L110*1000</f>
        <v>#DIV/0!</v>
      </c>
      <c r="M111" s="217" t="e">
        <f>M112/M110*1000</f>
        <v>#DIV/0!</v>
      </c>
      <c r="N111" s="188"/>
      <c r="O111" s="188"/>
      <c r="P111" s="188"/>
      <c r="Q111" s="218"/>
      <c r="R111" s="218"/>
      <c r="S111" s="218"/>
      <c r="T111" s="217" t="e">
        <f>T112/T110*1000</f>
        <v>#DIV/0!</v>
      </c>
      <c r="U111" s="217" t="e">
        <f>U112/U110*1000</f>
        <v>#DIV/0!</v>
      </c>
      <c r="V111" s="218" t="e">
        <f>V112/V110*1000</f>
        <v>#DIV/0!</v>
      </c>
      <c r="W111" s="219" t="e">
        <f>W112/W110*1000</f>
        <v>#DIV/0!</v>
      </c>
      <c r="X111" s="185"/>
    </row>
    <row r="112" spans="1:24" s="205" customFormat="1" ht="23.5" hidden="1" customHeight="1">
      <c r="A112" s="610"/>
      <c r="B112" s="583"/>
      <c r="C112" s="583"/>
      <c r="D112" s="198" t="str">
        <f>серпень!D112</f>
        <v>касові видатки, тис.грн.</v>
      </c>
      <c r="E112" s="220"/>
      <c r="F112" s="199"/>
      <c r="G112" s="199"/>
      <c r="H112" s="199"/>
      <c r="I112" s="199"/>
      <c r="J112" s="199"/>
      <c r="K112" s="199"/>
      <c r="L112" s="199">
        <f>SUM(F112:K112)</f>
        <v>0</v>
      </c>
      <c r="M112" s="199">
        <f>L112/6</f>
        <v>0</v>
      </c>
      <c r="N112" s="199"/>
      <c r="O112" s="199"/>
      <c r="P112" s="199"/>
      <c r="Q112" s="199"/>
      <c r="R112" s="199"/>
      <c r="S112" s="199"/>
      <c r="T112" s="199">
        <f>SUM(N112:S112)</f>
        <v>0</v>
      </c>
      <c r="U112" s="199">
        <f>T112+L112</f>
        <v>0</v>
      </c>
      <c r="V112" s="199">
        <f>V107</f>
        <v>0</v>
      </c>
      <c r="W112" s="221">
        <f>V112-U112</f>
        <v>0</v>
      </c>
      <c r="X112" s="176">
        <f>U107-U112</f>
        <v>0</v>
      </c>
    </row>
    <row r="113" spans="1:24" s="205" customFormat="1" ht="23.5" hidden="1" customHeight="1">
      <c r="A113" s="610"/>
      <c r="B113" s="583"/>
      <c r="C113" s="583"/>
      <c r="D113" s="201" t="str">
        <f>серпень!D113</f>
        <v>дотація</v>
      </c>
      <c r="E113" s="220"/>
      <c r="F113" s="199">
        <v>0</v>
      </c>
      <c r="G113" s="199">
        <v>0</v>
      </c>
      <c r="H113" s="199">
        <v>0</v>
      </c>
      <c r="I113" s="199">
        <v>0</v>
      </c>
      <c r="J113" s="199">
        <v>0</v>
      </c>
      <c r="K113" s="199">
        <v>0</v>
      </c>
      <c r="L113" s="199">
        <f>SUM(F113:K113)</f>
        <v>0</v>
      </c>
      <c r="M113" s="199">
        <f>L113/6</f>
        <v>0</v>
      </c>
      <c r="N113" s="199">
        <v>0</v>
      </c>
      <c r="O113" s="199">
        <v>0</v>
      </c>
      <c r="P113" s="199">
        <v>0</v>
      </c>
      <c r="Q113" s="199">
        <v>0</v>
      </c>
      <c r="R113" s="199">
        <v>0</v>
      </c>
      <c r="S113" s="199">
        <v>0</v>
      </c>
      <c r="T113" s="199">
        <f>SUM(N113:S113)</f>
        <v>0</v>
      </c>
      <c r="U113" s="199">
        <f>T113+L113</f>
        <v>0</v>
      </c>
      <c r="V113" s="199">
        <f>V108</f>
        <v>0</v>
      </c>
      <c r="W113" s="221">
        <f>V113-U113</f>
        <v>0</v>
      </c>
      <c r="X113" s="176">
        <f>U108-U113</f>
        <v>0</v>
      </c>
    </row>
    <row r="114" spans="1:24" s="205" customFormat="1" ht="23.5" hidden="1" customHeight="1">
      <c r="A114" s="610"/>
      <c r="B114" s="583"/>
      <c r="C114" s="583"/>
      <c r="D114" s="201" t="str">
        <f>серпень!D114</f>
        <v xml:space="preserve">місцевий </v>
      </c>
      <c r="E114" s="220"/>
      <c r="F114" s="199">
        <f t="shared" ref="F114:K114" si="170">F112-F113</f>
        <v>0</v>
      </c>
      <c r="G114" s="199">
        <f t="shared" si="170"/>
        <v>0</v>
      </c>
      <c r="H114" s="199">
        <f t="shared" si="170"/>
        <v>0</v>
      </c>
      <c r="I114" s="199">
        <f t="shared" si="170"/>
        <v>0</v>
      </c>
      <c r="J114" s="199">
        <f t="shared" si="170"/>
        <v>0</v>
      </c>
      <c r="K114" s="199">
        <f t="shared" si="170"/>
        <v>0</v>
      </c>
      <c r="L114" s="199">
        <f>SUM(F114:K114)</f>
        <v>0</v>
      </c>
      <c r="M114" s="199">
        <f>L114/6</f>
        <v>0</v>
      </c>
      <c r="N114" s="199">
        <f t="shared" ref="N114:S114" si="171">N112-N113</f>
        <v>0</v>
      </c>
      <c r="O114" s="199">
        <f t="shared" si="171"/>
        <v>0</v>
      </c>
      <c r="P114" s="199">
        <f t="shared" si="171"/>
        <v>0</v>
      </c>
      <c r="Q114" s="199">
        <f t="shared" si="171"/>
        <v>0</v>
      </c>
      <c r="R114" s="199">
        <f t="shared" si="171"/>
        <v>0</v>
      </c>
      <c r="S114" s="199">
        <f t="shared" si="171"/>
        <v>0</v>
      </c>
      <c r="T114" s="199">
        <f>SUM(N114:S114)</f>
        <v>0</v>
      </c>
      <c r="U114" s="199">
        <f>T114+L114</f>
        <v>0</v>
      </c>
      <c r="V114" s="199">
        <f>V109</f>
        <v>0</v>
      </c>
      <c r="W114" s="221">
        <f>V114-U114</f>
        <v>0</v>
      </c>
      <c r="X114" s="176">
        <f>U109-U114</f>
        <v>0</v>
      </c>
    </row>
    <row r="115" spans="1:24" s="43" customFormat="1" ht="18" hidden="1" customHeight="1">
      <c r="A115" s="610"/>
      <c r="B115" s="583"/>
      <c r="C115" s="583"/>
      <c r="D115" s="202" t="str">
        <f>серпень!D115</f>
        <v>план</v>
      </c>
      <c r="E115" s="203"/>
      <c r="F115" s="203">
        <f t="shared" ref="F115:K115" si="172">F108+F109</f>
        <v>0</v>
      </c>
      <c r="G115" s="203">
        <f t="shared" si="172"/>
        <v>0</v>
      </c>
      <c r="H115" s="203">
        <f t="shared" si="172"/>
        <v>0</v>
      </c>
      <c r="I115" s="203">
        <f t="shared" si="172"/>
        <v>0</v>
      </c>
      <c r="J115" s="203">
        <f t="shared" si="172"/>
        <v>0</v>
      </c>
      <c r="K115" s="203">
        <f t="shared" si="172"/>
        <v>0</v>
      </c>
      <c r="L115" s="203">
        <f>SUM(F115:K115)</f>
        <v>0</v>
      </c>
      <c r="M115" s="203">
        <f>L115/6</f>
        <v>0</v>
      </c>
      <c r="N115" s="203">
        <f t="shared" ref="N115:S115" si="173">N109+N108</f>
        <v>0</v>
      </c>
      <c r="O115" s="203">
        <f t="shared" si="173"/>
        <v>0</v>
      </c>
      <c r="P115" s="203">
        <f t="shared" si="173"/>
        <v>0</v>
      </c>
      <c r="Q115" s="203">
        <f t="shared" si="173"/>
        <v>0</v>
      </c>
      <c r="R115" s="203">
        <f t="shared" si="173"/>
        <v>0</v>
      </c>
      <c r="S115" s="203">
        <f t="shared" si="173"/>
        <v>0</v>
      </c>
      <c r="T115" s="203">
        <f>SUM(N115:S115)</f>
        <v>0</v>
      </c>
      <c r="U115" s="203">
        <f>T115+L115</f>
        <v>0</v>
      </c>
      <c r="V115" s="203">
        <f>V112</f>
        <v>0</v>
      </c>
      <c r="W115" s="203">
        <f>V115-U115</f>
        <v>0</v>
      </c>
    </row>
    <row r="116" spans="1:24" s="43" customFormat="1" ht="18" hidden="1" customHeight="1">
      <c r="A116" s="610"/>
      <c r="B116" s="583"/>
      <c r="C116" s="583"/>
      <c r="D116" s="202" t="str">
        <f>серпень!D116</f>
        <v xml:space="preserve">відхилення </v>
      </c>
      <c r="E116" s="203"/>
      <c r="F116" s="203">
        <f t="shared" ref="F116:K116" si="174">F112-F115</f>
        <v>0</v>
      </c>
      <c r="G116" s="203">
        <f t="shared" si="174"/>
        <v>0</v>
      </c>
      <c r="H116" s="203">
        <f t="shared" si="174"/>
        <v>0</v>
      </c>
      <c r="I116" s="203">
        <f t="shared" si="174"/>
        <v>0</v>
      </c>
      <c r="J116" s="203">
        <f t="shared" si="174"/>
        <v>0</v>
      </c>
      <c r="K116" s="203">
        <f t="shared" si="174"/>
        <v>0</v>
      </c>
      <c r="L116" s="203"/>
      <c r="M116" s="203"/>
      <c r="N116" s="203">
        <f t="shared" ref="N116:S116" si="175">N112-N115</f>
        <v>0</v>
      </c>
      <c r="O116" s="203">
        <f t="shared" si="175"/>
        <v>0</v>
      </c>
      <c r="P116" s="203">
        <f t="shared" si="175"/>
        <v>0</v>
      </c>
      <c r="Q116" s="203">
        <f t="shared" si="175"/>
        <v>0</v>
      </c>
      <c r="R116" s="203">
        <f t="shared" si="175"/>
        <v>0</v>
      </c>
      <c r="S116" s="203">
        <f t="shared" si="175"/>
        <v>0</v>
      </c>
      <c r="T116" s="203"/>
      <c r="U116" s="203"/>
      <c r="V116" s="203"/>
      <c r="W116" s="203"/>
    </row>
    <row r="117" spans="1:24" s="43" customFormat="1" ht="18" hidden="1" customHeight="1">
      <c r="A117" s="610"/>
      <c r="B117" s="583"/>
      <c r="C117" s="584"/>
      <c r="D117" s="202" t="str">
        <f>серпень!D117</f>
        <v>відхилення з наростаючим</v>
      </c>
      <c r="E117" s="203"/>
      <c r="F117" s="203">
        <f>F116</f>
        <v>0</v>
      </c>
      <c r="G117" s="203">
        <f>G116+F117</f>
        <v>0</v>
      </c>
      <c r="H117" s="203">
        <f>H116+G117</f>
        <v>0</v>
      </c>
      <c r="I117" s="203">
        <f>I116+H117</f>
        <v>0</v>
      </c>
      <c r="J117" s="203">
        <f>J116+I117</f>
        <v>0</v>
      </c>
      <c r="K117" s="203">
        <f>K116+J117</f>
        <v>0</v>
      </c>
      <c r="L117" s="203"/>
      <c r="M117" s="203"/>
      <c r="N117" s="203">
        <f>N116+K117</f>
        <v>0</v>
      </c>
      <c r="O117" s="203">
        <f>O116+N117</f>
        <v>0</v>
      </c>
      <c r="P117" s="203">
        <f>P116+O117</f>
        <v>0</v>
      </c>
      <c r="Q117" s="203">
        <f>Q116+P117</f>
        <v>0</v>
      </c>
      <c r="R117" s="203">
        <f>R116+Q117</f>
        <v>0</v>
      </c>
      <c r="S117" s="203">
        <f>S116+R117</f>
        <v>0</v>
      </c>
      <c r="T117" s="203"/>
      <c r="U117" s="203"/>
      <c r="V117" s="203"/>
      <c r="W117" s="203"/>
    </row>
    <row r="118" spans="1:24" s="43" customFormat="1" ht="18" hidden="1" customHeight="1">
      <c r="A118" s="610"/>
      <c r="B118" s="581" t="s">
        <v>57</v>
      </c>
      <c r="C118" s="582" t="s">
        <v>98</v>
      </c>
      <c r="D118" s="178" t="str">
        <f>серпень!D118</f>
        <v>факт. нат.п-ки 2023</v>
      </c>
      <c r="E118" s="179"/>
      <c r="F118" s="184"/>
      <c r="G118" s="184"/>
      <c r="H118" s="179"/>
      <c r="I118" s="179"/>
      <c r="J118" s="179"/>
      <c r="K118" s="179"/>
      <c r="L118" s="215">
        <f>SUM(F118:K118)</f>
        <v>0</v>
      </c>
      <c r="M118" s="215">
        <f>L118/6</f>
        <v>0</v>
      </c>
      <c r="N118" s="179"/>
      <c r="O118" s="179"/>
      <c r="P118" s="179"/>
      <c r="Q118" s="179"/>
      <c r="R118" s="179"/>
      <c r="S118" s="179"/>
      <c r="T118" s="215">
        <f>SUM(N118:S118)</f>
        <v>0</v>
      </c>
      <c r="U118" s="215">
        <f>T118+L118</f>
        <v>0</v>
      </c>
      <c r="V118" s="179"/>
      <c r="W118" s="184"/>
    </row>
    <row r="119" spans="1:24" s="43" customFormat="1" ht="18" hidden="1" customHeight="1">
      <c r="A119" s="610"/>
      <c r="B119" s="581"/>
      <c r="C119" s="583"/>
      <c r="D119" s="178" t="str">
        <f>серпень!D119</f>
        <v>факт. нат.п-ки 2024</v>
      </c>
      <c r="E119" s="179"/>
      <c r="F119" s="184"/>
      <c r="G119" s="184"/>
      <c r="H119" s="179"/>
      <c r="I119" s="179"/>
      <c r="J119" s="179"/>
      <c r="K119" s="179"/>
      <c r="L119" s="215">
        <f>SUM(F119:K119)</f>
        <v>0</v>
      </c>
      <c r="M119" s="215">
        <f>L119/6</f>
        <v>0</v>
      </c>
      <c r="N119" s="179"/>
      <c r="O119" s="179"/>
      <c r="P119" s="179"/>
      <c r="Q119" s="179"/>
      <c r="R119" s="179"/>
      <c r="S119" s="179"/>
      <c r="T119" s="215">
        <f>SUM(N119:S119)</f>
        <v>0</v>
      </c>
      <c r="U119" s="215">
        <f>T119+L119</f>
        <v>0</v>
      </c>
      <c r="V119" s="179"/>
      <c r="W119" s="184"/>
    </row>
    <row r="120" spans="1:24" s="43" customFormat="1" ht="18" hidden="1" customHeight="1">
      <c r="A120" s="610"/>
      <c r="B120" s="581"/>
      <c r="C120" s="583"/>
      <c r="D120" s="178" t="str">
        <f>серпень!D120</f>
        <v>факт. нат.п-ки 2025</v>
      </c>
      <c r="E120" s="179"/>
      <c r="F120" s="184"/>
      <c r="G120" s="184"/>
      <c r="H120" s="179"/>
      <c r="I120" s="216"/>
      <c r="J120" s="179"/>
      <c r="K120" s="179"/>
      <c r="L120" s="215">
        <f>SUM(F120:K120)</f>
        <v>0</v>
      </c>
      <c r="M120" s="215">
        <f>L120/6</f>
        <v>0</v>
      </c>
      <c r="N120" s="179"/>
      <c r="O120" s="179"/>
      <c r="P120" s="179"/>
      <c r="Q120" s="179"/>
      <c r="R120" s="179"/>
      <c r="S120" s="179"/>
      <c r="T120" s="215">
        <f>SUM(N120:S120)</f>
        <v>0</v>
      </c>
      <c r="U120" s="215">
        <f>T120+L120</f>
        <v>0</v>
      </c>
      <c r="V120" s="179"/>
      <c r="W120" s="184">
        <f>U120-V120</f>
        <v>0</v>
      </c>
    </row>
    <row r="121" spans="1:24" s="43" customFormat="1" ht="18" hidden="1" customHeight="1">
      <c r="A121" s="610"/>
      <c r="B121" s="581"/>
      <c r="C121" s="583"/>
      <c r="D121" s="187" t="str">
        <f>серпень!D121</f>
        <v>тариф, грн.</v>
      </c>
      <c r="E121" s="188"/>
      <c r="F121" s="188"/>
      <c r="G121" s="188"/>
      <c r="H121" s="188"/>
      <c r="I121" s="188"/>
      <c r="J121" s="188"/>
      <c r="K121" s="188"/>
      <c r="L121" s="217" t="e">
        <f>L122/L120*1000</f>
        <v>#DIV/0!</v>
      </c>
      <c r="M121" s="217" t="e">
        <f>M122/M120*1000</f>
        <v>#DIV/0!</v>
      </c>
      <c r="N121" s="188"/>
      <c r="O121" s="188"/>
      <c r="P121" s="188"/>
      <c r="Q121" s="188"/>
      <c r="R121" s="188"/>
      <c r="S121" s="188"/>
      <c r="T121" s="217" t="e">
        <f>T122/T120*1000</f>
        <v>#DIV/0!</v>
      </c>
      <c r="U121" s="217" t="e">
        <f>U122/U120*1000</f>
        <v>#DIV/0!</v>
      </c>
      <c r="V121" s="218" t="e">
        <f>V122/V120*1000</f>
        <v>#DIV/0!</v>
      </c>
      <c r="W121" s="219" t="e">
        <f>W122/W120*1000</f>
        <v>#DIV/0!</v>
      </c>
    </row>
    <row r="122" spans="1:24" s="43" customFormat="1" ht="18" hidden="1" customHeight="1">
      <c r="A122" s="610"/>
      <c r="B122" s="581"/>
      <c r="C122" s="583"/>
      <c r="D122" s="191" t="str">
        <f>серпень!D122</f>
        <v>сума, тис.грн.</v>
      </c>
      <c r="E122" s="192"/>
      <c r="F122" s="192"/>
      <c r="G122" s="192"/>
      <c r="H122" s="192"/>
      <c r="I122" s="192"/>
      <c r="J122" s="192"/>
      <c r="K122" s="192"/>
      <c r="L122" s="194">
        <f>SUM(F122:K122)</f>
        <v>0</v>
      </c>
      <c r="M122" s="194">
        <f>L122/6</f>
        <v>0</v>
      </c>
      <c r="N122" s="192"/>
      <c r="O122" s="192"/>
      <c r="P122" s="192"/>
      <c r="Q122" s="192"/>
      <c r="R122" s="192"/>
      <c r="S122" s="192"/>
      <c r="T122" s="194">
        <f>SUM(N122:S122)</f>
        <v>0</v>
      </c>
      <c r="U122" s="194">
        <f>T122+L122</f>
        <v>0</v>
      </c>
      <c r="V122" s="171">
        <f>V123+V124</f>
        <v>0</v>
      </c>
      <c r="W122" s="192">
        <f>V122-U122</f>
        <v>0</v>
      </c>
    </row>
    <row r="123" spans="1:24" s="43" customFormat="1" ht="18" hidden="1" customHeight="1">
      <c r="A123" s="610"/>
      <c r="B123" s="581"/>
      <c r="C123" s="583"/>
      <c r="D123" s="174" t="str">
        <f>серпень!D123</f>
        <v>дотація</v>
      </c>
      <c r="E123" s="210"/>
      <c r="F123" s="192"/>
      <c r="G123" s="192"/>
      <c r="H123" s="192"/>
      <c r="I123" s="192"/>
      <c r="J123" s="192"/>
      <c r="K123" s="192"/>
      <c r="L123" s="194">
        <f>SUM(F123:K123)</f>
        <v>0</v>
      </c>
      <c r="M123" s="194">
        <f>L123/6</f>
        <v>0</v>
      </c>
      <c r="N123" s="192"/>
      <c r="O123" s="192"/>
      <c r="P123" s="192"/>
      <c r="Q123" s="192"/>
      <c r="R123" s="192"/>
      <c r="S123" s="192"/>
      <c r="T123" s="194">
        <f>SUM(N123:S123)</f>
        <v>0</v>
      </c>
      <c r="U123" s="194">
        <f>T123+L123</f>
        <v>0</v>
      </c>
      <c r="V123" s="171"/>
      <c r="W123" s="192">
        <f>V123-U123</f>
        <v>0</v>
      </c>
    </row>
    <row r="124" spans="1:24" s="43" customFormat="1" ht="18" hidden="1" customHeight="1">
      <c r="A124" s="610"/>
      <c r="B124" s="581"/>
      <c r="C124" s="583"/>
      <c r="D124" s="174" t="str">
        <f>серпень!D124</f>
        <v>місцевий (план), тис.грн</v>
      </c>
      <c r="E124" s="210"/>
      <c r="F124" s="192"/>
      <c r="G124" s="192"/>
      <c r="H124" s="192"/>
      <c r="I124" s="192"/>
      <c r="J124" s="192"/>
      <c r="K124" s="192"/>
      <c r="L124" s="194">
        <f>SUM(F124:K124)</f>
        <v>0</v>
      </c>
      <c r="M124" s="194">
        <f>L124/6</f>
        <v>0</v>
      </c>
      <c r="N124" s="192"/>
      <c r="O124" s="192"/>
      <c r="P124" s="192"/>
      <c r="Q124" s="192"/>
      <c r="R124" s="192"/>
      <c r="S124" s="192"/>
      <c r="T124" s="194">
        <f>SUM(N124:S124)</f>
        <v>0</v>
      </c>
      <c r="U124" s="194">
        <f>T124+L124</f>
        <v>0</v>
      </c>
      <c r="V124" s="171"/>
      <c r="W124" s="192">
        <f>V124-U124</f>
        <v>0</v>
      </c>
    </row>
    <row r="125" spans="1:24" s="43" customFormat="1" ht="18" hidden="1" customHeight="1">
      <c r="A125" s="610"/>
      <c r="B125" s="581"/>
      <c r="C125" s="583"/>
      <c r="D125" s="178" t="str">
        <f>серпень!D125</f>
        <v>касові нат.п-ки 2025</v>
      </c>
      <c r="E125" s="179"/>
      <c r="F125" s="184"/>
      <c r="G125" s="184"/>
      <c r="H125" s="179"/>
      <c r="I125" s="179"/>
      <c r="J125" s="216"/>
      <c r="K125" s="179"/>
      <c r="L125" s="215">
        <f>SUM(F125:K125)</f>
        <v>0</v>
      </c>
      <c r="M125" s="215">
        <f>L125/6</f>
        <v>0</v>
      </c>
      <c r="N125" s="179"/>
      <c r="O125" s="179"/>
      <c r="P125" s="179"/>
      <c r="Q125" s="179"/>
      <c r="R125" s="179"/>
      <c r="S125" s="179"/>
      <c r="T125" s="215">
        <f>SUM(N125:S125)</f>
        <v>0</v>
      </c>
      <c r="U125" s="215">
        <f>T125+L125</f>
        <v>0</v>
      </c>
      <c r="V125" s="179">
        <f>V120</f>
        <v>0</v>
      </c>
      <c r="W125" s="184">
        <f>V125-U125</f>
        <v>0</v>
      </c>
    </row>
    <row r="126" spans="1:24" s="43" customFormat="1" ht="18" hidden="1" customHeight="1">
      <c r="A126" s="610"/>
      <c r="B126" s="581"/>
      <c r="C126" s="583"/>
      <c r="D126" s="187" t="str">
        <f>серпень!D126</f>
        <v>тариф, грн.</v>
      </c>
      <c r="E126" s="188" t="e">
        <f t="shared" ref="E126" si="176">E127/E125*1000</f>
        <v>#DIV/0!</v>
      </c>
      <c r="F126" s="188"/>
      <c r="G126" s="188"/>
      <c r="H126" s="188"/>
      <c r="I126" s="188"/>
      <c r="J126" s="188"/>
      <c r="K126" s="188"/>
      <c r="L126" s="217" t="e">
        <f>L127/L125*1000</f>
        <v>#DIV/0!</v>
      </c>
      <c r="M126" s="217" t="e">
        <f>M127/M125*1000</f>
        <v>#DIV/0!</v>
      </c>
      <c r="N126" s="188"/>
      <c r="O126" s="188"/>
      <c r="P126" s="188"/>
      <c r="Q126" s="188"/>
      <c r="R126" s="188"/>
      <c r="S126" s="188"/>
      <c r="T126" s="217" t="e">
        <f>T127/T125*1000</f>
        <v>#DIV/0!</v>
      </c>
      <c r="U126" s="217" t="e">
        <f>U127/U125*1000</f>
        <v>#DIV/0!</v>
      </c>
      <c r="V126" s="218" t="e">
        <f>V127/V125*1000</f>
        <v>#DIV/0!</v>
      </c>
      <c r="W126" s="219" t="e">
        <f>W127/W125*1000</f>
        <v>#DIV/0!</v>
      </c>
    </row>
    <row r="127" spans="1:24" s="43" customFormat="1" ht="18" hidden="1" customHeight="1">
      <c r="A127" s="610"/>
      <c r="B127" s="581"/>
      <c r="C127" s="583"/>
      <c r="D127" s="198" t="str">
        <f>серпень!D127</f>
        <v>касові видатки, тис.грн.</v>
      </c>
      <c r="E127" s="220"/>
      <c r="F127" s="199"/>
      <c r="G127" s="199"/>
      <c r="H127" s="199"/>
      <c r="I127" s="199"/>
      <c r="J127" s="199"/>
      <c r="K127" s="199"/>
      <c r="L127" s="199">
        <f>SUM(F127:K127)</f>
        <v>0</v>
      </c>
      <c r="M127" s="199">
        <f>L127/6</f>
        <v>0</v>
      </c>
      <c r="N127" s="199"/>
      <c r="O127" s="199"/>
      <c r="P127" s="199"/>
      <c r="Q127" s="199"/>
      <c r="R127" s="199"/>
      <c r="S127" s="199"/>
      <c r="T127" s="199">
        <f>SUM(N127:S127)</f>
        <v>0</v>
      </c>
      <c r="U127" s="199">
        <f>T127+L127</f>
        <v>0</v>
      </c>
      <c r="V127" s="199">
        <f>V122</f>
        <v>0</v>
      </c>
      <c r="W127" s="221">
        <f>V127-U127</f>
        <v>0</v>
      </c>
    </row>
    <row r="128" spans="1:24" s="43" customFormat="1" ht="18" hidden="1" customHeight="1">
      <c r="A128" s="610"/>
      <c r="B128" s="581"/>
      <c r="C128" s="583"/>
      <c r="D128" s="201" t="str">
        <f>серпень!D128</f>
        <v>дотація</v>
      </c>
      <c r="E128" s="220"/>
      <c r="F128" s="199"/>
      <c r="G128" s="199"/>
      <c r="H128" s="199"/>
      <c r="I128" s="199"/>
      <c r="J128" s="199"/>
      <c r="K128" s="199"/>
      <c r="L128" s="199">
        <f>SUM(F128:K128)</f>
        <v>0</v>
      </c>
      <c r="M128" s="199">
        <f>L128/6</f>
        <v>0</v>
      </c>
      <c r="N128" s="199"/>
      <c r="O128" s="199"/>
      <c r="P128" s="199"/>
      <c r="Q128" s="199"/>
      <c r="R128" s="199"/>
      <c r="S128" s="199"/>
      <c r="T128" s="199">
        <f>SUM(N128:S128)</f>
        <v>0</v>
      </c>
      <c r="U128" s="199">
        <f>T128+L128</f>
        <v>0</v>
      </c>
      <c r="V128" s="199">
        <f>V123</f>
        <v>0</v>
      </c>
      <c r="W128" s="221">
        <f>V128-U128</f>
        <v>0</v>
      </c>
    </row>
    <row r="129" spans="1:24" s="43" customFormat="1" ht="18" hidden="1" customHeight="1">
      <c r="A129" s="610"/>
      <c r="B129" s="581"/>
      <c r="C129" s="583"/>
      <c r="D129" s="201" t="str">
        <f>серпень!D129</f>
        <v xml:space="preserve">місцевий </v>
      </c>
      <c r="E129" s="220"/>
      <c r="F129" s="199"/>
      <c r="G129" s="199"/>
      <c r="H129" s="199"/>
      <c r="I129" s="199"/>
      <c r="J129" s="199"/>
      <c r="K129" s="199"/>
      <c r="L129" s="199">
        <f>SUM(F129:K129)</f>
        <v>0</v>
      </c>
      <c r="M129" s="199">
        <f>L129/6</f>
        <v>0</v>
      </c>
      <c r="N129" s="199"/>
      <c r="O129" s="199"/>
      <c r="P129" s="199"/>
      <c r="Q129" s="199"/>
      <c r="R129" s="199"/>
      <c r="S129" s="199"/>
      <c r="T129" s="199">
        <f>SUM(N129:S129)</f>
        <v>0</v>
      </c>
      <c r="U129" s="199">
        <f>T129+L129</f>
        <v>0</v>
      </c>
      <c r="V129" s="199">
        <f>V124</f>
        <v>0</v>
      </c>
      <c r="W129" s="221">
        <f>V129-U129</f>
        <v>0</v>
      </c>
    </row>
    <row r="130" spans="1:24" s="43" customFormat="1" ht="18" hidden="1" customHeight="1">
      <c r="A130" s="610"/>
      <c r="B130" s="581"/>
      <c r="C130" s="583"/>
      <c r="D130" s="202" t="str">
        <f>серпень!D130</f>
        <v>план</v>
      </c>
      <c r="E130" s="203"/>
      <c r="F130" s="203">
        <f t="shared" ref="F130:K130" si="177">F123+F124</f>
        <v>0</v>
      </c>
      <c r="G130" s="203">
        <f t="shared" si="177"/>
        <v>0</v>
      </c>
      <c r="H130" s="203">
        <f t="shared" si="177"/>
        <v>0</v>
      </c>
      <c r="I130" s="203">
        <f t="shared" si="177"/>
        <v>0</v>
      </c>
      <c r="J130" s="203">
        <f t="shared" si="177"/>
        <v>0</v>
      </c>
      <c r="K130" s="203">
        <f t="shared" si="177"/>
        <v>0</v>
      </c>
      <c r="L130" s="203">
        <f>SUM(F130:K130)</f>
        <v>0</v>
      </c>
      <c r="M130" s="203">
        <f>L130/6</f>
        <v>0</v>
      </c>
      <c r="N130" s="203">
        <f t="shared" ref="N130:S130" si="178">N124+N123</f>
        <v>0</v>
      </c>
      <c r="O130" s="203">
        <f t="shared" si="178"/>
        <v>0</v>
      </c>
      <c r="P130" s="203">
        <f t="shared" si="178"/>
        <v>0</v>
      </c>
      <c r="Q130" s="203">
        <f t="shared" si="178"/>
        <v>0</v>
      </c>
      <c r="R130" s="203">
        <f t="shared" si="178"/>
        <v>0</v>
      </c>
      <c r="S130" s="203">
        <f t="shared" si="178"/>
        <v>0</v>
      </c>
      <c r="T130" s="203">
        <f>SUM(N130:S130)</f>
        <v>0</v>
      </c>
      <c r="U130" s="203">
        <f>T130+L130</f>
        <v>0</v>
      </c>
      <c r="V130" s="203">
        <f>V127</f>
        <v>0</v>
      </c>
      <c r="W130" s="203">
        <f>V130-U130</f>
        <v>0</v>
      </c>
    </row>
    <row r="131" spans="1:24" s="43" customFormat="1" ht="18" hidden="1" customHeight="1">
      <c r="A131" s="610"/>
      <c r="B131" s="581"/>
      <c r="C131" s="583"/>
      <c r="D131" s="202" t="str">
        <f>серпень!D131</f>
        <v xml:space="preserve">відхилення </v>
      </c>
      <c r="E131" s="203"/>
      <c r="F131" s="203">
        <f t="shared" ref="F131:K131" si="179">F127-F130</f>
        <v>0</v>
      </c>
      <c r="G131" s="203">
        <f t="shared" si="179"/>
        <v>0</v>
      </c>
      <c r="H131" s="203">
        <f t="shared" si="179"/>
        <v>0</v>
      </c>
      <c r="I131" s="203">
        <f t="shared" si="179"/>
        <v>0</v>
      </c>
      <c r="J131" s="203">
        <f t="shared" si="179"/>
        <v>0</v>
      </c>
      <c r="K131" s="203">
        <f t="shared" si="179"/>
        <v>0</v>
      </c>
      <c r="L131" s="203"/>
      <c r="M131" s="203"/>
      <c r="N131" s="203">
        <f t="shared" ref="N131:S131" si="180">N127-N130</f>
        <v>0</v>
      </c>
      <c r="O131" s="203">
        <f t="shared" si="180"/>
        <v>0</v>
      </c>
      <c r="P131" s="203">
        <f t="shared" si="180"/>
        <v>0</v>
      </c>
      <c r="Q131" s="203">
        <f t="shared" si="180"/>
        <v>0</v>
      </c>
      <c r="R131" s="203">
        <f t="shared" si="180"/>
        <v>0</v>
      </c>
      <c r="S131" s="203">
        <f t="shared" si="180"/>
        <v>0</v>
      </c>
      <c r="T131" s="203"/>
      <c r="U131" s="203"/>
      <c r="V131" s="203"/>
      <c r="W131" s="203"/>
    </row>
    <row r="132" spans="1:24" s="43" customFormat="1" ht="27.1" hidden="1" customHeight="1">
      <c r="A132" s="610"/>
      <c r="B132" s="581"/>
      <c r="C132" s="584"/>
      <c r="D132" s="202" t="str">
        <f>серпень!D132</f>
        <v>відхилення з наростаючим</v>
      </c>
      <c r="E132" s="203"/>
      <c r="F132" s="203">
        <f>F131</f>
        <v>0</v>
      </c>
      <c r="G132" s="203">
        <f>G131+F132</f>
        <v>0</v>
      </c>
      <c r="H132" s="203">
        <f>H131+G132</f>
        <v>0</v>
      </c>
      <c r="I132" s="203">
        <f>I131+H132</f>
        <v>0</v>
      </c>
      <c r="J132" s="203">
        <f>J131+I132</f>
        <v>0</v>
      </c>
      <c r="K132" s="203">
        <f>K131+J132</f>
        <v>0</v>
      </c>
      <c r="L132" s="203"/>
      <c r="M132" s="203"/>
      <c r="N132" s="203">
        <f>N131+K132</f>
        <v>0</v>
      </c>
      <c r="O132" s="203">
        <f>O131+N132</f>
        <v>0</v>
      </c>
      <c r="P132" s="203">
        <f>P131+O132</f>
        <v>0</v>
      </c>
      <c r="Q132" s="203">
        <f>Q131+P132</f>
        <v>0</v>
      </c>
      <c r="R132" s="203">
        <f>R131+Q132</f>
        <v>0</v>
      </c>
      <c r="S132" s="203">
        <f>S131+R132</f>
        <v>0</v>
      </c>
      <c r="T132" s="203"/>
      <c r="U132" s="203"/>
      <c r="V132" s="203"/>
      <c r="W132" s="203"/>
    </row>
    <row r="133" spans="1:24" s="47" customFormat="1" ht="18" hidden="1" customHeight="1">
      <c r="A133" s="610"/>
      <c r="B133" s="581"/>
      <c r="C133" s="582" t="s">
        <v>99</v>
      </c>
      <c r="D133" s="178" t="str">
        <f>серпень!D133</f>
        <v>факт. нат.п-ки 2023</v>
      </c>
      <c r="E133" s="11"/>
      <c r="F133" s="12"/>
      <c r="G133" s="12"/>
      <c r="H133" s="12"/>
      <c r="I133" s="12"/>
      <c r="J133" s="12"/>
      <c r="K133" s="12"/>
      <c r="L133" s="65">
        <f>SUM(F133:K133)</f>
        <v>0</v>
      </c>
      <c r="M133" s="65">
        <f>L133/6</f>
        <v>0</v>
      </c>
      <c r="N133" s="12"/>
      <c r="O133" s="12"/>
      <c r="P133" s="12"/>
      <c r="Q133" s="12"/>
      <c r="R133" s="12"/>
      <c r="S133" s="12"/>
      <c r="T133" s="65">
        <f>SUM(N133:S133)</f>
        <v>0</v>
      </c>
      <c r="U133" s="65">
        <f>T133+L133</f>
        <v>0</v>
      </c>
      <c r="V133" s="67"/>
      <c r="W133" s="38"/>
    </row>
    <row r="134" spans="1:24" s="47" customFormat="1" ht="18" hidden="1" customHeight="1">
      <c r="A134" s="610"/>
      <c r="B134" s="581"/>
      <c r="C134" s="583"/>
      <c r="D134" s="178" t="str">
        <f>серпень!D134</f>
        <v>факт. нат.п-ки 2024</v>
      </c>
      <c r="E134" s="11"/>
      <c r="F134" s="12"/>
      <c r="G134" s="12"/>
      <c r="H134" s="12"/>
      <c r="I134" s="12"/>
      <c r="J134" s="12"/>
      <c r="K134" s="12"/>
      <c r="L134" s="65">
        <f>SUM(F134:K134)</f>
        <v>0</v>
      </c>
      <c r="M134" s="65">
        <f>L134/6</f>
        <v>0</v>
      </c>
      <c r="N134" s="11"/>
      <c r="O134" s="11"/>
      <c r="P134" s="11"/>
      <c r="Q134" s="11"/>
      <c r="R134" s="11"/>
      <c r="S134" s="11"/>
      <c r="T134" s="65">
        <f>SUM(N134:S134)</f>
        <v>0</v>
      </c>
      <c r="U134" s="65">
        <f>T134+L134</f>
        <v>0</v>
      </c>
      <c r="V134" s="67"/>
      <c r="W134" s="38"/>
    </row>
    <row r="135" spans="1:24" s="47" customFormat="1" ht="18" hidden="1" customHeight="1">
      <c r="A135" s="610"/>
      <c r="B135" s="581"/>
      <c r="C135" s="583"/>
      <c r="D135" s="178" t="str">
        <f>серпень!D135</f>
        <v>факт. нат.п-ки 2025</v>
      </c>
      <c r="E135" s="11"/>
      <c r="F135" s="12"/>
      <c r="G135" s="12"/>
      <c r="H135" s="12"/>
      <c r="I135" s="12"/>
      <c r="J135" s="12"/>
      <c r="K135" s="12"/>
      <c r="L135" s="65">
        <f>SUM(F135:K135)</f>
        <v>0</v>
      </c>
      <c r="M135" s="65">
        <f>L135/6</f>
        <v>0</v>
      </c>
      <c r="N135" s="12"/>
      <c r="O135" s="12"/>
      <c r="P135" s="12"/>
      <c r="Q135" s="12"/>
      <c r="R135" s="12"/>
      <c r="S135" s="11"/>
      <c r="T135" s="65">
        <f>SUM(N135:S135)</f>
        <v>0</v>
      </c>
      <c r="U135" s="65">
        <f>T135+L135</f>
        <v>0</v>
      </c>
      <c r="V135" s="11"/>
      <c r="W135" s="38">
        <f>V135-U135</f>
        <v>0</v>
      </c>
    </row>
    <row r="136" spans="1:24" s="47" customFormat="1" ht="18" hidden="1" customHeight="1">
      <c r="A136" s="610"/>
      <c r="B136" s="581"/>
      <c r="C136" s="583"/>
      <c r="D136" s="187" t="str">
        <f>серпень!D136</f>
        <v>тариф, грн.</v>
      </c>
      <c r="E136" s="49"/>
      <c r="F136" s="49">
        <v>1655.08</v>
      </c>
      <c r="G136" s="49">
        <v>1655.08</v>
      </c>
      <c r="H136" s="49">
        <v>1655.08</v>
      </c>
      <c r="I136" s="49">
        <v>1655.08</v>
      </c>
      <c r="J136" s="49">
        <v>1655.08</v>
      </c>
      <c r="K136" s="49">
        <v>1655.08</v>
      </c>
      <c r="L136" s="49" t="e">
        <f t="shared" ref="L136" si="181">L137/L135*1000</f>
        <v>#DIV/0!</v>
      </c>
      <c r="M136" s="121" t="e">
        <f>M137/M135*1000</f>
        <v>#DIV/0!</v>
      </c>
      <c r="N136" s="49">
        <v>1655.08</v>
      </c>
      <c r="O136" s="49">
        <v>1655.08</v>
      </c>
      <c r="P136" s="49">
        <v>1655.08</v>
      </c>
      <c r="Q136" s="49">
        <v>1655.08</v>
      </c>
      <c r="R136" s="49">
        <v>1655.08</v>
      </c>
      <c r="S136" s="49">
        <v>1655.08</v>
      </c>
      <c r="T136" s="121" t="e">
        <f>T137/T135*1000</f>
        <v>#DIV/0!</v>
      </c>
      <c r="U136" s="121" t="e">
        <f>U137/U135*1000</f>
        <v>#DIV/0!</v>
      </c>
      <c r="V136" s="68" t="e">
        <f>V137/V135*1000</f>
        <v>#DIV/0!</v>
      </c>
      <c r="W136" s="14" t="e">
        <f>W137/W135*1000</f>
        <v>#DIV/0!</v>
      </c>
    </row>
    <row r="137" spans="1:24" s="47" customFormat="1" ht="18" hidden="1" customHeight="1">
      <c r="A137" s="610"/>
      <c r="B137" s="581"/>
      <c r="C137" s="583"/>
      <c r="D137" s="191" t="str">
        <f>серпень!D137</f>
        <v>сума, тис.грн.</v>
      </c>
      <c r="E137" s="52"/>
      <c r="F137" s="52">
        <f t="shared" ref="F137:K137" si="182">F135*F136/1000</f>
        <v>0</v>
      </c>
      <c r="G137" s="52">
        <f t="shared" si="182"/>
        <v>0</v>
      </c>
      <c r="H137" s="52">
        <f t="shared" si="182"/>
        <v>0</v>
      </c>
      <c r="I137" s="52">
        <f t="shared" si="182"/>
        <v>0</v>
      </c>
      <c r="J137" s="52">
        <f t="shared" si="182"/>
        <v>0</v>
      </c>
      <c r="K137" s="52">
        <f t="shared" si="182"/>
        <v>0</v>
      </c>
      <c r="L137" s="69">
        <f>SUM(F137:K137)</f>
        <v>0</v>
      </c>
      <c r="M137" s="69">
        <f>L137/6</f>
        <v>0</v>
      </c>
      <c r="N137" s="52">
        <f t="shared" ref="N137:S137" si="183">N135*N136/1000</f>
        <v>0</v>
      </c>
      <c r="O137" s="52">
        <f t="shared" si="183"/>
        <v>0</v>
      </c>
      <c r="P137" s="52">
        <f t="shared" si="183"/>
        <v>0</v>
      </c>
      <c r="Q137" s="52">
        <f t="shared" si="183"/>
        <v>0</v>
      </c>
      <c r="R137" s="52">
        <f t="shared" si="183"/>
        <v>0</v>
      </c>
      <c r="S137" s="52">
        <f t="shared" si="183"/>
        <v>0</v>
      </c>
      <c r="T137" s="69">
        <f>SUM(N137:S137)</f>
        <v>0</v>
      </c>
      <c r="U137" s="69">
        <f>T137+L137</f>
        <v>0</v>
      </c>
      <c r="V137" s="70">
        <f>V138+V139</f>
        <v>0</v>
      </c>
      <c r="W137" s="53">
        <f>V137-U137</f>
        <v>0</v>
      </c>
    </row>
    <row r="138" spans="1:24" s="47" customFormat="1" ht="18" hidden="1" customHeight="1">
      <c r="A138" s="610"/>
      <c r="B138" s="581"/>
      <c r="C138" s="583"/>
      <c r="D138" s="174" t="str">
        <f>серпень!D138</f>
        <v>дотація</v>
      </c>
      <c r="E138" s="56"/>
      <c r="F138" s="52"/>
      <c r="G138" s="52"/>
      <c r="H138" s="52"/>
      <c r="I138" s="52"/>
      <c r="J138" s="52"/>
      <c r="K138" s="52"/>
      <c r="L138" s="69">
        <f>SUM(F138:K138)</f>
        <v>0</v>
      </c>
      <c r="M138" s="69">
        <f>L138/6</f>
        <v>0</v>
      </c>
      <c r="N138" s="52"/>
      <c r="O138" s="52"/>
      <c r="P138" s="52"/>
      <c r="Q138" s="52"/>
      <c r="R138" s="52"/>
      <c r="S138" s="52"/>
      <c r="T138" s="69">
        <f>SUM(N138:S138)</f>
        <v>0</v>
      </c>
      <c r="U138" s="69">
        <f>T138+L138</f>
        <v>0</v>
      </c>
      <c r="V138" s="70"/>
      <c r="W138" s="53">
        <f>V138-U138</f>
        <v>0</v>
      </c>
    </row>
    <row r="139" spans="1:24" s="47" customFormat="1" ht="18" hidden="1" customHeight="1">
      <c r="A139" s="610"/>
      <c r="B139" s="581"/>
      <c r="C139" s="583"/>
      <c r="D139" s="174" t="str">
        <f>серпень!D139</f>
        <v>місцевий (план), тис.грн</v>
      </c>
      <c r="E139" s="56"/>
      <c r="F139" s="52"/>
      <c r="G139" s="52"/>
      <c r="H139" s="52"/>
      <c r="I139" s="52"/>
      <c r="J139" s="52"/>
      <c r="K139" s="52"/>
      <c r="L139" s="69">
        <f>SUM(F139:K139)</f>
        <v>0</v>
      </c>
      <c r="M139" s="69">
        <f>L139/6</f>
        <v>0</v>
      </c>
      <c r="N139" s="52"/>
      <c r="O139" s="52"/>
      <c r="P139" s="52"/>
      <c r="Q139" s="52"/>
      <c r="R139" s="52"/>
      <c r="S139" s="52"/>
      <c r="T139" s="69">
        <f>SUM(N139:S139)</f>
        <v>0</v>
      </c>
      <c r="U139" s="69">
        <f>T139+L139</f>
        <v>0</v>
      </c>
      <c r="V139" s="70"/>
      <c r="W139" s="53">
        <f>V139-U139</f>
        <v>0</v>
      </c>
    </row>
    <row r="140" spans="1:24" s="47" customFormat="1" ht="18" hidden="1" customHeight="1">
      <c r="A140" s="610"/>
      <c r="B140" s="581"/>
      <c r="C140" s="583"/>
      <c r="D140" s="178" t="str">
        <f>серпень!D140</f>
        <v>касові нат.п-ки 2025</v>
      </c>
      <c r="E140" s="11"/>
      <c r="F140" s="11"/>
      <c r="G140" s="11"/>
      <c r="H140" s="11"/>
      <c r="I140" s="11"/>
      <c r="J140" s="11"/>
      <c r="K140" s="11"/>
      <c r="L140" s="65">
        <f>SUM(F140:K140)</f>
        <v>0</v>
      </c>
      <c r="M140" s="65">
        <f>L140/6</f>
        <v>0</v>
      </c>
      <c r="N140" s="11"/>
      <c r="O140" s="11"/>
      <c r="P140" s="11"/>
      <c r="Q140" s="11"/>
      <c r="R140" s="11"/>
      <c r="S140" s="11"/>
      <c r="T140" s="65">
        <f>SUM(N140:S140)</f>
        <v>0</v>
      </c>
      <c r="U140" s="65">
        <f>T140+L140</f>
        <v>0</v>
      </c>
      <c r="V140" s="11">
        <f>V135</f>
        <v>0</v>
      </c>
      <c r="W140" s="38">
        <f>V140-U140</f>
        <v>0</v>
      </c>
      <c r="X140" s="47">
        <v>0</v>
      </c>
    </row>
    <row r="141" spans="1:24" s="47" customFormat="1" ht="18" hidden="1" customHeight="1">
      <c r="A141" s="610"/>
      <c r="B141" s="581"/>
      <c r="C141" s="583"/>
      <c r="D141" s="187" t="str">
        <f>серпень!D141</f>
        <v>тариф, грн.</v>
      </c>
      <c r="E141" s="49" t="e">
        <f>E142/E140*1000</f>
        <v>#DIV/0!</v>
      </c>
      <c r="F141" s="49">
        <v>1655.08</v>
      </c>
      <c r="G141" s="49">
        <v>1655.08</v>
      </c>
      <c r="H141" s="49">
        <v>1655.08</v>
      </c>
      <c r="I141" s="49">
        <v>1655.08</v>
      </c>
      <c r="J141" s="49">
        <v>1655.08</v>
      </c>
      <c r="K141" s="49">
        <v>1655.08</v>
      </c>
      <c r="L141" s="49" t="e">
        <f t="shared" ref="L141" si="184">L142/L140*1000</f>
        <v>#DIV/0!</v>
      </c>
      <c r="M141" s="121" t="e">
        <f>M142/M140*1000</f>
        <v>#DIV/0!</v>
      </c>
      <c r="N141" s="49">
        <v>1655.08</v>
      </c>
      <c r="O141" s="49">
        <v>1655.08</v>
      </c>
      <c r="P141" s="49">
        <v>1655.08</v>
      </c>
      <c r="Q141" s="49">
        <v>1655.08</v>
      </c>
      <c r="R141" s="49">
        <v>1655.08</v>
      </c>
      <c r="S141" s="49">
        <v>1655.08</v>
      </c>
      <c r="T141" s="121" t="e">
        <f>T142/T140*1000</f>
        <v>#DIV/0!</v>
      </c>
      <c r="U141" s="121" t="e">
        <f>U142/U140*1000</f>
        <v>#DIV/0!</v>
      </c>
      <c r="V141" s="68" t="e">
        <f>V142/V140*1000</f>
        <v>#DIV/0!</v>
      </c>
      <c r="W141" s="14" t="e">
        <f>W142/W140*1000</f>
        <v>#DIV/0!</v>
      </c>
    </row>
    <row r="142" spans="1:24" s="63" customFormat="1" ht="18" hidden="1" customHeight="1">
      <c r="A142" s="610"/>
      <c r="B142" s="581"/>
      <c r="C142" s="583"/>
      <c r="D142" s="198" t="str">
        <f>серпень!D142</f>
        <v>касові видатки, тис.грн.</v>
      </c>
      <c r="E142" s="71"/>
      <c r="F142" s="61">
        <f t="shared" ref="F142:K142" si="185">F140*F141/1000</f>
        <v>0</v>
      </c>
      <c r="G142" s="61">
        <f t="shared" si="185"/>
        <v>0</v>
      </c>
      <c r="H142" s="61">
        <f t="shared" si="185"/>
        <v>0</v>
      </c>
      <c r="I142" s="61">
        <f t="shared" si="185"/>
        <v>0</v>
      </c>
      <c r="J142" s="61">
        <f t="shared" si="185"/>
        <v>0</v>
      </c>
      <c r="K142" s="61">
        <f t="shared" si="185"/>
        <v>0</v>
      </c>
      <c r="L142" s="61">
        <f>SUM(F142:K142)</f>
        <v>0</v>
      </c>
      <c r="M142" s="61">
        <f>L142/6</f>
        <v>0</v>
      </c>
      <c r="N142" s="61">
        <f t="shared" ref="N142:S142" si="186">N140*N141/1000</f>
        <v>0</v>
      </c>
      <c r="O142" s="61">
        <f t="shared" si="186"/>
        <v>0</v>
      </c>
      <c r="P142" s="61">
        <f t="shared" si="186"/>
        <v>0</v>
      </c>
      <c r="Q142" s="61">
        <f t="shared" si="186"/>
        <v>0</v>
      </c>
      <c r="R142" s="61">
        <f t="shared" si="186"/>
        <v>0</v>
      </c>
      <c r="S142" s="61">
        <f t="shared" si="186"/>
        <v>0</v>
      </c>
      <c r="T142" s="61">
        <f>SUM(N142:S142)</f>
        <v>0</v>
      </c>
      <c r="U142" s="61">
        <f>T142+L142</f>
        <v>0</v>
      </c>
      <c r="V142" s="61">
        <f>V137</f>
        <v>0</v>
      </c>
      <c r="W142" s="72">
        <f>V142-U142</f>
        <v>0</v>
      </c>
      <c r="X142" s="63">
        <f>U137-U142</f>
        <v>0</v>
      </c>
    </row>
    <row r="143" spans="1:24" s="63" customFormat="1" ht="18" hidden="1" customHeight="1">
      <c r="A143" s="610"/>
      <c r="B143" s="581"/>
      <c r="C143" s="583"/>
      <c r="D143" s="201" t="str">
        <f>серпень!D143</f>
        <v>дотація</v>
      </c>
      <c r="E143" s="71"/>
      <c r="F143" s="61">
        <v>0</v>
      </c>
      <c r="G143" s="61">
        <v>0</v>
      </c>
      <c r="H143" s="61">
        <v>0</v>
      </c>
      <c r="I143" s="61">
        <v>0</v>
      </c>
      <c r="J143" s="61">
        <v>0</v>
      </c>
      <c r="K143" s="61">
        <v>0</v>
      </c>
      <c r="L143" s="61">
        <f>SUM(F143:K143)</f>
        <v>0</v>
      </c>
      <c r="M143" s="61">
        <f>L143/6</f>
        <v>0</v>
      </c>
      <c r="N143" s="61">
        <v>0</v>
      </c>
      <c r="O143" s="61">
        <v>0</v>
      </c>
      <c r="P143" s="61">
        <v>0</v>
      </c>
      <c r="Q143" s="61">
        <v>0</v>
      </c>
      <c r="R143" s="61">
        <v>0</v>
      </c>
      <c r="S143" s="61">
        <v>0</v>
      </c>
      <c r="T143" s="61">
        <f>SUM(N143:S143)</f>
        <v>0</v>
      </c>
      <c r="U143" s="61">
        <f>T143+L143</f>
        <v>0</v>
      </c>
      <c r="V143" s="61">
        <f>V138</f>
        <v>0</v>
      </c>
      <c r="W143" s="72">
        <f>V143-U143</f>
        <v>0</v>
      </c>
      <c r="X143" s="63">
        <f>U138-U143</f>
        <v>0</v>
      </c>
    </row>
    <row r="144" spans="1:24" s="63" customFormat="1" ht="18" hidden="1" customHeight="1">
      <c r="A144" s="610"/>
      <c r="B144" s="581"/>
      <c r="C144" s="583"/>
      <c r="D144" s="201" t="str">
        <f>серпень!D144</f>
        <v xml:space="preserve">місцевий </v>
      </c>
      <c r="E144" s="71"/>
      <c r="F144" s="61">
        <f t="shared" ref="F144:K144" si="187">F142-F143</f>
        <v>0</v>
      </c>
      <c r="G144" s="61">
        <f t="shared" si="187"/>
        <v>0</v>
      </c>
      <c r="H144" s="61">
        <f t="shared" si="187"/>
        <v>0</v>
      </c>
      <c r="I144" s="61">
        <f t="shared" si="187"/>
        <v>0</v>
      </c>
      <c r="J144" s="61">
        <f t="shared" si="187"/>
        <v>0</v>
      </c>
      <c r="K144" s="61">
        <f t="shared" si="187"/>
        <v>0</v>
      </c>
      <c r="L144" s="61">
        <f>SUM(F144:K144)</f>
        <v>0</v>
      </c>
      <c r="M144" s="61">
        <f>L144/6</f>
        <v>0</v>
      </c>
      <c r="N144" s="61">
        <f t="shared" ref="N144:S144" si="188">N142-N143</f>
        <v>0</v>
      </c>
      <c r="O144" s="61">
        <f t="shared" si="188"/>
        <v>0</v>
      </c>
      <c r="P144" s="61">
        <f t="shared" si="188"/>
        <v>0</v>
      </c>
      <c r="Q144" s="61">
        <f t="shared" si="188"/>
        <v>0</v>
      </c>
      <c r="R144" s="61">
        <f t="shared" si="188"/>
        <v>0</v>
      </c>
      <c r="S144" s="61">
        <f t="shared" si="188"/>
        <v>0</v>
      </c>
      <c r="T144" s="61">
        <f>SUM(N144:S144)</f>
        <v>0</v>
      </c>
      <c r="U144" s="61">
        <f>T144+L144</f>
        <v>0</v>
      </c>
      <c r="V144" s="61">
        <f>V139</f>
        <v>0</v>
      </c>
      <c r="W144" s="72">
        <f>V144-U144</f>
        <v>0</v>
      </c>
      <c r="X144" s="63">
        <f>U139-U144</f>
        <v>0</v>
      </c>
    </row>
    <row r="145" spans="1:23" s="43" customFormat="1" ht="18" hidden="1" customHeight="1">
      <c r="A145" s="610"/>
      <c r="B145" s="581"/>
      <c r="C145" s="583"/>
      <c r="D145" s="202" t="str">
        <f>серпень!D145</f>
        <v>план</v>
      </c>
      <c r="E145" s="42"/>
      <c r="F145" s="42">
        <f t="shared" ref="F145:K145" si="189">F139</f>
        <v>0</v>
      </c>
      <c r="G145" s="42">
        <f t="shared" si="189"/>
        <v>0</v>
      </c>
      <c r="H145" s="42">
        <f t="shared" si="189"/>
        <v>0</v>
      </c>
      <c r="I145" s="42">
        <f t="shared" si="189"/>
        <v>0</v>
      </c>
      <c r="J145" s="42">
        <f t="shared" si="189"/>
        <v>0</v>
      </c>
      <c r="K145" s="42">
        <f t="shared" si="189"/>
        <v>0</v>
      </c>
      <c r="L145" s="42">
        <f>SUM(F145:K145)</f>
        <v>0</v>
      </c>
      <c r="M145" s="42">
        <f>L145/6</f>
        <v>0</v>
      </c>
      <c r="N145" s="42">
        <f t="shared" ref="N145:S145" si="190">N139+N138</f>
        <v>0</v>
      </c>
      <c r="O145" s="42">
        <f t="shared" si="190"/>
        <v>0</v>
      </c>
      <c r="P145" s="42">
        <f t="shared" si="190"/>
        <v>0</v>
      </c>
      <c r="Q145" s="42">
        <f t="shared" si="190"/>
        <v>0</v>
      </c>
      <c r="R145" s="42">
        <f t="shared" si="190"/>
        <v>0</v>
      </c>
      <c r="S145" s="42">
        <f t="shared" si="190"/>
        <v>0</v>
      </c>
      <c r="T145" s="42">
        <f>SUM(N145:S145)</f>
        <v>0</v>
      </c>
      <c r="U145" s="42">
        <f>T145+L145</f>
        <v>0</v>
      </c>
      <c r="V145" s="42">
        <f>V142</f>
        <v>0</v>
      </c>
      <c r="W145" s="42">
        <f>V145-U145</f>
        <v>0</v>
      </c>
    </row>
    <row r="146" spans="1:23" s="43" customFormat="1" ht="18" hidden="1" customHeight="1">
      <c r="A146" s="610"/>
      <c r="B146" s="581"/>
      <c r="C146" s="583"/>
      <c r="D146" s="202" t="str">
        <f>серпень!D146</f>
        <v xml:space="preserve">відхилення </v>
      </c>
      <c r="E146" s="42"/>
      <c r="F146" s="42">
        <f t="shared" ref="F146:K146" si="191">F142-F145</f>
        <v>0</v>
      </c>
      <c r="G146" s="42">
        <f t="shared" si="191"/>
        <v>0</v>
      </c>
      <c r="H146" s="42">
        <f t="shared" si="191"/>
        <v>0</v>
      </c>
      <c r="I146" s="42">
        <f t="shared" si="191"/>
        <v>0</v>
      </c>
      <c r="J146" s="42">
        <f t="shared" si="191"/>
        <v>0</v>
      </c>
      <c r="K146" s="42">
        <f t="shared" si="191"/>
        <v>0</v>
      </c>
      <c r="L146" s="42"/>
      <c r="M146" s="42"/>
      <c r="N146" s="42">
        <f t="shared" ref="N146:S146" si="192">N142-N145</f>
        <v>0</v>
      </c>
      <c r="O146" s="42">
        <f t="shared" si="192"/>
        <v>0</v>
      </c>
      <c r="P146" s="42">
        <f t="shared" si="192"/>
        <v>0</v>
      </c>
      <c r="Q146" s="42">
        <f t="shared" si="192"/>
        <v>0</v>
      </c>
      <c r="R146" s="42">
        <f t="shared" si="192"/>
        <v>0</v>
      </c>
      <c r="S146" s="42">
        <f t="shared" si="192"/>
        <v>0</v>
      </c>
      <c r="T146" s="42"/>
      <c r="U146" s="42"/>
      <c r="V146" s="42"/>
      <c r="W146" s="42"/>
    </row>
    <row r="147" spans="1:23" s="43" customFormat="1" ht="18" hidden="1" customHeight="1">
      <c r="A147" s="610"/>
      <c r="B147" s="581"/>
      <c r="C147" s="584"/>
      <c r="D147" s="202" t="str">
        <f>серпень!D147</f>
        <v>відхилення з наростаючим</v>
      </c>
      <c r="E147" s="42"/>
      <c r="F147" s="42">
        <f>F146</f>
        <v>0</v>
      </c>
      <c r="G147" s="42">
        <f>G146+F147</f>
        <v>0</v>
      </c>
      <c r="H147" s="42">
        <f>H146+G147</f>
        <v>0</v>
      </c>
      <c r="I147" s="42">
        <f>I146+H147</f>
        <v>0</v>
      </c>
      <c r="J147" s="42">
        <f>J146+I147</f>
        <v>0</v>
      </c>
      <c r="K147" s="42">
        <f>K146+J147</f>
        <v>0</v>
      </c>
      <c r="L147" s="42"/>
      <c r="M147" s="42"/>
      <c r="N147" s="42">
        <f>N146+K147</f>
        <v>0</v>
      </c>
      <c r="O147" s="42">
        <f>O146+N147</f>
        <v>0</v>
      </c>
      <c r="P147" s="42">
        <f>P146+O147</f>
        <v>0</v>
      </c>
      <c r="Q147" s="42">
        <f>Q146+P147</f>
        <v>0</v>
      </c>
      <c r="R147" s="42">
        <f>R146+Q147</f>
        <v>0</v>
      </c>
      <c r="S147" s="42">
        <f>S146+R147</f>
        <v>0</v>
      </c>
      <c r="T147" s="42"/>
      <c r="U147" s="42"/>
      <c r="V147" s="42"/>
      <c r="W147" s="42"/>
    </row>
    <row r="148" spans="1:23" s="43" customFormat="1" ht="18" hidden="1" customHeight="1">
      <c r="A148" s="610"/>
      <c r="B148" s="581"/>
      <c r="C148" s="582" t="s">
        <v>96</v>
      </c>
      <c r="D148" s="178" t="str">
        <f>серпень!D148</f>
        <v>факт. нат.п-ки 2023</v>
      </c>
      <c r="E148" s="179"/>
      <c r="F148" s="184"/>
      <c r="G148" s="184"/>
      <c r="H148" s="179"/>
      <c r="I148" s="179"/>
      <c r="J148" s="179"/>
      <c r="K148" s="179"/>
      <c r="L148" s="215">
        <f>SUM(F148:K148)</f>
        <v>0</v>
      </c>
      <c r="M148" s="215">
        <f>L148/6</f>
        <v>0</v>
      </c>
      <c r="N148" s="179"/>
      <c r="O148" s="179"/>
      <c r="P148" s="179"/>
      <c r="Q148" s="179"/>
      <c r="R148" s="179"/>
      <c r="S148" s="179"/>
      <c r="T148" s="215">
        <f>SUM(N148:S148)</f>
        <v>0</v>
      </c>
      <c r="U148" s="215">
        <f>T148+L148</f>
        <v>0</v>
      </c>
      <c r="V148" s="179"/>
      <c r="W148" s="184"/>
    </row>
    <row r="149" spans="1:23" s="43" customFormat="1" ht="18" hidden="1" customHeight="1">
      <c r="A149" s="610"/>
      <c r="B149" s="581"/>
      <c r="C149" s="583"/>
      <c r="D149" s="178" t="str">
        <f>серпень!D149</f>
        <v>факт. нат.п-ки 2024</v>
      </c>
      <c r="E149" s="179"/>
      <c r="F149" s="184"/>
      <c r="G149" s="184"/>
      <c r="H149" s="179"/>
      <c r="I149" s="179"/>
      <c r="J149" s="179"/>
      <c r="K149" s="179"/>
      <c r="L149" s="215">
        <f>SUM(F149:K149)</f>
        <v>0</v>
      </c>
      <c r="M149" s="215">
        <f>L149/6</f>
        <v>0</v>
      </c>
      <c r="N149" s="179"/>
      <c r="O149" s="179"/>
      <c r="P149" s="179"/>
      <c r="Q149" s="179"/>
      <c r="R149" s="179"/>
      <c r="S149" s="179"/>
      <c r="T149" s="215">
        <f>SUM(N149:S149)</f>
        <v>0</v>
      </c>
      <c r="U149" s="215">
        <f>T149+L149</f>
        <v>0</v>
      </c>
      <c r="V149" s="179"/>
      <c r="W149" s="184"/>
    </row>
    <row r="150" spans="1:23" s="43" customFormat="1" ht="18" hidden="1" customHeight="1">
      <c r="A150" s="610"/>
      <c r="B150" s="581"/>
      <c r="C150" s="583"/>
      <c r="D150" s="178" t="str">
        <f>серпень!D150</f>
        <v>факт. нат.п-ки 2025</v>
      </c>
      <c r="E150" s="179"/>
      <c r="F150" s="184"/>
      <c r="G150" s="184"/>
      <c r="H150" s="179"/>
      <c r="I150" s="216"/>
      <c r="J150" s="179"/>
      <c r="K150" s="179"/>
      <c r="L150" s="215">
        <f>SUM(F150:K150)</f>
        <v>0</v>
      </c>
      <c r="M150" s="215">
        <f>L150/6</f>
        <v>0</v>
      </c>
      <c r="N150" s="179"/>
      <c r="O150" s="179"/>
      <c r="P150" s="179"/>
      <c r="Q150" s="179"/>
      <c r="R150" s="179"/>
      <c r="S150" s="179"/>
      <c r="T150" s="215">
        <f>SUM(N150:S150)</f>
        <v>0</v>
      </c>
      <c r="U150" s="215">
        <f>T150+L150</f>
        <v>0</v>
      </c>
      <c r="V150" s="179"/>
      <c r="W150" s="184">
        <f>U150-V150</f>
        <v>0</v>
      </c>
    </row>
    <row r="151" spans="1:23" s="43" customFormat="1" ht="18" hidden="1" customHeight="1">
      <c r="A151" s="610"/>
      <c r="B151" s="581"/>
      <c r="C151" s="583"/>
      <c r="D151" s="187" t="str">
        <f>серпень!D151</f>
        <v>тариф, грн.</v>
      </c>
      <c r="E151" s="188"/>
      <c r="F151" s="188"/>
      <c r="G151" s="188"/>
      <c r="H151" s="188"/>
      <c r="I151" s="188"/>
      <c r="J151" s="188"/>
      <c r="K151" s="188"/>
      <c r="L151" s="217" t="e">
        <f>L152/L150*1000</f>
        <v>#DIV/0!</v>
      </c>
      <c r="M151" s="217" t="e">
        <f>M152/M150*1000</f>
        <v>#DIV/0!</v>
      </c>
      <c r="N151" s="188"/>
      <c r="O151" s="188"/>
      <c r="P151" s="218"/>
      <c r="Q151" s="218"/>
      <c r="R151" s="218"/>
      <c r="S151" s="218"/>
      <c r="T151" s="217" t="e">
        <f>T152/T150*1000</f>
        <v>#DIV/0!</v>
      </c>
      <c r="U151" s="217" t="e">
        <f>U152/U150*1000</f>
        <v>#DIV/0!</v>
      </c>
      <c r="V151" s="218" t="e">
        <f>V152/V150*1000</f>
        <v>#DIV/0!</v>
      </c>
      <c r="W151" s="219" t="e">
        <f>W152/W150*1000</f>
        <v>#DIV/0!</v>
      </c>
    </row>
    <row r="152" spans="1:23" s="43" customFormat="1" ht="18" hidden="1" customHeight="1">
      <c r="A152" s="610"/>
      <c r="B152" s="581"/>
      <c r="C152" s="583"/>
      <c r="D152" s="191" t="str">
        <f>серпень!D152</f>
        <v>сума, тис.грн.</v>
      </c>
      <c r="E152" s="192"/>
      <c r="F152" s="192"/>
      <c r="G152" s="192"/>
      <c r="H152" s="192"/>
      <c r="I152" s="192"/>
      <c r="J152" s="192"/>
      <c r="K152" s="192"/>
      <c r="L152" s="194">
        <f>SUM(F152:K152)</f>
        <v>0</v>
      </c>
      <c r="M152" s="194">
        <f>L152/6</f>
        <v>0</v>
      </c>
      <c r="N152" s="192"/>
      <c r="O152" s="192"/>
      <c r="P152" s="192"/>
      <c r="Q152" s="192"/>
      <c r="R152" s="192"/>
      <c r="S152" s="192"/>
      <c r="T152" s="194">
        <f>SUM(N152:S152)</f>
        <v>0</v>
      </c>
      <c r="U152" s="194">
        <f>T152+L152</f>
        <v>0</v>
      </c>
      <c r="V152" s="171">
        <f>V153+V154</f>
        <v>0</v>
      </c>
      <c r="W152" s="192">
        <f>V152-U152</f>
        <v>0</v>
      </c>
    </row>
    <row r="153" spans="1:23" s="43" customFormat="1" ht="18" hidden="1" customHeight="1">
      <c r="A153" s="610"/>
      <c r="B153" s="581"/>
      <c r="C153" s="583"/>
      <c r="D153" s="174" t="str">
        <f>серпень!D153</f>
        <v>дотація</v>
      </c>
      <c r="E153" s="210"/>
      <c r="F153" s="192"/>
      <c r="G153" s="192"/>
      <c r="H153" s="192"/>
      <c r="I153" s="192"/>
      <c r="J153" s="192"/>
      <c r="K153" s="192"/>
      <c r="L153" s="194">
        <f>SUM(F153:K153)</f>
        <v>0</v>
      </c>
      <c r="M153" s="194">
        <f>L153/6</f>
        <v>0</v>
      </c>
      <c r="N153" s="192"/>
      <c r="O153" s="192"/>
      <c r="P153" s="192"/>
      <c r="Q153" s="192"/>
      <c r="R153" s="192"/>
      <c r="S153" s="192"/>
      <c r="T153" s="194">
        <f>SUM(N153:S153)</f>
        <v>0</v>
      </c>
      <c r="U153" s="194">
        <f>T153+L153</f>
        <v>0</v>
      </c>
      <c r="V153" s="171"/>
      <c r="W153" s="192">
        <f>V153-U153</f>
        <v>0</v>
      </c>
    </row>
    <row r="154" spans="1:23" s="43" customFormat="1" ht="18" hidden="1" customHeight="1">
      <c r="A154" s="610"/>
      <c r="B154" s="581"/>
      <c r="C154" s="583"/>
      <c r="D154" s="174" t="str">
        <f>серпень!D154</f>
        <v>місцевий (план), тис.грн</v>
      </c>
      <c r="E154" s="210"/>
      <c r="F154" s="192"/>
      <c r="G154" s="192"/>
      <c r="H154" s="192"/>
      <c r="I154" s="192"/>
      <c r="J154" s="192"/>
      <c r="K154" s="192"/>
      <c r="L154" s="194">
        <f>SUM(F154:K154)</f>
        <v>0</v>
      </c>
      <c r="M154" s="194">
        <f>L154/6</f>
        <v>0</v>
      </c>
      <c r="N154" s="192"/>
      <c r="O154" s="192"/>
      <c r="P154" s="192"/>
      <c r="Q154" s="192"/>
      <c r="R154" s="192"/>
      <c r="S154" s="192"/>
      <c r="T154" s="194">
        <f>SUM(N154:S154)</f>
        <v>0</v>
      </c>
      <c r="U154" s="194">
        <f>T154+L154</f>
        <v>0</v>
      </c>
      <c r="V154" s="171"/>
      <c r="W154" s="192">
        <f>V154-U154</f>
        <v>0</v>
      </c>
    </row>
    <row r="155" spans="1:23" s="43" customFormat="1" ht="18" hidden="1" customHeight="1">
      <c r="A155" s="610"/>
      <c r="B155" s="581"/>
      <c r="C155" s="583"/>
      <c r="D155" s="178" t="str">
        <f>серпень!D155</f>
        <v>касові нат.п-ки 2025</v>
      </c>
      <c r="E155" s="179"/>
      <c r="F155" s="184"/>
      <c r="G155" s="184"/>
      <c r="H155" s="179"/>
      <c r="I155" s="179"/>
      <c r="J155" s="216"/>
      <c r="K155" s="179"/>
      <c r="L155" s="215">
        <f>SUM(F155:K155)</f>
        <v>0</v>
      </c>
      <c r="M155" s="215">
        <f>L155/6</f>
        <v>0</v>
      </c>
      <c r="N155" s="179"/>
      <c r="O155" s="179"/>
      <c r="P155" s="179"/>
      <c r="Q155" s="179"/>
      <c r="R155" s="179"/>
      <c r="S155" s="179"/>
      <c r="T155" s="215">
        <f>SUM(N155:S155)</f>
        <v>0</v>
      </c>
      <c r="U155" s="215">
        <f>T155+L155</f>
        <v>0</v>
      </c>
      <c r="V155" s="179">
        <f>V150</f>
        <v>0</v>
      </c>
      <c r="W155" s="184">
        <f>V155-U155</f>
        <v>0</v>
      </c>
    </row>
    <row r="156" spans="1:23" s="43" customFormat="1" ht="18" hidden="1" customHeight="1">
      <c r="A156" s="610"/>
      <c r="B156" s="581"/>
      <c r="C156" s="583"/>
      <c r="D156" s="187" t="str">
        <f>серпень!D156</f>
        <v>тариф, грн.</v>
      </c>
      <c r="E156" s="188" t="e">
        <f t="shared" ref="E156" si="193">E157/E155*1000</f>
        <v>#DIV/0!</v>
      </c>
      <c r="F156" s="188"/>
      <c r="G156" s="188"/>
      <c r="H156" s="188"/>
      <c r="I156" s="188"/>
      <c r="J156" s="188"/>
      <c r="K156" s="188"/>
      <c r="L156" s="217" t="e">
        <f>L157/L155*1000</f>
        <v>#DIV/0!</v>
      </c>
      <c r="M156" s="217" t="e">
        <f>M157/M155*1000</f>
        <v>#DIV/0!</v>
      </c>
      <c r="N156" s="188"/>
      <c r="O156" s="188"/>
      <c r="P156" s="188"/>
      <c r="Q156" s="218"/>
      <c r="R156" s="218"/>
      <c r="S156" s="218"/>
      <c r="T156" s="217" t="e">
        <f>T157/T155*1000</f>
        <v>#DIV/0!</v>
      </c>
      <c r="U156" s="217" t="e">
        <f>U157/U155*1000</f>
        <v>#DIV/0!</v>
      </c>
      <c r="V156" s="218" t="e">
        <f>V157/V155*1000</f>
        <v>#DIV/0!</v>
      </c>
      <c r="W156" s="219" t="e">
        <f>W157/W155*1000</f>
        <v>#DIV/0!</v>
      </c>
    </row>
    <row r="157" spans="1:23" s="43" customFormat="1" ht="27.55" hidden="1" customHeight="1">
      <c r="A157" s="610"/>
      <c r="B157" s="581"/>
      <c r="C157" s="583"/>
      <c r="D157" s="198" t="str">
        <f>серпень!D157</f>
        <v>касові видатки, тис.грн.</v>
      </c>
      <c r="E157" s="220"/>
      <c r="F157" s="199"/>
      <c r="G157" s="199"/>
      <c r="H157" s="199"/>
      <c r="I157" s="199"/>
      <c r="J157" s="199"/>
      <c r="K157" s="199"/>
      <c r="L157" s="199">
        <f>SUM(F157:K157)</f>
        <v>0</v>
      </c>
      <c r="M157" s="199">
        <f>L157/6</f>
        <v>0</v>
      </c>
      <c r="N157" s="199"/>
      <c r="O157" s="199"/>
      <c r="P157" s="199"/>
      <c r="Q157" s="199"/>
      <c r="R157" s="199"/>
      <c r="S157" s="199"/>
      <c r="T157" s="199">
        <f>SUM(N157:S157)</f>
        <v>0</v>
      </c>
      <c r="U157" s="199">
        <f>T157+L157</f>
        <v>0</v>
      </c>
      <c r="V157" s="199">
        <f>V152</f>
        <v>0</v>
      </c>
      <c r="W157" s="221">
        <f>V157-U157</f>
        <v>0</v>
      </c>
    </row>
    <row r="158" spans="1:23" s="43" customFormat="1" ht="18" hidden="1" customHeight="1">
      <c r="A158" s="610"/>
      <c r="B158" s="581"/>
      <c r="C158" s="583"/>
      <c r="D158" s="201" t="str">
        <f>серпень!D158</f>
        <v>дотація</v>
      </c>
      <c r="E158" s="220"/>
      <c r="F158" s="199"/>
      <c r="G158" s="199"/>
      <c r="H158" s="199"/>
      <c r="I158" s="199"/>
      <c r="J158" s="199"/>
      <c r="K158" s="199"/>
      <c r="L158" s="199">
        <f>SUM(F158:K158)</f>
        <v>0</v>
      </c>
      <c r="M158" s="199">
        <f>L158/6</f>
        <v>0</v>
      </c>
      <c r="N158" s="199"/>
      <c r="O158" s="199"/>
      <c r="P158" s="199"/>
      <c r="Q158" s="199"/>
      <c r="R158" s="199"/>
      <c r="S158" s="199"/>
      <c r="T158" s="199">
        <f>SUM(N158:S158)</f>
        <v>0</v>
      </c>
      <c r="U158" s="199">
        <f>T158+L158</f>
        <v>0</v>
      </c>
      <c r="V158" s="199">
        <f>V153</f>
        <v>0</v>
      </c>
      <c r="W158" s="221">
        <f>V158-U158</f>
        <v>0</v>
      </c>
    </row>
    <row r="159" spans="1:23" s="43" customFormat="1" ht="18" hidden="1" customHeight="1">
      <c r="A159" s="610"/>
      <c r="B159" s="581"/>
      <c r="C159" s="583"/>
      <c r="D159" s="201" t="str">
        <f>серпень!D159</f>
        <v xml:space="preserve">місцевий </v>
      </c>
      <c r="E159" s="220"/>
      <c r="F159" s="199"/>
      <c r="G159" s="199"/>
      <c r="H159" s="199"/>
      <c r="I159" s="199"/>
      <c r="J159" s="199"/>
      <c r="K159" s="199"/>
      <c r="L159" s="199">
        <f>SUM(F159:K159)</f>
        <v>0</v>
      </c>
      <c r="M159" s="199">
        <f>L159/6</f>
        <v>0</v>
      </c>
      <c r="N159" s="199"/>
      <c r="O159" s="199"/>
      <c r="P159" s="199"/>
      <c r="Q159" s="199"/>
      <c r="R159" s="199"/>
      <c r="S159" s="199"/>
      <c r="T159" s="199">
        <f>SUM(N159:S159)</f>
        <v>0</v>
      </c>
      <c r="U159" s="199">
        <f>T159+L159</f>
        <v>0</v>
      </c>
      <c r="V159" s="199">
        <f>V154</f>
        <v>0</v>
      </c>
      <c r="W159" s="221">
        <f>V159-U159</f>
        <v>0</v>
      </c>
    </row>
    <row r="160" spans="1:23" s="43" customFormat="1" ht="18" hidden="1" customHeight="1">
      <c r="A160" s="610"/>
      <c r="B160" s="581"/>
      <c r="C160" s="583"/>
      <c r="D160" s="202" t="str">
        <f>серпень!D160</f>
        <v>план</v>
      </c>
      <c r="E160" s="203"/>
      <c r="F160" s="203">
        <f t="shared" ref="F160:K160" si="194">F153+F154</f>
        <v>0</v>
      </c>
      <c r="G160" s="203">
        <f t="shared" si="194"/>
        <v>0</v>
      </c>
      <c r="H160" s="203">
        <f t="shared" si="194"/>
        <v>0</v>
      </c>
      <c r="I160" s="203">
        <f t="shared" si="194"/>
        <v>0</v>
      </c>
      <c r="J160" s="203">
        <f t="shared" si="194"/>
        <v>0</v>
      </c>
      <c r="K160" s="203">
        <f t="shared" si="194"/>
        <v>0</v>
      </c>
      <c r="L160" s="203">
        <f>SUM(F160:K160)</f>
        <v>0</v>
      </c>
      <c r="M160" s="203">
        <f>L160/6</f>
        <v>0</v>
      </c>
      <c r="N160" s="203">
        <f t="shared" ref="N160:S160" si="195">N154+N153</f>
        <v>0</v>
      </c>
      <c r="O160" s="203">
        <f t="shared" si="195"/>
        <v>0</v>
      </c>
      <c r="P160" s="203">
        <f t="shared" si="195"/>
        <v>0</v>
      </c>
      <c r="Q160" s="203">
        <f t="shared" si="195"/>
        <v>0</v>
      </c>
      <c r="R160" s="203">
        <f t="shared" si="195"/>
        <v>0</v>
      </c>
      <c r="S160" s="203">
        <f t="shared" si="195"/>
        <v>0</v>
      </c>
      <c r="T160" s="203">
        <f>SUM(N160:S160)</f>
        <v>0</v>
      </c>
      <c r="U160" s="203">
        <f>T160+L160</f>
        <v>0</v>
      </c>
      <c r="V160" s="203">
        <f>V157</f>
        <v>0</v>
      </c>
      <c r="W160" s="203">
        <f>V160-U160</f>
        <v>0</v>
      </c>
    </row>
    <row r="161" spans="1:24" s="43" customFormat="1" ht="18" hidden="1" customHeight="1">
      <c r="A161" s="610"/>
      <c r="B161" s="581"/>
      <c r="C161" s="583"/>
      <c r="D161" s="202" t="str">
        <f>серпень!D161</f>
        <v xml:space="preserve">відхилення </v>
      </c>
      <c r="E161" s="203"/>
      <c r="F161" s="203">
        <f t="shared" ref="F161:K161" si="196">F157-F160</f>
        <v>0</v>
      </c>
      <c r="G161" s="203">
        <f t="shared" si="196"/>
        <v>0</v>
      </c>
      <c r="H161" s="203">
        <f t="shared" si="196"/>
        <v>0</v>
      </c>
      <c r="I161" s="203">
        <f t="shared" si="196"/>
        <v>0</v>
      </c>
      <c r="J161" s="203">
        <f t="shared" si="196"/>
        <v>0</v>
      </c>
      <c r="K161" s="203">
        <f t="shared" si="196"/>
        <v>0</v>
      </c>
      <c r="L161" s="203"/>
      <c r="M161" s="203"/>
      <c r="N161" s="203">
        <f t="shared" ref="N161:S161" si="197">N157-N160</f>
        <v>0</v>
      </c>
      <c r="O161" s="203">
        <f t="shared" si="197"/>
        <v>0</v>
      </c>
      <c r="P161" s="203">
        <f t="shared" si="197"/>
        <v>0</v>
      </c>
      <c r="Q161" s="203">
        <f t="shared" si="197"/>
        <v>0</v>
      </c>
      <c r="R161" s="203">
        <f t="shared" si="197"/>
        <v>0</v>
      </c>
      <c r="S161" s="203">
        <f t="shared" si="197"/>
        <v>0</v>
      </c>
      <c r="T161" s="203"/>
      <c r="U161" s="203"/>
      <c r="V161" s="203"/>
      <c r="W161" s="203"/>
    </row>
    <row r="162" spans="1:24" s="43" customFormat="1" ht="27.1" hidden="1" customHeight="1">
      <c r="A162" s="610"/>
      <c r="B162" s="581"/>
      <c r="C162" s="584"/>
      <c r="D162" s="202" t="str">
        <f>серпень!D162</f>
        <v>відхилення з наростаючим</v>
      </c>
      <c r="E162" s="203"/>
      <c r="F162" s="203">
        <f>F161</f>
        <v>0</v>
      </c>
      <c r="G162" s="203">
        <f>G161+F162</f>
        <v>0</v>
      </c>
      <c r="H162" s="203">
        <f>H161+G162</f>
        <v>0</v>
      </c>
      <c r="I162" s="203">
        <f>I161+H162</f>
        <v>0</v>
      </c>
      <c r="J162" s="203">
        <f>J161+I162</f>
        <v>0</v>
      </c>
      <c r="K162" s="203">
        <f>K161+J162</f>
        <v>0</v>
      </c>
      <c r="L162" s="203"/>
      <c r="M162" s="203"/>
      <c r="N162" s="203">
        <f>N161+K162</f>
        <v>0</v>
      </c>
      <c r="O162" s="203">
        <f>O161+N162</f>
        <v>0</v>
      </c>
      <c r="P162" s="203">
        <f>P161+O162</f>
        <v>0</v>
      </c>
      <c r="Q162" s="203">
        <f>Q161+P162</f>
        <v>0</v>
      </c>
      <c r="R162" s="203">
        <f>R161+Q162</f>
        <v>0</v>
      </c>
      <c r="S162" s="203">
        <f>S161+R162</f>
        <v>0</v>
      </c>
      <c r="T162" s="203"/>
      <c r="U162" s="203"/>
      <c r="V162" s="203"/>
      <c r="W162" s="203"/>
    </row>
    <row r="163" spans="1:24" s="48" customFormat="1" ht="18" hidden="1" customHeight="1">
      <c r="A163" s="610"/>
      <c r="B163" s="576" t="s">
        <v>61</v>
      </c>
      <c r="C163" s="577"/>
      <c r="D163" s="178" t="str">
        <f>серпень!D163</f>
        <v>факт. нат.п-ки 2023</v>
      </c>
      <c r="E163" s="11"/>
      <c r="F163" s="12">
        <f t="shared" ref="F163:K165" si="198">F178+F193</f>
        <v>0</v>
      </c>
      <c r="G163" s="12">
        <f t="shared" si="198"/>
        <v>0</v>
      </c>
      <c r="H163" s="12">
        <f t="shared" si="198"/>
        <v>0</v>
      </c>
      <c r="I163" s="12">
        <f t="shared" si="198"/>
        <v>0</v>
      </c>
      <c r="J163" s="12">
        <f t="shared" si="198"/>
        <v>0</v>
      </c>
      <c r="K163" s="12">
        <f t="shared" si="198"/>
        <v>0</v>
      </c>
      <c r="L163" s="44">
        <f>SUM(F163:K163)</f>
        <v>0</v>
      </c>
      <c r="M163" s="44">
        <f>L163/6</f>
        <v>0</v>
      </c>
      <c r="N163" s="12">
        <f t="shared" ref="N163:S165" si="199">N178+N193</f>
        <v>0</v>
      </c>
      <c r="O163" s="12">
        <f t="shared" si="199"/>
        <v>0</v>
      </c>
      <c r="P163" s="12">
        <f t="shared" si="199"/>
        <v>0</v>
      </c>
      <c r="Q163" s="12">
        <f t="shared" si="199"/>
        <v>0</v>
      </c>
      <c r="R163" s="12">
        <f t="shared" si="199"/>
        <v>0</v>
      </c>
      <c r="S163" s="12">
        <f t="shared" si="199"/>
        <v>0</v>
      </c>
      <c r="T163" s="44">
        <f>SUM(N163:S163)</f>
        <v>0</v>
      </c>
      <c r="U163" s="45">
        <f>T163+L163</f>
        <v>0</v>
      </c>
      <c r="V163" s="46">
        <f>V178+V193</f>
        <v>0</v>
      </c>
      <c r="W163" s="38">
        <f>V163-U163</f>
        <v>0</v>
      </c>
      <c r="X163" s="47"/>
    </row>
    <row r="164" spans="1:24" s="48" customFormat="1" ht="18" hidden="1" customHeight="1">
      <c r="A164" s="610"/>
      <c r="B164" s="576"/>
      <c r="C164" s="577"/>
      <c r="D164" s="178" t="str">
        <f>серпень!D164</f>
        <v>факт. нат.п-ки 2024</v>
      </c>
      <c r="E164" s="11"/>
      <c r="F164" s="12">
        <f t="shared" si="198"/>
        <v>0</v>
      </c>
      <c r="G164" s="12">
        <f t="shared" si="198"/>
        <v>0</v>
      </c>
      <c r="H164" s="12">
        <f t="shared" si="198"/>
        <v>0</v>
      </c>
      <c r="I164" s="12">
        <f t="shared" si="198"/>
        <v>0</v>
      </c>
      <c r="J164" s="12">
        <f t="shared" si="198"/>
        <v>0</v>
      </c>
      <c r="K164" s="12">
        <f t="shared" si="198"/>
        <v>0</v>
      </c>
      <c r="L164" s="44">
        <f>SUM(F164:K164)</f>
        <v>0</v>
      </c>
      <c r="M164" s="44">
        <f>L164/6</f>
        <v>0</v>
      </c>
      <c r="N164" s="11">
        <f t="shared" si="199"/>
        <v>0</v>
      </c>
      <c r="O164" s="11">
        <f t="shared" si="199"/>
        <v>0</v>
      </c>
      <c r="P164" s="11">
        <f t="shared" si="199"/>
        <v>0</v>
      </c>
      <c r="Q164" s="11">
        <f t="shared" si="199"/>
        <v>0</v>
      </c>
      <c r="R164" s="11">
        <f t="shared" si="199"/>
        <v>0</v>
      </c>
      <c r="S164" s="11">
        <f t="shared" si="199"/>
        <v>0</v>
      </c>
      <c r="T164" s="44">
        <f>SUM(N164:S164)</f>
        <v>0</v>
      </c>
      <c r="U164" s="45">
        <f>T164+L164</f>
        <v>0</v>
      </c>
      <c r="V164" s="46">
        <f>V179+V194</f>
        <v>0</v>
      </c>
      <c r="W164" s="38">
        <f>V164-U164</f>
        <v>0</v>
      </c>
      <c r="X164" s="47"/>
    </row>
    <row r="165" spans="1:24" s="48" customFormat="1" ht="18" hidden="1" customHeight="1">
      <c r="A165" s="610"/>
      <c r="B165" s="576"/>
      <c r="C165" s="577"/>
      <c r="D165" s="178" t="str">
        <f>серпень!D165</f>
        <v>факт. нат.п-ки 2025</v>
      </c>
      <c r="E165" s="11"/>
      <c r="F165" s="12">
        <f t="shared" si="198"/>
        <v>0</v>
      </c>
      <c r="G165" s="12">
        <f t="shared" si="198"/>
        <v>0</v>
      </c>
      <c r="H165" s="12">
        <f t="shared" si="198"/>
        <v>0</v>
      </c>
      <c r="I165" s="12">
        <f t="shared" si="198"/>
        <v>0</v>
      </c>
      <c r="J165" s="12">
        <f t="shared" si="198"/>
        <v>0</v>
      </c>
      <c r="K165" s="12">
        <f t="shared" si="198"/>
        <v>0</v>
      </c>
      <c r="L165" s="44">
        <f>SUM(F165:K165)</f>
        <v>0</v>
      </c>
      <c r="M165" s="44">
        <f>L165/6</f>
        <v>0</v>
      </c>
      <c r="N165" s="12">
        <f t="shared" si="199"/>
        <v>0</v>
      </c>
      <c r="O165" s="12">
        <f t="shared" si="199"/>
        <v>0</v>
      </c>
      <c r="P165" s="12">
        <f t="shared" si="199"/>
        <v>0</v>
      </c>
      <c r="Q165" s="12">
        <f t="shared" si="199"/>
        <v>0</v>
      </c>
      <c r="R165" s="12">
        <f t="shared" si="199"/>
        <v>0</v>
      </c>
      <c r="S165" s="12">
        <f t="shared" si="199"/>
        <v>0</v>
      </c>
      <c r="T165" s="44">
        <f>SUM(N165:S165)</f>
        <v>0</v>
      </c>
      <c r="U165" s="45">
        <f>T165+L165</f>
        <v>0</v>
      </c>
      <c r="V165" s="46">
        <f>V180+V195</f>
        <v>0</v>
      </c>
      <c r="W165" s="38">
        <f>V165-U165</f>
        <v>0</v>
      </c>
      <c r="X165" s="47"/>
    </row>
    <row r="166" spans="1:24" s="51" customFormat="1" ht="18" hidden="1" customHeight="1">
      <c r="A166" s="610"/>
      <c r="B166" s="576"/>
      <c r="C166" s="577"/>
      <c r="D166" s="187" t="str">
        <f>серпень!D166</f>
        <v>тариф, грн.</v>
      </c>
      <c r="E166" s="49"/>
      <c r="F166" s="49" t="e">
        <f>F167/F165*1000</f>
        <v>#DIV/0!</v>
      </c>
      <c r="G166" s="49" t="e">
        <f>G167/G165*1000</f>
        <v>#DIV/0!</v>
      </c>
      <c r="H166" s="49" t="e">
        <f>H167/H165*1000</f>
        <v>#DIV/0!</v>
      </c>
      <c r="I166" s="49" t="e">
        <f>I167/I165*1000</f>
        <v>#DIV/0!</v>
      </c>
      <c r="J166" s="49" t="e">
        <f>J167/J165*1000</f>
        <v>#DIV/0!</v>
      </c>
      <c r="K166" s="49" t="e">
        <f t="shared" ref="K166:S166" si="200">K167/K165*1000</f>
        <v>#DIV/0!</v>
      </c>
      <c r="L166" s="49" t="e">
        <f t="shared" si="200"/>
        <v>#DIV/0!</v>
      </c>
      <c r="M166" s="49" t="e">
        <f t="shared" si="200"/>
        <v>#DIV/0!</v>
      </c>
      <c r="N166" s="49" t="e">
        <f t="shared" si="200"/>
        <v>#DIV/0!</v>
      </c>
      <c r="O166" s="49" t="e">
        <f t="shared" si="200"/>
        <v>#DIV/0!</v>
      </c>
      <c r="P166" s="49" t="e">
        <f t="shared" si="200"/>
        <v>#DIV/0!</v>
      </c>
      <c r="Q166" s="49" t="e">
        <f t="shared" si="200"/>
        <v>#DIV/0!</v>
      </c>
      <c r="R166" s="49" t="e">
        <f t="shared" si="200"/>
        <v>#DIV/0!</v>
      </c>
      <c r="S166" s="49" t="e">
        <f t="shared" si="200"/>
        <v>#DIV/0!</v>
      </c>
      <c r="T166" s="49" t="e">
        <f>T167/T165*1000</f>
        <v>#DIV/0!</v>
      </c>
      <c r="U166" s="49" t="e">
        <f>U167/U165*1000</f>
        <v>#DIV/0!</v>
      </c>
      <c r="V166" s="49" t="e">
        <f>V167/V165*1000</f>
        <v>#DIV/0!</v>
      </c>
      <c r="W166" s="14" t="e">
        <f>W167/W165*1000</f>
        <v>#DIV/0!</v>
      </c>
      <c r="X166" s="50"/>
    </row>
    <row r="167" spans="1:24" s="55" customFormat="1" ht="18" hidden="1" customHeight="1">
      <c r="A167" s="610"/>
      <c r="B167" s="576"/>
      <c r="C167" s="577"/>
      <c r="D167" s="191" t="str">
        <f>серпень!D167</f>
        <v>сума, тис.грн.</v>
      </c>
      <c r="E167" s="52"/>
      <c r="F167" s="52">
        <f t="shared" ref="F167:K170" si="201">F182+F197</f>
        <v>0</v>
      </c>
      <c r="G167" s="52">
        <f t="shared" si="201"/>
        <v>0</v>
      </c>
      <c r="H167" s="52">
        <f t="shared" si="201"/>
        <v>0</v>
      </c>
      <c r="I167" s="52">
        <f t="shared" si="201"/>
        <v>0</v>
      </c>
      <c r="J167" s="52">
        <f t="shared" si="201"/>
        <v>0</v>
      </c>
      <c r="K167" s="52">
        <f t="shared" si="201"/>
        <v>0</v>
      </c>
      <c r="L167" s="52">
        <f>SUM(F167:K167)</f>
        <v>0</v>
      </c>
      <c r="M167" s="52">
        <f>L167/6</f>
        <v>0</v>
      </c>
      <c r="N167" s="52">
        <f t="shared" ref="N167:S170" si="202">N182+N197</f>
        <v>0</v>
      </c>
      <c r="O167" s="52">
        <f t="shared" si="202"/>
        <v>0</v>
      </c>
      <c r="P167" s="52">
        <f t="shared" si="202"/>
        <v>0</v>
      </c>
      <c r="Q167" s="52">
        <f t="shared" si="202"/>
        <v>0</v>
      </c>
      <c r="R167" s="52">
        <f t="shared" si="202"/>
        <v>0</v>
      </c>
      <c r="S167" s="52">
        <f t="shared" si="202"/>
        <v>0</v>
      </c>
      <c r="T167" s="52">
        <f>SUM(N167:S167)</f>
        <v>0</v>
      </c>
      <c r="U167" s="52">
        <f>T167+L167</f>
        <v>0</v>
      </c>
      <c r="V167" s="53">
        <f>V182+V197</f>
        <v>0</v>
      </c>
      <c r="W167" s="53">
        <f>V167-U167</f>
        <v>0</v>
      </c>
      <c r="X167" s="54">
        <f>9891253.845/1000</f>
        <v>9891.2540000000008</v>
      </c>
    </row>
    <row r="168" spans="1:24" s="55" customFormat="1" ht="18" hidden="1" customHeight="1">
      <c r="A168" s="610"/>
      <c r="B168" s="576"/>
      <c r="C168" s="577"/>
      <c r="D168" s="174" t="str">
        <f>серпень!D168</f>
        <v>дотація</v>
      </c>
      <c r="E168" s="56"/>
      <c r="F168" s="52">
        <f t="shared" si="201"/>
        <v>0</v>
      </c>
      <c r="G168" s="52">
        <f t="shared" si="201"/>
        <v>0</v>
      </c>
      <c r="H168" s="52">
        <f t="shared" si="201"/>
        <v>0</v>
      </c>
      <c r="I168" s="52">
        <f t="shared" si="201"/>
        <v>0</v>
      </c>
      <c r="J168" s="52">
        <f t="shared" si="201"/>
        <v>0</v>
      </c>
      <c r="K168" s="52">
        <f t="shared" si="201"/>
        <v>0</v>
      </c>
      <c r="L168" s="52">
        <f>SUM(F168:K168)</f>
        <v>0</v>
      </c>
      <c r="M168" s="52">
        <f>L168/6</f>
        <v>0</v>
      </c>
      <c r="N168" s="52">
        <f t="shared" si="202"/>
        <v>0</v>
      </c>
      <c r="O168" s="52">
        <f t="shared" si="202"/>
        <v>0</v>
      </c>
      <c r="P168" s="52">
        <f t="shared" si="202"/>
        <v>0</v>
      </c>
      <c r="Q168" s="52">
        <f t="shared" si="202"/>
        <v>0</v>
      </c>
      <c r="R168" s="52">
        <f t="shared" si="202"/>
        <v>0</v>
      </c>
      <c r="S168" s="52">
        <f t="shared" si="202"/>
        <v>0</v>
      </c>
      <c r="T168" s="52">
        <f>SUM(N168:S168)</f>
        <v>0</v>
      </c>
      <c r="U168" s="52">
        <f>T168+L168</f>
        <v>0</v>
      </c>
      <c r="V168" s="53">
        <f>V183+V198</f>
        <v>0</v>
      </c>
      <c r="W168" s="57">
        <f>V168-U168</f>
        <v>0</v>
      </c>
      <c r="X168" s="58"/>
    </row>
    <row r="169" spans="1:24" s="55" customFormat="1" ht="18" hidden="1" customHeight="1">
      <c r="A169" s="610"/>
      <c r="B169" s="576"/>
      <c r="C169" s="577"/>
      <c r="D169" s="174" t="str">
        <f>серпень!D169</f>
        <v>місцевий (план), тис.грн</v>
      </c>
      <c r="E169" s="56"/>
      <c r="F169" s="52">
        <f t="shared" si="201"/>
        <v>0</v>
      </c>
      <c r="G169" s="52">
        <f t="shared" si="201"/>
        <v>0</v>
      </c>
      <c r="H169" s="52">
        <f t="shared" si="201"/>
        <v>0</v>
      </c>
      <c r="I169" s="52">
        <f t="shared" si="201"/>
        <v>0</v>
      </c>
      <c r="J169" s="52">
        <f t="shared" si="201"/>
        <v>0</v>
      </c>
      <c r="K169" s="52">
        <f t="shared" si="201"/>
        <v>0</v>
      </c>
      <c r="L169" s="52">
        <f>SUM(F169:K169)</f>
        <v>0</v>
      </c>
      <c r="M169" s="52">
        <f>L169/6</f>
        <v>0</v>
      </c>
      <c r="N169" s="52">
        <f t="shared" si="202"/>
        <v>0</v>
      </c>
      <c r="O169" s="52">
        <f t="shared" si="202"/>
        <v>0</v>
      </c>
      <c r="P169" s="52">
        <f t="shared" si="202"/>
        <v>0</v>
      </c>
      <c r="Q169" s="52">
        <f t="shared" si="202"/>
        <v>0</v>
      </c>
      <c r="R169" s="52">
        <f t="shared" si="202"/>
        <v>0</v>
      </c>
      <c r="S169" s="52">
        <f t="shared" si="202"/>
        <v>0</v>
      </c>
      <c r="T169" s="52">
        <f>SUM(N169:S169)</f>
        <v>0</v>
      </c>
      <c r="U169" s="52">
        <f>T169+L169</f>
        <v>0</v>
      </c>
      <c r="V169" s="53">
        <f>V184+V199</f>
        <v>0</v>
      </c>
      <c r="W169" s="53">
        <f>V169-U169</f>
        <v>0</v>
      </c>
      <c r="X169" s="58"/>
    </row>
    <row r="170" spans="1:24" s="48" customFormat="1" ht="18" hidden="1" customHeight="1">
      <c r="A170" s="610"/>
      <c r="B170" s="576"/>
      <c r="C170" s="577"/>
      <c r="D170" s="178" t="str">
        <f>серпень!D170</f>
        <v>касові нат.п-ки 2025</v>
      </c>
      <c r="E170" s="11">
        <f>E185+E200</f>
        <v>0</v>
      </c>
      <c r="F170" s="11">
        <f t="shared" si="201"/>
        <v>0</v>
      </c>
      <c r="G170" s="11">
        <f t="shared" si="201"/>
        <v>0</v>
      </c>
      <c r="H170" s="11">
        <f t="shared" si="201"/>
        <v>0</v>
      </c>
      <c r="I170" s="11">
        <f t="shared" si="201"/>
        <v>0</v>
      </c>
      <c r="J170" s="11">
        <f t="shared" si="201"/>
        <v>0</v>
      </c>
      <c r="K170" s="11">
        <f t="shared" si="201"/>
        <v>0</v>
      </c>
      <c r="L170" s="44">
        <f>SUM(F170:K170)</f>
        <v>0</v>
      </c>
      <c r="M170" s="44">
        <f>L170/6</f>
        <v>0</v>
      </c>
      <c r="N170" s="11">
        <f t="shared" si="202"/>
        <v>0</v>
      </c>
      <c r="O170" s="11">
        <f t="shared" si="202"/>
        <v>0</v>
      </c>
      <c r="P170" s="11">
        <f t="shared" si="202"/>
        <v>0</v>
      </c>
      <c r="Q170" s="11">
        <f t="shared" si="202"/>
        <v>0</v>
      </c>
      <c r="R170" s="11">
        <f t="shared" si="202"/>
        <v>0</v>
      </c>
      <c r="S170" s="11">
        <f t="shared" si="202"/>
        <v>0</v>
      </c>
      <c r="T170" s="44">
        <f>SUM(N170:S170)</f>
        <v>0</v>
      </c>
      <c r="U170" s="44">
        <f>T170+L170</f>
        <v>0</v>
      </c>
      <c r="V170" s="38">
        <f>V185+V200</f>
        <v>0</v>
      </c>
      <c r="W170" s="38">
        <f>V170-U170</f>
        <v>0</v>
      </c>
      <c r="X170" s="47">
        <f>U165-U170</f>
        <v>0</v>
      </c>
    </row>
    <row r="171" spans="1:24" s="51" customFormat="1" ht="18" hidden="1" customHeight="1">
      <c r="A171" s="610"/>
      <c r="B171" s="576"/>
      <c r="C171" s="577"/>
      <c r="D171" s="187" t="str">
        <f>серпень!D171</f>
        <v>тариф, грн.</v>
      </c>
      <c r="E171" s="49" t="e">
        <f t="shared" ref="E171:S171" si="203">E172/E170*1000</f>
        <v>#DIV/0!</v>
      </c>
      <c r="F171" s="49" t="e">
        <f t="shared" si="203"/>
        <v>#DIV/0!</v>
      </c>
      <c r="G171" s="49" t="e">
        <f t="shared" si="203"/>
        <v>#DIV/0!</v>
      </c>
      <c r="H171" s="49" t="e">
        <f t="shared" si="203"/>
        <v>#DIV/0!</v>
      </c>
      <c r="I171" s="49" t="e">
        <f t="shared" si="203"/>
        <v>#DIV/0!</v>
      </c>
      <c r="J171" s="49" t="e">
        <f t="shared" si="203"/>
        <v>#DIV/0!</v>
      </c>
      <c r="K171" s="49" t="e">
        <f t="shared" si="203"/>
        <v>#DIV/0!</v>
      </c>
      <c r="L171" s="49" t="e">
        <f t="shared" si="203"/>
        <v>#DIV/0!</v>
      </c>
      <c r="M171" s="49" t="e">
        <f t="shared" si="203"/>
        <v>#DIV/0!</v>
      </c>
      <c r="N171" s="49" t="e">
        <f t="shared" si="203"/>
        <v>#DIV/0!</v>
      </c>
      <c r="O171" s="49" t="e">
        <f t="shared" si="203"/>
        <v>#DIV/0!</v>
      </c>
      <c r="P171" s="49" t="e">
        <f t="shared" si="203"/>
        <v>#DIV/0!</v>
      </c>
      <c r="Q171" s="49" t="e">
        <f t="shared" si="203"/>
        <v>#DIV/0!</v>
      </c>
      <c r="R171" s="49" t="e">
        <f t="shared" si="203"/>
        <v>#DIV/0!</v>
      </c>
      <c r="S171" s="49" t="e">
        <f t="shared" si="203"/>
        <v>#DIV/0!</v>
      </c>
      <c r="T171" s="49" t="e">
        <f>T172/T170*1000</f>
        <v>#DIV/0!</v>
      </c>
      <c r="U171" s="49" t="e">
        <f>U172/U170*1000</f>
        <v>#DIV/0!</v>
      </c>
      <c r="V171" s="49" t="e">
        <f>V172/V170*1000</f>
        <v>#DIV/0!</v>
      </c>
      <c r="W171" s="14" t="e">
        <f>W172/W170*1000</f>
        <v>#DIV/0!</v>
      </c>
      <c r="X171" s="59"/>
    </row>
    <row r="172" spans="1:24" s="63" customFormat="1" ht="18" hidden="1" customHeight="1">
      <c r="A172" s="610"/>
      <c r="B172" s="576"/>
      <c r="C172" s="577"/>
      <c r="D172" s="198" t="str">
        <f>серпень!D172</f>
        <v>касові видатки, тис.грн.</v>
      </c>
      <c r="E172" s="60">
        <f t="shared" ref="E172:K174" si="204">E187+E202</f>
        <v>0</v>
      </c>
      <c r="F172" s="61">
        <f t="shared" si="204"/>
        <v>0</v>
      </c>
      <c r="G172" s="61">
        <f t="shared" si="204"/>
        <v>0</v>
      </c>
      <c r="H172" s="61">
        <f t="shared" si="204"/>
        <v>0</v>
      </c>
      <c r="I172" s="61">
        <f t="shared" si="204"/>
        <v>0</v>
      </c>
      <c r="J172" s="61">
        <f t="shared" si="204"/>
        <v>0</v>
      </c>
      <c r="K172" s="61">
        <f t="shared" si="204"/>
        <v>0</v>
      </c>
      <c r="L172" s="61">
        <f>SUM(F172:K172)</f>
        <v>0</v>
      </c>
      <c r="M172" s="61">
        <f>L172/6</f>
        <v>0</v>
      </c>
      <c r="N172" s="61">
        <f t="shared" ref="N172:S174" si="205">N187+N202</f>
        <v>0</v>
      </c>
      <c r="O172" s="61">
        <f t="shared" si="205"/>
        <v>0</v>
      </c>
      <c r="P172" s="61">
        <f t="shared" si="205"/>
        <v>0</v>
      </c>
      <c r="Q172" s="61">
        <f t="shared" si="205"/>
        <v>0</v>
      </c>
      <c r="R172" s="61">
        <f t="shared" si="205"/>
        <v>0</v>
      </c>
      <c r="S172" s="61">
        <f t="shared" si="205"/>
        <v>0</v>
      </c>
      <c r="T172" s="61">
        <f>SUM(N172:S172)</f>
        <v>0</v>
      </c>
      <c r="U172" s="61">
        <f>T172+L172</f>
        <v>0</v>
      </c>
      <c r="V172" s="62">
        <f>V187+V202</f>
        <v>0</v>
      </c>
      <c r="W172" s="62">
        <f>V172-U172</f>
        <v>0</v>
      </c>
      <c r="X172" s="63">
        <f>U167-U172</f>
        <v>0</v>
      </c>
    </row>
    <row r="173" spans="1:24" s="63" customFormat="1" ht="18" hidden="1" customHeight="1">
      <c r="A173" s="610"/>
      <c r="B173" s="576"/>
      <c r="C173" s="577"/>
      <c r="D173" s="201" t="str">
        <f>серпень!D173</f>
        <v>дотація</v>
      </c>
      <c r="E173" s="60"/>
      <c r="F173" s="61">
        <f t="shared" si="204"/>
        <v>0</v>
      </c>
      <c r="G173" s="61">
        <f t="shared" si="204"/>
        <v>0</v>
      </c>
      <c r="H173" s="61">
        <f t="shared" si="204"/>
        <v>0</v>
      </c>
      <c r="I173" s="61">
        <f t="shared" si="204"/>
        <v>0</v>
      </c>
      <c r="J173" s="61">
        <f>J188+J203</f>
        <v>0</v>
      </c>
      <c r="K173" s="61">
        <f t="shared" si="204"/>
        <v>0</v>
      </c>
      <c r="L173" s="61">
        <f>SUM(F173:K173)</f>
        <v>0</v>
      </c>
      <c r="M173" s="61">
        <f>L173/6</f>
        <v>0</v>
      </c>
      <c r="N173" s="61">
        <f t="shared" si="205"/>
        <v>0</v>
      </c>
      <c r="O173" s="61">
        <f t="shared" si="205"/>
        <v>0</v>
      </c>
      <c r="P173" s="61">
        <f t="shared" si="205"/>
        <v>0</v>
      </c>
      <c r="Q173" s="61">
        <f t="shared" si="205"/>
        <v>0</v>
      </c>
      <c r="R173" s="61">
        <f t="shared" si="205"/>
        <v>0</v>
      </c>
      <c r="S173" s="61">
        <f t="shared" si="205"/>
        <v>0</v>
      </c>
      <c r="T173" s="61">
        <f>SUM(N173:S173)</f>
        <v>0</v>
      </c>
      <c r="U173" s="61">
        <f>T173+L173</f>
        <v>0</v>
      </c>
      <c r="V173" s="62">
        <f>V188+V203</f>
        <v>0</v>
      </c>
      <c r="W173" s="62">
        <f>V173-U173</f>
        <v>0</v>
      </c>
      <c r="X173" s="63">
        <f>U168-U173</f>
        <v>0</v>
      </c>
    </row>
    <row r="174" spans="1:24" s="63" customFormat="1" ht="18" hidden="1" customHeight="1">
      <c r="A174" s="610"/>
      <c r="B174" s="576"/>
      <c r="C174" s="577"/>
      <c r="D174" s="201" t="str">
        <f>серпень!D174</f>
        <v xml:space="preserve">місцевий </v>
      </c>
      <c r="E174" s="60"/>
      <c r="F174" s="61">
        <f t="shared" si="204"/>
        <v>0</v>
      </c>
      <c r="G174" s="61">
        <f t="shared" si="204"/>
        <v>0</v>
      </c>
      <c r="H174" s="61">
        <f t="shared" si="204"/>
        <v>0</v>
      </c>
      <c r="I174" s="61">
        <f t="shared" si="204"/>
        <v>0</v>
      </c>
      <c r="J174" s="61">
        <f>J189+J204</f>
        <v>0</v>
      </c>
      <c r="K174" s="61">
        <f t="shared" si="204"/>
        <v>0</v>
      </c>
      <c r="L174" s="61">
        <f>SUM(F174:K174)</f>
        <v>0</v>
      </c>
      <c r="M174" s="61">
        <f>L174/6</f>
        <v>0</v>
      </c>
      <c r="N174" s="61">
        <f t="shared" si="205"/>
        <v>0</v>
      </c>
      <c r="O174" s="61">
        <f t="shared" si="205"/>
        <v>0</v>
      </c>
      <c r="P174" s="61">
        <f t="shared" si="205"/>
        <v>0</v>
      </c>
      <c r="Q174" s="61">
        <f t="shared" si="205"/>
        <v>0</v>
      </c>
      <c r="R174" s="61">
        <f t="shared" si="205"/>
        <v>0</v>
      </c>
      <c r="S174" s="61">
        <f t="shared" si="205"/>
        <v>0</v>
      </c>
      <c r="T174" s="61">
        <f>SUM(N174:S174)</f>
        <v>0</v>
      </c>
      <c r="U174" s="61">
        <f>T174+L174</f>
        <v>0</v>
      </c>
      <c r="V174" s="62">
        <f>V189+V204</f>
        <v>0</v>
      </c>
      <c r="W174" s="62">
        <f>V174-U174</f>
        <v>0</v>
      </c>
      <c r="X174" s="63">
        <f>U169-U174</f>
        <v>0</v>
      </c>
    </row>
    <row r="175" spans="1:24" s="43" customFormat="1" ht="18" hidden="1" customHeight="1">
      <c r="A175" s="610"/>
      <c r="B175" s="576"/>
      <c r="C175" s="577"/>
      <c r="D175" s="202" t="str">
        <f>серпень!D175</f>
        <v>план</v>
      </c>
      <c r="E175" s="42"/>
      <c r="F175" s="42">
        <f t="shared" ref="F175:K175" si="206">F169</f>
        <v>0</v>
      </c>
      <c r="G175" s="42">
        <f t="shared" si="206"/>
        <v>0</v>
      </c>
      <c r="H175" s="42">
        <f t="shared" si="206"/>
        <v>0</v>
      </c>
      <c r="I175" s="42">
        <f t="shared" si="206"/>
        <v>0</v>
      </c>
      <c r="J175" s="42">
        <f t="shared" si="206"/>
        <v>0</v>
      </c>
      <c r="K175" s="42">
        <f t="shared" si="206"/>
        <v>0</v>
      </c>
      <c r="L175" s="42">
        <f>SUM(F175:K175)</f>
        <v>0</v>
      </c>
      <c r="M175" s="42">
        <f>L175/6</f>
        <v>0</v>
      </c>
      <c r="N175" s="42">
        <f t="shared" ref="N175:S175" si="207">N169+N168</f>
        <v>0</v>
      </c>
      <c r="O175" s="42">
        <f t="shared" si="207"/>
        <v>0</v>
      </c>
      <c r="P175" s="42">
        <f t="shared" si="207"/>
        <v>0</v>
      </c>
      <c r="Q175" s="42">
        <f t="shared" si="207"/>
        <v>0</v>
      </c>
      <c r="R175" s="42">
        <f t="shared" si="207"/>
        <v>0</v>
      </c>
      <c r="S175" s="42">
        <f t="shared" si="207"/>
        <v>0</v>
      </c>
      <c r="T175" s="42">
        <f>SUM(N175:S175)</f>
        <v>0</v>
      </c>
      <c r="U175" s="42">
        <f>T175+L175</f>
        <v>0</v>
      </c>
      <c r="V175" s="64">
        <f>V190+V205</f>
        <v>0</v>
      </c>
      <c r="W175" s="64">
        <f>V175-U175</f>
        <v>0</v>
      </c>
    </row>
    <row r="176" spans="1:24" s="43" customFormat="1" ht="18" hidden="1" customHeight="1">
      <c r="A176" s="610"/>
      <c r="B176" s="576"/>
      <c r="C176" s="577"/>
      <c r="D176" s="202" t="str">
        <f>серпень!D176</f>
        <v xml:space="preserve">відхилення </v>
      </c>
      <c r="E176" s="42"/>
      <c r="F176" s="42">
        <f t="shared" ref="F176:K176" si="208">F172-F175</f>
        <v>0</v>
      </c>
      <c r="G176" s="42">
        <f t="shared" si="208"/>
        <v>0</v>
      </c>
      <c r="H176" s="42">
        <f t="shared" si="208"/>
        <v>0</v>
      </c>
      <c r="I176" s="42">
        <f t="shared" si="208"/>
        <v>0</v>
      </c>
      <c r="J176" s="42">
        <f t="shared" si="208"/>
        <v>0</v>
      </c>
      <c r="K176" s="42">
        <f t="shared" si="208"/>
        <v>0</v>
      </c>
      <c r="L176" s="42"/>
      <c r="M176" s="42"/>
      <c r="N176" s="42">
        <f t="shared" ref="N176:S176" si="209">N172-N175</f>
        <v>0</v>
      </c>
      <c r="O176" s="42">
        <f t="shared" si="209"/>
        <v>0</v>
      </c>
      <c r="P176" s="42">
        <f t="shared" si="209"/>
        <v>0</v>
      </c>
      <c r="Q176" s="42">
        <f t="shared" si="209"/>
        <v>0</v>
      </c>
      <c r="R176" s="42">
        <f t="shared" si="209"/>
        <v>0</v>
      </c>
      <c r="S176" s="42">
        <f t="shared" si="209"/>
        <v>0</v>
      </c>
      <c r="T176" s="42"/>
      <c r="U176" s="42"/>
      <c r="V176" s="42"/>
      <c r="W176" s="42"/>
    </row>
    <row r="177" spans="1:24" s="43" customFormat="1" ht="18" hidden="1" customHeight="1">
      <c r="A177" s="610"/>
      <c r="B177" s="576"/>
      <c r="C177" s="577"/>
      <c r="D177" s="202" t="str">
        <f>серпень!D177</f>
        <v>відхилення з наростаючим</v>
      </c>
      <c r="E177" s="42"/>
      <c r="F177" s="42">
        <f>F176</f>
        <v>0</v>
      </c>
      <c r="G177" s="42">
        <f>G176+F177</f>
        <v>0</v>
      </c>
      <c r="H177" s="42">
        <f>H176+G177</f>
        <v>0</v>
      </c>
      <c r="I177" s="42">
        <f>I176+H177</f>
        <v>0</v>
      </c>
      <c r="J177" s="42">
        <f>J176+I177</f>
        <v>0</v>
      </c>
      <c r="K177" s="42">
        <f>K176+J177</f>
        <v>0</v>
      </c>
      <c r="L177" s="42"/>
      <c r="M177" s="42"/>
      <c r="N177" s="42">
        <f>N176+K177</f>
        <v>0</v>
      </c>
      <c r="O177" s="42">
        <f>O176+N177</f>
        <v>0</v>
      </c>
      <c r="P177" s="42">
        <f>P176+O177</f>
        <v>0</v>
      </c>
      <c r="Q177" s="42">
        <f>Q176+P177</f>
        <v>0</v>
      </c>
      <c r="R177" s="42">
        <f>R176+Q177</f>
        <v>0</v>
      </c>
      <c r="S177" s="42">
        <f>S176+R177</f>
        <v>0</v>
      </c>
      <c r="T177" s="42"/>
      <c r="U177" s="42"/>
      <c r="V177" s="42"/>
      <c r="W177" s="42"/>
    </row>
    <row r="178" spans="1:24" s="47" customFormat="1" ht="18" hidden="1" customHeight="1">
      <c r="A178" s="610"/>
      <c r="B178" s="581" t="s">
        <v>89</v>
      </c>
      <c r="C178" s="581"/>
      <c r="D178" s="178" t="str">
        <f>серпень!D178</f>
        <v>факт. нат.п-ки 2023</v>
      </c>
      <c r="E178" s="11"/>
      <c r="F178" s="12"/>
      <c r="G178" s="12"/>
      <c r="H178" s="12"/>
      <c r="I178" s="12"/>
      <c r="J178" s="12"/>
      <c r="K178" s="12"/>
      <c r="L178" s="65">
        <f>SUM(F178:K178)</f>
        <v>0</v>
      </c>
      <c r="M178" s="65">
        <f>L178/6</f>
        <v>0</v>
      </c>
      <c r="N178" s="12"/>
      <c r="O178" s="12"/>
      <c r="P178" s="12"/>
      <c r="Q178" s="12"/>
      <c r="R178" s="12"/>
      <c r="S178" s="12"/>
      <c r="T178" s="65">
        <f>SUM(N178:S178)</f>
        <v>0</v>
      </c>
      <c r="U178" s="66">
        <f>T178+L178</f>
        <v>0</v>
      </c>
      <c r="V178" s="67"/>
      <c r="W178" s="38">
        <f>V178-U178</f>
        <v>0</v>
      </c>
    </row>
    <row r="179" spans="1:24" s="47" customFormat="1" ht="18" hidden="1" customHeight="1">
      <c r="A179" s="610"/>
      <c r="B179" s="581"/>
      <c r="C179" s="581"/>
      <c r="D179" s="178" t="str">
        <f>серпень!D179</f>
        <v>факт. нат.п-ки 2024</v>
      </c>
      <c r="E179" s="11"/>
      <c r="F179" s="12"/>
      <c r="G179" s="12"/>
      <c r="H179" s="12"/>
      <c r="I179" s="12"/>
      <c r="J179" s="12"/>
      <c r="K179" s="12"/>
      <c r="L179" s="65">
        <f>SUM(F179:K179)</f>
        <v>0</v>
      </c>
      <c r="M179" s="65">
        <f>L179/6</f>
        <v>0</v>
      </c>
      <c r="N179" s="11"/>
      <c r="O179" s="11"/>
      <c r="P179" s="11"/>
      <c r="Q179" s="11"/>
      <c r="R179" s="11"/>
      <c r="S179" s="11"/>
      <c r="T179" s="65">
        <f>SUM(N179:S179)</f>
        <v>0</v>
      </c>
      <c r="U179" s="66">
        <f>T179+L179</f>
        <v>0</v>
      </c>
      <c r="V179" s="67"/>
      <c r="W179" s="38">
        <f>V179-U179</f>
        <v>0</v>
      </c>
    </row>
    <row r="180" spans="1:24" s="47" customFormat="1" ht="18" hidden="1" customHeight="1">
      <c r="A180" s="610"/>
      <c r="B180" s="581"/>
      <c r="C180" s="581"/>
      <c r="D180" s="178" t="str">
        <f>серпень!D180</f>
        <v>факт. нат.п-ки 2025</v>
      </c>
      <c r="E180" s="11"/>
      <c r="F180" s="12"/>
      <c r="G180" s="12"/>
      <c r="H180" s="12"/>
      <c r="I180" s="12"/>
      <c r="J180" s="12"/>
      <c r="K180" s="12"/>
      <c r="L180" s="65">
        <f>SUM(F180:K180)</f>
        <v>0</v>
      </c>
      <c r="M180" s="65">
        <f>L180/6</f>
        <v>0</v>
      </c>
      <c r="N180" s="12"/>
      <c r="O180" s="12"/>
      <c r="P180" s="12"/>
      <c r="Q180" s="12"/>
      <c r="R180" s="12"/>
      <c r="S180" s="11"/>
      <c r="T180" s="65">
        <f>SUM(N180:S180)</f>
        <v>0</v>
      </c>
      <c r="U180" s="66">
        <f>T180+L180</f>
        <v>0</v>
      </c>
      <c r="V180" s="11"/>
      <c r="W180" s="38">
        <f>V180-U180</f>
        <v>0</v>
      </c>
    </row>
    <row r="181" spans="1:24" s="47" customFormat="1" ht="18" hidden="1" customHeight="1">
      <c r="A181" s="610"/>
      <c r="B181" s="581"/>
      <c r="C181" s="581"/>
      <c r="D181" s="187" t="str">
        <f>серпень!D181</f>
        <v>тариф, грн.</v>
      </c>
      <c r="E181" s="49"/>
      <c r="F181" s="49">
        <v>2665.4160000000002</v>
      </c>
      <c r="G181" s="49">
        <v>2665.4160000000002</v>
      </c>
      <c r="H181" s="49">
        <v>2665.4160000000002</v>
      </c>
      <c r="I181" s="49">
        <v>2665.4160000000002</v>
      </c>
      <c r="J181" s="49">
        <v>2665.4160000000002</v>
      </c>
      <c r="K181" s="49">
        <v>2665.4160000000002</v>
      </c>
      <c r="L181" s="49" t="e">
        <f>L182/L180*1000</f>
        <v>#DIV/0!</v>
      </c>
      <c r="M181" s="49" t="e">
        <f>M182/M180*1000</f>
        <v>#DIV/0!</v>
      </c>
      <c r="N181" s="49">
        <v>2665.4160000000002</v>
      </c>
      <c r="O181" s="49">
        <v>2665.4160000000002</v>
      </c>
      <c r="P181" s="49">
        <v>2665.4160000000002</v>
      </c>
      <c r="Q181" s="49">
        <v>2665.4160000000002</v>
      </c>
      <c r="R181" s="49">
        <v>2665.4160000000002</v>
      </c>
      <c r="S181" s="49">
        <v>2665.4160000000002</v>
      </c>
      <c r="T181" s="49" t="e">
        <f>T182/T180*1000</f>
        <v>#DIV/0!</v>
      </c>
      <c r="U181" s="49" t="e">
        <f>U182/U180*1000</f>
        <v>#DIV/0!</v>
      </c>
      <c r="V181" s="68" t="e">
        <f>V182/V180*1000</f>
        <v>#DIV/0!</v>
      </c>
      <c r="W181" s="14" t="e">
        <f>W182/W180*1000</f>
        <v>#DIV/0!</v>
      </c>
    </row>
    <row r="182" spans="1:24" s="47" customFormat="1" ht="18" hidden="1" customHeight="1">
      <c r="A182" s="610"/>
      <c r="B182" s="581"/>
      <c r="C182" s="581"/>
      <c r="D182" s="191" t="str">
        <f>серпень!D182</f>
        <v>сума, тис.грн.</v>
      </c>
      <c r="E182" s="52"/>
      <c r="F182" s="52">
        <f t="shared" ref="F182:K182" si="210">F180*F181/1000</f>
        <v>0</v>
      </c>
      <c r="G182" s="52">
        <f t="shared" si="210"/>
        <v>0</v>
      </c>
      <c r="H182" s="52">
        <f t="shared" si="210"/>
        <v>0</v>
      </c>
      <c r="I182" s="52">
        <f t="shared" si="210"/>
        <v>0</v>
      </c>
      <c r="J182" s="52">
        <f t="shared" si="210"/>
        <v>0</v>
      </c>
      <c r="K182" s="52">
        <f t="shared" si="210"/>
        <v>0</v>
      </c>
      <c r="L182" s="69">
        <f>SUM(F182:K182)</f>
        <v>0</v>
      </c>
      <c r="M182" s="69">
        <f>L182/6</f>
        <v>0</v>
      </c>
      <c r="N182" s="52">
        <f t="shared" ref="N182:S182" si="211">N180*N181/1000</f>
        <v>0</v>
      </c>
      <c r="O182" s="52">
        <f t="shared" si="211"/>
        <v>0</v>
      </c>
      <c r="P182" s="52">
        <f t="shared" si="211"/>
        <v>0</v>
      </c>
      <c r="Q182" s="52">
        <f t="shared" si="211"/>
        <v>0</v>
      </c>
      <c r="R182" s="52">
        <f t="shared" si="211"/>
        <v>0</v>
      </c>
      <c r="S182" s="52">
        <f t="shared" si="211"/>
        <v>0</v>
      </c>
      <c r="T182" s="69">
        <f>SUM(N182:S182)</f>
        <v>0</v>
      </c>
      <c r="U182" s="69">
        <f>T182+L182</f>
        <v>0</v>
      </c>
      <c r="V182" s="70">
        <f>V183+V184</f>
        <v>0</v>
      </c>
      <c r="W182" s="53">
        <f>V182-U182</f>
        <v>0</v>
      </c>
    </row>
    <row r="183" spans="1:24" s="47" customFormat="1" ht="18" hidden="1" customHeight="1">
      <c r="A183" s="610"/>
      <c r="B183" s="581"/>
      <c r="C183" s="581"/>
      <c r="D183" s="174" t="str">
        <f>серпень!D183</f>
        <v>дотація</v>
      </c>
      <c r="E183" s="56"/>
      <c r="F183" s="52"/>
      <c r="G183" s="52"/>
      <c r="H183" s="52"/>
      <c r="I183" s="52"/>
      <c r="J183" s="52"/>
      <c r="K183" s="52"/>
      <c r="L183" s="69">
        <f>SUM(F183:K183)</f>
        <v>0</v>
      </c>
      <c r="M183" s="69">
        <f>L183/6</f>
        <v>0</v>
      </c>
      <c r="N183" s="52"/>
      <c r="O183" s="52"/>
      <c r="P183" s="52"/>
      <c r="Q183" s="52"/>
      <c r="R183" s="52"/>
      <c r="S183" s="52"/>
      <c r="T183" s="69">
        <f>SUM(N183:S183)</f>
        <v>0</v>
      </c>
      <c r="U183" s="69">
        <f>T183+L183</f>
        <v>0</v>
      </c>
      <c r="V183" s="70"/>
      <c r="W183" s="53">
        <f>V183-U183</f>
        <v>0</v>
      </c>
    </row>
    <row r="184" spans="1:24" s="47" customFormat="1" ht="18" hidden="1" customHeight="1">
      <c r="A184" s="610"/>
      <c r="B184" s="581"/>
      <c r="C184" s="581"/>
      <c r="D184" s="174" t="str">
        <f>серпень!D184</f>
        <v>місцевий (план), тис.грн</v>
      </c>
      <c r="E184" s="56"/>
      <c r="F184" s="52"/>
      <c r="G184" s="52"/>
      <c r="H184" s="52"/>
      <c r="I184" s="52"/>
      <c r="J184" s="52"/>
      <c r="K184" s="52"/>
      <c r="L184" s="69">
        <f>SUM(F184:K184)</f>
        <v>0</v>
      </c>
      <c r="M184" s="69">
        <f>L184/6</f>
        <v>0</v>
      </c>
      <c r="N184" s="52"/>
      <c r="O184" s="52"/>
      <c r="P184" s="52"/>
      <c r="Q184" s="52"/>
      <c r="R184" s="52"/>
      <c r="S184" s="52"/>
      <c r="T184" s="69">
        <f>SUM(N184:S184)</f>
        <v>0</v>
      </c>
      <c r="U184" s="69">
        <f>T184+L184</f>
        <v>0</v>
      </c>
      <c r="V184" s="70"/>
      <c r="W184" s="53">
        <f>V184-U184</f>
        <v>0</v>
      </c>
    </row>
    <row r="185" spans="1:24" s="47" customFormat="1" ht="18" hidden="1" customHeight="1">
      <c r="A185" s="610"/>
      <c r="B185" s="581"/>
      <c r="C185" s="581"/>
      <c r="D185" s="178" t="str">
        <f>серпень!D185</f>
        <v>касові нат.п-ки 2025</v>
      </c>
      <c r="E185" s="11"/>
      <c r="F185" s="11"/>
      <c r="G185" s="11"/>
      <c r="H185" s="11"/>
      <c r="I185" s="11"/>
      <c r="J185" s="11"/>
      <c r="K185" s="11"/>
      <c r="L185" s="65">
        <f>SUM(F185:K185)</f>
        <v>0</v>
      </c>
      <c r="M185" s="65">
        <f>L185/6</f>
        <v>0</v>
      </c>
      <c r="N185" s="11"/>
      <c r="O185" s="11"/>
      <c r="P185" s="11"/>
      <c r="Q185" s="11"/>
      <c r="R185" s="11"/>
      <c r="S185" s="11">
        <f>S180+R180</f>
        <v>0</v>
      </c>
      <c r="T185" s="65">
        <f>SUM(N185:S185)</f>
        <v>0</v>
      </c>
      <c r="U185" s="65">
        <f>T185+L185</f>
        <v>0</v>
      </c>
      <c r="V185" s="11">
        <f>V180</f>
        <v>0</v>
      </c>
      <c r="W185" s="38">
        <f>V185-U185</f>
        <v>0</v>
      </c>
      <c r="X185" s="47">
        <f>U180-U185</f>
        <v>0</v>
      </c>
    </row>
    <row r="186" spans="1:24" s="47" customFormat="1" ht="18" hidden="1" customHeight="1">
      <c r="A186" s="610"/>
      <c r="B186" s="581"/>
      <c r="C186" s="581"/>
      <c r="D186" s="187" t="str">
        <f>серпень!D186</f>
        <v>тариф, грн.</v>
      </c>
      <c r="E186" s="49" t="e">
        <f>E187/E185*1000</f>
        <v>#DIV/0!</v>
      </c>
      <c r="F186" s="49">
        <v>2665.4160000000002</v>
      </c>
      <c r="G186" s="49">
        <v>2665.4160000000002</v>
      </c>
      <c r="H186" s="49">
        <v>2665.4160000000002</v>
      </c>
      <c r="I186" s="49">
        <v>2665.4160000000002</v>
      </c>
      <c r="J186" s="49">
        <v>2665.4160000000002</v>
      </c>
      <c r="K186" s="49">
        <v>2665.4160000000002</v>
      </c>
      <c r="L186" s="49" t="e">
        <f>L187/L185*1000</f>
        <v>#DIV/0!</v>
      </c>
      <c r="M186" s="49" t="e">
        <f>M187/M185*1000</f>
        <v>#DIV/0!</v>
      </c>
      <c r="N186" s="49">
        <v>2665.4160000000002</v>
      </c>
      <c r="O186" s="49">
        <v>2665.4160000000002</v>
      </c>
      <c r="P186" s="49">
        <v>2665.4160000000002</v>
      </c>
      <c r="Q186" s="49">
        <v>2665.4160000000002</v>
      </c>
      <c r="R186" s="49">
        <v>2665.4160000000002</v>
      </c>
      <c r="S186" s="49">
        <v>2665.4160000000002</v>
      </c>
      <c r="T186" s="49" t="e">
        <f>T187/T185*1000</f>
        <v>#DIV/0!</v>
      </c>
      <c r="U186" s="49" t="e">
        <f>U187/U185*1000</f>
        <v>#DIV/0!</v>
      </c>
      <c r="V186" s="68" t="e">
        <f>V187/V185*1000</f>
        <v>#DIV/0!</v>
      </c>
      <c r="W186" s="14" t="e">
        <f>W187/W185*1000</f>
        <v>#DIV/0!</v>
      </c>
    </row>
    <row r="187" spans="1:24" s="63" customFormat="1" ht="18" hidden="1" customHeight="1">
      <c r="A187" s="610"/>
      <c r="B187" s="581"/>
      <c r="C187" s="581"/>
      <c r="D187" s="198" t="str">
        <f>серпень!D187</f>
        <v>касові видатки, тис.грн.</v>
      </c>
      <c r="E187" s="71"/>
      <c r="F187" s="61">
        <f t="shared" ref="F187:K187" si="212">F185*F186/1000</f>
        <v>0</v>
      </c>
      <c r="G187" s="61">
        <f t="shared" si="212"/>
        <v>0</v>
      </c>
      <c r="H187" s="61">
        <f t="shared" si="212"/>
        <v>0</v>
      </c>
      <c r="I187" s="61">
        <f t="shared" si="212"/>
        <v>0</v>
      </c>
      <c r="J187" s="61">
        <f t="shared" si="212"/>
        <v>0</v>
      </c>
      <c r="K187" s="61">
        <f t="shared" si="212"/>
        <v>0</v>
      </c>
      <c r="L187" s="61">
        <f>SUM(F187:K187)</f>
        <v>0</v>
      </c>
      <c r="M187" s="61">
        <f>L187/6</f>
        <v>0</v>
      </c>
      <c r="N187" s="61">
        <f t="shared" ref="N187:S187" si="213">N185*N186/1000</f>
        <v>0</v>
      </c>
      <c r="O187" s="61">
        <f t="shared" si="213"/>
        <v>0</v>
      </c>
      <c r="P187" s="61">
        <f t="shared" si="213"/>
        <v>0</v>
      </c>
      <c r="Q187" s="61">
        <f t="shared" si="213"/>
        <v>0</v>
      </c>
      <c r="R187" s="61">
        <f t="shared" si="213"/>
        <v>0</v>
      </c>
      <c r="S187" s="61">
        <f t="shared" si="213"/>
        <v>0</v>
      </c>
      <c r="T187" s="61">
        <f>SUM(N187:S187)</f>
        <v>0</v>
      </c>
      <c r="U187" s="61">
        <f>T187+L187</f>
        <v>0</v>
      </c>
      <c r="V187" s="61">
        <f>V182</f>
        <v>0</v>
      </c>
      <c r="W187" s="72">
        <f>V187-U187</f>
        <v>0</v>
      </c>
      <c r="X187" s="63">
        <f>U182-U187</f>
        <v>0</v>
      </c>
    </row>
    <row r="188" spans="1:24" s="63" customFormat="1" ht="18" hidden="1" customHeight="1">
      <c r="A188" s="610"/>
      <c r="B188" s="581"/>
      <c r="C188" s="581"/>
      <c r="D188" s="201" t="str">
        <f>серпень!D188</f>
        <v>дотація</v>
      </c>
      <c r="E188" s="71"/>
      <c r="F188" s="61"/>
      <c r="G188" s="61"/>
      <c r="H188" s="61"/>
      <c r="I188" s="61"/>
      <c r="J188" s="61"/>
      <c r="K188" s="61"/>
      <c r="L188" s="61">
        <f>SUM(F188:K188)</f>
        <v>0</v>
      </c>
      <c r="M188" s="61">
        <f>L188/6</f>
        <v>0</v>
      </c>
      <c r="N188" s="61"/>
      <c r="O188" s="61"/>
      <c r="P188" s="61"/>
      <c r="Q188" s="61"/>
      <c r="R188" s="61"/>
      <c r="S188" s="61"/>
      <c r="T188" s="61">
        <f>SUM(N188:S188)</f>
        <v>0</v>
      </c>
      <c r="U188" s="61">
        <f>T188+L188</f>
        <v>0</v>
      </c>
      <c r="V188" s="61">
        <f>V183</f>
        <v>0</v>
      </c>
      <c r="W188" s="72">
        <f>V188-U188</f>
        <v>0</v>
      </c>
      <c r="X188" s="63">
        <f>U183-U188</f>
        <v>0</v>
      </c>
    </row>
    <row r="189" spans="1:24" s="63" customFormat="1" ht="18" hidden="1" customHeight="1">
      <c r="A189" s="610"/>
      <c r="B189" s="581"/>
      <c r="C189" s="581"/>
      <c r="D189" s="201" t="str">
        <f>серпень!D189</f>
        <v xml:space="preserve">місцевий </v>
      </c>
      <c r="E189" s="71"/>
      <c r="F189" s="61">
        <f t="shared" ref="F189:K189" si="214">F187-F188</f>
        <v>0</v>
      </c>
      <c r="G189" s="61">
        <f t="shared" si="214"/>
        <v>0</v>
      </c>
      <c r="H189" s="61">
        <f t="shared" si="214"/>
        <v>0</v>
      </c>
      <c r="I189" s="61">
        <f t="shared" si="214"/>
        <v>0</v>
      </c>
      <c r="J189" s="61">
        <f t="shared" si="214"/>
        <v>0</v>
      </c>
      <c r="K189" s="61">
        <f t="shared" si="214"/>
        <v>0</v>
      </c>
      <c r="L189" s="61">
        <f>SUM(F189:K189)</f>
        <v>0</v>
      </c>
      <c r="M189" s="61">
        <f>L189/6</f>
        <v>0</v>
      </c>
      <c r="N189" s="61">
        <f t="shared" ref="N189:S189" si="215">N187-N188</f>
        <v>0</v>
      </c>
      <c r="O189" s="61">
        <f t="shared" si="215"/>
        <v>0</v>
      </c>
      <c r="P189" s="61">
        <f t="shared" si="215"/>
        <v>0</v>
      </c>
      <c r="Q189" s="61">
        <f t="shared" si="215"/>
        <v>0</v>
      </c>
      <c r="R189" s="61">
        <f t="shared" si="215"/>
        <v>0</v>
      </c>
      <c r="S189" s="61">
        <f t="shared" si="215"/>
        <v>0</v>
      </c>
      <c r="T189" s="61">
        <f>SUM(N189:S189)</f>
        <v>0</v>
      </c>
      <c r="U189" s="61">
        <f>T189+L189</f>
        <v>0</v>
      </c>
      <c r="V189" s="61">
        <f>V184</f>
        <v>0</v>
      </c>
      <c r="W189" s="72">
        <f>V189-U189</f>
        <v>0</v>
      </c>
      <c r="X189" s="63">
        <f>U184-U189</f>
        <v>0</v>
      </c>
    </row>
    <row r="190" spans="1:24" s="43" customFormat="1" ht="18" hidden="1" customHeight="1">
      <c r="A190" s="610"/>
      <c r="B190" s="581"/>
      <c r="C190" s="581"/>
      <c r="D190" s="202" t="str">
        <f>серпень!D190</f>
        <v>план</v>
      </c>
      <c r="E190" s="42"/>
      <c r="F190" s="42">
        <f t="shared" ref="F190:K190" si="216">F184</f>
        <v>0</v>
      </c>
      <c r="G190" s="42">
        <f t="shared" si="216"/>
        <v>0</v>
      </c>
      <c r="H190" s="42">
        <f t="shared" si="216"/>
        <v>0</v>
      </c>
      <c r="I190" s="42">
        <f t="shared" si="216"/>
        <v>0</v>
      </c>
      <c r="J190" s="42">
        <f t="shared" si="216"/>
        <v>0</v>
      </c>
      <c r="K190" s="42">
        <f t="shared" si="216"/>
        <v>0</v>
      </c>
      <c r="L190" s="42">
        <f>SUM(F190:K190)</f>
        <v>0</v>
      </c>
      <c r="M190" s="42">
        <f>L190/6</f>
        <v>0</v>
      </c>
      <c r="N190" s="42">
        <f t="shared" ref="N190:S190" si="217">N184+N183</f>
        <v>0</v>
      </c>
      <c r="O190" s="42">
        <f t="shared" si="217"/>
        <v>0</v>
      </c>
      <c r="P190" s="42">
        <f t="shared" si="217"/>
        <v>0</v>
      </c>
      <c r="Q190" s="42">
        <f t="shared" si="217"/>
        <v>0</v>
      </c>
      <c r="R190" s="42">
        <f t="shared" si="217"/>
        <v>0</v>
      </c>
      <c r="S190" s="42">
        <f t="shared" si="217"/>
        <v>0</v>
      </c>
      <c r="T190" s="42">
        <f>SUM(N190:S190)</f>
        <v>0</v>
      </c>
      <c r="U190" s="42">
        <f>T190+L190</f>
        <v>0</v>
      </c>
      <c r="V190" s="42">
        <f>V187</f>
        <v>0</v>
      </c>
      <c r="W190" s="42">
        <f>V190-U190</f>
        <v>0</v>
      </c>
    </row>
    <row r="191" spans="1:24" s="43" customFormat="1" ht="18" hidden="1" customHeight="1">
      <c r="A191" s="610"/>
      <c r="B191" s="581"/>
      <c r="C191" s="581"/>
      <c r="D191" s="202" t="str">
        <f>серпень!D191</f>
        <v xml:space="preserve">відхилення </v>
      </c>
      <c r="E191" s="42"/>
      <c r="F191" s="42">
        <f t="shared" ref="F191:K191" si="218">F187-F190</f>
        <v>0</v>
      </c>
      <c r="G191" s="42">
        <f t="shared" si="218"/>
        <v>0</v>
      </c>
      <c r="H191" s="42">
        <f t="shared" si="218"/>
        <v>0</v>
      </c>
      <c r="I191" s="42">
        <f t="shared" si="218"/>
        <v>0</v>
      </c>
      <c r="J191" s="42">
        <f t="shared" si="218"/>
        <v>0</v>
      </c>
      <c r="K191" s="42">
        <f t="shared" si="218"/>
        <v>0</v>
      </c>
      <c r="L191" s="42"/>
      <c r="M191" s="42"/>
      <c r="N191" s="42">
        <f t="shared" ref="N191:S191" si="219">N187-N190</f>
        <v>0</v>
      </c>
      <c r="O191" s="42">
        <f t="shared" si="219"/>
        <v>0</v>
      </c>
      <c r="P191" s="42">
        <f t="shared" si="219"/>
        <v>0</v>
      </c>
      <c r="Q191" s="42">
        <f t="shared" si="219"/>
        <v>0</v>
      </c>
      <c r="R191" s="42">
        <f t="shared" si="219"/>
        <v>0</v>
      </c>
      <c r="S191" s="42">
        <f t="shared" si="219"/>
        <v>0</v>
      </c>
      <c r="T191" s="42"/>
      <c r="U191" s="42"/>
      <c r="V191" s="42"/>
      <c r="W191" s="42"/>
    </row>
    <row r="192" spans="1:24" s="43" customFormat="1" ht="18" hidden="1" customHeight="1">
      <c r="A192" s="610"/>
      <c r="B192" s="581"/>
      <c r="C192" s="581"/>
      <c r="D192" s="202" t="str">
        <f>серпень!D192</f>
        <v>відхилення з наростаючим</v>
      </c>
      <c r="E192" s="42"/>
      <c r="F192" s="42">
        <f>F191</f>
        <v>0</v>
      </c>
      <c r="G192" s="42">
        <f>G191+F192</f>
        <v>0</v>
      </c>
      <c r="H192" s="42">
        <f>H191+G192</f>
        <v>0</v>
      </c>
      <c r="I192" s="42">
        <f>I191+H192</f>
        <v>0</v>
      </c>
      <c r="J192" s="42">
        <f>J191+I192</f>
        <v>0</v>
      </c>
      <c r="K192" s="42">
        <f>K191+J192</f>
        <v>0</v>
      </c>
      <c r="L192" s="42"/>
      <c r="M192" s="42"/>
      <c r="N192" s="42">
        <f>N191+K192</f>
        <v>0</v>
      </c>
      <c r="O192" s="42">
        <f>O191+N192</f>
        <v>0</v>
      </c>
      <c r="P192" s="42">
        <f>P191+O192</f>
        <v>0</v>
      </c>
      <c r="Q192" s="42">
        <f>Q191+P192</f>
        <v>0</v>
      </c>
      <c r="R192" s="42">
        <f>R191+Q192</f>
        <v>0</v>
      </c>
      <c r="S192" s="42">
        <f>S191+R192</f>
        <v>0</v>
      </c>
      <c r="T192" s="42"/>
      <c r="U192" s="42"/>
      <c r="V192" s="42"/>
      <c r="W192" s="42"/>
    </row>
    <row r="193" spans="1:24" s="48" customFormat="1" ht="18" hidden="1" customHeight="1">
      <c r="A193" s="610"/>
      <c r="B193" s="576" t="s">
        <v>69</v>
      </c>
      <c r="C193" s="577"/>
      <c r="D193" s="178" t="str">
        <f>серпень!D193</f>
        <v>факт. нат.п-ки 2023</v>
      </c>
      <c r="E193" s="11"/>
      <c r="F193" s="12"/>
      <c r="G193" s="12"/>
      <c r="H193" s="12"/>
      <c r="I193" s="12"/>
      <c r="J193" s="12"/>
      <c r="K193" s="12"/>
      <c r="L193" s="65">
        <f>SUM(F193:K193)</f>
        <v>0</v>
      </c>
      <c r="M193" s="65">
        <f>L193/6</f>
        <v>0</v>
      </c>
      <c r="N193" s="12"/>
      <c r="O193" s="12"/>
      <c r="P193" s="12"/>
      <c r="Q193" s="12"/>
      <c r="R193" s="12"/>
      <c r="S193" s="12"/>
      <c r="T193" s="65">
        <f>SUM(N193:S193)</f>
        <v>0</v>
      </c>
      <c r="U193" s="66">
        <f>T193+L193</f>
        <v>0</v>
      </c>
      <c r="V193" s="67"/>
      <c r="W193" s="38">
        <f>V193-U193</f>
        <v>0</v>
      </c>
      <c r="X193" s="47"/>
    </row>
    <row r="194" spans="1:24" s="48" customFormat="1" ht="18" hidden="1" customHeight="1">
      <c r="A194" s="610"/>
      <c r="B194" s="576"/>
      <c r="C194" s="577"/>
      <c r="D194" s="178" t="str">
        <f>серпень!D194</f>
        <v>факт. нат.п-ки 2024</v>
      </c>
      <c r="E194" s="11"/>
      <c r="F194" s="12"/>
      <c r="G194" s="12"/>
      <c r="H194" s="12"/>
      <c r="I194" s="12"/>
      <c r="J194" s="12"/>
      <c r="K194" s="12"/>
      <c r="L194" s="65">
        <f>SUM(F194:K194)</f>
        <v>0</v>
      </c>
      <c r="M194" s="65">
        <f>L194/6</f>
        <v>0</v>
      </c>
      <c r="N194" s="11"/>
      <c r="O194" s="11"/>
      <c r="P194" s="11"/>
      <c r="Q194" s="11"/>
      <c r="R194" s="11"/>
      <c r="S194" s="11"/>
      <c r="T194" s="65">
        <f>SUM(N194:S194)</f>
        <v>0</v>
      </c>
      <c r="U194" s="66">
        <f>T194+L194</f>
        <v>0</v>
      </c>
      <c r="V194" s="67"/>
      <c r="W194" s="38">
        <f>V194-U194</f>
        <v>0</v>
      </c>
      <c r="X194" s="47"/>
    </row>
    <row r="195" spans="1:24" s="48" customFormat="1" ht="18" hidden="1" customHeight="1">
      <c r="A195" s="610"/>
      <c r="B195" s="576"/>
      <c r="C195" s="577"/>
      <c r="D195" s="178" t="str">
        <f>серпень!D195</f>
        <v>факт. нат.п-ки 2025</v>
      </c>
      <c r="E195" s="11"/>
      <c r="F195" s="12"/>
      <c r="G195" s="12"/>
      <c r="H195" s="12"/>
      <c r="I195" s="12"/>
      <c r="J195" s="12"/>
      <c r="K195" s="12"/>
      <c r="L195" s="65">
        <f>SUM(F195:K195)</f>
        <v>0</v>
      </c>
      <c r="M195" s="65">
        <f>L195/6</f>
        <v>0</v>
      </c>
      <c r="N195" s="12"/>
      <c r="O195" s="12"/>
      <c r="P195" s="12"/>
      <c r="Q195" s="12"/>
      <c r="R195" s="12"/>
      <c r="S195" s="11"/>
      <c r="T195" s="65">
        <f>SUM(N195:S195)</f>
        <v>0</v>
      </c>
      <c r="U195" s="66">
        <f>T195+L195</f>
        <v>0</v>
      </c>
      <c r="V195" s="11"/>
      <c r="W195" s="38">
        <f>V195-U195</f>
        <v>0</v>
      </c>
      <c r="X195" s="47"/>
    </row>
    <row r="196" spans="1:24" s="51" customFormat="1" ht="18" hidden="1" customHeight="1">
      <c r="A196" s="610"/>
      <c r="B196" s="576"/>
      <c r="C196" s="577"/>
      <c r="D196" s="187" t="str">
        <f>серпень!D196</f>
        <v>тариф, грн.</v>
      </c>
      <c r="E196" s="49"/>
      <c r="F196" s="49">
        <v>1441.6559999999999</v>
      </c>
      <c r="G196" s="49">
        <v>1441.6559999999999</v>
      </c>
      <c r="H196" s="49">
        <v>1441.6559999999999</v>
      </c>
      <c r="I196" s="49">
        <v>1441.6559999999999</v>
      </c>
      <c r="J196" s="49">
        <v>1441.6559999999999</v>
      </c>
      <c r="K196" s="49">
        <v>1441.6559999999999</v>
      </c>
      <c r="L196" s="49" t="e">
        <f>L197/L195*1000</f>
        <v>#DIV/0!</v>
      </c>
      <c r="M196" s="49" t="e">
        <f>M197/M195*1000</f>
        <v>#DIV/0!</v>
      </c>
      <c r="N196" s="49">
        <v>1441.6559999999999</v>
      </c>
      <c r="O196" s="49">
        <v>1441.6559999999999</v>
      </c>
      <c r="P196" s="49">
        <v>1441.6559999999999</v>
      </c>
      <c r="Q196" s="49">
        <v>1441.6559999999999</v>
      </c>
      <c r="R196" s="49">
        <v>1441.6559999999999</v>
      </c>
      <c r="S196" s="49">
        <v>1441.6559999999999</v>
      </c>
      <c r="T196" s="49" t="e">
        <f>T197/T195*1000</f>
        <v>#DIV/0!</v>
      </c>
      <c r="U196" s="49" t="e">
        <f>U197/U195*1000</f>
        <v>#DIV/0!</v>
      </c>
      <c r="V196" s="68" t="e">
        <f>V197/V195*1000</f>
        <v>#DIV/0!</v>
      </c>
      <c r="W196" s="14" t="e">
        <f>W197/W195*1000</f>
        <v>#DIV/0!</v>
      </c>
      <c r="X196" s="59"/>
    </row>
    <row r="197" spans="1:24" s="55" customFormat="1" ht="18" hidden="1" customHeight="1">
      <c r="A197" s="610"/>
      <c r="B197" s="576"/>
      <c r="C197" s="577"/>
      <c r="D197" s="191" t="str">
        <f>серпень!D197</f>
        <v>сума, тис.грн.</v>
      </c>
      <c r="E197" s="52"/>
      <c r="F197" s="52">
        <f t="shared" ref="F197:K197" si="220">F195*F196/1000</f>
        <v>0</v>
      </c>
      <c r="G197" s="52">
        <f t="shared" si="220"/>
        <v>0</v>
      </c>
      <c r="H197" s="52">
        <f t="shared" si="220"/>
        <v>0</v>
      </c>
      <c r="I197" s="52">
        <f t="shared" si="220"/>
        <v>0</v>
      </c>
      <c r="J197" s="52">
        <f t="shared" si="220"/>
        <v>0</v>
      </c>
      <c r="K197" s="52">
        <f t="shared" si="220"/>
        <v>0</v>
      </c>
      <c r="L197" s="69">
        <f>SUM(F197:K197)</f>
        <v>0</v>
      </c>
      <c r="M197" s="69">
        <f>L197/6</f>
        <v>0</v>
      </c>
      <c r="N197" s="52">
        <f t="shared" ref="N197:S197" si="221">N195*N196/1000</f>
        <v>0</v>
      </c>
      <c r="O197" s="52">
        <f t="shared" si="221"/>
        <v>0</v>
      </c>
      <c r="P197" s="52">
        <f t="shared" si="221"/>
        <v>0</v>
      </c>
      <c r="Q197" s="52">
        <f t="shared" si="221"/>
        <v>0</v>
      </c>
      <c r="R197" s="52">
        <f t="shared" si="221"/>
        <v>0</v>
      </c>
      <c r="S197" s="52">
        <f t="shared" si="221"/>
        <v>0</v>
      </c>
      <c r="T197" s="69">
        <f>SUM(N197:S197)</f>
        <v>0</v>
      </c>
      <c r="U197" s="69">
        <f>T197+L197</f>
        <v>0</v>
      </c>
      <c r="V197" s="70">
        <f>V198+V199</f>
        <v>0</v>
      </c>
      <c r="W197" s="53">
        <f>V197-U197</f>
        <v>0</v>
      </c>
      <c r="X197" s="54">
        <f>2726951.723/1000</f>
        <v>2726.9520000000002</v>
      </c>
    </row>
    <row r="198" spans="1:24" s="55" customFormat="1" ht="18" hidden="1" customHeight="1">
      <c r="A198" s="610"/>
      <c r="B198" s="576"/>
      <c r="C198" s="577"/>
      <c r="D198" s="174" t="str">
        <f>серпень!D198</f>
        <v>дотація</v>
      </c>
      <c r="E198" s="56"/>
      <c r="F198" s="52"/>
      <c r="G198" s="52"/>
      <c r="H198" s="52"/>
      <c r="I198" s="52"/>
      <c r="J198" s="52"/>
      <c r="K198" s="52"/>
      <c r="L198" s="69">
        <f>SUM(F198:K198)</f>
        <v>0</v>
      </c>
      <c r="M198" s="69">
        <f>L198/6</f>
        <v>0</v>
      </c>
      <c r="N198" s="52"/>
      <c r="O198" s="52"/>
      <c r="P198" s="52"/>
      <c r="Q198" s="52"/>
      <c r="R198" s="52"/>
      <c r="S198" s="52"/>
      <c r="T198" s="69">
        <f>SUM(N198:S198)</f>
        <v>0</v>
      </c>
      <c r="U198" s="69">
        <f>T198+L198</f>
        <v>0</v>
      </c>
      <c r="V198" s="70">
        <v>0</v>
      </c>
      <c r="W198" s="53">
        <f>V198-U198</f>
        <v>0</v>
      </c>
      <c r="X198" s="58"/>
    </row>
    <row r="199" spans="1:24" s="55" customFormat="1" ht="18" hidden="1" customHeight="1">
      <c r="A199" s="610"/>
      <c r="B199" s="576"/>
      <c r="C199" s="577"/>
      <c r="D199" s="174" t="str">
        <f>серпень!D199</f>
        <v>місцевий (план), тис.грн</v>
      </c>
      <c r="E199" s="56"/>
      <c r="F199" s="52"/>
      <c r="G199" s="52"/>
      <c r="H199" s="52"/>
      <c r="I199" s="52"/>
      <c r="J199" s="52"/>
      <c r="K199" s="52"/>
      <c r="L199" s="69">
        <f>SUM(F199:K199)</f>
        <v>0</v>
      </c>
      <c r="M199" s="69">
        <f>L199/6</f>
        <v>0</v>
      </c>
      <c r="N199" s="52"/>
      <c r="O199" s="52"/>
      <c r="P199" s="52"/>
      <c r="Q199" s="52"/>
      <c r="R199" s="52"/>
      <c r="S199" s="52"/>
      <c r="T199" s="69">
        <f>SUM(N199:S199)</f>
        <v>0</v>
      </c>
      <c r="U199" s="69">
        <f>T199+L199</f>
        <v>0</v>
      </c>
      <c r="V199" s="70"/>
      <c r="W199" s="53">
        <f>V199-U199</f>
        <v>0</v>
      </c>
      <c r="X199" s="58"/>
    </row>
    <row r="200" spans="1:24" s="48" customFormat="1" ht="18" hidden="1" customHeight="1">
      <c r="A200" s="610"/>
      <c r="B200" s="576"/>
      <c r="C200" s="577"/>
      <c r="D200" s="178" t="str">
        <f>серпень!D200</f>
        <v>касові нат.п-ки 2025</v>
      </c>
      <c r="E200" s="11"/>
      <c r="F200" s="11"/>
      <c r="G200" s="11"/>
      <c r="H200" s="11"/>
      <c r="I200" s="11"/>
      <c r="J200" s="11"/>
      <c r="K200" s="11"/>
      <c r="L200" s="65">
        <f>SUM(F200:K200)</f>
        <v>0</v>
      </c>
      <c r="M200" s="65">
        <f>L200/6</f>
        <v>0</v>
      </c>
      <c r="N200" s="11"/>
      <c r="O200" s="11"/>
      <c r="P200" s="11"/>
      <c r="Q200" s="11"/>
      <c r="R200" s="11"/>
      <c r="S200" s="11">
        <f>S195+R195</f>
        <v>0</v>
      </c>
      <c r="T200" s="65">
        <f>SUM(N200:S200)</f>
        <v>0</v>
      </c>
      <c r="U200" s="65">
        <f>T200+L200</f>
        <v>0</v>
      </c>
      <c r="V200" s="11">
        <f>V195</f>
        <v>0</v>
      </c>
      <c r="W200" s="38">
        <f>V200-U200</f>
        <v>0</v>
      </c>
      <c r="X200" s="47">
        <f>U195-U200</f>
        <v>0</v>
      </c>
    </row>
    <row r="201" spans="1:24" s="51" customFormat="1" ht="18" hidden="1" customHeight="1">
      <c r="A201" s="610"/>
      <c r="B201" s="576"/>
      <c r="C201" s="577"/>
      <c r="D201" s="187" t="str">
        <f>серпень!D201</f>
        <v>тариф, грн.</v>
      </c>
      <c r="E201" s="49" t="e">
        <f>E202/E200*1000</f>
        <v>#DIV/0!</v>
      </c>
      <c r="F201" s="49">
        <v>1441.6559999999999</v>
      </c>
      <c r="G201" s="49">
        <v>1441.6559999999999</v>
      </c>
      <c r="H201" s="49">
        <v>1441.6559999999999</v>
      </c>
      <c r="I201" s="49">
        <v>1441.6559999999999</v>
      </c>
      <c r="J201" s="49">
        <v>1441.6559999999999</v>
      </c>
      <c r="K201" s="49">
        <v>1441.6559999999999</v>
      </c>
      <c r="L201" s="49" t="e">
        <f>L202/L200*1000</f>
        <v>#DIV/0!</v>
      </c>
      <c r="M201" s="49" t="e">
        <f>M202/M200*1000</f>
        <v>#DIV/0!</v>
      </c>
      <c r="N201" s="49">
        <v>1441.6559999999999</v>
      </c>
      <c r="O201" s="49">
        <v>1441.6559999999999</v>
      </c>
      <c r="P201" s="49">
        <v>1441.6559999999999</v>
      </c>
      <c r="Q201" s="49">
        <v>1441.6559999999999</v>
      </c>
      <c r="R201" s="49">
        <v>1441.6559999999999</v>
      </c>
      <c r="S201" s="49">
        <v>1441.6559999999999</v>
      </c>
      <c r="T201" s="49" t="e">
        <f>T202/T200*1000</f>
        <v>#DIV/0!</v>
      </c>
      <c r="U201" s="49" t="e">
        <f>U202/U200*1000</f>
        <v>#DIV/0!</v>
      </c>
      <c r="V201" s="68" t="e">
        <f>V202/V200*1000</f>
        <v>#DIV/0!</v>
      </c>
      <c r="W201" s="14" t="e">
        <f>W202/W200*1000</f>
        <v>#DIV/0!</v>
      </c>
      <c r="X201" s="59"/>
    </row>
    <row r="202" spans="1:24" s="63" customFormat="1" ht="18" hidden="1" customHeight="1">
      <c r="A202" s="610"/>
      <c r="B202" s="576"/>
      <c r="C202" s="577"/>
      <c r="D202" s="198" t="str">
        <f>серпень!D202</f>
        <v>касові видатки, тис.грн.</v>
      </c>
      <c r="E202" s="71"/>
      <c r="F202" s="61">
        <f t="shared" ref="F202:K202" si="222">F200*F201/1000</f>
        <v>0</v>
      </c>
      <c r="G202" s="61">
        <f t="shared" si="222"/>
        <v>0</v>
      </c>
      <c r="H202" s="61">
        <f t="shared" si="222"/>
        <v>0</v>
      </c>
      <c r="I202" s="61">
        <f t="shared" si="222"/>
        <v>0</v>
      </c>
      <c r="J202" s="61">
        <f t="shared" si="222"/>
        <v>0</v>
      </c>
      <c r="K202" s="61">
        <f t="shared" si="222"/>
        <v>0</v>
      </c>
      <c r="L202" s="61">
        <f>SUM(F202:K202)</f>
        <v>0</v>
      </c>
      <c r="M202" s="61">
        <f>L202/6</f>
        <v>0</v>
      </c>
      <c r="N202" s="61">
        <f t="shared" ref="N202:S202" si="223">N200*N201/1000</f>
        <v>0</v>
      </c>
      <c r="O202" s="61">
        <f t="shared" si="223"/>
        <v>0</v>
      </c>
      <c r="P202" s="61">
        <f t="shared" si="223"/>
        <v>0</v>
      </c>
      <c r="Q202" s="61">
        <f t="shared" si="223"/>
        <v>0</v>
      </c>
      <c r="R202" s="61">
        <f t="shared" si="223"/>
        <v>0</v>
      </c>
      <c r="S202" s="61">
        <f t="shared" si="223"/>
        <v>0</v>
      </c>
      <c r="T202" s="61">
        <f>SUM(N202:S202)</f>
        <v>0</v>
      </c>
      <c r="U202" s="61">
        <f>T202+L202</f>
        <v>0</v>
      </c>
      <c r="V202" s="61">
        <f>V197</f>
        <v>0</v>
      </c>
      <c r="W202" s="72">
        <f>V202-U202</f>
        <v>0</v>
      </c>
      <c r="X202" s="63">
        <f>U197-U202</f>
        <v>0</v>
      </c>
    </row>
    <row r="203" spans="1:24" s="63" customFormat="1" ht="18" hidden="1" customHeight="1">
      <c r="A203" s="610"/>
      <c r="B203" s="576"/>
      <c r="C203" s="577"/>
      <c r="D203" s="201" t="str">
        <f>серпень!D203</f>
        <v>дотація</v>
      </c>
      <c r="E203" s="71"/>
      <c r="F203" s="61"/>
      <c r="G203" s="61"/>
      <c r="H203" s="61"/>
      <c r="I203" s="61"/>
      <c r="J203" s="61"/>
      <c r="K203" s="61"/>
      <c r="L203" s="61">
        <f>SUM(F203:K203)</f>
        <v>0</v>
      </c>
      <c r="M203" s="61">
        <f>L203/6</f>
        <v>0</v>
      </c>
      <c r="N203" s="61"/>
      <c r="O203" s="61"/>
      <c r="P203" s="61"/>
      <c r="Q203" s="61"/>
      <c r="R203" s="61"/>
      <c r="S203" s="61"/>
      <c r="T203" s="61">
        <f>SUM(N203:S203)</f>
        <v>0</v>
      </c>
      <c r="U203" s="61">
        <f>T203+L203</f>
        <v>0</v>
      </c>
      <c r="V203" s="61">
        <f>V198</f>
        <v>0</v>
      </c>
      <c r="W203" s="72">
        <f>V203-U203</f>
        <v>0</v>
      </c>
      <c r="X203" s="63">
        <f>U198-U203</f>
        <v>0</v>
      </c>
    </row>
    <row r="204" spans="1:24" s="63" customFormat="1" ht="18" hidden="1" customHeight="1">
      <c r="A204" s="610"/>
      <c r="B204" s="576"/>
      <c r="C204" s="577"/>
      <c r="D204" s="201" t="str">
        <f>серпень!D204</f>
        <v xml:space="preserve">місцевий </v>
      </c>
      <c r="E204" s="71"/>
      <c r="F204" s="61">
        <f t="shared" ref="F204:K204" si="224">F202-F203</f>
        <v>0</v>
      </c>
      <c r="G204" s="61">
        <f t="shared" si="224"/>
        <v>0</v>
      </c>
      <c r="H204" s="61">
        <f t="shared" si="224"/>
        <v>0</v>
      </c>
      <c r="I204" s="61">
        <f t="shared" si="224"/>
        <v>0</v>
      </c>
      <c r="J204" s="61">
        <f t="shared" si="224"/>
        <v>0</v>
      </c>
      <c r="K204" s="61">
        <f t="shared" si="224"/>
        <v>0</v>
      </c>
      <c r="L204" s="61">
        <f>SUM(F204:K204)</f>
        <v>0</v>
      </c>
      <c r="M204" s="61">
        <f>L204/6</f>
        <v>0</v>
      </c>
      <c r="N204" s="61">
        <f t="shared" ref="N204:S204" si="225">N202-N203</f>
        <v>0</v>
      </c>
      <c r="O204" s="61">
        <f t="shared" si="225"/>
        <v>0</v>
      </c>
      <c r="P204" s="61">
        <f t="shared" si="225"/>
        <v>0</v>
      </c>
      <c r="Q204" s="61">
        <f t="shared" si="225"/>
        <v>0</v>
      </c>
      <c r="R204" s="61">
        <f t="shared" si="225"/>
        <v>0</v>
      </c>
      <c r="S204" s="61">
        <f t="shared" si="225"/>
        <v>0</v>
      </c>
      <c r="T204" s="61">
        <f>SUM(N204:S204)</f>
        <v>0</v>
      </c>
      <c r="U204" s="61">
        <f>T204+L204</f>
        <v>0</v>
      </c>
      <c r="V204" s="61">
        <f>V199</f>
        <v>0</v>
      </c>
      <c r="W204" s="72">
        <f>V204-U204</f>
        <v>0</v>
      </c>
      <c r="X204" s="63">
        <f>U199-U204</f>
        <v>0</v>
      </c>
    </row>
    <row r="205" spans="1:24" s="43" customFormat="1" ht="18" hidden="1" customHeight="1">
      <c r="A205" s="610"/>
      <c r="B205" s="576"/>
      <c r="C205" s="577"/>
      <c r="D205" s="202" t="str">
        <f>серпень!D205</f>
        <v>план</v>
      </c>
      <c r="E205" s="42"/>
      <c r="F205" s="42">
        <f t="shared" ref="F205:K205" si="226">F199</f>
        <v>0</v>
      </c>
      <c r="G205" s="42">
        <f t="shared" si="226"/>
        <v>0</v>
      </c>
      <c r="H205" s="42">
        <f t="shared" si="226"/>
        <v>0</v>
      </c>
      <c r="I205" s="42">
        <f t="shared" si="226"/>
        <v>0</v>
      </c>
      <c r="J205" s="42">
        <f t="shared" si="226"/>
        <v>0</v>
      </c>
      <c r="K205" s="42">
        <f t="shared" si="226"/>
        <v>0</v>
      </c>
      <c r="L205" s="42">
        <f>SUM(F205:K205)</f>
        <v>0</v>
      </c>
      <c r="M205" s="42">
        <f>L205/6</f>
        <v>0</v>
      </c>
      <c r="N205" s="42">
        <f t="shared" ref="N205:S205" si="227">N199+N198</f>
        <v>0</v>
      </c>
      <c r="O205" s="42">
        <f t="shared" si="227"/>
        <v>0</v>
      </c>
      <c r="P205" s="42">
        <f t="shared" si="227"/>
        <v>0</v>
      </c>
      <c r="Q205" s="42">
        <f t="shared" si="227"/>
        <v>0</v>
      </c>
      <c r="R205" s="42">
        <f t="shared" si="227"/>
        <v>0</v>
      </c>
      <c r="S205" s="42">
        <f t="shared" si="227"/>
        <v>0</v>
      </c>
      <c r="T205" s="42">
        <f>SUM(N205:S205)</f>
        <v>0</v>
      </c>
      <c r="U205" s="42">
        <f>T205+L205</f>
        <v>0</v>
      </c>
      <c r="V205" s="42">
        <f>V202</f>
        <v>0</v>
      </c>
      <c r="W205" s="42">
        <f>V205-U205</f>
        <v>0</v>
      </c>
    </row>
    <row r="206" spans="1:24" s="43" customFormat="1" ht="18" hidden="1" customHeight="1">
      <c r="A206" s="610"/>
      <c r="B206" s="576"/>
      <c r="C206" s="577"/>
      <c r="D206" s="202" t="str">
        <f>серпень!D206</f>
        <v xml:space="preserve">відхилення </v>
      </c>
      <c r="E206" s="42"/>
      <c r="F206" s="42">
        <f t="shared" ref="F206:K206" si="228">F202-F205</f>
        <v>0</v>
      </c>
      <c r="G206" s="42">
        <f t="shared" si="228"/>
        <v>0</v>
      </c>
      <c r="H206" s="42">
        <f t="shared" si="228"/>
        <v>0</v>
      </c>
      <c r="I206" s="42">
        <f t="shared" si="228"/>
        <v>0</v>
      </c>
      <c r="J206" s="42">
        <f t="shared" si="228"/>
        <v>0</v>
      </c>
      <c r="K206" s="42">
        <f t="shared" si="228"/>
        <v>0</v>
      </c>
      <c r="L206" s="42"/>
      <c r="M206" s="42"/>
      <c r="N206" s="42">
        <f t="shared" ref="N206:S206" si="229">N202-N205</f>
        <v>0</v>
      </c>
      <c r="O206" s="42">
        <f t="shared" si="229"/>
        <v>0</v>
      </c>
      <c r="P206" s="42">
        <f t="shared" si="229"/>
        <v>0</v>
      </c>
      <c r="Q206" s="42">
        <f t="shared" si="229"/>
        <v>0</v>
      </c>
      <c r="R206" s="42">
        <f t="shared" si="229"/>
        <v>0</v>
      </c>
      <c r="S206" s="42">
        <f t="shared" si="229"/>
        <v>0</v>
      </c>
      <c r="T206" s="42"/>
      <c r="U206" s="42"/>
      <c r="V206" s="42"/>
      <c r="W206" s="42"/>
    </row>
    <row r="207" spans="1:24" s="43" customFormat="1" ht="18" hidden="1" customHeight="1">
      <c r="A207" s="611"/>
      <c r="B207" s="578"/>
      <c r="C207" s="579"/>
      <c r="D207" s="202" t="str">
        <f>серпень!D207</f>
        <v>відхилення з наростаючим</v>
      </c>
      <c r="E207" s="42"/>
      <c r="F207" s="42">
        <f>F206</f>
        <v>0</v>
      </c>
      <c r="G207" s="42">
        <f>G206+F207</f>
        <v>0</v>
      </c>
      <c r="H207" s="42">
        <f>H206+G207</f>
        <v>0</v>
      </c>
      <c r="I207" s="42">
        <f>I206+H207</f>
        <v>0</v>
      </c>
      <c r="J207" s="42">
        <f>J206+I207</f>
        <v>0</v>
      </c>
      <c r="K207" s="42">
        <f>K206+J207</f>
        <v>0</v>
      </c>
      <c r="L207" s="42"/>
      <c r="M207" s="42"/>
      <c r="N207" s="42">
        <f>N206+K207</f>
        <v>0</v>
      </c>
      <c r="O207" s="42">
        <f>O206+N207</f>
        <v>0</v>
      </c>
      <c r="P207" s="42">
        <f>P206+O207</f>
        <v>0</v>
      </c>
      <c r="Q207" s="42">
        <f>Q206+P207</f>
        <v>0</v>
      </c>
      <c r="R207" s="42">
        <f>R206+Q207</f>
        <v>0</v>
      </c>
      <c r="S207" s="42">
        <f>S206+R207</f>
        <v>0</v>
      </c>
      <c r="T207" s="42"/>
      <c r="U207" s="42"/>
      <c r="V207" s="42"/>
      <c r="W207" s="42"/>
    </row>
    <row r="208" spans="1:24" s="47" customFormat="1" ht="18" hidden="1" customHeight="1">
      <c r="A208" s="609"/>
      <c r="B208" s="580" t="s">
        <v>92</v>
      </c>
      <c r="C208" s="575"/>
      <c r="D208" s="178" t="str">
        <f>серпень!D208</f>
        <v>факт. нат.п-ки 2023</v>
      </c>
      <c r="E208" s="11"/>
      <c r="F208" s="12">
        <f t="shared" ref="F208:K210" si="230">F223+F238</f>
        <v>0</v>
      </c>
      <c r="G208" s="12">
        <f t="shared" si="230"/>
        <v>0</v>
      </c>
      <c r="H208" s="12">
        <f t="shared" si="230"/>
        <v>0</v>
      </c>
      <c r="I208" s="12">
        <f t="shared" si="230"/>
        <v>0</v>
      </c>
      <c r="J208" s="12">
        <f t="shared" si="230"/>
        <v>0</v>
      </c>
      <c r="K208" s="12">
        <f t="shared" si="230"/>
        <v>0</v>
      </c>
      <c r="L208" s="44">
        <f>SUM(F208:K208)</f>
        <v>0</v>
      </c>
      <c r="M208" s="44">
        <f>L208/6</f>
        <v>0</v>
      </c>
      <c r="N208" s="12">
        <f t="shared" ref="N208:S210" si="231">N223+N238</f>
        <v>0</v>
      </c>
      <c r="O208" s="12">
        <f t="shared" si="231"/>
        <v>0</v>
      </c>
      <c r="P208" s="12">
        <f t="shared" si="231"/>
        <v>0</v>
      </c>
      <c r="Q208" s="12">
        <f t="shared" si="231"/>
        <v>0</v>
      </c>
      <c r="R208" s="12">
        <f t="shared" si="231"/>
        <v>0</v>
      </c>
      <c r="S208" s="12">
        <f t="shared" si="231"/>
        <v>0</v>
      </c>
      <c r="T208" s="44">
        <f>SUM(N208:S208)</f>
        <v>0</v>
      </c>
      <c r="U208" s="45">
        <f>T208+L208</f>
        <v>0</v>
      </c>
      <c r="V208" s="46">
        <f>V223+V238</f>
        <v>0</v>
      </c>
      <c r="W208" s="38">
        <f>V208-U208</f>
        <v>0</v>
      </c>
    </row>
    <row r="209" spans="1:24" s="47" customFormat="1" ht="18" hidden="1" customHeight="1">
      <c r="A209" s="610"/>
      <c r="B209" s="576"/>
      <c r="C209" s="577"/>
      <c r="D209" s="178" t="str">
        <f>серпень!D209</f>
        <v>факт. нат.п-ки 2024</v>
      </c>
      <c r="E209" s="11"/>
      <c r="F209" s="12">
        <f t="shared" si="230"/>
        <v>0</v>
      </c>
      <c r="G209" s="12">
        <f t="shared" si="230"/>
        <v>0</v>
      </c>
      <c r="H209" s="12">
        <f t="shared" si="230"/>
        <v>0</v>
      </c>
      <c r="I209" s="12">
        <f t="shared" si="230"/>
        <v>0</v>
      </c>
      <c r="J209" s="12">
        <f>J224+J239</f>
        <v>0</v>
      </c>
      <c r="K209" s="12">
        <f t="shared" si="230"/>
        <v>0</v>
      </c>
      <c r="L209" s="44">
        <f>SUM(F209:K209)</f>
        <v>0</v>
      </c>
      <c r="M209" s="44">
        <f>L209/6</f>
        <v>0</v>
      </c>
      <c r="N209" s="11">
        <f t="shared" si="231"/>
        <v>0</v>
      </c>
      <c r="O209" s="11">
        <f t="shared" si="231"/>
        <v>0</v>
      </c>
      <c r="P209" s="11">
        <f t="shared" si="231"/>
        <v>0</v>
      </c>
      <c r="Q209" s="11">
        <f t="shared" si="231"/>
        <v>0</v>
      </c>
      <c r="R209" s="11">
        <f t="shared" si="231"/>
        <v>0</v>
      </c>
      <c r="S209" s="11">
        <f t="shared" si="231"/>
        <v>0</v>
      </c>
      <c r="T209" s="44">
        <f>SUM(N209:S209)</f>
        <v>0</v>
      </c>
      <c r="U209" s="45">
        <f>T209+L209</f>
        <v>0</v>
      </c>
      <c r="V209" s="46">
        <f>V224+V239</f>
        <v>0</v>
      </c>
      <c r="W209" s="38">
        <f>V209-U209</f>
        <v>0</v>
      </c>
    </row>
    <row r="210" spans="1:24" s="47" customFormat="1" ht="18" hidden="1" customHeight="1">
      <c r="A210" s="610"/>
      <c r="B210" s="576"/>
      <c r="C210" s="577"/>
      <c r="D210" s="178" t="str">
        <f>серпень!D210</f>
        <v>факт. нат.п-ки 2025</v>
      </c>
      <c r="E210" s="11"/>
      <c r="F210" s="12">
        <f t="shared" si="230"/>
        <v>0</v>
      </c>
      <c r="G210" s="12">
        <f t="shared" si="230"/>
        <v>0</v>
      </c>
      <c r="H210" s="12">
        <f t="shared" si="230"/>
        <v>0</v>
      </c>
      <c r="I210" s="12">
        <f t="shared" si="230"/>
        <v>0</v>
      </c>
      <c r="J210" s="12">
        <f>J225+J240</f>
        <v>0</v>
      </c>
      <c r="K210" s="12">
        <f t="shared" si="230"/>
        <v>0</v>
      </c>
      <c r="L210" s="44">
        <f>SUM(F210:K210)</f>
        <v>0</v>
      </c>
      <c r="M210" s="44">
        <f>L210/6</f>
        <v>0</v>
      </c>
      <c r="N210" s="12">
        <f t="shared" si="231"/>
        <v>0</v>
      </c>
      <c r="O210" s="12">
        <f t="shared" si="231"/>
        <v>0</v>
      </c>
      <c r="P210" s="12">
        <f t="shared" si="231"/>
        <v>0</v>
      </c>
      <c r="Q210" s="12">
        <f t="shared" si="231"/>
        <v>0</v>
      </c>
      <c r="R210" s="12">
        <f t="shared" si="231"/>
        <v>0</v>
      </c>
      <c r="S210" s="12">
        <f t="shared" si="231"/>
        <v>0</v>
      </c>
      <c r="T210" s="44">
        <f>SUM(N210:S210)</f>
        <v>0</v>
      </c>
      <c r="U210" s="45">
        <f>T210+L210</f>
        <v>0</v>
      </c>
      <c r="V210" s="46">
        <f>V225+V240</f>
        <v>0</v>
      </c>
      <c r="W210" s="38">
        <f>V210-U210</f>
        <v>0</v>
      </c>
    </row>
    <row r="211" spans="1:24" s="47" customFormat="1" ht="18" hidden="1" customHeight="1">
      <c r="A211" s="610"/>
      <c r="B211" s="576"/>
      <c r="C211" s="577"/>
      <c r="D211" s="187" t="str">
        <f>серпень!D211</f>
        <v>тариф, грн.</v>
      </c>
      <c r="E211" s="49"/>
      <c r="F211" s="49" t="e">
        <f>F212/F210*1000</f>
        <v>#DIV/0!</v>
      </c>
      <c r="G211" s="49" t="e">
        <f>G212/G210*1000</f>
        <v>#DIV/0!</v>
      </c>
      <c r="H211" s="49" t="e">
        <f>H212/H210*1000</f>
        <v>#DIV/0!</v>
      </c>
      <c r="I211" s="49" t="e">
        <f>I212/I210*1000</f>
        <v>#DIV/0!</v>
      </c>
      <c r="J211" s="49" t="e">
        <f>J212/J210*1000</f>
        <v>#DIV/0!</v>
      </c>
      <c r="K211" s="49" t="e">
        <f t="shared" ref="K211:S211" si="232">K212/K210*1000</f>
        <v>#DIV/0!</v>
      </c>
      <c r="L211" s="49" t="e">
        <f t="shared" si="232"/>
        <v>#DIV/0!</v>
      </c>
      <c r="M211" s="49" t="e">
        <f t="shared" si="232"/>
        <v>#DIV/0!</v>
      </c>
      <c r="N211" s="49" t="e">
        <f t="shared" si="232"/>
        <v>#DIV/0!</v>
      </c>
      <c r="O211" s="49" t="e">
        <f t="shared" si="232"/>
        <v>#DIV/0!</v>
      </c>
      <c r="P211" s="49" t="e">
        <f t="shared" si="232"/>
        <v>#DIV/0!</v>
      </c>
      <c r="Q211" s="49" t="e">
        <f t="shared" si="232"/>
        <v>#DIV/0!</v>
      </c>
      <c r="R211" s="49" t="e">
        <f t="shared" si="232"/>
        <v>#DIV/0!</v>
      </c>
      <c r="S211" s="49" t="e">
        <f t="shared" si="232"/>
        <v>#DIV/0!</v>
      </c>
      <c r="T211" s="49" t="e">
        <f>T212/T210*1000</f>
        <v>#DIV/0!</v>
      </c>
      <c r="U211" s="49" t="e">
        <f>U212/U210*1000</f>
        <v>#DIV/0!</v>
      </c>
      <c r="V211" s="49" t="e">
        <f>V212/V210*1000</f>
        <v>#DIV/0!</v>
      </c>
      <c r="W211" s="14" t="e">
        <f>W212/W210*1000</f>
        <v>#DIV/0!</v>
      </c>
    </row>
    <row r="212" spans="1:24" s="47" customFormat="1" ht="18" hidden="1" customHeight="1">
      <c r="A212" s="610"/>
      <c r="B212" s="576"/>
      <c r="C212" s="577"/>
      <c r="D212" s="191" t="str">
        <f>серпень!D212</f>
        <v>сума, тис.грн.</v>
      </c>
      <c r="E212" s="52"/>
      <c r="F212" s="52">
        <f t="shared" ref="F212:K215" si="233">F227+F242</f>
        <v>0</v>
      </c>
      <c r="G212" s="52">
        <f t="shared" si="233"/>
        <v>0</v>
      </c>
      <c r="H212" s="52">
        <f t="shared" si="233"/>
        <v>0</v>
      </c>
      <c r="I212" s="52">
        <f t="shared" si="233"/>
        <v>0</v>
      </c>
      <c r="J212" s="52">
        <f t="shared" si="233"/>
        <v>0</v>
      </c>
      <c r="K212" s="52">
        <f t="shared" si="233"/>
        <v>0</v>
      </c>
      <c r="L212" s="52">
        <f>SUM(F212:K212)</f>
        <v>0</v>
      </c>
      <c r="M212" s="52">
        <f>L212/6</f>
        <v>0</v>
      </c>
      <c r="N212" s="52">
        <f t="shared" ref="N212:S215" si="234">N227+N242</f>
        <v>0</v>
      </c>
      <c r="O212" s="52">
        <f t="shared" si="234"/>
        <v>0</v>
      </c>
      <c r="P212" s="52">
        <f t="shared" si="234"/>
        <v>0</v>
      </c>
      <c r="Q212" s="52">
        <f t="shared" si="234"/>
        <v>0</v>
      </c>
      <c r="R212" s="52">
        <f t="shared" si="234"/>
        <v>0</v>
      </c>
      <c r="S212" s="52">
        <f t="shared" si="234"/>
        <v>0</v>
      </c>
      <c r="T212" s="52">
        <f>SUM(N212:S212)</f>
        <v>0</v>
      </c>
      <c r="U212" s="52">
        <f>T212+L212</f>
        <v>0</v>
      </c>
      <c r="V212" s="53">
        <f>V227+V242</f>
        <v>0</v>
      </c>
      <c r="W212" s="53">
        <f>V212-U212</f>
        <v>0</v>
      </c>
    </row>
    <row r="213" spans="1:24" s="47" customFormat="1" ht="18" hidden="1" customHeight="1">
      <c r="A213" s="610"/>
      <c r="B213" s="576"/>
      <c r="C213" s="577"/>
      <c r="D213" s="174" t="str">
        <f>серпень!D213</f>
        <v>дотація</v>
      </c>
      <c r="E213" s="56"/>
      <c r="F213" s="52">
        <f t="shared" si="233"/>
        <v>0</v>
      </c>
      <c r="G213" s="52">
        <f t="shared" si="233"/>
        <v>0</v>
      </c>
      <c r="H213" s="52">
        <f t="shared" si="233"/>
        <v>0</v>
      </c>
      <c r="I213" s="52">
        <f t="shared" si="233"/>
        <v>0</v>
      </c>
      <c r="J213" s="52">
        <f>J228+J243</f>
        <v>0</v>
      </c>
      <c r="K213" s="52">
        <f t="shared" si="233"/>
        <v>0</v>
      </c>
      <c r="L213" s="52">
        <f>SUM(F213:K213)</f>
        <v>0</v>
      </c>
      <c r="M213" s="52">
        <f>L213/6</f>
        <v>0</v>
      </c>
      <c r="N213" s="52">
        <f t="shared" si="234"/>
        <v>0</v>
      </c>
      <c r="O213" s="52">
        <f t="shared" si="234"/>
        <v>0</v>
      </c>
      <c r="P213" s="52">
        <f t="shared" si="234"/>
        <v>0</v>
      </c>
      <c r="Q213" s="52">
        <f t="shared" si="234"/>
        <v>0</v>
      </c>
      <c r="R213" s="52">
        <f t="shared" si="234"/>
        <v>0</v>
      </c>
      <c r="S213" s="52">
        <f t="shared" si="234"/>
        <v>0</v>
      </c>
      <c r="T213" s="52">
        <f>SUM(N213:S213)</f>
        <v>0</v>
      </c>
      <c r="U213" s="52">
        <f>T213+L213</f>
        <v>0</v>
      </c>
      <c r="V213" s="53">
        <f>V228+V243</f>
        <v>0</v>
      </c>
      <c r="W213" s="57">
        <f>V213-U213</f>
        <v>0</v>
      </c>
    </row>
    <row r="214" spans="1:24" s="47" customFormat="1" ht="18" hidden="1" customHeight="1">
      <c r="A214" s="610"/>
      <c r="B214" s="576"/>
      <c r="C214" s="577"/>
      <c r="D214" s="174" t="str">
        <f>серпень!D214</f>
        <v>місцевий (план), тис.грн</v>
      </c>
      <c r="E214" s="56"/>
      <c r="F214" s="52">
        <f t="shared" si="233"/>
        <v>0</v>
      </c>
      <c r="G214" s="52">
        <f t="shared" si="233"/>
        <v>0</v>
      </c>
      <c r="H214" s="52">
        <f t="shared" si="233"/>
        <v>0</v>
      </c>
      <c r="I214" s="52">
        <f t="shared" si="233"/>
        <v>0</v>
      </c>
      <c r="J214" s="52">
        <f>J229+J244</f>
        <v>0</v>
      </c>
      <c r="K214" s="52">
        <f t="shared" si="233"/>
        <v>0</v>
      </c>
      <c r="L214" s="52">
        <f>SUM(F214:K214)</f>
        <v>0</v>
      </c>
      <c r="M214" s="52">
        <f>L214/6</f>
        <v>0</v>
      </c>
      <c r="N214" s="52">
        <f t="shared" si="234"/>
        <v>0</v>
      </c>
      <c r="O214" s="52">
        <f t="shared" si="234"/>
        <v>0</v>
      </c>
      <c r="P214" s="52">
        <f t="shared" si="234"/>
        <v>0</v>
      </c>
      <c r="Q214" s="52">
        <f t="shared" si="234"/>
        <v>0</v>
      </c>
      <c r="R214" s="52">
        <f t="shared" si="234"/>
        <v>0</v>
      </c>
      <c r="S214" s="52">
        <f t="shared" si="234"/>
        <v>0</v>
      </c>
      <c r="T214" s="52">
        <f>SUM(N214:S214)</f>
        <v>0</v>
      </c>
      <c r="U214" s="52">
        <f>T214+L214</f>
        <v>0</v>
      </c>
      <c r="V214" s="53">
        <f>V229+V244</f>
        <v>0</v>
      </c>
      <c r="W214" s="53">
        <f>V214-U214</f>
        <v>0</v>
      </c>
    </row>
    <row r="215" spans="1:24" s="47" customFormat="1" ht="18" hidden="1" customHeight="1">
      <c r="A215" s="610"/>
      <c r="B215" s="576"/>
      <c r="C215" s="577"/>
      <c r="D215" s="178" t="str">
        <f>серпень!D215</f>
        <v>касові нат.п-ки 2025</v>
      </c>
      <c r="E215" s="11">
        <f>E230+E245</f>
        <v>0</v>
      </c>
      <c r="F215" s="11">
        <f t="shared" si="233"/>
        <v>0</v>
      </c>
      <c r="G215" s="11">
        <f t="shared" si="233"/>
        <v>0</v>
      </c>
      <c r="H215" s="11">
        <f t="shared" si="233"/>
        <v>0</v>
      </c>
      <c r="I215" s="11">
        <f t="shared" si="233"/>
        <v>0</v>
      </c>
      <c r="J215" s="11">
        <f>J230+J245</f>
        <v>0</v>
      </c>
      <c r="K215" s="11">
        <f t="shared" si="233"/>
        <v>0</v>
      </c>
      <c r="L215" s="44">
        <f>SUM(F215:K215)</f>
        <v>0</v>
      </c>
      <c r="M215" s="44">
        <f>L215/6</f>
        <v>0</v>
      </c>
      <c r="N215" s="11">
        <f t="shared" si="234"/>
        <v>0</v>
      </c>
      <c r="O215" s="11">
        <f t="shared" si="234"/>
        <v>0</v>
      </c>
      <c r="P215" s="11">
        <f t="shared" si="234"/>
        <v>0</v>
      </c>
      <c r="Q215" s="11">
        <f t="shared" si="234"/>
        <v>0</v>
      </c>
      <c r="R215" s="11">
        <f t="shared" si="234"/>
        <v>0</v>
      </c>
      <c r="S215" s="11">
        <f t="shared" si="234"/>
        <v>0</v>
      </c>
      <c r="T215" s="44">
        <f>SUM(N215:S215)</f>
        <v>0</v>
      </c>
      <c r="U215" s="44">
        <f>T215+L215</f>
        <v>0</v>
      </c>
      <c r="V215" s="38">
        <f>V230+V245</f>
        <v>0</v>
      </c>
      <c r="W215" s="38">
        <f>V215-U215</f>
        <v>0</v>
      </c>
      <c r="X215" s="47">
        <f>U210-U215</f>
        <v>0</v>
      </c>
    </row>
    <row r="216" spans="1:24" s="47" customFormat="1" ht="18" hidden="1" customHeight="1">
      <c r="A216" s="610"/>
      <c r="B216" s="576"/>
      <c r="C216" s="577"/>
      <c r="D216" s="187" t="str">
        <f>серпень!D216</f>
        <v>тариф, грн.</v>
      </c>
      <c r="E216" s="49" t="e">
        <f t="shared" ref="E216:S216" si="235">E217/E215*1000</f>
        <v>#DIV/0!</v>
      </c>
      <c r="F216" s="49" t="e">
        <f t="shared" si="235"/>
        <v>#DIV/0!</v>
      </c>
      <c r="G216" s="49" t="e">
        <f t="shared" si="235"/>
        <v>#DIV/0!</v>
      </c>
      <c r="H216" s="49" t="e">
        <f t="shared" si="235"/>
        <v>#DIV/0!</v>
      </c>
      <c r="I216" s="49" t="e">
        <f t="shared" si="235"/>
        <v>#DIV/0!</v>
      </c>
      <c r="J216" s="49" t="e">
        <f t="shared" si="235"/>
        <v>#DIV/0!</v>
      </c>
      <c r="K216" s="49" t="e">
        <f t="shared" si="235"/>
        <v>#DIV/0!</v>
      </c>
      <c r="L216" s="49" t="e">
        <f t="shared" si="235"/>
        <v>#DIV/0!</v>
      </c>
      <c r="M216" s="49" t="e">
        <f t="shared" si="235"/>
        <v>#DIV/0!</v>
      </c>
      <c r="N216" s="49" t="e">
        <f t="shared" si="235"/>
        <v>#DIV/0!</v>
      </c>
      <c r="O216" s="49" t="e">
        <f t="shared" si="235"/>
        <v>#DIV/0!</v>
      </c>
      <c r="P216" s="49" t="e">
        <f t="shared" si="235"/>
        <v>#DIV/0!</v>
      </c>
      <c r="Q216" s="49" t="e">
        <f t="shared" si="235"/>
        <v>#DIV/0!</v>
      </c>
      <c r="R216" s="49" t="e">
        <f t="shared" si="235"/>
        <v>#DIV/0!</v>
      </c>
      <c r="S216" s="49" t="e">
        <f t="shared" si="235"/>
        <v>#DIV/0!</v>
      </c>
      <c r="T216" s="49" t="e">
        <f>T217/T215*1000</f>
        <v>#DIV/0!</v>
      </c>
      <c r="U216" s="49" t="e">
        <f>U217/U215*1000</f>
        <v>#DIV/0!</v>
      </c>
      <c r="V216" s="49" t="e">
        <f>V217/V215*1000</f>
        <v>#DIV/0!</v>
      </c>
      <c r="W216" s="14" t="e">
        <f>W217/W215*1000</f>
        <v>#DIV/0!</v>
      </c>
    </row>
    <row r="217" spans="1:24" s="63" customFormat="1" ht="18" hidden="1" customHeight="1">
      <c r="A217" s="610"/>
      <c r="B217" s="576"/>
      <c r="C217" s="577"/>
      <c r="D217" s="198" t="str">
        <f>серпень!D217</f>
        <v>касові видатки, тис.грн.</v>
      </c>
      <c r="E217" s="60">
        <f t="shared" ref="E217:K219" si="236">E232+E247</f>
        <v>0</v>
      </c>
      <c r="F217" s="61">
        <f t="shared" si="236"/>
        <v>0</v>
      </c>
      <c r="G217" s="61">
        <f t="shared" si="236"/>
        <v>0</v>
      </c>
      <c r="H217" s="61">
        <f t="shared" si="236"/>
        <v>0</v>
      </c>
      <c r="I217" s="61">
        <f t="shared" si="236"/>
        <v>0</v>
      </c>
      <c r="J217" s="61">
        <f t="shared" si="236"/>
        <v>0</v>
      </c>
      <c r="K217" s="61">
        <f t="shared" si="236"/>
        <v>0</v>
      </c>
      <c r="L217" s="61">
        <f>SUM(F217:K217)</f>
        <v>0</v>
      </c>
      <c r="M217" s="61">
        <f>L217/6</f>
        <v>0</v>
      </c>
      <c r="N217" s="61">
        <f t="shared" ref="N217:S219" si="237">N232+N247</f>
        <v>0</v>
      </c>
      <c r="O217" s="61">
        <f t="shared" si="237"/>
        <v>0</v>
      </c>
      <c r="P217" s="61">
        <f t="shared" si="237"/>
        <v>0</v>
      </c>
      <c r="Q217" s="61">
        <f t="shared" si="237"/>
        <v>0</v>
      </c>
      <c r="R217" s="61">
        <f t="shared" si="237"/>
        <v>0</v>
      </c>
      <c r="S217" s="61">
        <f t="shared" si="237"/>
        <v>0</v>
      </c>
      <c r="T217" s="61">
        <f>SUM(N217:S217)</f>
        <v>0</v>
      </c>
      <c r="U217" s="61">
        <f>T217+L217</f>
        <v>0</v>
      </c>
      <c r="V217" s="62">
        <f>V232+V247</f>
        <v>0</v>
      </c>
      <c r="W217" s="62">
        <f>V217-U217</f>
        <v>0</v>
      </c>
      <c r="X217" s="63">
        <f>U212-U217</f>
        <v>0</v>
      </c>
    </row>
    <row r="218" spans="1:24" s="63" customFormat="1" ht="18" hidden="1" customHeight="1">
      <c r="A218" s="610"/>
      <c r="B218" s="576"/>
      <c r="C218" s="577"/>
      <c r="D218" s="201" t="str">
        <f>серпень!D218</f>
        <v>дотація</v>
      </c>
      <c r="E218" s="60"/>
      <c r="F218" s="61">
        <f t="shared" si="236"/>
        <v>0</v>
      </c>
      <c r="G218" s="61">
        <f t="shared" si="236"/>
        <v>0</v>
      </c>
      <c r="H218" s="61">
        <f t="shared" si="236"/>
        <v>0</v>
      </c>
      <c r="I218" s="61">
        <f t="shared" si="236"/>
        <v>0</v>
      </c>
      <c r="J218" s="61">
        <f>J233+J248</f>
        <v>0</v>
      </c>
      <c r="K218" s="61">
        <f t="shared" si="236"/>
        <v>0</v>
      </c>
      <c r="L218" s="61">
        <f>SUM(F218:K218)</f>
        <v>0</v>
      </c>
      <c r="M218" s="61">
        <f>L218/6</f>
        <v>0</v>
      </c>
      <c r="N218" s="61">
        <f t="shared" si="237"/>
        <v>0</v>
      </c>
      <c r="O218" s="61">
        <f t="shared" si="237"/>
        <v>0</v>
      </c>
      <c r="P218" s="61">
        <f t="shared" si="237"/>
        <v>0</v>
      </c>
      <c r="Q218" s="61">
        <f t="shared" si="237"/>
        <v>0</v>
      </c>
      <c r="R218" s="61">
        <f t="shared" si="237"/>
        <v>0</v>
      </c>
      <c r="S218" s="61">
        <f t="shared" si="237"/>
        <v>0</v>
      </c>
      <c r="T218" s="61">
        <f>SUM(N218:S218)</f>
        <v>0</v>
      </c>
      <c r="U218" s="61">
        <f>T218+L218</f>
        <v>0</v>
      </c>
      <c r="V218" s="62">
        <f>V233+V248</f>
        <v>0</v>
      </c>
      <c r="W218" s="62">
        <f>V218-U218</f>
        <v>0</v>
      </c>
      <c r="X218" s="63">
        <f>U213-U218</f>
        <v>0</v>
      </c>
    </row>
    <row r="219" spans="1:24" s="63" customFormat="1" ht="18" hidden="1" customHeight="1">
      <c r="A219" s="610"/>
      <c r="B219" s="576"/>
      <c r="C219" s="577"/>
      <c r="D219" s="201" t="str">
        <f>серпень!D219</f>
        <v xml:space="preserve">місцевий </v>
      </c>
      <c r="E219" s="60"/>
      <c r="F219" s="61">
        <f t="shared" si="236"/>
        <v>0</v>
      </c>
      <c r="G219" s="61">
        <f t="shared" si="236"/>
        <v>0</v>
      </c>
      <c r="H219" s="61">
        <f t="shared" si="236"/>
        <v>0</v>
      </c>
      <c r="I219" s="61">
        <f t="shared" si="236"/>
        <v>0</v>
      </c>
      <c r="J219" s="61">
        <f>J234+J249</f>
        <v>0</v>
      </c>
      <c r="K219" s="61">
        <f t="shared" si="236"/>
        <v>0</v>
      </c>
      <c r="L219" s="61">
        <f>SUM(F219:K219)</f>
        <v>0</v>
      </c>
      <c r="M219" s="61">
        <f>L219/6</f>
        <v>0</v>
      </c>
      <c r="N219" s="61">
        <f t="shared" si="237"/>
        <v>0</v>
      </c>
      <c r="O219" s="61">
        <f t="shared" si="237"/>
        <v>0</v>
      </c>
      <c r="P219" s="61">
        <f t="shared" si="237"/>
        <v>0</v>
      </c>
      <c r="Q219" s="61">
        <f t="shared" si="237"/>
        <v>0</v>
      </c>
      <c r="R219" s="61">
        <f t="shared" si="237"/>
        <v>0</v>
      </c>
      <c r="S219" s="61">
        <f t="shared" si="237"/>
        <v>0</v>
      </c>
      <c r="T219" s="61">
        <f>SUM(N219:S219)</f>
        <v>0</v>
      </c>
      <c r="U219" s="61">
        <f>T219+L219</f>
        <v>0</v>
      </c>
      <c r="V219" s="62">
        <f>V234+V249</f>
        <v>0</v>
      </c>
      <c r="W219" s="62">
        <f>V219-U219</f>
        <v>0</v>
      </c>
      <c r="X219" s="63">
        <f>U214-U219</f>
        <v>0</v>
      </c>
    </row>
    <row r="220" spans="1:24" s="43" customFormat="1" ht="18" hidden="1" customHeight="1">
      <c r="A220" s="610"/>
      <c r="B220" s="576"/>
      <c r="C220" s="577"/>
      <c r="D220" s="202" t="str">
        <f>серпень!D220</f>
        <v>план</v>
      </c>
      <c r="E220" s="42"/>
      <c r="F220" s="42">
        <f t="shared" ref="F220:K220" si="238">F214</f>
        <v>0</v>
      </c>
      <c r="G220" s="42">
        <f t="shared" si="238"/>
        <v>0</v>
      </c>
      <c r="H220" s="42">
        <f t="shared" si="238"/>
        <v>0</v>
      </c>
      <c r="I220" s="42">
        <f t="shared" si="238"/>
        <v>0</v>
      </c>
      <c r="J220" s="42">
        <f t="shared" si="238"/>
        <v>0</v>
      </c>
      <c r="K220" s="42">
        <f t="shared" si="238"/>
        <v>0</v>
      </c>
      <c r="L220" s="42">
        <f>SUM(F220:K220)</f>
        <v>0</v>
      </c>
      <c r="M220" s="42">
        <f>L220/6</f>
        <v>0</v>
      </c>
      <c r="N220" s="42">
        <f t="shared" ref="N220:S220" si="239">N214+N213</f>
        <v>0</v>
      </c>
      <c r="O220" s="42">
        <f t="shared" si="239"/>
        <v>0</v>
      </c>
      <c r="P220" s="42">
        <f t="shared" si="239"/>
        <v>0</v>
      </c>
      <c r="Q220" s="42">
        <f t="shared" si="239"/>
        <v>0</v>
      </c>
      <c r="R220" s="42">
        <f t="shared" si="239"/>
        <v>0</v>
      </c>
      <c r="S220" s="42">
        <f t="shared" si="239"/>
        <v>0</v>
      </c>
      <c r="T220" s="42">
        <f>SUM(N220:S220)</f>
        <v>0</v>
      </c>
      <c r="U220" s="42">
        <f>T220+L220</f>
        <v>0</v>
      </c>
      <c r="V220" s="64">
        <f>V235+V250</f>
        <v>0</v>
      </c>
      <c r="W220" s="64">
        <f>V220-U220</f>
        <v>0</v>
      </c>
    </row>
    <row r="221" spans="1:24" s="43" customFormat="1" ht="18" hidden="1" customHeight="1">
      <c r="A221" s="610"/>
      <c r="B221" s="576"/>
      <c r="C221" s="577"/>
      <c r="D221" s="202" t="str">
        <f>серпень!D221</f>
        <v xml:space="preserve">відхилення </v>
      </c>
      <c r="E221" s="42"/>
      <c r="F221" s="42">
        <f t="shared" ref="F221:K221" si="240">F217-F220</f>
        <v>0</v>
      </c>
      <c r="G221" s="42">
        <f t="shared" si="240"/>
        <v>0</v>
      </c>
      <c r="H221" s="42">
        <f t="shared" si="240"/>
        <v>0</v>
      </c>
      <c r="I221" s="42">
        <f t="shared" si="240"/>
        <v>0</v>
      </c>
      <c r="J221" s="42">
        <f t="shared" si="240"/>
        <v>0</v>
      </c>
      <c r="K221" s="42">
        <f t="shared" si="240"/>
        <v>0</v>
      </c>
      <c r="L221" s="42"/>
      <c r="M221" s="42"/>
      <c r="N221" s="42">
        <f t="shared" ref="N221:S221" si="241">N217-N220</f>
        <v>0</v>
      </c>
      <c r="O221" s="42">
        <f t="shared" si="241"/>
        <v>0</v>
      </c>
      <c r="P221" s="42">
        <f t="shared" si="241"/>
        <v>0</v>
      </c>
      <c r="Q221" s="42">
        <f t="shared" si="241"/>
        <v>0</v>
      </c>
      <c r="R221" s="42">
        <f t="shared" si="241"/>
        <v>0</v>
      </c>
      <c r="S221" s="42">
        <f t="shared" si="241"/>
        <v>0</v>
      </c>
      <c r="T221" s="42"/>
      <c r="U221" s="42"/>
      <c r="V221" s="42"/>
      <c r="W221" s="42"/>
    </row>
    <row r="222" spans="1:24" s="43" customFormat="1" ht="18" hidden="1" customHeight="1">
      <c r="A222" s="610"/>
      <c r="B222" s="576"/>
      <c r="C222" s="577"/>
      <c r="D222" s="202" t="str">
        <f>серпень!D222</f>
        <v>відхилення з наростаючим</v>
      </c>
      <c r="E222" s="42"/>
      <c r="F222" s="42">
        <f>F221</f>
        <v>0</v>
      </c>
      <c r="G222" s="42">
        <f>G221+F222</f>
        <v>0</v>
      </c>
      <c r="H222" s="42">
        <f>H221+G222</f>
        <v>0</v>
      </c>
      <c r="I222" s="42">
        <f>I221+H222</f>
        <v>0</v>
      </c>
      <c r="J222" s="42">
        <f>J221+I222</f>
        <v>0</v>
      </c>
      <c r="K222" s="42">
        <f>K221+J222</f>
        <v>0</v>
      </c>
      <c r="L222" s="42"/>
      <c r="M222" s="42"/>
      <c r="N222" s="42">
        <f>N221+K222</f>
        <v>0</v>
      </c>
      <c r="O222" s="42">
        <f>O221+N222</f>
        <v>0</v>
      </c>
      <c r="P222" s="42">
        <f>P221+O222</f>
        <v>0</v>
      </c>
      <c r="Q222" s="42">
        <f>Q221+P222</f>
        <v>0</v>
      </c>
      <c r="R222" s="42">
        <f>R221+Q222</f>
        <v>0</v>
      </c>
      <c r="S222" s="42">
        <f>S221+R222</f>
        <v>0</v>
      </c>
      <c r="T222" s="42"/>
      <c r="U222" s="42"/>
      <c r="V222" s="42"/>
      <c r="W222" s="42"/>
    </row>
    <row r="223" spans="1:24" s="48" customFormat="1" ht="18" hidden="1" customHeight="1">
      <c r="A223" s="610"/>
      <c r="B223" s="581" t="s">
        <v>91</v>
      </c>
      <c r="C223" s="581"/>
      <c r="D223" s="178" t="str">
        <f>серпень!D223</f>
        <v>факт. нат.п-ки 2023</v>
      </c>
      <c r="E223" s="11"/>
      <c r="F223" s="12"/>
      <c r="G223" s="12"/>
      <c r="H223" s="12"/>
      <c r="I223" s="12"/>
      <c r="J223" s="12"/>
      <c r="K223" s="12"/>
      <c r="L223" s="65">
        <f>SUM(F223:K223)</f>
        <v>0</v>
      </c>
      <c r="M223" s="65">
        <f>L223/6</f>
        <v>0</v>
      </c>
      <c r="N223" s="12"/>
      <c r="O223" s="12"/>
      <c r="P223" s="12"/>
      <c r="Q223" s="12"/>
      <c r="R223" s="12"/>
      <c r="S223" s="12"/>
      <c r="T223" s="65">
        <f>SUM(N223:S223)</f>
        <v>0</v>
      </c>
      <c r="U223" s="66">
        <f>T223+L223</f>
        <v>0</v>
      </c>
      <c r="V223" s="67"/>
      <c r="W223" s="38">
        <f>V223-U223</f>
        <v>0</v>
      </c>
      <c r="X223" s="47"/>
    </row>
    <row r="224" spans="1:24" s="48" customFormat="1" ht="18" hidden="1" customHeight="1">
      <c r="A224" s="610"/>
      <c r="B224" s="581"/>
      <c r="C224" s="581"/>
      <c r="D224" s="178" t="str">
        <f>серпень!D224</f>
        <v>факт. нат.п-ки 2024</v>
      </c>
      <c r="E224" s="11"/>
      <c r="F224" s="12"/>
      <c r="G224" s="12"/>
      <c r="H224" s="12"/>
      <c r="I224" s="12"/>
      <c r="J224" s="12"/>
      <c r="K224" s="12"/>
      <c r="L224" s="65">
        <f>SUM(F224:K224)</f>
        <v>0</v>
      </c>
      <c r="M224" s="65">
        <f>L224/6</f>
        <v>0</v>
      </c>
      <c r="N224" s="11"/>
      <c r="O224" s="11"/>
      <c r="P224" s="11"/>
      <c r="Q224" s="11"/>
      <c r="R224" s="11"/>
      <c r="S224" s="11"/>
      <c r="T224" s="65">
        <f>SUM(N224:S224)</f>
        <v>0</v>
      </c>
      <c r="U224" s="66">
        <f>T224+L224</f>
        <v>0</v>
      </c>
      <c r="V224" s="67"/>
      <c r="W224" s="38">
        <f>V224-U224</f>
        <v>0</v>
      </c>
      <c r="X224" s="47"/>
    </row>
    <row r="225" spans="1:24" s="48" customFormat="1" ht="18" hidden="1" customHeight="1">
      <c r="A225" s="610"/>
      <c r="B225" s="581"/>
      <c r="C225" s="581"/>
      <c r="D225" s="178" t="str">
        <f>серпень!D225</f>
        <v>факт. нат.п-ки 2025</v>
      </c>
      <c r="E225" s="11"/>
      <c r="F225" s="12"/>
      <c r="G225" s="12"/>
      <c r="H225" s="12"/>
      <c r="I225" s="12"/>
      <c r="J225" s="12"/>
      <c r="K225" s="12"/>
      <c r="L225" s="65">
        <f>SUM(F225:K225)</f>
        <v>0</v>
      </c>
      <c r="M225" s="65">
        <f>L225/6</f>
        <v>0</v>
      </c>
      <c r="N225" s="12"/>
      <c r="O225" s="12"/>
      <c r="P225" s="12"/>
      <c r="Q225" s="12"/>
      <c r="R225" s="12"/>
      <c r="S225" s="11"/>
      <c r="T225" s="65">
        <f>SUM(N225:S225)</f>
        <v>0</v>
      </c>
      <c r="U225" s="66">
        <f>T225+L225</f>
        <v>0</v>
      </c>
      <c r="V225" s="11"/>
      <c r="W225" s="38">
        <f>V225-U225</f>
        <v>0</v>
      </c>
      <c r="X225" s="47"/>
    </row>
    <row r="226" spans="1:24" s="51" customFormat="1" ht="18" hidden="1" customHeight="1">
      <c r="A226" s="610"/>
      <c r="B226" s="581"/>
      <c r="C226" s="581"/>
      <c r="D226" s="187" t="str">
        <f>серпень!D226</f>
        <v>тариф, грн.</v>
      </c>
      <c r="E226" s="49"/>
      <c r="F226" s="49">
        <v>3501.96</v>
      </c>
      <c r="G226" s="49">
        <v>3501.96</v>
      </c>
      <c r="H226" s="49">
        <v>3501.96</v>
      </c>
      <c r="I226" s="49">
        <v>3501.96</v>
      </c>
      <c r="J226" s="49">
        <v>3501.96</v>
      </c>
      <c r="K226" s="49">
        <v>3501.96</v>
      </c>
      <c r="L226" s="49" t="e">
        <f>L227/L225*1000</f>
        <v>#DIV/0!</v>
      </c>
      <c r="M226" s="49" t="e">
        <f>M227/M225*1000</f>
        <v>#DIV/0!</v>
      </c>
      <c r="N226" s="49">
        <v>3501.96</v>
      </c>
      <c r="O226" s="49">
        <v>3501.96</v>
      </c>
      <c r="P226" s="49">
        <v>3501.96</v>
      </c>
      <c r="Q226" s="49">
        <v>3501.96</v>
      </c>
      <c r="R226" s="49">
        <v>3501.96</v>
      </c>
      <c r="S226" s="49">
        <v>3501.96</v>
      </c>
      <c r="T226" s="49" t="e">
        <f>T227/T225*1000</f>
        <v>#DIV/0!</v>
      </c>
      <c r="U226" s="49" t="e">
        <f>U227/U225*1000</f>
        <v>#DIV/0!</v>
      </c>
      <c r="V226" s="68" t="e">
        <f>V227/V225*1000</f>
        <v>#DIV/0!</v>
      </c>
      <c r="W226" s="14" t="e">
        <f>W227/W225*1000</f>
        <v>#DIV/0!</v>
      </c>
      <c r="X226" s="59"/>
    </row>
    <row r="227" spans="1:24" s="55" customFormat="1" ht="18" hidden="1" customHeight="1">
      <c r="A227" s="610"/>
      <c r="B227" s="581"/>
      <c r="C227" s="581"/>
      <c r="D227" s="191" t="str">
        <f>серпень!D227</f>
        <v>сума, тис.грн.</v>
      </c>
      <c r="E227" s="52"/>
      <c r="F227" s="52">
        <f t="shared" ref="F227:K227" si="242">F225*F226/1000</f>
        <v>0</v>
      </c>
      <c r="G227" s="52">
        <f t="shared" si="242"/>
        <v>0</v>
      </c>
      <c r="H227" s="52">
        <f t="shared" si="242"/>
        <v>0</v>
      </c>
      <c r="I227" s="52">
        <f t="shared" si="242"/>
        <v>0</v>
      </c>
      <c r="J227" s="52">
        <f t="shared" si="242"/>
        <v>0</v>
      </c>
      <c r="K227" s="52">
        <f t="shared" si="242"/>
        <v>0</v>
      </c>
      <c r="L227" s="69">
        <f>SUM(F227:K227)</f>
        <v>0</v>
      </c>
      <c r="M227" s="69">
        <f>L227/6</f>
        <v>0</v>
      </c>
      <c r="N227" s="52">
        <f t="shared" ref="N227:S227" si="243">N225*N226/1000</f>
        <v>0</v>
      </c>
      <c r="O227" s="52">
        <f t="shared" si="243"/>
        <v>0</v>
      </c>
      <c r="P227" s="52">
        <f t="shared" si="243"/>
        <v>0</v>
      </c>
      <c r="Q227" s="52">
        <f t="shared" si="243"/>
        <v>0</v>
      </c>
      <c r="R227" s="52">
        <f t="shared" si="243"/>
        <v>0</v>
      </c>
      <c r="S227" s="52">
        <f t="shared" si="243"/>
        <v>0</v>
      </c>
      <c r="T227" s="69">
        <f>SUM(N227:S227)</f>
        <v>0</v>
      </c>
      <c r="U227" s="69">
        <f>T227+L227</f>
        <v>0</v>
      </c>
      <c r="V227" s="70">
        <f>V228+V229</f>
        <v>0</v>
      </c>
      <c r="W227" s="53">
        <f>V227-U227</f>
        <v>0</v>
      </c>
      <c r="X227" s="54">
        <f>2726951.723/1000</f>
        <v>2726.9520000000002</v>
      </c>
    </row>
    <row r="228" spans="1:24" s="55" customFormat="1" ht="18" hidden="1" customHeight="1">
      <c r="A228" s="610"/>
      <c r="B228" s="581"/>
      <c r="C228" s="581"/>
      <c r="D228" s="174" t="str">
        <f>серпень!D228</f>
        <v>дотація</v>
      </c>
      <c r="E228" s="56"/>
      <c r="F228" s="52"/>
      <c r="G228" s="52"/>
      <c r="H228" s="52"/>
      <c r="I228" s="52"/>
      <c r="J228" s="52"/>
      <c r="K228" s="52"/>
      <c r="L228" s="69">
        <f>SUM(F228:K228)</f>
        <v>0</v>
      </c>
      <c r="M228" s="69">
        <f>L228/6</f>
        <v>0</v>
      </c>
      <c r="N228" s="52"/>
      <c r="O228" s="52"/>
      <c r="P228" s="52"/>
      <c r="Q228" s="52"/>
      <c r="R228" s="52"/>
      <c r="S228" s="52"/>
      <c r="T228" s="69">
        <f>SUM(N228:S228)</f>
        <v>0</v>
      </c>
      <c r="U228" s="69">
        <f>T228+L228</f>
        <v>0</v>
      </c>
      <c r="V228" s="70">
        <v>0</v>
      </c>
      <c r="W228" s="53">
        <f>V228-U228</f>
        <v>0</v>
      </c>
      <c r="X228" s="58"/>
    </row>
    <row r="229" spans="1:24" s="55" customFormat="1" ht="18" hidden="1" customHeight="1">
      <c r="A229" s="610"/>
      <c r="B229" s="581"/>
      <c r="C229" s="581"/>
      <c r="D229" s="174" t="str">
        <f>серпень!D229</f>
        <v>місцевий (план), тис.грн</v>
      </c>
      <c r="E229" s="56"/>
      <c r="F229" s="52"/>
      <c r="G229" s="52"/>
      <c r="H229" s="52"/>
      <c r="I229" s="52"/>
      <c r="J229" s="52"/>
      <c r="K229" s="52"/>
      <c r="L229" s="69">
        <f>SUM(F229:K229)</f>
        <v>0</v>
      </c>
      <c r="M229" s="69">
        <f>L229/6</f>
        <v>0</v>
      </c>
      <c r="N229" s="52"/>
      <c r="O229" s="52"/>
      <c r="P229" s="52"/>
      <c r="Q229" s="52"/>
      <c r="R229" s="52"/>
      <c r="S229" s="52"/>
      <c r="T229" s="69">
        <f>SUM(N229:S229)</f>
        <v>0</v>
      </c>
      <c r="U229" s="69">
        <f>T229+L229</f>
        <v>0</v>
      </c>
      <c r="V229" s="70"/>
      <c r="W229" s="53">
        <f>V229-U229</f>
        <v>0</v>
      </c>
      <c r="X229" s="58"/>
    </row>
    <row r="230" spans="1:24" s="48" customFormat="1" ht="18" hidden="1" customHeight="1">
      <c r="A230" s="610"/>
      <c r="B230" s="581"/>
      <c r="C230" s="581"/>
      <c r="D230" s="178" t="str">
        <f>серпень!D230</f>
        <v>касові нат.п-ки 2025</v>
      </c>
      <c r="E230" s="11"/>
      <c r="F230" s="11"/>
      <c r="G230" s="11"/>
      <c r="H230" s="11"/>
      <c r="I230" s="11"/>
      <c r="J230" s="11"/>
      <c r="K230" s="11"/>
      <c r="L230" s="65">
        <f>SUM(F230:K230)</f>
        <v>0</v>
      </c>
      <c r="M230" s="65">
        <f>L230/6</f>
        <v>0</v>
      </c>
      <c r="N230" s="11"/>
      <c r="O230" s="11"/>
      <c r="P230" s="11"/>
      <c r="Q230" s="11"/>
      <c r="R230" s="11"/>
      <c r="S230" s="11">
        <f>S225+R225</f>
        <v>0</v>
      </c>
      <c r="T230" s="65">
        <f>SUM(N230:S230)</f>
        <v>0</v>
      </c>
      <c r="U230" s="65">
        <f>T230+L230</f>
        <v>0</v>
      </c>
      <c r="V230" s="11">
        <f>V225</f>
        <v>0</v>
      </c>
      <c r="W230" s="38">
        <f>V230-U230</f>
        <v>0</v>
      </c>
      <c r="X230" s="47">
        <f>U225-U230</f>
        <v>0</v>
      </c>
    </row>
    <row r="231" spans="1:24" s="51" customFormat="1" ht="18" hidden="1" customHeight="1">
      <c r="A231" s="610"/>
      <c r="B231" s="581"/>
      <c r="C231" s="581"/>
      <c r="D231" s="187" t="str">
        <f>серпень!D231</f>
        <v>тариф, грн.</v>
      </c>
      <c r="E231" s="49" t="e">
        <f>E232/E230*1000</f>
        <v>#DIV/0!</v>
      </c>
      <c r="F231" s="49">
        <v>3501.96</v>
      </c>
      <c r="G231" s="49">
        <v>3501.96</v>
      </c>
      <c r="H231" s="49">
        <v>3501.96</v>
      </c>
      <c r="I231" s="49">
        <v>3501.96</v>
      </c>
      <c r="J231" s="49">
        <v>3501.96</v>
      </c>
      <c r="K231" s="49">
        <v>3501.96</v>
      </c>
      <c r="L231" s="49" t="e">
        <f>L232/L230*1000</f>
        <v>#DIV/0!</v>
      </c>
      <c r="M231" s="49" t="e">
        <f>M232/M230*1000</f>
        <v>#DIV/0!</v>
      </c>
      <c r="N231" s="49">
        <v>3501.96</v>
      </c>
      <c r="O231" s="49">
        <v>3501.96</v>
      </c>
      <c r="P231" s="49">
        <v>3501.96</v>
      </c>
      <c r="Q231" s="49">
        <v>3501.96</v>
      </c>
      <c r="R231" s="49">
        <v>3501.96</v>
      </c>
      <c r="S231" s="49">
        <v>3501.96</v>
      </c>
      <c r="T231" s="49" t="e">
        <f>T232/T230*1000</f>
        <v>#DIV/0!</v>
      </c>
      <c r="U231" s="49" t="e">
        <f>U232/U230*1000</f>
        <v>#DIV/0!</v>
      </c>
      <c r="V231" s="68" t="e">
        <f>V232/V230*1000</f>
        <v>#DIV/0!</v>
      </c>
      <c r="W231" s="14" t="e">
        <f>W232/W230*1000</f>
        <v>#DIV/0!</v>
      </c>
      <c r="X231" s="59"/>
    </row>
    <row r="232" spans="1:24" s="63" customFormat="1" ht="18" hidden="1" customHeight="1">
      <c r="A232" s="610"/>
      <c r="B232" s="581"/>
      <c r="C232" s="581"/>
      <c r="D232" s="198" t="str">
        <f>серпень!D232</f>
        <v>касові видатки, тис.грн.</v>
      </c>
      <c r="E232" s="71"/>
      <c r="F232" s="61">
        <f t="shared" ref="F232:K232" si="244">F230*F231/1000</f>
        <v>0</v>
      </c>
      <c r="G232" s="61">
        <f t="shared" si="244"/>
        <v>0</v>
      </c>
      <c r="H232" s="61">
        <f t="shared" si="244"/>
        <v>0</v>
      </c>
      <c r="I232" s="61">
        <f t="shared" si="244"/>
        <v>0</v>
      </c>
      <c r="J232" s="61">
        <f t="shared" si="244"/>
        <v>0</v>
      </c>
      <c r="K232" s="61">
        <f t="shared" si="244"/>
        <v>0</v>
      </c>
      <c r="L232" s="61">
        <f>SUM(F232:K232)</f>
        <v>0</v>
      </c>
      <c r="M232" s="61">
        <f>L232/6</f>
        <v>0</v>
      </c>
      <c r="N232" s="61">
        <f t="shared" ref="N232:S232" si="245">N230*N231/1000</f>
        <v>0</v>
      </c>
      <c r="O232" s="61">
        <f t="shared" si="245"/>
        <v>0</v>
      </c>
      <c r="P232" s="61">
        <f t="shared" si="245"/>
        <v>0</v>
      </c>
      <c r="Q232" s="61">
        <f t="shared" si="245"/>
        <v>0</v>
      </c>
      <c r="R232" s="61">
        <f t="shared" si="245"/>
        <v>0</v>
      </c>
      <c r="S232" s="61">
        <f t="shared" si="245"/>
        <v>0</v>
      </c>
      <c r="T232" s="61">
        <f>SUM(N232:S232)</f>
        <v>0</v>
      </c>
      <c r="U232" s="61">
        <f>T232+L232</f>
        <v>0</v>
      </c>
      <c r="V232" s="61">
        <f>V227</f>
        <v>0</v>
      </c>
      <c r="W232" s="72">
        <f>V232-U232</f>
        <v>0</v>
      </c>
      <c r="X232" s="63">
        <f>U227-U232</f>
        <v>0</v>
      </c>
    </row>
    <row r="233" spans="1:24" s="63" customFormat="1" ht="18" hidden="1" customHeight="1">
      <c r="A233" s="610"/>
      <c r="B233" s="581"/>
      <c r="C233" s="581"/>
      <c r="D233" s="201" t="str">
        <f>серпень!D233</f>
        <v>дотація</v>
      </c>
      <c r="E233" s="71"/>
      <c r="F233" s="61"/>
      <c r="G233" s="61"/>
      <c r="H233" s="61"/>
      <c r="I233" s="61"/>
      <c r="J233" s="61"/>
      <c r="K233" s="61"/>
      <c r="L233" s="61">
        <f>SUM(F233:K233)</f>
        <v>0</v>
      </c>
      <c r="M233" s="61">
        <f>L233/6</f>
        <v>0</v>
      </c>
      <c r="N233" s="61"/>
      <c r="O233" s="61"/>
      <c r="P233" s="61"/>
      <c r="Q233" s="61"/>
      <c r="R233" s="61"/>
      <c r="S233" s="61"/>
      <c r="T233" s="61">
        <f>SUM(N233:S233)</f>
        <v>0</v>
      </c>
      <c r="U233" s="61">
        <f>T233+L233</f>
        <v>0</v>
      </c>
      <c r="V233" s="61">
        <f>V228</f>
        <v>0</v>
      </c>
      <c r="W233" s="72">
        <f>V233-U233</f>
        <v>0</v>
      </c>
      <c r="X233" s="63">
        <f>U228-U233</f>
        <v>0</v>
      </c>
    </row>
    <row r="234" spans="1:24" s="63" customFormat="1" ht="18" hidden="1" customHeight="1">
      <c r="A234" s="610"/>
      <c r="B234" s="581"/>
      <c r="C234" s="581"/>
      <c r="D234" s="201" t="str">
        <f>серпень!D234</f>
        <v xml:space="preserve">місцевий </v>
      </c>
      <c r="E234" s="71"/>
      <c r="F234" s="61">
        <f t="shared" ref="F234:K234" si="246">F232-F233</f>
        <v>0</v>
      </c>
      <c r="G234" s="61">
        <f t="shared" si="246"/>
        <v>0</v>
      </c>
      <c r="H234" s="61">
        <f t="shared" si="246"/>
        <v>0</v>
      </c>
      <c r="I234" s="61">
        <f t="shared" si="246"/>
        <v>0</v>
      </c>
      <c r="J234" s="61">
        <f t="shared" si="246"/>
        <v>0</v>
      </c>
      <c r="K234" s="61">
        <f t="shared" si="246"/>
        <v>0</v>
      </c>
      <c r="L234" s="61">
        <f>SUM(F234:K234)</f>
        <v>0</v>
      </c>
      <c r="M234" s="61">
        <f>L234/6</f>
        <v>0</v>
      </c>
      <c r="N234" s="61">
        <f t="shared" ref="N234:S234" si="247">N232-N233</f>
        <v>0</v>
      </c>
      <c r="O234" s="61">
        <f t="shared" si="247"/>
        <v>0</v>
      </c>
      <c r="P234" s="61">
        <f t="shared" si="247"/>
        <v>0</v>
      </c>
      <c r="Q234" s="61">
        <f t="shared" si="247"/>
        <v>0</v>
      </c>
      <c r="R234" s="61">
        <f t="shared" si="247"/>
        <v>0</v>
      </c>
      <c r="S234" s="61">
        <f t="shared" si="247"/>
        <v>0</v>
      </c>
      <c r="T234" s="61">
        <f>SUM(N234:S234)</f>
        <v>0</v>
      </c>
      <c r="U234" s="61">
        <f>T234+L234</f>
        <v>0</v>
      </c>
      <c r="V234" s="61">
        <f>V229</f>
        <v>0</v>
      </c>
      <c r="W234" s="72">
        <f>V234-U234</f>
        <v>0</v>
      </c>
      <c r="X234" s="63">
        <f>U229-U234</f>
        <v>0</v>
      </c>
    </row>
    <row r="235" spans="1:24" s="43" customFormat="1" ht="18" hidden="1" customHeight="1">
      <c r="A235" s="610"/>
      <c r="B235" s="581"/>
      <c r="C235" s="581"/>
      <c r="D235" s="202" t="str">
        <f>серпень!D235</f>
        <v>план</v>
      </c>
      <c r="E235" s="42"/>
      <c r="F235" s="42">
        <f t="shared" ref="F235:K235" si="248">F229</f>
        <v>0</v>
      </c>
      <c r="G235" s="42">
        <f t="shared" si="248"/>
        <v>0</v>
      </c>
      <c r="H235" s="42">
        <f t="shared" si="248"/>
        <v>0</v>
      </c>
      <c r="I235" s="42">
        <f t="shared" si="248"/>
        <v>0</v>
      </c>
      <c r="J235" s="42">
        <f t="shared" si="248"/>
        <v>0</v>
      </c>
      <c r="K235" s="42">
        <f t="shared" si="248"/>
        <v>0</v>
      </c>
      <c r="L235" s="42">
        <f>SUM(F235:K235)</f>
        <v>0</v>
      </c>
      <c r="M235" s="42">
        <f>L235/6</f>
        <v>0</v>
      </c>
      <c r="N235" s="42">
        <f t="shared" ref="N235:S235" si="249">N229+N228</f>
        <v>0</v>
      </c>
      <c r="O235" s="42">
        <f t="shared" si="249"/>
        <v>0</v>
      </c>
      <c r="P235" s="42">
        <f t="shared" si="249"/>
        <v>0</v>
      </c>
      <c r="Q235" s="42">
        <f t="shared" si="249"/>
        <v>0</v>
      </c>
      <c r="R235" s="42">
        <f t="shared" si="249"/>
        <v>0</v>
      </c>
      <c r="S235" s="42">
        <f t="shared" si="249"/>
        <v>0</v>
      </c>
      <c r="T235" s="42">
        <f>SUM(N235:S235)</f>
        <v>0</v>
      </c>
      <c r="U235" s="42">
        <f>T235+L235</f>
        <v>0</v>
      </c>
      <c r="V235" s="42">
        <f>V232</f>
        <v>0</v>
      </c>
      <c r="W235" s="42">
        <f>V235-U235</f>
        <v>0</v>
      </c>
    </row>
    <row r="236" spans="1:24" s="43" customFormat="1" ht="18" hidden="1" customHeight="1">
      <c r="A236" s="610"/>
      <c r="B236" s="581"/>
      <c r="C236" s="581"/>
      <c r="D236" s="202" t="str">
        <f>серпень!D236</f>
        <v xml:space="preserve">відхилення </v>
      </c>
      <c r="E236" s="42"/>
      <c r="F236" s="42">
        <f t="shared" ref="F236:K236" si="250">F232-F235</f>
        <v>0</v>
      </c>
      <c r="G236" s="42">
        <f t="shared" si="250"/>
        <v>0</v>
      </c>
      <c r="H236" s="42">
        <f t="shared" si="250"/>
        <v>0</v>
      </c>
      <c r="I236" s="42">
        <f t="shared" si="250"/>
        <v>0</v>
      </c>
      <c r="J236" s="42">
        <f t="shared" si="250"/>
        <v>0</v>
      </c>
      <c r="K236" s="42">
        <f t="shared" si="250"/>
        <v>0</v>
      </c>
      <c r="L236" s="42"/>
      <c r="M236" s="42"/>
      <c r="N236" s="42">
        <f t="shared" ref="N236:S236" si="251">N232-N235</f>
        <v>0</v>
      </c>
      <c r="O236" s="42">
        <f t="shared" si="251"/>
        <v>0</v>
      </c>
      <c r="P236" s="42">
        <f t="shared" si="251"/>
        <v>0</v>
      </c>
      <c r="Q236" s="42">
        <f t="shared" si="251"/>
        <v>0</v>
      </c>
      <c r="R236" s="42">
        <f t="shared" si="251"/>
        <v>0</v>
      </c>
      <c r="S236" s="42">
        <f t="shared" si="251"/>
        <v>0</v>
      </c>
      <c r="T236" s="42"/>
      <c r="U236" s="42"/>
      <c r="V236" s="42"/>
      <c r="W236" s="42"/>
    </row>
    <row r="237" spans="1:24" s="43" customFormat="1" ht="18" hidden="1" customHeight="1">
      <c r="A237" s="610"/>
      <c r="B237" s="581"/>
      <c r="C237" s="581"/>
      <c r="D237" s="202" t="str">
        <f>серпень!D237</f>
        <v>відхилення з наростаючим</v>
      </c>
      <c r="E237" s="42"/>
      <c r="F237" s="42">
        <f>F236</f>
        <v>0</v>
      </c>
      <c r="G237" s="42">
        <f>G236+F237</f>
        <v>0</v>
      </c>
      <c r="H237" s="42">
        <f>H236+G237</f>
        <v>0</v>
      </c>
      <c r="I237" s="42">
        <f>I236+H237</f>
        <v>0</v>
      </c>
      <c r="J237" s="42">
        <f>J236+I237</f>
        <v>0</v>
      </c>
      <c r="K237" s="42">
        <f>K236+J237</f>
        <v>0</v>
      </c>
      <c r="L237" s="42"/>
      <c r="M237" s="42"/>
      <c r="N237" s="42">
        <f>N236+K237</f>
        <v>0</v>
      </c>
      <c r="O237" s="42">
        <f>O236+N237</f>
        <v>0</v>
      </c>
      <c r="P237" s="42">
        <f>P236+O237</f>
        <v>0</v>
      </c>
      <c r="Q237" s="42">
        <f>Q236+P237</f>
        <v>0</v>
      </c>
      <c r="R237" s="42">
        <f>R236+Q237</f>
        <v>0</v>
      </c>
      <c r="S237" s="42">
        <f>S236+R237</f>
        <v>0</v>
      </c>
      <c r="T237" s="42"/>
      <c r="U237" s="42"/>
      <c r="V237" s="42"/>
      <c r="W237" s="42"/>
    </row>
    <row r="238" spans="1:24" s="48" customFormat="1" ht="18" hidden="1" customHeight="1">
      <c r="A238" s="610"/>
      <c r="B238" s="576" t="s">
        <v>56</v>
      </c>
      <c r="C238" s="577"/>
      <c r="D238" s="178" t="str">
        <f>серпень!D238</f>
        <v>факт. нат.п-ки 2023</v>
      </c>
      <c r="E238" s="11"/>
      <c r="F238" s="12"/>
      <c r="G238" s="12"/>
      <c r="H238" s="12"/>
      <c r="I238" s="12"/>
      <c r="J238" s="12"/>
      <c r="K238" s="12"/>
      <c r="L238" s="65">
        <f>SUM(F238:K238)</f>
        <v>0</v>
      </c>
      <c r="M238" s="65">
        <f>L238/6</f>
        <v>0</v>
      </c>
      <c r="N238" s="12"/>
      <c r="O238" s="12"/>
      <c r="P238" s="12"/>
      <c r="Q238" s="12"/>
      <c r="R238" s="12"/>
      <c r="S238" s="12"/>
      <c r="T238" s="65">
        <f>SUM(N238:S238)</f>
        <v>0</v>
      </c>
      <c r="U238" s="66">
        <f>T238+L238</f>
        <v>0</v>
      </c>
      <c r="V238" s="67"/>
      <c r="W238" s="38">
        <f>V238-U238</f>
        <v>0</v>
      </c>
      <c r="X238" s="47"/>
    </row>
    <row r="239" spans="1:24" s="48" customFormat="1" ht="18" hidden="1" customHeight="1">
      <c r="A239" s="610"/>
      <c r="B239" s="576"/>
      <c r="C239" s="577"/>
      <c r="D239" s="178" t="str">
        <f>серпень!D239</f>
        <v>факт. нат.п-ки 2024</v>
      </c>
      <c r="E239" s="11"/>
      <c r="F239" s="12"/>
      <c r="G239" s="12"/>
      <c r="H239" s="12"/>
      <c r="I239" s="12"/>
      <c r="J239" s="12"/>
      <c r="K239" s="12"/>
      <c r="L239" s="65">
        <f>SUM(F239:K239)</f>
        <v>0</v>
      </c>
      <c r="M239" s="65">
        <f>L239/6</f>
        <v>0</v>
      </c>
      <c r="N239" s="11"/>
      <c r="O239" s="11"/>
      <c r="P239" s="11"/>
      <c r="Q239" s="11"/>
      <c r="R239" s="11"/>
      <c r="S239" s="11"/>
      <c r="T239" s="65">
        <f>SUM(N239:S239)</f>
        <v>0</v>
      </c>
      <c r="U239" s="66">
        <f>T239+L239</f>
        <v>0</v>
      </c>
      <c r="V239" s="67"/>
      <c r="W239" s="38">
        <f>V239-U239</f>
        <v>0</v>
      </c>
      <c r="X239" s="47"/>
    </row>
    <row r="240" spans="1:24" s="48" customFormat="1" ht="18" hidden="1" customHeight="1">
      <c r="A240" s="610"/>
      <c r="B240" s="576"/>
      <c r="C240" s="577"/>
      <c r="D240" s="178" t="str">
        <f>серпень!D240</f>
        <v>факт. нат.п-ки 2025</v>
      </c>
      <c r="E240" s="11"/>
      <c r="F240" s="12"/>
      <c r="G240" s="12"/>
      <c r="H240" s="12"/>
      <c r="I240" s="12"/>
      <c r="J240" s="12"/>
      <c r="K240" s="12"/>
      <c r="L240" s="65">
        <f>SUM(F240:K240)</f>
        <v>0</v>
      </c>
      <c r="M240" s="65">
        <f>L240/6</f>
        <v>0</v>
      </c>
      <c r="N240" s="12"/>
      <c r="O240" s="12"/>
      <c r="P240" s="12"/>
      <c r="Q240" s="12"/>
      <c r="R240" s="12"/>
      <c r="S240" s="11"/>
      <c r="T240" s="65">
        <f>SUM(N240:S240)</f>
        <v>0</v>
      </c>
      <c r="U240" s="66">
        <f>T240+L240</f>
        <v>0</v>
      </c>
      <c r="V240" s="11"/>
      <c r="W240" s="38">
        <f>V240-U240</f>
        <v>0</v>
      </c>
      <c r="X240" s="47"/>
    </row>
    <row r="241" spans="1:24" s="51" customFormat="1" ht="18" hidden="1" customHeight="1">
      <c r="A241" s="610"/>
      <c r="B241" s="576"/>
      <c r="C241" s="577"/>
      <c r="D241" s="187" t="str">
        <f>серпень!D241</f>
        <v>тариф, грн.</v>
      </c>
      <c r="E241" s="49"/>
      <c r="F241" s="49">
        <v>1655.08</v>
      </c>
      <c r="G241" s="49">
        <v>1655.08</v>
      </c>
      <c r="H241" s="49">
        <v>1655.08</v>
      </c>
      <c r="I241" s="49">
        <v>1655.08</v>
      </c>
      <c r="J241" s="49">
        <v>1655.08</v>
      </c>
      <c r="K241" s="49">
        <v>1655.08</v>
      </c>
      <c r="L241" s="49" t="e">
        <f>L242/L240*1000</f>
        <v>#DIV/0!</v>
      </c>
      <c r="M241" s="49" t="e">
        <f>M242/M240*1000</f>
        <v>#DIV/0!</v>
      </c>
      <c r="N241" s="49">
        <v>1655.08</v>
      </c>
      <c r="O241" s="49">
        <v>1655.08</v>
      </c>
      <c r="P241" s="49">
        <v>1655.08</v>
      </c>
      <c r="Q241" s="49">
        <v>1655.08</v>
      </c>
      <c r="R241" s="49">
        <v>1655.08</v>
      </c>
      <c r="S241" s="49">
        <v>1655.08</v>
      </c>
      <c r="T241" s="49" t="e">
        <f>T242/T240*1000</f>
        <v>#DIV/0!</v>
      </c>
      <c r="U241" s="49" t="e">
        <f>U242/U240*1000</f>
        <v>#DIV/0!</v>
      </c>
      <c r="V241" s="68" t="e">
        <f>V242/V240*1000</f>
        <v>#DIV/0!</v>
      </c>
      <c r="W241" s="14" t="e">
        <f>W242/W240*1000</f>
        <v>#DIV/0!</v>
      </c>
      <c r="X241" s="59"/>
    </row>
    <row r="242" spans="1:24" s="55" customFormat="1" ht="18" hidden="1" customHeight="1">
      <c r="A242" s="610"/>
      <c r="B242" s="576"/>
      <c r="C242" s="577"/>
      <c r="D242" s="191" t="str">
        <f>серпень!D242</f>
        <v>сума, тис.грн.</v>
      </c>
      <c r="E242" s="52"/>
      <c r="F242" s="52">
        <f t="shared" ref="F242:K242" si="252">F240*F241/1000</f>
        <v>0</v>
      </c>
      <c r="G242" s="52">
        <f t="shared" si="252"/>
        <v>0</v>
      </c>
      <c r="H242" s="52">
        <f t="shared" si="252"/>
        <v>0</v>
      </c>
      <c r="I242" s="52">
        <f t="shared" si="252"/>
        <v>0</v>
      </c>
      <c r="J242" s="52">
        <f t="shared" si="252"/>
        <v>0</v>
      </c>
      <c r="K242" s="52">
        <f t="shared" si="252"/>
        <v>0</v>
      </c>
      <c r="L242" s="69">
        <f>SUM(F242:K242)</f>
        <v>0</v>
      </c>
      <c r="M242" s="69">
        <f>L242/6</f>
        <v>0</v>
      </c>
      <c r="N242" s="52">
        <f t="shared" ref="N242:S242" si="253">N240*N241/1000</f>
        <v>0</v>
      </c>
      <c r="O242" s="52">
        <f t="shared" si="253"/>
        <v>0</v>
      </c>
      <c r="P242" s="52">
        <f t="shared" si="253"/>
        <v>0</v>
      </c>
      <c r="Q242" s="52">
        <f t="shared" si="253"/>
        <v>0</v>
      </c>
      <c r="R242" s="52">
        <f t="shared" si="253"/>
        <v>0</v>
      </c>
      <c r="S242" s="52">
        <f t="shared" si="253"/>
        <v>0</v>
      </c>
      <c r="T242" s="69">
        <f>SUM(N242:S242)</f>
        <v>0</v>
      </c>
      <c r="U242" s="69">
        <f>T242+L242</f>
        <v>0</v>
      </c>
      <c r="V242" s="70">
        <f>V243+V244</f>
        <v>0</v>
      </c>
      <c r="W242" s="53">
        <f>V242-U242</f>
        <v>0</v>
      </c>
      <c r="X242" s="54">
        <f>2726951.723/1000</f>
        <v>2726.9520000000002</v>
      </c>
    </row>
    <row r="243" spans="1:24" s="55" customFormat="1" ht="18" hidden="1" customHeight="1">
      <c r="A243" s="610"/>
      <c r="B243" s="576"/>
      <c r="C243" s="577"/>
      <c r="D243" s="174" t="str">
        <f>серпень!D243</f>
        <v>дотація</v>
      </c>
      <c r="E243" s="56"/>
      <c r="F243" s="52"/>
      <c r="G243" s="52"/>
      <c r="H243" s="52"/>
      <c r="I243" s="52"/>
      <c r="J243" s="52"/>
      <c r="K243" s="52"/>
      <c r="L243" s="69">
        <f>SUM(F243:K243)</f>
        <v>0</v>
      </c>
      <c r="M243" s="69">
        <f>L243/6</f>
        <v>0</v>
      </c>
      <c r="N243" s="52"/>
      <c r="O243" s="52"/>
      <c r="P243" s="52"/>
      <c r="Q243" s="52"/>
      <c r="R243" s="52"/>
      <c r="S243" s="52"/>
      <c r="T243" s="69">
        <f>SUM(N243:S243)</f>
        <v>0</v>
      </c>
      <c r="U243" s="69">
        <f>T243+L243</f>
        <v>0</v>
      </c>
      <c r="V243" s="70">
        <v>0</v>
      </c>
      <c r="W243" s="53">
        <f>V243-U243</f>
        <v>0</v>
      </c>
      <c r="X243" s="58"/>
    </row>
    <row r="244" spans="1:24" s="55" customFormat="1" ht="18" hidden="1" customHeight="1">
      <c r="A244" s="610"/>
      <c r="B244" s="576"/>
      <c r="C244" s="577"/>
      <c r="D244" s="174" t="str">
        <f>серпень!D244</f>
        <v>місцевий (план), тис.грн</v>
      </c>
      <c r="E244" s="56"/>
      <c r="F244" s="52"/>
      <c r="G244" s="52"/>
      <c r="H244" s="52"/>
      <c r="I244" s="52"/>
      <c r="J244" s="52"/>
      <c r="K244" s="52"/>
      <c r="L244" s="69">
        <f>SUM(F244:K244)</f>
        <v>0</v>
      </c>
      <c r="M244" s="69">
        <f>L244/6</f>
        <v>0</v>
      </c>
      <c r="N244" s="52"/>
      <c r="O244" s="52"/>
      <c r="P244" s="52"/>
      <c r="Q244" s="52"/>
      <c r="R244" s="52"/>
      <c r="S244" s="52"/>
      <c r="T244" s="69">
        <f>SUM(N244:S244)</f>
        <v>0</v>
      </c>
      <c r="U244" s="69">
        <f>T244+L244</f>
        <v>0</v>
      </c>
      <c r="V244" s="70"/>
      <c r="W244" s="53">
        <f>V244-U244</f>
        <v>0</v>
      </c>
      <c r="X244" s="58"/>
    </row>
    <row r="245" spans="1:24" s="48" customFormat="1" ht="18" hidden="1" customHeight="1">
      <c r="A245" s="610"/>
      <c r="B245" s="576"/>
      <c r="C245" s="577"/>
      <c r="D245" s="178" t="str">
        <f>серпень!D245</f>
        <v>касові нат.п-ки 2025</v>
      </c>
      <c r="E245" s="11"/>
      <c r="F245" s="11"/>
      <c r="G245" s="11"/>
      <c r="H245" s="11"/>
      <c r="I245" s="11"/>
      <c r="J245" s="11"/>
      <c r="K245" s="11"/>
      <c r="L245" s="65">
        <f>SUM(F245:K245)</f>
        <v>0</v>
      </c>
      <c r="M245" s="65">
        <f>L245/6</f>
        <v>0</v>
      </c>
      <c r="N245" s="11"/>
      <c r="O245" s="11"/>
      <c r="P245" s="11"/>
      <c r="Q245" s="11"/>
      <c r="R245" s="11"/>
      <c r="S245" s="11">
        <f>S240+R240</f>
        <v>0</v>
      </c>
      <c r="T245" s="65">
        <f>SUM(N245:S245)</f>
        <v>0</v>
      </c>
      <c r="U245" s="65">
        <f>T245+L245</f>
        <v>0</v>
      </c>
      <c r="V245" s="11">
        <f>V240</f>
        <v>0</v>
      </c>
      <c r="W245" s="38">
        <f>V245-U245</f>
        <v>0</v>
      </c>
      <c r="X245" s="47">
        <f>U240-U245</f>
        <v>0</v>
      </c>
    </row>
    <row r="246" spans="1:24" s="51" customFormat="1" ht="18" hidden="1" customHeight="1">
      <c r="A246" s="610"/>
      <c r="B246" s="576"/>
      <c r="C246" s="577"/>
      <c r="D246" s="187" t="str">
        <f>серпень!D246</f>
        <v>тариф, грн.</v>
      </c>
      <c r="E246" s="49" t="e">
        <f>E247/E245*1000</f>
        <v>#DIV/0!</v>
      </c>
      <c r="F246" s="49">
        <v>1655.08</v>
      </c>
      <c r="G246" s="49">
        <v>1655.08</v>
      </c>
      <c r="H246" s="49">
        <v>1655.08</v>
      </c>
      <c r="I246" s="49">
        <v>1655.08</v>
      </c>
      <c r="J246" s="49">
        <v>1655.08</v>
      </c>
      <c r="K246" s="49">
        <v>1655.08</v>
      </c>
      <c r="L246" s="49" t="e">
        <f>L247/L245*1000</f>
        <v>#DIV/0!</v>
      </c>
      <c r="M246" s="49" t="e">
        <f>M247/M245*1000</f>
        <v>#DIV/0!</v>
      </c>
      <c r="N246" s="49">
        <v>1655.08</v>
      </c>
      <c r="O246" s="49">
        <v>1655.08</v>
      </c>
      <c r="P246" s="49">
        <v>1655.08</v>
      </c>
      <c r="Q246" s="49">
        <v>1655.08</v>
      </c>
      <c r="R246" s="49">
        <v>1655.08</v>
      </c>
      <c r="S246" s="49">
        <v>1655.08</v>
      </c>
      <c r="T246" s="49" t="e">
        <f>T247/T245*1000</f>
        <v>#DIV/0!</v>
      </c>
      <c r="U246" s="49" t="e">
        <f>U247/U245*1000</f>
        <v>#DIV/0!</v>
      </c>
      <c r="V246" s="68" t="e">
        <f>V247/V245*1000</f>
        <v>#DIV/0!</v>
      </c>
      <c r="W246" s="14" t="e">
        <f>W247/W245*1000</f>
        <v>#DIV/0!</v>
      </c>
      <c r="X246" s="59"/>
    </row>
    <row r="247" spans="1:24" s="63" customFormat="1" ht="18" hidden="1" customHeight="1">
      <c r="A247" s="610"/>
      <c r="B247" s="576"/>
      <c r="C247" s="577"/>
      <c r="D247" s="198" t="str">
        <f>серпень!D247</f>
        <v>касові видатки, тис.грн.</v>
      </c>
      <c r="E247" s="71"/>
      <c r="F247" s="61">
        <f t="shared" ref="F247:K247" si="254">F245*F246/1000</f>
        <v>0</v>
      </c>
      <c r="G247" s="61">
        <f t="shared" si="254"/>
        <v>0</v>
      </c>
      <c r="H247" s="61">
        <f t="shared" si="254"/>
        <v>0</v>
      </c>
      <c r="I247" s="61">
        <f t="shared" si="254"/>
        <v>0</v>
      </c>
      <c r="J247" s="61">
        <f t="shared" si="254"/>
        <v>0</v>
      </c>
      <c r="K247" s="61">
        <f t="shared" si="254"/>
        <v>0</v>
      </c>
      <c r="L247" s="61">
        <f>SUM(F247:K247)</f>
        <v>0</v>
      </c>
      <c r="M247" s="61">
        <f>L247/6</f>
        <v>0</v>
      </c>
      <c r="N247" s="61">
        <f t="shared" ref="N247:S247" si="255">N245*N246/1000</f>
        <v>0</v>
      </c>
      <c r="O247" s="61">
        <f t="shared" si="255"/>
        <v>0</v>
      </c>
      <c r="P247" s="61">
        <f t="shared" si="255"/>
        <v>0</v>
      </c>
      <c r="Q247" s="61">
        <f t="shared" si="255"/>
        <v>0</v>
      </c>
      <c r="R247" s="61">
        <f t="shared" si="255"/>
        <v>0</v>
      </c>
      <c r="S247" s="61">
        <f t="shared" si="255"/>
        <v>0</v>
      </c>
      <c r="T247" s="61">
        <f>SUM(N247:S247)</f>
        <v>0</v>
      </c>
      <c r="U247" s="61">
        <f>T247+L247</f>
        <v>0</v>
      </c>
      <c r="V247" s="61">
        <f>V242</f>
        <v>0</v>
      </c>
      <c r="W247" s="72">
        <f>V247-U247</f>
        <v>0</v>
      </c>
      <c r="X247" s="63">
        <f>U242-U247</f>
        <v>0</v>
      </c>
    </row>
    <row r="248" spans="1:24" s="63" customFormat="1" ht="18" hidden="1" customHeight="1">
      <c r="A248" s="610"/>
      <c r="B248" s="576"/>
      <c r="C248" s="577"/>
      <c r="D248" s="201" t="str">
        <f>серпень!D248</f>
        <v>дотація</v>
      </c>
      <c r="E248" s="71"/>
      <c r="F248" s="61"/>
      <c r="G248" s="61"/>
      <c r="H248" s="61"/>
      <c r="I248" s="61"/>
      <c r="J248" s="61"/>
      <c r="K248" s="61"/>
      <c r="L248" s="61">
        <f>SUM(F248:K248)</f>
        <v>0</v>
      </c>
      <c r="M248" s="61">
        <f>L248/6</f>
        <v>0</v>
      </c>
      <c r="N248" s="61"/>
      <c r="O248" s="61"/>
      <c r="P248" s="61"/>
      <c r="Q248" s="61"/>
      <c r="R248" s="61"/>
      <c r="S248" s="61"/>
      <c r="T248" s="61">
        <f>SUM(N248:S248)</f>
        <v>0</v>
      </c>
      <c r="U248" s="61">
        <f>T248+L248</f>
        <v>0</v>
      </c>
      <c r="V248" s="61">
        <f>V243</f>
        <v>0</v>
      </c>
      <c r="W248" s="72">
        <f>V248-U248</f>
        <v>0</v>
      </c>
      <c r="X248" s="63">
        <f>U243-U248</f>
        <v>0</v>
      </c>
    </row>
    <row r="249" spans="1:24" s="63" customFormat="1" ht="18" hidden="1" customHeight="1">
      <c r="A249" s="610"/>
      <c r="B249" s="576"/>
      <c r="C249" s="577"/>
      <c r="D249" s="201" t="str">
        <f>серпень!D249</f>
        <v xml:space="preserve">місцевий </v>
      </c>
      <c r="E249" s="71"/>
      <c r="F249" s="61">
        <f t="shared" ref="F249:K249" si="256">F247-F248</f>
        <v>0</v>
      </c>
      <c r="G249" s="61">
        <f t="shared" si="256"/>
        <v>0</v>
      </c>
      <c r="H249" s="61">
        <f t="shared" si="256"/>
        <v>0</v>
      </c>
      <c r="I249" s="61">
        <f t="shared" si="256"/>
        <v>0</v>
      </c>
      <c r="J249" s="61">
        <f t="shared" si="256"/>
        <v>0</v>
      </c>
      <c r="K249" s="61">
        <f t="shared" si="256"/>
        <v>0</v>
      </c>
      <c r="L249" s="61">
        <f>SUM(F249:K249)</f>
        <v>0</v>
      </c>
      <c r="M249" s="61">
        <f>L249/6</f>
        <v>0</v>
      </c>
      <c r="N249" s="61">
        <f t="shared" ref="N249:S249" si="257">N247-N248</f>
        <v>0</v>
      </c>
      <c r="O249" s="61">
        <f t="shared" si="257"/>
        <v>0</v>
      </c>
      <c r="P249" s="61">
        <f t="shared" si="257"/>
        <v>0</v>
      </c>
      <c r="Q249" s="61">
        <f t="shared" si="257"/>
        <v>0</v>
      </c>
      <c r="R249" s="61">
        <f t="shared" si="257"/>
        <v>0</v>
      </c>
      <c r="S249" s="61">
        <f t="shared" si="257"/>
        <v>0</v>
      </c>
      <c r="T249" s="61">
        <f>SUM(N249:S249)</f>
        <v>0</v>
      </c>
      <c r="U249" s="61">
        <f>T249+L249</f>
        <v>0</v>
      </c>
      <c r="V249" s="61">
        <f>V244</f>
        <v>0</v>
      </c>
      <c r="W249" s="72">
        <f>V249-U249</f>
        <v>0</v>
      </c>
      <c r="X249" s="63">
        <f>U244-U249</f>
        <v>0</v>
      </c>
    </row>
    <row r="250" spans="1:24" s="43" customFormat="1" ht="18" hidden="1" customHeight="1">
      <c r="A250" s="610"/>
      <c r="B250" s="576"/>
      <c r="C250" s="577"/>
      <c r="D250" s="202" t="str">
        <f>серпень!D250</f>
        <v>план</v>
      </c>
      <c r="E250" s="42"/>
      <c r="F250" s="42">
        <f t="shared" ref="F250:K250" si="258">F244</f>
        <v>0</v>
      </c>
      <c r="G250" s="42">
        <f t="shared" si="258"/>
        <v>0</v>
      </c>
      <c r="H250" s="42">
        <f t="shared" si="258"/>
        <v>0</v>
      </c>
      <c r="I250" s="42">
        <f t="shared" si="258"/>
        <v>0</v>
      </c>
      <c r="J250" s="42">
        <f t="shared" si="258"/>
        <v>0</v>
      </c>
      <c r="K250" s="42">
        <f t="shared" si="258"/>
        <v>0</v>
      </c>
      <c r="L250" s="42">
        <f>SUM(F250:K250)</f>
        <v>0</v>
      </c>
      <c r="M250" s="42">
        <f>L250/6</f>
        <v>0</v>
      </c>
      <c r="N250" s="42">
        <f t="shared" ref="N250:S250" si="259">N244+N243</f>
        <v>0</v>
      </c>
      <c r="O250" s="42">
        <f t="shared" si="259"/>
        <v>0</v>
      </c>
      <c r="P250" s="42">
        <f t="shared" si="259"/>
        <v>0</v>
      </c>
      <c r="Q250" s="42">
        <f t="shared" si="259"/>
        <v>0</v>
      </c>
      <c r="R250" s="42">
        <f t="shared" si="259"/>
        <v>0</v>
      </c>
      <c r="S250" s="42">
        <f t="shared" si="259"/>
        <v>0</v>
      </c>
      <c r="T250" s="42">
        <f>SUM(N250:S250)</f>
        <v>0</v>
      </c>
      <c r="U250" s="42">
        <f>T250+L250</f>
        <v>0</v>
      </c>
      <c r="V250" s="42">
        <f>V247</f>
        <v>0</v>
      </c>
      <c r="W250" s="42">
        <f>V250-U250</f>
        <v>0</v>
      </c>
    </row>
    <row r="251" spans="1:24" s="43" customFormat="1" ht="18" hidden="1" customHeight="1">
      <c r="A251" s="610"/>
      <c r="B251" s="576"/>
      <c r="C251" s="577"/>
      <c r="D251" s="202" t="str">
        <f>серпень!D251</f>
        <v xml:space="preserve">відхилення </v>
      </c>
      <c r="E251" s="42"/>
      <c r="F251" s="42">
        <f t="shared" ref="F251:K251" si="260">F247-F250</f>
        <v>0</v>
      </c>
      <c r="G251" s="42">
        <f t="shared" si="260"/>
        <v>0</v>
      </c>
      <c r="H251" s="42">
        <f t="shared" si="260"/>
        <v>0</v>
      </c>
      <c r="I251" s="42">
        <f t="shared" si="260"/>
        <v>0</v>
      </c>
      <c r="J251" s="42">
        <f t="shared" si="260"/>
        <v>0</v>
      </c>
      <c r="K251" s="42">
        <f t="shared" si="260"/>
        <v>0</v>
      </c>
      <c r="L251" s="42"/>
      <c r="M251" s="42"/>
      <c r="N251" s="42">
        <f t="shared" ref="N251:S251" si="261">N247-N250</f>
        <v>0</v>
      </c>
      <c r="O251" s="42">
        <f t="shared" si="261"/>
        <v>0</v>
      </c>
      <c r="P251" s="42">
        <f t="shared" si="261"/>
        <v>0</v>
      </c>
      <c r="Q251" s="42">
        <f t="shared" si="261"/>
        <v>0</v>
      </c>
      <c r="R251" s="42">
        <f t="shared" si="261"/>
        <v>0</v>
      </c>
      <c r="S251" s="42">
        <f t="shared" si="261"/>
        <v>0</v>
      </c>
      <c r="T251" s="42"/>
      <c r="U251" s="42"/>
      <c r="V251" s="42"/>
      <c r="W251" s="42"/>
    </row>
    <row r="252" spans="1:24" s="43" customFormat="1" ht="18" hidden="1" customHeight="1">
      <c r="A252" s="611"/>
      <c r="B252" s="578"/>
      <c r="C252" s="579"/>
      <c r="D252" s="202" t="str">
        <f>серпень!D252</f>
        <v>відхилення з наростаючим</v>
      </c>
      <c r="E252" s="42"/>
      <c r="F252" s="42">
        <f>F251</f>
        <v>0</v>
      </c>
      <c r="G252" s="42">
        <f>G251+F252</f>
        <v>0</v>
      </c>
      <c r="H252" s="42">
        <f>H251+G252</f>
        <v>0</v>
      </c>
      <c r="I252" s="42">
        <f>I251+H252</f>
        <v>0</v>
      </c>
      <c r="J252" s="42">
        <f>J251+I252</f>
        <v>0</v>
      </c>
      <c r="K252" s="42">
        <f>K251+J252</f>
        <v>0</v>
      </c>
      <c r="L252" s="42"/>
      <c r="M252" s="42"/>
      <c r="N252" s="42">
        <f>N251+K252</f>
        <v>0</v>
      </c>
      <c r="O252" s="42">
        <f>O251+N252</f>
        <v>0</v>
      </c>
      <c r="P252" s="42">
        <f>P251+O252</f>
        <v>0</v>
      </c>
      <c r="Q252" s="42">
        <f>Q251+P252</f>
        <v>0</v>
      </c>
      <c r="R252" s="42">
        <f>R251+Q252</f>
        <v>0</v>
      </c>
      <c r="S252" s="42">
        <f>S251+R252</f>
        <v>0</v>
      </c>
      <c r="T252" s="42"/>
      <c r="U252" s="42"/>
      <c r="V252" s="42"/>
      <c r="W252" s="42"/>
    </row>
    <row r="253" spans="1:24" s="186" customFormat="1" ht="18" hidden="1" customHeight="1">
      <c r="A253" s="609" t="s">
        <v>58</v>
      </c>
      <c r="B253" s="659" t="s">
        <v>62</v>
      </c>
      <c r="C253" s="660"/>
      <c r="D253" s="178" t="str">
        <f>серпень!D253</f>
        <v>факт. нат.п-ки 2023</v>
      </c>
      <c r="E253" s="179"/>
      <c r="F253" s="180">
        <f t="shared" ref="F253:K255" si="262">F270+F300</f>
        <v>0</v>
      </c>
      <c r="G253" s="180">
        <f t="shared" si="262"/>
        <v>0</v>
      </c>
      <c r="H253" s="180">
        <f t="shared" si="262"/>
        <v>0</v>
      </c>
      <c r="I253" s="180">
        <f t="shared" si="262"/>
        <v>0</v>
      </c>
      <c r="J253" s="180">
        <f t="shared" si="262"/>
        <v>0</v>
      </c>
      <c r="K253" s="180">
        <f t="shared" si="262"/>
        <v>0</v>
      </c>
      <c r="L253" s="207">
        <f>SUM(F253:K253)</f>
        <v>0</v>
      </c>
      <c r="M253" s="207">
        <f>L253/6</f>
        <v>0</v>
      </c>
      <c r="N253" s="180">
        <f t="shared" ref="N253:S255" si="263">N270+N300</f>
        <v>0</v>
      </c>
      <c r="O253" s="180">
        <f t="shared" si="263"/>
        <v>0</v>
      </c>
      <c r="P253" s="180">
        <f t="shared" si="263"/>
        <v>0</v>
      </c>
      <c r="Q253" s="180">
        <f t="shared" si="263"/>
        <v>0</v>
      </c>
      <c r="R253" s="180">
        <f t="shared" si="263"/>
        <v>0</v>
      </c>
      <c r="S253" s="180">
        <f t="shared" si="263"/>
        <v>0</v>
      </c>
      <c r="T253" s="207">
        <f>SUM(N253:S253)</f>
        <v>0</v>
      </c>
      <c r="U253" s="222">
        <f>T253+L253</f>
        <v>0</v>
      </c>
      <c r="V253" s="183">
        <f>V270+V300</f>
        <v>0</v>
      </c>
      <c r="W253" s="184"/>
      <c r="X253" s="185"/>
    </row>
    <row r="254" spans="1:24" s="186" customFormat="1" ht="18" hidden="1" customHeight="1">
      <c r="A254" s="610"/>
      <c r="B254" s="661"/>
      <c r="C254" s="662"/>
      <c r="D254" s="178" t="str">
        <f>серпень!D254</f>
        <v>факт. нат.п-ки 2024</v>
      </c>
      <c r="E254" s="179"/>
      <c r="F254" s="180">
        <f t="shared" si="262"/>
        <v>0</v>
      </c>
      <c r="G254" s="180">
        <f t="shared" si="262"/>
        <v>0</v>
      </c>
      <c r="H254" s="180">
        <f t="shared" si="262"/>
        <v>0</v>
      </c>
      <c r="I254" s="180">
        <f t="shared" si="262"/>
        <v>0</v>
      </c>
      <c r="J254" s="180">
        <f t="shared" si="262"/>
        <v>0</v>
      </c>
      <c r="K254" s="180">
        <f t="shared" si="262"/>
        <v>0</v>
      </c>
      <c r="L254" s="207">
        <f>SUM(F254:K254)</f>
        <v>0</v>
      </c>
      <c r="M254" s="207">
        <f>L254/6</f>
        <v>0</v>
      </c>
      <c r="N254" s="179">
        <f t="shared" si="263"/>
        <v>0</v>
      </c>
      <c r="O254" s="179">
        <f t="shared" si="263"/>
        <v>0</v>
      </c>
      <c r="P254" s="179">
        <f t="shared" si="263"/>
        <v>0</v>
      </c>
      <c r="Q254" s="179">
        <f t="shared" si="263"/>
        <v>0</v>
      </c>
      <c r="R254" s="179">
        <f t="shared" si="263"/>
        <v>0</v>
      </c>
      <c r="S254" s="179">
        <f t="shared" si="263"/>
        <v>0</v>
      </c>
      <c r="T254" s="207">
        <f>SUM(N254:S254)</f>
        <v>0</v>
      </c>
      <c r="U254" s="222">
        <f>T254+L254</f>
        <v>0</v>
      </c>
      <c r="V254" s="183">
        <f>V271+V301</f>
        <v>0</v>
      </c>
      <c r="W254" s="184"/>
      <c r="X254" s="185"/>
    </row>
    <row r="255" spans="1:24" s="186" customFormat="1" ht="18" hidden="1" customHeight="1">
      <c r="A255" s="610"/>
      <c r="B255" s="661"/>
      <c r="C255" s="662"/>
      <c r="D255" s="178" t="str">
        <f>серпень!D255</f>
        <v>факт. нат.п-ки 2025</v>
      </c>
      <c r="E255" s="179"/>
      <c r="F255" s="180">
        <f>F272+F302</f>
        <v>0</v>
      </c>
      <c r="G255" s="180">
        <f t="shared" si="262"/>
        <v>0</v>
      </c>
      <c r="H255" s="180">
        <f t="shared" si="262"/>
        <v>0</v>
      </c>
      <c r="I255" s="180">
        <f t="shared" si="262"/>
        <v>0</v>
      </c>
      <c r="J255" s="180">
        <f t="shared" si="262"/>
        <v>0</v>
      </c>
      <c r="K255" s="180">
        <f t="shared" si="262"/>
        <v>0</v>
      </c>
      <c r="L255" s="207">
        <f>SUM(F255:K255)</f>
        <v>0</v>
      </c>
      <c r="M255" s="207">
        <f>L255/6</f>
        <v>0</v>
      </c>
      <c r="N255" s="180">
        <f>N272+N302</f>
        <v>0</v>
      </c>
      <c r="O255" s="180">
        <f t="shared" si="263"/>
        <v>0</v>
      </c>
      <c r="P255" s="180">
        <f t="shared" si="263"/>
        <v>0</v>
      </c>
      <c r="Q255" s="180">
        <f t="shared" si="263"/>
        <v>0</v>
      </c>
      <c r="R255" s="180">
        <f t="shared" si="263"/>
        <v>0</v>
      </c>
      <c r="S255" s="180">
        <f t="shared" si="263"/>
        <v>0</v>
      </c>
      <c r="T255" s="207">
        <f>SUM(N255:S255)</f>
        <v>0</v>
      </c>
      <c r="U255" s="222">
        <f>T255+L255</f>
        <v>0</v>
      </c>
      <c r="V255" s="183">
        <f>V272+V287+V302+V317</f>
        <v>0</v>
      </c>
      <c r="W255" s="184">
        <f>V255-U255</f>
        <v>0</v>
      </c>
      <c r="X255" s="185"/>
    </row>
    <row r="256" spans="1:24" s="190" customFormat="1" ht="18" hidden="1" customHeight="1">
      <c r="A256" s="610"/>
      <c r="B256" s="661"/>
      <c r="C256" s="662"/>
      <c r="D256" s="187" t="str">
        <f>серпень!D256</f>
        <v>тариф, грн.</v>
      </c>
      <c r="E256" s="188"/>
      <c r="F256" s="188" t="e">
        <f>F257/F255*1000</f>
        <v>#DIV/0!</v>
      </c>
      <c r="G256" s="188" t="e">
        <f>G257/G255*1000</f>
        <v>#DIV/0!</v>
      </c>
      <c r="H256" s="188" t="e">
        <f>H257/H255*1000</f>
        <v>#DIV/0!</v>
      </c>
      <c r="I256" s="188" t="e">
        <f>I257/I255*1000</f>
        <v>#DIV/0!</v>
      </c>
      <c r="J256" s="188" t="e">
        <f>J257/J255*1000</f>
        <v>#DIV/0!</v>
      </c>
      <c r="K256" s="188" t="e">
        <f t="shared" ref="K256:S256" si="264">K257/K255*1000</f>
        <v>#DIV/0!</v>
      </c>
      <c r="L256" s="188" t="e">
        <f t="shared" si="264"/>
        <v>#DIV/0!</v>
      </c>
      <c r="M256" s="188" t="e">
        <f t="shared" si="264"/>
        <v>#DIV/0!</v>
      </c>
      <c r="N256" s="188" t="e">
        <f t="shared" si="264"/>
        <v>#DIV/0!</v>
      </c>
      <c r="O256" s="188" t="e">
        <f t="shared" si="264"/>
        <v>#DIV/0!</v>
      </c>
      <c r="P256" s="188" t="e">
        <f t="shared" si="264"/>
        <v>#DIV/0!</v>
      </c>
      <c r="Q256" s="188" t="e">
        <f t="shared" si="264"/>
        <v>#DIV/0!</v>
      </c>
      <c r="R256" s="188" t="e">
        <f t="shared" si="264"/>
        <v>#DIV/0!</v>
      </c>
      <c r="S256" s="188" t="e">
        <f t="shared" si="264"/>
        <v>#DIV/0!</v>
      </c>
      <c r="T256" s="188" t="e">
        <f>T257/T255*1000</f>
        <v>#DIV/0!</v>
      </c>
      <c r="U256" s="188" t="e">
        <f>U257/U255*1000</f>
        <v>#DIV/0!</v>
      </c>
      <c r="V256" s="188" t="e">
        <f>V257/V255*1000</f>
        <v>#DIV/0!</v>
      </c>
      <c r="W256" s="189" t="e">
        <f>W257/W255*1000</f>
        <v>#DIV/0!</v>
      </c>
      <c r="X256" s="225"/>
    </row>
    <row r="257" spans="1:28" s="228" customFormat="1" ht="18" hidden="1" customHeight="1">
      <c r="A257" s="610"/>
      <c r="B257" s="661"/>
      <c r="C257" s="662"/>
      <c r="D257" s="191" t="str">
        <f>серпень!D257</f>
        <v>сума, тис.грн.</v>
      </c>
      <c r="E257" s="192"/>
      <c r="F257" s="192">
        <f>F274+F304</f>
        <v>0</v>
      </c>
      <c r="G257" s="192">
        <f t="shared" ref="G257:K257" si="265">G274+G304</f>
        <v>0</v>
      </c>
      <c r="H257" s="192">
        <f t="shared" si="265"/>
        <v>0</v>
      </c>
      <c r="I257" s="192">
        <f t="shared" si="265"/>
        <v>0</v>
      </c>
      <c r="J257" s="192">
        <f t="shared" si="265"/>
        <v>0</v>
      </c>
      <c r="K257" s="192">
        <f t="shared" si="265"/>
        <v>0</v>
      </c>
      <c r="L257" s="192">
        <f t="shared" ref="L257:L262" si="266">SUM(F257:K257)</f>
        <v>0</v>
      </c>
      <c r="M257" s="192">
        <f t="shared" ref="M257:M262" si="267">L257/6</f>
        <v>0</v>
      </c>
      <c r="N257" s="192">
        <f>N274+N304</f>
        <v>0</v>
      </c>
      <c r="O257" s="192">
        <f t="shared" ref="O257:S257" si="268">O274+O304</f>
        <v>0</v>
      </c>
      <c r="P257" s="192">
        <f t="shared" si="268"/>
        <v>0</v>
      </c>
      <c r="Q257" s="192">
        <f t="shared" si="268"/>
        <v>0</v>
      </c>
      <c r="R257" s="192">
        <f t="shared" si="268"/>
        <v>0</v>
      </c>
      <c r="S257" s="192">
        <f t="shared" si="268"/>
        <v>0</v>
      </c>
      <c r="T257" s="192">
        <f t="shared" ref="T257:T262" si="269">SUM(N257:S257)</f>
        <v>0</v>
      </c>
      <c r="U257" s="192">
        <f t="shared" ref="U257:U262" si="270">T257+L257</f>
        <v>0</v>
      </c>
      <c r="V257" s="193">
        <f>V274+V289+V304+V319</f>
        <v>0</v>
      </c>
      <c r="W257" s="193">
        <f t="shared" ref="W257:W262" si="271">V257-U257</f>
        <v>0</v>
      </c>
      <c r="X257" s="209"/>
      <c r="Y257" s="209"/>
      <c r="Z257" s="209"/>
      <c r="AA257" s="209"/>
      <c r="AB257" s="209"/>
    </row>
    <row r="258" spans="1:28" s="228" customFormat="1" ht="18" hidden="1" customHeight="1">
      <c r="A258" s="610"/>
      <c r="B258" s="661"/>
      <c r="C258" s="662"/>
      <c r="D258" s="174" t="str">
        <f>серпень!D258</f>
        <v>абоненська плата, тис.грн.</v>
      </c>
      <c r="E258" s="192"/>
      <c r="F258" s="192">
        <f>F289+F319</f>
        <v>0</v>
      </c>
      <c r="G258" s="192">
        <f t="shared" ref="G258:K258" si="272">G289+G319</f>
        <v>0</v>
      </c>
      <c r="H258" s="192">
        <f t="shared" si="272"/>
        <v>0</v>
      </c>
      <c r="I258" s="192">
        <f t="shared" si="272"/>
        <v>0</v>
      </c>
      <c r="J258" s="192">
        <f t="shared" si="272"/>
        <v>0</v>
      </c>
      <c r="K258" s="192">
        <f t="shared" si="272"/>
        <v>0</v>
      </c>
      <c r="L258" s="192">
        <f t="shared" si="266"/>
        <v>0</v>
      </c>
      <c r="M258" s="192">
        <f t="shared" si="267"/>
        <v>0</v>
      </c>
      <c r="N258" s="192">
        <f>N289+N319</f>
        <v>0</v>
      </c>
      <c r="O258" s="192">
        <f t="shared" ref="O258:S258" si="273">O289+O319</f>
        <v>0</v>
      </c>
      <c r="P258" s="192">
        <f t="shared" si="273"/>
        <v>0</v>
      </c>
      <c r="Q258" s="192">
        <f t="shared" si="273"/>
        <v>0</v>
      </c>
      <c r="R258" s="192">
        <f t="shared" si="273"/>
        <v>0</v>
      </c>
      <c r="S258" s="192">
        <f t="shared" si="273"/>
        <v>0</v>
      </c>
      <c r="T258" s="192">
        <f t="shared" si="269"/>
        <v>0</v>
      </c>
      <c r="U258" s="192">
        <f t="shared" si="270"/>
        <v>0</v>
      </c>
      <c r="V258" s="193">
        <f>V289+V319</f>
        <v>0</v>
      </c>
      <c r="W258" s="193">
        <f t="shared" si="271"/>
        <v>0</v>
      </c>
      <c r="X258" s="209"/>
      <c r="Y258" s="209"/>
      <c r="Z258" s="209"/>
      <c r="AA258" s="209"/>
      <c r="AB258" s="209"/>
    </row>
    <row r="259" spans="1:28" s="228" customFormat="1" ht="18" hidden="1" customHeight="1">
      <c r="A259" s="610"/>
      <c r="B259" s="661"/>
      <c r="C259" s="662"/>
      <c r="D259" s="174" t="str">
        <f>серпень!D259</f>
        <v>разом сума тис. грн+абонплата</v>
      </c>
      <c r="E259" s="192"/>
      <c r="F259" s="192">
        <f>F257+F258</f>
        <v>0</v>
      </c>
      <c r="G259" s="192">
        <f t="shared" ref="G259:K259" si="274">G257+G258</f>
        <v>0</v>
      </c>
      <c r="H259" s="192">
        <f t="shared" si="274"/>
        <v>0</v>
      </c>
      <c r="I259" s="192">
        <f t="shared" si="274"/>
        <v>0</v>
      </c>
      <c r="J259" s="192">
        <f t="shared" si="274"/>
        <v>0</v>
      </c>
      <c r="K259" s="192">
        <f t="shared" si="274"/>
        <v>0</v>
      </c>
      <c r="L259" s="192">
        <f t="shared" si="266"/>
        <v>0</v>
      </c>
      <c r="M259" s="192">
        <f t="shared" si="267"/>
        <v>0</v>
      </c>
      <c r="N259" s="192">
        <f>N257+N258</f>
        <v>0</v>
      </c>
      <c r="O259" s="192">
        <f t="shared" ref="O259:S259" si="275">O257+O258</f>
        <v>0</v>
      </c>
      <c r="P259" s="192">
        <f t="shared" si="275"/>
        <v>0</v>
      </c>
      <c r="Q259" s="192">
        <f t="shared" si="275"/>
        <v>0</v>
      </c>
      <c r="R259" s="192">
        <f t="shared" si="275"/>
        <v>0</v>
      </c>
      <c r="S259" s="192">
        <f t="shared" si="275"/>
        <v>0</v>
      </c>
      <c r="T259" s="192">
        <f t="shared" si="269"/>
        <v>0</v>
      </c>
      <c r="U259" s="192">
        <f t="shared" si="270"/>
        <v>0</v>
      </c>
      <c r="V259" s="193">
        <f>V290+V320</f>
        <v>0</v>
      </c>
      <c r="W259" s="193">
        <f t="shared" si="271"/>
        <v>0</v>
      </c>
      <c r="X259" s="209"/>
      <c r="Y259" s="209"/>
      <c r="Z259" s="209"/>
      <c r="AA259" s="209"/>
      <c r="AB259" s="209"/>
    </row>
    <row r="260" spans="1:28" s="228" customFormat="1" ht="18" hidden="1" customHeight="1">
      <c r="A260" s="610"/>
      <c r="B260" s="661"/>
      <c r="C260" s="662"/>
      <c r="D260" s="174" t="str">
        <f>серпень!D260</f>
        <v>дотація</v>
      </c>
      <c r="E260" s="210"/>
      <c r="F260" s="192">
        <f t="shared" ref="F260:K261" si="276">F275+F290+F305+F320</f>
        <v>0</v>
      </c>
      <c r="G260" s="192">
        <f t="shared" si="276"/>
        <v>0</v>
      </c>
      <c r="H260" s="192">
        <f t="shared" si="276"/>
        <v>0</v>
      </c>
      <c r="I260" s="192">
        <f t="shared" si="276"/>
        <v>0</v>
      </c>
      <c r="J260" s="192">
        <f t="shared" si="276"/>
        <v>0</v>
      </c>
      <c r="K260" s="192">
        <f t="shared" si="276"/>
        <v>0</v>
      </c>
      <c r="L260" s="192">
        <f t="shared" si="266"/>
        <v>0</v>
      </c>
      <c r="M260" s="192">
        <f t="shared" si="267"/>
        <v>0</v>
      </c>
      <c r="N260" s="192">
        <f t="shared" ref="N260:S262" si="277">N275+N290+N305+N320</f>
        <v>0</v>
      </c>
      <c r="O260" s="192">
        <f t="shared" si="277"/>
        <v>0</v>
      </c>
      <c r="P260" s="192">
        <f t="shared" si="277"/>
        <v>0</v>
      </c>
      <c r="Q260" s="192">
        <f t="shared" si="277"/>
        <v>0</v>
      </c>
      <c r="R260" s="192">
        <f t="shared" si="277"/>
        <v>0</v>
      </c>
      <c r="S260" s="192">
        <f t="shared" si="277"/>
        <v>0</v>
      </c>
      <c r="T260" s="192">
        <f t="shared" si="269"/>
        <v>0</v>
      </c>
      <c r="U260" s="192">
        <f t="shared" si="270"/>
        <v>0</v>
      </c>
      <c r="V260" s="193">
        <f t="shared" ref="V260:V262" si="278">V275+V290+V305+V320</f>
        <v>0</v>
      </c>
      <c r="W260" s="211">
        <f t="shared" si="271"/>
        <v>0</v>
      </c>
      <c r="X260" s="209"/>
      <c r="Y260" s="209"/>
      <c r="Z260" s="209"/>
      <c r="AA260" s="209"/>
      <c r="AB260" s="209"/>
    </row>
    <row r="261" spans="1:28" s="228" customFormat="1" ht="18" hidden="1" customHeight="1">
      <c r="A261" s="610"/>
      <c r="B261" s="661"/>
      <c r="C261" s="662"/>
      <c r="D261" s="174" t="str">
        <f>серпень!D261</f>
        <v>місцевий (план), тис.грн</v>
      </c>
      <c r="E261" s="210"/>
      <c r="F261" s="192">
        <f t="shared" si="276"/>
        <v>0</v>
      </c>
      <c r="G261" s="192">
        <f t="shared" si="276"/>
        <v>0</v>
      </c>
      <c r="H261" s="192">
        <f t="shared" si="276"/>
        <v>0</v>
      </c>
      <c r="I261" s="192">
        <f t="shared" si="276"/>
        <v>0</v>
      </c>
      <c r="J261" s="192">
        <f t="shared" si="276"/>
        <v>0</v>
      </c>
      <c r="K261" s="192">
        <f t="shared" si="276"/>
        <v>0</v>
      </c>
      <c r="L261" s="192">
        <f t="shared" si="266"/>
        <v>0</v>
      </c>
      <c r="M261" s="192">
        <f t="shared" si="267"/>
        <v>0</v>
      </c>
      <c r="N261" s="192">
        <f t="shared" si="277"/>
        <v>0</v>
      </c>
      <c r="O261" s="192">
        <f t="shared" si="277"/>
        <v>0</v>
      </c>
      <c r="P261" s="192">
        <f t="shared" si="277"/>
        <v>0</v>
      </c>
      <c r="Q261" s="192">
        <f t="shared" si="277"/>
        <v>0</v>
      </c>
      <c r="R261" s="192">
        <f t="shared" si="277"/>
        <v>0</v>
      </c>
      <c r="S261" s="192">
        <f t="shared" si="277"/>
        <v>0</v>
      </c>
      <c r="T261" s="192">
        <f t="shared" si="269"/>
        <v>0</v>
      </c>
      <c r="U261" s="192">
        <f t="shared" si="270"/>
        <v>0</v>
      </c>
      <c r="V261" s="193">
        <f t="shared" si="278"/>
        <v>0</v>
      </c>
      <c r="W261" s="193">
        <f t="shared" si="271"/>
        <v>0</v>
      </c>
      <c r="X261" s="209"/>
      <c r="Y261" s="209"/>
      <c r="Z261" s="209"/>
      <c r="AA261" s="209"/>
      <c r="AB261" s="209"/>
    </row>
    <row r="262" spans="1:28" s="186" customFormat="1" ht="18" hidden="1" customHeight="1">
      <c r="A262" s="610"/>
      <c r="B262" s="661"/>
      <c r="C262" s="662"/>
      <c r="D262" s="178" t="str">
        <f>серпень!D262</f>
        <v>касові нат.п-ки 2025</v>
      </c>
      <c r="E262" s="179">
        <f>E277+E307</f>
        <v>0</v>
      </c>
      <c r="F262" s="179">
        <f>F277+F307</f>
        <v>0</v>
      </c>
      <c r="G262" s="179">
        <f t="shared" ref="G262:K262" si="279">G277+G307</f>
        <v>0</v>
      </c>
      <c r="H262" s="179">
        <f t="shared" si="279"/>
        <v>0</v>
      </c>
      <c r="I262" s="179">
        <f t="shared" si="279"/>
        <v>0</v>
      </c>
      <c r="J262" s="179">
        <f t="shared" si="279"/>
        <v>0</v>
      </c>
      <c r="K262" s="179">
        <f t="shared" si="279"/>
        <v>0</v>
      </c>
      <c r="L262" s="207">
        <f t="shared" si="266"/>
        <v>0</v>
      </c>
      <c r="M262" s="207">
        <f t="shared" si="267"/>
        <v>0</v>
      </c>
      <c r="N262" s="179">
        <f t="shared" si="277"/>
        <v>0</v>
      </c>
      <c r="O262" s="179">
        <f t="shared" si="277"/>
        <v>0</v>
      </c>
      <c r="P262" s="179">
        <f t="shared" si="277"/>
        <v>0</v>
      </c>
      <c r="Q262" s="179">
        <f t="shared" si="277"/>
        <v>0</v>
      </c>
      <c r="R262" s="179">
        <f t="shared" si="277"/>
        <v>0</v>
      </c>
      <c r="S262" s="179">
        <f t="shared" si="277"/>
        <v>0</v>
      </c>
      <c r="T262" s="207">
        <f t="shared" si="269"/>
        <v>0</v>
      </c>
      <c r="U262" s="207">
        <f t="shared" si="270"/>
        <v>0</v>
      </c>
      <c r="V262" s="184">
        <f t="shared" si="278"/>
        <v>0</v>
      </c>
      <c r="W262" s="184">
        <f t="shared" si="271"/>
        <v>0</v>
      </c>
      <c r="X262" s="185">
        <f>U255-U262</f>
        <v>0</v>
      </c>
    </row>
    <row r="263" spans="1:28" s="190" customFormat="1" ht="18" hidden="1" customHeight="1">
      <c r="A263" s="610"/>
      <c r="B263" s="661"/>
      <c r="C263" s="662"/>
      <c r="D263" s="187" t="str">
        <f>серпень!D263</f>
        <v>тариф, грн.</v>
      </c>
      <c r="E263" s="188" t="e">
        <f t="shared" ref="E263:S263" si="280">E264/E262*1000</f>
        <v>#DIV/0!</v>
      </c>
      <c r="F263" s="188" t="e">
        <f t="shared" si="280"/>
        <v>#DIV/0!</v>
      </c>
      <c r="G263" s="188" t="e">
        <f t="shared" si="280"/>
        <v>#DIV/0!</v>
      </c>
      <c r="H263" s="188" t="e">
        <f t="shared" si="280"/>
        <v>#DIV/0!</v>
      </c>
      <c r="I263" s="188" t="e">
        <f t="shared" si="280"/>
        <v>#DIV/0!</v>
      </c>
      <c r="J263" s="188" t="e">
        <f t="shared" si="280"/>
        <v>#DIV/0!</v>
      </c>
      <c r="K263" s="188" t="e">
        <f t="shared" si="280"/>
        <v>#DIV/0!</v>
      </c>
      <c r="L263" s="188" t="e">
        <f t="shared" si="280"/>
        <v>#DIV/0!</v>
      </c>
      <c r="M263" s="188" t="e">
        <f t="shared" si="280"/>
        <v>#DIV/0!</v>
      </c>
      <c r="N263" s="188" t="e">
        <f t="shared" si="280"/>
        <v>#DIV/0!</v>
      </c>
      <c r="O263" s="188" t="e">
        <f t="shared" si="280"/>
        <v>#DIV/0!</v>
      </c>
      <c r="P263" s="188" t="e">
        <f t="shared" si="280"/>
        <v>#DIV/0!</v>
      </c>
      <c r="Q263" s="188" t="e">
        <f t="shared" si="280"/>
        <v>#DIV/0!</v>
      </c>
      <c r="R263" s="188" t="e">
        <f t="shared" si="280"/>
        <v>#DIV/0!</v>
      </c>
      <c r="S263" s="188" t="e">
        <f t="shared" si="280"/>
        <v>#DIV/0!</v>
      </c>
      <c r="T263" s="188" t="e">
        <f>T264/T262*1000</f>
        <v>#DIV/0!</v>
      </c>
      <c r="U263" s="188" t="e">
        <f>U264/U262*1000</f>
        <v>#DIV/0!</v>
      </c>
      <c r="V263" s="188" t="e">
        <f>V264/V262*1000</f>
        <v>#DIV/0!</v>
      </c>
      <c r="W263" s="189" t="e">
        <f>W264/W262*1000</f>
        <v>#DIV/0!</v>
      </c>
      <c r="X263" s="225"/>
    </row>
    <row r="264" spans="1:28" s="213" customFormat="1" ht="18" hidden="1" customHeight="1">
      <c r="A264" s="610"/>
      <c r="B264" s="661"/>
      <c r="C264" s="662"/>
      <c r="D264" s="198" t="str">
        <f>серпень!D264</f>
        <v>касові видатки, тис.грн.</v>
      </c>
      <c r="E264" s="212">
        <f>E279+E309</f>
        <v>0</v>
      </c>
      <c r="F264" s="199">
        <f>F279+F294+F309+F324</f>
        <v>0</v>
      </c>
      <c r="G264" s="199">
        <f t="shared" ref="G264:K264" si="281">G279+G294+G309+G324</f>
        <v>0</v>
      </c>
      <c r="H264" s="199">
        <f t="shared" si="281"/>
        <v>0</v>
      </c>
      <c r="I264" s="199">
        <f t="shared" si="281"/>
        <v>0</v>
      </c>
      <c r="J264" s="199">
        <f t="shared" si="281"/>
        <v>0</v>
      </c>
      <c r="K264" s="199">
        <f t="shared" si="281"/>
        <v>0</v>
      </c>
      <c r="L264" s="199">
        <f>SUM(F264:K264)</f>
        <v>0</v>
      </c>
      <c r="M264" s="199">
        <f>L264/6</f>
        <v>0</v>
      </c>
      <c r="N264" s="199">
        <f t="shared" ref="N264:S266" si="282">N279+N294+N309+N324</f>
        <v>0</v>
      </c>
      <c r="O264" s="199">
        <f t="shared" si="282"/>
        <v>0</v>
      </c>
      <c r="P264" s="199">
        <f t="shared" si="282"/>
        <v>0</v>
      </c>
      <c r="Q264" s="199">
        <f t="shared" si="282"/>
        <v>0</v>
      </c>
      <c r="R264" s="199">
        <f t="shared" si="282"/>
        <v>0</v>
      </c>
      <c r="S264" s="199">
        <f t="shared" si="282"/>
        <v>0</v>
      </c>
      <c r="T264" s="199">
        <f>SUM(N264:S264)</f>
        <v>0</v>
      </c>
      <c r="U264" s="199">
        <f>T264+L264</f>
        <v>0</v>
      </c>
      <c r="V264" s="175">
        <f t="shared" ref="V264:V267" si="283">V279+V294+V309+V324</f>
        <v>0</v>
      </c>
      <c r="W264" s="175">
        <f>V264-U264</f>
        <v>0</v>
      </c>
      <c r="X264" s="176">
        <f>U259-U264</f>
        <v>0</v>
      </c>
    </row>
    <row r="265" spans="1:28" s="213" customFormat="1" ht="18" hidden="1" customHeight="1">
      <c r="A265" s="610"/>
      <c r="B265" s="661"/>
      <c r="C265" s="662"/>
      <c r="D265" s="201" t="str">
        <f>серпень!D265</f>
        <v>дотація</v>
      </c>
      <c r="E265" s="212"/>
      <c r="F265" s="199">
        <f t="shared" ref="F265:K266" si="284">F280+F295+F310+F325</f>
        <v>0</v>
      </c>
      <c r="G265" s="199">
        <f t="shared" si="284"/>
        <v>0</v>
      </c>
      <c r="H265" s="199">
        <f t="shared" si="284"/>
        <v>0</v>
      </c>
      <c r="I265" s="199">
        <f t="shared" si="284"/>
        <v>0</v>
      </c>
      <c r="J265" s="199">
        <f t="shared" si="284"/>
        <v>0</v>
      </c>
      <c r="K265" s="199">
        <f t="shared" si="284"/>
        <v>0</v>
      </c>
      <c r="L265" s="199">
        <f>SUM(F265:K265)</f>
        <v>0</v>
      </c>
      <c r="M265" s="199">
        <f>L265/6</f>
        <v>0</v>
      </c>
      <c r="N265" s="199">
        <f t="shared" si="282"/>
        <v>0</v>
      </c>
      <c r="O265" s="199">
        <f t="shared" si="282"/>
        <v>0</v>
      </c>
      <c r="P265" s="199">
        <f t="shared" si="282"/>
        <v>0</v>
      </c>
      <c r="Q265" s="199">
        <f t="shared" si="282"/>
        <v>0</v>
      </c>
      <c r="R265" s="199">
        <f t="shared" si="282"/>
        <v>0</v>
      </c>
      <c r="S265" s="199">
        <f t="shared" si="282"/>
        <v>0</v>
      </c>
      <c r="T265" s="199">
        <f>SUM(N265:S265)</f>
        <v>0</v>
      </c>
      <c r="U265" s="199">
        <f>T265+L265</f>
        <v>0</v>
      </c>
      <c r="V265" s="175">
        <f t="shared" si="283"/>
        <v>0</v>
      </c>
      <c r="W265" s="175">
        <f>V265-U265</f>
        <v>0</v>
      </c>
      <c r="X265" s="176">
        <f>U260-U265</f>
        <v>0</v>
      </c>
    </row>
    <row r="266" spans="1:28" s="213" customFormat="1" ht="18" hidden="1" customHeight="1">
      <c r="A266" s="610"/>
      <c r="B266" s="661"/>
      <c r="C266" s="662"/>
      <c r="D266" s="201" t="str">
        <f>серпень!D266</f>
        <v xml:space="preserve">місцевий </v>
      </c>
      <c r="E266" s="212"/>
      <c r="F266" s="199">
        <f t="shared" si="284"/>
        <v>0</v>
      </c>
      <c r="G266" s="199">
        <f t="shared" si="284"/>
        <v>0</v>
      </c>
      <c r="H266" s="199">
        <f t="shared" si="284"/>
        <v>0</v>
      </c>
      <c r="I266" s="199">
        <f t="shared" si="284"/>
        <v>0</v>
      </c>
      <c r="J266" s="199">
        <f t="shared" si="284"/>
        <v>0</v>
      </c>
      <c r="K266" s="199">
        <f t="shared" si="284"/>
        <v>0</v>
      </c>
      <c r="L266" s="199">
        <f>SUM(F266:K266)</f>
        <v>0</v>
      </c>
      <c r="M266" s="199">
        <f>L266/6</f>
        <v>0</v>
      </c>
      <c r="N266" s="199">
        <f t="shared" si="282"/>
        <v>0</v>
      </c>
      <c r="O266" s="199">
        <f t="shared" si="282"/>
        <v>0</v>
      </c>
      <c r="P266" s="199">
        <f t="shared" si="282"/>
        <v>0</v>
      </c>
      <c r="Q266" s="199">
        <f t="shared" si="282"/>
        <v>0</v>
      </c>
      <c r="R266" s="199">
        <f t="shared" si="282"/>
        <v>0</v>
      </c>
      <c r="S266" s="199">
        <f t="shared" si="282"/>
        <v>0</v>
      </c>
      <c r="T266" s="199">
        <f>SUM(N266:S266)</f>
        <v>0</v>
      </c>
      <c r="U266" s="199">
        <f>T266+L266</f>
        <v>0</v>
      </c>
      <c r="V266" s="175">
        <f t="shared" si="283"/>
        <v>0</v>
      </c>
      <c r="W266" s="175">
        <f>V266-U266</f>
        <v>0</v>
      </c>
      <c r="X266" s="176">
        <f>U261-U266</f>
        <v>0</v>
      </c>
    </row>
    <row r="267" spans="1:28" s="205" customFormat="1" ht="18" hidden="1" customHeight="1">
      <c r="A267" s="610"/>
      <c r="B267" s="661"/>
      <c r="C267" s="662"/>
      <c r="D267" s="202" t="str">
        <f>серпень!D267</f>
        <v>план</v>
      </c>
      <c r="E267" s="203"/>
      <c r="F267" s="203">
        <f>F261</f>
        <v>0</v>
      </c>
      <c r="G267" s="203">
        <f t="shared" ref="G267:K267" si="285">G261</f>
        <v>0</v>
      </c>
      <c r="H267" s="203">
        <f t="shared" si="285"/>
        <v>0</v>
      </c>
      <c r="I267" s="203">
        <f t="shared" si="285"/>
        <v>0</v>
      </c>
      <c r="J267" s="203">
        <f t="shared" si="285"/>
        <v>0</v>
      </c>
      <c r="K267" s="203">
        <f t="shared" si="285"/>
        <v>0</v>
      </c>
      <c r="L267" s="203">
        <f>SUM(F267:K267)</f>
        <v>0</v>
      </c>
      <c r="M267" s="203">
        <f>L267/6</f>
        <v>0</v>
      </c>
      <c r="N267" s="203">
        <f t="shared" ref="N267:S267" si="286">N261+N260</f>
        <v>0</v>
      </c>
      <c r="O267" s="203">
        <f t="shared" si="286"/>
        <v>0</v>
      </c>
      <c r="P267" s="203">
        <f t="shared" si="286"/>
        <v>0</v>
      </c>
      <c r="Q267" s="203">
        <f t="shared" si="286"/>
        <v>0</v>
      </c>
      <c r="R267" s="203">
        <f t="shared" si="286"/>
        <v>0</v>
      </c>
      <c r="S267" s="203">
        <f t="shared" si="286"/>
        <v>0</v>
      </c>
      <c r="T267" s="203">
        <f>SUM(N267:S267)</f>
        <v>0</v>
      </c>
      <c r="U267" s="203">
        <f>T267+L267</f>
        <v>0</v>
      </c>
      <c r="V267" s="204">
        <f t="shared" si="283"/>
        <v>0</v>
      </c>
      <c r="W267" s="204">
        <f>V267-U267</f>
        <v>0</v>
      </c>
    </row>
    <row r="268" spans="1:28" s="205" customFormat="1" ht="18" hidden="1" customHeight="1">
      <c r="A268" s="610"/>
      <c r="B268" s="661"/>
      <c r="C268" s="662"/>
      <c r="D268" s="202" t="str">
        <f>серпень!D268</f>
        <v xml:space="preserve">відхилення </v>
      </c>
      <c r="E268" s="203"/>
      <c r="F268" s="203">
        <f t="shared" ref="F268:K268" si="287">F264-F267</f>
        <v>0</v>
      </c>
      <c r="G268" s="203">
        <f t="shared" si="287"/>
        <v>0</v>
      </c>
      <c r="H268" s="203">
        <f t="shared" si="287"/>
        <v>0</v>
      </c>
      <c r="I268" s="203">
        <f t="shared" si="287"/>
        <v>0</v>
      </c>
      <c r="J268" s="203">
        <f t="shared" si="287"/>
        <v>0</v>
      </c>
      <c r="K268" s="203">
        <f t="shared" si="287"/>
        <v>0</v>
      </c>
      <c r="L268" s="203"/>
      <c r="M268" s="203"/>
      <c r="N268" s="203">
        <f t="shared" ref="N268:S268" si="288">N264-N267</f>
        <v>0</v>
      </c>
      <c r="O268" s="203">
        <f t="shared" si="288"/>
        <v>0</v>
      </c>
      <c r="P268" s="203">
        <f t="shared" si="288"/>
        <v>0</v>
      </c>
      <c r="Q268" s="203">
        <f t="shared" si="288"/>
        <v>0</v>
      </c>
      <c r="R268" s="203">
        <f t="shared" si="288"/>
        <v>0</v>
      </c>
      <c r="S268" s="203">
        <f t="shared" si="288"/>
        <v>0</v>
      </c>
      <c r="T268" s="203"/>
      <c r="U268" s="203"/>
      <c r="V268" s="203"/>
      <c r="W268" s="203"/>
    </row>
    <row r="269" spans="1:28" s="205" customFormat="1" ht="18" hidden="1" customHeight="1">
      <c r="A269" s="610"/>
      <c r="B269" s="663"/>
      <c r="C269" s="664"/>
      <c r="D269" s="202" t="str">
        <f>серпень!D269</f>
        <v>відхилення з наростаючим</v>
      </c>
      <c r="E269" s="203"/>
      <c r="F269" s="203">
        <f>F268</f>
        <v>0</v>
      </c>
      <c r="G269" s="203">
        <f>G268+F269</f>
        <v>0</v>
      </c>
      <c r="H269" s="203">
        <f>H268+G269</f>
        <v>0</v>
      </c>
      <c r="I269" s="203">
        <f>I268+H269</f>
        <v>0</v>
      </c>
      <c r="J269" s="203">
        <f>J268+I269</f>
        <v>0</v>
      </c>
      <c r="K269" s="203">
        <f>K268+J269</f>
        <v>0</v>
      </c>
      <c r="L269" s="203"/>
      <c r="M269" s="203"/>
      <c r="N269" s="203">
        <f>N268+K269</f>
        <v>0</v>
      </c>
      <c r="O269" s="203">
        <f>O268+N269</f>
        <v>0</v>
      </c>
      <c r="P269" s="203">
        <f>P268+O269</f>
        <v>0</v>
      </c>
      <c r="Q269" s="203">
        <f>Q268+P269</f>
        <v>0</v>
      </c>
      <c r="R269" s="203">
        <f>R268+Q269</f>
        <v>0</v>
      </c>
      <c r="S269" s="203">
        <f>S268+R269</f>
        <v>0</v>
      </c>
      <c r="T269" s="203"/>
      <c r="U269" s="203"/>
      <c r="V269" s="203"/>
      <c r="W269" s="203"/>
    </row>
    <row r="270" spans="1:28" s="48" customFormat="1" ht="18" hidden="1" customHeight="1">
      <c r="A270" s="610"/>
      <c r="B270" s="582" t="s">
        <v>60</v>
      </c>
      <c r="C270" s="582" t="s">
        <v>97</v>
      </c>
      <c r="D270" s="178" t="str">
        <f>серпень!D270</f>
        <v>факт. нат.п-ки 2023</v>
      </c>
      <c r="E270" s="11"/>
      <c r="F270" s="12"/>
      <c r="G270" s="12"/>
      <c r="H270" s="12"/>
      <c r="I270" s="12"/>
      <c r="J270" s="12"/>
      <c r="K270" s="12"/>
      <c r="L270" s="65">
        <f>SUM(F270:K270)</f>
        <v>0</v>
      </c>
      <c r="M270" s="65">
        <f>L270/6</f>
        <v>0</v>
      </c>
      <c r="N270" s="12"/>
      <c r="O270" s="12"/>
      <c r="P270" s="12"/>
      <c r="Q270" s="12"/>
      <c r="R270" s="12"/>
      <c r="S270" s="12"/>
      <c r="T270" s="65">
        <f>SUM(N270:S270)</f>
        <v>0</v>
      </c>
      <c r="U270" s="66">
        <f>T270+L270</f>
        <v>0</v>
      </c>
      <c r="V270" s="67"/>
      <c r="W270" s="38">
        <f>V270-U270</f>
        <v>0</v>
      </c>
      <c r="X270" s="47"/>
    </row>
    <row r="271" spans="1:28" s="48" customFormat="1" ht="18" hidden="1" customHeight="1">
      <c r="A271" s="610"/>
      <c r="B271" s="583"/>
      <c r="C271" s="583"/>
      <c r="D271" s="178" t="str">
        <f>серпень!D271</f>
        <v>факт. нат.п-ки 2024</v>
      </c>
      <c r="E271" s="11"/>
      <c r="F271" s="12"/>
      <c r="G271" s="12"/>
      <c r="H271" s="12"/>
      <c r="I271" s="12"/>
      <c r="J271" s="12"/>
      <c r="K271" s="12"/>
      <c r="L271" s="65">
        <f>SUM(F271:K271)</f>
        <v>0</v>
      </c>
      <c r="M271" s="65">
        <f>L271/6</f>
        <v>0</v>
      </c>
      <c r="N271" s="11"/>
      <c r="O271" s="11"/>
      <c r="P271" s="11"/>
      <c r="Q271" s="11"/>
      <c r="R271" s="11"/>
      <c r="S271" s="11"/>
      <c r="T271" s="65">
        <f>SUM(N271:S271)</f>
        <v>0</v>
      </c>
      <c r="U271" s="66">
        <f>T271+L271</f>
        <v>0</v>
      </c>
      <c r="V271" s="67"/>
      <c r="W271" s="38">
        <f>V271-U271</f>
        <v>0</v>
      </c>
      <c r="X271" s="47"/>
    </row>
    <row r="272" spans="1:28" s="48" customFormat="1" ht="18" hidden="1" customHeight="1">
      <c r="A272" s="610"/>
      <c r="B272" s="583"/>
      <c r="C272" s="583"/>
      <c r="D272" s="178" t="str">
        <f>серпень!D272</f>
        <v>факт. нат.п-ки 2025</v>
      </c>
      <c r="E272" s="11"/>
      <c r="F272" s="12"/>
      <c r="G272" s="12"/>
      <c r="H272" s="12"/>
      <c r="I272" s="12"/>
      <c r="J272" s="12"/>
      <c r="K272" s="12"/>
      <c r="L272" s="65">
        <f>SUM(F272:K272)</f>
        <v>0</v>
      </c>
      <c r="M272" s="65">
        <f>L272/6</f>
        <v>0</v>
      </c>
      <c r="N272" s="12"/>
      <c r="O272" s="12"/>
      <c r="P272" s="12"/>
      <c r="Q272" s="12"/>
      <c r="R272" s="12"/>
      <c r="S272" s="11"/>
      <c r="T272" s="65">
        <f>SUM(N272:S272)</f>
        <v>0</v>
      </c>
      <c r="U272" s="66">
        <f>T272+L272</f>
        <v>0</v>
      </c>
      <c r="V272" s="11"/>
      <c r="W272" s="38">
        <f>V272-U272</f>
        <v>0</v>
      </c>
      <c r="X272" s="47"/>
    </row>
    <row r="273" spans="1:24" s="51" customFormat="1" ht="18" hidden="1" customHeight="1">
      <c r="A273" s="610"/>
      <c r="B273" s="583"/>
      <c r="C273" s="583"/>
      <c r="D273" s="187" t="str">
        <f>серпень!D273</f>
        <v>тариф, грн.</v>
      </c>
      <c r="E273" s="49"/>
      <c r="F273" s="49"/>
      <c r="G273" s="49"/>
      <c r="H273" s="49"/>
      <c r="I273" s="49"/>
      <c r="J273" s="49"/>
      <c r="K273" s="49"/>
      <c r="L273" s="49" t="e">
        <f>L274/L272*1000</f>
        <v>#DIV/0!</v>
      </c>
      <c r="M273" s="49" t="e">
        <f>M274/M272*1000</f>
        <v>#DIV/0!</v>
      </c>
      <c r="N273" s="49"/>
      <c r="O273" s="49"/>
      <c r="P273" s="49"/>
      <c r="Q273" s="49"/>
      <c r="R273" s="49"/>
      <c r="S273" s="49"/>
      <c r="T273" s="49" t="e">
        <f>T274/T272*1000</f>
        <v>#DIV/0!</v>
      </c>
      <c r="U273" s="49" t="e">
        <f>U274/U272*1000</f>
        <v>#DIV/0!</v>
      </c>
      <c r="V273" s="68" t="e">
        <f>V274/V272*1000</f>
        <v>#DIV/0!</v>
      </c>
      <c r="W273" s="14" t="e">
        <f>W274/W272*1000</f>
        <v>#DIV/0!</v>
      </c>
      <c r="X273" s="50"/>
    </row>
    <row r="274" spans="1:24" s="55" customFormat="1" ht="18" hidden="1" customHeight="1">
      <c r="A274" s="610"/>
      <c r="B274" s="583"/>
      <c r="C274" s="583"/>
      <c r="D274" s="191" t="str">
        <f>серпень!D274</f>
        <v>сума, тис.грн.</v>
      </c>
      <c r="E274" s="52"/>
      <c r="F274" s="52">
        <f t="shared" ref="F274:K274" si="289">F272*F273/1000</f>
        <v>0</v>
      </c>
      <c r="G274" s="52">
        <f t="shared" si="289"/>
        <v>0</v>
      </c>
      <c r="H274" s="52">
        <f t="shared" si="289"/>
        <v>0</v>
      </c>
      <c r="I274" s="52">
        <f t="shared" si="289"/>
        <v>0</v>
      </c>
      <c r="J274" s="52">
        <f t="shared" si="289"/>
        <v>0</v>
      </c>
      <c r="K274" s="52">
        <f t="shared" si="289"/>
        <v>0</v>
      </c>
      <c r="L274" s="69">
        <f>SUM(F274:K274)</f>
        <v>0</v>
      </c>
      <c r="M274" s="69">
        <f>L274/6</f>
        <v>0</v>
      </c>
      <c r="N274" s="52">
        <f t="shared" ref="N274:S274" si="290">N272*N273/1000</f>
        <v>0</v>
      </c>
      <c r="O274" s="52">
        <f t="shared" si="290"/>
        <v>0</v>
      </c>
      <c r="P274" s="52">
        <f t="shared" si="290"/>
        <v>0</v>
      </c>
      <c r="Q274" s="52">
        <f t="shared" si="290"/>
        <v>0</v>
      </c>
      <c r="R274" s="52">
        <f t="shared" si="290"/>
        <v>0</v>
      </c>
      <c r="S274" s="52">
        <f t="shared" si="290"/>
        <v>0</v>
      </c>
      <c r="T274" s="69">
        <f>SUM(N274:S274)</f>
        <v>0</v>
      </c>
      <c r="U274" s="69">
        <f>T274+L274</f>
        <v>0</v>
      </c>
      <c r="V274" s="70">
        <f>V275+V276</f>
        <v>0</v>
      </c>
      <c r="W274" s="53">
        <f>V274-U274</f>
        <v>0</v>
      </c>
      <c r="X274" s="54">
        <f>9891253.845/1000</f>
        <v>9891.2540000000008</v>
      </c>
    </row>
    <row r="275" spans="1:24" s="55" customFormat="1" ht="18" hidden="1" customHeight="1">
      <c r="A275" s="610"/>
      <c r="B275" s="583"/>
      <c r="C275" s="583"/>
      <c r="D275" s="174" t="str">
        <f>серпень!D275</f>
        <v>абоненська плата, тис.грн.</v>
      </c>
      <c r="E275" s="56"/>
      <c r="F275" s="52"/>
      <c r="G275" s="52"/>
      <c r="H275" s="52"/>
      <c r="I275" s="52"/>
      <c r="J275" s="52"/>
      <c r="K275" s="52"/>
      <c r="L275" s="69">
        <f>SUM(F275:K275)</f>
        <v>0</v>
      </c>
      <c r="M275" s="69">
        <f>L275/6</f>
        <v>0</v>
      </c>
      <c r="N275" s="52"/>
      <c r="O275" s="52"/>
      <c r="P275" s="52"/>
      <c r="Q275" s="52"/>
      <c r="R275" s="52"/>
      <c r="S275" s="52"/>
      <c r="T275" s="69">
        <f>SUM(N275:S275)</f>
        <v>0</v>
      </c>
      <c r="U275" s="69">
        <f>T275+L275</f>
        <v>0</v>
      </c>
      <c r="V275" s="70"/>
      <c r="W275" s="53">
        <f>V275-U275</f>
        <v>0</v>
      </c>
      <c r="X275" s="58"/>
    </row>
    <row r="276" spans="1:24" s="55" customFormat="1" ht="18" hidden="1" customHeight="1">
      <c r="A276" s="610"/>
      <c r="B276" s="583"/>
      <c r="C276" s="583"/>
      <c r="D276" s="174" t="str">
        <f>серпень!D276</f>
        <v>разом сума тис. грн+абонплата</v>
      </c>
      <c r="E276" s="56"/>
      <c r="F276" s="52"/>
      <c r="G276" s="52"/>
      <c r="H276" s="52"/>
      <c r="I276" s="52"/>
      <c r="J276" s="52"/>
      <c r="K276" s="52"/>
      <c r="L276" s="69">
        <f>SUM(F276:K276)</f>
        <v>0</v>
      </c>
      <c r="M276" s="69">
        <f>L276/6</f>
        <v>0</v>
      </c>
      <c r="N276" s="52"/>
      <c r="O276" s="52"/>
      <c r="P276" s="52"/>
      <c r="Q276" s="52"/>
      <c r="R276" s="52"/>
      <c r="S276" s="52"/>
      <c r="T276" s="69">
        <f>SUM(N276:S276)</f>
        <v>0</v>
      </c>
      <c r="U276" s="69">
        <f>T276+L276</f>
        <v>0</v>
      </c>
      <c r="V276" s="70"/>
      <c r="W276" s="53">
        <f>V276-U276</f>
        <v>0</v>
      </c>
      <c r="X276" s="58"/>
    </row>
    <row r="277" spans="1:24" s="48" customFormat="1" ht="18" hidden="1" customHeight="1">
      <c r="A277" s="610"/>
      <c r="B277" s="583"/>
      <c r="C277" s="583"/>
      <c r="D277" s="178" t="str">
        <f>серпень!D277</f>
        <v>дотація</v>
      </c>
      <c r="E277" s="11"/>
      <c r="F277" s="11"/>
      <c r="G277" s="11"/>
      <c r="H277" s="11"/>
      <c r="I277" s="11"/>
      <c r="J277" s="11"/>
      <c r="K277" s="11"/>
      <c r="L277" s="65">
        <f>SUM(F277:K277)</f>
        <v>0</v>
      </c>
      <c r="M277" s="65">
        <f>L277/6</f>
        <v>0</v>
      </c>
      <c r="N277" s="11"/>
      <c r="O277" s="11"/>
      <c r="P277" s="11"/>
      <c r="Q277" s="11"/>
      <c r="R277" s="11"/>
      <c r="S277" s="11">
        <f>S272+R272</f>
        <v>0</v>
      </c>
      <c r="T277" s="65">
        <f>SUM(N277:S277)</f>
        <v>0</v>
      </c>
      <c r="U277" s="65">
        <f>T277+L277</f>
        <v>0</v>
      </c>
      <c r="V277" s="11">
        <f>V272</f>
        <v>0</v>
      </c>
      <c r="W277" s="38">
        <f>V277-U277</f>
        <v>0</v>
      </c>
      <c r="X277" s="47">
        <f>U272-U277</f>
        <v>0</v>
      </c>
    </row>
    <row r="278" spans="1:24" s="51" customFormat="1" ht="18" hidden="1" customHeight="1">
      <c r="A278" s="610"/>
      <c r="B278" s="583"/>
      <c r="C278" s="583"/>
      <c r="D278" s="187" t="str">
        <f>серпень!D278</f>
        <v>місцевий (план), тис.грн</v>
      </c>
      <c r="E278" s="49" t="e">
        <f>E279/E277*1000</f>
        <v>#DIV/0!</v>
      </c>
      <c r="F278" s="49"/>
      <c r="G278" s="49"/>
      <c r="H278" s="49"/>
      <c r="I278" s="49"/>
      <c r="J278" s="49"/>
      <c r="K278" s="49"/>
      <c r="L278" s="49" t="e">
        <f>L279/L277*1000</f>
        <v>#DIV/0!</v>
      </c>
      <c r="M278" s="49" t="e">
        <f>M279/M277*1000</f>
        <v>#DIV/0!</v>
      </c>
      <c r="N278" s="49"/>
      <c r="O278" s="49"/>
      <c r="P278" s="49"/>
      <c r="Q278" s="49"/>
      <c r="R278" s="49"/>
      <c r="S278" s="49"/>
      <c r="T278" s="49" t="e">
        <f>T279/T277*1000</f>
        <v>#DIV/0!</v>
      </c>
      <c r="U278" s="49" t="e">
        <f>U279/U277*1000</f>
        <v>#DIV/0!</v>
      </c>
      <c r="V278" s="68" t="e">
        <f>V279/V277*1000</f>
        <v>#DIV/0!</v>
      </c>
      <c r="W278" s="14" t="e">
        <f>W279/W277*1000</f>
        <v>#DIV/0!</v>
      </c>
      <c r="X278" s="59"/>
    </row>
    <row r="279" spans="1:24" s="63" customFormat="1" ht="18" hidden="1" customHeight="1">
      <c r="A279" s="610"/>
      <c r="B279" s="583"/>
      <c r="C279" s="583"/>
      <c r="D279" s="198" t="str">
        <f>серпень!D279</f>
        <v>касові нат.п-ки 2025</v>
      </c>
      <c r="E279" s="71"/>
      <c r="F279" s="61">
        <f t="shared" ref="F279:K279" si="291">F277*F278/1000</f>
        <v>0</v>
      </c>
      <c r="G279" s="61">
        <f t="shared" si="291"/>
        <v>0</v>
      </c>
      <c r="H279" s="61">
        <f t="shared" si="291"/>
        <v>0</v>
      </c>
      <c r="I279" s="61">
        <f t="shared" si="291"/>
        <v>0</v>
      </c>
      <c r="J279" s="61">
        <f t="shared" si="291"/>
        <v>0</v>
      </c>
      <c r="K279" s="61">
        <f t="shared" si="291"/>
        <v>0</v>
      </c>
      <c r="L279" s="61">
        <f>SUM(F279:K279)</f>
        <v>0</v>
      </c>
      <c r="M279" s="61">
        <f>L279/6</f>
        <v>0</v>
      </c>
      <c r="N279" s="61">
        <f t="shared" ref="N279:S279" si="292">N277*N278/1000</f>
        <v>0</v>
      </c>
      <c r="O279" s="61">
        <f t="shared" si="292"/>
        <v>0</v>
      </c>
      <c r="P279" s="61">
        <f t="shared" si="292"/>
        <v>0</v>
      </c>
      <c r="Q279" s="61">
        <f t="shared" si="292"/>
        <v>0</v>
      </c>
      <c r="R279" s="61">
        <f t="shared" si="292"/>
        <v>0</v>
      </c>
      <c r="S279" s="61">
        <f t="shared" si="292"/>
        <v>0</v>
      </c>
      <c r="T279" s="61">
        <f>SUM(N279:S279)</f>
        <v>0</v>
      </c>
      <c r="U279" s="61">
        <f>T279+L279</f>
        <v>0</v>
      </c>
      <c r="V279" s="61">
        <f>V274</f>
        <v>0</v>
      </c>
      <c r="W279" s="72">
        <f>V279-U279</f>
        <v>0</v>
      </c>
      <c r="X279" s="63">
        <f>U274-U279</f>
        <v>0</v>
      </c>
    </row>
    <row r="280" spans="1:24" s="63" customFormat="1" ht="18" hidden="1" customHeight="1">
      <c r="A280" s="610"/>
      <c r="B280" s="583"/>
      <c r="C280" s="583"/>
      <c r="D280" s="201" t="str">
        <f>серпень!D280</f>
        <v>тариф, грн.</v>
      </c>
      <c r="E280" s="71"/>
      <c r="F280" s="61"/>
      <c r="G280" s="61"/>
      <c r="H280" s="61"/>
      <c r="I280" s="61"/>
      <c r="J280" s="61"/>
      <c r="K280" s="61"/>
      <c r="L280" s="61">
        <f>SUM(F280:K280)</f>
        <v>0</v>
      </c>
      <c r="M280" s="61">
        <f>L280/6</f>
        <v>0</v>
      </c>
      <c r="N280" s="61"/>
      <c r="O280" s="61"/>
      <c r="P280" s="61"/>
      <c r="Q280" s="61"/>
      <c r="R280" s="61"/>
      <c r="S280" s="61"/>
      <c r="T280" s="61">
        <f>SUM(N280:S280)</f>
        <v>0</v>
      </c>
      <c r="U280" s="61">
        <f>T280+L280</f>
        <v>0</v>
      </c>
      <c r="V280" s="61">
        <f>V275</f>
        <v>0</v>
      </c>
      <c r="W280" s="72">
        <f>V280-U280</f>
        <v>0</v>
      </c>
      <c r="X280" s="63">
        <f>U275-U280</f>
        <v>0</v>
      </c>
    </row>
    <row r="281" spans="1:24" s="63" customFormat="1" ht="18" hidden="1" customHeight="1">
      <c r="A281" s="610"/>
      <c r="B281" s="583"/>
      <c r="C281" s="583"/>
      <c r="D281" s="201" t="str">
        <f>серпень!D281</f>
        <v>касові видатки, тис.грн.</v>
      </c>
      <c r="E281" s="71"/>
      <c r="F281" s="61">
        <f t="shared" ref="F281:K281" si="293">F279-F280</f>
        <v>0</v>
      </c>
      <c r="G281" s="61">
        <f t="shared" si="293"/>
        <v>0</v>
      </c>
      <c r="H281" s="61">
        <f t="shared" si="293"/>
        <v>0</v>
      </c>
      <c r="I281" s="61">
        <f t="shared" si="293"/>
        <v>0</v>
      </c>
      <c r="J281" s="61">
        <f t="shared" si="293"/>
        <v>0</v>
      </c>
      <c r="K281" s="61">
        <f t="shared" si="293"/>
        <v>0</v>
      </c>
      <c r="L281" s="61">
        <f>SUM(F281:K281)</f>
        <v>0</v>
      </c>
      <c r="M281" s="61">
        <f>L281/6</f>
        <v>0</v>
      </c>
      <c r="N281" s="61">
        <f t="shared" ref="N281:S281" si="294">N279-N280</f>
        <v>0</v>
      </c>
      <c r="O281" s="61">
        <f t="shared" si="294"/>
        <v>0</v>
      </c>
      <c r="P281" s="61">
        <f t="shared" si="294"/>
        <v>0</v>
      </c>
      <c r="Q281" s="61">
        <f t="shared" si="294"/>
        <v>0</v>
      </c>
      <c r="R281" s="61">
        <f t="shared" si="294"/>
        <v>0</v>
      </c>
      <c r="S281" s="61">
        <f t="shared" si="294"/>
        <v>0</v>
      </c>
      <c r="T281" s="61">
        <f>SUM(N281:S281)</f>
        <v>0</v>
      </c>
      <c r="U281" s="61">
        <f>T281+L281</f>
        <v>0</v>
      </c>
      <c r="V281" s="61">
        <f>V276</f>
        <v>0</v>
      </c>
      <c r="W281" s="72">
        <f>V281-U281</f>
        <v>0</v>
      </c>
      <c r="X281" s="63">
        <f>U276-U281</f>
        <v>0</v>
      </c>
    </row>
    <row r="282" spans="1:24" s="43" customFormat="1" ht="18" hidden="1" customHeight="1">
      <c r="A282" s="610"/>
      <c r="B282" s="583"/>
      <c r="C282" s="583"/>
      <c r="D282" s="202" t="str">
        <f>серпень!D282</f>
        <v>дотація</v>
      </c>
      <c r="E282" s="42"/>
      <c r="F282" s="42">
        <f t="shared" ref="F282:K282" si="295">F276</f>
        <v>0</v>
      </c>
      <c r="G282" s="42">
        <f t="shared" si="295"/>
        <v>0</v>
      </c>
      <c r="H282" s="42">
        <f t="shared" si="295"/>
        <v>0</v>
      </c>
      <c r="I282" s="42">
        <f t="shared" si="295"/>
        <v>0</v>
      </c>
      <c r="J282" s="42">
        <f t="shared" si="295"/>
        <v>0</v>
      </c>
      <c r="K282" s="42">
        <f t="shared" si="295"/>
        <v>0</v>
      </c>
      <c r="L282" s="42">
        <f>SUM(F282:K282)</f>
        <v>0</v>
      </c>
      <c r="M282" s="42">
        <f>L282/6</f>
        <v>0</v>
      </c>
      <c r="N282" s="42">
        <f t="shared" ref="N282:S282" si="296">N276+N275</f>
        <v>0</v>
      </c>
      <c r="O282" s="42">
        <f t="shared" si="296"/>
        <v>0</v>
      </c>
      <c r="P282" s="42">
        <f t="shared" si="296"/>
        <v>0</v>
      </c>
      <c r="Q282" s="42">
        <f t="shared" si="296"/>
        <v>0</v>
      </c>
      <c r="R282" s="42">
        <f t="shared" si="296"/>
        <v>0</v>
      </c>
      <c r="S282" s="42">
        <f t="shared" si="296"/>
        <v>0</v>
      </c>
      <c r="T282" s="42">
        <f>SUM(N282:S282)</f>
        <v>0</v>
      </c>
      <c r="U282" s="42">
        <f>T282+L282</f>
        <v>0</v>
      </c>
      <c r="V282" s="42">
        <f>V279</f>
        <v>0</v>
      </c>
      <c r="W282" s="42">
        <f>V282-U282</f>
        <v>0</v>
      </c>
    </row>
    <row r="283" spans="1:24" s="43" customFormat="1" ht="18" hidden="1" customHeight="1">
      <c r="A283" s="610"/>
      <c r="B283" s="583"/>
      <c r="C283" s="583"/>
      <c r="D283" s="202" t="str">
        <f>серпень!D283</f>
        <v xml:space="preserve">місцевий </v>
      </c>
      <c r="E283" s="42"/>
      <c r="F283" s="42">
        <f t="shared" ref="F283:K283" si="297">F279-F282</f>
        <v>0</v>
      </c>
      <c r="G283" s="42">
        <f t="shared" si="297"/>
        <v>0</v>
      </c>
      <c r="H283" s="42">
        <f t="shared" si="297"/>
        <v>0</v>
      </c>
      <c r="I283" s="42">
        <f t="shared" si="297"/>
        <v>0</v>
      </c>
      <c r="J283" s="42">
        <f t="shared" si="297"/>
        <v>0</v>
      </c>
      <c r="K283" s="42">
        <f t="shared" si="297"/>
        <v>0</v>
      </c>
      <c r="L283" s="42"/>
      <c r="M283" s="42"/>
      <c r="N283" s="42">
        <f t="shared" ref="N283:S283" si="298">N279-N282</f>
        <v>0</v>
      </c>
      <c r="O283" s="42">
        <f t="shared" si="298"/>
        <v>0</v>
      </c>
      <c r="P283" s="42">
        <f t="shared" si="298"/>
        <v>0</v>
      </c>
      <c r="Q283" s="42">
        <f t="shared" si="298"/>
        <v>0</v>
      </c>
      <c r="R283" s="42">
        <f t="shared" si="298"/>
        <v>0</v>
      </c>
      <c r="S283" s="42">
        <f t="shared" si="298"/>
        <v>0</v>
      </c>
      <c r="T283" s="42"/>
      <c r="U283" s="42"/>
      <c r="V283" s="42"/>
      <c r="W283" s="42"/>
    </row>
    <row r="284" spans="1:24" s="43" customFormat="1" ht="18" hidden="1" customHeight="1">
      <c r="A284" s="610"/>
      <c r="B284" s="583"/>
      <c r="C284" s="584"/>
      <c r="D284" s="202" t="str">
        <f>серпень!D284</f>
        <v>план</v>
      </c>
      <c r="E284" s="42"/>
      <c r="F284" s="42">
        <f>F283</f>
        <v>0</v>
      </c>
      <c r="G284" s="42">
        <f>G283+F284</f>
        <v>0</v>
      </c>
      <c r="H284" s="42">
        <f>H283+G284</f>
        <v>0</v>
      </c>
      <c r="I284" s="42">
        <f>I283+H284</f>
        <v>0</v>
      </c>
      <c r="J284" s="42">
        <f>J283+I284</f>
        <v>0</v>
      </c>
      <c r="K284" s="42">
        <f>K283+J284</f>
        <v>0</v>
      </c>
      <c r="L284" s="42"/>
      <c r="M284" s="42"/>
      <c r="N284" s="42">
        <f>N283+K284</f>
        <v>0</v>
      </c>
      <c r="O284" s="42">
        <f>O283+N284</f>
        <v>0</v>
      </c>
      <c r="P284" s="42">
        <f>P283+O284</f>
        <v>0</v>
      </c>
      <c r="Q284" s="42">
        <f>Q283+P284</f>
        <v>0</v>
      </c>
      <c r="R284" s="42">
        <f>R283+Q284</f>
        <v>0</v>
      </c>
      <c r="S284" s="42">
        <f>S283+R284</f>
        <v>0</v>
      </c>
      <c r="T284" s="42"/>
      <c r="U284" s="42"/>
      <c r="V284" s="42"/>
      <c r="W284" s="42"/>
    </row>
    <row r="285" spans="1:24" s="43" customFormat="1" ht="18" hidden="1" customHeight="1">
      <c r="A285" s="610"/>
      <c r="B285" s="583"/>
      <c r="C285" s="582" t="s">
        <v>96</v>
      </c>
      <c r="D285" s="178" t="s">
        <v>93</v>
      </c>
      <c r="E285" s="179"/>
      <c r="F285" s="180"/>
      <c r="G285" s="180"/>
      <c r="H285" s="180"/>
      <c r="I285" s="180"/>
      <c r="J285" s="180"/>
      <c r="K285" s="180"/>
      <c r="L285" s="215">
        <f>SUM(F285:K285)</f>
        <v>0</v>
      </c>
      <c r="M285" s="215">
        <f>L285/6</f>
        <v>0</v>
      </c>
      <c r="N285" s="180"/>
      <c r="O285" s="180"/>
      <c r="P285" s="180"/>
      <c r="Q285" s="180"/>
      <c r="R285" s="180"/>
      <c r="S285" s="180"/>
      <c r="T285" s="215">
        <f>SUM(N285:S285)</f>
        <v>0</v>
      </c>
      <c r="U285" s="226">
        <f>T285+L285</f>
        <v>0</v>
      </c>
      <c r="V285" s="227"/>
      <c r="W285" s="184">
        <f>V285-U285</f>
        <v>0</v>
      </c>
    </row>
    <row r="286" spans="1:24" s="43" customFormat="1" ht="18" hidden="1" customHeight="1">
      <c r="A286" s="610"/>
      <c r="B286" s="583"/>
      <c r="C286" s="583"/>
      <c r="D286" s="178" t="s">
        <v>95</v>
      </c>
      <c r="E286" s="179"/>
      <c r="F286" s="180"/>
      <c r="G286" s="180"/>
      <c r="H286" s="180"/>
      <c r="I286" s="180"/>
      <c r="J286" s="180"/>
      <c r="K286" s="180"/>
      <c r="L286" s="215">
        <f>SUM(F286:K286)</f>
        <v>0</v>
      </c>
      <c r="M286" s="215">
        <f>L286/6</f>
        <v>0</v>
      </c>
      <c r="N286" s="179"/>
      <c r="O286" s="179"/>
      <c r="P286" s="179"/>
      <c r="Q286" s="179"/>
      <c r="R286" s="179"/>
      <c r="S286" s="179"/>
      <c r="T286" s="215">
        <f>SUM(N286:S286)</f>
        <v>0</v>
      </c>
      <c r="U286" s="226">
        <f>T286+L286</f>
        <v>0</v>
      </c>
      <c r="V286" s="227"/>
      <c r="W286" s="184">
        <f>V286-U286</f>
        <v>0</v>
      </c>
    </row>
    <row r="287" spans="1:24" s="43" customFormat="1" ht="18" hidden="1" customHeight="1">
      <c r="A287" s="610"/>
      <c r="B287" s="583"/>
      <c r="C287" s="583"/>
      <c r="D287" s="178" t="s">
        <v>105</v>
      </c>
      <c r="E287" s="179"/>
      <c r="F287" s="180"/>
      <c r="G287" s="180"/>
      <c r="H287" s="180"/>
      <c r="I287" s="180"/>
      <c r="J287" s="180"/>
      <c r="K287" s="180"/>
      <c r="L287" s="215">
        <f>SUM(F287:K287)</f>
        <v>0</v>
      </c>
      <c r="M287" s="215">
        <f>L287/6</f>
        <v>0</v>
      </c>
      <c r="N287" s="180"/>
      <c r="O287" s="180"/>
      <c r="P287" s="180"/>
      <c r="Q287" s="180"/>
      <c r="R287" s="180"/>
      <c r="S287" s="179"/>
      <c r="T287" s="215">
        <f>SUM(N287:S287)</f>
        <v>0</v>
      </c>
      <c r="U287" s="226">
        <f>T287+L287</f>
        <v>0</v>
      </c>
      <c r="V287" s="179"/>
      <c r="W287" s="184">
        <f>V287-U287</f>
        <v>0</v>
      </c>
    </row>
    <row r="288" spans="1:24" s="43" customFormat="1" ht="18" hidden="1" customHeight="1">
      <c r="A288" s="610"/>
      <c r="B288" s="583"/>
      <c r="C288" s="583"/>
      <c r="D288" s="187" t="s">
        <v>27</v>
      </c>
      <c r="E288" s="188"/>
      <c r="F288" s="188"/>
      <c r="G288" s="188"/>
      <c r="H288" s="188"/>
      <c r="I288" s="188"/>
      <c r="J288" s="188"/>
      <c r="K288" s="188"/>
      <c r="L288" s="188" t="e">
        <f>L289/L287*1000</f>
        <v>#DIV/0!</v>
      </c>
      <c r="M288" s="188" t="e">
        <f>M289/M287*1000</f>
        <v>#DIV/0!</v>
      </c>
      <c r="N288" s="188"/>
      <c r="O288" s="188"/>
      <c r="P288" s="188"/>
      <c r="Q288" s="188"/>
      <c r="R288" s="188"/>
      <c r="S288" s="188"/>
      <c r="T288" s="188" t="e">
        <f>T289/T287*1000</f>
        <v>#DIV/0!</v>
      </c>
      <c r="U288" s="188" t="e">
        <f>U289/U287*1000</f>
        <v>#DIV/0!</v>
      </c>
      <c r="V288" s="218" t="e">
        <f>V289/V287*1000</f>
        <v>#DIV/0!</v>
      </c>
      <c r="W288" s="189" t="e">
        <f>W289/W287*1000</f>
        <v>#DIV/0!</v>
      </c>
    </row>
    <row r="289" spans="1:23" s="43" customFormat="1" ht="18" hidden="1" customHeight="1">
      <c r="A289" s="610"/>
      <c r="B289" s="583"/>
      <c r="C289" s="583"/>
      <c r="D289" s="191" t="s">
        <v>0</v>
      </c>
      <c r="E289" s="192"/>
      <c r="F289" s="192">
        <f t="shared" ref="F289:K289" si="299">F287*F288/1000</f>
        <v>0</v>
      </c>
      <c r="G289" s="192">
        <f t="shared" si="299"/>
        <v>0</v>
      </c>
      <c r="H289" s="192">
        <f t="shared" si="299"/>
        <v>0</v>
      </c>
      <c r="I289" s="192">
        <f t="shared" si="299"/>
        <v>0</v>
      </c>
      <c r="J289" s="192">
        <f t="shared" si="299"/>
        <v>0</v>
      </c>
      <c r="K289" s="192">
        <f t="shared" si="299"/>
        <v>0</v>
      </c>
      <c r="L289" s="194">
        <f>SUM(F289:K289)</f>
        <v>0</v>
      </c>
      <c r="M289" s="194">
        <f>L289/6</f>
        <v>0</v>
      </c>
      <c r="N289" s="192">
        <f t="shared" ref="N289:S289" si="300">N287*N288/1000</f>
        <v>0</v>
      </c>
      <c r="O289" s="192">
        <f t="shared" si="300"/>
        <v>0</v>
      </c>
      <c r="P289" s="192">
        <f t="shared" si="300"/>
        <v>0</v>
      </c>
      <c r="Q289" s="192">
        <f t="shared" si="300"/>
        <v>0</v>
      </c>
      <c r="R289" s="192">
        <f t="shared" si="300"/>
        <v>0</v>
      </c>
      <c r="S289" s="192">
        <f t="shared" si="300"/>
        <v>0</v>
      </c>
      <c r="T289" s="194">
        <f>SUM(N289:S289)</f>
        <v>0</v>
      </c>
      <c r="U289" s="194">
        <f>T289+L289</f>
        <v>0</v>
      </c>
      <c r="V289" s="171">
        <f>V290+V291</f>
        <v>0</v>
      </c>
      <c r="W289" s="193">
        <f>V289-U289</f>
        <v>0</v>
      </c>
    </row>
    <row r="290" spans="1:23" s="43" customFormat="1" ht="18" hidden="1" customHeight="1">
      <c r="A290" s="610"/>
      <c r="B290" s="583"/>
      <c r="C290" s="583"/>
      <c r="D290" s="174" t="s">
        <v>55</v>
      </c>
      <c r="E290" s="210"/>
      <c r="F290" s="192"/>
      <c r="G290" s="192"/>
      <c r="H290" s="192"/>
      <c r="I290" s="192"/>
      <c r="J290" s="192"/>
      <c r="K290" s="192"/>
      <c r="L290" s="194">
        <f>SUM(F290:K290)</f>
        <v>0</v>
      </c>
      <c r="M290" s="194">
        <f>L290/6</f>
        <v>0</v>
      </c>
      <c r="N290" s="192"/>
      <c r="O290" s="192"/>
      <c r="P290" s="192"/>
      <c r="Q290" s="192"/>
      <c r="R290" s="192"/>
      <c r="S290" s="192"/>
      <c r="T290" s="194">
        <f>SUM(N290:S290)</f>
        <v>0</v>
      </c>
      <c r="U290" s="194">
        <f>T290+L290</f>
        <v>0</v>
      </c>
      <c r="V290" s="171"/>
      <c r="W290" s="193">
        <f>V290-U290</f>
        <v>0</v>
      </c>
    </row>
    <row r="291" spans="1:23" s="43" customFormat="1" ht="18" hidden="1" customHeight="1">
      <c r="A291" s="610"/>
      <c r="B291" s="583"/>
      <c r="C291" s="583"/>
      <c r="D291" s="174" t="s">
        <v>28</v>
      </c>
      <c r="E291" s="210"/>
      <c r="F291" s="192"/>
      <c r="G291" s="192"/>
      <c r="H291" s="192"/>
      <c r="I291" s="192"/>
      <c r="J291" s="192"/>
      <c r="K291" s="192"/>
      <c r="L291" s="194">
        <f>SUM(F291:K291)</f>
        <v>0</v>
      </c>
      <c r="M291" s="194">
        <f>L291/6</f>
        <v>0</v>
      </c>
      <c r="N291" s="192"/>
      <c r="O291" s="192"/>
      <c r="P291" s="192"/>
      <c r="Q291" s="192"/>
      <c r="R291" s="192"/>
      <c r="S291" s="192"/>
      <c r="T291" s="194">
        <f>SUM(N291:S291)</f>
        <v>0</v>
      </c>
      <c r="U291" s="194">
        <f>T291+L291</f>
        <v>0</v>
      </c>
      <c r="V291" s="171"/>
      <c r="W291" s="193">
        <f>V291-U291</f>
        <v>0</v>
      </c>
    </row>
    <row r="292" spans="1:23" s="43" customFormat="1" ht="18" hidden="1" customHeight="1">
      <c r="A292" s="610"/>
      <c r="B292" s="583"/>
      <c r="C292" s="583"/>
      <c r="D292" s="178" t="s">
        <v>106</v>
      </c>
      <c r="E292" s="179"/>
      <c r="F292" s="179"/>
      <c r="G292" s="179"/>
      <c r="H292" s="179"/>
      <c r="I292" s="179"/>
      <c r="J292" s="179"/>
      <c r="K292" s="179"/>
      <c r="L292" s="215">
        <f>SUM(F292:K292)</f>
        <v>0</v>
      </c>
      <c r="M292" s="215">
        <f>L292/6</f>
        <v>0</v>
      </c>
      <c r="N292" s="179"/>
      <c r="O292" s="179"/>
      <c r="P292" s="179"/>
      <c r="Q292" s="179"/>
      <c r="R292" s="179"/>
      <c r="S292" s="179"/>
      <c r="T292" s="215">
        <f>SUM(N292:S292)</f>
        <v>0</v>
      </c>
      <c r="U292" s="215">
        <f>T292+L292</f>
        <v>0</v>
      </c>
      <c r="V292" s="179">
        <f>V287</f>
        <v>0</v>
      </c>
      <c r="W292" s="184">
        <f>V292-U292</f>
        <v>0</v>
      </c>
    </row>
    <row r="293" spans="1:23" s="43" customFormat="1" ht="18" hidden="1" customHeight="1">
      <c r="A293" s="610"/>
      <c r="B293" s="583"/>
      <c r="C293" s="583"/>
      <c r="D293" s="187" t="s">
        <v>27</v>
      </c>
      <c r="E293" s="188" t="e">
        <f>E294/E292*1000</f>
        <v>#DIV/0!</v>
      </c>
      <c r="F293" s="188"/>
      <c r="G293" s="188"/>
      <c r="H293" s="188"/>
      <c r="I293" s="188"/>
      <c r="J293" s="188"/>
      <c r="K293" s="188"/>
      <c r="L293" s="188" t="e">
        <f>L294/L292*1000</f>
        <v>#DIV/0!</v>
      </c>
      <c r="M293" s="188" t="e">
        <f>M294/M292*1000</f>
        <v>#DIV/0!</v>
      </c>
      <c r="N293" s="188"/>
      <c r="O293" s="188"/>
      <c r="P293" s="188"/>
      <c r="Q293" s="188"/>
      <c r="R293" s="188"/>
      <c r="S293" s="188"/>
      <c r="T293" s="188" t="e">
        <f>T294/T292*1000</f>
        <v>#DIV/0!</v>
      </c>
      <c r="U293" s="188" t="e">
        <f>U294/U292*1000</f>
        <v>#DIV/0!</v>
      </c>
      <c r="V293" s="218" t="e">
        <f>V294/V292*1000</f>
        <v>#DIV/0!</v>
      </c>
      <c r="W293" s="189" t="e">
        <f>W294/W292*1000</f>
        <v>#DIV/0!</v>
      </c>
    </row>
    <row r="294" spans="1:23" s="43" customFormat="1" ht="18" hidden="1" customHeight="1">
      <c r="A294" s="610"/>
      <c r="B294" s="583"/>
      <c r="C294" s="583"/>
      <c r="D294" s="198" t="s">
        <v>25</v>
      </c>
      <c r="E294" s="220"/>
      <c r="F294" s="199">
        <f t="shared" ref="F294:K294" si="301">F292*F293/1000</f>
        <v>0</v>
      </c>
      <c r="G294" s="199">
        <f t="shared" si="301"/>
        <v>0</v>
      </c>
      <c r="H294" s="199">
        <f t="shared" si="301"/>
        <v>0</v>
      </c>
      <c r="I294" s="199">
        <f t="shared" si="301"/>
        <v>0</v>
      </c>
      <c r="J294" s="199">
        <f t="shared" si="301"/>
        <v>0</v>
      </c>
      <c r="K294" s="199">
        <f t="shared" si="301"/>
        <v>0</v>
      </c>
      <c r="L294" s="199">
        <f>SUM(F294:K294)</f>
        <v>0</v>
      </c>
      <c r="M294" s="199">
        <f>L294/6</f>
        <v>0</v>
      </c>
      <c r="N294" s="199">
        <f t="shared" ref="N294:S294" si="302">N292*N293/1000</f>
        <v>0</v>
      </c>
      <c r="O294" s="199">
        <f t="shared" si="302"/>
        <v>0</v>
      </c>
      <c r="P294" s="199">
        <f t="shared" si="302"/>
        <v>0</v>
      </c>
      <c r="Q294" s="199">
        <f t="shared" si="302"/>
        <v>0</v>
      </c>
      <c r="R294" s="199">
        <f t="shared" si="302"/>
        <v>0</v>
      </c>
      <c r="S294" s="199">
        <f t="shared" si="302"/>
        <v>0</v>
      </c>
      <c r="T294" s="199">
        <f>SUM(N294:S294)</f>
        <v>0</v>
      </c>
      <c r="U294" s="199">
        <f>T294+L294</f>
        <v>0</v>
      </c>
      <c r="V294" s="199">
        <f>V289</f>
        <v>0</v>
      </c>
      <c r="W294" s="221">
        <f>V294-U294</f>
        <v>0</v>
      </c>
    </row>
    <row r="295" spans="1:23" s="43" customFormat="1" ht="18" hidden="1" customHeight="1">
      <c r="A295" s="610"/>
      <c r="B295" s="583"/>
      <c r="C295" s="583"/>
      <c r="D295" s="201" t="s">
        <v>55</v>
      </c>
      <c r="E295" s="220"/>
      <c r="F295" s="199"/>
      <c r="G295" s="199"/>
      <c r="H295" s="199"/>
      <c r="I295" s="199"/>
      <c r="J295" s="199"/>
      <c r="K295" s="199"/>
      <c r="L295" s="199">
        <f>SUM(F295:K295)</f>
        <v>0</v>
      </c>
      <c r="M295" s="199">
        <f>L295/6</f>
        <v>0</v>
      </c>
      <c r="N295" s="199"/>
      <c r="O295" s="199"/>
      <c r="P295" s="199"/>
      <c r="Q295" s="199"/>
      <c r="R295" s="199"/>
      <c r="S295" s="199"/>
      <c r="T295" s="199">
        <f>SUM(N295:S295)</f>
        <v>0</v>
      </c>
      <c r="U295" s="199">
        <f>T295+L295</f>
        <v>0</v>
      </c>
      <c r="V295" s="199">
        <f>V290</f>
        <v>0</v>
      </c>
      <c r="W295" s="221">
        <f>V295-U295</f>
        <v>0</v>
      </c>
    </row>
    <row r="296" spans="1:23" s="43" customFormat="1" ht="18" hidden="1" customHeight="1">
      <c r="A296" s="610"/>
      <c r="B296" s="583"/>
      <c r="C296" s="583"/>
      <c r="D296" s="201" t="s">
        <v>24</v>
      </c>
      <c r="E296" s="220"/>
      <c r="F296" s="199">
        <f t="shared" ref="F296:K296" si="303">F294-F295</f>
        <v>0</v>
      </c>
      <c r="G296" s="199">
        <f t="shared" si="303"/>
        <v>0</v>
      </c>
      <c r="H296" s="199">
        <f t="shared" si="303"/>
        <v>0</v>
      </c>
      <c r="I296" s="199">
        <f t="shared" si="303"/>
        <v>0</v>
      </c>
      <c r="J296" s="199">
        <f t="shared" si="303"/>
        <v>0</v>
      </c>
      <c r="K296" s="199">
        <f t="shared" si="303"/>
        <v>0</v>
      </c>
      <c r="L296" s="199">
        <f>SUM(F296:K296)</f>
        <v>0</v>
      </c>
      <c r="M296" s="199">
        <f>L296/6</f>
        <v>0</v>
      </c>
      <c r="N296" s="199">
        <f t="shared" ref="N296:S296" si="304">N294-N295</f>
        <v>0</v>
      </c>
      <c r="O296" s="199">
        <f t="shared" si="304"/>
        <v>0</v>
      </c>
      <c r="P296" s="199">
        <f t="shared" si="304"/>
        <v>0</v>
      </c>
      <c r="Q296" s="199">
        <f t="shared" si="304"/>
        <v>0</v>
      </c>
      <c r="R296" s="199">
        <f t="shared" si="304"/>
        <v>0</v>
      </c>
      <c r="S296" s="199">
        <f t="shared" si="304"/>
        <v>0</v>
      </c>
      <c r="T296" s="199">
        <f>SUM(N296:S296)</f>
        <v>0</v>
      </c>
      <c r="U296" s="199">
        <f>T296+L296</f>
        <v>0</v>
      </c>
      <c r="V296" s="199">
        <f>V291</f>
        <v>0</v>
      </c>
      <c r="W296" s="221">
        <f>V296-U296</f>
        <v>0</v>
      </c>
    </row>
    <row r="297" spans="1:23" s="43" customFormat="1" ht="18" hidden="1" customHeight="1">
      <c r="A297" s="610"/>
      <c r="B297" s="583"/>
      <c r="C297" s="583"/>
      <c r="D297" s="202" t="s">
        <v>29</v>
      </c>
      <c r="E297" s="203"/>
      <c r="F297" s="203">
        <f t="shared" ref="F297:K297" si="305">F291</f>
        <v>0</v>
      </c>
      <c r="G297" s="203">
        <f t="shared" si="305"/>
        <v>0</v>
      </c>
      <c r="H297" s="203">
        <f t="shared" si="305"/>
        <v>0</v>
      </c>
      <c r="I297" s="203">
        <f t="shared" si="305"/>
        <v>0</v>
      </c>
      <c r="J297" s="203">
        <f t="shared" si="305"/>
        <v>0</v>
      </c>
      <c r="K297" s="203">
        <f t="shared" si="305"/>
        <v>0</v>
      </c>
      <c r="L297" s="203">
        <f>SUM(F297:K297)</f>
        <v>0</v>
      </c>
      <c r="M297" s="203">
        <f>L297/6</f>
        <v>0</v>
      </c>
      <c r="N297" s="203">
        <f t="shared" ref="N297:S297" si="306">N291+N290</f>
        <v>0</v>
      </c>
      <c r="O297" s="203">
        <f t="shared" si="306"/>
        <v>0</v>
      </c>
      <c r="P297" s="203">
        <f t="shared" si="306"/>
        <v>0</v>
      </c>
      <c r="Q297" s="203">
        <f t="shared" si="306"/>
        <v>0</v>
      </c>
      <c r="R297" s="203">
        <f t="shared" si="306"/>
        <v>0</v>
      </c>
      <c r="S297" s="203">
        <f t="shared" si="306"/>
        <v>0</v>
      </c>
      <c r="T297" s="203">
        <f>SUM(N297:S297)</f>
        <v>0</v>
      </c>
      <c r="U297" s="203">
        <f>T297+L297</f>
        <v>0</v>
      </c>
      <c r="V297" s="203">
        <f>V294</f>
        <v>0</v>
      </c>
      <c r="W297" s="203">
        <f>V297-U297</f>
        <v>0</v>
      </c>
    </row>
    <row r="298" spans="1:23" s="43" customFormat="1" ht="18" hidden="1" customHeight="1">
      <c r="A298" s="610"/>
      <c r="B298" s="583"/>
      <c r="C298" s="583"/>
      <c r="D298" s="202" t="s">
        <v>30</v>
      </c>
      <c r="E298" s="203"/>
      <c r="F298" s="203">
        <f t="shared" ref="F298:K298" si="307">F294-F297</f>
        <v>0</v>
      </c>
      <c r="G298" s="203">
        <f t="shared" si="307"/>
        <v>0</v>
      </c>
      <c r="H298" s="203">
        <f t="shared" si="307"/>
        <v>0</v>
      </c>
      <c r="I298" s="203">
        <f t="shared" si="307"/>
        <v>0</v>
      </c>
      <c r="J298" s="203">
        <f t="shared" si="307"/>
        <v>0</v>
      </c>
      <c r="K298" s="203">
        <f t="shared" si="307"/>
        <v>0</v>
      </c>
      <c r="L298" s="203"/>
      <c r="M298" s="203"/>
      <c r="N298" s="203">
        <f t="shared" ref="N298:S298" si="308">N294-N297</f>
        <v>0</v>
      </c>
      <c r="O298" s="203">
        <f t="shared" si="308"/>
        <v>0</v>
      </c>
      <c r="P298" s="203">
        <f t="shared" si="308"/>
        <v>0</v>
      </c>
      <c r="Q298" s="203">
        <f t="shared" si="308"/>
        <v>0</v>
      </c>
      <c r="R298" s="203">
        <f t="shared" si="308"/>
        <v>0</v>
      </c>
      <c r="S298" s="203">
        <f t="shared" si="308"/>
        <v>0</v>
      </c>
      <c r="T298" s="203"/>
      <c r="U298" s="203"/>
      <c r="V298" s="203"/>
      <c r="W298" s="203"/>
    </row>
    <row r="299" spans="1:23" s="43" customFormat="1" ht="18" hidden="1" customHeight="1">
      <c r="A299" s="610"/>
      <c r="B299" s="583"/>
      <c r="C299" s="584"/>
      <c r="D299" s="202" t="s">
        <v>31</v>
      </c>
      <c r="E299" s="203"/>
      <c r="F299" s="203">
        <f>F298</f>
        <v>0</v>
      </c>
      <c r="G299" s="203">
        <f>G298+F299</f>
        <v>0</v>
      </c>
      <c r="H299" s="203">
        <f>H298+G299</f>
        <v>0</v>
      </c>
      <c r="I299" s="203">
        <f>I298+H299</f>
        <v>0</v>
      </c>
      <c r="J299" s="203">
        <f>J298+I299</f>
        <v>0</v>
      </c>
      <c r="K299" s="203">
        <f>K298+J299</f>
        <v>0</v>
      </c>
      <c r="L299" s="203"/>
      <c r="M299" s="203"/>
      <c r="N299" s="203">
        <f>N298+K299</f>
        <v>0</v>
      </c>
      <c r="O299" s="203">
        <f>O298+N299</f>
        <v>0</v>
      </c>
      <c r="P299" s="203">
        <f>P298+O299</f>
        <v>0</v>
      </c>
      <c r="Q299" s="203">
        <f>Q298+P299</f>
        <v>0</v>
      </c>
      <c r="R299" s="203">
        <f>R298+Q299</f>
        <v>0</v>
      </c>
      <c r="S299" s="203">
        <f>S298+R299</f>
        <v>0</v>
      </c>
      <c r="T299" s="203"/>
      <c r="U299" s="203"/>
      <c r="V299" s="203"/>
      <c r="W299" s="203"/>
    </row>
    <row r="300" spans="1:23" s="47" customFormat="1" ht="18" hidden="1" customHeight="1">
      <c r="A300" s="610"/>
      <c r="B300" s="581" t="s">
        <v>59</v>
      </c>
      <c r="C300" s="582" t="s">
        <v>97</v>
      </c>
      <c r="D300" s="178" t="s">
        <v>93</v>
      </c>
      <c r="E300" s="11"/>
      <c r="F300" s="12"/>
      <c r="G300" s="12"/>
      <c r="H300" s="12"/>
      <c r="I300" s="12"/>
      <c r="J300" s="12"/>
      <c r="K300" s="12"/>
      <c r="L300" s="65">
        <f>SUM(F300:K300)</f>
        <v>0</v>
      </c>
      <c r="M300" s="65">
        <f>L300/6</f>
        <v>0</v>
      </c>
      <c r="N300" s="12"/>
      <c r="O300" s="12"/>
      <c r="P300" s="12"/>
      <c r="Q300" s="12"/>
      <c r="R300" s="12"/>
      <c r="S300" s="12"/>
      <c r="T300" s="65">
        <f>SUM(N300:S300)</f>
        <v>0</v>
      </c>
      <c r="U300" s="66">
        <f>T300+L300</f>
        <v>0</v>
      </c>
      <c r="V300" s="67"/>
      <c r="W300" s="38">
        <f>V300-U300</f>
        <v>0</v>
      </c>
    </row>
    <row r="301" spans="1:23" s="47" customFormat="1" ht="18" hidden="1" customHeight="1">
      <c r="A301" s="610"/>
      <c r="B301" s="581"/>
      <c r="C301" s="583"/>
      <c r="D301" s="178" t="s">
        <v>95</v>
      </c>
      <c r="E301" s="11"/>
      <c r="F301" s="12"/>
      <c r="G301" s="12"/>
      <c r="H301" s="12"/>
      <c r="I301" s="12"/>
      <c r="J301" s="12"/>
      <c r="K301" s="12"/>
      <c r="L301" s="65">
        <f>SUM(F301:K301)</f>
        <v>0</v>
      </c>
      <c r="M301" s="65">
        <f>L301/6</f>
        <v>0</v>
      </c>
      <c r="N301" s="11"/>
      <c r="O301" s="11"/>
      <c r="P301" s="11"/>
      <c r="Q301" s="11"/>
      <c r="R301" s="11"/>
      <c r="S301" s="11"/>
      <c r="T301" s="65">
        <f>SUM(N301:S301)</f>
        <v>0</v>
      </c>
      <c r="U301" s="66">
        <f>T301+L301</f>
        <v>0</v>
      </c>
      <c r="V301" s="67"/>
      <c r="W301" s="38">
        <f>V301-U301</f>
        <v>0</v>
      </c>
    </row>
    <row r="302" spans="1:23" s="47" customFormat="1" ht="18" hidden="1" customHeight="1">
      <c r="A302" s="610"/>
      <c r="B302" s="581"/>
      <c r="C302" s="583"/>
      <c r="D302" s="178" t="s">
        <v>105</v>
      </c>
      <c r="E302" s="11"/>
      <c r="F302" s="12"/>
      <c r="G302" s="12"/>
      <c r="H302" s="12"/>
      <c r="I302" s="12"/>
      <c r="J302" s="12"/>
      <c r="K302" s="12"/>
      <c r="L302" s="65">
        <f>SUM(F302:K302)</f>
        <v>0</v>
      </c>
      <c r="M302" s="65">
        <f>L302/6</f>
        <v>0</v>
      </c>
      <c r="N302" s="12"/>
      <c r="O302" s="12"/>
      <c r="P302" s="12"/>
      <c r="Q302" s="12"/>
      <c r="R302" s="12"/>
      <c r="S302" s="11"/>
      <c r="T302" s="65">
        <f>SUM(N302:S302)</f>
        <v>0</v>
      </c>
      <c r="U302" s="66">
        <f>T302+L302</f>
        <v>0</v>
      </c>
      <c r="V302" s="11"/>
      <c r="W302" s="38">
        <f>V302-U302</f>
        <v>0</v>
      </c>
    </row>
    <row r="303" spans="1:23" s="47" customFormat="1" ht="18" hidden="1" customHeight="1">
      <c r="A303" s="610"/>
      <c r="B303" s="581"/>
      <c r="C303" s="583"/>
      <c r="D303" s="187" t="s">
        <v>27</v>
      </c>
      <c r="E303" s="49"/>
      <c r="F303" s="49"/>
      <c r="G303" s="49"/>
      <c r="H303" s="49"/>
      <c r="I303" s="49"/>
      <c r="J303" s="49"/>
      <c r="K303" s="49"/>
      <c r="L303" s="49" t="e">
        <f>L304/L302*1000</f>
        <v>#DIV/0!</v>
      </c>
      <c r="M303" s="49" t="e">
        <f>M304/M302*1000</f>
        <v>#DIV/0!</v>
      </c>
      <c r="N303" s="49"/>
      <c r="O303" s="49"/>
      <c r="P303" s="49"/>
      <c r="Q303" s="49"/>
      <c r="R303" s="49"/>
      <c r="S303" s="49"/>
      <c r="T303" s="49" t="e">
        <f>T304/T302*1000</f>
        <v>#DIV/0!</v>
      </c>
      <c r="U303" s="49" t="e">
        <f>U304/U302*1000</f>
        <v>#DIV/0!</v>
      </c>
      <c r="V303" s="68" t="e">
        <f>V304/V302*1000</f>
        <v>#DIV/0!</v>
      </c>
      <c r="W303" s="14" t="e">
        <f>W304/W302*1000</f>
        <v>#DIV/0!</v>
      </c>
    </row>
    <row r="304" spans="1:23" s="47" customFormat="1" ht="18" hidden="1" customHeight="1">
      <c r="A304" s="610"/>
      <c r="B304" s="581"/>
      <c r="C304" s="583"/>
      <c r="D304" s="191" t="s">
        <v>0</v>
      </c>
      <c r="E304" s="52"/>
      <c r="F304" s="52">
        <f t="shared" ref="F304:K304" si="309">F302*F303/1000</f>
        <v>0</v>
      </c>
      <c r="G304" s="52">
        <f t="shared" si="309"/>
        <v>0</v>
      </c>
      <c r="H304" s="52">
        <f t="shared" si="309"/>
        <v>0</v>
      </c>
      <c r="I304" s="52">
        <f t="shared" si="309"/>
        <v>0</v>
      </c>
      <c r="J304" s="52">
        <f t="shared" si="309"/>
        <v>0</v>
      </c>
      <c r="K304" s="52">
        <f t="shared" si="309"/>
        <v>0</v>
      </c>
      <c r="L304" s="69">
        <f>SUM(F304:K304)</f>
        <v>0</v>
      </c>
      <c r="M304" s="69">
        <f>L304/6</f>
        <v>0</v>
      </c>
      <c r="N304" s="52">
        <f t="shared" ref="N304:S304" si="310">N302*N303/1000</f>
        <v>0</v>
      </c>
      <c r="O304" s="52">
        <f t="shared" si="310"/>
        <v>0</v>
      </c>
      <c r="P304" s="52">
        <f t="shared" si="310"/>
        <v>0</v>
      </c>
      <c r="Q304" s="52">
        <f t="shared" si="310"/>
        <v>0</v>
      </c>
      <c r="R304" s="52">
        <f t="shared" si="310"/>
        <v>0</v>
      </c>
      <c r="S304" s="52">
        <f t="shared" si="310"/>
        <v>0</v>
      </c>
      <c r="T304" s="69">
        <f>SUM(N304:S304)</f>
        <v>0</v>
      </c>
      <c r="U304" s="69">
        <f>T304+L304</f>
        <v>0</v>
      </c>
      <c r="V304" s="70">
        <f>V305+V306</f>
        <v>0</v>
      </c>
      <c r="W304" s="53">
        <f>V304-U304</f>
        <v>0</v>
      </c>
    </row>
    <row r="305" spans="1:24" s="47" customFormat="1" ht="18" hidden="1" customHeight="1">
      <c r="A305" s="610"/>
      <c r="B305" s="581"/>
      <c r="C305" s="583"/>
      <c r="D305" s="174" t="s">
        <v>55</v>
      </c>
      <c r="E305" s="56"/>
      <c r="F305" s="52"/>
      <c r="G305" s="52"/>
      <c r="H305" s="52"/>
      <c r="I305" s="52"/>
      <c r="J305" s="52"/>
      <c r="K305" s="52"/>
      <c r="L305" s="69">
        <f>SUM(F305:K305)</f>
        <v>0</v>
      </c>
      <c r="M305" s="69">
        <f>L305/6</f>
        <v>0</v>
      </c>
      <c r="N305" s="52"/>
      <c r="O305" s="52"/>
      <c r="P305" s="52"/>
      <c r="Q305" s="52"/>
      <c r="R305" s="52"/>
      <c r="S305" s="52"/>
      <c r="T305" s="69">
        <f>SUM(N305:S305)</f>
        <v>0</v>
      </c>
      <c r="U305" s="69">
        <f>T305+L305</f>
        <v>0</v>
      </c>
      <c r="V305" s="70"/>
      <c r="W305" s="53">
        <f>V305-U305</f>
        <v>0</v>
      </c>
    </row>
    <row r="306" spans="1:24" s="47" customFormat="1" ht="18" hidden="1" customHeight="1">
      <c r="A306" s="610"/>
      <c r="B306" s="581"/>
      <c r="C306" s="583"/>
      <c r="D306" s="174" t="s">
        <v>28</v>
      </c>
      <c r="E306" s="56"/>
      <c r="F306" s="52"/>
      <c r="G306" s="52"/>
      <c r="H306" s="52"/>
      <c r="I306" s="52"/>
      <c r="J306" s="52"/>
      <c r="K306" s="52"/>
      <c r="L306" s="69">
        <f>SUM(F306:K306)</f>
        <v>0</v>
      </c>
      <c r="M306" s="69">
        <f>L306/6</f>
        <v>0</v>
      </c>
      <c r="N306" s="52"/>
      <c r="O306" s="52"/>
      <c r="P306" s="52"/>
      <c r="Q306" s="52"/>
      <c r="R306" s="52"/>
      <c r="S306" s="52"/>
      <c r="T306" s="69">
        <f>SUM(N306:S306)</f>
        <v>0</v>
      </c>
      <c r="U306" s="69">
        <f>T306+L306</f>
        <v>0</v>
      </c>
      <c r="V306" s="70"/>
      <c r="W306" s="53">
        <f>V306-U306</f>
        <v>0</v>
      </c>
    </row>
    <row r="307" spans="1:24" s="47" customFormat="1" ht="18" hidden="1" customHeight="1">
      <c r="A307" s="610"/>
      <c r="B307" s="581"/>
      <c r="C307" s="583"/>
      <c r="D307" s="178" t="s">
        <v>106</v>
      </c>
      <c r="E307" s="11"/>
      <c r="F307" s="11"/>
      <c r="G307" s="11"/>
      <c r="H307" s="11"/>
      <c r="I307" s="11"/>
      <c r="J307" s="11"/>
      <c r="K307" s="11"/>
      <c r="L307" s="65">
        <f>SUM(F307:K307)</f>
        <v>0</v>
      </c>
      <c r="M307" s="65">
        <f>L307/6</f>
        <v>0</v>
      </c>
      <c r="N307" s="11"/>
      <c r="O307" s="11"/>
      <c r="P307" s="11"/>
      <c r="Q307" s="11"/>
      <c r="R307" s="11"/>
      <c r="S307" s="11">
        <f>S302+R302</f>
        <v>0</v>
      </c>
      <c r="T307" s="65">
        <f>SUM(N307:S307)</f>
        <v>0</v>
      </c>
      <c r="U307" s="65">
        <f>T307+L307</f>
        <v>0</v>
      </c>
      <c r="V307" s="11">
        <f>V302</f>
        <v>0</v>
      </c>
      <c r="W307" s="38">
        <f>V307-U307</f>
        <v>0</v>
      </c>
      <c r="X307" s="47">
        <f>U302-U307</f>
        <v>0</v>
      </c>
    </row>
    <row r="308" spans="1:24" s="47" customFormat="1" ht="18" hidden="1" customHeight="1">
      <c r="A308" s="610"/>
      <c r="B308" s="581"/>
      <c r="C308" s="583"/>
      <c r="D308" s="187" t="s">
        <v>27</v>
      </c>
      <c r="E308" s="49" t="e">
        <f>E309/E307*1000</f>
        <v>#DIV/0!</v>
      </c>
      <c r="F308" s="49"/>
      <c r="G308" s="49"/>
      <c r="H308" s="49"/>
      <c r="I308" s="49"/>
      <c r="J308" s="49"/>
      <c r="K308" s="49"/>
      <c r="L308" s="49" t="e">
        <f>L309/L307*1000</f>
        <v>#DIV/0!</v>
      </c>
      <c r="M308" s="49" t="e">
        <f>M309/M307*1000</f>
        <v>#DIV/0!</v>
      </c>
      <c r="N308" s="49"/>
      <c r="O308" s="49"/>
      <c r="P308" s="49"/>
      <c r="Q308" s="49"/>
      <c r="R308" s="49"/>
      <c r="S308" s="49"/>
      <c r="T308" s="49" t="e">
        <f>T309/T307*1000</f>
        <v>#DIV/0!</v>
      </c>
      <c r="U308" s="49" t="e">
        <f>U309/U307*1000</f>
        <v>#DIV/0!</v>
      </c>
      <c r="V308" s="68" t="e">
        <f>V309/V307*1000</f>
        <v>#DIV/0!</v>
      </c>
      <c r="W308" s="14" t="e">
        <f>W309/W307*1000</f>
        <v>#DIV/0!</v>
      </c>
    </row>
    <row r="309" spans="1:24" s="63" customFormat="1" ht="18" hidden="1" customHeight="1">
      <c r="A309" s="610"/>
      <c r="B309" s="581"/>
      <c r="C309" s="583"/>
      <c r="D309" s="198" t="s">
        <v>25</v>
      </c>
      <c r="E309" s="71"/>
      <c r="F309" s="61">
        <f t="shared" ref="F309:K309" si="311">F307*F308/1000</f>
        <v>0</v>
      </c>
      <c r="G309" s="61">
        <f t="shared" si="311"/>
        <v>0</v>
      </c>
      <c r="H309" s="61">
        <f t="shared" si="311"/>
        <v>0</v>
      </c>
      <c r="I309" s="61">
        <f t="shared" si="311"/>
        <v>0</v>
      </c>
      <c r="J309" s="61">
        <f t="shared" si="311"/>
        <v>0</v>
      </c>
      <c r="K309" s="61">
        <f t="shared" si="311"/>
        <v>0</v>
      </c>
      <c r="L309" s="61">
        <f>SUM(F309:K309)</f>
        <v>0</v>
      </c>
      <c r="M309" s="61">
        <f>L309/6</f>
        <v>0</v>
      </c>
      <c r="N309" s="61">
        <f t="shared" ref="N309:S309" si="312">N307*N308/1000</f>
        <v>0</v>
      </c>
      <c r="O309" s="61">
        <f t="shared" si="312"/>
        <v>0</v>
      </c>
      <c r="P309" s="61">
        <f t="shared" si="312"/>
        <v>0</v>
      </c>
      <c r="Q309" s="61">
        <f t="shared" si="312"/>
        <v>0</v>
      </c>
      <c r="R309" s="61">
        <f t="shared" si="312"/>
        <v>0</v>
      </c>
      <c r="S309" s="61">
        <f t="shared" si="312"/>
        <v>0</v>
      </c>
      <c r="T309" s="61">
        <f>SUM(N309:S309)</f>
        <v>0</v>
      </c>
      <c r="U309" s="61">
        <f>T309+L309</f>
        <v>0</v>
      </c>
      <c r="V309" s="61">
        <f>V304</f>
        <v>0</v>
      </c>
      <c r="W309" s="72">
        <f>V309-U309</f>
        <v>0</v>
      </c>
      <c r="X309" s="63">
        <f>U304-U309</f>
        <v>0</v>
      </c>
    </row>
    <row r="310" spans="1:24" s="63" customFormat="1" ht="18" hidden="1" customHeight="1">
      <c r="A310" s="610"/>
      <c r="B310" s="581"/>
      <c r="C310" s="583"/>
      <c r="D310" s="201" t="s">
        <v>55</v>
      </c>
      <c r="E310" s="71"/>
      <c r="F310" s="61"/>
      <c r="G310" s="61"/>
      <c r="H310" s="61"/>
      <c r="I310" s="61"/>
      <c r="J310" s="61"/>
      <c r="K310" s="61"/>
      <c r="L310" s="61">
        <f>SUM(F310:K310)</f>
        <v>0</v>
      </c>
      <c r="M310" s="61">
        <f>L310/6</f>
        <v>0</v>
      </c>
      <c r="N310" s="61"/>
      <c r="O310" s="61"/>
      <c r="P310" s="61"/>
      <c r="Q310" s="61"/>
      <c r="R310" s="61"/>
      <c r="S310" s="61"/>
      <c r="T310" s="61">
        <f>SUM(N310:S310)</f>
        <v>0</v>
      </c>
      <c r="U310" s="61">
        <f>T310+L310</f>
        <v>0</v>
      </c>
      <c r="V310" s="61">
        <f>V305</f>
        <v>0</v>
      </c>
      <c r="W310" s="72">
        <f>V310-U310</f>
        <v>0</v>
      </c>
      <c r="X310" s="63">
        <f>U305-U310</f>
        <v>0</v>
      </c>
    </row>
    <row r="311" spans="1:24" s="63" customFormat="1" ht="18" hidden="1" customHeight="1">
      <c r="A311" s="610"/>
      <c r="B311" s="581"/>
      <c r="C311" s="583"/>
      <c r="D311" s="201" t="s">
        <v>24</v>
      </c>
      <c r="E311" s="71"/>
      <c r="F311" s="61">
        <f t="shared" ref="F311:K311" si="313">F309-F310</f>
        <v>0</v>
      </c>
      <c r="G311" s="61">
        <f t="shared" si="313"/>
        <v>0</v>
      </c>
      <c r="H311" s="61">
        <f t="shared" si="313"/>
        <v>0</v>
      </c>
      <c r="I311" s="61">
        <f t="shared" si="313"/>
        <v>0</v>
      </c>
      <c r="J311" s="61">
        <f t="shared" si="313"/>
        <v>0</v>
      </c>
      <c r="K311" s="61">
        <f t="shared" si="313"/>
        <v>0</v>
      </c>
      <c r="L311" s="61">
        <f>SUM(F311:K311)</f>
        <v>0</v>
      </c>
      <c r="M311" s="61">
        <f>L311/6</f>
        <v>0</v>
      </c>
      <c r="N311" s="61">
        <f t="shared" ref="N311:S311" si="314">N309-N310</f>
        <v>0</v>
      </c>
      <c r="O311" s="61">
        <f t="shared" si="314"/>
        <v>0</v>
      </c>
      <c r="P311" s="61">
        <f t="shared" si="314"/>
        <v>0</v>
      </c>
      <c r="Q311" s="61">
        <f t="shared" si="314"/>
        <v>0</v>
      </c>
      <c r="R311" s="61">
        <f t="shared" si="314"/>
        <v>0</v>
      </c>
      <c r="S311" s="61">
        <f t="shared" si="314"/>
        <v>0</v>
      </c>
      <c r="T311" s="61">
        <f>SUM(N311:S311)</f>
        <v>0</v>
      </c>
      <c r="U311" s="61">
        <f>T311+L311</f>
        <v>0</v>
      </c>
      <c r="V311" s="61">
        <f>V306</f>
        <v>0</v>
      </c>
      <c r="W311" s="72">
        <f>V311-U311</f>
        <v>0</v>
      </c>
      <c r="X311" s="63">
        <f>U306-U311</f>
        <v>0</v>
      </c>
    </row>
    <row r="312" spans="1:24" s="43" customFormat="1" ht="18" hidden="1" customHeight="1">
      <c r="A312" s="610"/>
      <c r="B312" s="581"/>
      <c r="C312" s="583"/>
      <c r="D312" s="202" t="s">
        <v>29</v>
      </c>
      <c r="E312" s="42"/>
      <c r="F312" s="42">
        <f t="shared" ref="F312:K312" si="315">F306</f>
        <v>0</v>
      </c>
      <c r="G312" s="42">
        <f t="shared" si="315"/>
        <v>0</v>
      </c>
      <c r="H312" s="42">
        <f t="shared" si="315"/>
        <v>0</v>
      </c>
      <c r="I312" s="42">
        <f t="shared" si="315"/>
        <v>0</v>
      </c>
      <c r="J312" s="42">
        <f t="shared" si="315"/>
        <v>0</v>
      </c>
      <c r="K312" s="42">
        <f t="shared" si="315"/>
        <v>0</v>
      </c>
      <c r="L312" s="42">
        <f>SUM(F312:K312)</f>
        <v>0</v>
      </c>
      <c r="M312" s="42">
        <f>L312/6</f>
        <v>0</v>
      </c>
      <c r="N312" s="42">
        <f t="shared" ref="N312:S312" si="316">N306+N305</f>
        <v>0</v>
      </c>
      <c r="O312" s="42">
        <f t="shared" si="316"/>
        <v>0</v>
      </c>
      <c r="P312" s="42">
        <f t="shared" si="316"/>
        <v>0</v>
      </c>
      <c r="Q312" s="42">
        <f t="shared" si="316"/>
        <v>0</v>
      </c>
      <c r="R312" s="42">
        <f t="shared" si="316"/>
        <v>0</v>
      </c>
      <c r="S312" s="42">
        <f t="shared" si="316"/>
        <v>0</v>
      </c>
      <c r="T312" s="42">
        <f>SUM(N312:S312)</f>
        <v>0</v>
      </c>
      <c r="U312" s="42">
        <f>T312+L312</f>
        <v>0</v>
      </c>
      <c r="V312" s="42">
        <f>V309</f>
        <v>0</v>
      </c>
      <c r="W312" s="42">
        <f>V312-U312</f>
        <v>0</v>
      </c>
    </row>
    <row r="313" spans="1:24" s="43" customFormat="1" ht="18" hidden="1" customHeight="1">
      <c r="A313" s="610"/>
      <c r="B313" s="581"/>
      <c r="C313" s="583"/>
      <c r="D313" s="202" t="s">
        <v>30</v>
      </c>
      <c r="E313" s="42"/>
      <c r="F313" s="42">
        <f t="shared" ref="F313:K313" si="317">F309-F312</f>
        <v>0</v>
      </c>
      <c r="G313" s="42">
        <f t="shared" si="317"/>
        <v>0</v>
      </c>
      <c r="H313" s="42">
        <f t="shared" si="317"/>
        <v>0</v>
      </c>
      <c r="I313" s="42">
        <f t="shared" si="317"/>
        <v>0</v>
      </c>
      <c r="J313" s="42">
        <f t="shared" si="317"/>
        <v>0</v>
      </c>
      <c r="K313" s="42">
        <f t="shared" si="317"/>
        <v>0</v>
      </c>
      <c r="L313" s="42"/>
      <c r="M313" s="42"/>
      <c r="N313" s="42">
        <f t="shared" ref="N313:S313" si="318">N309-N312</f>
        <v>0</v>
      </c>
      <c r="O313" s="42">
        <f t="shared" si="318"/>
        <v>0</v>
      </c>
      <c r="P313" s="42">
        <f t="shared" si="318"/>
        <v>0</v>
      </c>
      <c r="Q313" s="42">
        <f t="shared" si="318"/>
        <v>0</v>
      </c>
      <c r="R313" s="42">
        <f t="shared" si="318"/>
        <v>0</v>
      </c>
      <c r="S313" s="42">
        <f t="shared" si="318"/>
        <v>0</v>
      </c>
      <c r="T313" s="42"/>
      <c r="U313" s="42"/>
      <c r="V313" s="42"/>
      <c r="W313" s="42"/>
    </row>
    <row r="314" spans="1:24" s="43" customFormat="1" ht="18" hidden="1" customHeight="1">
      <c r="A314" s="610"/>
      <c r="B314" s="581"/>
      <c r="C314" s="584"/>
      <c r="D314" s="202" t="s">
        <v>31</v>
      </c>
      <c r="E314" s="42"/>
      <c r="F314" s="42">
        <f>F313</f>
        <v>0</v>
      </c>
      <c r="G314" s="42">
        <f>G313+F314</f>
        <v>0</v>
      </c>
      <c r="H314" s="42">
        <f>H313+G314</f>
        <v>0</v>
      </c>
      <c r="I314" s="42">
        <f>I313+H314</f>
        <v>0</v>
      </c>
      <c r="J314" s="42">
        <f>J313+I314</f>
        <v>0</v>
      </c>
      <c r="K314" s="42">
        <f>K313+J314</f>
        <v>0</v>
      </c>
      <c r="L314" s="42"/>
      <c r="M314" s="42"/>
      <c r="N314" s="42">
        <f>N313+K314</f>
        <v>0</v>
      </c>
      <c r="O314" s="42">
        <f>O313+N314</f>
        <v>0</v>
      </c>
      <c r="P314" s="42">
        <f>P313+O314</f>
        <v>0</v>
      </c>
      <c r="Q314" s="42">
        <f>Q313+P314</f>
        <v>0</v>
      </c>
      <c r="R314" s="42">
        <f>R313+Q314</f>
        <v>0</v>
      </c>
      <c r="S314" s="42">
        <f>S313+R314</f>
        <v>0</v>
      </c>
      <c r="T314" s="42"/>
      <c r="U314" s="42"/>
      <c r="V314" s="42"/>
      <c r="W314" s="42"/>
    </row>
    <row r="315" spans="1:24" s="43" customFormat="1" ht="18" hidden="1" customHeight="1">
      <c r="A315" s="610"/>
      <c r="B315" s="581"/>
      <c r="C315" s="582" t="s">
        <v>96</v>
      </c>
      <c r="D315" s="178" t="s">
        <v>93</v>
      </c>
      <c r="E315" s="179"/>
      <c r="F315" s="180"/>
      <c r="G315" s="180"/>
      <c r="H315" s="180"/>
      <c r="I315" s="180"/>
      <c r="J315" s="180"/>
      <c r="K315" s="180"/>
      <c r="L315" s="215">
        <f>SUM(F315:K315)</f>
        <v>0</v>
      </c>
      <c r="M315" s="215">
        <f>L315/6</f>
        <v>0</v>
      </c>
      <c r="N315" s="180"/>
      <c r="O315" s="180"/>
      <c r="P315" s="180"/>
      <c r="Q315" s="180"/>
      <c r="R315" s="180"/>
      <c r="S315" s="180"/>
      <c r="T315" s="215">
        <f>SUM(N315:S315)</f>
        <v>0</v>
      </c>
      <c r="U315" s="226">
        <f>T315+L315</f>
        <v>0</v>
      </c>
      <c r="V315" s="227"/>
      <c r="W315" s="184">
        <f>V315-U315</f>
        <v>0</v>
      </c>
    </row>
    <row r="316" spans="1:24" s="43" customFormat="1" ht="18" hidden="1" customHeight="1">
      <c r="A316" s="610"/>
      <c r="B316" s="581"/>
      <c r="C316" s="583"/>
      <c r="D316" s="178" t="s">
        <v>95</v>
      </c>
      <c r="E316" s="179"/>
      <c r="F316" s="180"/>
      <c r="G316" s="180"/>
      <c r="H316" s="180"/>
      <c r="I316" s="180"/>
      <c r="J316" s="180"/>
      <c r="K316" s="180"/>
      <c r="L316" s="215">
        <f>SUM(F316:K316)</f>
        <v>0</v>
      </c>
      <c r="M316" s="215">
        <f>L316/6</f>
        <v>0</v>
      </c>
      <c r="N316" s="179"/>
      <c r="O316" s="179"/>
      <c r="P316" s="179"/>
      <c r="Q316" s="179"/>
      <c r="R316" s="179"/>
      <c r="S316" s="179"/>
      <c r="T316" s="215">
        <f>SUM(N316:S316)</f>
        <v>0</v>
      </c>
      <c r="U316" s="226">
        <f>T316+L316</f>
        <v>0</v>
      </c>
      <c r="V316" s="227"/>
      <c r="W316" s="184">
        <f>V316-U316</f>
        <v>0</v>
      </c>
    </row>
    <row r="317" spans="1:24" s="43" customFormat="1" ht="18" hidden="1" customHeight="1">
      <c r="A317" s="610"/>
      <c r="B317" s="581"/>
      <c r="C317" s="583"/>
      <c r="D317" s="178" t="s">
        <v>105</v>
      </c>
      <c r="E317" s="179"/>
      <c r="F317" s="180"/>
      <c r="G317" s="180"/>
      <c r="H317" s="180"/>
      <c r="I317" s="180"/>
      <c r="J317" s="180"/>
      <c r="K317" s="180"/>
      <c r="L317" s="215">
        <f>SUM(F317:K317)</f>
        <v>0</v>
      </c>
      <c r="M317" s="215">
        <f>L317/6</f>
        <v>0</v>
      </c>
      <c r="N317" s="180"/>
      <c r="O317" s="180"/>
      <c r="P317" s="180"/>
      <c r="Q317" s="180"/>
      <c r="R317" s="180"/>
      <c r="S317" s="179"/>
      <c r="T317" s="215">
        <f>SUM(N317:S317)</f>
        <v>0</v>
      </c>
      <c r="U317" s="226">
        <f>T317+L317</f>
        <v>0</v>
      </c>
      <c r="V317" s="179"/>
      <c r="W317" s="184">
        <f>V317-U317</f>
        <v>0</v>
      </c>
    </row>
    <row r="318" spans="1:24" s="43" customFormat="1" ht="18" hidden="1" customHeight="1">
      <c r="A318" s="610"/>
      <c r="B318" s="581"/>
      <c r="C318" s="583"/>
      <c r="D318" s="187" t="s">
        <v>27</v>
      </c>
      <c r="E318" s="188"/>
      <c r="F318" s="188">
        <v>173.45</v>
      </c>
      <c r="G318" s="188">
        <v>173.45</v>
      </c>
      <c r="H318" s="188">
        <v>173.45</v>
      </c>
      <c r="I318" s="188">
        <v>173.45</v>
      </c>
      <c r="J318" s="188">
        <v>173.45</v>
      </c>
      <c r="K318" s="188">
        <v>173.45</v>
      </c>
      <c r="L318" s="188" t="e">
        <f>L319/L317*1000</f>
        <v>#DIV/0!</v>
      </c>
      <c r="M318" s="188" t="e">
        <f>M319/M317*1000</f>
        <v>#DIV/0!</v>
      </c>
      <c r="N318" s="188">
        <v>173.45</v>
      </c>
      <c r="O318" s="188">
        <v>173.45</v>
      </c>
      <c r="P318" s="188">
        <v>173.45</v>
      </c>
      <c r="Q318" s="188">
        <v>173.45</v>
      </c>
      <c r="R318" s="188">
        <v>173.45</v>
      </c>
      <c r="S318" s="188">
        <v>173.45</v>
      </c>
      <c r="T318" s="188" t="e">
        <f>T319/T317*1000</f>
        <v>#DIV/0!</v>
      </c>
      <c r="U318" s="188" t="e">
        <f>U319/U317*1000</f>
        <v>#DIV/0!</v>
      </c>
      <c r="V318" s="218" t="e">
        <f>V319/V317*1000</f>
        <v>#DIV/0!</v>
      </c>
      <c r="W318" s="189" t="e">
        <f>W319/W317*1000</f>
        <v>#DIV/0!</v>
      </c>
    </row>
    <row r="319" spans="1:24" s="43" customFormat="1" ht="18" hidden="1" customHeight="1">
      <c r="A319" s="610"/>
      <c r="B319" s="581"/>
      <c r="C319" s="583"/>
      <c r="D319" s="191" t="s">
        <v>0</v>
      </c>
      <c r="E319" s="192"/>
      <c r="F319" s="192">
        <f t="shared" ref="F319:K319" si="319">F317*F318/1000</f>
        <v>0</v>
      </c>
      <c r="G319" s="192">
        <f t="shared" si="319"/>
        <v>0</v>
      </c>
      <c r="H319" s="192">
        <f t="shared" si="319"/>
        <v>0</v>
      </c>
      <c r="I319" s="192">
        <f t="shared" si="319"/>
        <v>0</v>
      </c>
      <c r="J319" s="192">
        <f t="shared" si="319"/>
        <v>0</v>
      </c>
      <c r="K319" s="192">
        <f t="shared" si="319"/>
        <v>0</v>
      </c>
      <c r="L319" s="194">
        <f>SUM(F319:K319)</f>
        <v>0</v>
      </c>
      <c r="M319" s="194">
        <f>L319/6</f>
        <v>0</v>
      </c>
      <c r="N319" s="192">
        <f t="shared" ref="N319:S319" si="320">N317*N318/1000</f>
        <v>0</v>
      </c>
      <c r="O319" s="192">
        <f t="shared" si="320"/>
        <v>0</v>
      </c>
      <c r="P319" s="192">
        <f t="shared" si="320"/>
        <v>0</v>
      </c>
      <c r="Q319" s="192">
        <f t="shared" si="320"/>
        <v>0</v>
      </c>
      <c r="R319" s="192">
        <f t="shared" si="320"/>
        <v>0</v>
      </c>
      <c r="S319" s="192">
        <f t="shared" si="320"/>
        <v>0</v>
      </c>
      <c r="T319" s="194">
        <f>SUM(N319:S319)</f>
        <v>0</v>
      </c>
      <c r="U319" s="194">
        <f>T319+L319</f>
        <v>0</v>
      </c>
      <c r="V319" s="171">
        <f>V320+V321</f>
        <v>0</v>
      </c>
      <c r="W319" s="193">
        <f>V319-U319</f>
        <v>0</v>
      </c>
    </row>
    <row r="320" spans="1:24" s="43" customFormat="1" ht="18" hidden="1" customHeight="1">
      <c r="A320" s="610"/>
      <c r="B320" s="581"/>
      <c r="C320" s="583"/>
      <c r="D320" s="174" t="s">
        <v>55</v>
      </c>
      <c r="E320" s="210"/>
      <c r="F320" s="192"/>
      <c r="G320" s="192"/>
      <c r="H320" s="192"/>
      <c r="I320" s="192"/>
      <c r="J320" s="192"/>
      <c r="K320" s="192"/>
      <c r="L320" s="194">
        <f>SUM(F320:K320)</f>
        <v>0</v>
      </c>
      <c r="M320" s="194">
        <f>L320/6</f>
        <v>0</v>
      </c>
      <c r="N320" s="192"/>
      <c r="O320" s="192"/>
      <c r="P320" s="192"/>
      <c r="Q320" s="192"/>
      <c r="R320" s="192"/>
      <c r="S320" s="192"/>
      <c r="T320" s="194">
        <f>SUM(N320:S320)</f>
        <v>0</v>
      </c>
      <c r="U320" s="194">
        <f>T320+L320</f>
        <v>0</v>
      </c>
      <c r="V320" s="171"/>
      <c r="W320" s="193">
        <f>V320-U320</f>
        <v>0</v>
      </c>
    </row>
    <row r="321" spans="1:24" s="43" customFormat="1" ht="18" hidden="1" customHeight="1">
      <c r="A321" s="610"/>
      <c r="B321" s="581"/>
      <c r="C321" s="583"/>
      <c r="D321" s="174" t="s">
        <v>28</v>
      </c>
      <c r="E321" s="210"/>
      <c r="F321" s="192"/>
      <c r="G321" s="192"/>
      <c r="H321" s="192"/>
      <c r="I321" s="192"/>
      <c r="J321" s="192"/>
      <c r="K321" s="192"/>
      <c r="L321" s="194">
        <f>SUM(F321:K321)</f>
        <v>0</v>
      </c>
      <c r="M321" s="194">
        <f>L321/6</f>
        <v>0</v>
      </c>
      <c r="N321" s="192"/>
      <c r="O321" s="192"/>
      <c r="P321" s="192"/>
      <c r="Q321" s="192"/>
      <c r="R321" s="192"/>
      <c r="S321" s="192"/>
      <c r="T321" s="194">
        <f>SUM(N321:S321)</f>
        <v>0</v>
      </c>
      <c r="U321" s="194">
        <f>T321+L321</f>
        <v>0</v>
      </c>
      <c r="V321" s="171"/>
      <c r="W321" s="193">
        <f>V321-U321</f>
        <v>0</v>
      </c>
    </row>
    <row r="322" spans="1:24" s="43" customFormat="1" ht="18" hidden="1" customHeight="1">
      <c r="A322" s="610"/>
      <c r="B322" s="581"/>
      <c r="C322" s="583"/>
      <c r="D322" s="178" t="s">
        <v>106</v>
      </c>
      <c r="E322" s="179"/>
      <c r="F322" s="179"/>
      <c r="G322" s="179"/>
      <c r="H322" s="179"/>
      <c r="I322" s="179"/>
      <c r="J322" s="179"/>
      <c r="K322" s="179"/>
      <c r="L322" s="215">
        <f>SUM(F322:K322)</f>
        <v>0</v>
      </c>
      <c r="M322" s="215">
        <f>L322/6</f>
        <v>0</v>
      </c>
      <c r="N322" s="179"/>
      <c r="O322" s="179"/>
      <c r="P322" s="179"/>
      <c r="Q322" s="179"/>
      <c r="R322" s="179"/>
      <c r="S322" s="179">
        <f>S317+R317</f>
        <v>0</v>
      </c>
      <c r="T322" s="215">
        <f>SUM(N322:S322)</f>
        <v>0</v>
      </c>
      <c r="U322" s="215">
        <f>T322+L322</f>
        <v>0</v>
      </c>
      <c r="V322" s="179">
        <f>V317</f>
        <v>0</v>
      </c>
      <c r="W322" s="184">
        <f>V322-U322</f>
        <v>0</v>
      </c>
    </row>
    <row r="323" spans="1:24" s="43" customFormat="1" ht="18" hidden="1" customHeight="1">
      <c r="A323" s="610"/>
      <c r="B323" s="581"/>
      <c r="C323" s="583"/>
      <c r="D323" s="187" t="s">
        <v>27</v>
      </c>
      <c r="E323" s="188" t="e">
        <f>E324/E322*1000</f>
        <v>#DIV/0!</v>
      </c>
      <c r="F323" s="188">
        <v>173.45</v>
      </c>
      <c r="G323" s="188">
        <v>173.45</v>
      </c>
      <c r="H323" s="188">
        <v>173.45</v>
      </c>
      <c r="I323" s="188">
        <v>173.45</v>
      </c>
      <c r="J323" s="188">
        <v>173.45</v>
      </c>
      <c r="K323" s="188">
        <v>173.45</v>
      </c>
      <c r="L323" s="188" t="e">
        <f>L324/L322*1000</f>
        <v>#DIV/0!</v>
      </c>
      <c r="M323" s="188" t="e">
        <f>M324/M322*1000</f>
        <v>#DIV/0!</v>
      </c>
      <c r="N323" s="188">
        <v>173.45</v>
      </c>
      <c r="O323" s="188">
        <v>173.45</v>
      </c>
      <c r="P323" s="188">
        <v>173.45</v>
      </c>
      <c r="Q323" s="188">
        <v>173.45</v>
      </c>
      <c r="R323" s="188">
        <v>173.45</v>
      </c>
      <c r="S323" s="188">
        <v>173.45</v>
      </c>
      <c r="T323" s="188" t="e">
        <f>T324/T322*1000</f>
        <v>#DIV/0!</v>
      </c>
      <c r="U323" s="188" t="e">
        <f>U324/U322*1000</f>
        <v>#DIV/0!</v>
      </c>
      <c r="V323" s="218" t="e">
        <f>V324/V322*1000</f>
        <v>#DIV/0!</v>
      </c>
      <c r="W323" s="189" t="e">
        <f>W324/W322*1000</f>
        <v>#DIV/0!</v>
      </c>
    </row>
    <row r="324" spans="1:24" s="43" customFormat="1" ht="18" hidden="1" customHeight="1">
      <c r="A324" s="610"/>
      <c r="B324" s="581"/>
      <c r="C324" s="583"/>
      <c r="D324" s="198" t="s">
        <v>25</v>
      </c>
      <c r="E324" s="220"/>
      <c r="F324" s="199">
        <f t="shared" ref="F324:K324" si="321">F322*F323/1000</f>
        <v>0</v>
      </c>
      <c r="G324" s="199">
        <f t="shared" si="321"/>
        <v>0</v>
      </c>
      <c r="H324" s="199">
        <f t="shared" si="321"/>
        <v>0</v>
      </c>
      <c r="I324" s="199">
        <f t="shared" si="321"/>
        <v>0</v>
      </c>
      <c r="J324" s="199">
        <f t="shared" si="321"/>
        <v>0</v>
      </c>
      <c r="K324" s="199">
        <f t="shared" si="321"/>
        <v>0</v>
      </c>
      <c r="L324" s="199">
        <f>SUM(F324:K324)</f>
        <v>0</v>
      </c>
      <c r="M324" s="199">
        <f>L324/6</f>
        <v>0</v>
      </c>
      <c r="N324" s="199">
        <f t="shared" ref="N324:S324" si="322">N322*N323/1000</f>
        <v>0</v>
      </c>
      <c r="O324" s="199">
        <f t="shared" si="322"/>
        <v>0</v>
      </c>
      <c r="P324" s="199">
        <f t="shared" si="322"/>
        <v>0</v>
      </c>
      <c r="Q324" s="199">
        <f t="shared" si="322"/>
        <v>0</v>
      </c>
      <c r="R324" s="199">
        <f t="shared" si="322"/>
        <v>0</v>
      </c>
      <c r="S324" s="199">
        <f t="shared" si="322"/>
        <v>0</v>
      </c>
      <c r="T324" s="199">
        <f>SUM(N324:S324)</f>
        <v>0</v>
      </c>
      <c r="U324" s="199">
        <f>T324+L324</f>
        <v>0</v>
      </c>
      <c r="V324" s="199">
        <f>V319</f>
        <v>0</v>
      </c>
      <c r="W324" s="221">
        <f>V324-U324</f>
        <v>0</v>
      </c>
    </row>
    <row r="325" spans="1:24" s="43" customFormat="1" ht="18" hidden="1" customHeight="1">
      <c r="A325" s="610"/>
      <c r="B325" s="581"/>
      <c r="C325" s="583"/>
      <c r="D325" s="201" t="s">
        <v>55</v>
      </c>
      <c r="E325" s="220"/>
      <c r="F325" s="199"/>
      <c r="G325" s="199"/>
      <c r="H325" s="199"/>
      <c r="I325" s="199"/>
      <c r="J325" s="199"/>
      <c r="K325" s="199"/>
      <c r="L325" s="199">
        <f>SUM(F325:K325)</f>
        <v>0</v>
      </c>
      <c r="M325" s="199">
        <f>L325/6</f>
        <v>0</v>
      </c>
      <c r="N325" s="199"/>
      <c r="O325" s="199"/>
      <c r="P325" s="199"/>
      <c r="Q325" s="199"/>
      <c r="R325" s="199"/>
      <c r="S325" s="199"/>
      <c r="T325" s="199">
        <f>SUM(N325:S325)</f>
        <v>0</v>
      </c>
      <c r="U325" s="199">
        <f>T325+L325</f>
        <v>0</v>
      </c>
      <c r="V325" s="199">
        <f>V320</f>
        <v>0</v>
      </c>
      <c r="W325" s="221">
        <f>V325-U325</f>
        <v>0</v>
      </c>
    </row>
    <row r="326" spans="1:24" s="43" customFormat="1" ht="18" hidden="1" customHeight="1">
      <c r="A326" s="610"/>
      <c r="B326" s="581"/>
      <c r="C326" s="583"/>
      <c r="D326" s="201" t="s">
        <v>24</v>
      </c>
      <c r="E326" s="220"/>
      <c r="F326" s="199">
        <f t="shared" ref="F326:K326" si="323">F324-F325</f>
        <v>0</v>
      </c>
      <c r="G326" s="199">
        <f t="shared" si="323"/>
        <v>0</v>
      </c>
      <c r="H326" s="199">
        <f t="shared" si="323"/>
        <v>0</v>
      </c>
      <c r="I326" s="199">
        <f t="shared" si="323"/>
        <v>0</v>
      </c>
      <c r="J326" s="199">
        <f t="shared" si="323"/>
        <v>0</v>
      </c>
      <c r="K326" s="199">
        <f t="shared" si="323"/>
        <v>0</v>
      </c>
      <c r="L326" s="199">
        <f>SUM(F326:K326)</f>
        <v>0</v>
      </c>
      <c r="M326" s="199">
        <f>L326/6</f>
        <v>0</v>
      </c>
      <c r="N326" s="199">
        <f t="shared" ref="N326:S326" si="324">N324-N325</f>
        <v>0</v>
      </c>
      <c r="O326" s="199">
        <f t="shared" si="324"/>
        <v>0</v>
      </c>
      <c r="P326" s="199">
        <f t="shared" si="324"/>
        <v>0</v>
      </c>
      <c r="Q326" s="199">
        <f t="shared" si="324"/>
        <v>0</v>
      </c>
      <c r="R326" s="199">
        <f t="shared" si="324"/>
        <v>0</v>
      </c>
      <c r="S326" s="199">
        <f t="shared" si="324"/>
        <v>0</v>
      </c>
      <c r="T326" s="199">
        <f>SUM(N326:S326)</f>
        <v>0</v>
      </c>
      <c r="U326" s="199">
        <f>T326+L326</f>
        <v>0</v>
      </c>
      <c r="V326" s="199">
        <f>V321</f>
        <v>0</v>
      </c>
      <c r="W326" s="221">
        <f>V326-U326</f>
        <v>0</v>
      </c>
    </row>
    <row r="327" spans="1:24" s="43" customFormat="1" ht="18" hidden="1" customHeight="1">
      <c r="A327" s="610"/>
      <c r="B327" s="581"/>
      <c r="C327" s="583"/>
      <c r="D327" s="202" t="s">
        <v>29</v>
      </c>
      <c r="E327" s="203"/>
      <c r="F327" s="203">
        <f t="shared" ref="F327:K327" si="325">F321</f>
        <v>0</v>
      </c>
      <c r="G327" s="203">
        <f t="shared" si="325"/>
        <v>0</v>
      </c>
      <c r="H327" s="203">
        <f t="shared" si="325"/>
        <v>0</v>
      </c>
      <c r="I327" s="203">
        <f t="shared" si="325"/>
        <v>0</v>
      </c>
      <c r="J327" s="203">
        <f t="shared" si="325"/>
        <v>0</v>
      </c>
      <c r="K327" s="203">
        <f t="shared" si="325"/>
        <v>0</v>
      </c>
      <c r="L327" s="203">
        <f>SUM(F327:K327)</f>
        <v>0</v>
      </c>
      <c r="M327" s="203">
        <f>L327/6</f>
        <v>0</v>
      </c>
      <c r="N327" s="203">
        <f t="shared" ref="N327:S327" si="326">N321+N320</f>
        <v>0</v>
      </c>
      <c r="O327" s="203">
        <f t="shared" si="326"/>
        <v>0</v>
      </c>
      <c r="P327" s="203">
        <f t="shared" si="326"/>
        <v>0</v>
      </c>
      <c r="Q327" s="203">
        <f t="shared" si="326"/>
        <v>0</v>
      </c>
      <c r="R327" s="203">
        <f t="shared" si="326"/>
        <v>0</v>
      </c>
      <c r="S327" s="203">
        <f t="shared" si="326"/>
        <v>0</v>
      </c>
      <c r="T327" s="203">
        <f>SUM(N327:S327)</f>
        <v>0</v>
      </c>
      <c r="U327" s="203">
        <f>T327+L327</f>
        <v>0</v>
      </c>
      <c r="V327" s="203">
        <f>V324</f>
        <v>0</v>
      </c>
      <c r="W327" s="203">
        <f>V327-U327</f>
        <v>0</v>
      </c>
    </row>
    <row r="328" spans="1:24" s="43" customFormat="1" ht="18" hidden="1" customHeight="1">
      <c r="A328" s="610"/>
      <c r="B328" s="581"/>
      <c r="C328" s="583"/>
      <c r="D328" s="202" t="s">
        <v>30</v>
      </c>
      <c r="E328" s="203"/>
      <c r="F328" s="203">
        <f t="shared" ref="F328:K328" si="327">F324-F327</f>
        <v>0</v>
      </c>
      <c r="G328" s="203">
        <f t="shared" si="327"/>
        <v>0</v>
      </c>
      <c r="H328" s="203">
        <f t="shared" si="327"/>
        <v>0</v>
      </c>
      <c r="I328" s="203">
        <f t="shared" si="327"/>
        <v>0</v>
      </c>
      <c r="J328" s="203">
        <f t="shared" si="327"/>
        <v>0</v>
      </c>
      <c r="K328" s="203">
        <f t="shared" si="327"/>
        <v>0</v>
      </c>
      <c r="L328" s="203"/>
      <c r="M328" s="203"/>
      <c r="N328" s="203">
        <f t="shared" ref="N328:S328" si="328">N324-N327</f>
        <v>0</v>
      </c>
      <c r="O328" s="203">
        <f t="shared" si="328"/>
        <v>0</v>
      </c>
      <c r="P328" s="203">
        <f t="shared" si="328"/>
        <v>0</v>
      </c>
      <c r="Q328" s="203">
        <f t="shared" si="328"/>
        <v>0</v>
      </c>
      <c r="R328" s="203">
        <f t="shared" si="328"/>
        <v>0</v>
      </c>
      <c r="S328" s="203">
        <f t="shared" si="328"/>
        <v>0</v>
      </c>
      <c r="T328" s="203"/>
      <c r="U328" s="203"/>
      <c r="V328" s="203"/>
      <c r="W328" s="203"/>
    </row>
    <row r="329" spans="1:24" s="43" customFormat="1" ht="18" hidden="1" customHeight="1">
      <c r="A329" s="611"/>
      <c r="B329" s="581"/>
      <c r="C329" s="584"/>
      <c r="D329" s="202" t="s">
        <v>31</v>
      </c>
      <c r="E329" s="203"/>
      <c r="F329" s="203">
        <f>F328</f>
        <v>0</v>
      </c>
      <c r="G329" s="203">
        <f>G328+F329</f>
        <v>0</v>
      </c>
      <c r="H329" s="203">
        <f>H328+G329</f>
        <v>0</v>
      </c>
      <c r="I329" s="203">
        <f>I328+H329</f>
        <v>0</v>
      </c>
      <c r="J329" s="203">
        <f>J328+I329</f>
        <v>0</v>
      </c>
      <c r="K329" s="203">
        <f>K328+J329</f>
        <v>0</v>
      </c>
      <c r="L329" s="203"/>
      <c r="M329" s="203"/>
      <c r="N329" s="203">
        <f>N328+K329</f>
        <v>0</v>
      </c>
      <c r="O329" s="203">
        <f>O328+N329</f>
        <v>0</v>
      </c>
      <c r="P329" s="203">
        <f>P328+O329</f>
        <v>0</v>
      </c>
      <c r="Q329" s="203">
        <f>Q328+P329</f>
        <v>0</v>
      </c>
      <c r="R329" s="203">
        <f>R328+Q329</f>
        <v>0</v>
      </c>
      <c r="S329" s="203">
        <f>S328+R329</f>
        <v>0</v>
      </c>
      <c r="T329" s="203"/>
      <c r="U329" s="203"/>
      <c r="V329" s="203"/>
      <c r="W329" s="203"/>
    </row>
    <row r="330" spans="1:24" s="48" customFormat="1" ht="18.5" customHeight="1">
      <c r="A330" s="591">
        <v>2272</v>
      </c>
      <c r="B330" s="659" t="s">
        <v>34</v>
      </c>
      <c r="C330" s="660"/>
      <c r="D330" s="178" t="str">
        <f>серпень!D253</f>
        <v>факт. нат.п-ки 2023</v>
      </c>
      <c r="E330" s="11"/>
      <c r="F330" s="12">
        <v>36.799999999999997</v>
      </c>
      <c r="G330" s="12">
        <v>70</v>
      </c>
      <c r="H330" s="12">
        <v>68</v>
      </c>
      <c r="I330" s="12">
        <v>45.1</v>
      </c>
      <c r="J330" s="12">
        <v>56</v>
      </c>
      <c r="K330" s="12">
        <v>48</v>
      </c>
      <c r="L330" s="65">
        <f>SUM(F330:K330)</f>
        <v>323.89999999999998</v>
      </c>
      <c r="M330" s="65">
        <f>L330/6</f>
        <v>54</v>
      </c>
      <c r="N330" s="12">
        <v>5.2</v>
      </c>
      <c r="O330" s="12">
        <v>42.5</v>
      </c>
      <c r="P330" s="11">
        <v>49.5</v>
      </c>
      <c r="Q330" s="12">
        <v>55.2</v>
      </c>
      <c r="R330" s="12">
        <v>58</v>
      </c>
      <c r="S330" s="12">
        <v>49.8</v>
      </c>
      <c r="T330" s="65">
        <f>SUM(N330:S330)</f>
        <v>260.2</v>
      </c>
      <c r="U330" s="65">
        <f>T330+L330</f>
        <v>584.1</v>
      </c>
      <c r="V330" s="75">
        <f>V347+V409</f>
        <v>726.3</v>
      </c>
      <c r="W330" s="38"/>
      <c r="X330" s="47"/>
    </row>
    <row r="331" spans="1:24" s="48" customFormat="1" ht="18.5" customHeight="1">
      <c r="A331" s="592"/>
      <c r="B331" s="661"/>
      <c r="C331" s="662"/>
      <c r="D331" s="178" t="str">
        <f>серпень!D254</f>
        <v>факт. нат.п-ки 2024</v>
      </c>
      <c r="E331" s="11"/>
      <c r="F331" s="12">
        <v>16</v>
      </c>
      <c r="G331" s="12">
        <v>76</v>
      </c>
      <c r="H331" s="12">
        <v>70</v>
      </c>
      <c r="I331" s="12">
        <v>82.7</v>
      </c>
      <c r="J331" s="12">
        <v>84</v>
      </c>
      <c r="K331" s="12">
        <v>15.6</v>
      </c>
      <c r="L331" s="65">
        <f>SUM(F331:K331)</f>
        <v>344.3</v>
      </c>
      <c r="M331" s="65">
        <f>L331/6</f>
        <v>57.4</v>
      </c>
      <c r="N331" s="12">
        <v>56</v>
      </c>
      <c r="O331" s="12">
        <v>56</v>
      </c>
      <c r="P331" s="11">
        <v>19.2</v>
      </c>
      <c r="Q331" s="12">
        <v>50.8</v>
      </c>
      <c r="R331" s="12">
        <v>99.8</v>
      </c>
      <c r="S331" s="12">
        <v>100.2</v>
      </c>
      <c r="T331" s="65">
        <f>SUM(N331:S331)</f>
        <v>382</v>
      </c>
      <c r="U331" s="65">
        <f>T331+L331</f>
        <v>726.3</v>
      </c>
      <c r="V331" s="75">
        <f>V348+V410</f>
        <v>552.70000000000005</v>
      </c>
      <c r="W331" s="38"/>
      <c r="X331" s="47"/>
    </row>
    <row r="332" spans="1:24" s="48" customFormat="1" ht="18.5" customHeight="1">
      <c r="A332" s="592"/>
      <c r="B332" s="661"/>
      <c r="C332" s="662"/>
      <c r="D332" s="178" t="str">
        <f>серпень!D255</f>
        <v>факт. нат.п-ки 2025</v>
      </c>
      <c r="E332" s="11"/>
      <c r="F332" s="12">
        <f t="shared" ref="F332:K332" si="329">F349+F411</f>
        <v>6</v>
      </c>
      <c r="G332" s="12">
        <f t="shared" si="329"/>
        <v>23.2</v>
      </c>
      <c r="H332" s="12">
        <f t="shared" si="329"/>
        <v>60</v>
      </c>
      <c r="I332" s="12">
        <f t="shared" si="329"/>
        <v>55.4</v>
      </c>
      <c r="J332" s="12">
        <f t="shared" si="329"/>
        <v>52</v>
      </c>
      <c r="K332" s="12">
        <f t="shared" si="329"/>
        <v>69.8</v>
      </c>
      <c r="L332" s="122">
        <f>SUM(F332:K332)</f>
        <v>266.39999999999998</v>
      </c>
      <c r="M332" s="65">
        <f>L332/6</f>
        <v>44.4</v>
      </c>
      <c r="N332" s="12">
        <f t="shared" ref="N332:S332" si="330">N349+N411</f>
        <v>42.9</v>
      </c>
      <c r="O332" s="12">
        <f t="shared" si="330"/>
        <v>20</v>
      </c>
      <c r="P332" s="12">
        <f t="shared" si="330"/>
        <v>125.9</v>
      </c>
      <c r="Q332" s="12">
        <f t="shared" si="330"/>
        <v>51</v>
      </c>
      <c r="R332" s="12">
        <f t="shared" si="330"/>
        <v>99.8</v>
      </c>
      <c r="S332" s="12">
        <f t="shared" si="330"/>
        <v>100.2</v>
      </c>
      <c r="T332" s="65">
        <f>SUM(N332:S332)</f>
        <v>439.8</v>
      </c>
      <c r="U332" s="118">
        <f>T332+L332</f>
        <v>706.2</v>
      </c>
      <c r="V332" s="75">
        <f>V349+V411</f>
        <v>781.3</v>
      </c>
      <c r="W332" s="38">
        <f>V332-U332</f>
        <v>75.099999999999994</v>
      </c>
      <c r="X332" s="47"/>
    </row>
    <row r="333" spans="1:24" s="51" customFormat="1" ht="18.5" customHeight="1">
      <c r="A333" s="592"/>
      <c r="B333" s="661"/>
      <c r="C333" s="662"/>
      <c r="D333" s="187" t="str">
        <f>серпень!D256</f>
        <v>тариф, грн.</v>
      </c>
      <c r="E333" s="49"/>
      <c r="F333" s="49">
        <f t="shared" ref="F333:S333" si="331">F334/F332*1000</f>
        <v>25</v>
      </c>
      <c r="G333" s="49">
        <f t="shared" si="331"/>
        <v>26.120999999999999</v>
      </c>
      <c r="H333" s="49">
        <f t="shared" si="331"/>
        <v>26.167000000000002</v>
      </c>
      <c r="I333" s="49">
        <f t="shared" si="331"/>
        <v>26.172999999999998</v>
      </c>
      <c r="J333" s="49">
        <f t="shared" si="331"/>
        <v>26.154</v>
      </c>
      <c r="K333" s="49">
        <f t="shared" si="331"/>
        <v>26.16</v>
      </c>
      <c r="L333" s="49">
        <f t="shared" si="331"/>
        <v>26.134</v>
      </c>
      <c r="M333" s="49">
        <f t="shared" si="331"/>
        <v>26.126000000000001</v>
      </c>
      <c r="N333" s="49">
        <f t="shared" si="331"/>
        <v>26.131</v>
      </c>
      <c r="O333" s="49">
        <f t="shared" si="331"/>
        <v>26.15</v>
      </c>
      <c r="P333" s="49">
        <f t="shared" si="331"/>
        <v>26.164000000000001</v>
      </c>
      <c r="Q333" s="49">
        <f t="shared" si="331"/>
        <v>26.157</v>
      </c>
      <c r="R333" s="49">
        <f t="shared" si="331"/>
        <v>26.161999999999999</v>
      </c>
      <c r="S333" s="49">
        <f t="shared" si="331"/>
        <v>26.158000000000001</v>
      </c>
      <c r="T333" s="49">
        <f>T334/T332*1000</f>
        <v>26.157</v>
      </c>
      <c r="U333" s="49">
        <f>U334/U332*1000</f>
        <v>26.148</v>
      </c>
      <c r="V333" s="49">
        <f>V334/V332*1000</f>
        <v>23.658000000000001</v>
      </c>
      <c r="W333" s="14">
        <f>W334/W332*1000</f>
        <v>0.24</v>
      </c>
      <c r="X333" s="59"/>
    </row>
    <row r="334" spans="1:24" s="113" customFormat="1" ht="18.5" customHeight="1">
      <c r="A334" s="670"/>
      <c r="B334" s="661"/>
      <c r="C334" s="662"/>
      <c r="D334" s="191" t="str">
        <f>серпень!D257</f>
        <v>сума, тис.грн.</v>
      </c>
      <c r="E334" s="52"/>
      <c r="F334" s="52">
        <f t="shared" ref="F334:K335" si="332">F351+F413</f>
        <v>0.15</v>
      </c>
      <c r="G334" s="52">
        <f t="shared" si="332"/>
        <v>0.60599999999999998</v>
      </c>
      <c r="H334" s="52">
        <f t="shared" si="332"/>
        <v>1.57</v>
      </c>
      <c r="I334" s="52">
        <f t="shared" si="332"/>
        <v>1.45</v>
      </c>
      <c r="J334" s="52">
        <f t="shared" si="332"/>
        <v>1.36</v>
      </c>
      <c r="K334" s="52">
        <f t="shared" si="332"/>
        <v>1.8260000000000001</v>
      </c>
      <c r="L334" s="69">
        <f>SUM(F334:K334)</f>
        <v>6.9619999999999997</v>
      </c>
      <c r="M334" s="69">
        <f>L334/6</f>
        <v>1.1599999999999999</v>
      </c>
      <c r="N334" s="380">
        <f t="shared" ref="N334:S335" si="333">N351+N413</f>
        <v>1.121</v>
      </c>
      <c r="O334" s="380">
        <f t="shared" si="333"/>
        <v>0.52300000000000002</v>
      </c>
      <c r="P334" s="380">
        <f t="shared" si="333"/>
        <v>3.294</v>
      </c>
      <c r="Q334" s="380">
        <f t="shared" si="333"/>
        <v>1.3340000000000001</v>
      </c>
      <c r="R334" s="380">
        <f t="shared" si="333"/>
        <v>2.6110000000000002</v>
      </c>
      <c r="S334" s="380">
        <f t="shared" si="333"/>
        <v>2.621</v>
      </c>
      <c r="T334" s="69">
        <f t="shared" ref="T334:T339" si="334">SUM(N334:S334)</f>
        <v>11.504</v>
      </c>
      <c r="U334" s="69">
        <f t="shared" ref="U334:U339" si="335">T334+L334</f>
        <v>18.466000000000001</v>
      </c>
      <c r="V334" s="69">
        <f>V351+V413</f>
        <v>18.484000000000002</v>
      </c>
      <c r="W334" s="52">
        <f>V334-U334</f>
        <v>1.7999999999999999E-2</v>
      </c>
    </row>
    <row r="335" spans="1:24" s="113" customFormat="1" ht="18.5" customHeight="1">
      <c r="A335" s="670"/>
      <c r="B335" s="661"/>
      <c r="C335" s="662"/>
      <c r="D335" s="174" t="str">
        <f>серпень!D258</f>
        <v>абоненська плата, тис.грн.</v>
      </c>
      <c r="E335" s="52"/>
      <c r="F335" s="52">
        <f>F352+F414</f>
        <v>0</v>
      </c>
      <c r="G335" s="52">
        <f t="shared" si="332"/>
        <v>0</v>
      </c>
      <c r="H335" s="52">
        <f t="shared" si="332"/>
        <v>0</v>
      </c>
      <c r="I335" s="52">
        <f t="shared" si="332"/>
        <v>0</v>
      </c>
      <c r="J335" s="52">
        <f t="shared" si="332"/>
        <v>0</v>
      </c>
      <c r="K335" s="52">
        <f t="shared" si="332"/>
        <v>0</v>
      </c>
      <c r="L335" s="69">
        <f t="shared" ref="L335:L337" si="336">SUM(F335:K335)</f>
        <v>0</v>
      </c>
      <c r="M335" s="69">
        <f t="shared" ref="M335:M337" si="337">L335/6</f>
        <v>0</v>
      </c>
      <c r="N335" s="380">
        <f t="shared" si="333"/>
        <v>0</v>
      </c>
      <c r="O335" s="380">
        <f t="shared" si="333"/>
        <v>0</v>
      </c>
      <c r="P335" s="380">
        <f t="shared" si="333"/>
        <v>0</v>
      </c>
      <c r="Q335" s="380">
        <f t="shared" si="333"/>
        <v>0</v>
      </c>
      <c r="R335" s="380">
        <f t="shared" si="333"/>
        <v>0</v>
      </c>
      <c r="S335" s="380">
        <f t="shared" si="333"/>
        <v>0</v>
      </c>
      <c r="T335" s="69">
        <f t="shared" si="334"/>
        <v>0</v>
      </c>
      <c r="U335" s="69">
        <f t="shared" si="335"/>
        <v>0</v>
      </c>
      <c r="V335" s="69">
        <f t="shared" ref="V335:V337" si="338">V352+V414</f>
        <v>0</v>
      </c>
      <c r="W335" s="52">
        <f t="shared" ref="W335:W337" si="339">V335-U335</f>
        <v>0</v>
      </c>
    </row>
    <row r="336" spans="1:24" s="113" customFormat="1" ht="18.5" customHeight="1">
      <c r="A336" s="670"/>
      <c r="B336" s="661"/>
      <c r="C336" s="662"/>
      <c r="D336" s="174" t="str">
        <f>серпень!D259</f>
        <v>разом сума тис. грн+абонплата</v>
      </c>
      <c r="E336" s="52"/>
      <c r="F336" s="52">
        <f>F334+F335</f>
        <v>0.15</v>
      </c>
      <c r="G336" s="52">
        <f t="shared" ref="G336:K336" si="340">G334+G335</f>
        <v>0.60599999999999998</v>
      </c>
      <c r="H336" s="52">
        <f t="shared" si="340"/>
        <v>1.57</v>
      </c>
      <c r="I336" s="52">
        <f t="shared" si="340"/>
        <v>1.45</v>
      </c>
      <c r="J336" s="52">
        <f t="shared" si="340"/>
        <v>1.36</v>
      </c>
      <c r="K336" s="52">
        <f t="shared" si="340"/>
        <v>1.8260000000000001</v>
      </c>
      <c r="L336" s="69">
        <f t="shared" si="336"/>
        <v>6.9619999999999997</v>
      </c>
      <c r="M336" s="69">
        <f t="shared" si="337"/>
        <v>1.1599999999999999</v>
      </c>
      <c r="N336" s="380">
        <f>N334+N335</f>
        <v>1.121</v>
      </c>
      <c r="O336" s="380">
        <f t="shared" ref="O336:S336" si="341">O334+O335</f>
        <v>0.52300000000000002</v>
      </c>
      <c r="P336" s="380">
        <f t="shared" si="341"/>
        <v>3.294</v>
      </c>
      <c r="Q336" s="380">
        <f t="shared" si="341"/>
        <v>1.3340000000000001</v>
      </c>
      <c r="R336" s="380">
        <f t="shared" si="341"/>
        <v>2.6110000000000002</v>
      </c>
      <c r="S336" s="380">
        <f t="shared" si="341"/>
        <v>2.621</v>
      </c>
      <c r="T336" s="69">
        <f t="shared" si="334"/>
        <v>11.504</v>
      </c>
      <c r="U336" s="69">
        <f t="shared" si="335"/>
        <v>18.466000000000001</v>
      </c>
      <c r="V336" s="69">
        <f t="shared" si="338"/>
        <v>18.484000000000002</v>
      </c>
      <c r="W336" s="52">
        <f t="shared" si="339"/>
        <v>1.7999999999999999E-2</v>
      </c>
    </row>
    <row r="337" spans="1:24" s="113" customFormat="1" ht="18.5" customHeight="1">
      <c r="A337" s="670"/>
      <c r="B337" s="661"/>
      <c r="C337" s="662"/>
      <c r="D337" s="174" t="str">
        <f>серпень!D260</f>
        <v>дотація</v>
      </c>
      <c r="E337" s="52"/>
      <c r="F337" s="52">
        <f t="shared" ref="F337:K339" si="342">F354+F416</f>
        <v>0</v>
      </c>
      <c r="G337" s="52">
        <f t="shared" si="342"/>
        <v>0</v>
      </c>
      <c r="H337" s="52">
        <f t="shared" si="342"/>
        <v>0</v>
      </c>
      <c r="I337" s="52">
        <f t="shared" si="342"/>
        <v>0</v>
      </c>
      <c r="J337" s="52">
        <f t="shared" si="342"/>
        <v>0</v>
      </c>
      <c r="K337" s="52">
        <f t="shared" si="342"/>
        <v>0</v>
      </c>
      <c r="L337" s="69">
        <f t="shared" si="336"/>
        <v>0</v>
      </c>
      <c r="M337" s="69">
        <f t="shared" si="337"/>
        <v>0</v>
      </c>
      <c r="N337" s="380">
        <f t="shared" ref="N337:S339" si="343">N354+N416</f>
        <v>0</v>
      </c>
      <c r="O337" s="380">
        <f t="shared" si="343"/>
        <v>0</v>
      </c>
      <c r="P337" s="380">
        <f t="shared" si="343"/>
        <v>0</v>
      </c>
      <c r="Q337" s="380">
        <f t="shared" si="343"/>
        <v>0</v>
      </c>
      <c r="R337" s="380">
        <f t="shared" si="343"/>
        <v>0</v>
      </c>
      <c r="S337" s="380">
        <f t="shared" si="343"/>
        <v>0</v>
      </c>
      <c r="T337" s="69">
        <f t="shared" si="334"/>
        <v>0</v>
      </c>
      <c r="U337" s="69">
        <f t="shared" si="335"/>
        <v>0</v>
      </c>
      <c r="V337" s="69">
        <f t="shared" si="338"/>
        <v>0</v>
      </c>
      <c r="W337" s="52">
        <f t="shared" si="339"/>
        <v>0</v>
      </c>
    </row>
    <row r="338" spans="1:24" s="113" customFormat="1" ht="18.5" customHeight="1">
      <c r="A338" s="670"/>
      <c r="B338" s="661"/>
      <c r="C338" s="662"/>
      <c r="D338" s="174" t="str">
        <f>серпень!D261</f>
        <v>місцевий (план), тис.грн</v>
      </c>
      <c r="E338" s="52"/>
      <c r="F338" s="52">
        <f t="shared" si="342"/>
        <v>1.41</v>
      </c>
      <c r="G338" s="52">
        <f t="shared" si="342"/>
        <v>0.53800000000000003</v>
      </c>
      <c r="H338" s="52">
        <f t="shared" si="342"/>
        <v>2.9159999999999999</v>
      </c>
      <c r="I338" s="52">
        <f t="shared" si="342"/>
        <v>0.52</v>
      </c>
      <c r="J338" s="52">
        <f t="shared" si="342"/>
        <v>1.845</v>
      </c>
      <c r="K338" s="52">
        <f t="shared" si="342"/>
        <v>0.217</v>
      </c>
      <c r="L338" s="69">
        <f>SUM(F338:K338)</f>
        <v>7.4459999999999997</v>
      </c>
      <c r="M338" s="69">
        <f>L338/6</f>
        <v>1.2410000000000001</v>
      </c>
      <c r="N338" s="380">
        <f t="shared" si="343"/>
        <v>1.081</v>
      </c>
      <c r="O338" s="380">
        <f t="shared" si="343"/>
        <v>1.0389999999999999</v>
      </c>
      <c r="P338" s="380">
        <f t="shared" si="343"/>
        <v>2.9790000000000001</v>
      </c>
      <c r="Q338" s="380">
        <f t="shared" si="343"/>
        <v>1.2070000000000001</v>
      </c>
      <c r="R338" s="380">
        <f t="shared" si="343"/>
        <v>2.3610000000000002</v>
      </c>
      <c r="S338" s="380">
        <f t="shared" si="343"/>
        <v>2.371</v>
      </c>
      <c r="T338" s="69">
        <f t="shared" si="334"/>
        <v>11.038</v>
      </c>
      <c r="U338" s="69">
        <f t="shared" si="335"/>
        <v>18.484000000000002</v>
      </c>
      <c r="V338" s="69">
        <f>V355+V417</f>
        <v>18.484000000000002</v>
      </c>
      <c r="W338" s="52">
        <f>V338-U338</f>
        <v>0</v>
      </c>
    </row>
    <row r="339" spans="1:24" s="48" customFormat="1" ht="18.5" customHeight="1">
      <c r="A339" s="592"/>
      <c r="B339" s="661"/>
      <c r="C339" s="662"/>
      <c r="D339" s="178" t="str">
        <f>серпень!D262</f>
        <v>касові нат.п-ки 2025</v>
      </c>
      <c r="E339" s="11">
        <f>E371</f>
        <v>0</v>
      </c>
      <c r="F339" s="11">
        <f t="shared" si="342"/>
        <v>6</v>
      </c>
      <c r="G339" s="11">
        <f t="shared" si="342"/>
        <v>23.2</v>
      </c>
      <c r="H339" s="11">
        <f t="shared" si="342"/>
        <v>60</v>
      </c>
      <c r="I339" s="11">
        <f t="shared" si="342"/>
        <v>55.4</v>
      </c>
      <c r="J339" s="11">
        <f t="shared" si="342"/>
        <v>52</v>
      </c>
      <c r="K339" s="11">
        <f t="shared" si="342"/>
        <v>69.8</v>
      </c>
      <c r="L339" s="123">
        <f>SUM(F339:K339)</f>
        <v>266.39999999999998</v>
      </c>
      <c r="M339" s="65">
        <f>L339/6</f>
        <v>44.4</v>
      </c>
      <c r="N339" s="11">
        <f t="shared" si="343"/>
        <v>42.9</v>
      </c>
      <c r="O339" s="11">
        <f t="shared" si="343"/>
        <v>20</v>
      </c>
      <c r="P339" s="11">
        <f t="shared" si="343"/>
        <v>125.9</v>
      </c>
      <c r="Q339" s="11">
        <f t="shared" si="343"/>
        <v>51</v>
      </c>
      <c r="R339" s="11">
        <f t="shared" si="343"/>
        <v>99.8</v>
      </c>
      <c r="S339" s="11">
        <f t="shared" si="343"/>
        <v>100.2</v>
      </c>
      <c r="T339" s="65">
        <f t="shared" si="334"/>
        <v>439.8</v>
      </c>
      <c r="U339" s="65">
        <f t="shared" si="335"/>
        <v>706.2</v>
      </c>
      <c r="V339" s="124">
        <f>V356+V418</f>
        <v>781.3</v>
      </c>
      <c r="W339" s="124">
        <f>V339-U339</f>
        <v>75.099999999999994</v>
      </c>
      <c r="X339" s="47">
        <f>U332-U339</f>
        <v>0</v>
      </c>
    </row>
    <row r="340" spans="1:24" s="51" customFormat="1" ht="18.5" customHeight="1">
      <c r="A340" s="592"/>
      <c r="B340" s="661"/>
      <c r="C340" s="662"/>
      <c r="D340" s="187" t="str">
        <f>серпень!D263</f>
        <v>тариф, грн.</v>
      </c>
      <c r="E340" s="49" t="e">
        <f t="shared" ref="E340:S340" si="344">E341/E339*1000</f>
        <v>#DIV/0!</v>
      </c>
      <c r="F340" s="49">
        <f t="shared" si="344"/>
        <v>25</v>
      </c>
      <c r="G340" s="49">
        <f t="shared" si="344"/>
        <v>26.120999999999999</v>
      </c>
      <c r="H340" s="49">
        <f t="shared" si="344"/>
        <v>26.167000000000002</v>
      </c>
      <c r="I340" s="49">
        <f t="shared" si="344"/>
        <v>26.172999999999998</v>
      </c>
      <c r="J340" s="49">
        <f t="shared" si="344"/>
        <v>26.154</v>
      </c>
      <c r="K340" s="49">
        <f t="shared" si="344"/>
        <v>26.16</v>
      </c>
      <c r="L340" s="49">
        <f t="shared" si="344"/>
        <v>26.134</v>
      </c>
      <c r="M340" s="49">
        <f t="shared" si="344"/>
        <v>26.126000000000001</v>
      </c>
      <c r="N340" s="49">
        <f t="shared" si="344"/>
        <v>26.131</v>
      </c>
      <c r="O340" s="49">
        <f t="shared" si="344"/>
        <v>26.15</v>
      </c>
      <c r="P340" s="49">
        <f t="shared" si="344"/>
        <v>26.164000000000001</v>
      </c>
      <c r="Q340" s="49">
        <f t="shared" si="344"/>
        <v>26.157</v>
      </c>
      <c r="R340" s="49">
        <f t="shared" si="344"/>
        <v>26.161999999999999</v>
      </c>
      <c r="S340" s="49">
        <f t="shared" si="344"/>
        <v>26.158000000000001</v>
      </c>
      <c r="T340" s="49">
        <f>T341/T339*1000</f>
        <v>26.157</v>
      </c>
      <c r="U340" s="49">
        <f>U341/U339*1000</f>
        <v>26.148</v>
      </c>
      <c r="V340" s="49">
        <f>V341/V339*1000</f>
        <v>23.658000000000001</v>
      </c>
      <c r="W340" s="14">
        <f>W341/W339*1000</f>
        <v>0.24</v>
      </c>
      <c r="X340" s="47"/>
    </row>
    <row r="341" spans="1:24" s="74" customFormat="1" ht="18.5" customHeight="1">
      <c r="A341" s="592"/>
      <c r="B341" s="661"/>
      <c r="C341" s="662"/>
      <c r="D341" s="198" t="str">
        <f>серпень!D264</f>
        <v>касові видатки, тис.грн.</v>
      </c>
      <c r="E341" s="71">
        <f t="shared" ref="E341:K343" si="345">E358+E420</f>
        <v>0</v>
      </c>
      <c r="F341" s="61">
        <f t="shared" si="345"/>
        <v>0.15</v>
      </c>
      <c r="G341" s="61">
        <f t="shared" si="345"/>
        <v>0.60599999999999998</v>
      </c>
      <c r="H341" s="61">
        <f t="shared" si="345"/>
        <v>1.57</v>
      </c>
      <c r="I341" s="61">
        <f t="shared" si="345"/>
        <v>1.45</v>
      </c>
      <c r="J341" s="61">
        <f t="shared" si="345"/>
        <v>1.36</v>
      </c>
      <c r="K341" s="61">
        <f t="shared" si="345"/>
        <v>1.8260000000000001</v>
      </c>
      <c r="L341" s="61">
        <f>SUM(F341:K341)</f>
        <v>6.9619999999999997</v>
      </c>
      <c r="M341" s="61">
        <f>L341/6</f>
        <v>1.1599999999999999</v>
      </c>
      <c r="N341" s="61">
        <f t="shared" ref="N341:S343" si="346">N358+N420</f>
        <v>1.121</v>
      </c>
      <c r="O341" s="61">
        <f t="shared" si="346"/>
        <v>0.52300000000000002</v>
      </c>
      <c r="P341" s="61">
        <f t="shared" si="346"/>
        <v>3.294</v>
      </c>
      <c r="Q341" s="61">
        <f t="shared" si="346"/>
        <v>1.3340000000000001</v>
      </c>
      <c r="R341" s="61">
        <f t="shared" si="346"/>
        <v>2.6110000000000002</v>
      </c>
      <c r="S341" s="61">
        <f t="shared" si="346"/>
        <v>2.621</v>
      </c>
      <c r="T341" s="61">
        <f>SUM(N341:S341)</f>
        <v>11.504</v>
      </c>
      <c r="U341" s="61">
        <f>T341+L341</f>
        <v>18.466000000000001</v>
      </c>
      <c r="V341" s="61">
        <f>V358+V420</f>
        <v>18.484000000000002</v>
      </c>
      <c r="W341" s="72">
        <f>V341-U341</f>
        <v>1.7999999999999999E-2</v>
      </c>
      <c r="X341" s="63">
        <f>U334-U341</f>
        <v>0</v>
      </c>
    </row>
    <row r="342" spans="1:24" s="74" customFormat="1" ht="18.5" customHeight="1">
      <c r="A342" s="592"/>
      <c r="B342" s="661"/>
      <c r="C342" s="662"/>
      <c r="D342" s="201" t="str">
        <f>серпень!D265</f>
        <v>дотація</v>
      </c>
      <c r="E342" s="71"/>
      <c r="F342" s="61">
        <f t="shared" si="345"/>
        <v>0</v>
      </c>
      <c r="G342" s="61">
        <f t="shared" si="345"/>
        <v>0</v>
      </c>
      <c r="H342" s="61">
        <f t="shared" si="345"/>
        <v>0</v>
      </c>
      <c r="I342" s="61">
        <f t="shared" si="345"/>
        <v>0</v>
      </c>
      <c r="J342" s="61">
        <f t="shared" si="345"/>
        <v>0</v>
      </c>
      <c r="K342" s="61">
        <f t="shared" si="345"/>
        <v>0</v>
      </c>
      <c r="L342" s="61">
        <f>SUM(F342:K342)</f>
        <v>0</v>
      </c>
      <c r="M342" s="61">
        <f>L342/6</f>
        <v>0</v>
      </c>
      <c r="N342" s="61">
        <f t="shared" si="346"/>
        <v>0</v>
      </c>
      <c r="O342" s="61">
        <f t="shared" si="346"/>
        <v>0</v>
      </c>
      <c r="P342" s="61">
        <f t="shared" si="346"/>
        <v>0</v>
      </c>
      <c r="Q342" s="61">
        <f t="shared" si="346"/>
        <v>0</v>
      </c>
      <c r="R342" s="61">
        <f t="shared" si="346"/>
        <v>0</v>
      </c>
      <c r="S342" s="61">
        <f t="shared" si="346"/>
        <v>0</v>
      </c>
      <c r="T342" s="61">
        <f>SUM(N342:S342)</f>
        <v>0</v>
      </c>
      <c r="U342" s="61">
        <f>T342+L342</f>
        <v>0</v>
      </c>
      <c r="V342" s="61">
        <f>V359+V421</f>
        <v>0</v>
      </c>
      <c r="W342" s="72">
        <f>V342-U342</f>
        <v>0</v>
      </c>
      <c r="X342" s="63">
        <f>U337-U342</f>
        <v>0</v>
      </c>
    </row>
    <row r="343" spans="1:24" s="74" customFormat="1" ht="18.5" customHeight="1">
      <c r="A343" s="592"/>
      <c r="B343" s="661"/>
      <c r="C343" s="662"/>
      <c r="D343" s="201" t="str">
        <f>серпень!D266</f>
        <v xml:space="preserve">місцевий </v>
      </c>
      <c r="E343" s="61"/>
      <c r="F343" s="61">
        <f t="shared" si="345"/>
        <v>0.15</v>
      </c>
      <c r="G343" s="61">
        <f t="shared" si="345"/>
        <v>0.60599999999999998</v>
      </c>
      <c r="H343" s="61">
        <f t="shared" si="345"/>
        <v>1.57</v>
      </c>
      <c r="I343" s="61">
        <f t="shared" si="345"/>
        <v>1.45</v>
      </c>
      <c r="J343" s="61">
        <f t="shared" si="345"/>
        <v>1.36</v>
      </c>
      <c r="K343" s="61">
        <f t="shared" si="345"/>
        <v>1.8260000000000001</v>
      </c>
      <c r="L343" s="61">
        <f>SUM(F343:K343)</f>
        <v>6.9619999999999997</v>
      </c>
      <c r="M343" s="61">
        <f>L343/6</f>
        <v>1.1599999999999999</v>
      </c>
      <c r="N343" s="61">
        <f t="shared" si="346"/>
        <v>1.121</v>
      </c>
      <c r="O343" s="61">
        <f t="shared" si="346"/>
        <v>0.52300000000000002</v>
      </c>
      <c r="P343" s="61">
        <f t="shared" si="346"/>
        <v>3.294</v>
      </c>
      <c r="Q343" s="61">
        <f t="shared" si="346"/>
        <v>1.3340000000000001</v>
      </c>
      <c r="R343" s="61">
        <f t="shared" si="346"/>
        <v>2.6110000000000002</v>
      </c>
      <c r="S343" s="61">
        <f t="shared" si="346"/>
        <v>2.621</v>
      </c>
      <c r="T343" s="61">
        <f>SUM(N343:S343)</f>
        <v>11.504</v>
      </c>
      <c r="U343" s="61">
        <f>T343+L343</f>
        <v>18.466000000000001</v>
      </c>
      <c r="V343" s="61">
        <f>V360+V422</f>
        <v>18.484000000000002</v>
      </c>
      <c r="W343" s="72">
        <f>V343-U343</f>
        <v>1.7999999999999999E-2</v>
      </c>
      <c r="X343" s="63">
        <f>U338-U343</f>
        <v>1.7999999999999999E-2</v>
      </c>
    </row>
    <row r="344" spans="1:24" s="43" customFormat="1" ht="18.5" customHeight="1">
      <c r="A344" s="592"/>
      <c r="B344" s="661"/>
      <c r="C344" s="662"/>
      <c r="D344" s="202" t="str">
        <f>серпень!D267</f>
        <v>план</v>
      </c>
      <c r="E344" s="42"/>
      <c r="F344" s="42">
        <f t="shared" ref="F344:K344" si="347">F338</f>
        <v>1.41</v>
      </c>
      <c r="G344" s="42">
        <f t="shared" si="347"/>
        <v>0.53800000000000003</v>
      </c>
      <c r="H344" s="42">
        <f t="shared" si="347"/>
        <v>2.9159999999999999</v>
      </c>
      <c r="I344" s="42">
        <f t="shared" si="347"/>
        <v>0.52</v>
      </c>
      <c r="J344" s="42">
        <f t="shared" si="347"/>
        <v>1.845</v>
      </c>
      <c r="K344" s="42">
        <f t="shared" si="347"/>
        <v>0.217</v>
      </c>
      <c r="L344" s="42">
        <f>SUM(F344:K344)</f>
        <v>7.4459999999999997</v>
      </c>
      <c r="M344" s="42">
        <f>L344/6</f>
        <v>1.2410000000000001</v>
      </c>
      <c r="N344" s="42">
        <f t="shared" ref="N344:S344" si="348">N338+N337</f>
        <v>1.081</v>
      </c>
      <c r="O344" s="42">
        <f t="shared" si="348"/>
        <v>1.0389999999999999</v>
      </c>
      <c r="P344" s="42">
        <f t="shared" si="348"/>
        <v>2.9790000000000001</v>
      </c>
      <c r="Q344" s="42">
        <f t="shared" si="348"/>
        <v>1.2070000000000001</v>
      </c>
      <c r="R344" s="42">
        <f t="shared" si="348"/>
        <v>2.3610000000000002</v>
      </c>
      <c r="S344" s="42">
        <f t="shared" si="348"/>
        <v>2.371</v>
      </c>
      <c r="T344" s="42">
        <f>SUM(N344:S344)</f>
        <v>11.038</v>
      </c>
      <c r="U344" s="42">
        <f>T344+L344</f>
        <v>18.484000000000002</v>
      </c>
      <c r="V344" s="42">
        <f>V338+V337</f>
        <v>18.484000000000002</v>
      </c>
      <c r="W344" s="42">
        <f>V344-U344</f>
        <v>0</v>
      </c>
    </row>
    <row r="345" spans="1:24" s="43" customFormat="1" ht="18.5" customHeight="1">
      <c r="A345" s="592"/>
      <c r="B345" s="661"/>
      <c r="C345" s="662"/>
      <c r="D345" s="202" t="str">
        <f>серпень!D268</f>
        <v xml:space="preserve">відхилення </v>
      </c>
      <c r="E345" s="42"/>
      <c r="F345" s="42">
        <f t="shared" ref="F345:K345" si="349">F341-F344</f>
        <v>-1.26</v>
      </c>
      <c r="G345" s="42">
        <f t="shared" si="349"/>
        <v>6.8000000000000005E-2</v>
      </c>
      <c r="H345" s="42">
        <f t="shared" si="349"/>
        <v>-1.3460000000000001</v>
      </c>
      <c r="I345" s="42">
        <f t="shared" si="349"/>
        <v>0.93</v>
      </c>
      <c r="J345" s="42">
        <f t="shared" si="349"/>
        <v>-0.48499999999999999</v>
      </c>
      <c r="K345" s="42">
        <f t="shared" si="349"/>
        <v>1.609</v>
      </c>
      <c r="L345" s="42"/>
      <c r="M345" s="42"/>
      <c r="N345" s="42">
        <f t="shared" ref="N345:S345" si="350">N341-N344</f>
        <v>0.04</v>
      </c>
      <c r="O345" s="42">
        <f t="shared" si="350"/>
        <v>-0.51600000000000001</v>
      </c>
      <c r="P345" s="42">
        <f t="shared" si="350"/>
        <v>0.315</v>
      </c>
      <c r="Q345" s="42">
        <f t="shared" si="350"/>
        <v>0.127</v>
      </c>
      <c r="R345" s="42">
        <f t="shared" si="350"/>
        <v>0.25</v>
      </c>
      <c r="S345" s="42">
        <f t="shared" si="350"/>
        <v>0.25</v>
      </c>
      <c r="T345" s="42"/>
      <c r="U345" s="42"/>
      <c r="V345" s="42"/>
      <c r="W345" s="42"/>
    </row>
    <row r="346" spans="1:24" s="43" customFormat="1" ht="18.5" customHeight="1">
      <c r="A346" s="593"/>
      <c r="B346" s="663"/>
      <c r="C346" s="664"/>
      <c r="D346" s="202" t="str">
        <f>серпень!D269</f>
        <v>відхилення з наростаючим</v>
      </c>
      <c r="E346" s="42"/>
      <c r="F346" s="42">
        <f>F345</f>
        <v>-1.26</v>
      </c>
      <c r="G346" s="42">
        <f>G345+F346</f>
        <v>-1.1919999999999999</v>
      </c>
      <c r="H346" s="42">
        <f>H345+G346</f>
        <v>-2.5379999999999998</v>
      </c>
      <c r="I346" s="42">
        <f>I345+H346</f>
        <v>-1.6080000000000001</v>
      </c>
      <c r="J346" s="42">
        <f>J345+I346</f>
        <v>-2.093</v>
      </c>
      <c r="K346" s="42">
        <f>K345+J346</f>
        <v>-0.48399999999999999</v>
      </c>
      <c r="L346" s="42"/>
      <c r="M346" s="42"/>
      <c r="N346" s="42">
        <f>N345+K346</f>
        <v>-0.44400000000000001</v>
      </c>
      <c r="O346" s="42">
        <f>O345+N346</f>
        <v>-0.96</v>
      </c>
      <c r="P346" s="42">
        <f>P345+O346</f>
        <v>-0.64500000000000002</v>
      </c>
      <c r="Q346" s="42">
        <f>Q345+P346</f>
        <v>-0.51800000000000002</v>
      </c>
      <c r="R346" s="42">
        <f>R345+Q346</f>
        <v>-0.26800000000000002</v>
      </c>
      <c r="S346" s="42">
        <f>S345+R346</f>
        <v>-1.7999999999999999E-2</v>
      </c>
      <c r="T346" s="42"/>
      <c r="U346" s="42"/>
      <c r="V346" s="42"/>
      <c r="W346" s="42"/>
    </row>
    <row r="347" spans="1:24" s="186" customFormat="1" ht="18" customHeight="1">
      <c r="A347" s="595" t="s">
        <v>35</v>
      </c>
      <c r="B347" s="665" t="s">
        <v>36</v>
      </c>
      <c r="C347" s="665"/>
      <c r="D347" s="178" t="str">
        <f>серпень!D270</f>
        <v>факт. нат.п-ки 2023</v>
      </c>
      <c r="E347" s="179"/>
      <c r="F347" s="180">
        <f t="shared" ref="F347:K349" si="351">F364+F379+F394</f>
        <v>16</v>
      </c>
      <c r="G347" s="180">
        <f t="shared" si="351"/>
        <v>76</v>
      </c>
      <c r="H347" s="180">
        <f t="shared" si="351"/>
        <v>70</v>
      </c>
      <c r="I347" s="180">
        <f t="shared" si="351"/>
        <v>82.7</v>
      </c>
      <c r="J347" s="180">
        <f t="shared" si="351"/>
        <v>84</v>
      </c>
      <c r="K347" s="180">
        <f t="shared" si="351"/>
        <v>15.6</v>
      </c>
      <c r="L347" s="215">
        <f>SUM(F347:K347)</f>
        <v>344.3</v>
      </c>
      <c r="M347" s="215">
        <f>L347/6</f>
        <v>57.4</v>
      </c>
      <c r="N347" s="180">
        <f t="shared" ref="N347:S349" si="352">N364+N379+N394</f>
        <v>56</v>
      </c>
      <c r="O347" s="180">
        <f t="shared" si="352"/>
        <v>56</v>
      </c>
      <c r="P347" s="180">
        <f t="shared" si="352"/>
        <v>19.2</v>
      </c>
      <c r="Q347" s="180">
        <f t="shared" si="352"/>
        <v>50.8</v>
      </c>
      <c r="R347" s="180">
        <f t="shared" si="352"/>
        <v>99.8</v>
      </c>
      <c r="S347" s="180">
        <f t="shared" si="352"/>
        <v>100.2</v>
      </c>
      <c r="T347" s="215">
        <f>SUM(N347:S347)</f>
        <v>382</v>
      </c>
      <c r="U347" s="215">
        <f>T347+L347</f>
        <v>726.3</v>
      </c>
      <c r="V347" s="233">
        <f>V364+V394</f>
        <v>726.3</v>
      </c>
      <c r="W347" s="184"/>
      <c r="X347" s="185"/>
    </row>
    <row r="348" spans="1:24" s="186" customFormat="1" ht="18" customHeight="1">
      <c r="A348" s="595"/>
      <c r="B348" s="665"/>
      <c r="C348" s="665"/>
      <c r="D348" s="178" t="str">
        <f>серпень!D271</f>
        <v>факт. нат.п-ки 2024</v>
      </c>
      <c r="E348" s="179"/>
      <c r="F348" s="180">
        <f t="shared" si="351"/>
        <v>8</v>
      </c>
      <c r="G348" s="180">
        <f t="shared" si="351"/>
        <v>0</v>
      </c>
      <c r="H348" s="180">
        <f t="shared" si="351"/>
        <v>21</v>
      </c>
      <c r="I348" s="180">
        <f t="shared" si="351"/>
        <v>22</v>
      </c>
      <c r="J348" s="180">
        <f t="shared" si="351"/>
        <v>26</v>
      </c>
      <c r="K348" s="180">
        <f t="shared" si="351"/>
        <v>43</v>
      </c>
      <c r="L348" s="215">
        <f>SUM(F348:K348)</f>
        <v>120</v>
      </c>
      <c r="M348" s="215">
        <f>L348/6</f>
        <v>20</v>
      </c>
      <c r="N348" s="180">
        <f t="shared" si="352"/>
        <v>28.8</v>
      </c>
      <c r="O348" s="180">
        <f t="shared" si="352"/>
        <v>27</v>
      </c>
      <c r="P348" s="180">
        <f t="shared" si="352"/>
        <v>125.9</v>
      </c>
      <c r="Q348" s="180">
        <f t="shared" si="352"/>
        <v>51</v>
      </c>
      <c r="R348" s="180">
        <f t="shared" si="352"/>
        <v>99.8</v>
      </c>
      <c r="S348" s="180">
        <f t="shared" si="352"/>
        <v>100.2</v>
      </c>
      <c r="T348" s="215">
        <f>SUM(N348:S348)</f>
        <v>432.7</v>
      </c>
      <c r="U348" s="215">
        <f>T348+L348</f>
        <v>552.70000000000005</v>
      </c>
      <c r="V348" s="233">
        <f>V365+V395</f>
        <v>552.70000000000005</v>
      </c>
      <c r="W348" s="184"/>
      <c r="X348" s="185"/>
    </row>
    <row r="349" spans="1:24" s="186" customFormat="1" ht="18" customHeight="1">
      <c r="A349" s="595"/>
      <c r="B349" s="665"/>
      <c r="C349" s="665"/>
      <c r="D349" s="178" t="str">
        <f>серпень!D272</f>
        <v>факт. нат.п-ки 2025</v>
      </c>
      <c r="E349" s="179"/>
      <c r="F349" s="180">
        <f>F366+F381+F396</f>
        <v>6</v>
      </c>
      <c r="G349" s="180">
        <f t="shared" si="351"/>
        <v>23.2</v>
      </c>
      <c r="H349" s="180">
        <f t="shared" si="351"/>
        <v>60</v>
      </c>
      <c r="I349" s="180">
        <f t="shared" si="351"/>
        <v>55.4</v>
      </c>
      <c r="J349" s="180">
        <f t="shared" si="351"/>
        <v>52</v>
      </c>
      <c r="K349" s="180">
        <f t="shared" si="351"/>
        <v>69.8</v>
      </c>
      <c r="L349" s="234">
        <f>SUM(F349:K349)</f>
        <v>266.39999999999998</v>
      </c>
      <c r="M349" s="215">
        <f>L349/6</f>
        <v>44.4</v>
      </c>
      <c r="N349" s="180">
        <f t="shared" si="352"/>
        <v>42.9</v>
      </c>
      <c r="O349" s="180">
        <f t="shared" si="352"/>
        <v>20</v>
      </c>
      <c r="P349" s="180">
        <f t="shared" si="352"/>
        <v>125.9</v>
      </c>
      <c r="Q349" s="180">
        <f t="shared" si="352"/>
        <v>51</v>
      </c>
      <c r="R349" s="180">
        <f t="shared" si="352"/>
        <v>99.8</v>
      </c>
      <c r="S349" s="180">
        <f t="shared" si="352"/>
        <v>100.2</v>
      </c>
      <c r="T349" s="215">
        <f>SUM(N349:S349)</f>
        <v>439.8</v>
      </c>
      <c r="U349" s="215">
        <f>T349+L349</f>
        <v>706.2</v>
      </c>
      <c r="V349" s="233">
        <f>V366+V381+V396</f>
        <v>781.3</v>
      </c>
      <c r="W349" s="184">
        <f>V349-U349</f>
        <v>75.099999999999994</v>
      </c>
      <c r="X349" s="185"/>
    </row>
    <row r="350" spans="1:24" s="190" customFormat="1" ht="18" customHeight="1">
      <c r="A350" s="595"/>
      <c r="B350" s="665"/>
      <c r="C350" s="665"/>
      <c r="D350" s="187" t="str">
        <f>серпень!D273</f>
        <v>тариф, грн.</v>
      </c>
      <c r="E350" s="188"/>
      <c r="F350" s="188">
        <f t="shared" ref="F350:S350" si="353">F351/F349*1000</f>
        <v>25</v>
      </c>
      <c r="G350" s="188">
        <f t="shared" si="353"/>
        <v>26.120999999999999</v>
      </c>
      <c r="H350" s="188">
        <f t="shared" si="353"/>
        <v>26.167000000000002</v>
      </c>
      <c r="I350" s="188">
        <f t="shared" si="353"/>
        <v>26.172999999999998</v>
      </c>
      <c r="J350" s="188">
        <f t="shared" si="353"/>
        <v>26.154</v>
      </c>
      <c r="K350" s="188">
        <f t="shared" si="353"/>
        <v>26.16</v>
      </c>
      <c r="L350" s="188">
        <f t="shared" si="353"/>
        <v>26.134</v>
      </c>
      <c r="M350" s="188">
        <f t="shared" si="353"/>
        <v>26.126000000000001</v>
      </c>
      <c r="N350" s="188">
        <f t="shared" si="353"/>
        <v>26.131</v>
      </c>
      <c r="O350" s="188">
        <f t="shared" si="353"/>
        <v>26.15</v>
      </c>
      <c r="P350" s="188">
        <f t="shared" si="353"/>
        <v>26.164000000000001</v>
      </c>
      <c r="Q350" s="188">
        <f t="shared" si="353"/>
        <v>26.157</v>
      </c>
      <c r="R350" s="188">
        <f t="shared" si="353"/>
        <v>26.161999999999999</v>
      </c>
      <c r="S350" s="188">
        <f t="shared" si="353"/>
        <v>26.158000000000001</v>
      </c>
      <c r="T350" s="188">
        <f>T351/T349*1000</f>
        <v>26.157</v>
      </c>
      <c r="U350" s="188">
        <f>U351/U349*1000</f>
        <v>26.148</v>
      </c>
      <c r="V350" s="188">
        <f>V351/V349*1000</f>
        <v>23.658000000000001</v>
      </c>
      <c r="W350" s="189">
        <f>W351/W349*1000</f>
        <v>0.24</v>
      </c>
      <c r="X350" s="225"/>
    </row>
    <row r="351" spans="1:24" s="172" customFormat="1" ht="18" customHeight="1">
      <c r="A351" s="671"/>
      <c r="B351" s="665"/>
      <c r="C351" s="665"/>
      <c r="D351" s="191" t="str">
        <f>серпень!D274</f>
        <v>сума, тис.грн.</v>
      </c>
      <c r="E351" s="192"/>
      <c r="F351" s="192">
        <f t="shared" ref="F351:K351" si="354">F368+F383+F398</f>
        <v>0.15</v>
      </c>
      <c r="G351" s="192">
        <f t="shared" si="354"/>
        <v>0.60599999999999998</v>
      </c>
      <c r="H351" s="192">
        <f t="shared" si="354"/>
        <v>1.57</v>
      </c>
      <c r="I351" s="192">
        <f t="shared" si="354"/>
        <v>1.45</v>
      </c>
      <c r="J351" s="192">
        <f t="shared" si="354"/>
        <v>1.36</v>
      </c>
      <c r="K351" s="192">
        <f t="shared" si="354"/>
        <v>1.8260000000000001</v>
      </c>
      <c r="L351" s="194">
        <f t="shared" ref="L351:L356" si="355">SUM(F351:K351)</f>
        <v>6.9619999999999997</v>
      </c>
      <c r="M351" s="194">
        <f t="shared" ref="M351:M356" si="356">L351/6</f>
        <v>1.1599999999999999</v>
      </c>
      <c r="N351" s="192">
        <f t="shared" ref="N351:S351" si="357">N368+N383+N398</f>
        <v>1.121</v>
      </c>
      <c r="O351" s="192">
        <f t="shared" si="357"/>
        <v>0.52300000000000002</v>
      </c>
      <c r="P351" s="192">
        <f t="shared" si="357"/>
        <v>3.294</v>
      </c>
      <c r="Q351" s="192">
        <f t="shared" si="357"/>
        <v>1.3340000000000001</v>
      </c>
      <c r="R351" s="192">
        <f t="shared" si="357"/>
        <v>2.6110000000000002</v>
      </c>
      <c r="S351" s="192">
        <f t="shared" si="357"/>
        <v>2.621</v>
      </c>
      <c r="T351" s="194">
        <f t="shared" ref="T351:T356" si="358">SUM(N351:S351)</f>
        <v>11.504</v>
      </c>
      <c r="U351" s="194">
        <f t="shared" ref="U351:U356" si="359">T351+L351</f>
        <v>18.466000000000001</v>
      </c>
      <c r="V351" s="192">
        <f t="shared" ref="V351" si="360">V368+V383+V398</f>
        <v>18.484000000000002</v>
      </c>
      <c r="W351" s="192">
        <f>V351-U351</f>
        <v>1.7999999999999999E-2</v>
      </c>
    </row>
    <row r="352" spans="1:24" s="172" customFormat="1" ht="18" customHeight="1">
      <c r="A352" s="671"/>
      <c r="B352" s="665"/>
      <c r="C352" s="665"/>
      <c r="D352" s="174" t="str">
        <f>серпень!D275</f>
        <v>абоненська плата, тис.грн.</v>
      </c>
      <c r="E352" s="192"/>
      <c r="F352" s="192">
        <f>F383</f>
        <v>0</v>
      </c>
      <c r="G352" s="192">
        <f t="shared" ref="G352:K352" si="361">G383</f>
        <v>0</v>
      </c>
      <c r="H352" s="192">
        <f t="shared" si="361"/>
        <v>0</v>
      </c>
      <c r="I352" s="192">
        <f t="shared" si="361"/>
        <v>0</v>
      </c>
      <c r="J352" s="192">
        <f t="shared" si="361"/>
        <v>0</v>
      </c>
      <c r="K352" s="192">
        <f t="shared" si="361"/>
        <v>0</v>
      </c>
      <c r="L352" s="194">
        <f t="shared" si="355"/>
        <v>0</v>
      </c>
      <c r="M352" s="194">
        <f t="shared" si="356"/>
        <v>0</v>
      </c>
      <c r="N352" s="192">
        <f>N383</f>
        <v>0</v>
      </c>
      <c r="O352" s="192">
        <f t="shared" ref="O352:S352" si="362">O383</f>
        <v>0</v>
      </c>
      <c r="P352" s="192">
        <f t="shared" si="362"/>
        <v>0</v>
      </c>
      <c r="Q352" s="192">
        <f t="shared" si="362"/>
        <v>0</v>
      </c>
      <c r="R352" s="192">
        <f t="shared" si="362"/>
        <v>0</v>
      </c>
      <c r="S352" s="192">
        <f t="shared" si="362"/>
        <v>0</v>
      </c>
      <c r="T352" s="194">
        <f t="shared" si="358"/>
        <v>0</v>
      </c>
      <c r="U352" s="194">
        <f t="shared" si="359"/>
        <v>0</v>
      </c>
      <c r="V352" s="192">
        <f t="shared" ref="V352" si="363">V383</f>
        <v>0</v>
      </c>
      <c r="W352" s="192">
        <f t="shared" ref="W352:W353" si="364">V352-U352</f>
        <v>0</v>
      </c>
    </row>
    <row r="353" spans="1:28" s="172" customFormat="1" ht="18" customHeight="1">
      <c r="A353" s="671"/>
      <c r="B353" s="665"/>
      <c r="C353" s="665"/>
      <c r="D353" s="174" t="str">
        <f>серпень!D276</f>
        <v>разом сума тис. грн+абонплата</v>
      </c>
      <c r="E353" s="192"/>
      <c r="F353" s="192">
        <f>F351+F352</f>
        <v>0.15</v>
      </c>
      <c r="G353" s="192">
        <f t="shared" ref="G353:K353" si="365">G351+G352</f>
        <v>0.60599999999999998</v>
      </c>
      <c r="H353" s="192">
        <f t="shared" si="365"/>
        <v>1.57</v>
      </c>
      <c r="I353" s="192">
        <f t="shared" si="365"/>
        <v>1.45</v>
      </c>
      <c r="J353" s="192">
        <f t="shared" si="365"/>
        <v>1.36</v>
      </c>
      <c r="K353" s="192">
        <f t="shared" si="365"/>
        <v>1.8260000000000001</v>
      </c>
      <c r="L353" s="194">
        <f t="shared" si="355"/>
        <v>6.9619999999999997</v>
      </c>
      <c r="M353" s="194">
        <f t="shared" si="356"/>
        <v>1.1599999999999999</v>
      </c>
      <c r="N353" s="192">
        <f>N351+N352</f>
        <v>1.121</v>
      </c>
      <c r="O353" s="192">
        <f t="shared" ref="O353:S353" si="366">O351+O352</f>
        <v>0.52300000000000002</v>
      </c>
      <c r="P353" s="192">
        <f t="shared" si="366"/>
        <v>3.294</v>
      </c>
      <c r="Q353" s="192">
        <f t="shared" si="366"/>
        <v>1.3340000000000001</v>
      </c>
      <c r="R353" s="192">
        <f t="shared" si="366"/>
        <v>2.6110000000000002</v>
      </c>
      <c r="S353" s="192">
        <f t="shared" si="366"/>
        <v>2.621</v>
      </c>
      <c r="T353" s="194">
        <f t="shared" si="358"/>
        <v>11.504</v>
      </c>
      <c r="U353" s="194">
        <f t="shared" si="359"/>
        <v>18.466000000000001</v>
      </c>
      <c r="V353" s="192">
        <f t="shared" ref="V353" si="367">V351+V352</f>
        <v>18.484000000000002</v>
      </c>
      <c r="W353" s="192">
        <f t="shared" si="364"/>
        <v>1.7999999999999999E-2</v>
      </c>
    </row>
    <row r="354" spans="1:28" s="172" customFormat="1" ht="18" customHeight="1">
      <c r="A354" s="671"/>
      <c r="B354" s="665"/>
      <c r="C354" s="665"/>
      <c r="D354" s="174" t="str">
        <f>серпень!D277</f>
        <v>дотація</v>
      </c>
      <c r="E354" s="192"/>
      <c r="F354" s="192">
        <f t="shared" ref="F354:K356" si="368">F369+F384+F399</f>
        <v>0</v>
      </c>
      <c r="G354" s="192">
        <f t="shared" si="368"/>
        <v>0</v>
      </c>
      <c r="H354" s="192">
        <f t="shared" si="368"/>
        <v>0</v>
      </c>
      <c r="I354" s="192">
        <f t="shared" si="368"/>
        <v>0</v>
      </c>
      <c r="J354" s="192">
        <f t="shared" si="368"/>
        <v>0</v>
      </c>
      <c r="K354" s="192">
        <f t="shared" si="368"/>
        <v>0</v>
      </c>
      <c r="L354" s="194">
        <f t="shared" si="355"/>
        <v>0</v>
      </c>
      <c r="M354" s="194">
        <f t="shared" si="356"/>
        <v>0</v>
      </c>
      <c r="N354" s="192">
        <f t="shared" ref="N354:S356" si="369">N369+N384+N399</f>
        <v>0</v>
      </c>
      <c r="O354" s="192">
        <f t="shared" si="369"/>
        <v>0</v>
      </c>
      <c r="P354" s="192">
        <f t="shared" si="369"/>
        <v>0</v>
      </c>
      <c r="Q354" s="192">
        <f t="shared" si="369"/>
        <v>0</v>
      </c>
      <c r="R354" s="192">
        <f t="shared" si="369"/>
        <v>0</v>
      </c>
      <c r="S354" s="192">
        <f t="shared" si="369"/>
        <v>0</v>
      </c>
      <c r="T354" s="194">
        <f t="shared" si="358"/>
        <v>0</v>
      </c>
      <c r="U354" s="194">
        <f t="shared" si="359"/>
        <v>0</v>
      </c>
      <c r="V354" s="192">
        <f t="shared" ref="V354:V355" si="370">V369+V384+V399</f>
        <v>0</v>
      </c>
      <c r="W354" s="192">
        <f>V354-U354</f>
        <v>0</v>
      </c>
    </row>
    <row r="355" spans="1:28" s="172" customFormat="1" ht="18" customHeight="1">
      <c r="A355" s="671"/>
      <c r="B355" s="665"/>
      <c r="C355" s="665"/>
      <c r="D355" s="174" t="str">
        <f>серпень!D278</f>
        <v>місцевий (план), тис.грн</v>
      </c>
      <c r="E355" s="192"/>
      <c r="F355" s="192">
        <f t="shared" si="368"/>
        <v>1.41</v>
      </c>
      <c r="G355" s="192">
        <f t="shared" si="368"/>
        <v>0.53800000000000003</v>
      </c>
      <c r="H355" s="192">
        <f t="shared" si="368"/>
        <v>2.9159999999999999</v>
      </c>
      <c r="I355" s="192">
        <f t="shared" si="368"/>
        <v>0.52</v>
      </c>
      <c r="J355" s="192">
        <f t="shared" si="368"/>
        <v>1.845</v>
      </c>
      <c r="K355" s="192">
        <f t="shared" si="368"/>
        <v>0.217</v>
      </c>
      <c r="L355" s="194">
        <f t="shared" si="355"/>
        <v>7.4459999999999997</v>
      </c>
      <c r="M355" s="194">
        <f t="shared" si="356"/>
        <v>1.2410000000000001</v>
      </c>
      <c r="N355" s="192">
        <f t="shared" si="369"/>
        <v>1.081</v>
      </c>
      <c r="O355" s="192">
        <f t="shared" si="369"/>
        <v>1.0389999999999999</v>
      </c>
      <c r="P355" s="192">
        <f t="shared" si="369"/>
        <v>2.9790000000000001</v>
      </c>
      <c r="Q355" s="192">
        <f t="shared" si="369"/>
        <v>1.2070000000000001</v>
      </c>
      <c r="R355" s="192">
        <f t="shared" si="369"/>
        <v>2.3610000000000002</v>
      </c>
      <c r="S355" s="192">
        <f t="shared" si="369"/>
        <v>2.371</v>
      </c>
      <c r="T355" s="194">
        <f t="shared" si="358"/>
        <v>11.038</v>
      </c>
      <c r="U355" s="194">
        <f t="shared" si="359"/>
        <v>18.484000000000002</v>
      </c>
      <c r="V355" s="192">
        <f t="shared" si="370"/>
        <v>18.484000000000002</v>
      </c>
      <c r="W355" s="192">
        <f>V355-U355</f>
        <v>0</v>
      </c>
    </row>
    <row r="356" spans="1:28" s="186" customFormat="1" ht="18" customHeight="1">
      <c r="A356" s="595"/>
      <c r="B356" s="665"/>
      <c r="C356" s="665"/>
      <c r="D356" s="178" t="str">
        <f>серпень!D279</f>
        <v>касові нат.п-ки 2025</v>
      </c>
      <c r="E356" s="179">
        <f>E371</f>
        <v>0</v>
      </c>
      <c r="F356" s="179">
        <f t="shared" si="368"/>
        <v>6</v>
      </c>
      <c r="G356" s="179">
        <f t="shared" si="368"/>
        <v>23.2</v>
      </c>
      <c r="H356" s="179">
        <f t="shared" si="368"/>
        <v>60</v>
      </c>
      <c r="I356" s="179">
        <f t="shared" si="368"/>
        <v>55.4</v>
      </c>
      <c r="J356" s="179">
        <f t="shared" si="368"/>
        <v>52</v>
      </c>
      <c r="K356" s="179">
        <f t="shared" si="368"/>
        <v>69.8</v>
      </c>
      <c r="L356" s="215">
        <f t="shared" si="355"/>
        <v>266.39999999999998</v>
      </c>
      <c r="M356" s="215">
        <f t="shared" si="356"/>
        <v>44.4</v>
      </c>
      <c r="N356" s="179">
        <f t="shared" si="369"/>
        <v>42.9</v>
      </c>
      <c r="O356" s="179">
        <f t="shared" si="369"/>
        <v>20</v>
      </c>
      <c r="P356" s="179">
        <f t="shared" si="369"/>
        <v>125.9</v>
      </c>
      <c r="Q356" s="179">
        <f t="shared" si="369"/>
        <v>51</v>
      </c>
      <c r="R356" s="179">
        <f t="shared" si="369"/>
        <v>99.8</v>
      </c>
      <c r="S356" s="179">
        <f t="shared" si="369"/>
        <v>100.2</v>
      </c>
      <c r="T356" s="215">
        <f t="shared" si="358"/>
        <v>439.8</v>
      </c>
      <c r="U356" s="215">
        <f t="shared" si="359"/>
        <v>706.2</v>
      </c>
      <c r="V356" s="179">
        <f>V371+V401</f>
        <v>781.3</v>
      </c>
      <c r="W356" s="184">
        <f>V356-U356</f>
        <v>75.099999999999994</v>
      </c>
      <c r="X356" s="185">
        <f>U349-U356</f>
        <v>0</v>
      </c>
    </row>
    <row r="357" spans="1:28" s="190" customFormat="1" ht="18" customHeight="1">
      <c r="A357" s="595"/>
      <c r="B357" s="665"/>
      <c r="C357" s="665"/>
      <c r="D357" s="187" t="str">
        <f>серпень!D280</f>
        <v>тариф, грн.</v>
      </c>
      <c r="E357" s="188" t="e">
        <f t="shared" ref="E357:S357" si="371">E358/E356*1000</f>
        <v>#DIV/0!</v>
      </c>
      <c r="F357" s="188">
        <f t="shared" si="371"/>
        <v>25</v>
      </c>
      <c r="G357" s="188">
        <f t="shared" si="371"/>
        <v>26.120999999999999</v>
      </c>
      <c r="H357" s="188">
        <f t="shared" si="371"/>
        <v>26.167000000000002</v>
      </c>
      <c r="I357" s="188">
        <f t="shared" si="371"/>
        <v>26.172999999999998</v>
      </c>
      <c r="J357" s="188">
        <f t="shared" si="371"/>
        <v>26.154</v>
      </c>
      <c r="K357" s="188">
        <f t="shared" si="371"/>
        <v>26.16</v>
      </c>
      <c r="L357" s="188">
        <f t="shared" si="371"/>
        <v>26.134</v>
      </c>
      <c r="M357" s="188">
        <f t="shared" si="371"/>
        <v>26.126000000000001</v>
      </c>
      <c r="N357" s="188">
        <f t="shared" si="371"/>
        <v>26.131</v>
      </c>
      <c r="O357" s="188">
        <f t="shared" si="371"/>
        <v>26.15</v>
      </c>
      <c r="P357" s="188">
        <f t="shared" si="371"/>
        <v>26.164000000000001</v>
      </c>
      <c r="Q357" s="188">
        <f t="shared" si="371"/>
        <v>26.157</v>
      </c>
      <c r="R357" s="188">
        <f t="shared" si="371"/>
        <v>26.161999999999999</v>
      </c>
      <c r="S357" s="188">
        <f t="shared" si="371"/>
        <v>26.158000000000001</v>
      </c>
      <c r="T357" s="188">
        <f>T358/T356*1000</f>
        <v>26.157</v>
      </c>
      <c r="U357" s="188">
        <f>U358/U356*1000</f>
        <v>26.148</v>
      </c>
      <c r="V357" s="188">
        <f>V358/V356*1000</f>
        <v>23.658000000000001</v>
      </c>
      <c r="W357" s="189">
        <f>W358/W356*1000</f>
        <v>0.24</v>
      </c>
      <c r="X357" s="225"/>
    </row>
    <row r="358" spans="1:28" s="213" customFormat="1" ht="18" customHeight="1">
      <c r="A358" s="595"/>
      <c r="B358" s="665"/>
      <c r="C358" s="665"/>
      <c r="D358" s="198" t="str">
        <f>серпень!D281</f>
        <v>касові видатки, тис.грн.</v>
      </c>
      <c r="E358" s="220">
        <f>E373+E403</f>
        <v>0</v>
      </c>
      <c r="F358" s="199">
        <f t="shared" ref="F358:K360" si="372">F373+F388+F403</f>
        <v>0.15</v>
      </c>
      <c r="G358" s="199">
        <f t="shared" si="372"/>
        <v>0.60599999999999998</v>
      </c>
      <c r="H358" s="199">
        <f t="shared" si="372"/>
        <v>1.57</v>
      </c>
      <c r="I358" s="199">
        <f t="shared" si="372"/>
        <v>1.45</v>
      </c>
      <c r="J358" s="199">
        <f t="shared" si="372"/>
        <v>1.36</v>
      </c>
      <c r="K358" s="199">
        <f t="shared" si="372"/>
        <v>1.8260000000000001</v>
      </c>
      <c r="L358" s="199">
        <f>SUM(F358:K358)</f>
        <v>6.9619999999999997</v>
      </c>
      <c r="M358" s="199">
        <f>L358/6</f>
        <v>1.1599999999999999</v>
      </c>
      <c r="N358" s="199">
        <f t="shared" ref="N358:S360" si="373">N373+N388+N403</f>
        <v>1.121</v>
      </c>
      <c r="O358" s="199">
        <f t="shared" si="373"/>
        <v>0.52300000000000002</v>
      </c>
      <c r="P358" s="199">
        <f t="shared" si="373"/>
        <v>3.294</v>
      </c>
      <c r="Q358" s="199">
        <f t="shared" si="373"/>
        <v>1.3340000000000001</v>
      </c>
      <c r="R358" s="199">
        <f t="shared" si="373"/>
        <v>2.6110000000000002</v>
      </c>
      <c r="S358" s="199">
        <f t="shared" si="373"/>
        <v>2.621</v>
      </c>
      <c r="T358" s="199">
        <f>SUM(N358:S358)</f>
        <v>11.504</v>
      </c>
      <c r="U358" s="199">
        <f>T358+L358</f>
        <v>18.466000000000001</v>
      </c>
      <c r="V358" s="199">
        <f>V373+V403</f>
        <v>18.484000000000002</v>
      </c>
      <c r="W358" s="221">
        <f>V358-U358</f>
        <v>1.7999999999999999E-2</v>
      </c>
      <c r="X358" s="176">
        <f>U351-U358</f>
        <v>0</v>
      </c>
    </row>
    <row r="359" spans="1:28" s="213" customFormat="1" ht="18" customHeight="1">
      <c r="A359" s="595"/>
      <c r="B359" s="665"/>
      <c r="C359" s="665"/>
      <c r="D359" s="201" t="str">
        <f>серпень!D282</f>
        <v>дотація</v>
      </c>
      <c r="E359" s="220"/>
      <c r="F359" s="199">
        <f t="shared" si="372"/>
        <v>0</v>
      </c>
      <c r="G359" s="199">
        <f t="shared" si="372"/>
        <v>0</v>
      </c>
      <c r="H359" s="199">
        <f t="shared" si="372"/>
        <v>0</v>
      </c>
      <c r="I359" s="199">
        <f t="shared" si="372"/>
        <v>0</v>
      </c>
      <c r="J359" s="199">
        <f t="shared" si="372"/>
        <v>0</v>
      </c>
      <c r="K359" s="199">
        <f t="shared" si="372"/>
        <v>0</v>
      </c>
      <c r="L359" s="199">
        <f>SUM(F359:K359)</f>
        <v>0</v>
      </c>
      <c r="M359" s="199">
        <f>L359/6</f>
        <v>0</v>
      </c>
      <c r="N359" s="199">
        <f t="shared" si="373"/>
        <v>0</v>
      </c>
      <c r="O359" s="199">
        <f t="shared" si="373"/>
        <v>0</v>
      </c>
      <c r="P359" s="199">
        <f t="shared" si="373"/>
        <v>0</v>
      </c>
      <c r="Q359" s="199">
        <f t="shared" si="373"/>
        <v>0</v>
      </c>
      <c r="R359" s="199">
        <f t="shared" si="373"/>
        <v>0</v>
      </c>
      <c r="S359" s="199">
        <f t="shared" si="373"/>
        <v>0</v>
      </c>
      <c r="T359" s="199">
        <f>SUM(N359:S359)</f>
        <v>0</v>
      </c>
      <c r="U359" s="199">
        <f>T359+L359</f>
        <v>0</v>
      </c>
      <c r="V359" s="199">
        <f>V374+V404</f>
        <v>0</v>
      </c>
      <c r="W359" s="221">
        <f>V359-U359</f>
        <v>0</v>
      </c>
      <c r="X359" s="176">
        <f>U354-U359</f>
        <v>0</v>
      </c>
    </row>
    <row r="360" spans="1:28" s="213" customFormat="1" ht="18" customHeight="1">
      <c r="A360" s="595"/>
      <c r="B360" s="665"/>
      <c r="C360" s="665"/>
      <c r="D360" s="201" t="str">
        <f>серпень!D283</f>
        <v xml:space="preserve">місцевий </v>
      </c>
      <c r="E360" s="220"/>
      <c r="F360" s="199">
        <f t="shared" si="372"/>
        <v>0.15</v>
      </c>
      <c r="G360" s="199">
        <f t="shared" si="372"/>
        <v>0.60599999999999998</v>
      </c>
      <c r="H360" s="199">
        <f t="shared" si="372"/>
        <v>1.57</v>
      </c>
      <c r="I360" s="199">
        <f t="shared" si="372"/>
        <v>1.45</v>
      </c>
      <c r="J360" s="199">
        <f t="shared" si="372"/>
        <v>1.36</v>
      </c>
      <c r="K360" s="199">
        <f t="shared" si="372"/>
        <v>1.8260000000000001</v>
      </c>
      <c r="L360" s="199">
        <f>SUM(F360:K360)</f>
        <v>6.9619999999999997</v>
      </c>
      <c r="M360" s="199">
        <f>L360/6</f>
        <v>1.1599999999999999</v>
      </c>
      <c r="N360" s="199">
        <f t="shared" si="373"/>
        <v>1.121</v>
      </c>
      <c r="O360" s="199">
        <f t="shared" si="373"/>
        <v>0.52300000000000002</v>
      </c>
      <c r="P360" s="199">
        <f t="shared" si="373"/>
        <v>3.294</v>
      </c>
      <c r="Q360" s="199">
        <f t="shared" si="373"/>
        <v>1.3340000000000001</v>
      </c>
      <c r="R360" s="199">
        <f t="shared" si="373"/>
        <v>2.6110000000000002</v>
      </c>
      <c r="S360" s="199">
        <f t="shared" si="373"/>
        <v>2.621</v>
      </c>
      <c r="T360" s="199">
        <f>SUM(N360:S360)</f>
        <v>11.504</v>
      </c>
      <c r="U360" s="199">
        <f>T360+L360</f>
        <v>18.466000000000001</v>
      </c>
      <c r="V360" s="199">
        <f>V375+V405</f>
        <v>18.484000000000002</v>
      </c>
      <c r="W360" s="221">
        <f>V360-U360</f>
        <v>1.7999999999999999E-2</v>
      </c>
      <c r="X360" s="176">
        <f>U355-U360</f>
        <v>1.7999999999999999E-2</v>
      </c>
    </row>
    <row r="361" spans="1:28" s="205" customFormat="1" ht="18" customHeight="1">
      <c r="A361" s="595"/>
      <c r="B361" s="665"/>
      <c r="C361" s="665"/>
      <c r="D361" s="202" t="str">
        <f>серпень!D284</f>
        <v>план</v>
      </c>
      <c r="E361" s="203"/>
      <c r="F361" s="203">
        <f t="shared" ref="F361:K361" si="374">F355</f>
        <v>1.41</v>
      </c>
      <c r="G361" s="203">
        <f t="shared" si="374"/>
        <v>0.53800000000000003</v>
      </c>
      <c r="H361" s="203">
        <f t="shared" si="374"/>
        <v>2.9159999999999999</v>
      </c>
      <c r="I361" s="203">
        <f t="shared" si="374"/>
        <v>0.52</v>
      </c>
      <c r="J361" s="203">
        <f t="shared" si="374"/>
        <v>1.845</v>
      </c>
      <c r="K361" s="203">
        <f t="shared" si="374"/>
        <v>0.217</v>
      </c>
      <c r="L361" s="203">
        <f>SUM(F361:K361)</f>
        <v>7.4459999999999997</v>
      </c>
      <c r="M361" s="203">
        <f>L361/6</f>
        <v>1.2410000000000001</v>
      </c>
      <c r="N361" s="203">
        <f t="shared" ref="N361:S361" si="375">N376+N406</f>
        <v>1.081</v>
      </c>
      <c r="O361" s="203">
        <f t="shared" si="375"/>
        <v>1.0389999999999999</v>
      </c>
      <c r="P361" s="203">
        <f t="shared" si="375"/>
        <v>2.9790000000000001</v>
      </c>
      <c r="Q361" s="203">
        <f t="shared" si="375"/>
        <v>1.2070000000000001</v>
      </c>
      <c r="R361" s="203">
        <f t="shared" si="375"/>
        <v>2.3610000000000002</v>
      </c>
      <c r="S361" s="203">
        <f t="shared" si="375"/>
        <v>2.371</v>
      </c>
      <c r="T361" s="203">
        <f>SUM(N361:S361)</f>
        <v>11.038</v>
      </c>
      <c r="U361" s="203">
        <f>T361+L361</f>
        <v>18.484000000000002</v>
      </c>
      <c r="V361" s="203">
        <f>V355+V354</f>
        <v>18.484000000000002</v>
      </c>
      <c r="W361" s="203">
        <f>V361-U361</f>
        <v>0</v>
      </c>
    </row>
    <row r="362" spans="1:28" s="205" customFormat="1" ht="18" customHeight="1">
      <c r="A362" s="595"/>
      <c r="B362" s="665"/>
      <c r="C362" s="665"/>
      <c r="D362" s="202" t="str">
        <f>серпень!D285</f>
        <v xml:space="preserve">відхилення </v>
      </c>
      <c r="E362" s="203"/>
      <c r="F362" s="203">
        <f t="shared" ref="F362:K362" si="376">F358-F361</f>
        <v>-1.26</v>
      </c>
      <c r="G362" s="203">
        <f t="shared" si="376"/>
        <v>6.8000000000000005E-2</v>
      </c>
      <c r="H362" s="203">
        <f t="shared" si="376"/>
        <v>-1.3460000000000001</v>
      </c>
      <c r="I362" s="203">
        <f t="shared" si="376"/>
        <v>0.93</v>
      </c>
      <c r="J362" s="203">
        <f t="shared" si="376"/>
        <v>-0.48499999999999999</v>
      </c>
      <c r="K362" s="203">
        <f t="shared" si="376"/>
        <v>1.609</v>
      </c>
      <c r="L362" s="203"/>
      <c r="M362" s="203"/>
      <c r="N362" s="203">
        <f t="shared" ref="N362:S362" si="377">N358-N361</f>
        <v>0.04</v>
      </c>
      <c r="O362" s="203">
        <f t="shared" si="377"/>
        <v>-0.51600000000000001</v>
      </c>
      <c r="P362" s="203">
        <f t="shared" si="377"/>
        <v>0.315</v>
      </c>
      <c r="Q362" s="203">
        <f t="shared" si="377"/>
        <v>0.127</v>
      </c>
      <c r="R362" s="203">
        <f t="shared" si="377"/>
        <v>0.25</v>
      </c>
      <c r="S362" s="203">
        <f t="shared" si="377"/>
        <v>0.25</v>
      </c>
      <c r="T362" s="203"/>
      <c r="U362" s="203"/>
      <c r="V362" s="203"/>
      <c r="W362" s="203"/>
    </row>
    <row r="363" spans="1:28" s="205" customFormat="1" ht="23.5" customHeight="1">
      <c r="A363" s="595"/>
      <c r="B363" s="665"/>
      <c r="C363" s="665"/>
      <c r="D363" s="202" t="str">
        <f>серпень!D286</f>
        <v>відхилення з наростаючим</v>
      </c>
      <c r="E363" s="203"/>
      <c r="F363" s="203">
        <f>F362</f>
        <v>-1.26</v>
      </c>
      <c r="G363" s="203">
        <f>G362+F363</f>
        <v>-1.1919999999999999</v>
      </c>
      <c r="H363" s="203">
        <f>H362+G363</f>
        <v>-2.5379999999999998</v>
      </c>
      <c r="I363" s="203">
        <f>I362+H363</f>
        <v>-1.6080000000000001</v>
      </c>
      <c r="J363" s="203">
        <f>J362+I363</f>
        <v>-2.093</v>
      </c>
      <c r="K363" s="203">
        <f>K362+J363</f>
        <v>-0.48399999999999999</v>
      </c>
      <c r="L363" s="203"/>
      <c r="M363" s="203"/>
      <c r="N363" s="203">
        <f>N362+K363</f>
        <v>-0.44400000000000001</v>
      </c>
      <c r="O363" s="203">
        <f>O362+N363</f>
        <v>-0.96</v>
      </c>
      <c r="P363" s="203">
        <f>P362+O363</f>
        <v>-0.64500000000000002</v>
      </c>
      <c r="Q363" s="203">
        <f>Q362+P363</f>
        <v>-0.51800000000000002</v>
      </c>
      <c r="R363" s="203">
        <f>R362+Q363</f>
        <v>-0.26800000000000002</v>
      </c>
      <c r="S363" s="203">
        <f>S362+R363</f>
        <v>-1.7999999999999999E-2</v>
      </c>
      <c r="T363" s="203"/>
      <c r="U363" s="203"/>
      <c r="V363" s="203"/>
      <c r="W363" s="203"/>
    </row>
    <row r="364" spans="1:28" s="10" customFormat="1" ht="18" customHeight="1">
      <c r="A364" s="595"/>
      <c r="B364" s="580" t="s">
        <v>37</v>
      </c>
      <c r="C364" s="575"/>
      <c r="D364" s="178" t="str">
        <f>серпень!D287</f>
        <v>факт. нат.п-ки 2023</v>
      </c>
      <c r="E364" s="11"/>
      <c r="F364" s="82">
        <v>16</v>
      </c>
      <c r="G364" s="82">
        <v>76</v>
      </c>
      <c r="H364" s="82">
        <v>70</v>
      </c>
      <c r="I364" s="82">
        <v>82.7</v>
      </c>
      <c r="J364" s="82">
        <v>84</v>
      </c>
      <c r="K364" s="82">
        <v>15.6</v>
      </c>
      <c r="L364" s="125">
        <f>SUM(F364:K364)</f>
        <v>344.3</v>
      </c>
      <c r="M364" s="125">
        <f>L364/6</f>
        <v>57.383000000000003</v>
      </c>
      <c r="N364" s="82">
        <v>56</v>
      </c>
      <c r="O364" s="82">
        <v>56</v>
      </c>
      <c r="P364" s="82">
        <v>19.2</v>
      </c>
      <c r="Q364" s="82">
        <v>50.8</v>
      </c>
      <c r="R364" s="82">
        <v>99.8</v>
      </c>
      <c r="S364" s="82">
        <v>100.2</v>
      </c>
      <c r="T364" s="125">
        <f>SUM(N364:S364)</f>
        <v>382</v>
      </c>
      <c r="U364" s="125">
        <f>T364+L364</f>
        <v>726.3</v>
      </c>
      <c r="V364" s="505">
        <v>726.3</v>
      </c>
      <c r="W364" s="505"/>
      <c r="X364" s="36"/>
    </row>
    <row r="365" spans="1:28" s="48" customFormat="1" ht="18" customHeight="1">
      <c r="A365" s="595"/>
      <c r="B365" s="576"/>
      <c r="C365" s="577"/>
      <c r="D365" s="178" t="str">
        <f>серпень!D288</f>
        <v>факт. нат.п-ки 2024</v>
      </c>
      <c r="E365" s="11"/>
      <c r="F365" s="82">
        <v>8</v>
      </c>
      <c r="G365" s="82">
        <v>0</v>
      </c>
      <c r="H365" s="82">
        <v>21</v>
      </c>
      <c r="I365" s="82">
        <v>22</v>
      </c>
      <c r="J365" s="82">
        <v>26</v>
      </c>
      <c r="K365" s="82">
        <v>43</v>
      </c>
      <c r="L365" s="125">
        <f>SUM(F365:K365)</f>
        <v>120</v>
      </c>
      <c r="M365" s="125">
        <f>L365/6</f>
        <v>20</v>
      </c>
      <c r="N365" s="509">
        <v>28.8</v>
      </c>
      <c r="O365" s="509">
        <v>27</v>
      </c>
      <c r="P365" s="509">
        <v>125.9</v>
      </c>
      <c r="Q365" s="509">
        <v>51</v>
      </c>
      <c r="R365" s="509">
        <v>99.8</v>
      </c>
      <c r="S365" s="509">
        <v>100.2</v>
      </c>
      <c r="T365" s="125">
        <f>SUM(N365:S365)</f>
        <v>432.7</v>
      </c>
      <c r="U365" s="125">
        <f>T365+L365</f>
        <v>552.70000000000005</v>
      </c>
      <c r="V365" s="505">
        <v>552.70000000000005</v>
      </c>
      <c r="W365" s="505"/>
      <c r="X365" s="47"/>
    </row>
    <row r="366" spans="1:28" s="10" customFormat="1" ht="18" customHeight="1">
      <c r="A366" s="595"/>
      <c r="B366" s="576"/>
      <c r="C366" s="577"/>
      <c r="D366" s="178" t="str">
        <f>серпень!D289</f>
        <v>факт. нат.п-ки 2025</v>
      </c>
      <c r="E366" s="11"/>
      <c r="F366" s="82">
        <v>6</v>
      </c>
      <c r="G366" s="82">
        <v>23.164999999999999</v>
      </c>
      <c r="H366" s="82">
        <v>60</v>
      </c>
      <c r="I366" s="82">
        <v>55.432000000000002</v>
      </c>
      <c r="J366" s="82">
        <v>51.975999999999999</v>
      </c>
      <c r="K366" s="82">
        <v>69.790000000000006</v>
      </c>
      <c r="L366" s="125">
        <f>SUM(F366:K366)</f>
        <v>266.363</v>
      </c>
      <c r="M366" s="125">
        <f>L366/6</f>
        <v>44.393999999999998</v>
      </c>
      <c r="N366" s="348">
        <v>42.856000000000002</v>
      </c>
      <c r="O366" s="348">
        <v>20</v>
      </c>
      <c r="P366" s="348">
        <v>125.9</v>
      </c>
      <c r="Q366" s="348">
        <v>51</v>
      </c>
      <c r="R366" s="348">
        <v>99.8</v>
      </c>
      <c r="S366" s="348">
        <v>100.2</v>
      </c>
      <c r="T366" s="125">
        <f>SUM(N366:S366)</f>
        <v>439.75599999999997</v>
      </c>
      <c r="U366" s="125">
        <f>T366+L366</f>
        <v>706.11900000000003</v>
      </c>
      <c r="V366" s="349">
        <v>781.3</v>
      </c>
      <c r="W366" s="505">
        <f>V366-U366</f>
        <v>75.180999999999997</v>
      </c>
      <c r="X366" s="36"/>
      <c r="Y366" s="3"/>
      <c r="Z366" s="3"/>
      <c r="AA366" s="3"/>
      <c r="AB366" s="3"/>
    </row>
    <row r="367" spans="1:28" s="114" customFormat="1" ht="18" customHeight="1">
      <c r="A367" s="595"/>
      <c r="B367" s="576"/>
      <c r="C367" s="577"/>
      <c r="D367" s="187" t="str">
        <f>серпень!D290</f>
        <v>тариф, грн.</v>
      </c>
      <c r="E367" s="49" t="e">
        <f t="shared" ref="E367:K367" si="378">E368/E366*1000</f>
        <v>#DIV/0!</v>
      </c>
      <c r="F367" s="49">
        <f t="shared" si="378"/>
        <v>25</v>
      </c>
      <c r="G367" s="49">
        <f t="shared" si="378"/>
        <v>26.16</v>
      </c>
      <c r="H367" s="49">
        <f t="shared" si="378"/>
        <v>26.167000000000002</v>
      </c>
      <c r="I367" s="49">
        <f t="shared" si="378"/>
        <v>26.158000000000001</v>
      </c>
      <c r="J367" s="49">
        <f t="shared" si="378"/>
        <v>26.166</v>
      </c>
      <c r="K367" s="49">
        <f t="shared" si="378"/>
        <v>26.164000000000001</v>
      </c>
      <c r="L367" s="68">
        <f>L368/L366*1000</f>
        <v>26.137</v>
      </c>
      <c r="M367" s="68">
        <f>M368/M366*1000</f>
        <v>26.13</v>
      </c>
      <c r="N367" s="68">
        <f t="shared" ref="N367:O367" si="379">N368/N366*1000</f>
        <v>26.157</v>
      </c>
      <c r="O367" s="68">
        <f t="shared" si="379"/>
        <v>26.15</v>
      </c>
      <c r="P367" s="68">
        <v>26.16</v>
      </c>
      <c r="Q367" s="68">
        <v>26.16</v>
      </c>
      <c r="R367" s="68">
        <v>26.16</v>
      </c>
      <c r="S367" s="68">
        <v>26.16</v>
      </c>
      <c r="T367" s="68">
        <f>T368/T366*1000</f>
        <v>26.16</v>
      </c>
      <c r="U367" s="68">
        <f>U368/U366*1000</f>
        <v>26.151</v>
      </c>
      <c r="V367" s="68">
        <f>V368/V366*1000</f>
        <v>23.658000000000001</v>
      </c>
      <c r="W367" s="14">
        <f>W368/W366*1000</f>
        <v>0.23899999999999999</v>
      </c>
      <c r="X367" s="36"/>
      <c r="Y367" s="3"/>
      <c r="Z367" s="3"/>
      <c r="AA367" s="3"/>
      <c r="AB367" s="3"/>
    </row>
    <row r="368" spans="1:28" s="114" customFormat="1" ht="18" customHeight="1">
      <c r="A368" s="595"/>
      <c r="B368" s="576"/>
      <c r="C368" s="577"/>
      <c r="D368" s="191" t="str">
        <f>серпень!D291</f>
        <v>сума, тис.грн.</v>
      </c>
      <c r="E368" s="52"/>
      <c r="F368" s="52">
        <v>0.15</v>
      </c>
      <c r="G368" s="52">
        <v>0.60599999999999998</v>
      </c>
      <c r="H368" s="52">
        <v>1.57</v>
      </c>
      <c r="I368" s="52">
        <v>1.45</v>
      </c>
      <c r="J368" s="52">
        <v>1.36</v>
      </c>
      <c r="K368" s="52">
        <v>1.8260000000000001</v>
      </c>
      <c r="L368" s="69">
        <f>SUM(F368:K368)</f>
        <v>6.9619999999999997</v>
      </c>
      <c r="M368" s="69">
        <f>L368/6</f>
        <v>1.1599999999999999</v>
      </c>
      <c r="N368" s="52">
        <v>1.121</v>
      </c>
      <c r="O368" s="52">
        <v>0.52300000000000002</v>
      </c>
      <c r="P368" s="52">
        <f t="shared" ref="P368" si="380">P366*P367/1000</f>
        <v>3.294</v>
      </c>
      <c r="Q368" s="52">
        <f t="shared" ref="Q368" si="381">Q366*Q367/1000</f>
        <v>1.3340000000000001</v>
      </c>
      <c r="R368" s="52">
        <f t="shared" ref="R368" si="382">R366*R367/1000</f>
        <v>2.6110000000000002</v>
      </c>
      <c r="S368" s="52">
        <f t="shared" ref="S368" si="383">S366*S367/1000</f>
        <v>2.621</v>
      </c>
      <c r="T368" s="69">
        <f>SUM(N368:S368)</f>
        <v>11.504</v>
      </c>
      <c r="U368" s="69">
        <f>T368+L368</f>
        <v>18.466000000000001</v>
      </c>
      <c r="V368" s="70">
        <f>V370+V369</f>
        <v>18.484000000000002</v>
      </c>
      <c r="W368" s="53">
        <f>V368-U368</f>
        <v>1.7999999999999999E-2</v>
      </c>
      <c r="X368" s="113"/>
    </row>
    <row r="369" spans="1:28" s="114" customFormat="1" ht="18" customHeight="1">
      <c r="A369" s="595"/>
      <c r="B369" s="576"/>
      <c r="C369" s="577"/>
      <c r="D369" s="174" t="str">
        <f>серпень!D292</f>
        <v>дотація</v>
      </c>
      <c r="E369" s="56"/>
      <c r="F369" s="52"/>
      <c r="G369" s="52"/>
      <c r="H369" s="52"/>
      <c r="I369" s="52"/>
      <c r="J369" s="52"/>
      <c r="K369" s="52"/>
      <c r="L369" s="69">
        <f>SUM(F369:K369)</f>
        <v>0</v>
      </c>
      <c r="M369" s="69">
        <f>L369/6</f>
        <v>0</v>
      </c>
      <c r="N369" s="52"/>
      <c r="O369" s="52"/>
      <c r="P369" s="52"/>
      <c r="Q369" s="52"/>
      <c r="R369" s="52"/>
      <c r="S369" s="52"/>
      <c r="T369" s="69">
        <f>SUM(N369:S369)</f>
        <v>0</v>
      </c>
      <c r="U369" s="69">
        <f>T369+L369</f>
        <v>0</v>
      </c>
      <c r="V369" s="70">
        <v>0</v>
      </c>
      <c r="W369" s="53">
        <f>V369-U369</f>
        <v>0</v>
      </c>
      <c r="X369" s="113"/>
    </row>
    <row r="370" spans="1:28" s="114" customFormat="1" ht="18" customHeight="1">
      <c r="A370" s="595"/>
      <c r="B370" s="576"/>
      <c r="C370" s="577"/>
      <c r="D370" s="174" t="str">
        <f>серпень!D293</f>
        <v>місцевий (план), тис.грн</v>
      </c>
      <c r="E370" s="56"/>
      <c r="F370" s="52">
        <v>1.41</v>
      </c>
      <c r="G370" s="52">
        <f>1.798-1.26</f>
        <v>0.53800000000000003</v>
      </c>
      <c r="H370" s="52">
        <f>1.656+1.26</f>
        <v>2.9159999999999999</v>
      </c>
      <c r="I370" s="52">
        <v>0.52</v>
      </c>
      <c r="J370" s="52">
        <v>1.845</v>
      </c>
      <c r="K370" s="52">
        <v>0.217</v>
      </c>
      <c r="L370" s="69">
        <f>SUM(F370:K370)</f>
        <v>7.4459999999999997</v>
      </c>
      <c r="M370" s="69">
        <f>L370/6</f>
        <v>1.2410000000000001</v>
      </c>
      <c r="N370" s="52">
        <v>1.081</v>
      </c>
      <c r="O370" s="52">
        <v>1.0389999999999999</v>
      </c>
      <c r="P370" s="52">
        <v>2.9790000000000001</v>
      </c>
      <c r="Q370" s="52">
        <v>1.2070000000000001</v>
      </c>
      <c r="R370" s="52">
        <v>2.3610000000000002</v>
      </c>
      <c r="S370" s="52">
        <v>2.371</v>
      </c>
      <c r="T370" s="69">
        <f>SUM(N370:S370)</f>
        <v>11.038</v>
      </c>
      <c r="U370" s="69">
        <f>T370+L370</f>
        <v>18.484000000000002</v>
      </c>
      <c r="V370" s="70">
        <v>18.484000000000002</v>
      </c>
      <c r="W370" s="53">
        <f>V370-U370</f>
        <v>0</v>
      </c>
      <c r="X370" s="113"/>
    </row>
    <row r="371" spans="1:28" s="3" customFormat="1" ht="18" customHeight="1">
      <c r="A371" s="595"/>
      <c r="B371" s="576"/>
      <c r="C371" s="577"/>
      <c r="D371" s="178" t="str">
        <f>серпень!D294</f>
        <v>касові нат.п-ки 2025</v>
      </c>
      <c r="E371" s="11"/>
      <c r="F371" s="82">
        <v>6</v>
      </c>
      <c r="G371" s="82">
        <v>23.164999999999999</v>
      </c>
      <c r="H371" s="82">
        <v>60</v>
      </c>
      <c r="I371" s="82">
        <v>55.432000000000002</v>
      </c>
      <c r="J371" s="82">
        <v>51.975999999999999</v>
      </c>
      <c r="K371" s="82">
        <v>69.790000000000006</v>
      </c>
      <c r="L371" s="125">
        <f>SUM(F371:K371)</f>
        <v>266.363</v>
      </c>
      <c r="M371" s="125">
        <f>L371/6</f>
        <v>44.393999999999998</v>
      </c>
      <c r="N371" s="509">
        <v>42.856000000000002</v>
      </c>
      <c r="O371" s="348">
        <v>20</v>
      </c>
      <c r="P371" s="348">
        <v>125.9</v>
      </c>
      <c r="Q371" s="348">
        <v>51</v>
      </c>
      <c r="R371" s="348">
        <v>99.8</v>
      </c>
      <c r="S371" s="348">
        <v>100.2</v>
      </c>
      <c r="T371" s="125">
        <f>SUM(N371:S371)</f>
        <v>439.75599999999997</v>
      </c>
      <c r="U371" s="125">
        <f>T371+L371</f>
        <v>706.11900000000003</v>
      </c>
      <c r="V371" s="349">
        <f>V366</f>
        <v>781.3</v>
      </c>
      <c r="W371" s="505">
        <f>V371-U371</f>
        <v>75.180999999999997</v>
      </c>
      <c r="X371" s="47">
        <f>U366-U371</f>
        <v>0</v>
      </c>
    </row>
    <row r="372" spans="1:28" s="73" customFormat="1" ht="18" customHeight="1">
      <c r="A372" s="595"/>
      <c r="B372" s="576"/>
      <c r="C372" s="577"/>
      <c r="D372" s="187" t="str">
        <f>серпень!D295</f>
        <v>тариф, грн.</v>
      </c>
      <c r="E372" s="49" t="e">
        <f>E373/E371*1000</f>
        <v>#DIV/0!</v>
      </c>
      <c r="F372" s="49">
        <f t="shared" ref="F372:K372" si="384">F373/F371*1000</f>
        <v>25</v>
      </c>
      <c r="G372" s="49">
        <f t="shared" si="384"/>
        <v>26.16</v>
      </c>
      <c r="H372" s="49">
        <f t="shared" si="384"/>
        <v>26.167000000000002</v>
      </c>
      <c r="I372" s="49">
        <f t="shared" si="384"/>
        <v>26.158000000000001</v>
      </c>
      <c r="J372" s="49">
        <f t="shared" si="384"/>
        <v>26.166</v>
      </c>
      <c r="K372" s="49">
        <f t="shared" si="384"/>
        <v>26.164000000000001</v>
      </c>
      <c r="L372" s="68">
        <f t="shared" ref="L372:P372" si="385">L373/L371*1000</f>
        <v>26.137</v>
      </c>
      <c r="M372" s="68">
        <f t="shared" si="385"/>
        <v>26.13</v>
      </c>
      <c r="N372" s="68">
        <f t="shared" si="385"/>
        <v>26.157</v>
      </c>
      <c r="O372" s="68">
        <f t="shared" si="385"/>
        <v>26.15</v>
      </c>
      <c r="P372" s="68">
        <f t="shared" si="385"/>
        <v>26.164000000000001</v>
      </c>
      <c r="Q372" s="68">
        <v>26.16</v>
      </c>
      <c r="R372" s="68">
        <v>26.16</v>
      </c>
      <c r="S372" s="68">
        <v>26.16</v>
      </c>
      <c r="T372" s="68">
        <f>T373/T371*1000</f>
        <v>26.16</v>
      </c>
      <c r="U372" s="68">
        <f>U373/U371*1000</f>
        <v>26.151</v>
      </c>
      <c r="V372" s="68">
        <f>V373/V371*1000</f>
        <v>23.658000000000001</v>
      </c>
      <c r="W372" s="14">
        <f>W373/W371*1000</f>
        <v>0.23899999999999999</v>
      </c>
      <c r="X372" s="59"/>
      <c r="Y372" s="36"/>
      <c r="Z372" s="36"/>
      <c r="AA372" s="36"/>
      <c r="AB372" s="36"/>
    </row>
    <row r="373" spans="1:28" s="126" customFormat="1" ht="18" customHeight="1">
      <c r="A373" s="595"/>
      <c r="B373" s="576"/>
      <c r="C373" s="577"/>
      <c r="D373" s="198" t="str">
        <f>серпень!D296</f>
        <v>касові видатки, тис.грн.</v>
      </c>
      <c r="E373" s="71"/>
      <c r="F373" s="61">
        <v>0.15</v>
      </c>
      <c r="G373" s="61">
        <v>0.60599999999999998</v>
      </c>
      <c r="H373" s="61">
        <v>1.57</v>
      </c>
      <c r="I373" s="61">
        <v>1.45</v>
      </c>
      <c r="J373" s="61">
        <v>1.36</v>
      </c>
      <c r="K373" s="61">
        <v>1.8260000000000001</v>
      </c>
      <c r="L373" s="61">
        <f>SUM(F373:K373)</f>
        <v>6.9619999999999997</v>
      </c>
      <c r="M373" s="61">
        <f>L373/6</f>
        <v>1.1599999999999999</v>
      </c>
      <c r="N373" s="61">
        <v>1.121</v>
      </c>
      <c r="O373" s="61">
        <v>0.52300000000000002</v>
      </c>
      <c r="P373" s="61">
        <v>3.294</v>
      </c>
      <c r="Q373" s="61">
        <f t="shared" ref="Q373" si="386">Q371*Q372/1000</f>
        <v>1.3340000000000001</v>
      </c>
      <c r="R373" s="61">
        <f t="shared" ref="R373" si="387">R371*R372/1000</f>
        <v>2.6110000000000002</v>
      </c>
      <c r="S373" s="61">
        <f t="shared" ref="S373" si="388">S371*S372/1000</f>
        <v>2.621</v>
      </c>
      <c r="T373" s="61">
        <f>SUM(N373:S373)</f>
        <v>11.504</v>
      </c>
      <c r="U373" s="61">
        <f>T373+L373</f>
        <v>18.466000000000001</v>
      </c>
      <c r="V373" s="61">
        <f>V368</f>
        <v>18.484000000000002</v>
      </c>
      <c r="W373" s="72">
        <f>V373-U373</f>
        <v>1.7999999999999999E-2</v>
      </c>
      <c r="X373" s="63">
        <f>U368-U373</f>
        <v>0</v>
      </c>
    </row>
    <row r="374" spans="1:28" s="126" customFormat="1" ht="18" customHeight="1">
      <c r="A374" s="595"/>
      <c r="B374" s="576"/>
      <c r="C374" s="577"/>
      <c r="D374" s="201" t="str">
        <f>серпень!D297</f>
        <v>дотація</v>
      </c>
      <c r="E374" s="71"/>
      <c r="F374" s="61">
        <v>0</v>
      </c>
      <c r="G374" s="61">
        <v>0</v>
      </c>
      <c r="H374" s="61">
        <v>0</v>
      </c>
      <c r="I374" s="61">
        <v>0</v>
      </c>
      <c r="J374" s="61">
        <v>0</v>
      </c>
      <c r="K374" s="61">
        <v>0</v>
      </c>
      <c r="L374" s="61">
        <f>SUM(F374:K374)</f>
        <v>0</v>
      </c>
      <c r="M374" s="61">
        <f>L374/6</f>
        <v>0</v>
      </c>
      <c r="N374" s="61">
        <v>0</v>
      </c>
      <c r="O374" s="61">
        <v>0</v>
      </c>
      <c r="P374" s="61">
        <v>0</v>
      </c>
      <c r="Q374" s="61">
        <v>0</v>
      </c>
      <c r="R374" s="61">
        <v>0</v>
      </c>
      <c r="S374" s="61">
        <v>0</v>
      </c>
      <c r="T374" s="61">
        <f>SUM(N374:S374)</f>
        <v>0</v>
      </c>
      <c r="U374" s="61">
        <f>T374+L374</f>
        <v>0</v>
      </c>
      <c r="V374" s="61">
        <f>V369</f>
        <v>0</v>
      </c>
      <c r="W374" s="72">
        <f>V374-U374</f>
        <v>0</v>
      </c>
      <c r="X374" s="63">
        <f>U369-U374</f>
        <v>0</v>
      </c>
    </row>
    <row r="375" spans="1:28" s="126" customFormat="1" ht="18" customHeight="1">
      <c r="A375" s="595"/>
      <c r="B375" s="576"/>
      <c r="C375" s="577"/>
      <c r="D375" s="201" t="str">
        <f>серпень!D298</f>
        <v xml:space="preserve">місцевий </v>
      </c>
      <c r="E375" s="71"/>
      <c r="F375" s="61">
        <f t="shared" ref="F375:K375" si="389">F373-F374</f>
        <v>0.15</v>
      </c>
      <c r="G375" s="61">
        <f t="shared" si="389"/>
        <v>0.60599999999999998</v>
      </c>
      <c r="H375" s="61">
        <f t="shared" si="389"/>
        <v>1.57</v>
      </c>
      <c r="I375" s="61">
        <f t="shared" si="389"/>
        <v>1.45</v>
      </c>
      <c r="J375" s="61">
        <f t="shared" si="389"/>
        <v>1.36</v>
      </c>
      <c r="K375" s="61">
        <f t="shared" si="389"/>
        <v>1.8260000000000001</v>
      </c>
      <c r="L375" s="61">
        <f>SUM(F375:K375)</f>
        <v>6.9619999999999997</v>
      </c>
      <c r="M375" s="61">
        <f>L375/6</f>
        <v>1.1599999999999999</v>
      </c>
      <c r="N375" s="61">
        <f t="shared" ref="N375:S375" si="390">N373-N374</f>
        <v>1.121</v>
      </c>
      <c r="O375" s="61">
        <f t="shared" si="390"/>
        <v>0.52300000000000002</v>
      </c>
      <c r="P375" s="61">
        <f t="shared" si="390"/>
        <v>3.294</v>
      </c>
      <c r="Q375" s="61">
        <f t="shared" si="390"/>
        <v>1.3340000000000001</v>
      </c>
      <c r="R375" s="61">
        <f t="shared" si="390"/>
        <v>2.6110000000000002</v>
      </c>
      <c r="S375" s="61">
        <f t="shared" si="390"/>
        <v>2.621</v>
      </c>
      <c r="T375" s="61">
        <f>SUM(N375:S375)</f>
        <v>11.504</v>
      </c>
      <c r="U375" s="61">
        <f>T375+L375</f>
        <v>18.466000000000001</v>
      </c>
      <c r="V375" s="61">
        <f>V370</f>
        <v>18.484000000000002</v>
      </c>
      <c r="W375" s="72">
        <f>V375-U375</f>
        <v>1.7999999999999999E-2</v>
      </c>
      <c r="X375" s="63">
        <f>U370-U375</f>
        <v>1.7999999999999999E-2</v>
      </c>
    </row>
    <row r="376" spans="1:28" s="43" customFormat="1" ht="18" customHeight="1">
      <c r="A376" s="595"/>
      <c r="B376" s="576"/>
      <c r="C376" s="577"/>
      <c r="D376" s="202" t="str">
        <f>серпень!D299</f>
        <v>план</v>
      </c>
      <c r="E376" s="42"/>
      <c r="F376" s="42">
        <f t="shared" ref="F376:K376" si="391">F369+F370</f>
        <v>1.41</v>
      </c>
      <c r="G376" s="42">
        <f t="shared" si="391"/>
        <v>0.53800000000000003</v>
      </c>
      <c r="H376" s="42">
        <f t="shared" si="391"/>
        <v>2.9159999999999999</v>
      </c>
      <c r="I376" s="42">
        <f t="shared" si="391"/>
        <v>0.52</v>
      </c>
      <c r="J376" s="42">
        <f t="shared" si="391"/>
        <v>1.845</v>
      </c>
      <c r="K376" s="42">
        <f t="shared" si="391"/>
        <v>0.217</v>
      </c>
      <c r="L376" s="42">
        <f>SUM(F376:K376)</f>
        <v>7.4459999999999997</v>
      </c>
      <c r="M376" s="42">
        <f>L376/6</f>
        <v>1.2410000000000001</v>
      </c>
      <c r="N376" s="42">
        <f t="shared" ref="N376:S376" si="392">N370+N369</f>
        <v>1.081</v>
      </c>
      <c r="O376" s="42">
        <f t="shared" si="392"/>
        <v>1.0389999999999999</v>
      </c>
      <c r="P376" s="42">
        <f t="shared" si="392"/>
        <v>2.9790000000000001</v>
      </c>
      <c r="Q376" s="42">
        <f t="shared" si="392"/>
        <v>1.2070000000000001</v>
      </c>
      <c r="R376" s="42">
        <f t="shared" si="392"/>
        <v>2.3610000000000002</v>
      </c>
      <c r="S376" s="42">
        <f t="shared" si="392"/>
        <v>2.371</v>
      </c>
      <c r="T376" s="42">
        <f>SUM(N376:S376)</f>
        <v>11.038</v>
      </c>
      <c r="U376" s="42">
        <f>T376+L376</f>
        <v>18.484000000000002</v>
      </c>
      <c r="V376" s="42">
        <f>V373</f>
        <v>18.484000000000002</v>
      </c>
      <c r="W376" s="42">
        <f>V376-U376</f>
        <v>0</v>
      </c>
    </row>
    <row r="377" spans="1:28" s="43" customFormat="1" ht="18" customHeight="1">
      <c r="A377" s="595"/>
      <c r="B377" s="576"/>
      <c r="C377" s="577"/>
      <c r="D377" s="202" t="str">
        <f>серпень!D300</f>
        <v xml:space="preserve">відхилення </v>
      </c>
      <c r="E377" s="42"/>
      <c r="F377" s="42">
        <f t="shared" ref="F377:K377" si="393">F373-F376</f>
        <v>-1.26</v>
      </c>
      <c r="G377" s="42">
        <f t="shared" si="393"/>
        <v>6.8000000000000005E-2</v>
      </c>
      <c r="H377" s="42">
        <f t="shared" si="393"/>
        <v>-1.3460000000000001</v>
      </c>
      <c r="I377" s="42">
        <f t="shared" si="393"/>
        <v>0.93</v>
      </c>
      <c r="J377" s="42">
        <f t="shared" si="393"/>
        <v>-0.48499999999999999</v>
      </c>
      <c r="K377" s="42">
        <f t="shared" si="393"/>
        <v>1.609</v>
      </c>
      <c r="L377" s="42"/>
      <c r="M377" s="42"/>
      <c r="N377" s="42">
        <f>N373-N376</f>
        <v>0.04</v>
      </c>
      <c r="O377" s="42">
        <f t="shared" ref="O377:S377" si="394">O373-O376</f>
        <v>-0.51600000000000001</v>
      </c>
      <c r="P377" s="42">
        <f t="shared" si="394"/>
        <v>0.315</v>
      </c>
      <c r="Q377" s="42">
        <f t="shared" si="394"/>
        <v>0.127</v>
      </c>
      <c r="R377" s="42">
        <f t="shared" si="394"/>
        <v>0.25</v>
      </c>
      <c r="S377" s="42">
        <f t="shared" si="394"/>
        <v>0.25</v>
      </c>
      <c r="T377" s="42"/>
      <c r="U377" s="42"/>
      <c r="V377" s="42"/>
      <c r="W377" s="42"/>
    </row>
    <row r="378" spans="1:28" s="43" customFormat="1" ht="18" customHeight="1">
      <c r="A378" s="595"/>
      <c r="B378" s="576"/>
      <c r="C378" s="577"/>
      <c r="D378" s="202" t="str">
        <f>серпень!D301</f>
        <v>відхилення з наростаючим</v>
      </c>
      <c r="E378" s="42"/>
      <c r="F378" s="42">
        <f>F377</f>
        <v>-1.26</v>
      </c>
      <c r="G378" s="42">
        <f>G377+F378</f>
        <v>-1.1919999999999999</v>
      </c>
      <c r="H378" s="42">
        <f>H377+G378</f>
        <v>-2.5379999999999998</v>
      </c>
      <c r="I378" s="42">
        <f>I377+H378</f>
        <v>-1.6080000000000001</v>
      </c>
      <c r="J378" s="42">
        <f>J377+I378</f>
        <v>-2.093</v>
      </c>
      <c r="K378" s="42">
        <f>K377+J378</f>
        <v>-0.48399999999999999</v>
      </c>
      <c r="L378" s="42"/>
      <c r="M378" s="42"/>
      <c r="N378" s="42">
        <f>N377+K378</f>
        <v>-0.44400000000000001</v>
      </c>
      <c r="O378" s="42">
        <f>O377+N378</f>
        <v>-0.96</v>
      </c>
      <c r="P378" s="42">
        <f>P377+O378</f>
        <v>-0.64500000000000002</v>
      </c>
      <c r="Q378" s="42">
        <f>Q377+P378</f>
        <v>-0.51800000000000002</v>
      </c>
      <c r="R378" s="42">
        <f>R377+Q378</f>
        <v>-0.26800000000000002</v>
      </c>
      <c r="S378" s="42">
        <f>S377+R378</f>
        <v>-1.7999999999999999E-2</v>
      </c>
      <c r="T378" s="42"/>
      <c r="U378" s="42"/>
      <c r="V378" s="42"/>
      <c r="W378" s="42"/>
    </row>
    <row r="379" spans="1:28" s="43" customFormat="1" ht="18" hidden="1" customHeight="1">
      <c r="A379" s="595"/>
      <c r="B379" s="580" t="s">
        <v>96</v>
      </c>
      <c r="C379" s="575"/>
      <c r="D379" s="178" t="str">
        <f>серпень!D302</f>
        <v>факт. нат.п-ки 2023</v>
      </c>
      <c r="E379" s="179"/>
      <c r="F379" s="180"/>
      <c r="G379" s="180"/>
      <c r="H379" s="180"/>
      <c r="I379" s="180"/>
      <c r="J379" s="180"/>
      <c r="K379" s="180"/>
      <c r="L379" s="215">
        <f>SUM(F379:K379)</f>
        <v>0</v>
      </c>
      <c r="M379" s="215">
        <f>L379/6</f>
        <v>0</v>
      </c>
      <c r="N379" s="180"/>
      <c r="O379" s="180"/>
      <c r="P379" s="180"/>
      <c r="Q379" s="180"/>
      <c r="R379" s="180"/>
      <c r="S379" s="180"/>
      <c r="T379" s="215">
        <f>SUM(N379:S379)</f>
        <v>0</v>
      </c>
      <c r="U379" s="226">
        <f>T379+L379</f>
        <v>0</v>
      </c>
      <c r="V379" s="227"/>
      <c r="W379" s="184">
        <f>V379-U379</f>
        <v>0</v>
      </c>
    </row>
    <row r="380" spans="1:28" s="43" customFormat="1" ht="18" hidden="1" customHeight="1">
      <c r="A380" s="595"/>
      <c r="B380" s="576"/>
      <c r="C380" s="577"/>
      <c r="D380" s="178" t="str">
        <f>серпень!D303</f>
        <v>факт. нат.п-ки 2024</v>
      </c>
      <c r="E380" s="179"/>
      <c r="F380" s="180"/>
      <c r="G380" s="180"/>
      <c r="H380" s="180"/>
      <c r="I380" s="180"/>
      <c r="J380" s="180"/>
      <c r="K380" s="180"/>
      <c r="L380" s="215">
        <f>SUM(F380:K380)</f>
        <v>0</v>
      </c>
      <c r="M380" s="215">
        <f>L380/6</f>
        <v>0</v>
      </c>
      <c r="N380" s="179"/>
      <c r="O380" s="179"/>
      <c r="P380" s="179"/>
      <c r="Q380" s="179"/>
      <c r="R380" s="179"/>
      <c r="S380" s="179"/>
      <c r="T380" s="215">
        <f>SUM(N380:S380)</f>
        <v>0</v>
      </c>
      <c r="U380" s="226">
        <f>T380+L380</f>
        <v>0</v>
      </c>
      <c r="V380" s="227"/>
      <c r="W380" s="184">
        <f>V380-U380</f>
        <v>0</v>
      </c>
    </row>
    <row r="381" spans="1:28" s="43" customFormat="1" ht="18" hidden="1" customHeight="1">
      <c r="A381" s="595"/>
      <c r="B381" s="576"/>
      <c r="C381" s="577"/>
      <c r="D381" s="178" t="str">
        <f>серпень!D304</f>
        <v>факт. нат.п-ки 2025</v>
      </c>
      <c r="E381" s="179"/>
      <c r="F381" s="180"/>
      <c r="G381" s="180"/>
      <c r="H381" s="180"/>
      <c r="I381" s="180"/>
      <c r="J381" s="180"/>
      <c r="K381" s="180"/>
      <c r="L381" s="215">
        <f>SUM(F381:K381)</f>
        <v>0</v>
      </c>
      <c r="M381" s="215">
        <f>L381/6</f>
        <v>0</v>
      </c>
      <c r="N381" s="180"/>
      <c r="O381" s="180"/>
      <c r="P381" s="180"/>
      <c r="Q381" s="180"/>
      <c r="R381" s="180"/>
      <c r="S381" s="179"/>
      <c r="T381" s="215">
        <f>SUM(N381:S381)</f>
        <v>0</v>
      </c>
      <c r="U381" s="226">
        <f>T381+L381</f>
        <v>0</v>
      </c>
      <c r="V381" s="179"/>
      <c r="W381" s="184">
        <f>V381-U381</f>
        <v>0</v>
      </c>
    </row>
    <row r="382" spans="1:28" s="43" customFormat="1" ht="18" hidden="1" customHeight="1">
      <c r="A382" s="595"/>
      <c r="B382" s="576"/>
      <c r="C382" s="577"/>
      <c r="D382" s="187" t="str">
        <f>серпень!D305</f>
        <v>тариф, грн.</v>
      </c>
      <c r="E382" s="188"/>
      <c r="F382" s="188"/>
      <c r="G382" s="188"/>
      <c r="H382" s="188"/>
      <c r="I382" s="188"/>
      <c r="J382" s="188"/>
      <c r="K382" s="188"/>
      <c r="L382" s="188" t="e">
        <f>L383/L381*1000</f>
        <v>#DIV/0!</v>
      </c>
      <c r="M382" s="188" t="e">
        <f>M383/M381*1000</f>
        <v>#DIV/0!</v>
      </c>
      <c r="N382" s="188"/>
      <c r="O382" s="188"/>
      <c r="P382" s="188"/>
      <c r="Q382" s="188"/>
      <c r="R382" s="188"/>
      <c r="S382" s="188"/>
      <c r="T382" s="188" t="e">
        <f>T383/T381*1000</f>
        <v>#DIV/0!</v>
      </c>
      <c r="U382" s="188" t="e">
        <f>U383/U381*1000</f>
        <v>#DIV/0!</v>
      </c>
      <c r="V382" s="218" t="e">
        <f>V383/V381*1000</f>
        <v>#DIV/0!</v>
      </c>
      <c r="W382" s="189" t="e">
        <f>W383/W381*1000</f>
        <v>#DIV/0!</v>
      </c>
    </row>
    <row r="383" spans="1:28" s="43" customFormat="1" ht="18" hidden="1" customHeight="1">
      <c r="A383" s="595"/>
      <c r="B383" s="576"/>
      <c r="C383" s="577"/>
      <c r="D383" s="191" t="str">
        <f>серпень!D306</f>
        <v>сума, тис.грн.</v>
      </c>
      <c r="E383" s="192"/>
      <c r="F383" s="192">
        <f t="shared" ref="F383:K383" si="395">F381*F382/1000</f>
        <v>0</v>
      </c>
      <c r="G383" s="192">
        <f t="shared" si="395"/>
        <v>0</v>
      </c>
      <c r="H383" s="192">
        <f t="shared" si="395"/>
        <v>0</v>
      </c>
      <c r="I383" s="192">
        <f t="shared" si="395"/>
        <v>0</v>
      </c>
      <c r="J383" s="192">
        <f t="shared" si="395"/>
        <v>0</v>
      </c>
      <c r="K383" s="192">
        <f t="shared" si="395"/>
        <v>0</v>
      </c>
      <c r="L383" s="194">
        <f>SUM(F383:K383)</f>
        <v>0</v>
      </c>
      <c r="M383" s="194">
        <f>L383/6</f>
        <v>0</v>
      </c>
      <c r="N383" s="192">
        <f t="shared" ref="N383:S383" si="396">N381*N382/1000</f>
        <v>0</v>
      </c>
      <c r="O383" s="192">
        <f t="shared" si="396"/>
        <v>0</v>
      </c>
      <c r="P383" s="192">
        <f t="shared" si="396"/>
        <v>0</v>
      </c>
      <c r="Q383" s="192">
        <f t="shared" si="396"/>
        <v>0</v>
      </c>
      <c r="R383" s="192">
        <f t="shared" si="396"/>
        <v>0</v>
      </c>
      <c r="S383" s="192">
        <f t="shared" si="396"/>
        <v>0</v>
      </c>
      <c r="T383" s="194">
        <f>SUM(N383:S383)</f>
        <v>0</v>
      </c>
      <c r="U383" s="194">
        <f>T383+L383</f>
        <v>0</v>
      </c>
      <c r="V383" s="171">
        <f>V384+V385</f>
        <v>0</v>
      </c>
      <c r="W383" s="193">
        <f>V383-U383</f>
        <v>0</v>
      </c>
    </row>
    <row r="384" spans="1:28" s="43" customFormat="1" ht="18" hidden="1" customHeight="1">
      <c r="A384" s="595"/>
      <c r="B384" s="576"/>
      <c r="C384" s="577"/>
      <c r="D384" s="174" t="str">
        <f>серпень!D307</f>
        <v>дотація</v>
      </c>
      <c r="E384" s="210"/>
      <c r="F384" s="192"/>
      <c r="G384" s="192"/>
      <c r="H384" s="192"/>
      <c r="I384" s="192"/>
      <c r="J384" s="192"/>
      <c r="K384" s="192"/>
      <c r="L384" s="194">
        <f>SUM(F384:K384)</f>
        <v>0</v>
      </c>
      <c r="M384" s="194">
        <f>L384/6</f>
        <v>0</v>
      </c>
      <c r="N384" s="192"/>
      <c r="O384" s="192"/>
      <c r="P384" s="192"/>
      <c r="Q384" s="192"/>
      <c r="R384" s="192"/>
      <c r="S384" s="192"/>
      <c r="T384" s="194">
        <f>SUM(N384:S384)</f>
        <v>0</v>
      </c>
      <c r="U384" s="194">
        <f>T384+L384</f>
        <v>0</v>
      </c>
      <c r="V384" s="171"/>
      <c r="W384" s="193">
        <f>V384-U384</f>
        <v>0</v>
      </c>
    </row>
    <row r="385" spans="1:28" s="43" customFormat="1" ht="18" hidden="1" customHeight="1">
      <c r="A385" s="595"/>
      <c r="B385" s="576"/>
      <c r="C385" s="577"/>
      <c r="D385" s="174" t="str">
        <f>серпень!D308</f>
        <v>місцевий (план), тис.грн</v>
      </c>
      <c r="E385" s="210"/>
      <c r="F385" s="192"/>
      <c r="G385" s="192"/>
      <c r="H385" s="192"/>
      <c r="I385" s="192"/>
      <c r="J385" s="192"/>
      <c r="K385" s="192"/>
      <c r="L385" s="194">
        <f>SUM(F385:K385)</f>
        <v>0</v>
      </c>
      <c r="M385" s="194">
        <f>L385/6</f>
        <v>0</v>
      </c>
      <c r="N385" s="192"/>
      <c r="O385" s="192"/>
      <c r="P385" s="192"/>
      <c r="Q385" s="192"/>
      <c r="R385" s="192"/>
      <c r="S385" s="192"/>
      <c r="T385" s="194">
        <f>SUM(N385:S385)</f>
        <v>0</v>
      </c>
      <c r="U385" s="194">
        <f>T385+L385</f>
        <v>0</v>
      </c>
      <c r="V385" s="171"/>
      <c r="W385" s="193">
        <f>V385-U385</f>
        <v>0</v>
      </c>
    </row>
    <row r="386" spans="1:28" s="43" customFormat="1" ht="18" hidden="1" customHeight="1">
      <c r="A386" s="595"/>
      <c r="B386" s="576"/>
      <c r="C386" s="577"/>
      <c r="D386" s="178" t="str">
        <f>серпень!D309</f>
        <v>касові нат.п-ки 2025</v>
      </c>
      <c r="E386" s="179"/>
      <c r="F386" s="179"/>
      <c r="G386" s="179"/>
      <c r="H386" s="179"/>
      <c r="I386" s="179"/>
      <c r="J386" s="179"/>
      <c r="K386" s="179"/>
      <c r="L386" s="215">
        <f>SUM(F386:K386)</f>
        <v>0</v>
      </c>
      <c r="M386" s="215">
        <f>L386/6</f>
        <v>0</v>
      </c>
      <c r="N386" s="179"/>
      <c r="O386" s="179"/>
      <c r="P386" s="179"/>
      <c r="Q386" s="179"/>
      <c r="R386" s="179"/>
      <c r="S386" s="179"/>
      <c r="T386" s="215">
        <f>SUM(N386:S386)</f>
        <v>0</v>
      </c>
      <c r="U386" s="215">
        <f>T386+L386</f>
        <v>0</v>
      </c>
      <c r="V386" s="179">
        <f>V381</f>
        <v>0</v>
      </c>
      <c r="W386" s="184">
        <f>V386-U386</f>
        <v>0</v>
      </c>
    </row>
    <row r="387" spans="1:28" s="43" customFormat="1" ht="18" hidden="1" customHeight="1">
      <c r="A387" s="595"/>
      <c r="B387" s="576"/>
      <c r="C387" s="577"/>
      <c r="D387" s="187" t="str">
        <f>серпень!D310</f>
        <v>тариф, грн.</v>
      </c>
      <c r="E387" s="188" t="e">
        <f>E388/E386*1000</f>
        <v>#DIV/0!</v>
      </c>
      <c r="F387" s="188"/>
      <c r="G387" s="188"/>
      <c r="H387" s="188"/>
      <c r="I387" s="188"/>
      <c r="J387" s="188"/>
      <c r="K387" s="188"/>
      <c r="L387" s="188" t="e">
        <f>L388/L386*1000</f>
        <v>#DIV/0!</v>
      </c>
      <c r="M387" s="188" t="e">
        <f>M388/M386*1000</f>
        <v>#DIV/0!</v>
      </c>
      <c r="N387" s="188"/>
      <c r="O387" s="188"/>
      <c r="P387" s="188"/>
      <c r="Q387" s="188"/>
      <c r="R387" s="188"/>
      <c r="S387" s="188"/>
      <c r="T387" s="188" t="e">
        <f>T388/T386*1000</f>
        <v>#DIV/0!</v>
      </c>
      <c r="U387" s="188" t="e">
        <f>U388/U386*1000</f>
        <v>#DIV/0!</v>
      </c>
      <c r="V387" s="218" t="e">
        <f>V388/V386*1000</f>
        <v>#DIV/0!</v>
      </c>
      <c r="W387" s="189" t="e">
        <f>W388/W386*1000</f>
        <v>#DIV/0!</v>
      </c>
    </row>
    <row r="388" spans="1:28" s="43" customFormat="1" ht="18" hidden="1" customHeight="1">
      <c r="A388" s="595"/>
      <c r="B388" s="576"/>
      <c r="C388" s="577"/>
      <c r="D388" s="198" t="str">
        <f>серпень!D311</f>
        <v>касові видатки, тис.грн.</v>
      </c>
      <c r="E388" s="220"/>
      <c r="F388" s="199">
        <f t="shared" ref="F388:K388" si="397">F386*F387/1000</f>
        <v>0</v>
      </c>
      <c r="G388" s="199">
        <f t="shared" si="397"/>
        <v>0</v>
      </c>
      <c r="H388" s="199">
        <f t="shared" si="397"/>
        <v>0</v>
      </c>
      <c r="I388" s="199">
        <f t="shared" si="397"/>
        <v>0</v>
      </c>
      <c r="J388" s="199">
        <f t="shared" si="397"/>
        <v>0</v>
      </c>
      <c r="K388" s="199">
        <f t="shared" si="397"/>
        <v>0</v>
      </c>
      <c r="L388" s="199">
        <f>SUM(F388:K388)</f>
        <v>0</v>
      </c>
      <c r="M388" s="199">
        <f>L388/6</f>
        <v>0</v>
      </c>
      <c r="N388" s="199">
        <f t="shared" ref="N388:S388" si="398">N386*N387/1000</f>
        <v>0</v>
      </c>
      <c r="O388" s="199">
        <f t="shared" si="398"/>
        <v>0</v>
      </c>
      <c r="P388" s="199">
        <f t="shared" si="398"/>
        <v>0</v>
      </c>
      <c r="Q388" s="199">
        <f t="shared" si="398"/>
        <v>0</v>
      </c>
      <c r="R388" s="199">
        <f t="shared" si="398"/>
        <v>0</v>
      </c>
      <c r="S388" s="199">
        <f t="shared" si="398"/>
        <v>0</v>
      </c>
      <c r="T388" s="199">
        <f>SUM(N388:S388)</f>
        <v>0</v>
      </c>
      <c r="U388" s="199">
        <f>T388+L388</f>
        <v>0</v>
      </c>
      <c r="V388" s="199">
        <f>V383</f>
        <v>0</v>
      </c>
      <c r="W388" s="221">
        <f>V388-U388</f>
        <v>0</v>
      </c>
    </row>
    <row r="389" spans="1:28" s="43" customFormat="1" ht="18" hidden="1" customHeight="1">
      <c r="A389" s="595"/>
      <c r="B389" s="576"/>
      <c r="C389" s="577"/>
      <c r="D389" s="201" t="str">
        <f>серпень!D312</f>
        <v>дотація</v>
      </c>
      <c r="E389" s="220"/>
      <c r="F389" s="199"/>
      <c r="G389" s="199"/>
      <c r="H389" s="199"/>
      <c r="I389" s="199"/>
      <c r="J389" s="199"/>
      <c r="K389" s="199"/>
      <c r="L389" s="199">
        <f>SUM(F389:K389)</f>
        <v>0</v>
      </c>
      <c r="M389" s="199">
        <f>L389/6</f>
        <v>0</v>
      </c>
      <c r="N389" s="199"/>
      <c r="O389" s="199"/>
      <c r="P389" s="199"/>
      <c r="Q389" s="199"/>
      <c r="R389" s="199"/>
      <c r="S389" s="199"/>
      <c r="T389" s="199">
        <f>SUM(N389:S389)</f>
        <v>0</v>
      </c>
      <c r="U389" s="199">
        <f>T389+L389</f>
        <v>0</v>
      </c>
      <c r="V389" s="199">
        <f>V384</f>
        <v>0</v>
      </c>
      <c r="W389" s="221">
        <f>V389-U389</f>
        <v>0</v>
      </c>
    </row>
    <row r="390" spans="1:28" s="43" customFormat="1" ht="18" hidden="1" customHeight="1">
      <c r="A390" s="595"/>
      <c r="B390" s="576"/>
      <c r="C390" s="577"/>
      <c r="D390" s="201" t="str">
        <f>серпень!D313</f>
        <v xml:space="preserve">місцевий </v>
      </c>
      <c r="E390" s="220"/>
      <c r="F390" s="199">
        <f t="shared" ref="F390:K390" si="399">F388-F389</f>
        <v>0</v>
      </c>
      <c r="G390" s="199">
        <f t="shared" si="399"/>
        <v>0</v>
      </c>
      <c r="H390" s="199">
        <f t="shared" si="399"/>
        <v>0</v>
      </c>
      <c r="I390" s="199">
        <f t="shared" si="399"/>
        <v>0</v>
      </c>
      <c r="J390" s="199">
        <f t="shared" si="399"/>
        <v>0</v>
      </c>
      <c r="K390" s="199">
        <f t="shared" si="399"/>
        <v>0</v>
      </c>
      <c r="L390" s="199">
        <f>SUM(F390:K390)</f>
        <v>0</v>
      </c>
      <c r="M390" s="199">
        <f>L390/6</f>
        <v>0</v>
      </c>
      <c r="N390" s="199">
        <f t="shared" ref="N390:S390" si="400">N388-N389</f>
        <v>0</v>
      </c>
      <c r="O390" s="199">
        <f t="shared" si="400"/>
        <v>0</v>
      </c>
      <c r="P390" s="199">
        <f t="shared" si="400"/>
        <v>0</v>
      </c>
      <c r="Q390" s="199">
        <f t="shared" si="400"/>
        <v>0</v>
      </c>
      <c r="R390" s="199">
        <f t="shared" si="400"/>
        <v>0</v>
      </c>
      <c r="S390" s="199">
        <f t="shared" si="400"/>
        <v>0</v>
      </c>
      <c r="T390" s="199">
        <f>SUM(N390:S390)</f>
        <v>0</v>
      </c>
      <c r="U390" s="199">
        <f>T390+L390</f>
        <v>0</v>
      </c>
      <c r="V390" s="199">
        <f>V385</f>
        <v>0</v>
      </c>
      <c r="W390" s="221">
        <f>V390-U390</f>
        <v>0</v>
      </c>
    </row>
    <row r="391" spans="1:28" s="43" customFormat="1" ht="18" hidden="1" customHeight="1">
      <c r="A391" s="595"/>
      <c r="B391" s="576"/>
      <c r="C391" s="577"/>
      <c r="D391" s="202" t="str">
        <f>серпень!D314</f>
        <v>план</v>
      </c>
      <c r="E391" s="203"/>
      <c r="F391" s="203">
        <f t="shared" ref="F391:K391" si="401">F385</f>
        <v>0</v>
      </c>
      <c r="G391" s="203">
        <f t="shared" si="401"/>
        <v>0</v>
      </c>
      <c r="H391" s="203">
        <f t="shared" si="401"/>
        <v>0</v>
      </c>
      <c r="I391" s="203">
        <f t="shared" si="401"/>
        <v>0</v>
      </c>
      <c r="J391" s="203">
        <f t="shared" si="401"/>
        <v>0</v>
      </c>
      <c r="K391" s="203">
        <f t="shared" si="401"/>
        <v>0</v>
      </c>
      <c r="L391" s="203">
        <f>SUM(F391:K391)</f>
        <v>0</v>
      </c>
      <c r="M391" s="203">
        <f>L391/6</f>
        <v>0</v>
      </c>
      <c r="N391" s="203">
        <f t="shared" ref="N391:S391" si="402">N385+N384</f>
        <v>0</v>
      </c>
      <c r="O391" s="203">
        <f t="shared" si="402"/>
        <v>0</v>
      </c>
      <c r="P391" s="203">
        <f t="shared" si="402"/>
        <v>0</v>
      </c>
      <c r="Q391" s="203">
        <f t="shared" si="402"/>
        <v>0</v>
      </c>
      <c r="R391" s="203">
        <f t="shared" si="402"/>
        <v>0</v>
      </c>
      <c r="S391" s="203">
        <f t="shared" si="402"/>
        <v>0</v>
      </c>
      <c r="T391" s="203">
        <f>SUM(N391:S391)</f>
        <v>0</v>
      </c>
      <c r="U391" s="203">
        <f>T391+L391</f>
        <v>0</v>
      </c>
      <c r="V391" s="203">
        <f>V388</f>
        <v>0</v>
      </c>
      <c r="W391" s="203">
        <f>V391-U391</f>
        <v>0</v>
      </c>
    </row>
    <row r="392" spans="1:28" s="43" customFormat="1" ht="18" hidden="1" customHeight="1">
      <c r="A392" s="595"/>
      <c r="B392" s="576"/>
      <c r="C392" s="577"/>
      <c r="D392" s="202" t="str">
        <f>серпень!D315</f>
        <v xml:space="preserve">відхилення </v>
      </c>
      <c r="E392" s="203"/>
      <c r="F392" s="203">
        <f t="shared" ref="F392:K392" si="403">F388-F391</f>
        <v>0</v>
      </c>
      <c r="G392" s="203">
        <f t="shared" si="403"/>
        <v>0</v>
      </c>
      <c r="H392" s="203">
        <f t="shared" si="403"/>
        <v>0</v>
      </c>
      <c r="I392" s="203">
        <f t="shared" si="403"/>
        <v>0</v>
      </c>
      <c r="J392" s="203">
        <f t="shared" si="403"/>
        <v>0</v>
      </c>
      <c r="K392" s="203">
        <f t="shared" si="403"/>
        <v>0</v>
      </c>
      <c r="L392" s="203"/>
      <c r="M392" s="203"/>
      <c r="N392" s="203">
        <f t="shared" ref="N392:S392" si="404">N388-N391</f>
        <v>0</v>
      </c>
      <c r="O392" s="203">
        <f t="shared" si="404"/>
        <v>0</v>
      </c>
      <c r="P392" s="203">
        <f t="shared" si="404"/>
        <v>0</v>
      </c>
      <c r="Q392" s="203">
        <f t="shared" si="404"/>
        <v>0</v>
      </c>
      <c r="R392" s="203">
        <f t="shared" si="404"/>
        <v>0</v>
      </c>
      <c r="S392" s="203">
        <f t="shared" si="404"/>
        <v>0</v>
      </c>
      <c r="T392" s="203"/>
      <c r="U392" s="203"/>
      <c r="V392" s="203"/>
      <c r="W392" s="203"/>
    </row>
    <row r="393" spans="1:28" s="43" customFormat="1" ht="18" hidden="1" customHeight="1">
      <c r="A393" s="595"/>
      <c r="B393" s="578"/>
      <c r="C393" s="579"/>
      <c r="D393" s="202" t="str">
        <f>серпень!D316</f>
        <v>відхилення з наростаючим</v>
      </c>
      <c r="E393" s="203"/>
      <c r="F393" s="203">
        <f>F392</f>
        <v>0</v>
      </c>
      <c r="G393" s="203">
        <f>G392+F393</f>
        <v>0</v>
      </c>
      <c r="H393" s="203">
        <f>H392+G393</f>
        <v>0</v>
      </c>
      <c r="I393" s="203">
        <f>I392+H393</f>
        <v>0</v>
      </c>
      <c r="J393" s="203">
        <f>J392+I393</f>
        <v>0</v>
      </c>
      <c r="K393" s="203">
        <f>K392+J393</f>
        <v>0</v>
      </c>
      <c r="L393" s="203"/>
      <c r="M393" s="203"/>
      <c r="N393" s="203">
        <f>N392+K393</f>
        <v>0</v>
      </c>
      <c r="O393" s="203">
        <f>O392+N393</f>
        <v>0</v>
      </c>
      <c r="P393" s="203">
        <f>P392+O393</f>
        <v>0</v>
      </c>
      <c r="Q393" s="203">
        <f>Q392+P393</f>
        <v>0</v>
      </c>
      <c r="R393" s="203">
        <f>R392+Q393</f>
        <v>0</v>
      </c>
      <c r="S393" s="203">
        <f>S392+R393</f>
        <v>0</v>
      </c>
      <c r="T393" s="203"/>
      <c r="U393" s="203"/>
      <c r="V393" s="203"/>
      <c r="W393" s="203"/>
    </row>
    <row r="394" spans="1:28" s="10" customFormat="1" ht="18" hidden="1" customHeight="1">
      <c r="A394" s="595"/>
      <c r="B394" s="580" t="s">
        <v>38</v>
      </c>
      <c r="C394" s="575"/>
      <c r="D394" s="178" t="str">
        <f>серпень!D317</f>
        <v>факт. нат.п-ки 2023</v>
      </c>
      <c r="E394" s="11"/>
      <c r="F394" s="12"/>
      <c r="G394" s="12"/>
      <c r="H394" s="12"/>
      <c r="I394" s="12"/>
      <c r="J394" s="12"/>
      <c r="K394" s="12"/>
      <c r="L394" s="65">
        <f>SUM(F394:K394)</f>
        <v>0</v>
      </c>
      <c r="M394" s="65">
        <f>L394/6</f>
        <v>0</v>
      </c>
      <c r="N394" s="12"/>
      <c r="O394" s="12"/>
      <c r="P394" s="12"/>
      <c r="Q394" s="12"/>
      <c r="R394" s="12"/>
      <c r="S394" s="12"/>
      <c r="T394" s="65">
        <f>SUM(N394:S394)</f>
        <v>0</v>
      </c>
      <c r="U394" s="118">
        <f>T394+L394</f>
        <v>0</v>
      </c>
      <c r="V394" s="67"/>
      <c r="W394" s="38">
        <f>V394-U394</f>
        <v>0</v>
      </c>
      <c r="X394" s="36"/>
      <c r="Y394" s="3"/>
      <c r="Z394" s="3"/>
      <c r="AA394" s="3"/>
      <c r="AB394" s="3"/>
    </row>
    <row r="395" spans="1:28" s="48" customFormat="1" ht="18" hidden="1" customHeight="1">
      <c r="A395" s="595"/>
      <c r="B395" s="576"/>
      <c r="C395" s="577"/>
      <c r="D395" s="178" t="str">
        <f>серпень!D318</f>
        <v>факт. нат.п-ки 2024</v>
      </c>
      <c r="E395" s="11"/>
      <c r="F395" s="12"/>
      <c r="G395" s="12"/>
      <c r="H395" s="12"/>
      <c r="I395" s="12"/>
      <c r="J395" s="12"/>
      <c r="K395" s="12"/>
      <c r="L395" s="65">
        <f>SUM(F395:K395)</f>
        <v>0</v>
      </c>
      <c r="M395" s="65">
        <f>L395/6</f>
        <v>0</v>
      </c>
      <c r="N395" s="11"/>
      <c r="O395" s="11"/>
      <c r="P395" s="11"/>
      <c r="Q395" s="11"/>
      <c r="R395" s="11"/>
      <c r="S395" s="11"/>
      <c r="T395" s="65">
        <f>SUM(N395:S395)</f>
        <v>0</v>
      </c>
      <c r="U395" s="118">
        <f>T395+L395</f>
        <v>0</v>
      </c>
      <c r="V395" s="67"/>
      <c r="W395" s="38">
        <f>V395-U395</f>
        <v>0</v>
      </c>
      <c r="X395" s="47"/>
    </row>
    <row r="396" spans="1:28" s="10" customFormat="1" ht="18" hidden="1" customHeight="1">
      <c r="A396" s="595"/>
      <c r="B396" s="576"/>
      <c r="C396" s="577"/>
      <c r="D396" s="178" t="str">
        <f>серпень!D319</f>
        <v>факт. нат.п-ки 2025</v>
      </c>
      <c r="E396" s="11"/>
      <c r="F396" s="12"/>
      <c r="G396" s="12"/>
      <c r="H396" s="12"/>
      <c r="I396" s="12"/>
      <c r="J396" s="12"/>
      <c r="K396" s="12"/>
      <c r="L396" s="65">
        <f>SUM(F396:K396)</f>
        <v>0</v>
      </c>
      <c r="M396" s="65">
        <f>L396/6</f>
        <v>0</v>
      </c>
      <c r="N396" s="12"/>
      <c r="O396" s="12"/>
      <c r="P396" s="12"/>
      <c r="Q396" s="12"/>
      <c r="R396" s="12"/>
      <c r="S396" s="11"/>
      <c r="T396" s="65">
        <f>SUM(N396:S396)</f>
        <v>0</v>
      </c>
      <c r="U396" s="118">
        <f>T396+L396</f>
        <v>0</v>
      </c>
      <c r="V396" s="11"/>
      <c r="W396" s="38">
        <f>V396-U396</f>
        <v>0</v>
      </c>
      <c r="X396" s="36"/>
      <c r="Y396" s="3"/>
      <c r="Z396" s="3"/>
      <c r="AA396" s="3"/>
      <c r="AB396" s="3"/>
    </row>
    <row r="397" spans="1:28" s="114" customFormat="1" ht="18" hidden="1" customHeight="1">
      <c r="A397" s="595"/>
      <c r="B397" s="576"/>
      <c r="C397" s="577"/>
      <c r="D397" s="187" t="str">
        <f>серпень!D320</f>
        <v>тариф, грн.</v>
      </c>
      <c r="E397" s="49"/>
      <c r="F397" s="49">
        <v>10.56</v>
      </c>
      <c r="G397" s="49">
        <v>10.56</v>
      </c>
      <c r="H397" s="49">
        <v>10.56</v>
      </c>
      <c r="I397" s="49">
        <v>10.56</v>
      </c>
      <c r="J397" s="49">
        <v>10.56</v>
      </c>
      <c r="K397" s="49">
        <v>10.56</v>
      </c>
      <c r="L397" s="49" t="e">
        <f>L398/L396*1000</f>
        <v>#DIV/0!</v>
      </c>
      <c r="M397" s="49" t="e">
        <f>M398/M396*1000</f>
        <v>#DIV/0!</v>
      </c>
      <c r="N397" s="49">
        <v>10.56</v>
      </c>
      <c r="O397" s="49">
        <v>10.56</v>
      </c>
      <c r="P397" s="49">
        <v>10.56</v>
      </c>
      <c r="Q397" s="49">
        <v>10.56</v>
      </c>
      <c r="R397" s="49">
        <v>10.56</v>
      </c>
      <c r="S397" s="49">
        <v>10.56</v>
      </c>
      <c r="T397" s="49" t="e">
        <f>T398/T396*1000</f>
        <v>#DIV/0!</v>
      </c>
      <c r="U397" s="49" t="e">
        <f>U398/U396*1000</f>
        <v>#DIV/0!</v>
      </c>
      <c r="V397" s="68" t="e">
        <f>V398/V396*1000</f>
        <v>#DIV/0!</v>
      </c>
      <c r="W397" s="14" t="e">
        <f>W398/W396*1000</f>
        <v>#DIV/0!</v>
      </c>
      <c r="X397" s="47"/>
      <c r="Y397" s="3"/>
      <c r="Z397" s="3"/>
      <c r="AA397" s="3"/>
      <c r="AB397" s="3"/>
    </row>
    <row r="398" spans="1:28" s="114" customFormat="1" ht="18" hidden="1" customHeight="1">
      <c r="A398" s="595"/>
      <c r="B398" s="576"/>
      <c r="C398" s="577"/>
      <c r="D398" s="191" t="str">
        <f>серпень!D321</f>
        <v>сума, тис.грн.</v>
      </c>
      <c r="E398" s="52"/>
      <c r="F398" s="52">
        <f t="shared" ref="F398:K398" si="405">F396*F397/1000</f>
        <v>0</v>
      </c>
      <c r="G398" s="52">
        <f t="shared" si="405"/>
        <v>0</v>
      </c>
      <c r="H398" s="52">
        <f t="shared" si="405"/>
        <v>0</v>
      </c>
      <c r="I398" s="52">
        <f t="shared" si="405"/>
        <v>0</v>
      </c>
      <c r="J398" s="52">
        <f t="shared" si="405"/>
        <v>0</v>
      </c>
      <c r="K398" s="52">
        <f t="shared" si="405"/>
        <v>0</v>
      </c>
      <c r="L398" s="69">
        <f>SUM(F398:K398)</f>
        <v>0</v>
      </c>
      <c r="M398" s="69">
        <f>L398/6</f>
        <v>0</v>
      </c>
      <c r="N398" s="52">
        <f t="shared" ref="N398:S398" si="406">N396*N397/1000</f>
        <v>0</v>
      </c>
      <c r="O398" s="52">
        <f t="shared" si="406"/>
        <v>0</v>
      </c>
      <c r="P398" s="52">
        <f t="shared" si="406"/>
        <v>0</v>
      </c>
      <c r="Q398" s="52">
        <f t="shared" si="406"/>
        <v>0</v>
      </c>
      <c r="R398" s="52">
        <f t="shared" si="406"/>
        <v>0</v>
      </c>
      <c r="S398" s="52">
        <f t="shared" si="406"/>
        <v>0</v>
      </c>
      <c r="T398" s="69">
        <f>SUM(N398:S398)</f>
        <v>0</v>
      </c>
      <c r="U398" s="69">
        <f>T398+L398</f>
        <v>0</v>
      </c>
      <c r="V398" s="70">
        <f>V399+V400</f>
        <v>0</v>
      </c>
      <c r="W398" s="53">
        <f>V398-U398</f>
        <v>0</v>
      </c>
      <c r="X398" s="113"/>
    </row>
    <row r="399" spans="1:28" s="114" customFormat="1" ht="18" hidden="1" customHeight="1">
      <c r="A399" s="595"/>
      <c r="B399" s="576"/>
      <c r="C399" s="577"/>
      <c r="D399" s="174" t="str">
        <f>серпень!D322</f>
        <v>дотація</v>
      </c>
      <c r="E399" s="56"/>
      <c r="F399" s="52"/>
      <c r="G399" s="52"/>
      <c r="H399" s="52"/>
      <c r="I399" s="52"/>
      <c r="J399" s="52"/>
      <c r="K399" s="52"/>
      <c r="L399" s="69">
        <f>SUM(F399:K399)</f>
        <v>0</v>
      </c>
      <c r="M399" s="69">
        <f>L399/6</f>
        <v>0</v>
      </c>
      <c r="N399" s="52"/>
      <c r="O399" s="52"/>
      <c r="P399" s="52"/>
      <c r="Q399" s="52"/>
      <c r="R399" s="52"/>
      <c r="S399" s="52"/>
      <c r="T399" s="69">
        <f>SUM(N399:S399)</f>
        <v>0</v>
      </c>
      <c r="U399" s="69">
        <f>T399+L399</f>
        <v>0</v>
      </c>
      <c r="V399" s="70">
        <v>0</v>
      </c>
      <c r="W399" s="53">
        <f>V399-U399</f>
        <v>0</v>
      </c>
      <c r="X399" s="113"/>
    </row>
    <row r="400" spans="1:28" s="114" customFormat="1" ht="18" hidden="1" customHeight="1">
      <c r="A400" s="595"/>
      <c r="B400" s="576"/>
      <c r="C400" s="577"/>
      <c r="D400" s="174" t="str">
        <f>серпень!D323</f>
        <v>місцевий (план), тис.грн</v>
      </c>
      <c r="E400" s="56"/>
      <c r="F400" s="52"/>
      <c r="G400" s="52"/>
      <c r="H400" s="52"/>
      <c r="I400" s="52"/>
      <c r="J400" s="52"/>
      <c r="K400" s="52"/>
      <c r="L400" s="69">
        <f>SUM(F400:K400)</f>
        <v>0</v>
      </c>
      <c r="M400" s="69">
        <f>L400/6</f>
        <v>0</v>
      </c>
      <c r="N400" s="52"/>
      <c r="O400" s="52"/>
      <c r="P400" s="52"/>
      <c r="Q400" s="52"/>
      <c r="R400" s="52"/>
      <c r="S400" s="52"/>
      <c r="T400" s="69">
        <f>SUM(N400:S400)</f>
        <v>0</v>
      </c>
      <c r="U400" s="69">
        <f>T400+L400</f>
        <v>0</v>
      </c>
      <c r="V400" s="70"/>
      <c r="W400" s="53">
        <f>V400-U400</f>
        <v>0</v>
      </c>
      <c r="X400" s="113"/>
    </row>
    <row r="401" spans="1:28" s="3" customFormat="1" ht="18" hidden="1" customHeight="1">
      <c r="A401" s="595"/>
      <c r="B401" s="576"/>
      <c r="C401" s="577"/>
      <c r="D401" s="178" t="str">
        <f>серпень!D324</f>
        <v>касові нат.п-ки 2025</v>
      </c>
      <c r="E401" s="11"/>
      <c r="F401" s="11"/>
      <c r="G401" s="11"/>
      <c r="H401" s="11"/>
      <c r="I401" s="11"/>
      <c r="J401" s="11"/>
      <c r="K401" s="11"/>
      <c r="L401" s="65">
        <f>SUM(F401:K401)</f>
        <v>0</v>
      </c>
      <c r="M401" s="65">
        <f>L401/6</f>
        <v>0</v>
      </c>
      <c r="N401" s="11"/>
      <c r="O401" s="11"/>
      <c r="P401" s="11"/>
      <c r="Q401" s="11"/>
      <c r="R401" s="11"/>
      <c r="S401" s="11"/>
      <c r="T401" s="65">
        <f>SUM(N401:S401)</f>
        <v>0</v>
      </c>
      <c r="U401" s="65">
        <f>T401+L401</f>
        <v>0</v>
      </c>
      <c r="V401" s="11">
        <f>V396</f>
        <v>0</v>
      </c>
      <c r="W401" s="38">
        <f>V401-U401</f>
        <v>0</v>
      </c>
      <c r="X401" s="47">
        <f>U396-U401</f>
        <v>0</v>
      </c>
    </row>
    <row r="402" spans="1:28" s="73" customFormat="1" ht="18" hidden="1" customHeight="1">
      <c r="A402" s="595"/>
      <c r="B402" s="576"/>
      <c r="C402" s="577"/>
      <c r="D402" s="187" t="str">
        <f>серпень!D325</f>
        <v>тариф, грн.</v>
      </c>
      <c r="E402" s="49" t="e">
        <f>E403/E401*1000</f>
        <v>#DIV/0!</v>
      </c>
      <c r="F402" s="49">
        <v>10.56</v>
      </c>
      <c r="G402" s="49">
        <v>10.56</v>
      </c>
      <c r="H402" s="49">
        <v>10.56</v>
      </c>
      <c r="I402" s="49">
        <v>10.56</v>
      </c>
      <c r="J402" s="49">
        <v>10.56</v>
      </c>
      <c r="K402" s="49">
        <v>10.56</v>
      </c>
      <c r="L402" s="49" t="e">
        <f>L403/L401*1000</f>
        <v>#DIV/0!</v>
      </c>
      <c r="M402" s="49" t="e">
        <f>M403/M401*1000</f>
        <v>#DIV/0!</v>
      </c>
      <c r="N402" s="49">
        <v>10.56</v>
      </c>
      <c r="O402" s="49">
        <v>10.56</v>
      </c>
      <c r="P402" s="49">
        <v>10.56</v>
      </c>
      <c r="Q402" s="49">
        <v>10.56</v>
      </c>
      <c r="R402" s="49">
        <v>10.56</v>
      </c>
      <c r="S402" s="49">
        <v>10.56</v>
      </c>
      <c r="T402" s="49" t="e">
        <f>T403/T401*1000</f>
        <v>#DIV/0!</v>
      </c>
      <c r="U402" s="49" t="e">
        <f>U403/U401*1000</f>
        <v>#DIV/0!</v>
      </c>
      <c r="V402" s="68" t="e">
        <f>V403/V401*1000</f>
        <v>#DIV/0!</v>
      </c>
      <c r="W402" s="14" t="e">
        <f>W403/W401*1000</f>
        <v>#DIV/0!</v>
      </c>
      <c r="X402" s="59"/>
      <c r="Y402" s="36"/>
      <c r="Z402" s="36"/>
      <c r="AA402" s="36"/>
      <c r="AB402" s="36"/>
    </row>
    <row r="403" spans="1:28" s="126" customFormat="1" ht="18" hidden="1" customHeight="1">
      <c r="A403" s="595"/>
      <c r="B403" s="576"/>
      <c r="C403" s="577"/>
      <c r="D403" s="198" t="str">
        <f>серпень!D326</f>
        <v>касові видатки, тис.грн.</v>
      </c>
      <c r="E403" s="71"/>
      <c r="F403" s="61">
        <f t="shared" ref="F403:K403" si="407">F401*F402/1000</f>
        <v>0</v>
      </c>
      <c r="G403" s="61">
        <f t="shared" si="407"/>
        <v>0</v>
      </c>
      <c r="H403" s="61">
        <f t="shared" si="407"/>
        <v>0</v>
      </c>
      <c r="I403" s="61">
        <f t="shared" si="407"/>
        <v>0</v>
      </c>
      <c r="J403" s="61">
        <f t="shared" si="407"/>
        <v>0</v>
      </c>
      <c r="K403" s="61">
        <f t="shared" si="407"/>
        <v>0</v>
      </c>
      <c r="L403" s="61">
        <f>SUM(F403:K403)</f>
        <v>0</v>
      </c>
      <c r="M403" s="61">
        <f>L403/6</f>
        <v>0</v>
      </c>
      <c r="N403" s="61">
        <f t="shared" ref="N403:S403" si="408">N401*N402/1000</f>
        <v>0</v>
      </c>
      <c r="O403" s="61">
        <f t="shared" si="408"/>
        <v>0</v>
      </c>
      <c r="P403" s="61">
        <f t="shared" si="408"/>
        <v>0</v>
      </c>
      <c r="Q403" s="61">
        <f t="shared" si="408"/>
        <v>0</v>
      </c>
      <c r="R403" s="61">
        <f t="shared" si="408"/>
        <v>0</v>
      </c>
      <c r="S403" s="61">
        <f t="shared" si="408"/>
        <v>0</v>
      </c>
      <c r="T403" s="61">
        <f>SUM(N403:S403)</f>
        <v>0</v>
      </c>
      <c r="U403" s="61">
        <f>T403+L403</f>
        <v>0</v>
      </c>
      <c r="V403" s="61">
        <f>V398</f>
        <v>0</v>
      </c>
      <c r="W403" s="72">
        <f>V403-U403</f>
        <v>0</v>
      </c>
      <c r="X403" s="63">
        <f>U398-U403</f>
        <v>0</v>
      </c>
    </row>
    <row r="404" spans="1:28" s="126" customFormat="1" ht="18" hidden="1" customHeight="1">
      <c r="A404" s="595"/>
      <c r="B404" s="576"/>
      <c r="C404" s="577"/>
      <c r="D404" s="201" t="str">
        <f>серпень!D327</f>
        <v>дотація</v>
      </c>
      <c r="E404" s="71"/>
      <c r="F404" s="61"/>
      <c r="G404" s="61"/>
      <c r="H404" s="61"/>
      <c r="I404" s="61"/>
      <c r="J404" s="61"/>
      <c r="K404" s="61"/>
      <c r="L404" s="61">
        <f>SUM(F404:K404)</f>
        <v>0</v>
      </c>
      <c r="M404" s="61">
        <f>L404/6</f>
        <v>0</v>
      </c>
      <c r="N404" s="61"/>
      <c r="O404" s="61"/>
      <c r="P404" s="61"/>
      <c r="Q404" s="61"/>
      <c r="R404" s="61"/>
      <c r="S404" s="61"/>
      <c r="T404" s="61">
        <f>SUM(N404:S404)</f>
        <v>0</v>
      </c>
      <c r="U404" s="61">
        <f>T404+L404</f>
        <v>0</v>
      </c>
      <c r="V404" s="61">
        <f>V399</f>
        <v>0</v>
      </c>
      <c r="W404" s="72">
        <f>V404-U404</f>
        <v>0</v>
      </c>
      <c r="X404" s="63">
        <f>U399-U404</f>
        <v>0</v>
      </c>
    </row>
    <row r="405" spans="1:28" s="126" customFormat="1" ht="18" hidden="1" customHeight="1">
      <c r="A405" s="595"/>
      <c r="B405" s="576"/>
      <c r="C405" s="577"/>
      <c r="D405" s="201" t="str">
        <f>серпень!D328</f>
        <v xml:space="preserve">місцевий </v>
      </c>
      <c r="E405" s="71"/>
      <c r="F405" s="61">
        <f t="shared" ref="F405:K405" si="409">F403-F404</f>
        <v>0</v>
      </c>
      <c r="G405" s="61">
        <f t="shared" si="409"/>
        <v>0</v>
      </c>
      <c r="H405" s="61">
        <f t="shared" si="409"/>
        <v>0</v>
      </c>
      <c r="I405" s="61">
        <f t="shared" si="409"/>
        <v>0</v>
      </c>
      <c r="J405" s="61">
        <f t="shared" si="409"/>
        <v>0</v>
      </c>
      <c r="K405" s="61">
        <f t="shared" si="409"/>
        <v>0</v>
      </c>
      <c r="L405" s="61">
        <f>SUM(F405:K405)</f>
        <v>0</v>
      </c>
      <c r="M405" s="61">
        <f>L405/6</f>
        <v>0</v>
      </c>
      <c r="N405" s="61">
        <f t="shared" ref="N405:S405" si="410">N403-N404</f>
        <v>0</v>
      </c>
      <c r="O405" s="61">
        <f t="shared" si="410"/>
        <v>0</v>
      </c>
      <c r="P405" s="61">
        <f t="shared" si="410"/>
        <v>0</v>
      </c>
      <c r="Q405" s="61">
        <f t="shared" si="410"/>
        <v>0</v>
      </c>
      <c r="R405" s="61">
        <f t="shared" si="410"/>
        <v>0</v>
      </c>
      <c r="S405" s="61">
        <f t="shared" si="410"/>
        <v>0</v>
      </c>
      <c r="T405" s="61">
        <f>SUM(N405:S405)</f>
        <v>0</v>
      </c>
      <c r="U405" s="61">
        <f>T405+L405</f>
        <v>0</v>
      </c>
      <c r="V405" s="61">
        <f>V400</f>
        <v>0</v>
      </c>
      <c r="W405" s="72">
        <f>V405-U405</f>
        <v>0</v>
      </c>
      <c r="X405" s="63">
        <f>U400-U405</f>
        <v>0</v>
      </c>
    </row>
    <row r="406" spans="1:28" s="43" customFormat="1" ht="18" hidden="1" customHeight="1">
      <c r="A406" s="595"/>
      <c r="B406" s="576"/>
      <c r="C406" s="577"/>
      <c r="D406" s="202" t="str">
        <f>серпень!D329</f>
        <v>план</v>
      </c>
      <c r="E406" s="42"/>
      <c r="F406" s="42">
        <f t="shared" ref="F406:K406" si="411">F400</f>
        <v>0</v>
      </c>
      <c r="G406" s="42">
        <f t="shared" si="411"/>
        <v>0</v>
      </c>
      <c r="H406" s="42">
        <f t="shared" si="411"/>
        <v>0</v>
      </c>
      <c r="I406" s="42">
        <f t="shared" si="411"/>
        <v>0</v>
      </c>
      <c r="J406" s="42">
        <f t="shared" si="411"/>
        <v>0</v>
      </c>
      <c r="K406" s="42">
        <f t="shared" si="411"/>
        <v>0</v>
      </c>
      <c r="L406" s="42">
        <f>SUM(F406:K406)</f>
        <v>0</v>
      </c>
      <c r="M406" s="42">
        <f>L406/6</f>
        <v>0</v>
      </c>
      <c r="N406" s="42">
        <f t="shared" ref="N406:S406" si="412">N400+N399</f>
        <v>0</v>
      </c>
      <c r="O406" s="42">
        <f t="shared" si="412"/>
        <v>0</v>
      </c>
      <c r="P406" s="42">
        <f t="shared" si="412"/>
        <v>0</v>
      </c>
      <c r="Q406" s="42">
        <f t="shared" si="412"/>
        <v>0</v>
      </c>
      <c r="R406" s="42">
        <f t="shared" si="412"/>
        <v>0</v>
      </c>
      <c r="S406" s="42">
        <f t="shared" si="412"/>
        <v>0</v>
      </c>
      <c r="T406" s="42">
        <f>SUM(N406:S406)</f>
        <v>0</v>
      </c>
      <c r="U406" s="42">
        <f>T406+L406</f>
        <v>0</v>
      </c>
      <c r="V406" s="42">
        <f>V403</f>
        <v>0</v>
      </c>
      <c r="W406" s="42">
        <f>V406-U406</f>
        <v>0</v>
      </c>
    </row>
    <row r="407" spans="1:28" s="43" customFormat="1" ht="18" hidden="1" customHeight="1">
      <c r="A407" s="595"/>
      <c r="B407" s="576"/>
      <c r="C407" s="577"/>
      <c r="D407" s="202" t="str">
        <f>серпень!D330</f>
        <v xml:space="preserve">відхилення </v>
      </c>
      <c r="E407" s="42"/>
      <c r="F407" s="42">
        <f t="shared" ref="F407:K407" si="413">F403-F406</f>
        <v>0</v>
      </c>
      <c r="G407" s="42">
        <f t="shared" si="413"/>
        <v>0</v>
      </c>
      <c r="H407" s="42">
        <f t="shared" si="413"/>
        <v>0</v>
      </c>
      <c r="I407" s="42">
        <f t="shared" si="413"/>
        <v>0</v>
      </c>
      <c r="J407" s="42">
        <f t="shared" si="413"/>
        <v>0</v>
      </c>
      <c r="K407" s="42">
        <f t="shared" si="413"/>
        <v>0</v>
      </c>
      <c r="L407" s="42"/>
      <c r="M407" s="42"/>
      <c r="N407" s="42">
        <f t="shared" ref="N407:S407" si="414">N403-N406</f>
        <v>0</v>
      </c>
      <c r="O407" s="42">
        <f t="shared" si="414"/>
        <v>0</v>
      </c>
      <c r="P407" s="42">
        <f t="shared" si="414"/>
        <v>0</v>
      </c>
      <c r="Q407" s="42">
        <f t="shared" si="414"/>
        <v>0</v>
      </c>
      <c r="R407" s="42">
        <f t="shared" si="414"/>
        <v>0</v>
      </c>
      <c r="S407" s="42">
        <f t="shared" si="414"/>
        <v>0</v>
      </c>
      <c r="T407" s="42"/>
      <c r="U407" s="42"/>
      <c r="V407" s="42"/>
      <c r="W407" s="42"/>
    </row>
    <row r="408" spans="1:28" s="43" customFormat="1" ht="18" hidden="1" customHeight="1">
      <c r="A408" s="596"/>
      <c r="B408" s="578"/>
      <c r="C408" s="579"/>
      <c r="D408" s="202" t="str">
        <f>серпень!D331</f>
        <v>відхилення з наростаючим</v>
      </c>
      <c r="E408" s="42"/>
      <c r="F408" s="42">
        <f>F407</f>
        <v>0</v>
      </c>
      <c r="G408" s="42">
        <f>G407+F408</f>
        <v>0</v>
      </c>
      <c r="H408" s="42">
        <f>H407+G408</f>
        <v>0</v>
      </c>
      <c r="I408" s="42">
        <f>I407+H408</f>
        <v>0</v>
      </c>
      <c r="J408" s="42">
        <f>J407+I408</f>
        <v>0</v>
      </c>
      <c r="K408" s="42">
        <f>K407+J408</f>
        <v>0</v>
      </c>
      <c r="L408" s="42"/>
      <c r="M408" s="42"/>
      <c r="N408" s="42">
        <f>N407+K408</f>
        <v>0</v>
      </c>
      <c r="O408" s="42">
        <f>O407+N408</f>
        <v>0</v>
      </c>
      <c r="P408" s="42">
        <f>P407+O408</f>
        <v>0</v>
      </c>
      <c r="Q408" s="42">
        <f>Q407+P408</f>
        <v>0</v>
      </c>
      <c r="R408" s="42">
        <f>R407+Q408</f>
        <v>0</v>
      </c>
      <c r="S408" s="42">
        <f>S407+R408</f>
        <v>0</v>
      </c>
      <c r="T408" s="42"/>
      <c r="U408" s="42"/>
      <c r="V408" s="42"/>
      <c r="W408" s="42"/>
    </row>
    <row r="409" spans="1:28" s="157" customFormat="1" ht="18" hidden="1" customHeight="1">
      <c r="A409" s="582" t="s">
        <v>39</v>
      </c>
      <c r="B409" s="655" t="s">
        <v>40</v>
      </c>
      <c r="C409" s="656"/>
      <c r="D409" s="178" t="str">
        <f>серпень!D332</f>
        <v>факт. нат.п-ки 2023</v>
      </c>
      <c r="E409" s="179"/>
      <c r="F409" s="180">
        <f t="shared" ref="F409:K411" si="415">F426+F441+F456</f>
        <v>0</v>
      </c>
      <c r="G409" s="180">
        <f t="shared" si="415"/>
        <v>0</v>
      </c>
      <c r="H409" s="180">
        <f t="shared" si="415"/>
        <v>0</v>
      </c>
      <c r="I409" s="180">
        <f t="shared" si="415"/>
        <v>0</v>
      </c>
      <c r="J409" s="180">
        <f t="shared" si="415"/>
        <v>0</v>
      </c>
      <c r="K409" s="180">
        <f t="shared" si="415"/>
        <v>0</v>
      </c>
      <c r="L409" s="215">
        <f>SUM(F409:K409)</f>
        <v>0</v>
      </c>
      <c r="M409" s="215">
        <f>L409/6</f>
        <v>0</v>
      </c>
      <c r="N409" s="180">
        <f t="shared" ref="N409:S411" si="416">N426+N441+N456</f>
        <v>0</v>
      </c>
      <c r="O409" s="180">
        <f t="shared" si="416"/>
        <v>0</v>
      </c>
      <c r="P409" s="180">
        <f t="shared" si="416"/>
        <v>0</v>
      </c>
      <c r="Q409" s="180">
        <f t="shared" si="416"/>
        <v>0</v>
      </c>
      <c r="R409" s="180">
        <f t="shared" si="416"/>
        <v>0</v>
      </c>
      <c r="S409" s="180">
        <f t="shared" si="416"/>
        <v>0</v>
      </c>
      <c r="T409" s="215">
        <f>SUM(N409:S409)</f>
        <v>0</v>
      </c>
      <c r="U409" s="215">
        <f>T409+L409</f>
        <v>0</v>
      </c>
      <c r="V409" s="233">
        <f>V426+V456</f>
        <v>0</v>
      </c>
      <c r="W409" s="184"/>
      <c r="X409" s="209"/>
    </row>
    <row r="410" spans="1:28" s="157" customFormat="1" ht="18" hidden="1" customHeight="1">
      <c r="A410" s="583"/>
      <c r="B410" s="657"/>
      <c r="C410" s="658"/>
      <c r="D410" s="178" t="str">
        <f>серпень!D333</f>
        <v>факт. нат.п-ки 2024</v>
      </c>
      <c r="E410" s="179"/>
      <c r="F410" s="180">
        <f t="shared" si="415"/>
        <v>0</v>
      </c>
      <c r="G410" s="180">
        <f t="shared" si="415"/>
        <v>0</v>
      </c>
      <c r="H410" s="180">
        <f t="shared" si="415"/>
        <v>0</v>
      </c>
      <c r="I410" s="180">
        <f t="shared" si="415"/>
        <v>0</v>
      </c>
      <c r="J410" s="180">
        <f t="shared" si="415"/>
        <v>0</v>
      </c>
      <c r="K410" s="180">
        <f t="shared" si="415"/>
        <v>0</v>
      </c>
      <c r="L410" s="215">
        <f>SUM(F410:K410)</f>
        <v>0</v>
      </c>
      <c r="M410" s="215">
        <f>L410/6</f>
        <v>0</v>
      </c>
      <c r="N410" s="180">
        <f t="shared" si="416"/>
        <v>0</v>
      </c>
      <c r="O410" s="180">
        <f t="shared" si="416"/>
        <v>0</v>
      </c>
      <c r="P410" s="180">
        <f t="shared" si="416"/>
        <v>0</v>
      </c>
      <c r="Q410" s="180">
        <f t="shared" si="416"/>
        <v>0</v>
      </c>
      <c r="R410" s="180">
        <f t="shared" si="416"/>
        <v>0</v>
      </c>
      <c r="S410" s="180">
        <f t="shared" si="416"/>
        <v>0</v>
      </c>
      <c r="T410" s="215">
        <f>SUM(N410:S410)</f>
        <v>0</v>
      </c>
      <c r="U410" s="215">
        <f>T410+L410</f>
        <v>0</v>
      </c>
      <c r="V410" s="233">
        <f>V427+V457</f>
        <v>0</v>
      </c>
      <c r="W410" s="184"/>
      <c r="X410" s="209"/>
    </row>
    <row r="411" spans="1:28" s="157" customFormat="1" ht="18" hidden="1" customHeight="1">
      <c r="A411" s="583"/>
      <c r="B411" s="657"/>
      <c r="C411" s="658"/>
      <c r="D411" s="178" t="str">
        <f>серпень!D334</f>
        <v>факт. нат.п-ки 2025</v>
      </c>
      <c r="E411" s="179"/>
      <c r="F411" s="180">
        <f>F428+F443+F458</f>
        <v>0</v>
      </c>
      <c r="G411" s="180">
        <f t="shared" si="415"/>
        <v>0</v>
      </c>
      <c r="H411" s="180">
        <f t="shared" si="415"/>
        <v>0</v>
      </c>
      <c r="I411" s="180">
        <f t="shared" si="415"/>
        <v>0</v>
      </c>
      <c r="J411" s="180">
        <f t="shared" si="415"/>
        <v>0</v>
      </c>
      <c r="K411" s="180">
        <f t="shared" si="415"/>
        <v>0</v>
      </c>
      <c r="L411" s="234">
        <f>SUM(F411:K411)</f>
        <v>0</v>
      </c>
      <c r="M411" s="215">
        <f>L411/6</f>
        <v>0</v>
      </c>
      <c r="N411" s="180">
        <f t="shared" si="416"/>
        <v>0</v>
      </c>
      <c r="O411" s="180">
        <f t="shared" si="416"/>
        <v>0</v>
      </c>
      <c r="P411" s="180">
        <f t="shared" si="416"/>
        <v>0</v>
      </c>
      <c r="Q411" s="180">
        <f t="shared" si="416"/>
        <v>0</v>
      </c>
      <c r="R411" s="180">
        <f t="shared" si="416"/>
        <v>0</v>
      </c>
      <c r="S411" s="180">
        <f t="shared" si="416"/>
        <v>0</v>
      </c>
      <c r="T411" s="215">
        <f>SUM(N411:S411)</f>
        <v>0</v>
      </c>
      <c r="U411" s="215">
        <f>T411+L411</f>
        <v>0</v>
      </c>
      <c r="V411" s="233">
        <f>V428+V443+V458</f>
        <v>0</v>
      </c>
      <c r="W411" s="184">
        <f>V411-U411</f>
        <v>0</v>
      </c>
      <c r="X411" s="209"/>
    </row>
    <row r="412" spans="1:28" s="241" customFormat="1" ht="18" hidden="1" customHeight="1">
      <c r="A412" s="583"/>
      <c r="B412" s="657"/>
      <c r="C412" s="658"/>
      <c r="D412" s="187" t="str">
        <f>серпень!D335</f>
        <v>тариф, грн.</v>
      </c>
      <c r="E412" s="188"/>
      <c r="F412" s="188" t="e">
        <f t="shared" ref="F412:S412" si="417">F413/F411*1000</f>
        <v>#DIV/0!</v>
      </c>
      <c r="G412" s="188" t="e">
        <f t="shared" si="417"/>
        <v>#DIV/0!</v>
      </c>
      <c r="H412" s="188" t="e">
        <f t="shared" si="417"/>
        <v>#DIV/0!</v>
      </c>
      <c r="I412" s="188" t="e">
        <f t="shared" si="417"/>
        <v>#DIV/0!</v>
      </c>
      <c r="J412" s="188" t="e">
        <f t="shared" si="417"/>
        <v>#DIV/0!</v>
      </c>
      <c r="K412" s="188" t="e">
        <f t="shared" si="417"/>
        <v>#DIV/0!</v>
      </c>
      <c r="L412" s="188" t="e">
        <f t="shared" si="417"/>
        <v>#DIV/0!</v>
      </c>
      <c r="M412" s="188" t="e">
        <f t="shared" si="417"/>
        <v>#DIV/0!</v>
      </c>
      <c r="N412" s="188" t="e">
        <f t="shared" si="417"/>
        <v>#DIV/0!</v>
      </c>
      <c r="O412" s="188" t="e">
        <f t="shared" si="417"/>
        <v>#DIV/0!</v>
      </c>
      <c r="P412" s="188" t="e">
        <f t="shared" si="417"/>
        <v>#DIV/0!</v>
      </c>
      <c r="Q412" s="188" t="e">
        <f t="shared" si="417"/>
        <v>#DIV/0!</v>
      </c>
      <c r="R412" s="188" t="e">
        <f t="shared" si="417"/>
        <v>#DIV/0!</v>
      </c>
      <c r="S412" s="188" t="e">
        <f t="shared" si="417"/>
        <v>#DIV/0!</v>
      </c>
      <c r="T412" s="188" t="e">
        <f>T413/T411*1000</f>
        <v>#DIV/0!</v>
      </c>
      <c r="U412" s="188" t="e">
        <f>U413/U411*1000</f>
        <v>#DIV/0!</v>
      </c>
      <c r="V412" s="188" t="e">
        <f>V413/V411*1000</f>
        <v>#DIV/0!</v>
      </c>
      <c r="W412" s="189" t="e">
        <f>W413/W411*1000</f>
        <v>#DIV/0!</v>
      </c>
      <c r="X412" s="240"/>
    </row>
    <row r="413" spans="1:28" s="172" customFormat="1" ht="18" hidden="1" customHeight="1">
      <c r="A413" s="583"/>
      <c r="B413" s="657"/>
      <c r="C413" s="658"/>
      <c r="D413" s="191" t="str">
        <f>серпень!D336</f>
        <v>сума, тис.грн.</v>
      </c>
      <c r="E413" s="192"/>
      <c r="F413" s="192">
        <f t="shared" ref="F413:K413" si="418">F430+F445+F460</f>
        <v>0</v>
      </c>
      <c r="G413" s="192">
        <f t="shared" si="418"/>
        <v>0</v>
      </c>
      <c r="H413" s="192">
        <f t="shared" si="418"/>
        <v>0</v>
      </c>
      <c r="I413" s="192">
        <f t="shared" si="418"/>
        <v>0</v>
      </c>
      <c r="J413" s="192">
        <f t="shared" si="418"/>
        <v>0</v>
      </c>
      <c r="K413" s="192">
        <f t="shared" si="418"/>
        <v>0</v>
      </c>
      <c r="L413" s="194">
        <f t="shared" ref="L413:L418" si="419">SUM(F413:K413)</f>
        <v>0</v>
      </c>
      <c r="M413" s="194">
        <f t="shared" ref="M413:M418" si="420">L413/6</f>
        <v>0</v>
      </c>
      <c r="N413" s="192">
        <f t="shared" ref="N413:S413" si="421">N430+N445+N460</f>
        <v>0</v>
      </c>
      <c r="O413" s="192">
        <f t="shared" si="421"/>
        <v>0</v>
      </c>
      <c r="P413" s="192">
        <f t="shared" si="421"/>
        <v>0</v>
      </c>
      <c r="Q413" s="192">
        <f t="shared" si="421"/>
        <v>0</v>
      </c>
      <c r="R413" s="192">
        <f t="shared" si="421"/>
        <v>0</v>
      </c>
      <c r="S413" s="192">
        <f t="shared" si="421"/>
        <v>0</v>
      </c>
      <c r="T413" s="194">
        <f t="shared" ref="T413:T418" si="422">SUM(N413:S413)</f>
        <v>0</v>
      </c>
      <c r="U413" s="194">
        <f t="shared" ref="U413:U418" si="423">T413+L413</f>
        <v>0</v>
      </c>
      <c r="V413" s="192">
        <f>V430+V460</f>
        <v>0</v>
      </c>
      <c r="W413" s="192">
        <f>V413-U413</f>
        <v>0</v>
      </c>
    </row>
    <row r="414" spans="1:28" s="172" customFormat="1" ht="18" hidden="1" customHeight="1">
      <c r="A414" s="583"/>
      <c r="B414" s="657"/>
      <c r="C414" s="658"/>
      <c r="D414" s="174" t="str">
        <f>серпень!D337</f>
        <v>абоненська плата, тис.грн.</v>
      </c>
      <c r="E414" s="192"/>
      <c r="F414" s="192">
        <f>F445</f>
        <v>0</v>
      </c>
      <c r="G414" s="192">
        <f t="shared" ref="G414:K414" si="424">G445</f>
        <v>0</v>
      </c>
      <c r="H414" s="192">
        <f t="shared" si="424"/>
        <v>0</v>
      </c>
      <c r="I414" s="192">
        <f t="shared" si="424"/>
        <v>0</v>
      </c>
      <c r="J414" s="192">
        <f t="shared" si="424"/>
        <v>0</v>
      </c>
      <c r="K414" s="192">
        <f t="shared" si="424"/>
        <v>0</v>
      </c>
      <c r="L414" s="194">
        <f t="shared" si="419"/>
        <v>0</v>
      </c>
      <c r="M414" s="194">
        <f t="shared" si="420"/>
        <v>0</v>
      </c>
      <c r="N414" s="192">
        <f>N445</f>
        <v>0</v>
      </c>
      <c r="O414" s="192">
        <f t="shared" ref="O414:S414" si="425">O445</f>
        <v>0</v>
      </c>
      <c r="P414" s="192">
        <f t="shared" si="425"/>
        <v>0</v>
      </c>
      <c r="Q414" s="192">
        <f t="shared" si="425"/>
        <v>0</v>
      </c>
      <c r="R414" s="192">
        <f t="shared" si="425"/>
        <v>0</v>
      </c>
      <c r="S414" s="192">
        <f t="shared" si="425"/>
        <v>0</v>
      </c>
      <c r="T414" s="194">
        <f t="shared" si="422"/>
        <v>0</v>
      </c>
      <c r="U414" s="194">
        <f t="shared" si="423"/>
        <v>0</v>
      </c>
      <c r="V414" s="192">
        <f t="shared" ref="V414:V415" si="426">V445</f>
        <v>0</v>
      </c>
      <c r="W414" s="192"/>
    </row>
    <row r="415" spans="1:28" s="172" customFormat="1" ht="18" hidden="1" customHeight="1">
      <c r="A415" s="583"/>
      <c r="B415" s="657"/>
      <c r="C415" s="658"/>
      <c r="D415" s="174" t="str">
        <f>серпень!D338</f>
        <v>разом сума тис. грн+абонплата</v>
      </c>
      <c r="E415" s="192"/>
      <c r="F415" s="192">
        <f>F413+F414</f>
        <v>0</v>
      </c>
      <c r="G415" s="192">
        <f t="shared" ref="G415:K415" si="427">G413+G414</f>
        <v>0</v>
      </c>
      <c r="H415" s="192">
        <f t="shared" si="427"/>
        <v>0</v>
      </c>
      <c r="I415" s="192">
        <f t="shared" si="427"/>
        <v>0</v>
      </c>
      <c r="J415" s="192">
        <f t="shared" si="427"/>
        <v>0</v>
      </c>
      <c r="K415" s="192">
        <f t="shared" si="427"/>
        <v>0</v>
      </c>
      <c r="L415" s="194">
        <f t="shared" si="419"/>
        <v>0</v>
      </c>
      <c r="M415" s="194">
        <f t="shared" si="420"/>
        <v>0</v>
      </c>
      <c r="N415" s="192">
        <f>N413+N414</f>
        <v>0</v>
      </c>
      <c r="O415" s="192">
        <f t="shared" ref="O415:S415" si="428">O413+O414</f>
        <v>0</v>
      </c>
      <c r="P415" s="192">
        <f t="shared" si="428"/>
        <v>0</v>
      </c>
      <c r="Q415" s="192">
        <f t="shared" si="428"/>
        <v>0</v>
      </c>
      <c r="R415" s="192">
        <f t="shared" si="428"/>
        <v>0</v>
      </c>
      <c r="S415" s="192">
        <f t="shared" si="428"/>
        <v>0</v>
      </c>
      <c r="T415" s="194">
        <f t="shared" si="422"/>
        <v>0</v>
      </c>
      <c r="U415" s="194">
        <f t="shared" si="423"/>
        <v>0</v>
      </c>
      <c r="V415" s="192">
        <f t="shared" si="426"/>
        <v>0</v>
      </c>
      <c r="W415" s="192"/>
    </row>
    <row r="416" spans="1:28" s="172" customFormat="1" ht="18" hidden="1" customHeight="1">
      <c r="A416" s="583"/>
      <c r="B416" s="657"/>
      <c r="C416" s="658"/>
      <c r="D416" s="174" t="str">
        <f>серпень!D339</f>
        <v>дотація</v>
      </c>
      <c r="E416" s="192"/>
      <c r="F416" s="192">
        <f t="shared" ref="F416:K417" si="429">F431+F446+F461</f>
        <v>0</v>
      </c>
      <c r="G416" s="192">
        <f t="shared" si="429"/>
        <v>0</v>
      </c>
      <c r="H416" s="192">
        <f t="shared" si="429"/>
        <v>0</v>
      </c>
      <c r="I416" s="192">
        <f t="shared" si="429"/>
        <v>0</v>
      </c>
      <c r="J416" s="192">
        <f t="shared" si="429"/>
        <v>0</v>
      </c>
      <c r="K416" s="192">
        <f t="shared" si="429"/>
        <v>0</v>
      </c>
      <c r="L416" s="194">
        <f t="shared" si="419"/>
        <v>0</v>
      </c>
      <c r="M416" s="194">
        <f t="shared" si="420"/>
        <v>0</v>
      </c>
      <c r="N416" s="192">
        <f t="shared" ref="N416:S418" si="430">N431+N446+N461</f>
        <v>0</v>
      </c>
      <c r="O416" s="192">
        <f t="shared" si="430"/>
        <v>0</v>
      </c>
      <c r="P416" s="192">
        <f t="shared" si="430"/>
        <v>0</v>
      </c>
      <c r="Q416" s="192">
        <f t="shared" si="430"/>
        <v>0</v>
      </c>
      <c r="R416" s="192">
        <f t="shared" si="430"/>
        <v>0</v>
      </c>
      <c r="S416" s="192">
        <f t="shared" si="430"/>
        <v>0</v>
      </c>
      <c r="T416" s="194">
        <f t="shared" si="422"/>
        <v>0</v>
      </c>
      <c r="U416" s="194">
        <f t="shared" si="423"/>
        <v>0</v>
      </c>
      <c r="V416" s="192">
        <f>V431+V461</f>
        <v>0</v>
      </c>
      <c r="W416" s="192">
        <f>V416-U416</f>
        <v>0</v>
      </c>
    </row>
    <row r="417" spans="1:28" s="172" customFormat="1" ht="18" hidden="1" customHeight="1">
      <c r="A417" s="583"/>
      <c r="B417" s="657"/>
      <c r="C417" s="658"/>
      <c r="D417" s="174" t="str">
        <f>серпень!D340</f>
        <v>місцевий (план), тис.грн</v>
      </c>
      <c r="E417" s="192"/>
      <c r="F417" s="192">
        <f t="shared" si="429"/>
        <v>0</v>
      </c>
      <c r="G417" s="192">
        <f t="shared" si="429"/>
        <v>0</v>
      </c>
      <c r="H417" s="192">
        <f t="shared" si="429"/>
        <v>0</v>
      </c>
      <c r="I417" s="192">
        <f t="shared" si="429"/>
        <v>0</v>
      </c>
      <c r="J417" s="192">
        <f t="shared" si="429"/>
        <v>0</v>
      </c>
      <c r="K417" s="192">
        <f t="shared" si="429"/>
        <v>0</v>
      </c>
      <c r="L417" s="194">
        <f t="shared" si="419"/>
        <v>0</v>
      </c>
      <c r="M417" s="194">
        <f t="shared" si="420"/>
        <v>0</v>
      </c>
      <c r="N417" s="192">
        <f t="shared" si="430"/>
        <v>0</v>
      </c>
      <c r="O417" s="192">
        <f t="shared" si="430"/>
        <v>0</v>
      </c>
      <c r="P417" s="192">
        <f t="shared" si="430"/>
        <v>0</v>
      </c>
      <c r="Q417" s="192">
        <f t="shared" si="430"/>
        <v>0</v>
      </c>
      <c r="R417" s="192">
        <f t="shared" si="430"/>
        <v>0</v>
      </c>
      <c r="S417" s="192">
        <f t="shared" si="430"/>
        <v>0</v>
      </c>
      <c r="T417" s="194">
        <f t="shared" si="422"/>
        <v>0</v>
      </c>
      <c r="U417" s="194">
        <f t="shared" si="423"/>
        <v>0</v>
      </c>
      <c r="V417" s="192">
        <f>V432+V462</f>
        <v>0</v>
      </c>
      <c r="W417" s="192">
        <f>V417-U417</f>
        <v>0</v>
      </c>
    </row>
    <row r="418" spans="1:28" s="157" customFormat="1" ht="18" hidden="1" customHeight="1">
      <c r="A418" s="583"/>
      <c r="B418" s="657"/>
      <c r="C418" s="658"/>
      <c r="D418" s="178" t="str">
        <f>серпень!D341</f>
        <v>касові нат.п-ки 2025</v>
      </c>
      <c r="E418" s="179">
        <f>E433</f>
        <v>0</v>
      </c>
      <c r="F418" s="179">
        <f t="shared" ref="F418:K418" si="431">F433+F448+F463</f>
        <v>0</v>
      </c>
      <c r="G418" s="179">
        <f t="shared" si="431"/>
        <v>0</v>
      </c>
      <c r="H418" s="179">
        <f t="shared" si="431"/>
        <v>0</v>
      </c>
      <c r="I418" s="179">
        <f t="shared" si="431"/>
        <v>0</v>
      </c>
      <c r="J418" s="179">
        <f t="shared" si="431"/>
        <v>0</v>
      </c>
      <c r="K418" s="179">
        <f t="shared" si="431"/>
        <v>0</v>
      </c>
      <c r="L418" s="215">
        <f t="shared" si="419"/>
        <v>0</v>
      </c>
      <c r="M418" s="215">
        <f t="shared" si="420"/>
        <v>0</v>
      </c>
      <c r="N418" s="179">
        <f t="shared" ref="N418:S418" si="432">N433+N448+N463</f>
        <v>0</v>
      </c>
      <c r="O418" s="179">
        <f t="shared" si="432"/>
        <v>0</v>
      </c>
      <c r="P418" s="179">
        <f t="shared" si="430"/>
        <v>0</v>
      </c>
      <c r="Q418" s="179">
        <f t="shared" si="432"/>
        <v>0</v>
      </c>
      <c r="R418" s="179">
        <f t="shared" si="432"/>
        <v>0</v>
      </c>
      <c r="S418" s="179">
        <f t="shared" si="432"/>
        <v>0</v>
      </c>
      <c r="T418" s="215">
        <f t="shared" si="422"/>
        <v>0</v>
      </c>
      <c r="U418" s="215">
        <f t="shared" si="423"/>
        <v>0</v>
      </c>
      <c r="V418" s="179">
        <f>V433+V463</f>
        <v>0</v>
      </c>
      <c r="W418" s="184">
        <f>V418-U418</f>
        <v>0</v>
      </c>
      <c r="X418" s="209">
        <f>U411-U418</f>
        <v>0</v>
      </c>
    </row>
    <row r="419" spans="1:28" s="241" customFormat="1" ht="18" hidden="1" customHeight="1">
      <c r="A419" s="583"/>
      <c r="B419" s="657"/>
      <c r="C419" s="658"/>
      <c r="D419" s="187" t="str">
        <f>серпень!D342</f>
        <v>тариф, грн.</v>
      </c>
      <c r="E419" s="188" t="e">
        <f t="shared" ref="E419:S419" si="433">E420/E418*1000</f>
        <v>#DIV/0!</v>
      </c>
      <c r="F419" s="188" t="e">
        <f t="shared" si="433"/>
        <v>#DIV/0!</v>
      </c>
      <c r="G419" s="188" t="e">
        <f t="shared" si="433"/>
        <v>#DIV/0!</v>
      </c>
      <c r="H419" s="188" t="e">
        <f t="shared" si="433"/>
        <v>#DIV/0!</v>
      </c>
      <c r="I419" s="188" t="e">
        <f t="shared" si="433"/>
        <v>#DIV/0!</v>
      </c>
      <c r="J419" s="188" t="e">
        <f t="shared" si="433"/>
        <v>#DIV/0!</v>
      </c>
      <c r="K419" s="188" t="e">
        <f t="shared" si="433"/>
        <v>#DIV/0!</v>
      </c>
      <c r="L419" s="188" t="e">
        <f t="shared" si="433"/>
        <v>#DIV/0!</v>
      </c>
      <c r="M419" s="188" t="e">
        <f t="shared" si="433"/>
        <v>#DIV/0!</v>
      </c>
      <c r="N419" s="188" t="e">
        <f t="shared" si="433"/>
        <v>#DIV/0!</v>
      </c>
      <c r="O419" s="188" t="e">
        <f t="shared" si="433"/>
        <v>#DIV/0!</v>
      </c>
      <c r="P419" s="188" t="e">
        <f t="shared" si="433"/>
        <v>#DIV/0!</v>
      </c>
      <c r="Q419" s="188" t="e">
        <f t="shared" si="433"/>
        <v>#DIV/0!</v>
      </c>
      <c r="R419" s="188" t="e">
        <f t="shared" si="433"/>
        <v>#DIV/0!</v>
      </c>
      <c r="S419" s="188" t="e">
        <f t="shared" si="433"/>
        <v>#DIV/0!</v>
      </c>
      <c r="T419" s="188" t="e">
        <f>T420/T418*1000</f>
        <v>#DIV/0!</v>
      </c>
      <c r="U419" s="188" t="e">
        <f>U420/U418*1000</f>
        <v>#DIV/0!</v>
      </c>
      <c r="V419" s="188" t="e">
        <f>V420/V418*1000</f>
        <v>#DIV/0!</v>
      </c>
      <c r="W419" s="189" t="e">
        <f>W420/W418*1000</f>
        <v>#DIV/0!</v>
      </c>
      <c r="X419" s="240"/>
    </row>
    <row r="420" spans="1:28" s="213" customFormat="1" ht="18" hidden="1" customHeight="1">
      <c r="A420" s="583"/>
      <c r="B420" s="657"/>
      <c r="C420" s="658"/>
      <c r="D420" s="198" t="str">
        <f>серпень!D343</f>
        <v>касові видатки, тис.грн.</v>
      </c>
      <c r="E420" s="220">
        <f>E435+E465</f>
        <v>0</v>
      </c>
      <c r="F420" s="199">
        <f t="shared" ref="F420:K422" si="434">F435+F450+F465</f>
        <v>0</v>
      </c>
      <c r="G420" s="199">
        <f t="shared" si="434"/>
        <v>0</v>
      </c>
      <c r="H420" s="199">
        <f t="shared" si="434"/>
        <v>0</v>
      </c>
      <c r="I420" s="199">
        <f t="shared" si="434"/>
        <v>0</v>
      </c>
      <c r="J420" s="199">
        <f t="shared" si="434"/>
        <v>0</v>
      </c>
      <c r="K420" s="199">
        <f t="shared" si="434"/>
        <v>0</v>
      </c>
      <c r="L420" s="199">
        <f>SUM(F420:K420)</f>
        <v>0</v>
      </c>
      <c r="M420" s="199">
        <f>L420/6</f>
        <v>0</v>
      </c>
      <c r="N420" s="199">
        <f t="shared" ref="N420:S422" si="435">N435+N450+N465</f>
        <v>0</v>
      </c>
      <c r="O420" s="199">
        <f t="shared" si="435"/>
        <v>0</v>
      </c>
      <c r="P420" s="199">
        <f t="shared" si="435"/>
        <v>0</v>
      </c>
      <c r="Q420" s="199">
        <f t="shared" si="435"/>
        <v>0</v>
      </c>
      <c r="R420" s="199">
        <f t="shared" si="435"/>
        <v>0</v>
      </c>
      <c r="S420" s="199">
        <f t="shared" si="435"/>
        <v>0</v>
      </c>
      <c r="T420" s="199">
        <f>SUM(N420:S420)</f>
        <v>0</v>
      </c>
      <c r="U420" s="199">
        <f>T420+L420</f>
        <v>0</v>
      </c>
      <c r="V420" s="199">
        <f>V435+V465</f>
        <v>0</v>
      </c>
      <c r="W420" s="221">
        <f>V420-U420</f>
        <v>0</v>
      </c>
      <c r="X420" s="213">
        <f>U413-U420</f>
        <v>0</v>
      </c>
    </row>
    <row r="421" spans="1:28" s="213" customFormat="1" ht="18" hidden="1" customHeight="1">
      <c r="A421" s="583"/>
      <c r="B421" s="657"/>
      <c r="C421" s="658"/>
      <c r="D421" s="201" t="str">
        <f>серпень!D344</f>
        <v>дотація</v>
      </c>
      <c r="E421" s="220"/>
      <c r="F421" s="199">
        <f t="shared" si="434"/>
        <v>0</v>
      </c>
      <c r="G421" s="199">
        <f t="shared" si="434"/>
        <v>0</v>
      </c>
      <c r="H421" s="199">
        <f t="shared" si="434"/>
        <v>0</v>
      </c>
      <c r="I421" s="199">
        <f t="shared" si="434"/>
        <v>0</v>
      </c>
      <c r="J421" s="199">
        <f t="shared" si="434"/>
        <v>0</v>
      </c>
      <c r="K421" s="199">
        <f t="shared" si="434"/>
        <v>0</v>
      </c>
      <c r="L421" s="199">
        <f>SUM(F421:K421)</f>
        <v>0</v>
      </c>
      <c r="M421" s="199">
        <f>L421/6</f>
        <v>0</v>
      </c>
      <c r="N421" s="199">
        <f t="shared" si="435"/>
        <v>0</v>
      </c>
      <c r="O421" s="199">
        <f t="shared" si="435"/>
        <v>0</v>
      </c>
      <c r="P421" s="199">
        <f t="shared" si="435"/>
        <v>0</v>
      </c>
      <c r="Q421" s="199">
        <f t="shared" si="435"/>
        <v>0</v>
      </c>
      <c r="R421" s="199">
        <f t="shared" si="435"/>
        <v>0</v>
      </c>
      <c r="S421" s="199">
        <f t="shared" si="435"/>
        <v>0</v>
      </c>
      <c r="T421" s="199">
        <f>SUM(N421:S421)</f>
        <v>0</v>
      </c>
      <c r="U421" s="199">
        <f>T421+L421</f>
        <v>0</v>
      </c>
      <c r="V421" s="199">
        <f>V436+V466</f>
        <v>0</v>
      </c>
      <c r="W421" s="221">
        <f>V421-U421</f>
        <v>0</v>
      </c>
      <c r="X421" s="213">
        <f>U416-U421</f>
        <v>0</v>
      </c>
    </row>
    <row r="422" spans="1:28" s="213" customFormat="1" ht="18" hidden="1" customHeight="1">
      <c r="A422" s="583"/>
      <c r="B422" s="657"/>
      <c r="C422" s="658"/>
      <c r="D422" s="201" t="str">
        <f>серпень!D345</f>
        <v xml:space="preserve">місцевий </v>
      </c>
      <c r="E422" s="220"/>
      <c r="F422" s="199">
        <f t="shared" si="434"/>
        <v>0</v>
      </c>
      <c r="G422" s="199">
        <f t="shared" si="434"/>
        <v>0</v>
      </c>
      <c r="H422" s="199">
        <f t="shared" si="434"/>
        <v>0</v>
      </c>
      <c r="I422" s="199">
        <f t="shared" si="434"/>
        <v>0</v>
      </c>
      <c r="J422" s="199">
        <f t="shared" si="434"/>
        <v>0</v>
      </c>
      <c r="K422" s="199">
        <f t="shared" si="434"/>
        <v>0</v>
      </c>
      <c r="L422" s="199">
        <f>SUM(F422:K422)</f>
        <v>0</v>
      </c>
      <c r="M422" s="199">
        <f>L422/6</f>
        <v>0</v>
      </c>
      <c r="N422" s="199">
        <f t="shared" si="435"/>
        <v>0</v>
      </c>
      <c r="O422" s="199">
        <f t="shared" si="435"/>
        <v>0</v>
      </c>
      <c r="P422" s="199">
        <f t="shared" si="435"/>
        <v>0</v>
      </c>
      <c r="Q422" s="199">
        <f t="shared" si="435"/>
        <v>0</v>
      </c>
      <c r="R422" s="199">
        <f t="shared" si="435"/>
        <v>0</v>
      </c>
      <c r="S422" s="199">
        <f t="shared" si="435"/>
        <v>0</v>
      </c>
      <c r="T422" s="199">
        <f>SUM(N422:S422)</f>
        <v>0</v>
      </c>
      <c r="U422" s="199">
        <f>T422+L422</f>
        <v>0</v>
      </c>
      <c r="V422" s="199">
        <f>V437+V467</f>
        <v>0</v>
      </c>
      <c r="W422" s="221">
        <f>V422-U422</f>
        <v>0</v>
      </c>
      <c r="X422" s="213">
        <f>U417-U422</f>
        <v>0</v>
      </c>
    </row>
    <row r="423" spans="1:28" s="214" customFormat="1" ht="18" hidden="1" customHeight="1">
      <c r="A423" s="583"/>
      <c r="B423" s="657"/>
      <c r="C423" s="658"/>
      <c r="D423" s="202" t="str">
        <f>серпень!D346</f>
        <v>план</v>
      </c>
      <c r="E423" s="203"/>
      <c r="F423" s="203">
        <f t="shared" ref="F423:K423" si="436">F417</f>
        <v>0</v>
      </c>
      <c r="G423" s="203">
        <f t="shared" si="436"/>
        <v>0</v>
      </c>
      <c r="H423" s="203">
        <f t="shared" si="436"/>
        <v>0</v>
      </c>
      <c r="I423" s="203">
        <f t="shared" si="436"/>
        <v>0</v>
      </c>
      <c r="J423" s="203">
        <f t="shared" si="436"/>
        <v>0</v>
      </c>
      <c r="K423" s="203">
        <f t="shared" si="436"/>
        <v>0</v>
      </c>
      <c r="L423" s="203">
        <f>SUM(F423:K423)</f>
        <v>0</v>
      </c>
      <c r="M423" s="203">
        <f>L423/6</f>
        <v>0</v>
      </c>
      <c r="N423" s="203">
        <f t="shared" ref="N423:S423" si="437">N438+N468</f>
        <v>0</v>
      </c>
      <c r="O423" s="203">
        <f t="shared" si="437"/>
        <v>0</v>
      </c>
      <c r="P423" s="203">
        <f t="shared" si="437"/>
        <v>0</v>
      </c>
      <c r="Q423" s="203">
        <f t="shared" si="437"/>
        <v>0</v>
      </c>
      <c r="R423" s="203">
        <f t="shared" si="437"/>
        <v>0</v>
      </c>
      <c r="S423" s="203">
        <f t="shared" si="437"/>
        <v>0</v>
      </c>
      <c r="T423" s="203">
        <f>SUM(N423:S423)</f>
        <v>0</v>
      </c>
      <c r="U423" s="203">
        <f>T423+L423</f>
        <v>0</v>
      </c>
      <c r="V423" s="203">
        <f>V417+V416</f>
        <v>0</v>
      </c>
      <c r="W423" s="203">
        <f>V423-U423</f>
        <v>0</v>
      </c>
    </row>
    <row r="424" spans="1:28" s="214" customFormat="1" ht="18" hidden="1" customHeight="1">
      <c r="A424" s="583"/>
      <c r="B424" s="657"/>
      <c r="C424" s="658"/>
      <c r="D424" s="202" t="str">
        <f>серпень!D347</f>
        <v xml:space="preserve">відхилення </v>
      </c>
      <c r="E424" s="203"/>
      <c r="F424" s="203">
        <f t="shared" ref="F424:K424" si="438">F420-F423</f>
        <v>0</v>
      </c>
      <c r="G424" s="203">
        <f t="shared" si="438"/>
        <v>0</v>
      </c>
      <c r="H424" s="203">
        <f t="shared" si="438"/>
        <v>0</v>
      </c>
      <c r="I424" s="203">
        <f t="shared" si="438"/>
        <v>0</v>
      </c>
      <c r="J424" s="203">
        <f t="shared" si="438"/>
        <v>0</v>
      </c>
      <c r="K424" s="203">
        <f t="shared" si="438"/>
        <v>0</v>
      </c>
      <c r="L424" s="203"/>
      <c r="M424" s="203"/>
      <c r="N424" s="203">
        <f t="shared" ref="N424:S424" si="439">N420-N423</f>
        <v>0</v>
      </c>
      <c r="O424" s="203">
        <f t="shared" si="439"/>
        <v>0</v>
      </c>
      <c r="P424" s="203">
        <f t="shared" si="439"/>
        <v>0</v>
      </c>
      <c r="Q424" s="203">
        <f t="shared" si="439"/>
        <v>0</v>
      </c>
      <c r="R424" s="203">
        <f t="shared" si="439"/>
        <v>0</v>
      </c>
      <c r="S424" s="203">
        <f t="shared" si="439"/>
        <v>0</v>
      </c>
      <c r="T424" s="203"/>
      <c r="U424" s="203"/>
      <c r="V424" s="203"/>
      <c r="W424" s="203"/>
    </row>
    <row r="425" spans="1:28" s="214" customFormat="1" ht="18" hidden="1" customHeight="1">
      <c r="A425" s="583"/>
      <c r="B425" s="657"/>
      <c r="C425" s="658"/>
      <c r="D425" s="202" t="str">
        <f>серпень!D348</f>
        <v>відхилення з наростаючим</v>
      </c>
      <c r="E425" s="203"/>
      <c r="F425" s="203">
        <f>F424</f>
        <v>0</v>
      </c>
      <c r="G425" s="203">
        <f>G424+F425</f>
        <v>0</v>
      </c>
      <c r="H425" s="203">
        <f>H424+G425</f>
        <v>0</v>
      </c>
      <c r="I425" s="203">
        <f>I424+H425</f>
        <v>0</v>
      </c>
      <c r="J425" s="203">
        <f>J424+I425</f>
        <v>0</v>
      </c>
      <c r="K425" s="203">
        <f>K424+J425</f>
        <v>0</v>
      </c>
      <c r="L425" s="203"/>
      <c r="M425" s="203"/>
      <c r="N425" s="203">
        <f>N424+K425</f>
        <v>0</v>
      </c>
      <c r="O425" s="203">
        <f>O424+N425</f>
        <v>0</v>
      </c>
      <c r="P425" s="203">
        <f>P424+O425</f>
        <v>0</v>
      </c>
      <c r="Q425" s="203">
        <f>Q424+P425</f>
        <v>0</v>
      </c>
      <c r="R425" s="203">
        <f>R424+Q425</f>
        <v>0</v>
      </c>
      <c r="S425" s="203">
        <f>S424+R425</f>
        <v>0</v>
      </c>
      <c r="T425" s="203"/>
      <c r="U425" s="203"/>
      <c r="V425" s="203"/>
      <c r="W425" s="203"/>
    </row>
    <row r="426" spans="1:28" s="10" customFormat="1" ht="18" hidden="1" customHeight="1">
      <c r="A426" s="583"/>
      <c r="B426" s="581" t="s">
        <v>37</v>
      </c>
      <c r="C426" s="581"/>
      <c r="D426" s="178" t="str">
        <f>серпень!D349</f>
        <v>факт. нат.п-ки 2023</v>
      </c>
      <c r="E426" s="11"/>
      <c r="F426" s="12"/>
      <c r="G426" s="12"/>
      <c r="H426" s="12"/>
      <c r="I426" s="12"/>
      <c r="J426" s="12"/>
      <c r="K426" s="12"/>
      <c r="L426" s="65">
        <f>SUM(F426:K426)</f>
        <v>0</v>
      </c>
      <c r="M426" s="65">
        <f>L426/6</f>
        <v>0</v>
      </c>
      <c r="N426" s="12"/>
      <c r="O426" s="12"/>
      <c r="P426" s="12"/>
      <c r="Q426" s="12"/>
      <c r="R426" s="12"/>
      <c r="S426" s="12"/>
      <c r="T426" s="65">
        <f>SUM(N426:S426)</f>
        <v>0</v>
      </c>
      <c r="U426" s="65">
        <f>T426+L426</f>
        <v>0</v>
      </c>
      <c r="V426" s="67"/>
      <c r="W426" s="38"/>
      <c r="X426" s="36"/>
    </row>
    <row r="427" spans="1:28" s="48" customFormat="1" ht="18" hidden="1" customHeight="1">
      <c r="A427" s="583"/>
      <c r="B427" s="581"/>
      <c r="C427" s="581"/>
      <c r="D427" s="178" t="str">
        <f>серпень!D350</f>
        <v>факт. нат.п-ки 2024</v>
      </c>
      <c r="E427" s="11"/>
      <c r="F427" s="12"/>
      <c r="G427" s="12"/>
      <c r="H427" s="12"/>
      <c r="I427" s="12"/>
      <c r="J427" s="12"/>
      <c r="K427" s="12"/>
      <c r="L427" s="65">
        <f>SUM(F427:K427)</f>
        <v>0</v>
      </c>
      <c r="M427" s="65">
        <f>L427/6</f>
        <v>0</v>
      </c>
      <c r="N427" s="11"/>
      <c r="O427" s="11"/>
      <c r="P427" s="11"/>
      <c r="Q427" s="11"/>
      <c r="R427" s="11"/>
      <c r="S427" s="11"/>
      <c r="T427" s="65">
        <f>SUM(N427:S427)</f>
        <v>0</v>
      </c>
      <c r="U427" s="65">
        <f>T427+L427</f>
        <v>0</v>
      </c>
      <c r="V427" s="67"/>
      <c r="W427" s="38"/>
      <c r="X427" s="47"/>
    </row>
    <row r="428" spans="1:28" s="10" customFormat="1" ht="18" hidden="1" customHeight="1">
      <c r="A428" s="583"/>
      <c r="B428" s="581"/>
      <c r="C428" s="581"/>
      <c r="D428" s="178" t="str">
        <f>серпень!D351</f>
        <v>факт. нат.п-ки 2025</v>
      </c>
      <c r="E428" s="11"/>
      <c r="F428" s="12"/>
      <c r="G428" s="12"/>
      <c r="H428" s="12"/>
      <c r="I428" s="12"/>
      <c r="J428" s="12"/>
      <c r="K428" s="12"/>
      <c r="L428" s="65">
        <f>SUM(F428:K428)</f>
        <v>0</v>
      </c>
      <c r="M428" s="65">
        <f>L428/6</f>
        <v>0</v>
      </c>
      <c r="N428" s="12"/>
      <c r="O428" s="12"/>
      <c r="P428" s="12"/>
      <c r="Q428" s="12"/>
      <c r="R428" s="12"/>
      <c r="S428" s="11"/>
      <c r="T428" s="65">
        <f>SUM(N428:S428)</f>
        <v>0</v>
      </c>
      <c r="U428" s="65">
        <f>T428+L428</f>
        <v>0</v>
      </c>
      <c r="V428" s="11"/>
      <c r="W428" s="38">
        <f>V428-U428</f>
        <v>0</v>
      </c>
      <c r="X428" s="36"/>
      <c r="Y428" s="3"/>
      <c r="Z428" s="3"/>
      <c r="AA428" s="3"/>
      <c r="AB428" s="3"/>
    </row>
    <row r="429" spans="1:28" s="114" customFormat="1" ht="18" hidden="1" customHeight="1">
      <c r="A429" s="583"/>
      <c r="B429" s="581"/>
      <c r="C429" s="581"/>
      <c r="D429" s="187" t="str">
        <f>серпень!D352</f>
        <v>тариф, грн.</v>
      </c>
      <c r="E429" s="49"/>
      <c r="F429" s="49">
        <v>14.183999999999999</v>
      </c>
      <c r="G429" s="49">
        <v>14.183999999999999</v>
      </c>
      <c r="H429" s="49">
        <v>14.183999999999999</v>
      </c>
      <c r="I429" s="49">
        <v>14.183999999999999</v>
      </c>
      <c r="J429" s="49">
        <v>14.183999999999999</v>
      </c>
      <c r="K429" s="49">
        <v>14.183999999999999</v>
      </c>
      <c r="L429" s="68" t="e">
        <f>L430/L428*1000</f>
        <v>#DIV/0!</v>
      </c>
      <c r="M429" s="68" t="e">
        <f>M430/M428*1000</f>
        <v>#DIV/0!</v>
      </c>
      <c r="N429" s="49">
        <v>14.183999999999999</v>
      </c>
      <c r="O429" s="49">
        <v>14.183999999999999</v>
      </c>
      <c r="P429" s="49">
        <v>14.183999999999999</v>
      </c>
      <c r="Q429" s="49">
        <v>14.183999999999999</v>
      </c>
      <c r="R429" s="49">
        <v>14.183999999999999</v>
      </c>
      <c r="S429" s="49">
        <v>14.183999999999999</v>
      </c>
      <c r="T429" s="68" t="e">
        <f>T430/T428*1000</f>
        <v>#DIV/0!</v>
      </c>
      <c r="U429" s="68" t="e">
        <f>U430/U428*1000</f>
        <v>#DIV/0!</v>
      </c>
      <c r="V429" s="68" t="e">
        <f>V430/V428*1000</f>
        <v>#DIV/0!</v>
      </c>
      <c r="W429" s="14" t="e">
        <f>W430/W428*1000</f>
        <v>#DIV/0!</v>
      </c>
      <c r="X429" s="36"/>
      <c r="Y429" s="3"/>
      <c r="Z429" s="3"/>
      <c r="AA429" s="3"/>
      <c r="AB429" s="3"/>
    </row>
    <row r="430" spans="1:28" s="114" customFormat="1" ht="18" hidden="1" customHeight="1">
      <c r="A430" s="583"/>
      <c r="B430" s="581"/>
      <c r="C430" s="581"/>
      <c r="D430" s="191" t="str">
        <f>серпень!D353</f>
        <v>сума, тис.грн.</v>
      </c>
      <c r="E430" s="52"/>
      <c r="F430" s="52">
        <f t="shared" ref="F430:K430" si="440">F428*F429/1000</f>
        <v>0</v>
      </c>
      <c r="G430" s="52">
        <f t="shared" si="440"/>
        <v>0</v>
      </c>
      <c r="H430" s="52">
        <f t="shared" si="440"/>
        <v>0</v>
      </c>
      <c r="I430" s="52">
        <f t="shared" si="440"/>
        <v>0</v>
      </c>
      <c r="J430" s="52">
        <f t="shared" si="440"/>
        <v>0</v>
      </c>
      <c r="K430" s="52">
        <f t="shared" si="440"/>
        <v>0</v>
      </c>
      <c r="L430" s="69">
        <f>SUM(F430:K430)</f>
        <v>0</v>
      </c>
      <c r="M430" s="69">
        <f>L430/6</f>
        <v>0</v>
      </c>
      <c r="N430" s="52">
        <f t="shared" ref="N430:S430" si="441">N428*N429/1000</f>
        <v>0</v>
      </c>
      <c r="O430" s="52">
        <f t="shared" si="441"/>
        <v>0</v>
      </c>
      <c r="P430" s="52">
        <f t="shared" si="441"/>
        <v>0</v>
      </c>
      <c r="Q430" s="52">
        <f t="shared" si="441"/>
        <v>0</v>
      </c>
      <c r="R430" s="52">
        <f t="shared" si="441"/>
        <v>0</v>
      </c>
      <c r="S430" s="52">
        <f t="shared" si="441"/>
        <v>0</v>
      </c>
      <c r="T430" s="69">
        <f>SUM(N430:S430)</f>
        <v>0</v>
      </c>
      <c r="U430" s="69">
        <f>T430+L430</f>
        <v>0</v>
      </c>
      <c r="V430" s="70">
        <f>V432+V431</f>
        <v>0</v>
      </c>
      <c r="W430" s="53">
        <f>V430-U430</f>
        <v>0</v>
      </c>
      <c r="X430" s="113"/>
    </row>
    <row r="431" spans="1:28" s="114" customFormat="1" ht="18" hidden="1" customHeight="1">
      <c r="A431" s="583"/>
      <c r="B431" s="581"/>
      <c r="C431" s="581"/>
      <c r="D431" s="174" t="str">
        <f>серпень!D354</f>
        <v>дотація</v>
      </c>
      <c r="E431" s="56"/>
      <c r="F431" s="52"/>
      <c r="G431" s="52"/>
      <c r="H431" s="52"/>
      <c r="I431" s="52"/>
      <c r="J431" s="52"/>
      <c r="K431" s="52"/>
      <c r="L431" s="69">
        <f>SUM(F431:K431)</f>
        <v>0</v>
      </c>
      <c r="M431" s="69">
        <f>L431/6</f>
        <v>0</v>
      </c>
      <c r="N431" s="52"/>
      <c r="O431" s="52"/>
      <c r="P431" s="52"/>
      <c r="Q431" s="52"/>
      <c r="R431" s="52"/>
      <c r="S431" s="52"/>
      <c r="T431" s="69">
        <f>SUM(N431:S431)</f>
        <v>0</v>
      </c>
      <c r="U431" s="69">
        <f>T431+L431</f>
        <v>0</v>
      </c>
      <c r="V431" s="70">
        <v>0</v>
      </c>
      <c r="W431" s="53">
        <f>V431-U431</f>
        <v>0</v>
      </c>
      <c r="X431" s="113"/>
    </row>
    <row r="432" spans="1:28" s="114" customFormat="1" ht="18" hidden="1" customHeight="1">
      <c r="A432" s="583"/>
      <c r="B432" s="581"/>
      <c r="C432" s="581"/>
      <c r="D432" s="174" t="str">
        <f>серпень!D355</f>
        <v>місцевий (план), тис.грн</v>
      </c>
      <c r="E432" s="56"/>
      <c r="F432" s="52"/>
      <c r="G432" s="52"/>
      <c r="H432" s="52"/>
      <c r="I432" s="52"/>
      <c r="J432" s="52"/>
      <c r="K432" s="52"/>
      <c r="L432" s="69">
        <f>SUM(F432:K432)</f>
        <v>0</v>
      </c>
      <c r="M432" s="69">
        <f>L432/6</f>
        <v>0</v>
      </c>
      <c r="N432" s="52"/>
      <c r="O432" s="52"/>
      <c r="P432" s="52"/>
      <c r="Q432" s="52"/>
      <c r="R432" s="52"/>
      <c r="S432" s="52"/>
      <c r="T432" s="69">
        <f>SUM(N432:S432)</f>
        <v>0</v>
      </c>
      <c r="U432" s="69">
        <f>T432+L432</f>
        <v>0</v>
      </c>
      <c r="V432" s="70"/>
      <c r="W432" s="53">
        <f>V432-U432</f>
        <v>0</v>
      </c>
      <c r="X432" s="113"/>
    </row>
    <row r="433" spans="1:28" s="3" customFormat="1" ht="18" hidden="1" customHeight="1">
      <c r="A433" s="583"/>
      <c r="B433" s="581"/>
      <c r="C433" s="581"/>
      <c r="D433" s="178" t="str">
        <f>серпень!D356</f>
        <v>касові нат.п-ки 2025</v>
      </c>
      <c r="E433" s="11"/>
      <c r="F433" s="11"/>
      <c r="G433" s="11"/>
      <c r="H433" s="11"/>
      <c r="I433" s="11"/>
      <c r="J433" s="11"/>
      <c r="K433" s="11"/>
      <c r="L433" s="65">
        <f>SUM(F433:K433)</f>
        <v>0</v>
      </c>
      <c r="M433" s="65">
        <f>L433/6</f>
        <v>0</v>
      </c>
      <c r="N433" s="11"/>
      <c r="O433" s="11"/>
      <c r="P433" s="11"/>
      <c r="Q433" s="11"/>
      <c r="R433" s="11"/>
      <c r="S433" s="11"/>
      <c r="T433" s="65">
        <f>SUM(N433:S433)</f>
        <v>0</v>
      </c>
      <c r="U433" s="65">
        <f>T433+L433</f>
        <v>0</v>
      </c>
      <c r="V433" s="11">
        <f>V428</f>
        <v>0</v>
      </c>
      <c r="W433" s="38">
        <f>V433-U433</f>
        <v>0</v>
      </c>
      <c r="X433" s="47">
        <f>U428-U433</f>
        <v>0</v>
      </c>
    </row>
    <row r="434" spans="1:28" s="73" customFormat="1" ht="18" hidden="1" customHeight="1">
      <c r="A434" s="583"/>
      <c r="B434" s="581"/>
      <c r="C434" s="581"/>
      <c r="D434" s="187" t="str">
        <f>серпень!D357</f>
        <v>тариф, грн.</v>
      </c>
      <c r="E434" s="49" t="e">
        <f>E435/E433*1000</f>
        <v>#DIV/0!</v>
      </c>
      <c r="F434" s="49">
        <v>14.183999999999999</v>
      </c>
      <c r="G434" s="49">
        <v>14.183999999999999</v>
      </c>
      <c r="H434" s="49">
        <v>14.183999999999999</v>
      </c>
      <c r="I434" s="49">
        <v>14.183999999999999</v>
      </c>
      <c r="J434" s="49">
        <v>14.183999999999999</v>
      </c>
      <c r="K434" s="49">
        <v>14.183999999999999</v>
      </c>
      <c r="L434" s="68" t="e">
        <f>L435/L433*1000</f>
        <v>#DIV/0!</v>
      </c>
      <c r="M434" s="68" t="e">
        <f>M435/M433*1000</f>
        <v>#DIV/0!</v>
      </c>
      <c r="N434" s="49">
        <v>14.183999999999999</v>
      </c>
      <c r="O434" s="49">
        <v>14.183999999999999</v>
      </c>
      <c r="P434" s="49">
        <v>14.183999999999999</v>
      </c>
      <c r="Q434" s="49">
        <v>14.183999999999999</v>
      </c>
      <c r="R434" s="49">
        <v>14.183999999999999</v>
      </c>
      <c r="S434" s="49">
        <v>14.183999999999999</v>
      </c>
      <c r="T434" s="68" t="e">
        <f>T435/T433*1000</f>
        <v>#DIV/0!</v>
      </c>
      <c r="U434" s="68" t="e">
        <f>U435/U433*1000</f>
        <v>#DIV/0!</v>
      </c>
      <c r="V434" s="68" t="e">
        <f>V435/V433*1000</f>
        <v>#DIV/0!</v>
      </c>
      <c r="W434" s="14" t="e">
        <f>W435/W433*1000</f>
        <v>#DIV/0!</v>
      </c>
      <c r="X434" s="59"/>
      <c r="Y434" s="36"/>
      <c r="Z434" s="36"/>
      <c r="AA434" s="36"/>
      <c r="AB434" s="36"/>
    </row>
    <row r="435" spans="1:28" s="126" customFormat="1" ht="18" hidden="1" customHeight="1">
      <c r="A435" s="583"/>
      <c r="B435" s="581"/>
      <c r="C435" s="581"/>
      <c r="D435" s="198" t="str">
        <f>серпень!D358</f>
        <v>касові видатки, тис.грн.</v>
      </c>
      <c r="E435" s="71"/>
      <c r="F435" s="61">
        <f t="shared" ref="F435:K435" si="442">F433*F434/1000</f>
        <v>0</v>
      </c>
      <c r="G435" s="61">
        <f t="shared" si="442"/>
        <v>0</v>
      </c>
      <c r="H435" s="61">
        <f t="shared" si="442"/>
        <v>0</v>
      </c>
      <c r="I435" s="61">
        <f t="shared" si="442"/>
        <v>0</v>
      </c>
      <c r="J435" s="61">
        <f t="shared" si="442"/>
        <v>0</v>
      </c>
      <c r="K435" s="61">
        <f t="shared" si="442"/>
        <v>0</v>
      </c>
      <c r="L435" s="61">
        <f>SUM(F435:K435)</f>
        <v>0</v>
      </c>
      <c r="M435" s="61">
        <f>L435/6</f>
        <v>0</v>
      </c>
      <c r="N435" s="61">
        <f t="shared" ref="N435:S435" si="443">N433*N434/1000</f>
        <v>0</v>
      </c>
      <c r="O435" s="61">
        <f t="shared" si="443"/>
        <v>0</v>
      </c>
      <c r="P435" s="61">
        <f t="shared" si="443"/>
        <v>0</v>
      </c>
      <c r="Q435" s="61">
        <f t="shared" si="443"/>
        <v>0</v>
      </c>
      <c r="R435" s="61">
        <f t="shared" si="443"/>
        <v>0</v>
      </c>
      <c r="S435" s="61">
        <f t="shared" si="443"/>
        <v>0</v>
      </c>
      <c r="T435" s="61">
        <f>SUM(N435:S435)</f>
        <v>0</v>
      </c>
      <c r="U435" s="61">
        <f>T435+L435</f>
        <v>0</v>
      </c>
      <c r="V435" s="61">
        <f>V430</f>
        <v>0</v>
      </c>
      <c r="W435" s="72">
        <f>V435-U435</f>
        <v>0</v>
      </c>
      <c r="X435" s="63">
        <f>U430-U435</f>
        <v>0</v>
      </c>
    </row>
    <row r="436" spans="1:28" s="126" customFormat="1" ht="18" hidden="1" customHeight="1">
      <c r="A436" s="583"/>
      <c r="B436" s="581"/>
      <c r="C436" s="581"/>
      <c r="D436" s="201" t="str">
        <f>серпень!D359</f>
        <v>дотація</v>
      </c>
      <c r="E436" s="71"/>
      <c r="F436" s="61">
        <v>0</v>
      </c>
      <c r="G436" s="61">
        <v>0</v>
      </c>
      <c r="H436" s="61">
        <v>0</v>
      </c>
      <c r="I436" s="61">
        <v>0</v>
      </c>
      <c r="J436" s="61">
        <v>0</v>
      </c>
      <c r="K436" s="61">
        <v>0</v>
      </c>
      <c r="L436" s="61">
        <f>SUM(F436:K436)</f>
        <v>0</v>
      </c>
      <c r="M436" s="61">
        <f>L436/6</f>
        <v>0</v>
      </c>
      <c r="N436" s="61">
        <v>0</v>
      </c>
      <c r="O436" s="61">
        <v>0</v>
      </c>
      <c r="P436" s="61">
        <v>0</v>
      </c>
      <c r="Q436" s="61">
        <v>0</v>
      </c>
      <c r="R436" s="61">
        <v>0</v>
      </c>
      <c r="S436" s="61">
        <v>0</v>
      </c>
      <c r="T436" s="61">
        <f>SUM(N436:S436)</f>
        <v>0</v>
      </c>
      <c r="U436" s="61">
        <f>T436+L436</f>
        <v>0</v>
      </c>
      <c r="V436" s="61">
        <f>V431</f>
        <v>0</v>
      </c>
      <c r="W436" s="72">
        <f>V436-U436</f>
        <v>0</v>
      </c>
      <c r="X436" s="63">
        <f>U431-U436</f>
        <v>0</v>
      </c>
    </row>
    <row r="437" spans="1:28" s="126" customFormat="1" ht="18" hidden="1" customHeight="1">
      <c r="A437" s="583"/>
      <c r="B437" s="581"/>
      <c r="C437" s="581"/>
      <c r="D437" s="201" t="str">
        <f>серпень!D360</f>
        <v xml:space="preserve">місцевий </v>
      </c>
      <c r="E437" s="71"/>
      <c r="F437" s="61">
        <f t="shared" ref="F437:K437" si="444">F435-F436</f>
        <v>0</v>
      </c>
      <c r="G437" s="61">
        <f t="shared" si="444"/>
        <v>0</v>
      </c>
      <c r="H437" s="61">
        <f t="shared" si="444"/>
        <v>0</v>
      </c>
      <c r="I437" s="61">
        <f t="shared" si="444"/>
        <v>0</v>
      </c>
      <c r="J437" s="61">
        <f t="shared" si="444"/>
        <v>0</v>
      </c>
      <c r="K437" s="61">
        <f t="shared" si="444"/>
        <v>0</v>
      </c>
      <c r="L437" s="61">
        <f>SUM(F437:K437)</f>
        <v>0</v>
      </c>
      <c r="M437" s="61">
        <f>L437/6</f>
        <v>0</v>
      </c>
      <c r="N437" s="61">
        <f t="shared" ref="N437:S437" si="445">N435-N436</f>
        <v>0</v>
      </c>
      <c r="O437" s="61">
        <f t="shared" si="445"/>
        <v>0</v>
      </c>
      <c r="P437" s="61">
        <f t="shared" si="445"/>
        <v>0</v>
      </c>
      <c r="Q437" s="61">
        <f t="shared" si="445"/>
        <v>0</v>
      </c>
      <c r="R437" s="61">
        <f t="shared" si="445"/>
        <v>0</v>
      </c>
      <c r="S437" s="61">
        <f t="shared" si="445"/>
        <v>0</v>
      </c>
      <c r="T437" s="61">
        <f>SUM(N437:S437)</f>
        <v>0</v>
      </c>
      <c r="U437" s="61">
        <f>T437+L437</f>
        <v>0</v>
      </c>
      <c r="V437" s="61">
        <f>V432</f>
        <v>0</v>
      </c>
      <c r="W437" s="72">
        <f>V437-U437</f>
        <v>0</v>
      </c>
      <c r="X437" s="63">
        <f>U432-U437</f>
        <v>0</v>
      </c>
    </row>
    <row r="438" spans="1:28" s="43" customFormat="1" ht="18" hidden="1" customHeight="1">
      <c r="A438" s="583"/>
      <c r="B438" s="581"/>
      <c r="C438" s="581"/>
      <c r="D438" s="202" t="str">
        <f>серпень!D361</f>
        <v>план</v>
      </c>
      <c r="E438" s="42"/>
      <c r="F438" s="42">
        <f t="shared" ref="F438:K438" si="446">F431+F432</f>
        <v>0</v>
      </c>
      <c r="G438" s="42">
        <f t="shared" si="446"/>
        <v>0</v>
      </c>
      <c r="H438" s="42">
        <f t="shared" si="446"/>
        <v>0</v>
      </c>
      <c r="I438" s="42">
        <f t="shared" si="446"/>
        <v>0</v>
      </c>
      <c r="J438" s="42">
        <f t="shared" si="446"/>
        <v>0</v>
      </c>
      <c r="K438" s="42">
        <f t="shared" si="446"/>
        <v>0</v>
      </c>
      <c r="L438" s="42">
        <f>SUM(F438:K438)</f>
        <v>0</v>
      </c>
      <c r="M438" s="42">
        <f>L438/6</f>
        <v>0</v>
      </c>
      <c r="N438" s="42">
        <f t="shared" ref="N438:S438" si="447">N432+N431</f>
        <v>0</v>
      </c>
      <c r="O438" s="42">
        <f t="shared" si="447"/>
        <v>0</v>
      </c>
      <c r="P438" s="42">
        <f t="shared" si="447"/>
        <v>0</v>
      </c>
      <c r="Q438" s="42">
        <f t="shared" si="447"/>
        <v>0</v>
      </c>
      <c r="R438" s="42">
        <f t="shared" si="447"/>
        <v>0</v>
      </c>
      <c r="S438" s="42">
        <f t="shared" si="447"/>
        <v>0</v>
      </c>
      <c r="T438" s="42">
        <f>SUM(N438:S438)</f>
        <v>0</v>
      </c>
      <c r="U438" s="42">
        <f>T438+L438</f>
        <v>0</v>
      </c>
      <c r="V438" s="42">
        <f>V435</f>
        <v>0</v>
      </c>
      <c r="W438" s="42">
        <f>V438-U438</f>
        <v>0</v>
      </c>
    </row>
    <row r="439" spans="1:28" s="43" customFormat="1" ht="18" hidden="1" customHeight="1">
      <c r="A439" s="583"/>
      <c r="B439" s="581"/>
      <c r="C439" s="581"/>
      <c r="D439" s="202" t="str">
        <f>серпень!D362</f>
        <v xml:space="preserve">відхилення </v>
      </c>
      <c r="E439" s="42"/>
      <c r="F439" s="42">
        <f t="shared" ref="F439:K439" si="448">F435-F438</f>
        <v>0</v>
      </c>
      <c r="G439" s="42">
        <f t="shared" si="448"/>
        <v>0</v>
      </c>
      <c r="H439" s="42">
        <f t="shared" si="448"/>
        <v>0</v>
      </c>
      <c r="I439" s="42">
        <f t="shared" si="448"/>
        <v>0</v>
      </c>
      <c r="J439" s="42">
        <f t="shared" si="448"/>
        <v>0</v>
      </c>
      <c r="K439" s="42">
        <f t="shared" si="448"/>
        <v>0</v>
      </c>
      <c r="L439" s="42"/>
      <c r="M439" s="42"/>
      <c r="N439" s="42">
        <f t="shared" ref="N439:S439" si="449">N435-N438</f>
        <v>0</v>
      </c>
      <c r="O439" s="42">
        <f t="shared" si="449"/>
        <v>0</v>
      </c>
      <c r="P439" s="42">
        <f t="shared" si="449"/>
        <v>0</v>
      </c>
      <c r="Q439" s="42">
        <f t="shared" si="449"/>
        <v>0</v>
      </c>
      <c r="R439" s="42">
        <f t="shared" si="449"/>
        <v>0</v>
      </c>
      <c r="S439" s="42">
        <f t="shared" si="449"/>
        <v>0</v>
      </c>
      <c r="T439" s="42"/>
      <c r="U439" s="42"/>
      <c r="V439" s="42"/>
      <c r="W439" s="42"/>
    </row>
    <row r="440" spans="1:28" s="43" customFormat="1" ht="18" hidden="1" customHeight="1">
      <c r="A440" s="583"/>
      <c r="B440" s="581"/>
      <c r="C440" s="581"/>
      <c r="D440" s="202" t="str">
        <f>серпень!D363</f>
        <v>відхилення з наростаючим</v>
      </c>
      <c r="E440" s="42"/>
      <c r="F440" s="42">
        <f>F439</f>
        <v>0</v>
      </c>
      <c r="G440" s="42">
        <f>G439+F440</f>
        <v>0</v>
      </c>
      <c r="H440" s="42">
        <f>H439+G440</f>
        <v>0</v>
      </c>
      <c r="I440" s="42">
        <f>I439+H440</f>
        <v>0</v>
      </c>
      <c r="J440" s="42">
        <f>J439+I440</f>
        <v>0</v>
      </c>
      <c r="K440" s="42">
        <f>K439+J440</f>
        <v>0</v>
      </c>
      <c r="L440" s="42"/>
      <c r="M440" s="42"/>
      <c r="N440" s="42">
        <f>N439+K440</f>
        <v>0</v>
      </c>
      <c r="O440" s="42">
        <f>O439+N440</f>
        <v>0</v>
      </c>
      <c r="P440" s="42">
        <f>P439+O440</f>
        <v>0</v>
      </c>
      <c r="Q440" s="42">
        <f>Q439+P440</f>
        <v>0</v>
      </c>
      <c r="R440" s="42">
        <f>R439+Q440</f>
        <v>0</v>
      </c>
      <c r="S440" s="42">
        <f>S439+R440</f>
        <v>0</v>
      </c>
      <c r="T440" s="42"/>
      <c r="U440" s="42"/>
      <c r="V440" s="42"/>
      <c r="W440" s="42"/>
    </row>
    <row r="441" spans="1:28" s="43" customFormat="1" ht="18" hidden="1" customHeight="1">
      <c r="A441" s="583"/>
      <c r="B441" s="580" t="s">
        <v>96</v>
      </c>
      <c r="C441" s="575"/>
      <c r="D441" s="178" t="str">
        <f>серпень!D364</f>
        <v>факт. нат.п-ки 2023</v>
      </c>
      <c r="E441" s="179"/>
      <c r="F441" s="180"/>
      <c r="G441" s="180"/>
      <c r="H441" s="180"/>
      <c r="I441" s="180"/>
      <c r="J441" s="180"/>
      <c r="K441" s="180"/>
      <c r="L441" s="215">
        <f>SUM(F441:K441)</f>
        <v>0</v>
      </c>
      <c r="M441" s="215">
        <f>L441/6</f>
        <v>0</v>
      </c>
      <c r="N441" s="180"/>
      <c r="O441" s="180"/>
      <c r="P441" s="180"/>
      <c r="Q441" s="180"/>
      <c r="R441" s="180"/>
      <c r="S441" s="180"/>
      <c r="T441" s="215">
        <f>SUM(N441:S441)</f>
        <v>0</v>
      </c>
      <c r="U441" s="226">
        <f>T441+L441</f>
        <v>0</v>
      </c>
      <c r="V441" s="227"/>
      <c r="W441" s="184">
        <f>V441-U441</f>
        <v>0</v>
      </c>
    </row>
    <row r="442" spans="1:28" s="43" customFormat="1" ht="18" hidden="1" customHeight="1">
      <c r="A442" s="583"/>
      <c r="B442" s="576"/>
      <c r="C442" s="577"/>
      <c r="D442" s="178" t="str">
        <f>серпень!D365</f>
        <v>факт. нат.п-ки 2024</v>
      </c>
      <c r="E442" s="179"/>
      <c r="F442" s="180"/>
      <c r="G442" s="180"/>
      <c r="H442" s="180"/>
      <c r="I442" s="180"/>
      <c r="J442" s="180"/>
      <c r="K442" s="180"/>
      <c r="L442" s="215">
        <f>SUM(F442:K442)</f>
        <v>0</v>
      </c>
      <c r="M442" s="215">
        <f>L442/6</f>
        <v>0</v>
      </c>
      <c r="N442" s="179"/>
      <c r="O442" s="179"/>
      <c r="P442" s="179"/>
      <c r="Q442" s="179"/>
      <c r="R442" s="179"/>
      <c r="S442" s="179"/>
      <c r="T442" s="215">
        <f>SUM(N442:S442)</f>
        <v>0</v>
      </c>
      <c r="U442" s="226">
        <f>T442+L442</f>
        <v>0</v>
      </c>
      <c r="V442" s="227"/>
      <c r="W442" s="184">
        <f>V442-U442</f>
        <v>0</v>
      </c>
    </row>
    <row r="443" spans="1:28" s="43" customFormat="1" ht="18" hidden="1" customHeight="1">
      <c r="A443" s="583"/>
      <c r="B443" s="576"/>
      <c r="C443" s="577"/>
      <c r="D443" s="178" t="str">
        <f>серпень!D366</f>
        <v>факт. нат.п-ки 2025</v>
      </c>
      <c r="E443" s="179"/>
      <c r="F443" s="180"/>
      <c r="G443" s="180"/>
      <c r="H443" s="180"/>
      <c r="I443" s="180"/>
      <c r="J443" s="180"/>
      <c r="K443" s="180"/>
      <c r="L443" s="215">
        <f>SUM(F443:K443)</f>
        <v>0</v>
      </c>
      <c r="M443" s="215">
        <f>L443/6</f>
        <v>0</v>
      </c>
      <c r="N443" s="180"/>
      <c r="O443" s="180"/>
      <c r="P443" s="180"/>
      <c r="Q443" s="180"/>
      <c r="R443" s="180"/>
      <c r="S443" s="179"/>
      <c r="T443" s="215">
        <f>SUM(N443:S443)</f>
        <v>0</v>
      </c>
      <c r="U443" s="226">
        <f>T443+L443</f>
        <v>0</v>
      </c>
      <c r="V443" s="179"/>
      <c r="W443" s="184">
        <f>V443-U443</f>
        <v>0</v>
      </c>
    </row>
    <row r="444" spans="1:28" s="43" customFormat="1" ht="18" hidden="1" customHeight="1">
      <c r="A444" s="583"/>
      <c r="B444" s="576"/>
      <c r="C444" s="577"/>
      <c r="D444" s="187" t="str">
        <f>серпень!D367</f>
        <v>тариф, грн.</v>
      </c>
      <c r="E444" s="188"/>
      <c r="F444" s="188"/>
      <c r="G444" s="188"/>
      <c r="H444" s="188"/>
      <c r="I444" s="188"/>
      <c r="J444" s="188"/>
      <c r="K444" s="188"/>
      <c r="L444" s="188" t="e">
        <f>L445/L443*1000</f>
        <v>#DIV/0!</v>
      </c>
      <c r="M444" s="188" t="e">
        <f>M445/M443*1000</f>
        <v>#DIV/0!</v>
      </c>
      <c r="N444" s="188"/>
      <c r="O444" s="188"/>
      <c r="P444" s="188"/>
      <c r="Q444" s="188"/>
      <c r="R444" s="188"/>
      <c r="S444" s="188"/>
      <c r="T444" s="188" t="e">
        <f>T445/T443*1000</f>
        <v>#DIV/0!</v>
      </c>
      <c r="U444" s="188" t="e">
        <f>U445/U443*1000</f>
        <v>#DIV/0!</v>
      </c>
      <c r="V444" s="218" t="e">
        <f>V445/V443*1000</f>
        <v>#DIV/0!</v>
      </c>
      <c r="W444" s="189" t="e">
        <f>W445/W443*1000</f>
        <v>#DIV/0!</v>
      </c>
    </row>
    <row r="445" spans="1:28" s="43" customFormat="1" ht="18" hidden="1" customHeight="1">
      <c r="A445" s="583"/>
      <c r="B445" s="576"/>
      <c r="C445" s="577"/>
      <c r="D445" s="191" t="str">
        <f>серпень!D368</f>
        <v>сума, тис.грн.</v>
      </c>
      <c r="E445" s="192"/>
      <c r="F445" s="192">
        <f t="shared" ref="F445:K445" si="450">F443*F444/1000</f>
        <v>0</v>
      </c>
      <c r="G445" s="192">
        <f t="shared" si="450"/>
        <v>0</v>
      </c>
      <c r="H445" s="192">
        <f t="shared" si="450"/>
        <v>0</v>
      </c>
      <c r="I445" s="192">
        <f t="shared" si="450"/>
        <v>0</v>
      </c>
      <c r="J445" s="192">
        <f t="shared" si="450"/>
        <v>0</v>
      </c>
      <c r="K445" s="192">
        <f t="shared" si="450"/>
        <v>0</v>
      </c>
      <c r="L445" s="194">
        <f>SUM(F445:K445)</f>
        <v>0</v>
      </c>
      <c r="M445" s="194">
        <f>L445/6</f>
        <v>0</v>
      </c>
      <c r="N445" s="192">
        <f t="shared" ref="N445:S445" si="451">N443*N444/1000</f>
        <v>0</v>
      </c>
      <c r="O445" s="192">
        <f t="shared" si="451"/>
        <v>0</v>
      </c>
      <c r="P445" s="192">
        <f t="shared" si="451"/>
        <v>0</v>
      </c>
      <c r="Q445" s="192">
        <f t="shared" si="451"/>
        <v>0</v>
      </c>
      <c r="R445" s="192">
        <f t="shared" si="451"/>
        <v>0</v>
      </c>
      <c r="S445" s="192">
        <f t="shared" si="451"/>
        <v>0</v>
      </c>
      <c r="T445" s="194">
        <f>SUM(N445:S445)</f>
        <v>0</v>
      </c>
      <c r="U445" s="194">
        <f>T445+L445</f>
        <v>0</v>
      </c>
      <c r="V445" s="171">
        <f>V446+V447</f>
        <v>0</v>
      </c>
      <c r="W445" s="193">
        <f>V445-U445</f>
        <v>0</v>
      </c>
    </row>
    <row r="446" spans="1:28" s="43" customFormat="1" ht="18" hidden="1" customHeight="1">
      <c r="A446" s="583"/>
      <c r="B446" s="576"/>
      <c r="C446" s="577"/>
      <c r="D446" s="174" t="str">
        <f>серпень!D369</f>
        <v>дотація</v>
      </c>
      <c r="E446" s="210"/>
      <c r="F446" s="192"/>
      <c r="G446" s="192"/>
      <c r="H446" s="192"/>
      <c r="I446" s="192"/>
      <c r="J446" s="192"/>
      <c r="K446" s="192"/>
      <c r="L446" s="194">
        <f>SUM(F446:K446)</f>
        <v>0</v>
      </c>
      <c r="M446" s="194">
        <f>L446/6</f>
        <v>0</v>
      </c>
      <c r="N446" s="192"/>
      <c r="O446" s="192"/>
      <c r="P446" s="192"/>
      <c r="Q446" s="192"/>
      <c r="R446" s="192"/>
      <c r="S446" s="192"/>
      <c r="T446" s="194">
        <f>SUM(N446:S446)</f>
        <v>0</v>
      </c>
      <c r="U446" s="194">
        <f>T446+L446</f>
        <v>0</v>
      </c>
      <c r="V446" s="171"/>
      <c r="W446" s="193">
        <f>V446-U446</f>
        <v>0</v>
      </c>
    </row>
    <row r="447" spans="1:28" s="43" customFormat="1" ht="18" hidden="1" customHeight="1">
      <c r="A447" s="583"/>
      <c r="B447" s="576"/>
      <c r="C447" s="577"/>
      <c r="D447" s="174" t="str">
        <f>серпень!D370</f>
        <v>місцевий (план), тис.грн</v>
      </c>
      <c r="E447" s="210"/>
      <c r="F447" s="192"/>
      <c r="G447" s="192"/>
      <c r="H447" s="192"/>
      <c r="I447" s="192"/>
      <c r="J447" s="192"/>
      <c r="K447" s="192"/>
      <c r="L447" s="194">
        <f>SUM(F447:K447)</f>
        <v>0</v>
      </c>
      <c r="M447" s="194">
        <f>L447/6</f>
        <v>0</v>
      </c>
      <c r="N447" s="192"/>
      <c r="O447" s="192"/>
      <c r="P447" s="192"/>
      <c r="Q447" s="192"/>
      <c r="R447" s="192"/>
      <c r="S447" s="192"/>
      <c r="T447" s="194">
        <f>SUM(N447:S447)</f>
        <v>0</v>
      </c>
      <c r="U447" s="194">
        <f>T447+L447</f>
        <v>0</v>
      </c>
      <c r="V447" s="171"/>
      <c r="W447" s="193">
        <f>V447-U447</f>
        <v>0</v>
      </c>
    </row>
    <row r="448" spans="1:28" s="43" customFormat="1" ht="18" hidden="1" customHeight="1">
      <c r="A448" s="583"/>
      <c r="B448" s="576"/>
      <c r="C448" s="577"/>
      <c r="D448" s="178" t="str">
        <f>серпень!D371</f>
        <v>касові нат.п-ки 2025</v>
      </c>
      <c r="E448" s="179"/>
      <c r="F448" s="179"/>
      <c r="G448" s="179"/>
      <c r="H448" s="179"/>
      <c r="I448" s="179"/>
      <c r="J448" s="179"/>
      <c r="K448" s="179"/>
      <c r="L448" s="215">
        <f>SUM(F448:K448)</f>
        <v>0</v>
      </c>
      <c r="M448" s="215">
        <f>L448/6</f>
        <v>0</v>
      </c>
      <c r="N448" s="179"/>
      <c r="O448" s="179"/>
      <c r="P448" s="179"/>
      <c r="Q448" s="179"/>
      <c r="R448" s="179"/>
      <c r="S448" s="179">
        <f>S443+R443</f>
        <v>0</v>
      </c>
      <c r="T448" s="215">
        <f>SUM(N448:S448)</f>
        <v>0</v>
      </c>
      <c r="U448" s="215">
        <f>T448+L448</f>
        <v>0</v>
      </c>
      <c r="V448" s="179">
        <f>V443</f>
        <v>0</v>
      </c>
      <c r="W448" s="184">
        <f>V448-U448</f>
        <v>0</v>
      </c>
    </row>
    <row r="449" spans="1:28" s="43" customFormat="1" ht="18" hidden="1" customHeight="1">
      <c r="A449" s="583"/>
      <c r="B449" s="576"/>
      <c r="C449" s="577"/>
      <c r="D449" s="187" t="str">
        <f>серпень!D372</f>
        <v>тариф, грн.</v>
      </c>
      <c r="E449" s="188" t="e">
        <f>E450/E448*1000</f>
        <v>#DIV/0!</v>
      </c>
      <c r="F449" s="188"/>
      <c r="G449" s="188"/>
      <c r="H449" s="188"/>
      <c r="I449" s="188"/>
      <c r="J449" s="188"/>
      <c r="K449" s="188"/>
      <c r="L449" s="188" t="e">
        <f>L450/L448*1000</f>
        <v>#DIV/0!</v>
      </c>
      <c r="M449" s="188" t="e">
        <f>M450/M448*1000</f>
        <v>#DIV/0!</v>
      </c>
      <c r="N449" s="188"/>
      <c r="O449" s="188"/>
      <c r="P449" s="188"/>
      <c r="Q449" s="188"/>
      <c r="R449" s="188"/>
      <c r="S449" s="188"/>
      <c r="T449" s="188" t="e">
        <f>T450/T448*1000</f>
        <v>#DIV/0!</v>
      </c>
      <c r="U449" s="188" t="e">
        <f>U450/U448*1000</f>
        <v>#DIV/0!</v>
      </c>
      <c r="V449" s="218" t="e">
        <f>V450/V448*1000</f>
        <v>#DIV/0!</v>
      </c>
      <c r="W449" s="189" t="e">
        <f>W450/W448*1000</f>
        <v>#DIV/0!</v>
      </c>
    </row>
    <row r="450" spans="1:28" s="43" customFormat="1" ht="18" hidden="1" customHeight="1">
      <c r="A450" s="583"/>
      <c r="B450" s="576"/>
      <c r="C450" s="577"/>
      <c r="D450" s="198" t="str">
        <f>серпень!D373</f>
        <v>касові видатки, тис.грн.</v>
      </c>
      <c r="E450" s="220"/>
      <c r="F450" s="199">
        <f t="shared" ref="F450:K450" si="452">F448*F449/1000</f>
        <v>0</v>
      </c>
      <c r="G450" s="199">
        <f t="shared" si="452"/>
        <v>0</v>
      </c>
      <c r="H450" s="199">
        <f t="shared" si="452"/>
        <v>0</v>
      </c>
      <c r="I450" s="199">
        <f t="shared" si="452"/>
        <v>0</v>
      </c>
      <c r="J450" s="199">
        <f t="shared" si="452"/>
        <v>0</v>
      </c>
      <c r="K450" s="199">
        <f t="shared" si="452"/>
        <v>0</v>
      </c>
      <c r="L450" s="199">
        <f>SUM(F450:K450)</f>
        <v>0</v>
      </c>
      <c r="M450" s="199">
        <f>L450/6</f>
        <v>0</v>
      </c>
      <c r="N450" s="199">
        <f t="shared" ref="N450:S450" si="453">N448*N449/1000</f>
        <v>0</v>
      </c>
      <c r="O450" s="199">
        <f t="shared" si="453"/>
        <v>0</v>
      </c>
      <c r="P450" s="199">
        <f t="shared" si="453"/>
        <v>0</v>
      </c>
      <c r="Q450" s="199">
        <f t="shared" si="453"/>
        <v>0</v>
      </c>
      <c r="R450" s="199">
        <f t="shared" si="453"/>
        <v>0</v>
      </c>
      <c r="S450" s="199">
        <f t="shared" si="453"/>
        <v>0</v>
      </c>
      <c r="T450" s="199">
        <f>SUM(N450:S450)</f>
        <v>0</v>
      </c>
      <c r="U450" s="199">
        <f>T450+L450</f>
        <v>0</v>
      </c>
      <c r="V450" s="199">
        <f>V445</f>
        <v>0</v>
      </c>
      <c r="W450" s="221">
        <f>V450-U450</f>
        <v>0</v>
      </c>
    </row>
    <row r="451" spans="1:28" s="43" customFormat="1" ht="18" hidden="1" customHeight="1">
      <c r="A451" s="583"/>
      <c r="B451" s="576"/>
      <c r="C451" s="577"/>
      <c r="D451" s="201" t="str">
        <f>серпень!D374</f>
        <v>дотація</v>
      </c>
      <c r="E451" s="220"/>
      <c r="F451" s="199"/>
      <c r="G451" s="199"/>
      <c r="H451" s="199"/>
      <c r="I451" s="199"/>
      <c r="J451" s="199"/>
      <c r="K451" s="199"/>
      <c r="L451" s="199">
        <f>SUM(F451:K451)</f>
        <v>0</v>
      </c>
      <c r="M451" s="199">
        <f>L451/6</f>
        <v>0</v>
      </c>
      <c r="N451" s="199"/>
      <c r="O451" s="199"/>
      <c r="P451" s="199"/>
      <c r="Q451" s="199"/>
      <c r="R451" s="199"/>
      <c r="S451" s="199"/>
      <c r="T451" s="199">
        <f>SUM(N451:S451)</f>
        <v>0</v>
      </c>
      <c r="U451" s="199">
        <f>T451+L451</f>
        <v>0</v>
      </c>
      <c r="V451" s="199">
        <f>V446</f>
        <v>0</v>
      </c>
      <c r="W451" s="221">
        <f>V451-U451</f>
        <v>0</v>
      </c>
    </row>
    <row r="452" spans="1:28" s="43" customFormat="1" ht="18" hidden="1" customHeight="1">
      <c r="A452" s="583"/>
      <c r="B452" s="576"/>
      <c r="C452" s="577"/>
      <c r="D452" s="201" t="str">
        <f>серпень!D375</f>
        <v xml:space="preserve">місцевий </v>
      </c>
      <c r="E452" s="220"/>
      <c r="F452" s="199">
        <f t="shared" ref="F452:K452" si="454">F450-F451</f>
        <v>0</v>
      </c>
      <c r="G452" s="199">
        <f t="shared" si="454"/>
        <v>0</v>
      </c>
      <c r="H452" s="199">
        <f t="shared" si="454"/>
        <v>0</v>
      </c>
      <c r="I452" s="199">
        <f t="shared" si="454"/>
        <v>0</v>
      </c>
      <c r="J452" s="199">
        <f t="shared" si="454"/>
        <v>0</v>
      </c>
      <c r="K452" s="199">
        <f t="shared" si="454"/>
        <v>0</v>
      </c>
      <c r="L452" s="199">
        <f>SUM(F452:K452)</f>
        <v>0</v>
      </c>
      <c r="M452" s="199">
        <f>L452/6</f>
        <v>0</v>
      </c>
      <c r="N452" s="199">
        <f t="shared" ref="N452:S452" si="455">N450-N451</f>
        <v>0</v>
      </c>
      <c r="O452" s="199">
        <f t="shared" si="455"/>
        <v>0</v>
      </c>
      <c r="P452" s="199">
        <f t="shared" si="455"/>
        <v>0</v>
      </c>
      <c r="Q452" s="199">
        <f t="shared" si="455"/>
        <v>0</v>
      </c>
      <c r="R452" s="199">
        <f t="shared" si="455"/>
        <v>0</v>
      </c>
      <c r="S452" s="199">
        <f t="shared" si="455"/>
        <v>0</v>
      </c>
      <c r="T452" s="199">
        <f>SUM(N452:S452)</f>
        <v>0</v>
      </c>
      <c r="U452" s="199">
        <f>T452+L452</f>
        <v>0</v>
      </c>
      <c r="V452" s="199">
        <f>V447</f>
        <v>0</v>
      </c>
      <c r="W452" s="221">
        <f>V452-U452</f>
        <v>0</v>
      </c>
    </row>
    <row r="453" spans="1:28" s="43" customFormat="1" ht="18" hidden="1" customHeight="1">
      <c r="A453" s="583"/>
      <c r="B453" s="576"/>
      <c r="C453" s="577"/>
      <c r="D453" s="202" t="str">
        <f>серпень!D376</f>
        <v>план</v>
      </c>
      <c r="E453" s="203"/>
      <c r="F453" s="203">
        <f t="shared" ref="F453:K453" si="456">F447</f>
        <v>0</v>
      </c>
      <c r="G453" s="203">
        <f t="shared" si="456"/>
        <v>0</v>
      </c>
      <c r="H453" s="203">
        <f t="shared" si="456"/>
        <v>0</v>
      </c>
      <c r="I453" s="203">
        <f t="shared" si="456"/>
        <v>0</v>
      </c>
      <c r="J453" s="203">
        <f t="shared" si="456"/>
        <v>0</v>
      </c>
      <c r="K453" s="203">
        <f t="shared" si="456"/>
        <v>0</v>
      </c>
      <c r="L453" s="203">
        <f>SUM(F453:K453)</f>
        <v>0</v>
      </c>
      <c r="M453" s="203">
        <f>L453/6</f>
        <v>0</v>
      </c>
      <c r="N453" s="203">
        <f t="shared" ref="N453:S453" si="457">N447+N446</f>
        <v>0</v>
      </c>
      <c r="O453" s="203">
        <f t="shared" si="457"/>
        <v>0</v>
      </c>
      <c r="P453" s="203">
        <f t="shared" si="457"/>
        <v>0</v>
      </c>
      <c r="Q453" s="203">
        <f t="shared" si="457"/>
        <v>0</v>
      </c>
      <c r="R453" s="203">
        <f t="shared" si="457"/>
        <v>0</v>
      </c>
      <c r="S453" s="203">
        <f t="shared" si="457"/>
        <v>0</v>
      </c>
      <c r="T453" s="203">
        <f>SUM(N453:S453)</f>
        <v>0</v>
      </c>
      <c r="U453" s="203">
        <f>T453+L453</f>
        <v>0</v>
      </c>
      <c r="V453" s="203">
        <f>V450</f>
        <v>0</v>
      </c>
      <c r="W453" s="203">
        <f>V453-U453</f>
        <v>0</v>
      </c>
    </row>
    <row r="454" spans="1:28" s="43" customFormat="1" ht="18" hidden="1" customHeight="1">
      <c r="A454" s="583"/>
      <c r="B454" s="576"/>
      <c r="C454" s="577"/>
      <c r="D454" s="202" t="str">
        <f>серпень!D377</f>
        <v xml:space="preserve">відхилення </v>
      </c>
      <c r="E454" s="203"/>
      <c r="F454" s="203">
        <f t="shared" ref="F454:K454" si="458">F450-F453</f>
        <v>0</v>
      </c>
      <c r="G454" s="203">
        <f t="shared" si="458"/>
        <v>0</v>
      </c>
      <c r="H454" s="203">
        <f t="shared" si="458"/>
        <v>0</v>
      </c>
      <c r="I454" s="203">
        <f t="shared" si="458"/>
        <v>0</v>
      </c>
      <c r="J454" s="203">
        <f t="shared" si="458"/>
        <v>0</v>
      </c>
      <c r="K454" s="203">
        <f t="shared" si="458"/>
        <v>0</v>
      </c>
      <c r="L454" s="203"/>
      <c r="M454" s="203"/>
      <c r="N454" s="203">
        <f t="shared" ref="N454:S454" si="459">N450-N453</f>
        <v>0</v>
      </c>
      <c r="O454" s="203">
        <f t="shared" si="459"/>
        <v>0</v>
      </c>
      <c r="P454" s="203">
        <f t="shared" si="459"/>
        <v>0</v>
      </c>
      <c r="Q454" s="203">
        <f t="shared" si="459"/>
        <v>0</v>
      </c>
      <c r="R454" s="203">
        <f t="shared" si="459"/>
        <v>0</v>
      </c>
      <c r="S454" s="203">
        <f t="shared" si="459"/>
        <v>0</v>
      </c>
      <c r="T454" s="203"/>
      <c r="U454" s="203"/>
      <c r="V454" s="203"/>
      <c r="W454" s="203"/>
    </row>
    <row r="455" spans="1:28" s="43" customFormat="1" ht="18" hidden="1" customHeight="1">
      <c r="A455" s="583"/>
      <c r="B455" s="578"/>
      <c r="C455" s="579"/>
      <c r="D455" s="202" t="str">
        <f>серпень!D378</f>
        <v>відхилення з наростаючим</v>
      </c>
      <c r="E455" s="203"/>
      <c r="F455" s="203">
        <f>F454</f>
        <v>0</v>
      </c>
      <c r="G455" s="203">
        <f>G454+F455</f>
        <v>0</v>
      </c>
      <c r="H455" s="203">
        <f>H454+G455</f>
        <v>0</v>
      </c>
      <c r="I455" s="203">
        <f>I454+H455</f>
        <v>0</v>
      </c>
      <c r="J455" s="203">
        <f>J454+I455</f>
        <v>0</v>
      </c>
      <c r="K455" s="203">
        <f>K454+J455</f>
        <v>0</v>
      </c>
      <c r="L455" s="203"/>
      <c r="M455" s="203"/>
      <c r="N455" s="203">
        <f>N454+K455</f>
        <v>0</v>
      </c>
      <c r="O455" s="203">
        <f>O454+N455</f>
        <v>0</v>
      </c>
      <c r="P455" s="203">
        <f>P454+O455</f>
        <v>0</v>
      </c>
      <c r="Q455" s="203">
        <f>Q454+P455</f>
        <v>0</v>
      </c>
      <c r="R455" s="203">
        <f>R454+Q455</f>
        <v>0</v>
      </c>
      <c r="S455" s="203">
        <f>S454+R455</f>
        <v>0</v>
      </c>
      <c r="T455" s="203"/>
      <c r="U455" s="203"/>
      <c r="V455" s="203"/>
      <c r="W455" s="203"/>
    </row>
    <row r="456" spans="1:28" s="10" customFormat="1" ht="18" hidden="1" customHeight="1">
      <c r="A456" s="583"/>
      <c r="B456" s="580" t="s">
        <v>38</v>
      </c>
      <c r="C456" s="575"/>
      <c r="D456" s="178" t="str">
        <f>серпень!D379</f>
        <v>факт. нат.п-ки 2023</v>
      </c>
      <c r="E456" s="11"/>
      <c r="F456" s="12"/>
      <c r="G456" s="12"/>
      <c r="H456" s="12"/>
      <c r="I456" s="12"/>
      <c r="J456" s="12"/>
      <c r="K456" s="12"/>
      <c r="L456" s="65">
        <f>SUM(F456:K456)</f>
        <v>0</v>
      </c>
      <c r="M456" s="65">
        <f>L456/6</f>
        <v>0</v>
      </c>
      <c r="N456" s="12"/>
      <c r="O456" s="12"/>
      <c r="P456" s="12"/>
      <c r="Q456" s="12"/>
      <c r="R456" s="12"/>
      <c r="S456" s="12"/>
      <c r="T456" s="65">
        <f>SUM(N456:S456)</f>
        <v>0</v>
      </c>
      <c r="U456" s="66">
        <f>T456+L456</f>
        <v>0</v>
      </c>
      <c r="V456" s="67"/>
      <c r="W456" s="38">
        <f>V456-U456</f>
        <v>0</v>
      </c>
      <c r="X456" s="36"/>
      <c r="Y456" s="3"/>
      <c r="Z456" s="3"/>
      <c r="AA456" s="3"/>
      <c r="AB456" s="3"/>
    </row>
    <row r="457" spans="1:28" s="48" customFormat="1" ht="18" hidden="1" customHeight="1">
      <c r="A457" s="583"/>
      <c r="B457" s="576"/>
      <c r="C457" s="577"/>
      <c r="D457" s="178" t="str">
        <f>серпень!D380</f>
        <v>факт. нат.п-ки 2024</v>
      </c>
      <c r="E457" s="11"/>
      <c r="F457" s="12"/>
      <c r="G457" s="12"/>
      <c r="H457" s="12"/>
      <c r="I457" s="12"/>
      <c r="J457" s="12"/>
      <c r="K457" s="12"/>
      <c r="L457" s="65">
        <f>SUM(F457:K457)</f>
        <v>0</v>
      </c>
      <c r="M457" s="65">
        <f>L457/6</f>
        <v>0</v>
      </c>
      <c r="N457" s="11"/>
      <c r="O457" s="11"/>
      <c r="P457" s="11"/>
      <c r="Q457" s="11"/>
      <c r="R457" s="11"/>
      <c r="S457" s="11"/>
      <c r="T457" s="65">
        <f>SUM(N457:S457)</f>
        <v>0</v>
      </c>
      <c r="U457" s="66">
        <f>T457+L457</f>
        <v>0</v>
      </c>
      <c r="V457" s="67"/>
      <c r="W457" s="38">
        <f>V457-U457</f>
        <v>0</v>
      </c>
      <c r="X457" s="47"/>
    </row>
    <row r="458" spans="1:28" s="10" customFormat="1" ht="18" hidden="1" customHeight="1">
      <c r="A458" s="583"/>
      <c r="B458" s="576"/>
      <c r="C458" s="577"/>
      <c r="D458" s="178" t="str">
        <f>серпень!D381</f>
        <v>факт. нат.п-ки 2025</v>
      </c>
      <c r="E458" s="11"/>
      <c r="F458" s="12"/>
      <c r="G458" s="12"/>
      <c r="H458" s="12"/>
      <c r="I458" s="12"/>
      <c r="J458" s="12"/>
      <c r="K458" s="12"/>
      <c r="L458" s="65">
        <f>SUM(F458:K458)</f>
        <v>0</v>
      </c>
      <c r="M458" s="65">
        <f>L458/6</f>
        <v>0</v>
      </c>
      <c r="N458" s="12"/>
      <c r="O458" s="12"/>
      <c r="P458" s="12"/>
      <c r="Q458" s="12"/>
      <c r="R458" s="12"/>
      <c r="S458" s="11"/>
      <c r="T458" s="65">
        <f>SUM(N458:S458)</f>
        <v>0</v>
      </c>
      <c r="U458" s="66">
        <f>T458+L458</f>
        <v>0</v>
      </c>
      <c r="V458" s="11"/>
      <c r="W458" s="38">
        <f>V458-U458</f>
        <v>0</v>
      </c>
      <c r="X458" s="36"/>
      <c r="Y458" s="3"/>
      <c r="Z458" s="3"/>
      <c r="AA458" s="3"/>
      <c r="AB458" s="3"/>
    </row>
    <row r="459" spans="1:28" s="114" customFormat="1" ht="18" hidden="1" customHeight="1">
      <c r="A459" s="583"/>
      <c r="B459" s="576"/>
      <c r="C459" s="577"/>
      <c r="D459" s="187" t="str">
        <f>серпень!D382</f>
        <v>тариф, грн.</v>
      </c>
      <c r="E459" s="49"/>
      <c r="F459" s="49">
        <v>10.56</v>
      </c>
      <c r="G459" s="49">
        <v>10.56</v>
      </c>
      <c r="H459" s="49">
        <v>10.56</v>
      </c>
      <c r="I459" s="49">
        <v>10.56</v>
      </c>
      <c r="J459" s="49">
        <v>10.56</v>
      </c>
      <c r="K459" s="49">
        <v>10.56</v>
      </c>
      <c r="L459" s="49" t="e">
        <f>L460/L458*1000</f>
        <v>#DIV/0!</v>
      </c>
      <c r="M459" s="49" t="e">
        <f>M460/M458*1000</f>
        <v>#DIV/0!</v>
      </c>
      <c r="N459" s="49">
        <v>10.56</v>
      </c>
      <c r="O459" s="49">
        <v>10.56</v>
      </c>
      <c r="P459" s="49">
        <v>10.56</v>
      </c>
      <c r="Q459" s="49">
        <v>10.56</v>
      </c>
      <c r="R459" s="49">
        <v>10.56</v>
      </c>
      <c r="S459" s="49">
        <v>10.56</v>
      </c>
      <c r="T459" s="49" t="e">
        <f>T460/T458*1000</f>
        <v>#DIV/0!</v>
      </c>
      <c r="U459" s="49" t="e">
        <f>U460/U458*1000</f>
        <v>#DIV/0!</v>
      </c>
      <c r="V459" s="68" t="e">
        <f>V460/V458*1000</f>
        <v>#DIV/0!</v>
      </c>
      <c r="W459" s="14" t="e">
        <f>W460/W458*1000</f>
        <v>#DIV/0!</v>
      </c>
      <c r="X459" s="36"/>
      <c r="Y459" s="3"/>
      <c r="Z459" s="3"/>
      <c r="AA459" s="3"/>
      <c r="AB459" s="3"/>
    </row>
    <row r="460" spans="1:28" s="114" customFormat="1" ht="18" hidden="1" customHeight="1">
      <c r="A460" s="583"/>
      <c r="B460" s="576"/>
      <c r="C460" s="577"/>
      <c r="D460" s="191" t="str">
        <f>серпень!D383</f>
        <v>сума, тис.грн.</v>
      </c>
      <c r="E460" s="52"/>
      <c r="F460" s="52">
        <f t="shared" ref="F460:K460" si="460">F458*F459/1000</f>
        <v>0</v>
      </c>
      <c r="G460" s="52">
        <f t="shared" si="460"/>
        <v>0</v>
      </c>
      <c r="H460" s="52">
        <f t="shared" si="460"/>
        <v>0</v>
      </c>
      <c r="I460" s="52">
        <f t="shared" si="460"/>
        <v>0</v>
      </c>
      <c r="J460" s="52">
        <f t="shared" si="460"/>
        <v>0</v>
      </c>
      <c r="K460" s="52">
        <f t="shared" si="460"/>
        <v>0</v>
      </c>
      <c r="L460" s="69">
        <f>SUM(F460:K460)</f>
        <v>0</v>
      </c>
      <c r="M460" s="69">
        <f>L460/6</f>
        <v>0</v>
      </c>
      <c r="N460" s="52">
        <f t="shared" ref="N460:S460" si="461">N458*N459/1000</f>
        <v>0</v>
      </c>
      <c r="O460" s="52">
        <f t="shared" si="461"/>
        <v>0</v>
      </c>
      <c r="P460" s="52">
        <f t="shared" si="461"/>
        <v>0</v>
      </c>
      <c r="Q460" s="52">
        <f t="shared" si="461"/>
        <v>0</v>
      </c>
      <c r="R460" s="52">
        <f t="shared" si="461"/>
        <v>0</v>
      </c>
      <c r="S460" s="52">
        <f t="shared" si="461"/>
        <v>0</v>
      </c>
      <c r="T460" s="69">
        <f>SUM(N460:S460)</f>
        <v>0</v>
      </c>
      <c r="U460" s="69">
        <f>T460+L460</f>
        <v>0</v>
      </c>
      <c r="V460" s="70">
        <f>V461+V462</f>
        <v>0</v>
      </c>
      <c r="W460" s="53">
        <f>V460-U460</f>
        <v>0</v>
      </c>
      <c r="X460" s="113"/>
    </row>
    <row r="461" spans="1:28" s="114" customFormat="1" ht="18" hidden="1" customHeight="1">
      <c r="A461" s="583"/>
      <c r="B461" s="576"/>
      <c r="C461" s="577"/>
      <c r="D461" s="174" t="str">
        <f>серпень!D384</f>
        <v>дотація</v>
      </c>
      <c r="E461" s="56"/>
      <c r="F461" s="52"/>
      <c r="G461" s="52"/>
      <c r="H461" s="52"/>
      <c r="I461" s="52"/>
      <c r="J461" s="52"/>
      <c r="K461" s="52"/>
      <c r="L461" s="69">
        <f>SUM(F461:K461)</f>
        <v>0</v>
      </c>
      <c r="M461" s="69">
        <f>L461/6</f>
        <v>0</v>
      </c>
      <c r="N461" s="52"/>
      <c r="O461" s="52"/>
      <c r="P461" s="52"/>
      <c r="Q461" s="52"/>
      <c r="R461" s="52"/>
      <c r="S461" s="52"/>
      <c r="T461" s="69">
        <f>SUM(N461:S461)</f>
        <v>0</v>
      </c>
      <c r="U461" s="69">
        <f>T461+L461</f>
        <v>0</v>
      </c>
      <c r="V461" s="70">
        <v>0</v>
      </c>
      <c r="W461" s="53">
        <f>V461-U461</f>
        <v>0</v>
      </c>
      <c r="X461" s="113"/>
    </row>
    <row r="462" spans="1:28" s="114" customFormat="1" ht="18" hidden="1" customHeight="1">
      <c r="A462" s="583"/>
      <c r="B462" s="576"/>
      <c r="C462" s="577"/>
      <c r="D462" s="174" t="str">
        <f>серпень!D385</f>
        <v>місцевий (план), тис.грн</v>
      </c>
      <c r="E462" s="56"/>
      <c r="F462" s="52"/>
      <c r="G462" s="52"/>
      <c r="H462" s="52"/>
      <c r="I462" s="52"/>
      <c r="J462" s="52"/>
      <c r="K462" s="52"/>
      <c r="L462" s="69">
        <f>SUM(F462:K462)</f>
        <v>0</v>
      </c>
      <c r="M462" s="69">
        <f>L462/6</f>
        <v>0</v>
      </c>
      <c r="N462" s="52"/>
      <c r="O462" s="52"/>
      <c r="P462" s="52"/>
      <c r="Q462" s="52"/>
      <c r="R462" s="52"/>
      <c r="S462" s="52"/>
      <c r="T462" s="69">
        <f>SUM(N462:S462)</f>
        <v>0</v>
      </c>
      <c r="U462" s="69">
        <f>T462+L462</f>
        <v>0</v>
      </c>
      <c r="V462" s="70"/>
      <c r="W462" s="53">
        <f>V462-U462</f>
        <v>0</v>
      </c>
      <c r="X462" s="113"/>
    </row>
    <row r="463" spans="1:28" s="3" customFormat="1" ht="18" hidden="1" customHeight="1">
      <c r="A463" s="583"/>
      <c r="B463" s="576"/>
      <c r="C463" s="577"/>
      <c r="D463" s="178" t="str">
        <f>серпень!D386</f>
        <v>касові нат.п-ки 2025</v>
      </c>
      <c r="E463" s="11"/>
      <c r="F463" s="11"/>
      <c r="G463" s="11"/>
      <c r="H463" s="11"/>
      <c r="I463" s="11"/>
      <c r="J463" s="11"/>
      <c r="K463" s="11"/>
      <c r="L463" s="65">
        <f>SUM(F463:K463)</f>
        <v>0</v>
      </c>
      <c r="M463" s="65">
        <f>L463/6</f>
        <v>0</v>
      </c>
      <c r="N463" s="11"/>
      <c r="O463" s="11"/>
      <c r="P463" s="11"/>
      <c r="Q463" s="11"/>
      <c r="R463" s="11"/>
      <c r="S463" s="11">
        <f>S458+R458</f>
        <v>0</v>
      </c>
      <c r="T463" s="65">
        <f>SUM(N463:S463)</f>
        <v>0</v>
      </c>
      <c r="U463" s="65">
        <f>T463+L463</f>
        <v>0</v>
      </c>
      <c r="V463" s="11">
        <f>V458</f>
        <v>0</v>
      </c>
      <c r="W463" s="38">
        <f>V463-U463</f>
        <v>0</v>
      </c>
      <c r="X463" s="47">
        <f>U458-U463</f>
        <v>0</v>
      </c>
    </row>
    <row r="464" spans="1:28" s="73" customFormat="1" ht="18" hidden="1" customHeight="1">
      <c r="A464" s="583"/>
      <c r="B464" s="576"/>
      <c r="C464" s="577"/>
      <c r="D464" s="187" t="str">
        <f>серпень!D387</f>
        <v>тариф, грн.</v>
      </c>
      <c r="E464" s="49" t="e">
        <f>E465/E463*1000</f>
        <v>#DIV/0!</v>
      </c>
      <c r="F464" s="49">
        <v>10.56</v>
      </c>
      <c r="G464" s="49">
        <v>10.56</v>
      </c>
      <c r="H464" s="49">
        <v>10.56</v>
      </c>
      <c r="I464" s="49">
        <v>10.56</v>
      </c>
      <c r="J464" s="49">
        <v>10.56</v>
      </c>
      <c r="K464" s="49">
        <v>10.56</v>
      </c>
      <c r="L464" s="49" t="e">
        <f>L465/L463*1000</f>
        <v>#DIV/0!</v>
      </c>
      <c r="M464" s="49" t="e">
        <f>M465/M463*1000</f>
        <v>#DIV/0!</v>
      </c>
      <c r="N464" s="49">
        <v>10.56</v>
      </c>
      <c r="O464" s="49">
        <v>10.56</v>
      </c>
      <c r="P464" s="49">
        <v>10.56</v>
      </c>
      <c r="Q464" s="49">
        <v>10.56</v>
      </c>
      <c r="R464" s="49">
        <v>10.56</v>
      </c>
      <c r="S464" s="49">
        <v>10.56</v>
      </c>
      <c r="T464" s="49" t="e">
        <f>T465/T463*1000</f>
        <v>#DIV/0!</v>
      </c>
      <c r="U464" s="49" t="e">
        <f>U465/U463*1000</f>
        <v>#DIV/0!</v>
      </c>
      <c r="V464" s="68" t="e">
        <f>V465/V463*1000</f>
        <v>#DIV/0!</v>
      </c>
      <c r="W464" s="14" t="e">
        <f>W465/W463*1000</f>
        <v>#DIV/0!</v>
      </c>
      <c r="X464" s="59"/>
      <c r="Y464" s="36"/>
      <c r="Z464" s="36"/>
      <c r="AA464" s="36"/>
      <c r="AB464" s="36"/>
    </row>
    <row r="465" spans="1:24" s="126" customFormat="1" ht="18" hidden="1" customHeight="1">
      <c r="A465" s="583"/>
      <c r="B465" s="576"/>
      <c r="C465" s="577"/>
      <c r="D465" s="198" t="str">
        <f>серпень!D388</f>
        <v>касові видатки, тис.грн.</v>
      </c>
      <c r="E465" s="71"/>
      <c r="F465" s="61">
        <f t="shared" ref="F465:K465" si="462">F463*F464/1000</f>
        <v>0</v>
      </c>
      <c r="G465" s="61">
        <f t="shared" si="462"/>
        <v>0</v>
      </c>
      <c r="H465" s="61">
        <f t="shared" si="462"/>
        <v>0</v>
      </c>
      <c r="I465" s="61">
        <f t="shared" si="462"/>
        <v>0</v>
      </c>
      <c r="J465" s="61">
        <f t="shared" si="462"/>
        <v>0</v>
      </c>
      <c r="K465" s="61">
        <f t="shared" si="462"/>
        <v>0</v>
      </c>
      <c r="L465" s="61">
        <f>SUM(F465:K465)</f>
        <v>0</v>
      </c>
      <c r="M465" s="61">
        <f>L465/6</f>
        <v>0</v>
      </c>
      <c r="N465" s="61">
        <f t="shared" ref="N465:S465" si="463">N463*N464/1000</f>
        <v>0</v>
      </c>
      <c r="O465" s="61">
        <f t="shared" si="463"/>
        <v>0</v>
      </c>
      <c r="P465" s="61">
        <f t="shared" si="463"/>
        <v>0</v>
      </c>
      <c r="Q465" s="61">
        <f t="shared" si="463"/>
        <v>0</v>
      </c>
      <c r="R465" s="61">
        <f t="shared" si="463"/>
        <v>0</v>
      </c>
      <c r="S465" s="61">
        <f t="shared" si="463"/>
        <v>0</v>
      </c>
      <c r="T465" s="61">
        <f>SUM(N465:S465)</f>
        <v>0</v>
      </c>
      <c r="U465" s="61">
        <f>T465+L465</f>
        <v>0</v>
      </c>
      <c r="V465" s="61">
        <f>V460</f>
        <v>0</v>
      </c>
      <c r="W465" s="72">
        <f>V465-U465</f>
        <v>0</v>
      </c>
      <c r="X465" s="63">
        <f>U460-U465</f>
        <v>0</v>
      </c>
    </row>
    <row r="466" spans="1:24" s="126" customFormat="1" ht="18" hidden="1" customHeight="1">
      <c r="A466" s="583"/>
      <c r="B466" s="576"/>
      <c r="C466" s="577"/>
      <c r="D466" s="201" t="str">
        <f>серпень!D389</f>
        <v>дотація</v>
      </c>
      <c r="E466" s="71"/>
      <c r="F466" s="61"/>
      <c r="G466" s="61"/>
      <c r="H466" s="61"/>
      <c r="I466" s="61"/>
      <c r="J466" s="61"/>
      <c r="K466" s="61"/>
      <c r="L466" s="61">
        <f>SUM(F466:K466)</f>
        <v>0</v>
      </c>
      <c r="M466" s="61">
        <f>L466/6</f>
        <v>0</v>
      </c>
      <c r="N466" s="61"/>
      <c r="O466" s="61"/>
      <c r="P466" s="61"/>
      <c r="Q466" s="61"/>
      <c r="R466" s="61"/>
      <c r="S466" s="61"/>
      <c r="T466" s="61">
        <f>SUM(N466:S466)</f>
        <v>0</v>
      </c>
      <c r="U466" s="61">
        <f>T466+L466</f>
        <v>0</v>
      </c>
      <c r="V466" s="61">
        <f>V461</f>
        <v>0</v>
      </c>
      <c r="W466" s="72">
        <f>V466-U466</f>
        <v>0</v>
      </c>
      <c r="X466" s="63">
        <f>U461-U466</f>
        <v>0</v>
      </c>
    </row>
    <row r="467" spans="1:24" s="126" customFormat="1" ht="18" hidden="1" customHeight="1">
      <c r="A467" s="583"/>
      <c r="B467" s="576"/>
      <c r="C467" s="577"/>
      <c r="D467" s="201" t="str">
        <f>серпень!D390</f>
        <v xml:space="preserve">місцевий </v>
      </c>
      <c r="E467" s="71"/>
      <c r="F467" s="61">
        <f t="shared" ref="F467:K467" si="464">F465-F466</f>
        <v>0</v>
      </c>
      <c r="G467" s="61">
        <f t="shared" si="464"/>
        <v>0</v>
      </c>
      <c r="H467" s="61">
        <f t="shared" si="464"/>
        <v>0</v>
      </c>
      <c r="I467" s="61">
        <f t="shared" si="464"/>
        <v>0</v>
      </c>
      <c r="J467" s="61">
        <f t="shared" si="464"/>
        <v>0</v>
      </c>
      <c r="K467" s="61">
        <f t="shared" si="464"/>
        <v>0</v>
      </c>
      <c r="L467" s="61">
        <f>SUM(F467:K467)</f>
        <v>0</v>
      </c>
      <c r="M467" s="61">
        <f>L467/6</f>
        <v>0</v>
      </c>
      <c r="N467" s="61">
        <f t="shared" ref="N467:S467" si="465">N465-N466</f>
        <v>0</v>
      </c>
      <c r="O467" s="61">
        <f t="shared" si="465"/>
        <v>0</v>
      </c>
      <c r="P467" s="61">
        <f t="shared" si="465"/>
        <v>0</v>
      </c>
      <c r="Q467" s="61">
        <f t="shared" si="465"/>
        <v>0</v>
      </c>
      <c r="R467" s="61">
        <f t="shared" si="465"/>
        <v>0</v>
      </c>
      <c r="S467" s="61">
        <f t="shared" si="465"/>
        <v>0</v>
      </c>
      <c r="T467" s="61">
        <f>SUM(N467:S467)</f>
        <v>0</v>
      </c>
      <c r="U467" s="61">
        <f>T467+L467</f>
        <v>0</v>
      </c>
      <c r="V467" s="61">
        <f>V462</f>
        <v>0</v>
      </c>
      <c r="W467" s="72">
        <f>V467-U467</f>
        <v>0</v>
      </c>
      <c r="X467" s="63">
        <f>U462-U467</f>
        <v>0</v>
      </c>
    </row>
    <row r="468" spans="1:24" s="43" customFormat="1" ht="18" hidden="1" customHeight="1">
      <c r="A468" s="583"/>
      <c r="B468" s="576"/>
      <c r="C468" s="577"/>
      <c r="D468" s="202" t="str">
        <f>серпень!D391</f>
        <v>план</v>
      </c>
      <c r="E468" s="42"/>
      <c r="F468" s="42">
        <f t="shared" ref="F468:K468" si="466">F462</f>
        <v>0</v>
      </c>
      <c r="G468" s="42">
        <f t="shared" si="466"/>
        <v>0</v>
      </c>
      <c r="H468" s="42">
        <f t="shared" si="466"/>
        <v>0</v>
      </c>
      <c r="I468" s="42">
        <f t="shared" si="466"/>
        <v>0</v>
      </c>
      <c r="J468" s="42">
        <f t="shared" si="466"/>
        <v>0</v>
      </c>
      <c r="K468" s="42">
        <f t="shared" si="466"/>
        <v>0</v>
      </c>
      <c r="L468" s="42">
        <f>SUM(F468:K468)</f>
        <v>0</v>
      </c>
      <c r="M468" s="42">
        <f>L468/6</f>
        <v>0</v>
      </c>
      <c r="N468" s="42">
        <f t="shared" ref="N468:S468" si="467">N462+N461</f>
        <v>0</v>
      </c>
      <c r="O468" s="42">
        <f t="shared" si="467"/>
        <v>0</v>
      </c>
      <c r="P468" s="42">
        <f t="shared" si="467"/>
        <v>0</v>
      </c>
      <c r="Q468" s="42">
        <f t="shared" si="467"/>
        <v>0</v>
      </c>
      <c r="R468" s="42">
        <f t="shared" si="467"/>
        <v>0</v>
      </c>
      <c r="S468" s="42">
        <f t="shared" si="467"/>
        <v>0</v>
      </c>
      <c r="T468" s="42">
        <f>SUM(N468:S468)</f>
        <v>0</v>
      </c>
      <c r="U468" s="42">
        <f>T468+L468</f>
        <v>0</v>
      </c>
      <c r="V468" s="42">
        <f>V465</f>
        <v>0</v>
      </c>
      <c r="W468" s="42">
        <f>V468-U468</f>
        <v>0</v>
      </c>
    </row>
    <row r="469" spans="1:24" s="43" customFormat="1" ht="18" hidden="1" customHeight="1">
      <c r="A469" s="583"/>
      <c r="B469" s="576"/>
      <c r="C469" s="577"/>
      <c r="D469" s="202" t="str">
        <f>серпень!D392</f>
        <v xml:space="preserve">відхилення </v>
      </c>
      <c r="E469" s="42"/>
      <c r="F469" s="42">
        <f t="shared" ref="F469:K469" si="468">F465-F468</f>
        <v>0</v>
      </c>
      <c r="G469" s="42">
        <f t="shared" si="468"/>
        <v>0</v>
      </c>
      <c r="H469" s="42">
        <f t="shared" si="468"/>
        <v>0</v>
      </c>
      <c r="I469" s="42">
        <f t="shared" si="468"/>
        <v>0</v>
      </c>
      <c r="J469" s="42">
        <f t="shared" si="468"/>
        <v>0</v>
      </c>
      <c r="K469" s="42">
        <f t="shared" si="468"/>
        <v>0</v>
      </c>
      <c r="L469" s="42"/>
      <c r="M469" s="42"/>
      <c r="N469" s="42">
        <f t="shared" ref="N469:S469" si="469">N465-N468</f>
        <v>0</v>
      </c>
      <c r="O469" s="42">
        <f t="shared" si="469"/>
        <v>0</v>
      </c>
      <c r="P469" s="42">
        <f t="shared" si="469"/>
        <v>0</v>
      </c>
      <c r="Q469" s="42">
        <f t="shared" si="469"/>
        <v>0</v>
      </c>
      <c r="R469" s="42">
        <f t="shared" si="469"/>
        <v>0</v>
      </c>
      <c r="S469" s="42">
        <f t="shared" si="469"/>
        <v>0</v>
      </c>
      <c r="T469" s="42"/>
      <c r="U469" s="42"/>
      <c r="V469" s="42"/>
      <c r="W469" s="42"/>
    </row>
    <row r="470" spans="1:24" s="43" customFormat="1" ht="18" hidden="1" customHeight="1">
      <c r="A470" s="584"/>
      <c r="B470" s="578"/>
      <c r="C470" s="579"/>
      <c r="D470" s="202" t="str">
        <f>серпень!D393</f>
        <v>відхилення з наростаючим</v>
      </c>
      <c r="E470" s="42"/>
      <c r="F470" s="42">
        <f>F469</f>
        <v>0</v>
      </c>
      <c r="G470" s="42">
        <f>G469+F470</f>
        <v>0</v>
      </c>
      <c r="H470" s="42">
        <f>H469+G470</f>
        <v>0</v>
      </c>
      <c r="I470" s="42">
        <f>I469+H470</f>
        <v>0</v>
      </c>
      <c r="J470" s="42">
        <f>J469+I470</f>
        <v>0</v>
      </c>
      <c r="K470" s="42">
        <f>K469+J470</f>
        <v>0</v>
      </c>
      <c r="L470" s="42"/>
      <c r="M470" s="42"/>
      <c r="N470" s="42">
        <f>N469+K470</f>
        <v>0</v>
      </c>
      <c r="O470" s="42">
        <f>O469+N470</f>
        <v>0</v>
      </c>
      <c r="P470" s="42">
        <f>P469+O470</f>
        <v>0</v>
      </c>
      <c r="Q470" s="42">
        <f>Q469+P470</f>
        <v>0</v>
      </c>
      <c r="R470" s="42">
        <f>R469+Q470</f>
        <v>0</v>
      </c>
      <c r="S470" s="42">
        <f>S469+R470</f>
        <v>0</v>
      </c>
      <c r="T470" s="42"/>
      <c r="U470" s="42"/>
      <c r="V470" s="42"/>
      <c r="W470" s="42"/>
    </row>
    <row r="471" spans="1:24" s="55" customFormat="1" ht="18" customHeight="1">
      <c r="A471" s="591">
        <v>2273</v>
      </c>
      <c r="B471" s="580" t="s">
        <v>26</v>
      </c>
      <c r="C471" s="575"/>
      <c r="D471" s="178" t="str">
        <f>серпень!D394</f>
        <v>факт. нат.п-ки 2023</v>
      </c>
      <c r="E471" s="11"/>
      <c r="F471" s="12">
        <f t="shared" ref="F471:K473" si="470">F486+F501</f>
        <v>5879</v>
      </c>
      <c r="G471" s="12">
        <f t="shared" si="470"/>
        <v>10343</v>
      </c>
      <c r="H471" s="12">
        <f t="shared" si="470"/>
        <v>8382</v>
      </c>
      <c r="I471" s="12">
        <f t="shared" si="470"/>
        <v>10571.4</v>
      </c>
      <c r="J471" s="12">
        <f t="shared" si="470"/>
        <v>7074.9</v>
      </c>
      <c r="K471" s="12">
        <f t="shared" si="470"/>
        <v>907.5</v>
      </c>
      <c r="L471" s="65">
        <f>SUM(F471:K471)</f>
        <v>43157.8</v>
      </c>
      <c r="M471" s="65">
        <f>L471/6</f>
        <v>7193</v>
      </c>
      <c r="N471" s="12">
        <f t="shared" ref="N471:S473" si="471">N486+N501</f>
        <v>1800</v>
      </c>
      <c r="O471" s="12">
        <f t="shared" si="471"/>
        <v>1111</v>
      </c>
      <c r="P471" s="12">
        <f t="shared" si="471"/>
        <v>1722</v>
      </c>
      <c r="Q471" s="12">
        <f t="shared" si="471"/>
        <v>2360</v>
      </c>
      <c r="R471" s="12">
        <f t="shared" si="471"/>
        <v>8859</v>
      </c>
      <c r="S471" s="12">
        <f t="shared" si="471"/>
        <v>11010.7</v>
      </c>
      <c r="T471" s="65">
        <f>SUM(N471:S471)</f>
        <v>26862.7</v>
      </c>
      <c r="U471" s="65">
        <f>T471+L471</f>
        <v>70020.5</v>
      </c>
      <c r="V471" s="76">
        <f>V486+V501</f>
        <v>70020.5</v>
      </c>
      <c r="W471" s="38"/>
      <c r="X471" s="47"/>
    </row>
    <row r="472" spans="1:24" s="48" customFormat="1" ht="18" customHeight="1">
      <c r="A472" s="592"/>
      <c r="B472" s="576"/>
      <c r="C472" s="577"/>
      <c r="D472" s="178" t="str">
        <f>серпень!D395</f>
        <v>факт. нат.п-ки 2024</v>
      </c>
      <c r="E472" s="11"/>
      <c r="F472" s="12">
        <f t="shared" si="470"/>
        <v>5362.3</v>
      </c>
      <c r="G472" s="12">
        <f t="shared" si="470"/>
        <v>8647.2999999999993</v>
      </c>
      <c r="H472" s="12">
        <f t="shared" si="470"/>
        <v>10140.700000000001</v>
      </c>
      <c r="I472" s="12">
        <f t="shared" si="470"/>
        <v>5600.7</v>
      </c>
      <c r="J472" s="12">
        <f>J487+J502</f>
        <v>2417.5</v>
      </c>
      <c r="K472" s="12">
        <f t="shared" si="470"/>
        <v>2428.4</v>
      </c>
      <c r="L472" s="65">
        <f>SUM(F472:K472)</f>
        <v>34596.9</v>
      </c>
      <c r="M472" s="65">
        <f>L472/6</f>
        <v>5766.2</v>
      </c>
      <c r="N472" s="12">
        <f t="shared" si="471"/>
        <v>1582</v>
      </c>
      <c r="O472" s="12">
        <f t="shared" si="471"/>
        <v>1311</v>
      </c>
      <c r="P472" s="12">
        <f t="shared" si="471"/>
        <v>2983.1</v>
      </c>
      <c r="Q472" s="12">
        <f t="shared" si="471"/>
        <v>2586.5</v>
      </c>
      <c r="R472" s="12">
        <f t="shared" si="471"/>
        <v>6759</v>
      </c>
      <c r="S472" s="12">
        <f t="shared" si="471"/>
        <v>7084.7</v>
      </c>
      <c r="T472" s="65">
        <f>SUM(N472:S472)</f>
        <v>22306.3</v>
      </c>
      <c r="U472" s="65">
        <f>T472+L472</f>
        <v>56903.199999999997</v>
      </c>
      <c r="V472" s="76">
        <f>V487+V502</f>
        <v>56903.199999999997</v>
      </c>
      <c r="W472" s="38"/>
      <c r="X472" s="47"/>
    </row>
    <row r="473" spans="1:24" s="48" customFormat="1" ht="18" customHeight="1">
      <c r="A473" s="592"/>
      <c r="B473" s="576"/>
      <c r="C473" s="577"/>
      <c r="D473" s="178" t="str">
        <f>серпень!D396</f>
        <v>факт. нат.п-ки 2025</v>
      </c>
      <c r="E473" s="11"/>
      <c r="F473" s="12">
        <f t="shared" si="470"/>
        <v>13147</v>
      </c>
      <c r="G473" s="12">
        <f t="shared" si="470"/>
        <v>12929.2</v>
      </c>
      <c r="H473" s="12">
        <f t="shared" si="470"/>
        <v>11271.2</v>
      </c>
      <c r="I473" s="12">
        <f t="shared" si="470"/>
        <v>8211</v>
      </c>
      <c r="J473" s="12">
        <f>J488+J503</f>
        <v>2722.6</v>
      </c>
      <c r="K473" s="12">
        <f t="shared" si="470"/>
        <v>8521.1</v>
      </c>
      <c r="L473" s="125">
        <f>SUM(F473:K473)</f>
        <v>56802.1</v>
      </c>
      <c r="M473" s="65">
        <f>L473/6</f>
        <v>9467</v>
      </c>
      <c r="N473" s="12">
        <f t="shared" si="471"/>
        <v>1447</v>
      </c>
      <c r="O473" s="12">
        <f t="shared" si="471"/>
        <v>890</v>
      </c>
      <c r="P473" s="12">
        <f t="shared" si="471"/>
        <v>2983.1</v>
      </c>
      <c r="Q473" s="12">
        <f t="shared" si="471"/>
        <v>2586.5</v>
      </c>
      <c r="R473" s="12">
        <f t="shared" si="471"/>
        <v>6759</v>
      </c>
      <c r="S473" s="12">
        <f t="shared" si="471"/>
        <v>7084.7</v>
      </c>
      <c r="T473" s="65">
        <f>SUM(N473:S473)</f>
        <v>21750.3</v>
      </c>
      <c r="U473" s="65">
        <f>T473+L473</f>
        <v>78552.399999999994</v>
      </c>
      <c r="V473" s="76">
        <f>V488+V503</f>
        <v>63994.5</v>
      </c>
      <c r="W473" s="38">
        <f>V473-U473</f>
        <v>-14557.9</v>
      </c>
      <c r="X473" s="47"/>
    </row>
    <row r="474" spans="1:24" s="51" customFormat="1" ht="18" customHeight="1">
      <c r="A474" s="592"/>
      <c r="B474" s="576"/>
      <c r="C474" s="577"/>
      <c r="D474" s="187" t="str">
        <f>серпень!D397</f>
        <v>тариф, грн.</v>
      </c>
      <c r="E474" s="49"/>
      <c r="F474" s="129">
        <f t="shared" ref="F474:S474" si="472">F475/F473*1000</f>
        <v>10.991020000000001</v>
      </c>
      <c r="G474" s="129">
        <f t="shared" si="472"/>
        <v>10.790850000000001</v>
      </c>
      <c r="H474" s="129">
        <f t="shared" si="472"/>
        <v>11.04017</v>
      </c>
      <c r="I474" s="129">
        <f t="shared" si="472"/>
        <v>10.662890000000001</v>
      </c>
      <c r="J474" s="129">
        <f t="shared" si="472"/>
        <v>10.809519999999999</v>
      </c>
      <c r="K474" s="129">
        <f t="shared" si="472"/>
        <v>10.025700000000001</v>
      </c>
      <c r="L474" s="129">
        <f t="shared" si="472"/>
        <v>10.75427</v>
      </c>
      <c r="M474" s="129">
        <f t="shared" si="472"/>
        <v>10.754300000000001</v>
      </c>
      <c r="N474" s="131">
        <f t="shared" si="472"/>
        <v>8.2646859999999993</v>
      </c>
      <c r="O474" s="131">
        <f t="shared" si="472"/>
        <v>8.941573</v>
      </c>
      <c r="P474" s="131">
        <f t="shared" si="472"/>
        <v>10.809561</v>
      </c>
      <c r="Q474" s="131">
        <f t="shared" si="472"/>
        <v>10.809588</v>
      </c>
      <c r="R474" s="131">
        <f t="shared" si="472"/>
        <v>10.809438999999999</v>
      </c>
      <c r="S474" s="131">
        <f t="shared" si="472"/>
        <v>10.80935</v>
      </c>
      <c r="T474" s="129">
        <f>T475/T473*1000</f>
        <v>10.56372</v>
      </c>
      <c r="U474" s="129">
        <f>U475/U473*1000</f>
        <v>10.701510000000001</v>
      </c>
      <c r="V474" s="49">
        <f>V475/V473*1000</f>
        <v>13.875</v>
      </c>
      <c r="W474" s="14">
        <f>W475/W473*1000</f>
        <v>-3.25</v>
      </c>
      <c r="X474" s="59"/>
    </row>
    <row r="475" spans="1:24" s="130" customFormat="1" ht="18" customHeight="1">
      <c r="A475" s="592"/>
      <c r="B475" s="576"/>
      <c r="C475" s="577"/>
      <c r="D475" s="191" t="str">
        <f>серпень!D398</f>
        <v>сума, тис.грн.</v>
      </c>
      <c r="E475" s="52"/>
      <c r="F475" s="52">
        <f t="shared" ref="F475:K478" si="473">F490+F505</f>
        <v>144.499</v>
      </c>
      <c r="G475" s="52">
        <f t="shared" si="473"/>
        <v>139.517</v>
      </c>
      <c r="H475" s="52">
        <f t="shared" si="473"/>
        <v>124.43600000000001</v>
      </c>
      <c r="I475" s="52">
        <f t="shared" si="473"/>
        <v>87.552999999999997</v>
      </c>
      <c r="J475" s="52">
        <f t="shared" si="473"/>
        <v>29.43</v>
      </c>
      <c r="K475" s="52">
        <f t="shared" si="473"/>
        <v>85.43</v>
      </c>
      <c r="L475" s="69">
        <f>SUM(F475:K475)</f>
        <v>610.86500000000001</v>
      </c>
      <c r="M475" s="69">
        <f>L475/6</f>
        <v>101.81100000000001</v>
      </c>
      <c r="N475" s="52">
        <f t="shared" ref="N475:S478" si="474">N490+N505</f>
        <v>11.959</v>
      </c>
      <c r="O475" s="52">
        <f t="shared" si="474"/>
        <v>7.9580000000000002</v>
      </c>
      <c r="P475" s="52">
        <f t="shared" si="474"/>
        <v>32.246000000000002</v>
      </c>
      <c r="Q475" s="52">
        <f t="shared" si="474"/>
        <v>27.959</v>
      </c>
      <c r="R475" s="52">
        <f t="shared" si="474"/>
        <v>73.061000000000007</v>
      </c>
      <c r="S475" s="52">
        <f t="shared" si="474"/>
        <v>76.581000000000003</v>
      </c>
      <c r="T475" s="69">
        <f>SUM(N475:S475)</f>
        <v>229.76400000000001</v>
      </c>
      <c r="U475" s="69">
        <f>T475+L475</f>
        <v>840.62900000000002</v>
      </c>
      <c r="V475" s="52">
        <f>V490+V505</f>
        <v>887.94799999999998</v>
      </c>
      <c r="W475" s="52">
        <f>V475-U475</f>
        <v>47.319000000000003</v>
      </c>
    </row>
    <row r="476" spans="1:24" s="130" customFormat="1" ht="18" customHeight="1">
      <c r="A476" s="592"/>
      <c r="B476" s="576"/>
      <c r="C476" s="577"/>
      <c r="D476" s="174" t="str">
        <f>серпень!D399</f>
        <v>дотація</v>
      </c>
      <c r="E476" s="52"/>
      <c r="F476" s="52">
        <f t="shared" si="473"/>
        <v>0</v>
      </c>
      <c r="G476" s="52">
        <f t="shared" si="473"/>
        <v>0</v>
      </c>
      <c r="H476" s="52">
        <f t="shared" si="473"/>
        <v>0</v>
      </c>
      <c r="I476" s="52">
        <f t="shared" si="473"/>
        <v>0</v>
      </c>
      <c r="J476" s="52">
        <f>J491+J506</f>
        <v>0</v>
      </c>
      <c r="K476" s="52">
        <f t="shared" si="473"/>
        <v>0</v>
      </c>
      <c r="L476" s="69">
        <f>SUM(F476:K476)</f>
        <v>0</v>
      </c>
      <c r="M476" s="69">
        <f>L476/6</f>
        <v>0</v>
      </c>
      <c r="N476" s="52">
        <f t="shared" si="474"/>
        <v>0</v>
      </c>
      <c r="O476" s="52">
        <f t="shared" si="474"/>
        <v>0</v>
      </c>
      <c r="P476" s="52">
        <f t="shared" si="474"/>
        <v>0</v>
      </c>
      <c r="Q476" s="52">
        <f t="shared" si="474"/>
        <v>0</v>
      </c>
      <c r="R476" s="52">
        <f t="shared" si="474"/>
        <v>0</v>
      </c>
      <c r="S476" s="52">
        <f t="shared" si="474"/>
        <v>0</v>
      </c>
      <c r="T476" s="69">
        <f>SUM(N476:S476)</f>
        <v>0</v>
      </c>
      <c r="U476" s="69">
        <f>T476+L476</f>
        <v>0</v>
      </c>
      <c r="V476" s="52">
        <f>V491+V506</f>
        <v>0</v>
      </c>
      <c r="W476" s="52">
        <f>V476-U476</f>
        <v>0</v>
      </c>
    </row>
    <row r="477" spans="1:24" s="130" customFormat="1" ht="18" customHeight="1">
      <c r="A477" s="592"/>
      <c r="B477" s="576"/>
      <c r="C477" s="577"/>
      <c r="D477" s="174" t="str">
        <f>серпень!D400</f>
        <v>місцевий (план), тис.грн</v>
      </c>
      <c r="E477" s="52"/>
      <c r="F477" s="52">
        <f t="shared" si="473"/>
        <v>0</v>
      </c>
      <c r="G477" s="52">
        <f t="shared" si="473"/>
        <v>303.399</v>
      </c>
      <c r="H477" s="52">
        <f t="shared" si="473"/>
        <v>139.518</v>
      </c>
      <c r="I477" s="52">
        <f t="shared" si="473"/>
        <v>81.981999999999999</v>
      </c>
      <c r="J477" s="52">
        <f t="shared" si="473"/>
        <v>0</v>
      </c>
      <c r="K477" s="52">
        <f t="shared" si="473"/>
        <v>0.78</v>
      </c>
      <c r="L477" s="69">
        <f>SUM(F477:K477)</f>
        <v>525.67899999999997</v>
      </c>
      <c r="M477" s="69">
        <f>L477/6</f>
        <v>87.613</v>
      </c>
      <c r="N477" s="52">
        <f t="shared" si="474"/>
        <v>85.186000000000007</v>
      </c>
      <c r="O477" s="52">
        <f t="shared" si="474"/>
        <v>12.029</v>
      </c>
      <c r="P477" s="52">
        <f t="shared" si="474"/>
        <v>13.321999999999999</v>
      </c>
      <c r="Q477" s="52">
        <f>Q492+Q507</f>
        <v>31.338999999999999</v>
      </c>
      <c r="R477" s="52">
        <f t="shared" si="474"/>
        <v>54.335999999999999</v>
      </c>
      <c r="S477" s="52">
        <f t="shared" si="474"/>
        <v>166.05699999999999</v>
      </c>
      <c r="T477" s="69">
        <f>SUM(N477:S477)</f>
        <v>362.26900000000001</v>
      </c>
      <c r="U477" s="69">
        <f>T477+L477</f>
        <v>887.94799999999998</v>
      </c>
      <c r="V477" s="52">
        <f>V492+V507</f>
        <v>887.94799999999998</v>
      </c>
      <c r="W477" s="52">
        <f>V477-U477</f>
        <v>0</v>
      </c>
    </row>
    <row r="478" spans="1:24" s="48" customFormat="1" ht="18" customHeight="1">
      <c r="A478" s="592"/>
      <c r="B478" s="576"/>
      <c r="C478" s="577"/>
      <c r="D478" s="178" t="str">
        <f>серпень!D401</f>
        <v>касові нат.п-ки 2025</v>
      </c>
      <c r="E478" s="11">
        <f>E493</f>
        <v>0</v>
      </c>
      <c r="F478" s="11">
        <f t="shared" si="473"/>
        <v>0</v>
      </c>
      <c r="G478" s="11">
        <f t="shared" si="473"/>
        <v>13147</v>
      </c>
      <c r="H478" s="11">
        <f t="shared" si="473"/>
        <v>12929.2</v>
      </c>
      <c r="I478" s="11">
        <f t="shared" si="473"/>
        <v>11271.2</v>
      </c>
      <c r="J478" s="11">
        <f>J493+J508</f>
        <v>8211</v>
      </c>
      <c r="K478" s="11">
        <f t="shared" si="473"/>
        <v>2722.6</v>
      </c>
      <c r="L478" s="65">
        <f>SUM(F478:K478)</f>
        <v>48281</v>
      </c>
      <c r="M478" s="65">
        <f>L478/6</f>
        <v>8046.8</v>
      </c>
      <c r="N478" s="11">
        <f t="shared" si="474"/>
        <v>8521.1</v>
      </c>
      <c r="O478" s="11">
        <f t="shared" si="474"/>
        <v>1447</v>
      </c>
      <c r="P478" s="11">
        <f t="shared" si="474"/>
        <v>890</v>
      </c>
      <c r="Q478" s="11">
        <f t="shared" si="474"/>
        <v>2983.1</v>
      </c>
      <c r="R478" s="11">
        <f t="shared" si="474"/>
        <v>2586.5</v>
      </c>
      <c r="S478" s="11">
        <f t="shared" si="474"/>
        <v>13843.7</v>
      </c>
      <c r="T478" s="65">
        <f>SUM(N478:S478)</f>
        <v>30271.4</v>
      </c>
      <c r="U478" s="65">
        <f>T478+L478</f>
        <v>78552.399999999994</v>
      </c>
      <c r="V478" s="11">
        <f>V493+V508</f>
        <v>63994.5</v>
      </c>
      <c r="W478" s="38">
        <f>V478-U478</f>
        <v>-14557.9</v>
      </c>
      <c r="X478" s="47">
        <f>U473-U478</f>
        <v>0</v>
      </c>
    </row>
    <row r="479" spans="1:24" s="51" customFormat="1" ht="18" customHeight="1">
      <c r="A479" s="592"/>
      <c r="B479" s="576"/>
      <c r="C479" s="577"/>
      <c r="D479" s="187" t="str">
        <f>серпень!D402</f>
        <v>тариф, грн.</v>
      </c>
      <c r="E479" s="49" t="e">
        <f t="shared" ref="E479:S479" si="475">E480/E478*1000</f>
        <v>#DIV/0!</v>
      </c>
      <c r="F479" s="131" t="e">
        <f t="shared" si="475"/>
        <v>#DIV/0!</v>
      </c>
      <c r="G479" s="131">
        <f t="shared" si="475"/>
        <v>10.991025</v>
      </c>
      <c r="H479" s="131">
        <f t="shared" si="475"/>
        <v>10.790846</v>
      </c>
      <c r="I479" s="131">
        <f t="shared" si="475"/>
        <v>11.040172999999999</v>
      </c>
      <c r="J479" s="131">
        <f t="shared" si="475"/>
        <v>10.662891</v>
      </c>
      <c r="K479" s="131">
        <f t="shared" si="475"/>
        <v>10.809519999999999</v>
      </c>
      <c r="L479" s="129">
        <f t="shared" si="475"/>
        <v>10.882849999999999</v>
      </c>
      <c r="M479" s="129">
        <f t="shared" si="475"/>
        <v>10.882960000000001</v>
      </c>
      <c r="N479" s="131">
        <f t="shared" si="475"/>
        <v>10.025701</v>
      </c>
      <c r="O479" s="131">
        <f t="shared" si="475"/>
        <v>8.2646859999999993</v>
      </c>
      <c r="P479" s="131">
        <f t="shared" si="475"/>
        <v>8.941573</v>
      </c>
      <c r="Q479" s="131">
        <f t="shared" si="475"/>
        <v>10.809561</v>
      </c>
      <c r="R479" s="131">
        <f t="shared" si="475"/>
        <v>10.809588</v>
      </c>
      <c r="S479" s="131">
        <f t="shared" si="475"/>
        <v>10.809393</v>
      </c>
      <c r="T479" s="129">
        <f>T480/T478*1000</f>
        <v>10.412269999999999</v>
      </c>
      <c r="U479" s="129">
        <f>U480/U478*1000</f>
        <v>10.701510000000001</v>
      </c>
      <c r="V479" s="49">
        <f>V480/V478*1000</f>
        <v>13.875</v>
      </c>
      <c r="W479" s="14">
        <f>W480/W478*1000</f>
        <v>-3.25</v>
      </c>
      <c r="X479" s="59"/>
    </row>
    <row r="480" spans="1:24" s="126" customFormat="1" ht="18" customHeight="1">
      <c r="A480" s="592"/>
      <c r="B480" s="576"/>
      <c r="C480" s="577"/>
      <c r="D480" s="198" t="str">
        <f>серпень!D403</f>
        <v>касові видатки, тис.грн.</v>
      </c>
      <c r="E480" s="71">
        <f t="shared" ref="E480:K482" si="476">E495+E510</f>
        <v>0</v>
      </c>
      <c r="F480" s="61">
        <f t="shared" si="476"/>
        <v>0</v>
      </c>
      <c r="G480" s="61">
        <f t="shared" si="476"/>
        <v>144.499</v>
      </c>
      <c r="H480" s="61">
        <f t="shared" si="476"/>
        <v>139.517</v>
      </c>
      <c r="I480" s="61">
        <f t="shared" si="476"/>
        <v>124.43600000000001</v>
      </c>
      <c r="J480" s="61">
        <f t="shared" si="476"/>
        <v>87.552999999999997</v>
      </c>
      <c r="K480" s="61">
        <f t="shared" si="476"/>
        <v>29.43</v>
      </c>
      <c r="L480" s="61">
        <f>SUM(F480:K480)</f>
        <v>525.43499999999995</v>
      </c>
      <c r="M480" s="61">
        <f>L480/6</f>
        <v>87.572999999999993</v>
      </c>
      <c r="N480" s="61">
        <f t="shared" ref="N480:S483" si="477">N495+N510</f>
        <v>85.43</v>
      </c>
      <c r="O480" s="61">
        <f t="shared" si="477"/>
        <v>11.959</v>
      </c>
      <c r="P480" s="61">
        <f t="shared" si="477"/>
        <v>7.9580000000000002</v>
      </c>
      <c r="Q480" s="61">
        <f t="shared" si="477"/>
        <v>32.246000000000002</v>
      </c>
      <c r="R480" s="61">
        <f t="shared" si="477"/>
        <v>27.959</v>
      </c>
      <c r="S480" s="61">
        <f t="shared" si="477"/>
        <v>149.642</v>
      </c>
      <c r="T480" s="61">
        <f>SUM(N480:S480)</f>
        <v>315.19400000000002</v>
      </c>
      <c r="U480" s="61">
        <f>T480+L480</f>
        <v>840.62900000000002</v>
      </c>
      <c r="V480" s="61">
        <f>V495+V510</f>
        <v>887.94799999999998</v>
      </c>
      <c r="W480" s="72">
        <f>V480-U480</f>
        <v>47.319000000000003</v>
      </c>
      <c r="X480" s="63">
        <f>U475-U480</f>
        <v>0</v>
      </c>
    </row>
    <row r="481" spans="1:24" s="126" customFormat="1" ht="18" customHeight="1">
      <c r="A481" s="592"/>
      <c r="B481" s="576"/>
      <c r="C481" s="577"/>
      <c r="D481" s="201" t="str">
        <f>серпень!D404</f>
        <v>дотація</v>
      </c>
      <c r="E481" s="71"/>
      <c r="F481" s="61">
        <f t="shared" si="476"/>
        <v>0</v>
      </c>
      <c r="G481" s="61">
        <f t="shared" si="476"/>
        <v>0</v>
      </c>
      <c r="H481" s="61">
        <f t="shared" si="476"/>
        <v>0</v>
      </c>
      <c r="I481" s="61">
        <f t="shared" si="476"/>
        <v>0</v>
      </c>
      <c r="J481" s="61">
        <f>J496+J511</f>
        <v>0</v>
      </c>
      <c r="K481" s="61">
        <f t="shared" si="476"/>
        <v>0</v>
      </c>
      <c r="L481" s="61">
        <f>SUM(F481:K481)</f>
        <v>0</v>
      </c>
      <c r="M481" s="61">
        <f>L481/6</f>
        <v>0</v>
      </c>
      <c r="N481" s="61">
        <f t="shared" si="477"/>
        <v>0</v>
      </c>
      <c r="O481" s="61">
        <f t="shared" si="477"/>
        <v>0</v>
      </c>
      <c r="P481" s="61">
        <f t="shared" si="477"/>
        <v>0</v>
      </c>
      <c r="Q481" s="61">
        <f t="shared" si="477"/>
        <v>0</v>
      </c>
      <c r="R481" s="61">
        <f t="shared" si="477"/>
        <v>0</v>
      </c>
      <c r="S481" s="61">
        <f t="shared" si="477"/>
        <v>0</v>
      </c>
      <c r="T481" s="61">
        <f>SUM(N481:S481)</f>
        <v>0</v>
      </c>
      <c r="U481" s="61">
        <f>T481+L481</f>
        <v>0</v>
      </c>
      <c r="V481" s="61">
        <f>V496+V511</f>
        <v>0</v>
      </c>
      <c r="W481" s="72">
        <f>V481-U481</f>
        <v>0</v>
      </c>
      <c r="X481" s="63">
        <f>U476-U481</f>
        <v>0</v>
      </c>
    </row>
    <row r="482" spans="1:24" s="126" customFormat="1" ht="18" customHeight="1">
      <c r="A482" s="592"/>
      <c r="B482" s="576"/>
      <c r="C482" s="577"/>
      <c r="D482" s="201" t="str">
        <f>серпень!D405</f>
        <v xml:space="preserve">місцевий </v>
      </c>
      <c r="E482" s="71"/>
      <c r="F482" s="61">
        <f t="shared" si="476"/>
        <v>0</v>
      </c>
      <c r="G482" s="61">
        <f t="shared" si="476"/>
        <v>144.499</v>
      </c>
      <c r="H482" s="61">
        <f t="shared" si="476"/>
        <v>139.517</v>
      </c>
      <c r="I482" s="61">
        <f t="shared" si="476"/>
        <v>124.43600000000001</v>
      </c>
      <c r="J482" s="61">
        <f>J497+J512</f>
        <v>87.552999999999997</v>
      </c>
      <c r="K482" s="61">
        <f t="shared" si="476"/>
        <v>29.43</v>
      </c>
      <c r="L482" s="61">
        <f>SUM(F482:K482)</f>
        <v>525.43499999999995</v>
      </c>
      <c r="M482" s="61">
        <f>L482/6</f>
        <v>87.572999999999993</v>
      </c>
      <c r="N482" s="61">
        <f t="shared" si="477"/>
        <v>85.43</v>
      </c>
      <c r="O482" s="61">
        <f t="shared" si="477"/>
        <v>11.959</v>
      </c>
      <c r="P482" s="61">
        <f t="shared" si="477"/>
        <v>7.9580000000000002</v>
      </c>
      <c r="Q482" s="61">
        <f t="shared" si="477"/>
        <v>32.246000000000002</v>
      </c>
      <c r="R482" s="61">
        <f t="shared" si="477"/>
        <v>27.959</v>
      </c>
      <c r="S482" s="61">
        <f t="shared" si="477"/>
        <v>149.642</v>
      </c>
      <c r="T482" s="61">
        <f>SUM(N482:S482)</f>
        <v>315.19400000000002</v>
      </c>
      <c r="U482" s="61">
        <f>T482+L482</f>
        <v>840.62900000000002</v>
      </c>
      <c r="V482" s="61">
        <f>V497+V512</f>
        <v>887.94799999999998</v>
      </c>
      <c r="W482" s="72">
        <f>V482-U482</f>
        <v>47.319000000000003</v>
      </c>
      <c r="X482" s="63">
        <f>U477-U482</f>
        <v>47.319000000000003</v>
      </c>
    </row>
    <row r="483" spans="1:24" s="43" customFormat="1" ht="18" customHeight="1">
      <c r="A483" s="592"/>
      <c r="B483" s="576"/>
      <c r="C483" s="577"/>
      <c r="D483" s="202" t="str">
        <f>серпень!D406</f>
        <v>план</v>
      </c>
      <c r="E483" s="42"/>
      <c r="F483" s="42">
        <f t="shared" ref="F483:K483" si="478">F477</f>
        <v>0</v>
      </c>
      <c r="G483" s="42">
        <f t="shared" si="478"/>
        <v>303.399</v>
      </c>
      <c r="H483" s="42">
        <f t="shared" si="478"/>
        <v>139.518</v>
      </c>
      <c r="I483" s="42">
        <f t="shared" si="478"/>
        <v>81.981999999999999</v>
      </c>
      <c r="J483" s="42">
        <f t="shared" si="478"/>
        <v>0</v>
      </c>
      <c r="K483" s="42">
        <f t="shared" si="478"/>
        <v>0.78</v>
      </c>
      <c r="L483" s="42">
        <f>SUM(F483:K483)</f>
        <v>525.67899999999997</v>
      </c>
      <c r="M483" s="42">
        <f>L483/6</f>
        <v>87.613</v>
      </c>
      <c r="N483" s="42">
        <f t="shared" si="477"/>
        <v>85.186000000000007</v>
      </c>
      <c r="O483" s="42">
        <f t="shared" si="477"/>
        <v>12.029</v>
      </c>
      <c r="P483" s="42">
        <f t="shared" si="477"/>
        <v>13.321999999999999</v>
      </c>
      <c r="Q483" s="42">
        <f t="shared" si="477"/>
        <v>31.338999999999999</v>
      </c>
      <c r="R483" s="42">
        <f t="shared" si="477"/>
        <v>54.335999999999999</v>
      </c>
      <c r="S483" s="42">
        <f t="shared" si="477"/>
        <v>166.05699999999999</v>
      </c>
      <c r="T483" s="42">
        <f>SUM(N483:S483)</f>
        <v>362.26900000000001</v>
      </c>
      <c r="U483" s="42">
        <f>T483+L483</f>
        <v>887.94799999999998</v>
      </c>
      <c r="V483" s="42">
        <f>V477+V476</f>
        <v>887.94799999999998</v>
      </c>
      <c r="W483" s="42">
        <f>V483-U483</f>
        <v>0</v>
      </c>
    </row>
    <row r="484" spans="1:24" s="43" customFormat="1" ht="18" customHeight="1">
      <c r="A484" s="592"/>
      <c r="B484" s="576"/>
      <c r="C484" s="577"/>
      <c r="D484" s="202" t="str">
        <f>серпень!D407</f>
        <v xml:space="preserve">відхилення </v>
      </c>
      <c r="E484" s="42"/>
      <c r="F484" s="42">
        <f t="shared" ref="F484:K484" si="479">F480-F483</f>
        <v>0</v>
      </c>
      <c r="G484" s="42">
        <f t="shared" si="479"/>
        <v>-158.9</v>
      </c>
      <c r="H484" s="42">
        <f t="shared" si="479"/>
        <v>-1E-3</v>
      </c>
      <c r="I484" s="42">
        <f t="shared" si="479"/>
        <v>42.454000000000001</v>
      </c>
      <c r="J484" s="42">
        <f t="shared" si="479"/>
        <v>87.552999999999997</v>
      </c>
      <c r="K484" s="42">
        <f t="shared" si="479"/>
        <v>28.65</v>
      </c>
      <c r="L484" s="42"/>
      <c r="M484" s="42"/>
      <c r="N484" s="42">
        <f t="shared" ref="N484:S484" si="480">N480-N483</f>
        <v>0.24399999999999999</v>
      </c>
      <c r="O484" s="42">
        <f t="shared" si="480"/>
        <v>-7.0000000000000007E-2</v>
      </c>
      <c r="P484" s="42">
        <f t="shared" si="480"/>
        <v>-5.3639999999999999</v>
      </c>
      <c r="Q484" s="42">
        <f t="shared" si="480"/>
        <v>0.90700000000000003</v>
      </c>
      <c r="R484" s="42">
        <f t="shared" si="480"/>
        <v>-26.376999999999999</v>
      </c>
      <c r="S484" s="42">
        <f t="shared" si="480"/>
        <v>-16.414999999999999</v>
      </c>
      <c r="T484" s="42"/>
      <c r="U484" s="42"/>
      <c r="V484" s="42"/>
      <c r="W484" s="42"/>
    </row>
    <row r="485" spans="1:24" s="43" customFormat="1" ht="18" customHeight="1">
      <c r="A485" s="592"/>
      <c r="B485" s="576"/>
      <c r="C485" s="577"/>
      <c r="D485" s="202" t="str">
        <f>серпень!D408</f>
        <v>відхилення з наростаючим</v>
      </c>
      <c r="E485" s="42"/>
      <c r="F485" s="42">
        <f>F484</f>
        <v>0</v>
      </c>
      <c r="G485" s="42">
        <f>G484+F485</f>
        <v>-158.9</v>
      </c>
      <c r="H485" s="42">
        <f>H484+G485</f>
        <v>-158.90100000000001</v>
      </c>
      <c r="I485" s="42">
        <f>I484+H485</f>
        <v>-116.447</v>
      </c>
      <c r="J485" s="42">
        <f>J484+I485</f>
        <v>-28.893999999999998</v>
      </c>
      <c r="K485" s="42">
        <f>K484+J485</f>
        <v>-0.24399999999999999</v>
      </c>
      <c r="L485" s="42"/>
      <c r="M485" s="42"/>
      <c r="N485" s="42">
        <f>N484+K485</f>
        <v>0</v>
      </c>
      <c r="O485" s="42">
        <f>O484+N485</f>
        <v>-7.0000000000000007E-2</v>
      </c>
      <c r="P485" s="42">
        <f>P484+O485</f>
        <v>-5.4340000000000002</v>
      </c>
      <c r="Q485" s="42">
        <f>Q484+P485</f>
        <v>-4.5270000000000001</v>
      </c>
      <c r="R485" s="42">
        <f>R484+Q485</f>
        <v>-30.904</v>
      </c>
      <c r="S485" s="42">
        <f>S484+R485</f>
        <v>-47.319000000000003</v>
      </c>
      <c r="T485" s="42"/>
      <c r="U485" s="42"/>
      <c r="V485" s="42"/>
      <c r="W485" s="42"/>
    </row>
    <row r="486" spans="1:24" s="55" customFormat="1" ht="18" customHeight="1">
      <c r="A486" s="592"/>
      <c r="B486" s="581" t="s">
        <v>32</v>
      </c>
      <c r="C486" s="581"/>
      <c r="D486" s="178" t="str">
        <f>серпень!D409</f>
        <v>факт. нат.п-ки 2023</v>
      </c>
      <c r="E486" s="11"/>
      <c r="F486" s="12">
        <v>5879</v>
      </c>
      <c r="G486" s="12">
        <v>10343</v>
      </c>
      <c r="H486" s="12">
        <v>8382</v>
      </c>
      <c r="I486" s="12">
        <v>10571.4</v>
      </c>
      <c r="J486" s="12">
        <v>7074.9</v>
      </c>
      <c r="K486" s="12">
        <v>907.5</v>
      </c>
      <c r="L486" s="65">
        <f>SUM(F486:K486)</f>
        <v>43157.8</v>
      </c>
      <c r="M486" s="65">
        <f>L486/6</f>
        <v>7193</v>
      </c>
      <c r="N486" s="151">
        <v>1800</v>
      </c>
      <c r="O486" s="151">
        <v>1111</v>
      </c>
      <c r="P486" s="151">
        <v>1722</v>
      </c>
      <c r="Q486" s="151">
        <v>2360</v>
      </c>
      <c r="R486" s="151">
        <v>8859</v>
      </c>
      <c r="S486" s="151">
        <v>11010.7</v>
      </c>
      <c r="T486" s="65">
        <f>SUM(N486:S486)</f>
        <v>26862.7</v>
      </c>
      <c r="U486" s="65">
        <f>T486+L486</f>
        <v>70020.5</v>
      </c>
      <c r="V486" s="46">
        <v>70020.5</v>
      </c>
      <c r="W486" s="38"/>
      <c r="X486" s="47"/>
    </row>
    <row r="487" spans="1:24" s="48" customFormat="1" ht="18" customHeight="1">
      <c r="A487" s="592"/>
      <c r="B487" s="581"/>
      <c r="C487" s="581"/>
      <c r="D487" s="178" t="str">
        <f>серпень!D410</f>
        <v>факт. нат.п-ки 2024</v>
      </c>
      <c r="E487" s="11"/>
      <c r="F487" s="12">
        <v>5362.3</v>
      </c>
      <c r="G487" s="12">
        <v>8647.2999999999993</v>
      </c>
      <c r="H487" s="12">
        <v>10140.700000000001</v>
      </c>
      <c r="I487" s="12">
        <v>5600.7</v>
      </c>
      <c r="J487" s="12">
        <v>2417.5</v>
      </c>
      <c r="K487" s="12">
        <v>2428.4</v>
      </c>
      <c r="L487" s="65">
        <f>SUM(F487:K487)</f>
        <v>34596.9</v>
      </c>
      <c r="M487" s="65">
        <f>L487/6</f>
        <v>5766.2</v>
      </c>
      <c r="N487" s="83">
        <v>1582</v>
      </c>
      <c r="O487" s="83">
        <v>1311</v>
      </c>
      <c r="P487" s="83">
        <v>2983.1</v>
      </c>
      <c r="Q487" s="83">
        <v>2586.5</v>
      </c>
      <c r="R487" s="83">
        <v>6759</v>
      </c>
      <c r="S487" s="83">
        <v>7084.7</v>
      </c>
      <c r="T487" s="65">
        <f>SUM(N487:S487)</f>
        <v>22306.3</v>
      </c>
      <c r="U487" s="65">
        <f>T487+L487</f>
        <v>56903.199999999997</v>
      </c>
      <c r="V487" s="75">
        <v>56903.199999999997</v>
      </c>
      <c r="W487" s="38"/>
      <c r="X487" s="47"/>
    </row>
    <row r="488" spans="1:24" s="48" customFormat="1" ht="18" customHeight="1">
      <c r="A488" s="592"/>
      <c r="B488" s="581"/>
      <c r="C488" s="581"/>
      <c r="D488" s="178" t="str">
        <f>серпень!D411</f>
        <v>факт. нат.п-ки 2025</v>
      </c>
      <c r="E488" s="11"/>
      <c r="F488" s="12">
        <v>13147</v>
      </c>
      <c r="G488" s="12">
        <v>12929.2</v>
      </c>
      <c r="H488" s="12">
        <v>11271.2</v>
      </c>
      <c r="I488" s="12">
        <v>8211</v>
      </c>
      <c r="J488" s="12">
        <v>2722.6</v>
      </c>
      <c r="K488" s="12">
        <v>8521.1</v>
      </c>
      <c r="L488" s="65">
        <f>SUM(F488:K488)</f>
        <v>56802.1</v>
      </c>
      <c r="M488" s="65">
        <f>L488/6</f>
        <v>9467</v>
      </c>
      <c r="N488" s="83">
        <v>1447</v>
      </c>
      <c r="O488" s="83">
        <v>890</v>
      </c>
      <c r="P488" s="83">
        <v>2983.1</v>
      </c>
      <c r="Q488" s="83">
        <v>2586.5</v>
      </c>
      <c r="R488" s="83">
        <f>8859-2100</f>
        <v>6759</v>
      </c>
      <c r="S488" s="83">
        <f>11010.7-6026+2100</f>
        <v>7084.7</v>
      </c>
      <c r="T488" s="65">
        <f>SUM(N488:S488)</f>
        <v>21750.3</v>
      </c>
      <c r="U488" s="65">
        <f>T488+L488</f>
        <v>78552.399999999994</v>
      </c>
      <c r="V488" s="75">
        <v>63994.5</v>
      </c>
      <c r="W488" s="38">
        <f>V488-U488</f>
        <v>-14557.9</v>
      </c>
      <c r="X488" s="47"/>
    </row>
    <row r="489" spans="1:24" s="51" customFormat="1" ht="18" customHeight="1">
      <c r="A489" s="592"/>
      <c r="B489" s="581"/>
      <c r="C489" s="581"/>
      <c r="D489" s="187" t="str">
        <f>серпень!D412</f>
        <v>тариф, грн.</v>
      </c>
      <c r="E489" s="129" t="e">
        <f t="shared" ref="E489:K489" si="481">E490/E488*1000</f>
        <v>#DIV/0!</v>
      </c>
      <c r="F489" s="129">
        <f t="shared" si="481"/>
        <v>10.991020000000001</v>
      </c>
      <c r="G489" s="129">
        <f t="shared" si="481"/>
        <v>10.790850000000001</v>
      </c>
      <c r="H489" s="129">
        <f t="shared" si="481"/>
        <v>11.04017</v>
      </c>
      <c r="I489" s="129">
        <f t="shared" si="481"/>
        <v>10.662890000000001</v>
      </c>
      <c r="J489" s="129">
        <f t="shared" si="481"/>
        <v>10.809519999999999</v>
      </c>
      <c r="K489" s="129">
        <f t="shared" si="481"/>
        <v>10.025700000000001</v>
      </c>
      <c r="L489" s="132">
        <f>L490/L488*1000</f>
        <v>10.75427</v>
      </c>
      <c r="M489" s="132">
        <f>M490/M488*1000</f>
        <v>10.754300000000001</v>
      </c>
      <c r="N489" s="132">
        <f t="shared" ref="N489:O489" si="482">N490/N488*1000</f>
        <v>8.2646899999999999</v>
      </c>
      <c r="O489" s="132">
        <f t="shared" si="482"/>
        <v>8.9415700000000005</v>
      </c>
      <c r="P489" s="129">
        <v>10.80949</v>
      </c>
      <c r="Q489" s="129">
        <v>10.80949</v>
      </c>
      <c r="R489" s="129">
        <v>10.80949</v>
      </c>
      <c r="S489" s="129">
        <v>10.80949</v>
      </c>
      <c r="T489" s="132">
        <f>T490/T488*1000</f>
        <v>10.56372</v>
      </c>
      <c r="U489" s="132">
        <f>U490/U488*1000</f>
        <v>10.701510000000001</v>
      </c>
      <c r="V489" s="132">
        <f>V490/V488*1000</f>
        <v>13.87538</v>
      </c>
      <c r="W489" s="40">
        <f>W490/W488*1000</f>
        <v>-3.2504</v>
      </c>
      <c r="X489" s="59"/>
    </row>
    <row r="490" spans="1:24" s="130" customFormat="1" ht="18" customHeight="1">
      <c r="A490" s="592"/>
      <c r="B490" s="581"/>
      <c r="C490" s="581"/>
      <c r="D490" s="191" t="str">
        <f>серпень!D413</f>
        <v>сума, тис.грн.</v>
      </c>
      <c r="E490" s="52"/>
      <c r="F490" s="52">
        <v>144.499</v>
      </c>
      <c r="G490" s="52">
        <v>139.517</v>
      </c>
      <c r="H490" s="52">
        <v>124.43600000000001</v>
      </c>
      <c r="I490" s="52">
        <v>87.552999999999997</v>
      </c>
      <c r="J490" s="52">
        <v>29.43</v>
      </c>
      <c r="K490" s="52">
        <v>85.43</v>
      </c>
      <c r="L490" s="69">
        <f>SUM(F490:K490)</f>
        <v>610.86500000000001</v>
      </c>
      <c r="M490" s="69">
        <f>L490/6</f>
        <v>101.81100000000001</v>
      </c>
      <c r="N490" s="52">
        <v>11.959</v>
      </c>
      <c r="O490" s="52">
        <v>7.9580000000000002</v>
      </c>
      <c r="P490" s="52">
        <f t="shared" ref="P490" si="483">P488*P489/1000</f>
        <v>32.246000000000002</v>
      </c>
      <c r="Q490" s="52">
        <f t="shared" ref="Q490" si="484">Q488*Q489/1000</f>
        <v>27.959</v>
      </c>
      <c r="R490" s="52">
        <f t="shared" ref="R490" si="485">R488*R489/1000</f>
        <v>73.061000000000007</v>
      </c>
      <c r="S490" s="52">
        <f>S488*S489/1000-0.001</f>
        <v>76.581000000000003</v>
      </c>
      <c r="T490" s="69">
        <f>SUM(N490:S490)</f>
        <v>229.76400000000001</v>
      </c>
      <c r="U490" s="69">
        <f>T490+L490</f>
        <v>840.62900000000002</v>
      </c>
      <c r="V490" s="70">
        <f>V491+V492</f>
        <v>887.94799999999998</v>
      </c>
      <c r="W490" s="53">
        <f>V490-U490</f>
        <v>47.319000000000003</v>
      </c>
      <c r="X490" s="133"/>
    </row>
    <row r="491" spans="1:24" s="130" customFormat="1" ht="18" customHeight="1">
      <c r="A491" s="592"/>
      <c r="B491" s="581"/>
      <c r="C491" s="581"/>
      <c r="D491" s="174" t="str">
        <f>серпень!D414</f>
        <v>дотація</v>
      </c>
      <c r="E491" s="56"/>
      <c r="F491" s="52"/>
      <c r="G491" s="52"/>
      <c r="H491" s="52"/>
      <c r="I491" s="52"/>
      <c r="J491" s="52"/>
      <c r="K491" s="52"/>
      <c r="L491" s="69">
        <f>SUM(F491:K491)</f>
        <v>0</v>
      </c>
      <c r="M491" s="69">
        <f>L491/6</f>
        <v>0</v>
      </c>
      <c r="N491" s="52"/>
      <c r="O491" s="52"/>
      <c r="P491" s="52"/>
      <c r="Q491" s="52"/>
      <c r="R491" s="52"/>
      <c r="S491" s="52"/>
      <c r="T491" s="69">
        <f>SUM(N491:S491)</f>
        <v>0</v>
      </c>
      <c r="U491" s="69">
        <f>T491+L491</f>
        <v>0</v>
      </c>
      <c r="V491" s="70">
        <v>0</v>
      </c>
      <c r="W491" s="53">
        <f>V491-U491</f>
        <v>0</v>
      </c>
    </row>
    <row r="492" spans="1:24" s="130" customFormat="1" ht="18" customHeight="1">
      <c r="A492" s="592"/>
      <c r="B492" s="581"/>
      <c r="C492" s="581"/>
      <c r="D492" s="174" t="str">
        <f>серпень!D415</f>
        <v>місцевий (план), тис.грн</v>
      </c>
      <c r="E492" s="56"/>
      <c r="F492" s="52">
        <f>14.815-14.815</f>
        <v>0</v>
      </c>
      <c r="G492" s="52">
        <v>303.399</v>
      </c>
      <c r="H492" s="52">
        <f>82.149+57.369</f>
        <v>139.518</v>
      </c>
      <c r="I492" s="52">
        <f>124.435-42.453</f>
        <v>81.981999999999999</v>
      </c>
      <c r="J492" s="52">
        <v>0</v>
      </c>
      <c r="K492" s="52">
        <v>0.78</v>
      </c>
      <c r="L492" s="69">
        <f>SUM(F492:K492)</f>
        <v>525.67899999999997</v>
      </c>
      <c r="M492" s="69">
        <f>L492/6</f>
        <v>87.613</v>
      </c>
      <c r="N492" s="52">
        <v>85.186000000000007</v>
      </c>
      <c r="O492" s="52">
        <f>15.029-3</f>
        <v>12.029</v>
      </c>
      <c r="P492" s="52">
        <v>13.321999999999999</v>
      </c>
      <c r="Q492" s="52">
        <f>28.339+3</f>
        <v>31.338999999999999</v>
      </c>
      <c r="R492" s="52">
        <v>54.335999999999999</v>
      </c>
      <c r="S492" s="52">
        <v>166.05699999999999</v>
      </c>
      <c r="T492" s="69">
        <f>SUM(N492:S492)</f>
        <v>362.26900000000001</v>
      </c>
      <c r="U492" s="69">
        <f>T492+L492</f>
        <v>887.94799999999998</v>
      </c>
      <c r="V492" s="70">
        <v>887.94799999999998</v>
      </c>
      <c r="W492" s="53">
        <f>V492-U492</f>
        <v>0</v>
      </c>
    </row>
    <row r="493" spans="1:24" s="48" customFormat="1" ht="18" customHeight="1">
      <c r="A493" s="592"/>
      <c r="B493" s="581"/>
      <c r="C493" s="581"/>
      <c r="D493" s="178" t="str">
        <f>серпень!D416</f>
        <v>касові нат.п-ки 2025</v>
      </c>
      <c r="E493" s="11"/>
      <c r="F493" s="12">
        <v>0</v>
      </c>
      <c r="G493" s="12">
        <v>13147</v>
      </c>
      <c r="H493" s="12">
        <v>12929.2</v>
      </c>
      <c r="I493" s="12">
        <v>11271.2</v>
      </c>
      <c r="J493" s="12">
        <v>8211</v>
      </c>
      <c r="K493" s="12">
        <v>2722.6</v>
      </c>
      <c r="L493" s="65">
        <f>SUM(F493:K493)</f>
        <v>48281</v>
      </c>
      <c r="M493" s="65">
        <f>L493/6</f>
        <v>8046.8</v>
      </c>
      <c r="N493" s="12">
        <v>8521.1</v>
      </c>
      <c r="O493" s="112">
        <v>1447</v>
      </c>
      <c r="P493" s="112">
        <v>890</v>
      </c>
      <c r="Q493" s="112">
        <v>2983.1</v>
      </c>
      <c r="R493" s="112">
        <v>2586.5</v>
      </c>
      <c r="S493" s="112">
        <f>R488+S488</f>
        <v>13843.7</v>
      </c>
      <c r="T493" s="65">
        <f>SUM(N493:S493)</f>
        <v>30271.4</v>
      </c>
      <c r="U493" s="65">
        <f>T493+L493</f>
        <v>78552.399999999994</v>
      </c>
      <c r="V493" s="11">
        <f>V488</f>
        <v>63994.5</v>
      </c>
      <c r="W493" s="38">
        <f>V493-U493</f>
        <v>-14557.9</v>
      </c>
      <c r="X493" s="47">
        <f>U488-U493</f>
        <v>0</v>
      </c>
    </row>
    <row r="494" spans="1:24" s="51" customFormat="1" ht="18" customHeight="1">
      <c r="A494" s="592"/>
      <c r="B494" s="581"/>
      <c r="C494" s="581"/>
      <c r="D494" s="187" t="str">
        <f>серпень!D417</f>
        <v>тариф, грн.</v>
      </c>
      <c r="E494" s="129" t="e">
        <f t="shared" ref="E494:K494" si="486">E495/E493*1000</f>
        <v>#DIV/0!</v>
      </c>
      <c r="F494" s="129" t="e">
        <f t="shared" si="486"/>
        <v>#DIV/0!</v>
      </c>
      <c r="G494" s="129">
        <f t="shared" si="486"/>
        <v>10.991020000000001</v>
      </c>
      <c r="H494" s="129">
        <f t="shared" si="486"/>
        <v>10.790850000000001</v>
      </c>
      <c r="I494" s="129">
        <f t="shared" si="486"/>
        <v>11.04017</v>
      </c>
      <c r="J494" s="129">
        <f t="shared" si="486"/>
        <v>10.662890000000001</v>
      </c>
      <c r="K494" s="129">
        <f t="shared" si="486"/>
        <v>10.809519999999999</v>
      </c>
      <c r="L494" s="132">
        <f>L495/L493*1000</f>
        <v>10.882849999999999</v>
      </c>
      <c r="M494" s="40">
        <f>M495/M493*1000</f>
        <v>10.882960000000001</v>
      </c>
      <c r="N494" s="40">
        <f t="shared" ref="N494:O494" si="487">N495/N493*1000</f>
        <v>10.025700000000001</v>
      </c>
      <c r="O494" s="40">
        <f t="shared" si="487"/>
        <v>8.2646899999999999</v>
      </c>
      <c r="P494" s="129">
        <v>8.9415700000000005</v>
      </c>
      <c r="Q494" s="129">
        <v>10.80949</v>
      </c>
      <c r="R494" s="129">
        <v>10.80949</v>
      </c>
      <c r="S494" s="129">
        <v>10.80949</v>
      </c>
      <c r="T494" s="132">
        <f>T495/T493*1000</f>
        <v>10.412269999999999</v>
      </c>
      <c r="U494" s="132">
        <f>U495/U493*1000</f>
        <v>10.701510000000001</v>
      </c>
      <c r="V494" s="132">
        <f>V495/V493*1000</f>
        <v>13.87538</v>
      </c>
      <c r="W494" s="40">
        <f>W495/W493*1000</f>
        <v>-3.2504</v>
      </c>
      <c r="X494" s="59"/>
    </row>
    <row r="495" spans="1:24" s="126" customFormat="1" ht="18" customHeight="1">
      <c r="A495" s="592"/>
      <c r="B495" s="581"/>
      <c r="C495" s="581"/>
      <c r="D495" s="198" t="str">
        <f>серпень!D418</f>
        <v>касові видатки, тис.грн.</v>
      </c>
      <c r="E495" s="71"/>
      <c r="F495" s="61">
        <v>0</v>
      </c>
      <c r="G495" s="61">
        <v>144.499</v>
      </c>
      <c r="H495" s="61">
        <v>139.517</v>
      </c>
      <c r="I495" s="61">
        <v>124.43600000000001</v>
      </c>
      <c r="J495" s="61">
        <v>87.552999999999997</v>
      </c>
      <c r="K495" s="61">
        <v>29.43</v>
      </c>
      <c r="L495" s="61">
        <f>SUM(F495:K495)</f>
        <v>525.43499999999995</v>
      </c>
      <c r="M495" s="61">
        <f>L495/6</f>
        <v>87.572999999999993</v>
      </c>
      <c r="N495" s="61">
        <v>85.43</v>
      </c>
      <c r="O495" s="61">
        <v>11.959</v>
      </c>
      <c r="P495" s="61">
        <v>7.9580000000000002</v>
      </c>
      <c r="Q495" s="61">
        <f t="shared" ref="Q495" si="488">Q493*Q494/1000</f>
        <v>32.246000000000002</v>
      </c>
      <c r="R495" s="61">
        <f t="shared" ref="R495" si="489">R493*R494/1000</f>
        <v>27.959</v>
      </c>
      <c r="S495" s="61">
        <f>S493*S494/1000-0.001</f>
        <v>149.642</v>
      </c>
      <c r="T495" s="61">
        <f>SUM(N495:S495)</f>
        <v>315.19400000000002</v>
      </c>
      <c r="U495" s="61">
        <f>T495+L495</f>
        <v>840.62900000000002</v>
      </c>
      <c r="V495" s="61">
        <f>V490</f>
        <v>887.94799999999998</v>
      </c>
      <c r="W495" s="72">
        <f>V495-U495</f>
        <v>47.319000000000003</v>
      </c>
      <c r="X495" s="63">
        <f>U490-U495</f>
        <v>0</v>
      </c>
    </row>
    <row r="496" spans="1:24" s="126" customFormat="1" ht="18" customHeight="1">
      <c r="A496" s="592"/>
      <c r="B496" s="581"/>
      <c r="C496" s="581"/>
      <c r="D496" s="201" t="str">
        <f>серпень!D419</f>
        <v>дотація</v>
      </c>
      <c r="E496" s="71"/>
      <c r="F496" s="61">
        <v>0</v>
      </c>
      <c r="G496" s="61">
        <v>0</v>
      </c>
      <c r="H496" s="61">
        <v>0</v>
      </c>
      <c r="I496" s="61">
        <v>0</v>
      </c>
      <c r="J496" s="61">
        <v>0</v>
      </c>
      <c r="K496" s="61">
        <v>0</v>
      </c>
      <c r="L496" s="61">
        <f>SUM(F496:K496)</f>
        <v>0</v>
      </c>
      <c r="M496" s="61">
        <f>L496/6</f>
        <v>0</v>
      </c>
      <c r="N496" s="61">
        <v>0</v>
      </c>
      <c r="O496" s="61">
        <v>0</v>
      </c>
      <c r="P496" s="61">
        <v>0</v>
      </c>
      <c r="Q496" s="61">
        <v>0</v>
      </c>
      <c r="R496" s="61">
        <v>0</v>
      </c>
      <c r="S496" s="61">
        <v>0</v>
      </c>
      <c r="T496" s="61">
        <f>SUM(N496:S496)</f>
        <v>0</v>
      </c>
      <c r="U496" s="61">
        <f>T496+L496</f>
        <v>0</v>
      </c>
      <c r="V496" s="61">
        <f>V491</f>
        <v>0</v>
      </c>
      <c r="W496" s="72">
        <f>V496-U496</f>
        <v>0</v>
      </c>
      <c r="X496" s="63">
        <f>U491-U496</f>
        <v>0</v>
      </c>
    </row>
    <row r="497" spans="1:24" s="126" customFormat="1" ht="18" customHeight="1">
      <c r="A497" s="592"/>
      <c r="B497" s="581"/>
      <c r="C497" s="581"/>
      <c r="D497" s="201" t="str">
        <f>серпень!D420</f>
        <v xml:space="preserve">місцевий </v>
      </c>
      <c r="E497" s="71"/>
      <c r="F497" s="61">
        <f t="shared" ref="F497:K497" si="490">F495-F496</f>
        <v>0</v>
      </c>
      <c r="G497" s="61">
        <f t="shared" si="490"/>
        <v>144.499</v>
      </c>
      <c r="H497" s="61">
        <f t="shared" si="490"/>
        <v>139.517</v>
      </c>
      <c r="I497" s="61">
        <f t="shared" si="490"/>
        <v>124.43600000000001</v>
      </c>
      <c r="J497" s="61">
        <f t="shared" si="490"/>
        <v>87.552999999999997</v>
      </c>
      <c r="K497" s="61">
        <f t="shared" si="490"/>
        <v>29.43</v>
      </c>
      <c r="L497" s="61">
        <f>SUM(F497:K497)</f>
        <v>525.43499999999995</v>
      </c>
      <c r="M497" s="61">
        <f>L497/6</f>
        <v>87.572999999999993</v>
      </c>
      <c r="N497" s="61">
        <f t="shared" ref="N497:S497" si="491">N495-N496</f>
        <v>85.43</v>
      </c>
      <c r="O497" s="61">
        <f t="shared" si="491"/>
        <v>11.959</v>
      </c>
      <c r="P497" s="61">
        <f t="shared" si="491"/>
        <v>7.9580000000000002</v>
      </c>
      <c r="Q497" s="61">
        <f t="shared" si="491"/>
        <v>32.246000000000002</v>
      </c>
      <c r="R497" s="61">
        <f t="shared" si="491"/>
        <v>27.959</v>
      </c>
      <c r="S497" s="61">
        <f t="shared" si="491"/>
        <v>149.642</v>
      </c>
      <c r="T497" s="61">
        <f>SUM(N497:S497)</f>
        <v>315.19400000000002</v>
      </c>
      <c r="U497" s="61">
        <f>T497+L497</f>
        <v>840.62900000000002</v>
      </c>
      <c r="V497" s="61">
        <f>V492</f>
        <v>887.94799999999998</v>
      </c>
      <c r="W497" s="72">
        <f>V497-U497</f>
        <v>47.319000000000003</v>
      </c>
      <c r="X497" s="63">
        <f>U492-U497</f>
        <v>47.319000000000003</v>
      </c>
    </row>
    <row r="498" spans="1:24" s="43" customFormat="1" ht="18" customHeight="1">
      <c r="A498" s="592"/>
      <c r="B498" s="581"/>
      <c r="C498" s="581"/>
      <c r="D498" s="202" t="str">
        <f>серпень!D421</f>
        <v>план</v>
      </c>
      <c r="E498" s="42"/>
      <c r="F498" s="42">
        <f t="shared" ref="F498:K498" si="492">F492</f>
        <v>0</v>
      </c>
      <c r="G498" s="42">
        <f t="shared" si="492"/>
        <v>303.399</v>
      </c>
      <c r="H498" s="42">
        <f t="shared" si="492"/>
        <v>139.518</v>
      </c>
      <c r="I498" s="42">
        <f t="shared" si="492"/>
        <v>81.981999999999999</v>
      </c>
      <c r="J498" s="42">
        <f t="shared" si="492"/>
        <v>0</v>
      </c>
      <c r="K498" s="42">
        <f t="shared" si="492"/>
        <v>0.78</v>
      </c>
      <c r="L498" s="42">
        <f>SUM(F498:K498)</f>
        <v>525.67899999999997</v>
      </c>
      <c r="M498" s="42">
        <f>L498/6</f>
        <v>87.613</v>
      </c>
      <c r="N498" s="42">
        <f t="shared" ref="N498:S498" si="493">N492+N491</f>
        <v>85.186000000000007</v>
      </c>
      <c r="O498" s="42">
        <f t="shared" si="493"/>
        <v>12.029</v>
      </c>
      <c r="P498" s="42">
        <f t="shared" si="493"/>
        <v>13.321999999999999</v>
      </c>
      <c r="Q498" s="42">
        <f t="shared" si="493"/>
        <v>31.338999999999999</v>
      </c>
      <c r="R498" s="42">
        <f t="shared" si="493"/>
        <v>54.335999999999999</v>
      </c>
      <c r="S498" s="42">
        <f t="shared" si="493"/>
        <v>166.05699999999999</v>
      </c>
      <c r="T498" s="42">
        <f>SUM(N498:S498)</f>
        <v>362.26900000000001</v>
      </c>
      <c r="U498" s="42">
        <f>T498+L498</f>
        <v>887.94799999999998</v>
      </c>
      <c r="V498" s="42">
        <f>V495</f>
        <v>887.94799999999998</v>
      </c>
      <c r="W498" s="42">
        <f>V498-U498</f>
        <v>0</v>
      </c>
    </row>
    <row r="499" spans="1:24" s="43" customFormat="1" ht="18" customHeight="1">
      <c r="A499" s="592"/>
      <c r="B499" s="581"/>
      <c r="C499" s="581"/>
      <c r="D499" s="202" t="str">
        <f>серпень!D422</f>
        <v xml:space="preserve">відхилення </v>
      </c>
      <c r="E499" s="42"/>
      <c r="F499" s="42">
        <f t="shared" ref="F499:K499" si="494">F495-F498</f>
        <v>0</v>
      </c>
      <c r="G499" s="42">
        <f t="shared" si="494"/>
        <v>-158.9</v>
      </c>
      <c r="H499" s="42">
        <f t="shared" si="494"/>
        <v>-1E-3</v>
      </c>
      <c r="I499" s="42">
        <f t="shared" si="494"/>
        <v>42.454000000000001</v>
      </c>
      <c r="J499" s="42">
        <f t="shared" si="494"/>
        <v>87.552999999999997</v>
      </c>
      <c r="K499" s="42">
        <f t="shared" si="494"/>
        <v>28.65</v>
      </c>
      <c r="L499" s="42"/>
      <c r="M499" s="42"/>
      <c r="N499" s="42">
        <f t="shared" ref="N499:S499" si="495">N495-N498</f>
        <v>0.24399999999999999</v>
      </c>
      <c r="O499" s="42">
        <f t="shared" si="495"/>
        <v>-7.0000000000000007E-2</v>
      </c>
      <c r="P499" s="42">
        <f t="shared" si="495"/>
        <v>-5.3639999999999999</v>
      </c>
      <c r="Q499" s="42">
        <f t="shared" si="495"/>
        <v>0.90700000000000003</v>
      </c>
      <c r="R499" s="42">
        <f t="shared" si="495"/>
        <v>-26.376999999999999</v>
      </c>
      <c r="S499" s="42">
        <f t="shared" si="495"/>
        <v>-16.414999999999999</v>
      </c>
      <c r="T499" s="42"/>
      <c r="U499" s="42"/>
      <c r="V499" s="42"/>
      <c r="W499" s="42"/>
    </row>
    <row r="500" spans="1:24" s="43" customFormat="1" ht="18" customHeight="1">
      <c r="A500" s="592"/>
      <c r="B500" s="581"/>
      <c r="C500" s="581"/>
      <c r="D500" s="202" t="str">
        <f>серпень!D423</f>
        <v>відхилення з наростаючим</v>
      </c>
      <c r="E500" s="42"/>
      <c r="F500" s="42">
        <f>F499</f>
        <v>0</v>
      </c>
      <c r="G500" s="42">
        <f>G499+F500</f>
        <v>-158.9</v>
      </c>
      <c r="H500" s="42">
        <f>H499+G500</f>
        <v>-158.90100000000001</v>
      </c>
      <c r="I500" s="42">
        <f>I499+H500</f>
        <v>-116.447</v>
      </c>
      <c r="J500" s="42">
        <f>J499+I500</f>
        <v>-28.893999999999998</v>
      </c>
      <c r="K500" s="42">
        <f>K499+J500</f>
        <v>-0.24399999999999999</v>
      </c>
      <c r="L500" s="42"/>
      <c r="M500" s="42"/>
      <c r="N500" s="42">
        <f>N499+K500</f>
        <v>0</v>
      </c>
      <c r="O500" s="42">
        <f>O499+N500</f>
        <v>-7.0000000000000007E-2</v>
      </c>
      <c r="P500" s="42">
        <f>P499+O500</f>
        <v>-5.4340000000000002</v>
      </c>
      <c r="Q500" s="42">
        <f>Q499+P500</f>
        <v>-4.5270000000000001</v>
      </c>
      <c r="R500" s="42">
        <f>R499+Q500</f>
        <v>-30.904</v>
      </c>
      <c r="S500" s="42">
        <f>S499+R500</f>
        <v>-47.319000000000003</v>
      </c>
      <c r="T500" s="42"/>
      <c r="U500" s="42"/>
      <c r="V500" s="42"/>
      <c r="W500" s="42"/>
    </row>
    <row r="501" spans="1:24" s="55" customFormat="1" ht="18" hidden="1" customHeight="1">
      <c r="A501" s="592"/>
      <c r="B501" s="576" t="s">
        <v>33</v>
      </c>
      <c r="C501" s="577"/>
      <c r="D501" s="178" t="str">
        <f>серпень!D424</f>
        <v>факт. нат.п-ки 2023</v>
      </c>
      <c r="E501" s="11"/>
      <c r="F501" s="12"/>
      <c r="G501" s="12"/>
      <c r="H501" s="12"/>
      <c r="I501" s="12"/>
      <c r="J501" s="12"/>
      <c r="K501" s="12"/>
      <c r="L501" s="65">
        <f>SUM(F501:K501)</f>
        <v>0</v>
      </c>
      <c r="M501" s="65">
        <f>L501/6</f>
        <v>0</v>
      </c>
      <c r="N501" s="12"/>
      <c r="O501" s="12"/>
      <c r="P501" s="12"/>
      <c r="Q501" s="12"/>
      <c r="R501" s="12"/>
      <c r="S501" s="12"/>
      <c r="T501" s="65">
        <f>SUM(N501:S501)</f>
        <v>0</v>
      </c>
      <c r="U501" s="65">
        <f>T501+L501</f>
        <v>0</v>
      </c>
      <c r="V501" s="46"/>
      <c r="W501" s="38"/>
      <c r="X501" s="47"/>
    </row>
    <row r="502" spans="1:24" s="48" customFormat="1" ht="18" hidden="1" customHeight="1">
      <c r="A502" s="592"/>
      <c r="B502" s="576"/>
      <c r="C502" s="577"/>
      <c r="D502" s="178" t="str">
        <f>серпень!D425</f>
        <v>факт. нат.п-ки 2024</v>
      </c>
      <c r="E502" s="11"/>
      <c r="F502" s="12"/>
      <c r="G502" s="12"/>
      <c r="H502" s="12"/>
      <c r="I502" s="12"/>
      <c r="J502" s="12"/>
      <c r="K502" s="12"/>
      <c r="L502" s="65">
        <f>SUM(F502:K502)</f>
        <v>0</v>
      </c>
      <c r="M502" s="65">
        <f>L502/6</f>
        <v>0</v>
      </c>
      <c r="N502" s="11"/>
      <c r="O502" s="11"/>
      <c r="P502" s="11"/>
      <c r="Q502" s="11"/>
      <c r="R502" s="11"/>
      <c r="S502" s="11"/>
      <c r="T502" s="65">
        <f>SUM(N502:S502)</f>
        <v>0</v>
      </c>
      <c r="U502" s="65">
        <f>T502+L502</f>
        <v>0</v>
      </c>
      <c r="V502" s="46"/>
      <c r="W502" s="38"/>
      <c r="X502" s="47"/>
    </row>
    <row r="503" spans="1:24" s="48" customFormat="1" ht="18" hidden="1" customHeight="1">
      <c r="A503" s="592"/>
      <c r="B503" s="576"/>
      <c r="C503" s="577"/>
      <c r="D503" s="178" t="str">
        <f>серпень!D426</f>
        <v>факт. нат.п-ки 2025</v>
      </c>
      <c r="E503" s="11"/>
      <c r="F503" s="12"/>
      <c r="G503" s="12"/>
      <c r="H503" s="12"/>
      <c r="I503" s="12"/>
      <c r="J503" s="12"/>
      <c r="K503" s="12"/>
      <c r="L503" s="65">
        <f>SUM(F503:K503)</f>
        <v>0</v>
      </c>
      <c r="M503" s="65">
        <f>L503/6</f>
        <v>0</v>
      </c>
      <c r="N503" s="11"/>
      <c r="O503" s="11"/>
      <c r="P503" s="11"/>
      <c r="Q503" s="11"/>
      <c r="R503" s="11"/>
      <c r="S503" s="11"/>
      <c r="T503" s="65">
        <f>SUM(N503:S503)</f>
        <v>0</v>
      </c>
      <c r="U503" s="65">
        <f>T503+L503</f>
        <v>0</v>
      </c>
      <c r="V503" s="11"/>
      <c r="W503" s="38">
        <f>V503-U503</f>
        <v>0</v>
      </c>
      <c r="X503" s="47"/>
    </row>
    <row r="504" spans="1:24" s="51" customFormat="1" ht="18" hidden="1" customHeight="1">
      <c r="A504" s="592"/>
      <c r="B504" s="576"/>
      <c r="C504" s="577"/>
      <c r="D504" s="187" t="str">
        <f>серпень!D427</f>
        <v>тариф, грн.</v>
      </c>
      <c r="E504" s="49"/>
      <c r="F504" s="129">
        <v>1.68</v>
      </c>
      <c r="G504" s="129">
        <v>1.68</v>
      </c>
      <c r="H504" s="129">
        <v>1.68</v>
      </c>
      <c r="I504" s="129">
        <v>1.68</v>
      </c>
      <c r="J504" s="129">
        <v>1.68</v>
      </c>
      <c r="K504" s="129">
        <v>1.68</v>
      </c>
      <c r="L504" s="132" t="e">
        <f>L505/L503*1000</f>
        <v>#DIV/0!</v>
      </c>
      <c r="M504" s="132" t="e">
        <f>M505/M503*1000</f>
        <v>#DIV/0!</v>
      </c>
      <c r="N504" s="129">
        <v>1.68</v>
      </c>
      <c r="O504" s="129">
        <v>1.68</v>
      </c>
      <c r="P504" s="129">
        <v>1.68</v>
      </c>
      <c r="Q504" s="129">
        <v>1.68</v>
      </c>
      <c r="R504" s="129">
        <v>1.68</v>
      </c>
      <c r="S504" s="129">
        <v>1.68</v>
      </c>
      <c r="T504" s="132" t="e">
        <f>T505/T503*1000</f>
        <v>#DIV/0!</v>
      </c>
      <c r="U504" s="132" t="e">
        <f>U505/U503*1000</f>
        <v>#DIV/0!</v>
      </c>
      <c r="V504" s="132" t="e">
        <f>V505/V503*1000</f>
        <v>#DIV/0!</v>
      </c>
      <c r="W504" s="40" t="e">
        <f>W505/W503*1000</f>
        <v>#DIV/0!</v>
      </c>
      <c r="X504" s="59"/>
    </row>
    <row r="505" spans="1:24" s="130" customFormat="1" ht="18" hidden="1" customHeight="1">
      <c r="A505" s="592"/>
      <c r="B505" s="576"/>
      <c r="C505" s="577"/>
      <c r="D505" s="191" t="str">
        <f>серпень!D428</f>
        <v>сума, тис.грн.</v>
      </c>
      <c r="E505" s="52"/>
      <c r="F505" s="52">
        <f t="shared" ref="F505:K505" si="496">F503*F504/1000</f>
        <v>0</v>
      </c>
      <c r="G505" s="52">
        <f t="shared" si="496"/>
        <v>0</v>
      </c>
      <c r="H505" s="52">
        <f t="shared" si="496"/>
        <v>0</v>
      </c>
      <c r="I505" s="52">
        <f t="shared" si="496"/>
        <v>0</v>
      </c>
      <c r="J505" s="52">
        <f t="shared" si="496"/>
        <v>0</v>
      </c>
      <c r="K505" s="52">
        <f t="shared" si="496"/>
        <v>0</v>
      </c>
      <c r="L505" s="69">
        <f>SUM(F505:K505)</f>
        <v>0</v>
      </c>
      <c r="M505" s="69">
        <f>L505/6</f>
        <v>0</v>
      </c>
      <c r="N505" s="52">
        <f t="shared" ref="N505:Q505" si="497">N503*N504/1000</f>
        <v>0</v>
      </c>
      <c r="O505" s="52">
        <f t="shared" si="497"/>
        <v>0</v>
      </c>
      <c r="P505" s="52">
        <f t="shared" si="497"/>
        <v>0</v>
      </c>
      <c r="Q505" s="52">
        <f t="shared" si="497"/>
        <v>0</v>
      </c>
      <c r="R505" s="52">
        <f>R503*R504/1000</f>
        <v>0</v>
      </c>
      <c r="S505" s="52">
        <f t="shared" ref="S505" si="498">S503*S504/1000</f>
        <v>0</v>
      </c>
      <c r="T505" s="69">
        <f>SUM(N505:S505)</f>
        <v>0</v>
      </c>
      <c r="U505" s="69">
        <f>T505+L505</f>
        <v>0</v>
      </c>
      <c r="V505" s="70">
        <f>V506+V507</f>
        <v>0</v>
      </c>
      <c r="W505" s="53">
        <f>V505-U505</f>
        <v>0</v>
      </c>
      <c r="X505" s="133"/>
    </row>
    <row r="506" spans="1:24" s="130" customFormat="1" ht="18" hidden="1" customHeight="1">
      <c r="A506" s="592"/>
      <c r="B506" s="576"/>
      <c r="C506" s="577"/>
      <c r="D506" s="174" t="str">
        <f>серпень!D429</f>
        <v>дотація</v>
      </c>
      <c r="E506" s="56"/>
      <c r="F506" s="52"/>
      <c r="G506" s="52"/>
      <c r="H506" s="52"/>
      <c r="I506" s="52"/>
      <c r="J506" s="52"/>
      <c r="K506" s="52"/>
      <c r="L506" s="69">
        <f>SUM(F506:K506)</f>
        <v>0</v>
      </c>
      <c r="M506" s="69">
        <f>L506/6</f>
        <v>0</v>
      </c>
      <c r="N506" s="52"/>
      <c r="O506" s="52"/>
      <c r="P506" s="52"/>
      <c r="Q506" s="52"/>
      <c r="R506" s="52"/>
      <c r="S506" s="52"/>
      <c r="T506" s="69">
        <f>SUM(N506:S506)</f>
        <v>0</v>
      </c>
      <c r="U506" s="69">
        <f>T506+L506</f>
        <v>0</v>
      </c>
      <c r="V506" s="70">
        <v>0</v>
      </c>
      <c r="W506" s="53">
        <f>V506-U506</f>
        <v>0</v>
      </c>
    </row>
    <row r="507" spans="1:24" s="130" customFormat="1" ht="18" hidden="1" customHeight="1">
      <c r="A507" s="592"/>
      <c r="B507" s="576"/>
      <c r="C507" s="577"/>
      <c r="D507" s="174" t="str">
        <f>серпень!D430</f>
        <v>місцевий (план), тис.грн</v>
      </c>
      <c r="E507" s="56"/>
      <c r="F507" s="52"/>
      <c r="G507" s="52"/>
      <c r="H507" s="52"/>
      <c r="I507" s="52"/>
      <c r="J507" s="52"/>
      <c r="K507" s="52"/>
      <c r="L507" s="69">
        <f>SUM(F507:K507)</f>
        <v>0</v>
      </c>
      <c r="M507" s="69">
        <f>L507/6</f>
        <v>0</v>
      </c>
      <c r="N507" s="52"/>
      <c r="O507" s="52"/>
      <c r="P507" s="52"/>
      <c r="Q507" s="52"/>
      <c r="R507" s="52"/>
      <c r="S507" s="52"/>
      <c r="T507" s="69">
        <f>SUM(N507:S507)</f>
        <v>0</v>
      </c>
      <c r="U507" s="69">
        <f>T507+L507</f>
        <v>0</v>
      </c>
      <c r="V507" s="70"/>
      <c r="W507" s="53">
        <f>V507-U507</f>
        <v>0</v>
      </c>
    </row>
    <row r="508" spans="1:24" s="48" customFormat="1" ht="18" hidden="1" customHeight="1">
      <c r="A508" s="592"/>
      <c r="B508" s="576"/>
      <c r="C508" s="577"/>
      <c r="D508" s="178" t="str">
        <f>серпень!D431</f>
        <v>касові нат.п-ки 2025</v>
      </c>
      <c r="E508" s="11"/>
      <c r="F508" s="11"/>
      <c r="G508" s="12"/>
      <c r="H508" s="12"/>
      <c r="I508" s="12"/>
      <c r="J508" s="12"/>
      <c r="K508" s="12"/>
      <c r="L508" s="65">
        <f>SUM(F508:K508)</f>
        <v>0</v>
      </c>
      <c r="M508" s="65">
        <f>L508/6</f>
        <v>0</v>
      </c>
      <c r="N508" s="11"/>
      <c r="O508" s="11"/>
      <c r="P508" s="11"/>
      <c r="Q508" s="11"/>
      <c r="R508" s="11"/>
      <c r="S508" s="11"/>
      <c r="T508" s="65">
        <f>SUM(N508:S508)</f>
        <v>0</v>
      </c>
      <c r="U508" s="65">
        <f>T508+L508</f>
        <v>0</v>
      </c>
      <c r="V508" s="11">
        <f>V503</f>
        <v>0</v>
      </c>
      <c r="W508" s="38">
        <f>V508-U508</f>
        <v>0</v>
      </c>
      <c r="X508" s="47">
        <f>U503-U508</f>
        <v>0</v>
      </c>
    </row>
    <row r="509" spans="1:24" s="51" customFormat="1" ht="18" hidden="1" customHeight="1">
      <c r="A509" s="592"/>
      <c r="B509" s="576"/>
      <c r="C509" s="577"/>
      <c r="D509" s="187" t="str">
        <f>серпень!D432</f>
        <v>тариф, грн.</v>
      </c>
      <c r="E509" s="49" t="e">
        <f>E510/E508*1000</f>
        <v>#DIV/0!</v>
      </c>
      <c r="F509" s="129">
        <v>1.68</v>
      </c>
      <c r="G509" s="129">
        <v>1.68</v>
      </c>
      <c r="H509" s="129">
        <v>1.68</v>
      </c>
      <c r="I509" s="129">
        <v>1.68</v>
      </c>
      <c r="J509" s="129">
        <v>1.68</v>
      </c>
      <c r="K509" s="129">
        <v>1.68</v>
      </c>
      <c r="L509" s="132" t="e">
        <f>L510/L508*1000</f>
        <v>#DIV/0!</v>
      </c>
      <c r="M509" s="132" t="e">
        <f>M510/M508*1000</f>
        <v>#DIV/0!</v>
      </c>
      <c r="N509" s="129">
        <v>1.68</v>
      </c>
      <c r="O509" s="129">
        <v>1.68</v>
      </c>
      <c r="P509" s="129">
        <v>1.68</v>
      </c>
      <c r="Q509" s="129">
        <v>1.68</v>
      </c>
      <c r="R509" s="129">
        <v>1.68</v>
      </c>
      <c r="S509" s="129">
        <v>1.68</v>
      </c>
      <c r="T509" s="132" t="e">
        <f>T510/T508*1000</f>
        <v>#DIV/0!</v>
      </c>
      <c r="U509" s="132" t="e">
        <f>U510/U508*1000</f>
        <v>#DIV/0!</v>
      </c>
      <c r="V509" s="132" t="e">
        <f>V510/V508*1000</f>
        <v>#DIV/0!</v>
      </c>
      <c r="W509" s="40" t="e">
        <f>W510/W508*1000</f>
        <v>#DIV/0!</v>
      </c>
      <c r="X509" s="59"/>
    </row>
    <row r="510" spans="1:24" s="126" customFormat="1" ht="18" hidden="1" customHeight="1">
      <c r="A510" s="592"/>
      <c r="B510" s="576"/>
      <c r="C510" s="577"/>
      <c r="D510" s="198" t="str">
        <f>серпень!D433</f>
        <v>касові видатки, тис.грн.</v>
      </c>
      <c r="E510" s="71"/>
      <c r="F510" s="61">
        <f t="shared" ref="F510:K510" si="499">F508*F509/1000</f>
        <v>0</v>
      </c>
      <c r="G510" s="61">
        <f t="shared" si="499"/>
        <v>0</v>
      </c>
      <c r="H510" s="61">
        <f t="shared" si="499"/>
        <v>0</v>
      </c>
      <c r="I510" s="61">
        <f t="shared" si="499"/>
        <v>0</v>
      </c>
      <c r="J510" s="61">
        <f t="shared" si="499"/>
        <v>0</v>
      </c>
      <c r="K510" s="61">
        <f t="shared" si="499"/>
        <v>0</v>
      </c>
      <c r="L510" s="61">
        <f>SUM(F510:K510)</f>
        <v>0</v>
      </c>
      <c r="M510" s="61">
        <f>L510/6</f>
        <v>0</v>
      </c>
      <c r="N510" s="61">
        <f t="shared" ref="N510:S510" si="500">N508*N509/1000</f>
        <v>0</v>
      </c>
      <c r="O510" s="61">
        <f t="shared" si="500"/>
        <v>0</v>
      </c>
      <c r="P510" s="61">
        <f t="shared" si="500"/>
        <v>0</v>
      </c>
      <c r="Q510" s="61">
        <f t="shared" si="500"/>
        <v>0</v>
      </c>
      <c r="R510" s="61">
        <f t="shared" si="500"/>
        <v>0</v>
      </c>
      <c r="S510" s="61">
        <f t="shared" si="500"/>
        <v>0</v>
      </c>
      <c r="T510" s="61">
        <f>SUM(N510:S510)</f>
        <v>0</v>
      </c>
      <c r="U510" s="61">
        <f>T510+L510</f>
        <v>0</v>
      </c>
      <c r="V510" s="61">
        <f>V505</f>
        <v>0</v>
      </c>
      <c r="W510" s="72">
        <f>V510-U510</f>
        <v>0</v>
      </c>
      <c r="X510" s="63">
        <f>U505-U510</f>
        <v>0</v>
      </c>
    </row>
    <row r="511" spans="1:24" s="126" customFormat="1" ht="18" hidden="1" customHeight="1">
      <c r="A511" s="592"/>
      <c r="B511" s="576"/>
      <c r="C511" s="577"/>
      <c r="D511" s="201" t="str">
        <f>серпень!D434</f>
        <v>дотація</v>
      </c>
      <c r="E511" s="71"/>
      <c r="F511" s="61">
        <v>0</v>
      </c>
      <c r="G511" s="61">
        <v>0</v>
      </c>
      <c r="H511" s="61">
        <v>0</v>
      </c>
      <c r="I511" s="61">
        <v>0</v>
      </c>
      <c r="J511" s="61">
        <v>0</v>
      </c>
      <c r="K511" s="61">
        <v>0</v>
      </c>
      <c r="L511" s="61">
        <f>SUM(F511:K511)</f>
        <v>0</v>
      </c>
      <c r="M511" s="61">
        <f>L511/6</f>
        <v>0</v>
      </c>
      <c r="N511" s="61">
        <v>0</v>
      </c>
      <c r="O511" s="61">
        <v>0</v>
      </c>
      <c r="P511" s="61">
        <v>0</v>
      </c>
      <c r="Q511" s="61">
        <v>0</v>
      </c>
      <c r="R511" s="61">
        <v>0</v>
      </c>
      <c r="S511" s="61">
        <v>0</v>
      </c>
      <c r="T511" s="61">
        <f>SUM(N511:S511)</f>
        <v>0</v>
      </c>
      <c r="U511" s="61">
        <f>T511+L511</f>
        <v>0</v>
      </c>
      <c r="V511" s="61">
        <f>V506</f>
        <v>0</v>
      </c>
      <c r="W511" s="72">
        <f>V511-U511</f>
        <v>0</v>
      </c>
      <c r="X511" s="63">
        <f>U506-U511</f>
        <v>0</v>
      </c>
    </row>
    <row r="512" spans="1:24" s="126" customFormat="1" ht="18" hidden="1" customHeight="1">
      <c r="A512" s="592"/>
      <c r="B512" s="576"/>
      <c r="C512" s="577"/>
      <c r="D512" s="201" t="str">
        <f>серпень!D435</f>
        <v xml:space="preserve">місцевий </v>
      </c>
      <c r="E512" s="71"/>
      <c r="F512" s="61">
        <f t="shared" ref="F512:K512" si="501">F510-F511</f>
        <v>0</v>
      </c>
      <c r="G512" s="61">
        <f t="shared" si="501"/>
        <v>0</v>
      </c>
      <c r="H512" s="61">
        <f t="shared" si="501"/>
        <v>0</v>
      </c>
      <c r="I512" s="61">
        <f t="shared" si="501"/>
        <v>0</v>
      </c>
      <c r="J512" s="61">
        <f t="shared" si="501"/>
        <v>0</v>
      </c>
      <c r="K512" s="61">
        <f t="shared" si="501"/>
        <v>0</v>
      </c>
      <c r="L512" s="61">
        <f>SUM(F512:K512)</f>
        <v>0</v>
      </c>
      <c r="M512" s="61">
        <f>L512/6</f>
        <v>0</v>
      </c>
      <c r="N512" s="61">
        <f t="shared" ref="N512:S512" si="502">N510-N511</f>
        <v>0</v>
      </c>
      <c r="O512" s="61">
        <f t="shared" si="502"/>
        <v>0</v>
      </c>
      <c r="P512" s="61">
        <f t="shared" si="502"/>
        <v>0</v>
      </c>
      <c r="Q512" s="61">
        <f t="shared" si="502"/>
        <v>0</v>
      </c>
      <c r="R512" s="61">
        <f t="shared" si="502"/>
        <v>0</v>
      </c>
      <c r="S512" s="61">
        <f t="shared" si="502"/>
        <v>0</v>
      </c>
      <c r="T512" s="61">
        <f>SUM(N512:S512)</f>
        <v>0</v>
      </c>
      <c r="U512" s="61">
        <f>T512+L512</f>
        <v>0</v>
      </c>
      <c r="V512" s="61">
        <f>V507</f>
        <v>0</v>
      </c>
      <c r="W512" s="72">
        <f>V512-U512</f>
        <v>0</v>
      </c>
      <c r="X512" s="63">
        <f>U507-U512</f>
        <v>0</v>
      </c>
    </row>
    <row r="513" spans="1:28" s="43" customFormat="1" ht="18" hidden="1" customHeight="1">
      <c r="A513" s="592"/>
      <c r="B513" s="576"/>
      <c r="C513" s="577"/>
      <c r="D513" s="202" t="str">
        <f>серпень!D436</f>
        <v>план</v>
      </c>
      <c r="E513" s="42"/>
      <c r="F513" s="42">
        <f t="shared" ref="F513:K513" si="503">F507</f>
        <v>0</v>
      </c>
      <c r="G513" s="42">
        <f t="shared" si="503"/>
        <v>0</v>
      </c>
      <c r="H513" s="42">
        <f t="shared" si="503"/>
        <v>0</v>
      </c>
      <c r="I513" s="42">
        <f t="shared" si="503"/>
        <v>0</v>
      </c>
      <c r="J513" s="42">
        <f t="shared" si="503"/>
        <v>0</v>
      </c>
      <c r="K513" s="42">
        <f t="shared" si="503"/>
        <v>0</v>
      </c>
      <c r="L513" s="42">
        <f>SUM(F513:K513)</f>
        <v>0</v>
      </c>
      <c r="M513" s="42">
        <f>L513/6</f>
        <v>0</v>
      </c>
      <c r="N513" s="42">
        <f t="shared" ref="N513:S513" si="504">N507+N506</f>
        <v>0</v>
      </c>
      <c r="O513" s="42">
        <f t="shared" si="504"/>
        <v>0</v>
      </c>
      <c r="P513" s="42">
        <f t="shared" si="504"/>
        <v>0</v>
      </c>
      <c r="Q513" s="42">
        <f t="shared" si="504"/>
        <v>0</v>
      </c>
      <c r="R513" s="42">
        <f t="shared" si="504"/>
        <v>0</v>
      </c>
      <c r="S513" s="42">
        <f t="shared" si="504"/>
        <v>0</v>
      </c>
      <c r="T513" s="42">
        <f>SUM(N513:S513)</f>
        <v>0</v>
      </c>
      <c r="U513" s="42">
        <f>T513+L513</f>
        <v>0</v>
      </c>
      <c r="V513" s="42">
        <f>V510</f>
        <v>0</v>
      </c>
      <c r="W513" s="42">
        <f>V513-U513</f>
        <v>0</v>
      </c>
    </row>
    <row r="514" spans="1:28" s="43" customFormat="1" ht="18" hidden="1" customHeight="1">
      <c r="A514" s="592"/>
      <c r="B514" s="576"/>
      <c r="C514" s="577"/>
      <c r="D514" s="202" t="str">
        <f>серпень!D437</f>
        <v xml:space="preserve">відхилення </v>
      </c>
      <c r="E514" s="42"/>
      <c r="F514" s="42">
        <f t="shared" ref="F514:K514" si="505">F510-F513</f>
        <v>0</v>
      </c>
      <c r="G514" s="42">
        <f t="shared" si="505"/>
        <v>0</v>
      </c>
      <c r="H514" s="42">
        <f t="shared" si="505"/>
        <v>0</v>
      </c>
      <c r="I514" s="42">
        <f t="shared" si="505"/>
        <v>0</v>
      </c>
      <c r="J514" s="42">
        <f t="shared" si="505"/>
        <v>0</v>
      </c>
      <c r="K514" s="42">
        <f t="shared" si="505"/>
        <v>0</v>
      </c>
      <c r="L514" s="42"/>
      <c r="M514" s="42"/>
      <c r="N514" s="42">
        <f t="shared" ref="N514:S514" si="506">N510-N513</f>
        <v>0</v>
      </c>
      <c r="O514" s="42">
        <f t="shared" si="506"/>
        <v>0</v>
      </c>
      <c r="P514" s="42">
        <f t="shared" si="506"/>
        <v>0</v>
      </c>
      <c r="Q514" s="42">
        <f t="shared" si="506"/>
        <v>0</v>
      </c>
      <c r="R514" s="42">
        <f t="shared" si="506"/>
        <v>0</v>
      </c>
      <c r="S514" s="42">
        <f t="shared" si="506"/>
        <v>0</v>
      </c>
      <c r="T514" s="42"/>
      <c r="U514" s="42"/>
      <c r="V514" s="42"/>
      <c r="W514" s="42"/>
    </row>
    <row r="515" spans="1:28" s="43" customFormat="1" ht="18" hidden="1" customHeight="1">
      <c r="A515" s="593"/>
      <c r="B515" s="578"/>
      <c r="C515" s="579"/>
      <c r="D515" s="202" t="str">
        <f>серпень!D438</f>
        <v>відхилення з наростаючим</v>
      </c>
      <c r="E515" s="42"/>
      <c r="F515" s="42">
        <f>F514</f>
        <v>0</v>
      </c>
      <c r="G515" s="42">
        <f>G514+F515</f>
        <v>0</v>
      </c>
      <c r="H515" s="42">
        <f>H514+G515</f>
        <v>0</v>
      </c>
      <c r="I515" s="42">
        <f>I514+H515</f>
        <v>0</v>
      </c>
      <c r="J515" s="42">
        <f>J514+I515</f>
        <v>0</v>
      </c>
      <c r="K515" s="42">
        <f>K514+J515</f>
        <v>0</v>
      </c>
      <c r="L515" s="42"/>
      <c r="M515" s="42"/>
      <c r="N515" s="42">
        <f>N514+K515</f>
        <v>0</v>
      </c>
      <c r="O515" s="42">
        <f>O514+N515</f>
        <v>0</v>
      </c>
      <c r="P515" s="42">
        <f>P514+O515</f>
        <v>0</v>
      </c>
      <c r="Q515" s="42">
        <f>Q514+P515</f>
        <v>0</v>
      </c>
      <c r="R515" s="42">
        <f>R514+Q515</f>
        <v>0</v>
      </c>
      <c r="S515" s="42">
        <f>S514+R515</f>
        <v>0</v>
      </c>
      <c r="T515" s="42"/>
      <c r="U515" s="42"/>
      <c r="V515" s="42"/>
      <c r="W515" s="42"/>
      <c r="AB515" s="58">
        <f>Z515-Z520</f>
        <v>0</v>
      </c>
    </row>
    <row r="516" spans="1:28" s="47" customFormat="1" ht="18" customHeight="1">
      <c r="A516" s="650">
        <v>2275</v>
      </c>
      <c r="B516" s="581" t="s">
        <v>70</v>
      </c>
      <c r="C516" s="581"/>
      <c r="D516" s="178" t="str">
        <f>серпень!D439</f>
        <v>факт. нат.п-ки 2023</v>
      </c>
      <c r="E516" s="11"/>
      <c r="F516" s="351">
        <f t="shared" ref="F516:K517" si="507">F533+F704</f>
        <v>4.4000000000000004</v>
      </c>
      <c r="G516" s="351">
        <f t="shared" si="507"/>
        <v>4.4000000000000004</v>
      </c>
      <c r="H516" s="351">
        <f t="shared" si="507"/>
        <v>4.4000000000000004</v>
      </c>
      <c r="I516" s="351">
        <f t="shared" si="507"/>
        <v>4.3</v>
      </c>
      <c r="J516" s="351">
        <f t="shared" si="507"/>
        <v>4.3</v>
      </c>
      <c r="K516" s="351">
        <f t="shared" si="507"/>
        <v>2.8</v>
      </c>
      <c r="L516" s="517">
        <f>SUM(F516:K516)</f>
        <v>24.6</v>
      </c>
      <c r="M516" s="517">
        <f>L516/6</f>
        <v>4.0999999999999996</v>
      </c>
      <c r="N516" s="351">
        <f t="shared" ref="N516:S516" si="508">N533+N704</f>
        <v>4.4000000000000004</v>
      </c>
      <c r="O516" s="351">
        <f t="shared" si="508"/>
        <v>24.8</v>
      </c>
      <c r="P516" s="351">
        <f t="shared" si="508"/>
        <v>20</v>
      </c>
      <c r="Q516" s="351">
        <f t="shared" si="508"/>
        <v>4.4000000000000004</v>
      </c>
      <c r="R516" s="351">
        <f t="shared" si="508"/>
        <v>4.4000000000000004</v>
      </c>
      <c r="S516" s="351">
        <f t="shared" si="508"/>
        <v>4.4000000000000004</v>
      </c>
      <c r="T516" s="517">
        <f>SUM(N516:S516)</f>
        <v>62.4</v>
      </c>
      <c r="U516" s="517">
        <f>T516+L516</f>
        <v>87</v>
      </c>
      <c r="V516" s="351">
        <f t="shared" ref="V516" si="509">V533+V704</f>
        <v>51</v>
      </c>
      <c r="W516" s="38"/>
    </row>
    <row r="517" spans="1:28" s="47" customFormat="1" ht="18" customHeight="1">
      <c r="A517" s="614"/>
      <c r="B517" s="581"/>
      <c r="C517" s="581"/>
      <c r="D517" s="178" t="str">
        <f>серпень!D440</f>
        <v>факт. нат.п-ки 2024</v>
      </c>
      <c r="E517" s="11"/>
      <c r="F517" s="351">
        <f t="shared" si="507"/>
        <v>4.3</v>
      </c>
      <c r="G517" s="351">
        <f t="shared" si="507"/>
        <v>4.4000000000000004</v>
      </c>
      <c r="H517" s="351">
        <f t="shared" si="507"/>
        <v>4.4000000000000004</v>
      </c>
      <c r="I517" s="351">
        <f t="shared" si="507"/>
        <v>4.4000000000000004</v>
      </c>
      <c r="J517" s="351">
        <f t="shared" si="507"/>
        <v>4.4000000000000004</v>
      </c>
      <c r="K517" s="351">
        <f t="shared" si="507"/>
        <v>4.4000000000000004</v>
      </c>
      <c r="L517" s="517">
        <f>SUM(F517:K517)</f>
        <v>26.3</v>
      </c>
      <c r="M517" s="517">
        <f>L517/6</f>
        <v>4.3833000000000002</v>
      </c>
      <c r="N517" s="351">
        <f t="shared" ref="N517:S517" si="510">N534+N705</f>
        <v>29.4</v>
      </c>
      <c r="O517" s="351">
        <f t="shared" si="510"/>
        <v>14.6</v>
      </c>
      <c r="P517" s="351">
        <f t="shared" si="510"/>
        <v>1553.9</v>
      </c>
      <c r="Q517" s="351">
        <f t="shared" si="510"/>
        <v>4.3</v>
      </c>
      <c r="R517" s="351">
        <f t="shared" si="510"/>
        <v>4.2</v>
      </c>
      <c r="S517" s="351">
        <f t="shared" si="510"/>
        <v>3.9</v>
      </c>
      <c r="T517" s="517">
        <f>SUM(N517:S517)</f>
        <v>1610.3</v>
      </c>
      <c r="U517" s="517">
        <f>T517+L517</f>
        <v>1636.6</v>
      </c>
      <c r="V517" s="351">
        <f t="shared" ref="V517" si="511">V534+V705</f>
        <v>86.9</v>
      </c>
      <c r="W517" s="38"/>
    </row>
    <row r="518" spans="1:28" s="47" customFormat="1" ht="18" customHeight="1">
      <c r="A518" s="614"/>
      <c r="B518" s="581"/>
      <c r="C518" s="581"/>
      <c r="D518" s="178" t="str">
        <f>серпень!D441</f>
        <v>факт. нат.п-ки 2025</v>
      </c>
      <c r="E518" s="11"/>
      <c r="F518" s="351">
        <f>F535</f>
        <v>3.9</v>
      </c>
      <c r="G518" s="351">
        <f t="shared" ref="G518:K518" si="512">G535</f>
        <v>4.2</v>
      </c>
      <c r="H518" s="351">
        <f t="shared" si="512"/>
        <v>4.4000000000000004</v>
      </c>
      <c r="I518" s="351">
        <f t="shared" si="512"/>
        <v>4.4000000000000004</v>
      </c>
      <c r="J518" s="351">
        <f t="shared" si="512"/>
        <v>4.4000000000000004</v>
      </c>
      <c r="K518" s="351">
        <f t="shared" si="512"/>
        <v>4.4000000000000004</v>
      </c>
      <c r="L518" s="517">
        <f>SUM(F518:K518)</f>
        <v>25.7</v>
      </c>
      <c r="M518" s="517">
        <f>L518/6</f>
        <v>4.2832999999999997</v>
      </c>
      <c r="N518" s="351">
        <f>N535</f>
        <v>4.4000000000000004</v>
      </c>
      <c r="O518" s="351">
        <f t="shared" ref="O518:S518" si="513">O535</f>
        <v>4.4000000000000004</v>
      </c>
      <c r="P518" s="351">
        <f t="shared" si="513"/>
        <v>7</v>
      </c>
      <c r="Q518" s="351">
        <f t="shared" si="513"/>
        <v>7</v>
      </c>
      <c r="R518" s="351">
        <f t="shared" si="513"/>
        <v>7</v>
      </c>
      <c r="S518" s="351">
        <f t="shared" si="513"/>
        <v>7.3</v>
      </c>
      <c r="T518" s="517">
        <f>SUM(N518:S518)</f>
        <v>37.1</v>
      </c>
      <c r="U518" s="517">
        <f>T518+L518</f>
        <v>62.8</v>
      </c>
      <c r="V518" s="351">
        <f>V535</f>
        <v>84.3</v>
      </c>
      <c r="W518" s="38">
        <f>V518-U518</f>
        <v>21.5</v>
      </c>
    </row>
    <row r="519" spans="1:28" s="47" customFormat="1" ht="18" customHeight="1">
      <c r="A519" s="614"/>
      <c r="B519" s="581"/>
      <c r="C519" s="581"/>
      <c r="D519" s="187" t="str">
        <f>серпень!D442</f>
        <v>тариф, грн.</v>
      </c>
      <c r="E519" s="49"/>
      <c r="F519" s="49">
        <f t="shared" ref="F519:S519" si="514">F520/F518*1000</f>
        <v>167.43600000000001</v>
      </c>
      <c r="G519" s="49">
        <f t="shared" si="514"/>
        <v>169.286</v>
      </c>
      <c r="H519" s="49">
        <f t="shared" si="514"/>
        <v>166.136</v>
      </c>
      <c r="I519" s="49">
        <f t="shared" si="514"/>
        <v>167.95500000000001</v>
      </c>
      <c r="J519" s="49">
        <f t="shared" si="514"/>
        <v>1599.5450000000001</v>
      </c>
      <c r="K519" s="49">
        <f t="shared" si="514"/>
        <v>2711.8180000000002</v>
      </c>
      <c r="L519" s="49">
        <f t="shared" si="514"/>
        <v>848.40499999999997</v>
      </c>
      <c r="M519" s="49">
        <f t="shared" si="514"/>
        <v>848.41099999999994</v>
      </c>
      <c r="N519" s="49">
        <f t="shared" si="514"/>
        <v>15394.317999999999</v>
      </c>
      <c r="O519" s="49">
        <f t="shared" si="514"/>
        <v>167.95500000000001</v>
      </c>
      <c r="P519" s="49">
        <f t="shared" si="514"/>
        <v>169.857</v>
      </c>
      <c r="Q519" s="49">
        <f t="shared" si="514"/>
        <v>2912.4290000000001</v>
      </c>
      <c r="R519" s="49">
        <f t="shared" si="514"/>
        <v>169.857</v>
      </c>
      <c r="S519" s="49">
        <f t="shared" si="514"/>
        <v>166.71199999999999</v>
      </c>
      <c r="T519" s="49">
        <f>T520/T518*1000</f>
        <v>2492.0749999999998</v>
      </c>
      <c r="U519" s="49">
        <f>U520/U518*1000</f>
        <v>1819.4269999999999</v>
      </c>
      <c r="V519" s="49">
        <f>V520/V518*1000</f>
        <v>1361.7560000000001</v>
      </c>
      <c r="W519" s="49">
        <f>W520/W518*1000</f>
        <v>24.93</v>
      </c>
    </row>
    <row r="520" spans="1:28" s="130" customFormat="1" ht="18" customHeight="1">
      <c r="A520" s="614"/>
      <c r="B520" s="581"/>
      <c r="C520" s="581"/>
      <c r="D520" s="191" t="str">
        <f>серпень!D443</f>
        <v>сума, тис.грн.</v>
      </c>
      <c r="E520" s="52"/>
      <c r="F520" s="52">
        <f t="shared" ref="F520:K520" si="515">F537+F708</f>
        <v>0.65300000000000002</v>
      </c>
      <c r="G520" s="52">
        <f t="shared" si="515"/>
        <v>0.71099999999999997</v>
      </c>
      <c r="H520" s="52">
        <f t="shared" si="515"/>
        <v>0.73099999999999998</v>
      </c>
      <c r="I520" s="52">
        <f t="shared" si="515"/>
        <v>0.73899999999999999</v>
      </c>
      <c r="J520" s="52">
        <f t="shared" si="515"/>
        <v>7.0380000000000003</v>
      </c>
      <c r="K520" s="52">
        <f t="shared" si="515"/>
        <v>11.932</v>
      </c>
      <c r="L520" s="69">
        <f>SUM(F520:K520)</f>
        <v>21.803999999999998</v>
      </c>
      <c r="M520" s="69">
        <f>L520/6</f>
        <v>3.6339999999999999</v>
      </c>
      <c r="N520" s="52">
        <f t="shared" ref="N520:S520" si="516">N537+N708</f>
        <v>67.734999999999999</v>
      </c>
      <c r="O520" s="52">
        <f t="shared" si="516"/>
        <v>0.73899999999999999</v>
      </c>
      <c r="P520" s="52">
        <f t="shared" si="516"/>
        <v>1.1890000000000001</v>
      </c>
      <c r="Q520" s="52">
        <f t="shared" si="516"/>
        <v>20.387</v>
      </c>
      <c r="R520" s="52">
        <f t="shared" si="516"/>
        <v>1.1890000000000001</v>
      </c>
      <c r="S520" s="52">
        <f t="shared" si="516"/>
        <v>1.2170000000000001</v>
      </c>
      <c r="T520" s="69">
        <f>SUM(N520:S520)</f>
        <v>92.456000000000003</v>
      </c>
      <c r="U520" s="69">
        <f>T520+L520</f>
        <v>114.26</v>
      </c>
      <c r="V520" s="69">
        <f>V537+V708</f>
        <v>114.79600000000001</v>
      </c>
      <c r="W520" s="52">
        <f>V520-U520</f>
        <v>0.53600000000000003</v>
      </c>
    </row>
    <row r="521" spans="1:28" s="130" customFormat="1" ht="18" customHeight="1">
      <c r="A521" s="614"/>
      <c r="B521" s="581"/>
      <c r="C521" s="581"/>
      <c r="D521" s="174" t="str">
        <f>серпень!D444</f>
        <v>абоненська плата, тис.грн.</v>
      </c>
      <c r="E521" s="52"/>
      <c r="F521" s="52">
        <f>F538</f>
        <v>3.0000000000000001E-3</v>
      </c>
      <c r="G521" s="52">
        <f t="shared" ref="G521:K521" si="517">G538</f>
        <v>2E-3</v>
      </c>
      <c r="H521" s="52">
        <f t="shared" si="517"/>
        <v>2E-3</v>
      </c>
      <c r="I521" s="52">
        <f t="shared" si="517"/>
        <v>2E-3</v>
      </c>
      <c r="J521" s="52">
        <f t="shared" si="517"/>
        <v>2E-3</v>
      </c>
      <c r="K521" s="52">
        <f t="shared" si="517"/>
        <v>2E-3</v>
      </c>
      <c r="L521" s="69">
        <f t="shared" ref="L521:L522" si="518">SUM(F521:K521)</f>
        <v>1.2999999999999999E-2</v>
      </c>
      <c r="M521" s="69">
        <f t="shared" ref="M521:M522" si="519">L521/6</f>
        <v>2E-3</v>
      </c>
      <c r="N521" s="52">
        <f>N538</f>
        <v>2E-3</v>
      </c>
      <c r="O521" s="52">
        <f t="shared" ref="O521:S521" si="520">O538</f>
        <v>2E-3</v>
      </c>
      <c r="P521" s="52">
        <f t="shared" si="520"/>
        <v>2E-3</v>
      </c>
      <c r="Q521" s="52">
        <f t="shared" si="520"/>
        <v>2E-3</v>
      </c>
      <c r="R521" s="52">
        <f t="shared" si="520"/>
        <v>2E-3</v>
      </c>
      <c r="S521" s="52">
        <f t="shared" si="520"/>
        <v>2E-3</v>
      </c>
      <c r="T521" s="69">
        <f t="shared" ref="T521:T522" si="521">SUM(N521:S521)</f>
        <v>1.2E-2</v>
      </c>
      <c r="U521" s="69">
        <f t="shared" ref="U521:U522" si="522">T521+L521</f>
        <v>2.5000000000000001E-2</v>
      </c>
      <c r="V521" s="69">
        <f t="shared" ref="V521" si="523">V538</f>
        <v>2.5000000000000001E-2</v>
      </c>
      <c r="W521" s="52">
        <f t="shared" ref="W521:W523" si="524">V521-U521</f>
        <v>0</v>
      </c>
    </row>
    <row r="522" spans="1:28" s="130" customFormat="1" ht="18" customHeight="1">
      <c r="A522" s="614"/>
      <c r="B522" s="581"/>
      <c r="C522" s="581"/>
      <c r="D522" s="174" t="str">
        <f>серпень!D445</f>
        <v>разом сума тис. грн+абонплата</v>
      </c>
      <c r="E522" s="52"/>
      <c r="F522" s="52">
        <f>F520+F521</f>
        <v>0.65600000000000003</v>
      </c>
      <c r="G522" s="52">
        <f t="shared" ref="G522:K522" si="525">G520+G521</f>
        <v>0.71299999999999997</v>
      </c>
      <c r="H522" s="52">
        <f t="shared" si="525"/>
        <v>0.73299999999999998</v>
      </c>
      <c r="I522" s="52">
        <f t="shared" si="525"/>
        <v>0.74099999999999999</v>
      </c>
      <c r="J522" s="52">
        <f t="shared" si="525"/>
        <v>7.04</v>
      </c>
      <c r="K522" s="52">
        <f t="shared" si="525"/>
        <v>11.933999999999999</v>
      </c>
      <c r="L522" s="69">
        <f t="shared" si="518"/>
        <v>21.817</v>
      </c>
      <c r="M522" s="69">
        <f t="shared" si="519"/>
        <v>3.6360000000000001</v>
      </c>
      <c r="N522" s="52">
        <f>N520+N521</f>
        <v>67.736999999999995</v>
      </c>
      <c r="O522" s="52">
        <f t="shared" ref="O522" si="526">O520+O521</f>
        <v>0.74099999999999999</v>
      </c>
      <c r="P522" s="52">
        <f t="shared" ref="P522" si="527">P520+P521</f>
        <v>1.1910000000000001</v>
      </c>
      <c r="Q522" s="52">
        <f t="shared" ref="Q522" si="528">Q520+Q521</f>
        <v>20.388999999999999</v>
      </c>
      <c r="R522" s="52">
        <f t="shared" ref="R522" si="529">R520+R521</f>
        <v>1.1910000000000001</v>
      </c>
      <c r="S522" s="52">
        <f t="shared" ref="S522" si="530">S520+S521</f>
        <v>1.2190000000000001</v>
      </c>
      <c r="T522" s="69">
        <f t="shared" si="521"/>
        <v>92.468000000000004</v>
      </c>
      <c r="U522" s="69">
        <f t="shared" si="522"/>
        <v>114.285</v>
      </c>
      <c r="V522" s="69">
        <f t="shared" ref="V522" si="531">V520+V521</f>
        <v>114.821</v>
      </c>
      <c r="W522" s="52">
        <f t="shared" si="524"/>
        <v>0.53600000000000003</v>
      </c>
    </row>
    <row r="523" spans="1:28" s="130" customFormat="1" ht="18" customHeight="1">
      <c r="A523" s="614"/>
      <c r="B523" s="581"/>
      <c r="C523" s="581"/>
      <c r="D523" s="174" t="str">
        <f>серпень!D446</f>
        <v>дотація</v>
      </c>
      <c r="E523" s="56"/>
      <c r="F523" s="52">
        <f t="shared" ref="F523:K524" si="532">F540+F709</f>
        <v>0</v>
      </c>
      <c r="G523" s="52">
        <f t="shared" si="532"/>
        <v>0</v>
      </c>
      <c r="H523" s="52">
        <f t="shared" si="532"/>
        <v>0</v>
      </c>
      <c r="I523" s="52">
        <f t="shared" si="532"/>
        <v>0</v>
      </c>
      <c r="J523" s="52">
        <f t="shared" si="532"/>
        <v>0</v>
      </c>
      <c r="K523" s="52">
        <f t="shared" si="532"/>
        <v>0</v>
      </c>
      <c r="L523" s="69">
        <f>SUM(F523:K523)</f>
        <v>0</v>
      </c>
      <c r="M523" s="69">
        <f>L523/6</f>
        <v>0</v>
      </c>
      <c r="N523" s="52">
        <f t="shared" ref="N523:S524" si="533">N540+N709</f>
        <v>0</v>
      </c>
      <c r="O523" s="52">
        <f t="shared" si="533"/>
        <v>0</v>
      </c>
      <c r="P523" s="52">
        <f t="shared" si="533"/>
        <v>0</v>
      </c>
      <c r="Q523" s="52">
        <f t="shared" si="533"/>
        <v>0</v>
      </c>
      <c r="R523" s="52">
        <f t="shared" si="533"/>
        <v>0</v>
      </c>
      <c r="S523" s="52">
        <f t="shared" si="533"/>
        <v>0</v>
      </c>
      <c r="T523" s="69">
        <f>SUM(N523:S523)</f>
        <v>0</v>
      </c>
      <c r="U523" s="69">
        <f>T523+L523</f>
        <v>0</v>
      </c>
      <c r="V523" s="69">
        <f>V540+V709</f>
        <v>0</v>
      </c>
      <c r="W523" s="52">
        <f t="shared" si="524"/>
        <v>0</v>
      </c>
      <c r="X523" s="134"/>
    </row>
    <row r="524" spans="1:28" s="130" customFormat="1" ht="18" customHeight="1">
      <c r="A524" s="614"/>
      <c r="B524" s="581"/>
      <c r="C524" s="581"/>
      <c r="D524" s="174" t="str">
        <f>серпень!D447</f>
        <v>місцевий (план), тис.грн</v>
      </c>
      <c r="E524" s="56"/>
      <c r="F524" s="52">
        <f t="shared" si="532"/>
        <v>1.1919999999999999</v>
      </c>
      <c r="G524" s="52">
        <f t="shared" si="532"/>
        <v>0.65600000000000003</v>
      </c>
      <c r="H524" s="52">
        <f t="shared" si="532"/>
        <v>1.1910000000000001</v>
      </c>
      <c r="I524" s="52">
        <f t="shared" si="532"/>
        <v>9.0999999999999998E-2</v>
      </c>
      <c r="J524" s="52">
        <f t="shared" si="532"/>
        <v>13.291</v>
      </c>
      <c r="K524" s="52">
        <f t="shared" si="532"/>
        <v>5.4909999999999997</v>
      </c>
      <c r="L524" s="69">
        <f>SUM(F524:K524)</f>
        <v>21.911999999999999</v>
      </c>
      <c r="M524" s="69">
        <f>L524/6</f>
        <v>3.6520000000000001</v>
      </c>
      <c r="N524" s="52">
        <f t="shared" si="533"/>
        <v>67.739999999999995</v>
      </c>
      <c r="O524" s="52">
        <f t="shared" si="533"/>
        <v>11.590999999999999</v>
      </c>
      <c r="P524" s="52">
        <f t="shared" si="533"/>
        <v>9.4420000000000002</v>
      </c>
      <c r="Q524" s="52">
        <f t="shared" si="533"/>
        <v>1.1910000000000001</v>
      </c>
      <c r="R524" s="52">
        <f t="shared" si="533"/>
        <v>1.1910000000000001</v>
      </c>
      <c r="S524" s="52">
        <f t="shared" si="533"/>
        <v>1.754</v>
      </c>
      <c r="T524" s="69">
        <f>SUM(N524:S524)</f>
        <v>92.909000000000006</v>
      </c>
      <c r="U524" s="69">
        <f>T524+L524</f>
        <v>114.821</v>
      </c>
      <c r="V524" s="69">
        <f>V541+V710</f>
        <v>114.821</v>
      </c>
      <c r="W524" s="52">
        <f>V524-U524</f>
        <v>0</v>
      </c>
    </row>
    <row r="525" spans="1:28" s="47" customFormat="1" ht="18" customHeight="1">
      <c r="A525" s="614"/>
      <c r="B525" s="581"/>
      <c r="C525" s="581"/>
      <c r="D525" s="178" t="str">
        <f>серпень!D448</f>
        <v>касові нат.п-ки 2025</v>
      </c>
      <c r="E525" s="12">
        <f>E542+E711</f>
        <v>0</v>
      </c>
      <c r="F525" s="12">
        <f>F542</f>
        <v>0</v>
      </c>
      <c r="G525" s="12">
        <f t="shared" ref="G525:K525" si="534">G542</f>
        <v>8.1</v>
      </c>
      <c r="H525" s="12">
        <f t="shared" si="534"/>
        <v>4.4000000000000004</v>
      </c>
      <c r="I525" s="12">
        <f t="shared" si="534"/>
        <v>4.4000000000000004</v>
      </c>
      <c r="J525" s="12">
        <f t="shared" si="534"/>
        <v>4.4000000000000004</v>
      </c>
      <c r="K525" s="12">
        <f t="shared" si="534"/>
        <v>4.4000000000000004</v>
      </c>
      <c r="L525" s="117">
        <f>SUM(F525:K525)</f>
        <v>25.7</v>
      </c>
      <c r="M525" s="117">
        <f>L525/6</f>
        <v>4.3</v>
      </c>
      <c r="N525" s="12">
        <f>N542</f>
        <v>4.4000000000000004</v>
      </c>
      <c r="O525" s="12">
        <f t="shared" ref="O525:S525" si="535">O542</f>
        <v>4.4000000000000004</v>
      </c>
      <c r="P525" s="12">
        <f t="shared" si="535"/>
        <v>7</v>
      </c>
      <c r="Q525" s="12">
        <f t="shared" si="535"/>
        <v>7</v>
      </c>
      <c r="R525" s="12">
        <f t="shared" si="535"/>
        <v>7</v>
      </c>
      <c r="S525" s="12">
        <f t="shared" si="535"/>
        <v>7.3</v>
      </c>
      <c r="T525" s="117">
        <f>SUM(N525:S525)</f>
        <v>37.1</v>
      </c>
      <c r="U525" s="117">
        <f>T525+L525</f>
        <v>62.8</v>
      </c>
      <c r="V525" s="76">
        <f>V542</f>
        <v>84.3</v>
      </c>
      <c r="W525" s="38">
        <f>V525-U525</f>
        <v>21.5</v>
      </c>
      <c r="X525" s="47">
        <f>U518-U525</f>
        <v>0</v>
      </c>
    </row>
    <row r="526" spans="1:28" s="47" customFormat="1" ht="18" customHeight="1">
      <c r="A526" s="614"/>
      <c r="B526" s="581"/>
      <c r="C526" s="581"/>
      <c r="D526" s="187" t="str">
        <f>серпень!D449</f>
        <v>тариф, грн.</v>
      </c>
      <c r="E526" s="49" t="e">
        <f>E527/E525*1000</f>
        <v>#DIV/0!</v>
      </c>
      <c r="F526" s="49" t="e">
        <f t="shared" ref="F526:S526" si="536">F527/F525*1000</f>
        <v>#DIV/0!</v>
      </c>
      <c r="G526" s="49">
        <f t="shared" si="536"/>
        <v>169.012</v>
      </c>
      <c r="H526" s="49">
        <f t="shared" si="536"/>
        <v>166.59100000000001</v>
      </c>
      <c r="I526" s="49">
        <f t="shared" si="536"/>
        <v>168.40899999999999</v>
      </c>
      <c r="J526" s="49">
        <f t="shared" si="536"/>
        <v>1600</v>
      </c>
      <c r="K526" s="49">
        <f t="shared" si="536"/>
        <v>167.273</v>
      </c>
      <c r="L526" s="49">
        <f t="shared" si="536"/>
        <v>413.19099999999997</v>
      </c>
      <c r="M526" s="49">
        <f t="shared" si="536"/>
        <v>411.62799999999999</v>
      </c>
      <c r="N526" s="49">
        <f t="shared" si="536"/>
        <v>17939.773000000001</v>
      </c>
      <c r="O526" s="49">
        <f t="shared" si="536"/>
        <v>168.40899999999999</v>
      </c>
      <c r="P526" s="49">
        <f t="shared" si="536"/>
        <v>170.143</v>
      </c>
      <c r="Q526" s="49">
        <f t="shared" si="536"/>
        <v>2912.7139999999999</v>
      </c>
      <c r="R526" s="49">
        <f t="shared" si="536"/>
        <v>170.143</v>
      </c>
      <c r="S526" s="49">
        <f t="shared" si="536"/>
        <v>166.98599999999999</v>
      </c>
      <c r="T526" s="49">
        <f>T527/T525*1000</f>
        <v>2794.232</v>
      </c>
      <c r="U526" s="49">
        <f>U527/U525*1000</f>
        <v>1819.825</v>
      </c>
      <c r="V526" s="49">
        <f>V527/V525*1000</f>
        <v>1362.0519999999999</v>
      </c>
      <c r="W526" s="49">
        <f>W527/W525*1000</f>
        <v>24.93</v>
      </c>
      <c r="X526" s="59"/>
    </row>
    <row r="527" spans="1:28" s="63" customFormat="1" ht="18" customHeight="1">
      <c r="A527" s="614"/>
      <c r="B527" s="581"/>
      <c r="C527" s="581"/>
      <c r="D527" s="198" t="str">
        <f>серпень!D450</f>
        <v>касові видатки, тис.грн.</v>
      </c>
      <c r="E527" s="72">
        <f t="shared" ref="E527:K527" si="537">E544+E713</f>
        <v>0</v>
      </c>
      <c r="F527" s="61">
        <f t="shared" si="537"/>
        <v>0</v>
      </c>
      <c r="G527" s="61">
        <f t="shared" si="537"/>
        <v>1.369</v>
      </c>
      <c r="H527" s="61">
        <f t="shared" si="537"/>
        <v>0.73299999999999998</v>
      </c>
      <c r="I527" s="61">
        <f t="shared" si="537"/>
        <v>0.74099999999999999</v>
      </c>
      <c r="J527" s="61">
        <f t="shared" si="537"/>
        <v>7.04</v>
      </c>
      <c r="K527" s="61">
        <f t="shared" si="537"/>
        <v>0.73599999999999999</v>
      </c>
      <c r="L527" s="61">
        <f>SUM(F527:K527)</f>
        <v>10.619</v>
      </c>
      <c r="M527" s="61">
        <f>L527/6</f>
        <v>1.77</v>
      </c>
      <c r="N527" s="61">
        <f t="shared" ref="N527:S529" si="538">N544+N713</f>
        <v>78.935000000000002</v>
      </c>
      <c r="O527" s="61">
        <f t="shared" si="538"/>
        <v>0.74099999999999999</v>
      </c>
      <c r="P527" s="61">
        <f t="shared" si="538"/>
        <v>1.1910000000000001</v>
      </c>
      <c r="Q527" s="61">
        <f t="shared" si="538"/>
        <v>20.388999999999999</v>
      </c>
      <c r="R527" s="61">
        <f t="shared" si="538"/>
        <v>1.1910000000000001</v>
      </c>
      <c r="S527" s="61">
        <f t="shared" si="538"/>
        <v>1.2190000000000001</v>
      </c>
      <c r="T527" s="61">
        <f>SUM(N527:S527)</f>
        <v>103.666</v>
      </c>
      <c r="U527" s="61">
        <f>T527+L527</f>
        <v>114.285</v>
      </c>
      <c r="V527" s="61">
        <f>V544+V713</f>
        <v>114.821</v>
      </c>
      <c r="W527" s="72">
        <f>V527-U527</f>
        <v>0.53600000000000003</v>
      </c>
      <c r="X527" s="63">
        <f>U522-U527</f>
        <v>0</v>
      </c>
    </row>
    <row r="528" spans="1:28" s="63" customFormat="1" ht="18" customHeight="1">
      <c r="A528" s="614"/>
      <c r="B528" s="581"/>
      <c r="C528" s="581"/>
      <c r="D528" s="201" t="str">
        <f>серпень!D451</f>
        <v>дотація</v>
      </c>
      <c r="E528" s="71"/>
      <c r="F528" s="61">
        <f t="shared" ref="F528:K529" si="539">F545+F714</f>
        <v>0</v>
      </c>
      <c r="G528" s="61">
        <f t="shared" si="539"/>
        <v>0</v>
      </c>
      <c r="H528" s="61">
        <f t="shared" si="539"/>
        <v>0</v>
      </c>
      <c r="I528" s="61">
        <f t="shared" si="539"/>
        <v>0</v>
      </c>
      <c r="J528" s="61">
        <f t="shared" si="539"/>
        <v>0</v>
      </c>
      <c r="K528" s="61">
        <f t="shared" si="539"/>
        <v>0</v>
      </c>
      <c r="L528" s="61">
        <f>SUM(F528:K528)</f>
        <v>0</v>
      </c>
      <c r="M528" s="61">
        <f>L528/6</f>
        <v>0</v>
      </c>
      <c r="N528" s="61">
        <f t="shared" si="538"/>
        <v>0</v>
      </c>
      <c r="O528" s="61">
        <f t="shared" si="538"/>
        <v>0</v>
      </c>
      <c r="P528" s="61">
        <f t="shared" si="538"/>
        <v>0</v>
      </c>
      <c r="Q528" s="61">
        <f t="shared" si="538"/>
        <v>0</v>
      </c>
      <c r="R528" s="61">
        <f t="shared" si="538"/>
        <v>0</v>
      </c>
      <c r="S528" s="61">
        <f t="shared" si="538"/>
        <v>0</v>
      </c>
      <c r="T528" s="61">
        <f>SUM(N528:S528)</f>
        <v>0</v>
      </c>
      <c r="U528" s="61">
        <f>T528+L528</f>
        <v>0</v>
      </c>
      <c r="V528" s="61">
        <f>V545+V714</f>
        <v>0</v>
      </c>
      <c r="W528" s="72">
        <f>V528-U528</f>
        <v>0</v>
      </c>
      <c r="X528" s="63">
        <f>U523-U528</f>
        <v>0</v>
      </c>
    </row>
    <row r="529" spans="1:24" s="63" customFormat="1" ht="18" customHeight="1">
      <c r="A529" s="614"/>
      <c r="B529" s="581"/>
      <c r="C529" s="581"/>
      <c r="D529" s="201" t="str">
        <f>серпень!D452</f>
        <v xml:space="preserve">місцевий </v>
      </c>
      <c r="E529" s="71"/>
      <c r="F529" s="61">
        <f t="shared" si="539"/>
        <v>0</v>
      </c>
      <c r="G529" s="61">
        <f t="shared" si="539"/>
        <v>1.369</v>
      </c>
      <c r="H529" s="61">
        <f t="shared" si="539"/>
        <v>0.73299999999999998</v>
      </c>
      <c r="I529" s="61">
        <f t="shared" si="539"/>
        <v>0.74099999999999999</v>
      </c>
      <c r="J529" s="61">
        <f t="shared" si="539"/>
        <v>7.04</v>
      </c>
      <c r="K529" s="61">
        <f t="shared" si="539"/>
        <v>0.73599999999999999</v>
      </c>
      <c r="L529" s="61">
        <f>SUM(F529:K529)</f>
        <v>10.619</v>
      </c>
      <c r="M529" s="61">
        <f>L529/6</f>
        <v>1.77</v>
      </c>
      <c r="N529" s="61">
        <f t="shared" si="538"/>
        <v>78.935000000000002</v>
      </c>
      <c r="O529" s="61">
        <f t="shared" si="538"/>
        <v>0.74099999999999999</v>
      </c>
      <c r="P529" s="61">
        <f t="shared" si="538"/>
        <v>1.1910000000000001</v>
      </c>
      <c r="Q529" s="61">
        <f t="shared" si="538"/>
        <v>20.388999999999999</v>
      </c>
      <c r="R529" s="61">
        <f t="shared" si="538"/>
        <v>1.1910000000000001</v>
      </c>
      <c r="S529" s="61">
        <f t="shared" si="538"/>
        <v>1.2190000000000001</v>
      </c>
      <c r="T529" s="61">
        <f>SUM(N529:S529)</f>
        <v>103.666</v>
      </c>
      <c r="U529" s="61">
        <f>T529+L529</f>
        <v>114.285</v>
      </c>
      <c r="V529" s="61">
        <f>V546+V715</f>
        <v>114.821</v>
      </c>
      <c r="W529" s="72">
        <f>V529-U529</f>
        <v>0.53600000000000003</v>
      </c>
      <c r="X529" s="63">
        <f>U524-U529</f>
        <v>0.53600000000000003</v>
      </c>
    </row>
    <row r="530" spans="1:24" s="43" customFormat="1" ht="18" customHeight="1">
      <c r="A530" s="614"/>
      <c r="B530" s="581"/>
      <c r="C530" s="581"/>
      <c r="D530" s="202" t="str">
        <f>серпень!D453</f>
        <v>план</v>
      </c>
      <c r="E530" s="42"/>
      <c r="F530" s="42">
        <f t="shared" ref="F530:K530" si="540">F524</f>
        <v>1.1919999999999999</v>
      </c>
      <c r="G530" s="42">
        <f t="shared" si="540"/>
        <v>0.65600000000000003</v>
      </c>
      <c r="H530" s="42">
        <f t="shared" si="540"/>
        <v>1.1910000000000001</v>
      </c>
      <c r="I530" s="42">
        <f t="shared" si="540"/>
        <v>9.0999999999999998E-2</v>
      </c>
      <c r="J530" s="42">
        <f t="shared" si="540"/>
        <v>13.291</v>
      </c>
      <c r="K530" s="42">
        <f t="shared" si="540"/>
        <v>5.4909999999999997</v>
      </c>
      <c r="L530" s="42">
        <f>SUM(F530:K530)</f>
        <v>21.911999999999999</v>
      </c>
      <c r="M530" s="42">
        <f>L530/6</f>
        <v>3.6520000000000001</v>
      </c>
      <c r="N530" s="42">
        <f t="shared" ref="N530:S530" si="541">N524</f>
        <v>67.739999999999995</v>
      </c>
      <c r="O530" s="42">
        <f t="shared" si="541"/>
        <v>11.590999999999999</v>
      </c>
      <c r="P530" s="42">
        <f t="shared" si="541"/>
        <v>9.4420000000000002</v>
      </c>
      <c r="Q530" s="42">
        <f t="shared" si="541"/>
        <v>1.1910000000000001</v>
      </c>
      <c r="R530" s="42">
        <f t="shared" si="541"/>
        <v>1.1910000000000001</v>
      </c>
      <c r="S530" s="42">
        <f t="shared" si="541"/>
        <v>1.754</v>
      </c>
      <c r="T530" s="42">
        <f>SUM(N530:S530)</f>
        <v>92.909000000000006</v>
      </c>
      <c r="U530" s="42">
        <f>T530+L530</f>
        <v>114.821</v>
      </c>
      <c r="V530" s="42">
        <f>V524</f>
        <v>114.821</v>
      </c>
      <c r="W530" s="42">
        <f>V530-U530</f>
        <v>0</v>
      </c>
    </row>
    <row r="531" spans="1:24" s="43" customFormat="1" ht="18" customHeight="1">
      <c r="A531" s="614"/>
      <c r="B531" s="581"/>
      <c r="C531" s="581"/>
      <c r="D531" s="202" t="str">
        <f>серпень!D454</f>
        <v xml:space="preserve">відхилення </v>
      </c>
      <c r="E531" s="42"/>
      <c r="F531" s="42">
        <f t="shared" ref="F531:K531" si="542">F527-F530</f>
        <v>-1.1919999999999999</v>
      </c>
      <c r="G531" s="42">
        <f t="shared" si="542"/>
        <v>0.71299999999999997</v>
      </c>
      <c r="H531" s="42">
        <f t="shared" si="542"/>
        <v>-0.45800000000000002</v>
      </c>
      <c r="I531" s="42">
        <f t="shared" si="542"/>
        <v>0.65</v>
      </c>
      <c r="J531" s="42">
        <f t="shared" si="542"/>
        <v>-6.2510000000000003</v>
      </c>
      <c r="K531" s="42">
        <f t="shared" si="542"/>
        <v>-4.7549999999999999</v>
      </c>
      <c r="L531" s="42"/>
      <c r="M531" s="42"/>
      <c r="N531" s="42">
        <f t="shared" ref="N531:S531" si="543">N527-N530</f>
        <v>11.195</v>
      </c>
      <c r="O531" s="42">
        <f t="shared" si="543"/>
        <v>-10.85</v>
      </c>
      <c r="P531" s="42">
        <f t="shared" si="543"/>
        <v>-8.2509999999999994</v>
      </c>
      <c r="Q531" s="42">
        <f t="shared" si="543"/>
        <v>19.198</v>
      </c>
      <c r="R531" s="42">
        <f t="shared" si="543"/>
        <v>0</v>
      </c>
      <c r="S531" s="42">
        <f t="shared" si="543"/>
        <v>-0.53500000000000003</v>
      </c>
      <c r="T531" s="42"/>
      <c r="U531" s="42"/>
      <c r="V531" s="42"/>
      <c r="W531" s="42"/>
    </row>
    <row r="532" spans="1:24" s="43" customFormat="1" ht="18" customHeight="1">
      <c r="A532" s="614"/>
      <c r="B532" s="581"/>
      <c r="C532" s="581"/>
      <c r="D532" s="202" t="str">
        <f>серпень!D455</f>
        <v>відхилення з наростаючим</v>
      </c>
      <c r="E532" s="42"/>
      <c r="F532" s="42">
        <f>F531</f>
        <v>-1.1919999999999999</v>
      </c>
      <c r="G532" s="42">
        <f>G531+F532</f>
        <v>-0.47899999999999998</v>
      </c>
      <c r="H532" s="42">
        <f>H531+G532</f>
        <v>-0.93700000000000006</v>
      </c>
      <c r="I532" s="42">
        <f>I531+H532</f>
        <v>-0.28699999999999998</v>
      </c>
      <c r="J532" s="42">
        <f>J531+I532</f>
        <v>-6.5380000000000003</v>
      </c>
      <c r="K532" s="42">
        <f>K531+J532</f>
        <v>-11.292999999999999</v>
      </c>
      <c r="L532" s="42"/>
      <c r="M532" s="42"/>
      <c r="N532" s="42">
        <f>N531+K532</f>
        <v>-9.8000000000000004E-2</v>
      </c>
      <c r="O532" s="42">
        <f>O531+N532</f>
        <v>-10.948</v>
      </c>
      <c r="P532" s="42">
        <f>P531+O532</f>
        <v>-19.199000000000002</v>
      </c>
      <c r="Q532" s="42">
        <f>Q531+P532</f>
        <v>-1E-3</v>
      </c>
      <c r="R532" s="42">
        <f>R531+Q532</f>
        <v>-1E-3</v>
      </c>
      <c r="S532" s="42">
        <f>S531+R532</f>
        <v>-0.53600000000000003</v>
      </c>
      <c r="T532" s="42"/>
      <c r="U532" s="42"/>
      <c r="V532" s="42"/>
      <c r="W532" s="42"/>
    </row>
    <row r="533" spans="1:24" s="47" customFormat="1" ht="18" customHeight="1">
      <c r="A533" s="614"/>
      <c r="B533" s="576" t="s">
        <v>90</v>
      </c>
      <c r="C533" s="577"/>
      <c r="D533" s="178" t="str">
        <f>серпень!D456</f>
        <v>факт. нат.п-ки 2023</v>
      </c>
      <c r="E533" s="11"/>
      <c r="F533" s="12">
        <f t="shared" ref="F533:K535" si="544">F550+F627</f>
        <v>4.4000000000000004</v>
      </c>
      <c r="G533" s="12">
        <f t="shared" si="544"/>
        <v>4.4000000000000004</v>
      </c>
      <c r="H533" s="12">
        <f t="shared" si="544"/>
        <v>4.4000000000000004</v>
      </c>
      <c r="I533" s="12">
        <f t="shared" si="544"/>
        <v>4.3</v>
      </c>
      <c r="J533" s="12">
        <f t="shared" si="544"/>
        <v>4.3</v>
      </c>
      <c r="K533" s="12">
        <f t="shared" si="544"/>
        <v>2.8</v>
      </c>
      <c r="L533" s="117">
        <f>SUM(F533:K533)</f>
        <v>24.6</v>
      </c>
      <c r="M533" s="117">
        <f>L533/6</f>
        <v>4.0999999999999996</v>
      </c>
      <c r="N533" s="12">
        <f t="shared" ref="N533:S535" si="545">N550+N627</f>
        <v>4.4000000000000004</v>
      </c>
      <c r="O533" s="12">
        <f t="shared" si="545"/>
        <v>4.4000000000000004</v>
      </c>
      <c r="P533" s="12">
        <f t="shared" si="545"/>
        <v>4.4000000000000004</v>
      </c>
      <c r="Q533" s="12">
        <f t="shared" si="545"/>
        <v>4.4000000000000004</v>
      </c>
      <c r="R533" s="12">
        <f t="shared" si="545"/>
        <v>4.4000000000000004</v>
      </c>
      <c r="S533" s="12">
        <f t="shared" si="545"/>
        <v>4.4000000000000004</v>
      </c>
      <c r="T533" s="117">
        <f>SUM(N533:S533)</f>
        <v>26.4</v>
      </c>
      <c r="U533" s="117">
        <f>T533+L533</f>
        <v>51</v>
      </c>
      <c r="V533" s="76">
        <f>V550+V627</f>
        <v>51</v>
      </c>
      <c r="W533" s="38"/>
    </row>
    <row r="534" spans="1:24" s="47" customFormat="1" ht="18" customHeight="1">
      <c r="A534" s="614"/>
      <c r="B534" s="576"/>
      <c r="C534" s="577"/>
      <c r="D534" s="178" t="str">
        <f>серпень!D457</f>
        <v>факт. нат.п-ки 2024</v>
      </c>
      <c r="E534" s="11"/>
      <c r="F534" s="12">
        <f t="shared" si="544"/>
        <v>4.3</v>
      </c>
      <c r="G534" s="12">
        <f t="shared" si="544"/>
        <v>4.4000000000000004</v>
      </c>
      <c r="H534" s="12">
        <f t="shared" si="544"/>
        <v>4.4000000000000004</v>
      </c>
      <c r="I534" s="12">
        <f t="shared" si="544"/>
        <v>4.4000000000000004</v>
      </c>
      <c r="J534" s="12">
        <f t="shared" si="544"/>
        <v>4.4000000000000004</v>
      </c>
      <c r="K534" s="12">
        <f t="shared" si="544"/>
        <v>4.4000000000000004</v>
      </c>
      <c r="L534" s="117">
        <f>SUM(F534:K534)</f>
        <v>26.3</v>
      </c>
      <c r="M534" s="117">
        <f>L534/6</f>
        <v>4.4000000000000004</v>
      </c>
      <c r="N534" s="12">
        <f t="shared" si="545"/>
        <v>4.4000000000000004</v>
      </c>
      <c r="O534" s="12">
        <f t="shared" si="545"/>
        <v>4.4000000000000004</v>
      </c>
      <c r="P534" s="12">
        <f t="shared" si="545"/>
        <v>4.4000000000000004</v>
      </c>
      <c r="Q534" s="12">
        <f t="shared" si="545"/>
        <v>4.3</v>
      </c>
      <c r="R534" s="12">
        <f t="shared" si="545"/>
        <v>4.2</v>
      </c>
      <c r="S534" s="12">
        <f t="shared" si="545"/>
        <v>3.9</v>
      </c>
      <c r="T534" s="117">
        <f>SUM(N534:S534)</f>
        <v>25.6</v>
      </c>
      <c r="U534" s="117">
        <f>T534+L534</f>
        <v>51.9</v>
      </c>
      <c r="V534" s="76">
        <f>V551+V628</f>
        <v>51.9</v>
      </c>
      <c r="W534" s="38"/>
    </row>
    <row r="535" spans="1:24" s="47" customFormat="1" ht="18" customHeight="1">
      <c r="A535" s="614"/>
      <c r="B535" s="576"/>
      <c r="C535" s="577"/>
      <c r="D535" s="178" t="str">
        <f>серпень!D458</f>
        <v>факт. нат.п-ки 2025</v>
      </c>
      <c r="E535" s="11"/>
      <c r="F535" s="12">
        <f t="shared" si="544"/>
        <v>3.9</v>
      </c>
      <c r="G535" s="12">
        <f t="shared" si="544"/>
        <v>4.2</v>
      </c>
      <c r="H535" s="12">
        <f t="shared" si="544"/>
        <v>4.4000000000000004</v>
      </c>
      <c r="I535" s="12">
        <f t="shared" si="544"/>
        <v>4.4000000000000004</v>
      </c>
      <c r="J535" s="12">
        <f t="shared" si="544"/>
        <v>4.4000000000000004</v>
      </c>
      <c r="K535" s="12">
        <f t="shared" si="544"/>
        <v>4.4000000000000004</v>
      </c>
      <c r="L535" s="117">
        <f>SUM(F535:K535)</f>
        <v>25.7</v>
      </c>
      <c r="M535" s="117">
        <f>L535/6</f>
        <v>4.3</v>
      </c>
      <c r="N535" s="12">
        <f t="shared" si="545"/>
        <v>4.4000000000000004</v>
      </c>
      <c r="O535" s="12">
        <f t="shared" si="545"/>
        <v>4.4000000000000004</v>
      </c>
      <c r="P535" s="12">
        <f t="shared" si="545"/>
        <v>7</v>
      </c>
      <c r="Q535" s="12">
        <f t="shared" si="545"/>
        <v>7</v>
      </c>
      <c r="R535" s="12">
        <f t="shared" si="545"/>
        <v>7</v>
      </c>
      <c r="S535" s="12">
        <f t="shared" si="545"/>
        <v>7.3</v>
      </c>
      <c r="T535" s="117">
        <f>SUM(N535:S535)</f>
        <v>37.1</v>
      </c>
      <c r="U535" s="117">
        <f>T535+L535</f>
        <v>62.8</v>
      </c>
      <c r="V535" s="76">
        <f>V552+V629</f>
        <v>84.3</v>
      </c>
      <c r="W535" s="38">
        <f>V535-U535</f>
        <v>21.5</v>
      </c>
    </row>
    <row r="536" spans="1:24" s="47" customFormat="1" ht="18" customHeight="1">
      <c r="A536" s="614"/>
      <c r="B536" s="576"/>
      <c r="C536" s="577"/>
      <c r="D536" s="187" t="str">
        <f>серпень!D459</f>
        <v>тариф, грн.</v>
      </c>
      <c r="E536" s="49"/>
      <c r="F536" s="49">
        <f t="shared" ref="F536:S536" si="546">F537/F535*1000</f>
        <v>167.43600000000001</v>
      </c>
      <c r="G536" s="49">
        <f t="shared" si="546"/>
        <v>169.286</v>
      </c>
      <c r="H536" s="49">
        <f t="shared" si="546"/>
        <v>166.136</v>
      </c>
      <c r="I536" s="49">
        <f t="shared" si="546"/>
        <v>167.95500000000001</v>
      </c>
      <c r="J536" s="49">
        <f t="shared" si="546"/>
        <v>167.95500000000001</v>
      </c>
      <c r="K536" s="49">
        <f t="shared" si="546"/>
        <v>166.81800000000001</v>
      </c>
      <c r="L536" s="49">
        <f t="shared" si="546"/>
        <v>167.58799999999999</v>
      </c>
      <c r="M536" s="49">
        <f t="shared" si="546"/>
        <v>166.977</v>
      </c>
      <c r="N536" s="49">
        <f t="shared" si="546"/>
        <v>166.59100000000001</v>
      </c>
      <c r="O536" s="49">
        <f t="shared" si="546"/>
        <v>167.95500000000001</v>
      </c>
      <c r="P536" s="49">
        <f t="shared" si="546"/>
        <v>169.857</v>
      </c>
      <c r="Q536" s="49">
        <f t="shared" si="546"/>
        <v>169.857</v>
      </c>
      <c r="R536" s="49">
        <f t="shared" si="546"/>
        <v>169.857</v>
      </c>
      <c r="S536" s="49">
        <f t="shared" si="546"/>
        <v>166.71199999999999</v>
      </c>
      <c r="T536" s="49">
        <f>T537/T535*1000</f>
        <v>168.625</v>
      </c>
      <c r="U536" s="49">
        <f>U537/U535*1000</f>
        <v>168.20099999999999</v>
      </c>
      <c r="V536" s="49">
        <f>V537/V535*1000</f>
        <v>131.625</v>
      </c>
      <c r="W536" s="49">
        <f>W537/W535*1000</f>
        <v>24.791</v>
      </c>
    </row>
    <row r="537" spans="1:24" s="130" customFormat="1" ht="18" customHeight="1">
      <c r="A537" s="614"/>
      <c r="B537" s="576"/>
      <c r="C537" s="577"/>
      <c r="D537" s="191" t="str">
        <f>серпень!D460</f>
        <v>сума, тис.грн.</v>
      </c>
      <c r="E537" s="52"/>
      <c r="F537" s="52">
        <f t="shared" ref="F537:K537" si="547">F554+F631</f>
        <v>0.65300000000000002</v>
      </c>
      <c r="G537" s="52">
        <f t="shared" si="547"/>
        <v>0.71099999999999997</v>
      </c>
      <c r="H537" s="52">
        <f t="shared" si="547"/>
        <v>0.73099999999999998</v>
      </c>
      <c r="I537" s="52">
        <f t="shared" si="547"/>
        <v>0.73899999999999999</v>
      </c>
      <c r="J537" s="52">
        <f t="shared" si="547"/>
        <v>0.73899999999999999</v>
      </c>
      <c r="K537" s="52">
        <f t="shared" si="547"/>
        <v>0.73399999999999999</v>
      </c>
      <c r="L537" s="69">
        <f t="shared" ref="L537:L542" si="548">SUM(F537:K537)</f>
        <v>4.3070000000000004</v>
      </c>
      <c r="M537" s="69">
        <f t="shared" ref="M537:M542" si="549">L537/6</f>
        <v>0.71799999999999997</v>
      </c>
      <c r="N537" s="52">
        <f t="shared" ref="N537:S537" si="550">N554+N631</f>
        <v>0.73299999999999998</v>
      </c>
      <c r="O537" s="52">
        <f t="shared" si="550"/>
        <v>0.73899999999999999</v>
      </c>
      <c r="P537" s="52">
        <f t="shared" si="550"/>
        <v>1.1890000000000001</v>
      </c>
      <c r="Q537" s="52">
        <f t="shared" si="550"/>
        <v>1.1890000000000001</v>
      </c>
      <c r="R537" s="52">
        <f t="shared" si="550"/>
        <v>1.1890000000000001</v>
      </c>
      <c r="S537" s="52">
        <f t="shared" si="550"/>
        <v>1.2170000000000001</v>
      </c>
      <c r="T537" s="69">
        <f>SUM(N537:S537)</f>
        <v>6.2560000000000002</v>
      </c>
      <c r="U537" s="69">
        <f>T537+L537</f>
        <v>10.563000000000001</v>
      </c>
      <c r="V537" s="69">
        <f>V554+V631</f>
        <v>11.096</v>
      </c>
      <c r="W537" s="52">
        <f>V537-U537</f>
        <v>0.53300000000000003</v>
      </c>
    </row>
    <row r="538" spans="1:24" s="130" customFormat="1" ht="18" customHeight="1">
      <c r="A538" s="614"/>
      <c r="B538" s="576"/>
      <c r="C538" s="577"/>
      <c r="D538" s="174" t="str">
        <f>серпень!D461</f>
        <v>абоненська плата, тис.грн.</v>
      </c>
      <c r="E538" s="52"/>
      <c r="F538" s="52">
        <f>F555+F632</f>
        <v>3.0000000000000001E-3</v>
      </c>
      <c r="G538" s="52">
        <f t="shared" ref="G538:K538" si="551">G555+G632</f>
        <v>2E-3</v>
      </c>
      <c r="H538" s="52">
        <f t="shared" si="551"/>
        <v>2E-3</v>
      </c>
      <c r="I538" s="52">
        <f t="shared" si="551"/>
        <v>2E-3</v>
      </c>
      <c r="J538" s="52">
        <f t="shared" si="551"/>
        <v>2E-3</v>
      </c>
      <c r="K538" s="52">
        <f t="shared" si="551"/>
        <v>2E-3</v>
      </c>
      <c r="L538" s="69">
        <f t="shared" si="548"/>
        <v>1.2999999999999999E-2</v>
      </c>
      <c r="M538" s="69">
        <f t="shared" si="549"/>
        <v>2E-3</v>
      </c>
      <c r="N538" s="52">
        <f>N555+N632</f>
        <v>2E-3</v>
      </c>
      <c r="O538" s="52">
        <f t="shared" ref="O538:S538" si="552">O555+O632</f>
        <v>2E-3</v>
      </c>
      <c r="P538" s="52">
        <f t="shared" si="552"/>
        <v>2E-3</v>
      </c>
      <c r="Q538" s="52">
        <f t="shared" si="552"/>
        <v>2E-3</v>
      </c>
      <c r="R538" s="52">
        <f t="shared" si="552"/>
        <v>2E-3</v>
      </c>
      <c r="S538" s="52">
        <f t="shared" si="552"/>
        <v>2E-3</v>
      </c>
      <c r="T538" s="69">
        <f t="shared" ref="T538:T539" si="553">SUM(N538:S538)</f>
        <v>1.2E-2</v>
      </c>
      <c r="U538" s="69">
        <f t="shared" ref="U538" si="554">T538+L538</f>
        <v>2.5000000000000001E-2</v>
      </c>
      <c r="V538" s="69">
        <f t="shared" ref="V538" si="555">V555+V632</f>
        <v>2.5000000000000001E-2</v>
      </c>
      <c r="W538" s="52">
        <f t="shared" ref="W538:W539" si="556">V538-U538</f>
        <v>0</v>
      </c>
    </row>
    <row r="539" spans="1:24" s="130" customFormat="1" ht="18" customHeight="1">
      <c r="A539" s="614"/>
      <c r="B539" s="576"/>
      <c r="C539" s="577"/>
      <c r="D539" s="174" t="str">
        <f>серпень!D462</f>
        <v>разом сума тис. грн+абонплата</v>
      </c>
      <c r="E539" s="52"/>
      <c r="F539" s="52">
        <f>F537+F538</f>
        <v>0.65600000000000003</v>
      </c>
      <c r="G539" s="52">
        <f t="shared" ref="G539:K539" si="557">G537+G538</f>
        <v>0.71299999999999997</v>
      </c>
      <c r="H539" s="52">
        <f t="shared" si="557"/>
        <v>0.73299999999999998</v>
      </c>
      <c r="I539" s="52">
        <f t="shared" si="557"/>
        <v>0.74099999999999999</v>
      </c>
      <c r="J539" s="52">
        <f t="shared" si="557"/>
        <v>0.74099999999999999</v>
      </c>
      <c r="K539" s="52">
        <f t="shared" si="557"/>
        <v>0.73599999999999999</v>
      </c>
      <c r="L539" s="69">
        <f t="shared" si="548"/>
        <v>4.32</v>
      </c>
      <c r="M539" s="69">
        <f t="shared" si="549"/>
        <v>0.72</v>
      </c>
      <c r="N539" s="52">
        <f>N537+N538</f>
        <v>0.73499999999999999</v>
      </c>
      <c r="O539" s="52">
        <f t="shared" ref="O539" si="558">O537+O538</f>
        <v>0.74099999999999999</v>
      </c>
      <c r="P539" s="52">
        <f t="shared" ref="P539" si="559">P537+P538</f>
        <v>1.1910000000000001</v>
      </c>
      <c r="Q539" s="52">
        <f t="shared" ref="Q539" si="560">Q537+Q538</f>
        <v>1.1910000000000001</v>
      </c>
      <c r="R539" s="52">
        <f t="shared" ref="R539" si="561">R537+R538</f>
        <v>1.1910000000000001</v>
      </c>
      <c r="S539" s="52">
        <f>S537+S538</f>
        <v>1.2190000000000001</v>
      </c>
      <c r="T539" s="69">
        <f t="shared" si="553"/>
        <v>6.2679999999999998</v>
      </c>
      <c r="U539" s="69">
        <f>T539+L539</f>
        <v>10.587999999999999</v>
      </c>
      <c r="V539" s="69">
        <f>V537+V538</f>
        <v>11.121</v>
      </c>
      <c r="W539" s="52">
        <f t="shared" si="556"/>
        <v>0.53300000000000003</v>
      </c>
    </row>
    <row r="540" spans="1:24" s="130" customFormat="1" ht="18" customHeight="1">
      <c r="A540" s="614"/>
      <c r="B540" s="576"/>
      <c r="C540" s="577"/>
      <c r="D540" s="174" t="str">
        <f>серпень!D463</f>
        <v>дотація</v>
      </c>
      <c r="E540" s="56"/>
      <c r="F540" s="52">
        <f t="shared" ref="F540:K542" si="562">F557+F634</f>
        <v>0</v>
      </c>
      <c r="G540" s="52">
        <f t="shared" si="562"/>
        <v>0</v>
      </c>
      <c r="H540" s="52">
        <f t="shared" si="562"/>
        <v>0</v>
      </c>
      <c r="I540" s="52">
        <f t="shared" si="562"/>
        <v>0</v>
      </c>
      <c r="J540" s="52">
        <f t="shared" si="562"/>
        <v>0</v>
      </c>
      <c r="K540" s="52">
        <f t="shared" si="562"/>
        <v>0</v>
      </c>
      <c r="L540" s="69">
        <f t="shared" si="548"/>
        <v>0</v>
      </c>
      <c r="M540" s="69">
        <f t="shared" si="549"/>
        <v>0</v>
      </c>
      <c r="N540" s="52">
        <f t="shared" ref="N540:S542" si="563">N557+N634</f>
        <v>0</v>
      </c>
      <c r="O540" s="52">
        <f t="shared" si="563"/>
        <v>0</v>
      </c>
      <c r="P540" s="52">
        <f t="shared" si="563"/>
        <v>0</v>
      </c>
      <c r="Q540" s="52">
        <f t="shared" si="563"/>
        <v>0</v>
      </c>
      <c r="R540" s="52">
        <f t="shared" si="563"/>
        <v>0</v>
      </c>
      <c r="S540" s="52">
        <f t="shared" si="563"/>
        <v>0</v>
      </c>
      <c r="T540" s="69">
        <f>SUM(N540:S540)</f>
        <v>0</v>
      </c>
      <c r="U540" s="69">
        <f>T540+L540</f>
        <v>0</v>
      </c>
      <c r="V540" s="69">
        <f>V557+V634</f>
        <v>0</v>
      </c>
      <c r="W540" s="52">
        <f>V540-U540</f>
        <v>0</v>
      </c>
      <c r="X540" s="134"/>
    </row>
    <row r="541" spans="1:24" s="130" customFormat="1" ht="18" customHeight="1">
      <c r="A541" s="614"/>
      <c r="B541" s="576"/>
      <c r="C541" s="577"/>
      <c r="D541" s="174" t="str">
        <f>серпень!D464</f>
        <v>місцевий (план), тис.грн</v>
      </c>
      <c r="E541" s="56"/>
      <c r="F541" s="52">
        <f t="shared" si="562"/>
        <v>1.1919999999999999</v>
      </c>
      <c r="G541" s="52">
        <f t="shared" si="562"/>
        <v>0.65600000000000003</v>
      </c>
      <c r="H541" s="52">
        <f t="shared" si="562"/>
        <v>1.1910000000000001</v>
      </c>
      <c r="I541" s="52">
        <f t="shared" si="562"/>
        <v>9.0999999999999998E-2</v>
      </c>
      <c r="J541" s="52">
        <f t="shared" si="562"/>
        <v>0.84299999999999997</v>
      </c>
      <c r="K541" s="52">
        <f t="shared" si="562"/>
        <v>1.1910000000000001</v>
      </c>
      <c r="L541" s="69">
        <f t="shared" si="548"/>
        <v>5.1639999999999997</v>
      </c>
      <c r="M541" s="69">
        <f t="shared" si="549"/>
        <v>0.86099999999999999</v>
      </c>
      <c r="N541" s="52">
        <f t="shared" si="563"/>
        <v>1.1910000000000001</v>
      </c>
      <c r="O541" s="52">
        <f t="shared" si="563"/>
        <v>1.1910000000000001</v>
      </c>
      <c r="P541" s="52">
        <f t="shared" si="563"/>
        <v>1.1910000000000001</v>
      </c>
      <c r="Q541" s="52">
        <f t="shared" si="563"/>
        <v>1.1910000000000001</v>
      </c>
      <c r="R541" s="52">
        <f t="shared" si="563"/>
        <v>1.1910000000000001</v>
      </c>
      <c r="S541" s="52">
        <f t="shared" si="563"/>
        <v>2E-3</v>
      </c>
      <c r="T541" s="69">
        <f>SUM(N541:S541)</f>
        <v>5.9569999999999999</v>
      </c>
      <c r="U541" s="69">
        <f>T541+L541</f>
        <v>11.121</v>
      </c>
      <c r="V541" s="69">
        <f>V558+V635</f>
        <v>11.121</v>
      </c>
      <c r="W541" s="52">
        <f>V541-U541</f>
        <v>0</v>
      </c>
    </row>
    <row r="542" spans="1:24" s="47" customFormat="1" ht="18" customHeight="1">
      <c r="A542" s="614"/>
      <c r="B542" s="576"/>
      <c r="C542" s="577"/>
      <c r="D542" s="178" t="str">
        <f>серпень!D465</f>
        <v>касові нат.п-ки 2025</v>
      </c>
      <c r="E542" s="12">
        <f>E559+E636</f>
        <v>0</v>
      </c>
      <c r="F542" s="12">
        <f t="shared" si="562"/>
        <v>0</v>
      </c>
      <c r="G542" s="12">
        <f t="shared" si="562"/>
        <v>8.1</v>
      </c>
      <c r="H542" s="12">
        <f t="shared" si="562"/>
        <v>4.4000000000000004</v>
      </c>
      <c r="I542" s="12">
        <f t="shared" si="562"/>
        <v>4.4000000000000004</v>
      </c>
      <c r="J542" s="12">
        <f t="shared" si="562"/>
        <v>4.4000000000000004</v>
      </c>
      <c r="K542" s="12">
        <f t="shared" si="562"/>
        <v>4.4000000000000004</v>
      </c>
      <c r="L542" s="117">
        <f t="shared" si="548"/>
        <v>25.7</v>
      </c>
      <c r="M542" s="117">
        <f t="shared" si="549"/>
        <v>4.3</v>
      </c>
      <c r="N542" s="12">
        <f t="shared" si="563"/>
        <v>4.4000000000000004</v>
      </c>
      <c r="O542" s="12">
        <f t="shared" si="563"/>
        <v>4.4000000000000004</v>
      </c>
      <c r="P542" s="12">
        <f t="shared" si="563"/>
        <v>7</v>
      </c>
      <c r="Q542" s="12">
        <f t="shared" si="563"/>
        <v>7</v>
      </c>
      <c r="R542" s="12">
        <f t="shared" si="563"/>
        <v>7</v>
      </c>
      <c r="S542" s="12">
        <f t="shared" si="563"/>
        <v>7.3</v>
      </c>
      <c r="T542" s="117">
        <f>SUM(N542:S542)</f>
        <v>37.1</v>
      </c>
      <c r="U542" s="117">
        <f>T542+L542</f>
        <v>62.8</v>
      </c>
      <c r="V542" s="76">
        <f>V559+V636</f>
        <v>84.3</v>
      </c>
      <c r="W542" s="38">
        <f>V542-U542</f>
        <v>21.5</v>
      </c>
      <c r="X542" s="47">
        <f>U535-U542</f>
        <v>0</v>
      </c>
    </row>
    <row r="543" spans="1:24" s="47" customFormat="1" ht="18" customHeight="1">
      <c r="A543" s="614"/>
      <c r="B543" s="576"/>
      <c r="C543" s="577"/>
      <c r="D543" s="187" t="str">
        <f>серпень!D466</f>
        <v>тариф, грн.</v>
      </c>
      <c r="E543" s="49" t="e">
        <f>E544/E542*1000</f>
        <v>#DIV/0!</v>
      </c>
      <c r="F543" s="49" t="e">
        <f t="shared" ref="F543:S543" si="564">F544/F542*1000</f>
        <v>#DIV/0!</v>
      </c>
      <c r="G543" s="49">
        <f t="shared" si="564"/>
        <v>169.012</v>
      </c>
      <c r="H543" s="49">
        <f t="shared" si="564"/>
        <v>166.59100000000001</v>
      </c>
      <c r="I543" s="49">
        <f t="shared" si="564"/>
        <v>168.40899999999999</v>
      </c>
      <c r="J543" s="49">
        <f t="shared" si="564"/>
        <v>168.40899999999999</v>
      </c>
      <c r="K543" s="49">
        <f t="shared" si="564"/>
        <v>167.273</v>
      </c>
      <c r="L543" s="49">
        <f t="shared" si="564"/>
        <v>168.09299999999999</v>
      </c>
      <c r="M543" s="49">
        <f t="shared" si="564"/>
        <v>167.44200000000001</v>
      </c>
      <c r="N543" s="49">
        <f t="shared" si="564"/>
        <v>167.04499999999999</v>
      </c>
      <c r="O543" s="49">
        <f t="shared" si="564"/>
        <v>168.40899999999999</v>
      </c>
      <c r="P543" s="49">
        <f t="shared" si="564"/>
        <v>170.143</v>
      </c>
      <c r="Q543" s="49">
        <f t="shared" si="564"/>
        <v>170.143</v>
      </c>
      <c r="R543" s="49">
        <f t="shared" si="564"/>
        <v>170.143</v>
      </c>
      <c r="S543" s="49">
        <f t="shared" si="564"/>
        <v>166.98599999999999</v>
      </c>
      <c r="T543" s="49">
        <f>T544/T542*1000</f>
        <v>168.94900000000001</v>
      </c>
      <c r="U543" s="49">
        <f>U544/U542*1000</f>
        <v>168.59899999999999</v>
      </c>
      <c r="V543" s="49">
        <f>V544/V542*1000</f>
        <v>131.922</v>
      </c>
      <c r="W543" s="49">
        <f>W544/W542*1000</f>
        <v>24.791</v>
      </c>
      <c r="X543" s="59"/>
    </row>
    <row r="544" spans="1:24" s="63" customFormat="1" ht="18" customHeight="1">
      <c r="A544" s="614"/>
      <c r="B544" s="576"/>
      <c r="C544" s="577"/>
      <c r="D544" s="198" t="str">
        <f>серпень!D467</f>
        <v>касові видатки, тис.грн.</v>
      </c>
      <c r="E544" s="72">
        <f t="shared" ref="E544:K544" si="565">E561+E638</f>
        <v>0</v>
      </c>
      <c r="F544" s="61">
        <f>F561+F638</f>
        <v>0</v>
      </c>
      <c r="G544" s="61">
        <f t="shared" si="565"/>
        <v>1.369</v>
      </c>
      <c r="H544" s="61">
        <f t="shared" si="565"/>
        <v>0.73299999999999998</v>
      </c>
      <c r="I544" s="61">
        <f t="shared" si="565"/>
        <v>0.74099999999999999</v>
      </c>
      <c r="J544" s="61">
        <f t="shared" si="565"/>
        <v>0.74099999999999999</v>
      </c>
      <c r="K544" s="61">
        <f t="shared" si="565"/>
        <v>0.73599999999999999</v>
      </c>
      <c r="L544" s="61">
        <f>SUM(F544:K544)</f>
        <v>4.32</v>
      </c>
      <c r="M544" s="61">
        <f>L544/6</f>
        <v>0.72</v>
      </c>
      <c r="N544" s="61">
        <f t="shared" ref="N544:S546" si="566">N561+N638</f>
        <v>0.73499999999999999</v>
      </c>
      <c r="O544" s="61">
        <f t="shared" si="566"/>
        <v>0.74099999999999999</v>
      </c>
      <c r="P544" s="61">
        <f t="shared" si="566"/>
        <v>1.1910000000000001</v>
      </c>
      <c r="Q544" s="61">
        <f t="shared" si="566"/>
        <v>1.1910000000000001</v>
      </c>
      <c r="R544" s="61">
        <f t="shared" si="566"/>
        <v>1.1910000000000001</v>
      </c>
      <c r="S544" s="61">
        <f t="shared" si="566"/>
        <v>1.2190000000000001</v>
      </c>
      <c r="T544" s="61">
        <f>SUM(N544:S544)</f>
        <v>6.2679999999999998</v>
      </c>
      <c r="U544" s="61">
        <f>T544+L544</f>
        <v>10.587999999999999</v>
      </c>
      <c r="V544" s="61">
        <f>V561+V638</f>
        <v>11.121</v>
      </c>
      <c r="W544" s="72">
        <f>V544-U544</f>
        <v>0.53300000000000003</v>
      </c>
      <c r="X544" s="63">
        <f>U539-U544</f>
        <v>0</v>
      </c>
    </row>
    <row r="545" spans="1:28" s="63" customFormat="1" ht="18" customHeight="1">
      <c r="A545" s="614"/>
      <c r="B545" s="576"/>
      <c r="C545" s="577"/>
      <c r="D545" s="201" t="str">
        <f>серпень!D468</f>
        <v>дотація</v>
      </c>
      <c r="E545" s="71"/>
      <c r="F545" s="61">
        <f t="shared" ref="F545:K546" si="567">F562+F639</f>
        <v>0</v>
      </c>
      <c r="G545" s="61">
        <f t="shared" si="567"/>
        <v>0</v>
      </c>
      <c r="H545" s="61">
        <f t="shared" si="567"/>
        <v>0</v>
      </c>
      <c r="I545" s="61">
        <f t="shared" si="567"/>
        <v>0</v>
      </c>
      <c r="J545" s="61">
        <f t="shared" si="567"/>
        <v>0</v>
      </c>
      <c r="K545" s="61">
        <f t="shared" si="567"/>
        <v>0</v>
      </c>
      <c r="L545" s="61">
        <f>SUM(F545:K545)</f>
        <v>0</v>
      </c>
      <c r="M545" s="61">
        <f>L545/6</f>
        <v>0</v>
      </c>
      <c r="N545" s="61">
        <f t="shared" si="566"/>
        <v>0</v>
      </c>
      <c r="O545" s="61">
        <f t="shared" si="566"/>
        <v>0</v>
      </c>
      <c r="P545" s="61">
        <f t="shared" si="566"/>
        <v>0</v>
      </c>
      <c r="Q545" s="61">
        <f t="shared" si="566"/>
        <v>0</v>
      </c>
      <c r="R545" s="61">
        <f t="shared" si="566"/>
        <v>0</v>
      </c>
      <c r="S545" s="61">
        <f t="shared" si="566"/>
        <v>0</v>
      </c>
      <c r="T545" s="61">
        <f>SUM(N545:S545)</f>
        <v>0</v>
      </c>
      <c r="U545" s="61">
        <f>T545+L545</f>
        <v>0</v>
      </c>
      <c r="V545" s="61">
        <f>V562+V639</f>
        <v>0</v>
      </c>
      <c r="W545" s="72">
        <f>V545-U545</f>
        <v>0</v>
      </c>
      <c r="X545" s="63">
        <f>U540-U545</f>
        <v>0</v>
      </c>
    </row>
    <row r="546" spans="1:28" s="63" customFormat="1" ht="18" customHeight="1">
      <c r="A546" s="614"/>
      <c r="B546" s="576"/>
      <c r="C546" s="577"/>
      <c r="D546" s="201" t="str">
        <f>серпень!D469</f>
        <v xml:space="preserve">місцевий </v>
      </c>
      <c r="E546" s="71"/>
      <c r="F546" s="61">
        <f t="shared" si="567"/>
        <v>0</v>
      </c>
      <c r="G546" s="61">
        <f t="shared" si="567"/>
        <v>1.369</v>
      </c>
      <c r="H546" s="61">
        <f t="shared" si="567"/>
        <v>0.73299999999999998</v>
      </c>
      <c r="I546" s="61">
        <f t="shared" si="567"/>
        <v>0.74099999999999999</v>
      </c>
      <c r="J546" s="61">
        <f t="shared" si="567"/>
        <v>0.74099999999999999</v>
      </c>
      <c r="K546" s="61">
        <f t="shared" si="567"/>
        <v>0.73599999999999999</v>
      </c>
      <c r="L546" s="61">
        <f>SUM(F546:K546)</f>
        <v>4.32</v>
      </c>
      <c r="M546" s="61">
        <f>L546/6</f>
        <v>0.72</v>
      </c>
      <c r="N546" s="61">
        <f t="shared" si="566"/>
        <v>0.73499999999999999</v>
      </c>
      <c r="O546" s="61">
        <f t="shared" si="566"/>
        <v>0.74099999999999999</v>
      </c>
      <c r="P546" s="61">
        <f t="shared" si="566"/>
        <v>1.1910000000000001</v>
      </c>
      <c r="Q546" s="61">
        <f t="shared" si="566"/>
        <v>1.1910000000000001</v>
      </c>
      <c r="R546" s="61">
        <f t="shared" si="566"/>
        <v>1.1910000000000001</v>
      </c>
      <c r="S546" s="61">
        <f t="shared" si="566"/>
        <v>1.2190000000000001</v>
      </c>
      <c r="T546" s="61">
        <f>SUM(N546:S546)</f>
        <v>6.2679999999999998</v>
      </c>
      <c r="U546" s="61">
        <f>T546+L546</f>
        <v>10.587999999999999</v>
      </c>
      <c r="V546" s="61">
        <f>V563+V640</f>
        <v>11.121</v>
      </c>
      <c r="W546" s="72">
        <f>V546-U546</f>
        <v>0.53300000000000003</v>
      </c>
      <c r="X546" s="63">
        <f>U541-U546</f>
        <v>0.53300000000000003</v>
      </c>
    </row>
    <row r="547" spans="1:28" s="43" customFormat="1" ht="18" customHeight="1">
      <c r="A547" s="614"/>
      <c r="B547" s="576"/>
      <c r="C547" s="577"/>
      <c r="D547" s="202" t="str">
        <f>серпень!D470</f>
        <v>план</v>
      </c>
      <c r="E547" s="42"/>
      <c r="F547" s="42">
        <f t="shared" ref="F547:K547" si="568">F541</f>
        <v>1.1919999999999999</v>
      </c>
      <c r="G547" s="42">
        <f t="shared" si="568"/>
        <v>0.65600000000000003</v>
      </c>
      <c r="H547" s="42">
        <f t="shared" si="568"/>
        <v>1.1910000000000001</v>
      </c>
      <c r="I547" s="42">
        <f t="shared" si="568"/>
        <v>9.0999999999999998E-2</v>
      </c>
      <c r="J547" s="42">
        <f t="shared" si="568"/>
        <v>0.84299999999999997</v>
      </c>
      <c r="K547" s="42">
        <f t="shared" si="568"/>
        <v>1.1910000000000001</v>
      </c>
      <c r="L547" s="42">
        <f>SUM(F547:K547)</f>
        <v>5.1639999999999997</v>
      </c>
      <c r="M547" s="42">
        <f>L547/6</f>
        <v>0.86099999999999999</v>
      </c>
      <c r="N547" s="42">
        <f t="shared" ref="N547:S547" si="569">N541</f>
        <v>1.1910000000000001</v>
      </c>
      <c r="O547" s="42">
        <f t="shared" si="569"/>
        <v>1.1910000000000001</v>
      </c>
      <c r="P547" s="42">
        <f t="shared" si="569"/>
        <v>1.1910000000000001</v>
      </c>
      <c r="Q547" s="42">
        <f t="shared" si="569"/>
        <v>1.1910000000000001</v>
      </c>
      <c r="R547" s="42">
        <f t="shared" si="569"/>
        <v>1.1910000000000001</v>
      </c>
      <c r="S547" s="42">
        <f t="shared" si="569"/>
        <v>2E-3</v>
      </c>
      <c r="T547" s="42">
        <f>SUM(N547:S547)</f>
        <v>5.9569999999999999</v>
      </c>
      <c r="U547" s="42">
        <f>T547+L547</f>
        <v>11.121</v>
      </c>
      <c r="V547" s="42">
        <f>V541</f>
        <v>11.121</v>
      </c>
      <c r="W547" s="42">
        <f>V547-U547</f>
        <v>0</v>
      </c>
    </row>
    <row r="548" spans="1:28" s="43" customFormat="1" ht="18" customHeight="1">
      <c r="A548" s="614"/>
      <c r="B548" s="576"/>
      <c r="C548" s="577"/>
      <c r="D548" s="202" t="str">
        <f>серпень!D471</f>
        <v xml:space="preserve">відхилення </v>
      </c>
      <c r="E548" s="42"/>
      <c r="F548" s="42">
        <f t="shared" ref="F548:K548" si="570">F544-F547</f>
        <v>-1.1919999999999999</v>
      </c>
      <c r="G548" s="42">
        <f t="shared" si="570"/>
        <v>0.71299999999999997</v>
      </c>
      <c r="H548" s="42">
        <f t="shared" si="570"/>
        <v>-0.45800000000000002</v>
      </c>
      <c r="I548" s="42">
        <f t="shared" si="570"/>
        <v>0.65</v>
      </c>
      <c r="J548" s="42">
        <f t="shared" si="570"/>
        <v>-0.10199999999999999</v>
      </c>
      <c r="K548" s="42">
        <f t="shared" si="570"/>
        <v>-0.45500000000000002</v>
      </c>
      <c r="L548" s="42"/>
      <c r="M548" s="42"/>
      <c r="N548" s="42">
        <f t="shared" ref="N548:S548" si="571">N544-N547</f>
        <v>-0.45600000000000002</v>
      </c>
      <c r="O548" s="42">
        <f t="shared" si="571"/>
        <v>-0.45</v>
      </c>
      <c r="P548" s="42">
        <f t="shared" si="571"/>
        <v>0</v>
      </c>
      <c r="Q548" s="42">
        <f t="shared" si="571"/>
        <v>0</v>
      </c>
      <c r="R548" s="42">
        <f t="shared" si="571"/>
        <v>0</v>
      </c>
      <c r="S548" s="42">
        <f t="shared" si="571"/>
        <v>1.2170000000000001</v>
      </c>
      <c r="T548" s="42"/>
      <c r="U548" s="42"/>
      <c r="V548" s="42"/>
      <c r="W548" s="42"/>
    </row>
    <row r="549" spans="1:28" s="43" customFormat="1" ht="18" customHeight="1">
      <c r="A549" s="614"/>
      <c r="B549" s="576"/>
      <c r="C549" s="577"/>
      <c r="D549" s="202" t="str">
        <f>серпень!D472</f>
        <v>відхилення з наростаючим</v>
      </c>
      <c r="E549" s="42"/>
      <c r="F549" s="42">
        <f>F548</f>
        <v>-1.1919999999999999</v>
      </c>
      <c r="G549" s="42">
        <f>G548+F549</f>
        <v>-0.47899999999999998</v>
      </c>
      <c r="H549" s="42">
        <f>H548+G549</f>
        <v>-0.93700000000000006</v>
      </c>
      <c r="I549" s="42">
        <f>I548+H549</f>
        <v>-0.28699999999999998</v>
      </c>
      <c r="J549" s="42">
        <f>J548+I549</f>
        <v>-0.38900000000000001</v>
      </c>
      <c r="K549" s="42">
        <f>K548+J549</f>
        <v>-0.84399999999999997</v>
      </c>
      <c r="L549" s="42"/>
      <c r="M549" s="42"/>
      <c r="N549" s="42">
        <f>N548+K549</f>
        <v>-1.3</v>
      </c>
      <c r="O549" s="42">
        <f>O548+N549</f>
        <v>-1.75</v>
      </c>
      <c r="P549" s="42">
        <f>P548+O549</f>
        <v>-1.75</v>
      </c>
      <c r="Q549" s="42">
        <f>Q548+P549</f>
        <v>-1.75</v>
      </c>
      <c r="R549" s="42">
        <f>R548+Q549</f>
        <v>-1.75</v>
      </c>
      <c r="S549" s="42">
        <f>S548+R549</f>
        <v>-0.53300000000000003</v>
      </c>
      <c r="T549" s="42"/>
      <c r="U549" s="42"/>
      <c r="V549" s="42"/>
      <c r="W549" s="42"/>
    </row>
    <row r="550" spans="1:28" s="55" customFormat="1" ht="18" customHeight="1">
      <c r="A550" s="614"/>
      <c r="B550" s="581" t="s">
        <v>65</v>
      </c>
      <c r="C550" s="581"/>
      <c r="D550" s="178" t="str">
        <f>серпень!D473</f>
        <v>факт. нат.п-ки 2023</v>
      </c>
      <c r="E550" s="11"/>
      <c r="F550" s="12">
        <f t="shared" ref="F550:K552" si="572">F567+F597</f>
        <v>4.4000000000000004</v>
      </c>
      <c r="G550" s="12">
        <f t="shared" si="572"/>
        <v>4.4000000000000004</v>
      </c>
      <c r="H550" s="12">
        <f t="shared" si="572"/>
        <v>4.4000000000000004</v>
      </c>
      <c r="I550" s="12">
        <f t="shared" si="572"/>
        <v>4.3</v>
      </c>
      <c r="J550" s="12">
        <f t="shared" si="572"/>
        <v>4.3</v>
      </c>
      <c r="K550" s="12">
        <f t="shared" si="572"/>
        <v>2.8</v>
      </c>
      <c r="L550" s="65">
        <f>SUM(F550:K550)</f>
        <v>24.6</v>
      </c>
      <c r="M550" s="65">
        <f>L550/6</f>
        <v>4.0999999999999996</v>
      </c>
      <c r="N550" s="12">
        <f t="shared" ref="N550:S552" si="573">N567+N597</f>
        <v>4.4000000000000004</v>
      </c>
      <c r="O550" s="12">
        <f t="shared" si="573"/>
        <v>4.4000000000000004</v>
      </c>
      <c r="P550" s="12">
        <f t="shared" si="573"/>
        <v>4.4000000000000004</v>
      </c>
      <c r="Q550" s="12">
        <f t="shared" si="573"/>
        <v>4.4000000000000004</v>
      </c>
      <c r="R550" s="12">
        <f t="shared" si="573"/>
        <v>4.4000000000000004</v>
      </c>
      <c r="S550" s="12">
        <f t="shared" si="573"/>
        <v>4.4000000000000004</v>
      </c>
      <c r="T550" s="65">
        <f>SUM(N550:S550)</f>
        <v>26.4</v>
      </c>
      <c r="U550" s="65">
        <f>T550+L550</f>
        <v>51</v>
      </c>
      <c r="V550" s="75">
        <f>V567+V597</f>
        <v>51</v>
      </c>
      <c r="W550" s="38"/>
      <c r="X550" s="47"/>
      <c r="Y550" s="48"/>
      <c r="Z550" s="48"/>
      <c r="AA550" s="48"/>
      <c r="AB550" s="48"/>
    </row>
    <row r="551" spans="1:28" s="48" customFormat="1" ht="18" customHeight="1">
      <c r="A551" s="614"/>
      <c r="B551" s="581"/>
      <c r="C551" s="581"/>
      <c r="D551" s="178" t="str">
        <f>серпень!D474</f>
        <v>факт. нат.п-ки 2024</v>
      </c>
      <c r="E551" s="11"/>
      <c r="F551" s="12">
        <f t="shared" si="572"/>
        <v>4.3</v>
      </c>
      <c r="G551" s="12">
        <f t="shared" si="572"/>
        <v>4.4000000000000004</v>
      </c>
      <c r="H551" s="12">
        <f t="shared" si="572"/>
        <v>4.4000000000000004</v>
      </c>
      <c r="I551" s="12">
        <f t="shared" si="572"/>
        <v>4.4000000000000004</v>
      </c>
      <c r="J551" s="12">
        <f t="shared" si="572"/>
        <v>4.4000000000000004</v>
      </c>
      <c r="K551" s="12">
        <f t="shared" si="572"/>
        <v>4.4000000000000004</v>
      </c>
      <c r="L551" s="65">
        <f>SUM(F551:K551)</f>
        <v>26.3</v>
      </c>
      <c r="M551" s="65">
        <f>L551/6</f>
        <v>4.4000000000000004</v>
      </c>
      <c r="N551" s="12">
        <f t="shared" si="573"/>
        <v>4.4000000000000004</v>
      </c>
      <c r="O551" s="12">
        <f t="shared" si="573"/>
        <v>4.4000000000000004</v>
      </c>
      <c r="P551" s="12">
        <f t="shared" si="573"/>
        <v>4.4000000000000004</v>
      </c>
      <c r="Q551" s="12">
        <f t="shared" si="573"/>
        <v>4.3</v>
      </c>
      <c r="R551" s="12">
        <f t="shared" si="573"/>
        <v>4.2</v>
      </c>
      <c r="S551" s="12">
        <f t="shared" si="573"/>
        <v>3.9</v>
      </c>
      <c r="T551" s="65">
        <f>SUM(N551:S551)</f>
        <v>25.6</v>
      </c>
      <c r="U551" s="65">
        <f>T551+L551</f>
        <v>51.9</v>
      </c>
      <c r="V551" s="75">
        <f>V568+V598</f>
        <v>51.9</v>
      </c>
      <c r="W551" s="38"/>
      <c r="X551" s="47"/>
    </row>
    <row r="552" spans="1:28" s="48" customFormat="1" ht="18" customHeight="1">
      <c r="A552" s="614"/>
      <c r="B552" s="581"/>
      <c r="C552" s="581"/>
      <c r="D552" s="178" t="str">
        <f>серпень!D475</f>
        <v>факт. нат.п-ки 2025</v>
      </c>
      <c r="E552" s="11"/>
      <c r="F552" s="12">
        <f t="shared" si="572"/>
        <v>3.9</v>
      </c>
      <c r="G552" s="12">
        <f t="shared" si="572"/>
        <v>4.2</v>
      </c>
      <c r="H552" s="12">
        <f t="shared" si="572"/>
        <v>4.4000000000000004</v>
      </c>
      <c r="I552" s="12">
        <f t="shared" si="572"/>
        <v>4.4000000000000004</v>
      </c>
      <c r="J552" s="12">
        <f t="shared" si="572"/>
        <v>4.4000000000000004</v>
      </c>
      <c r="K552" s="12">
        <f t="shared" si="572"/>
        <v>4.4000000000000004</v>
      </c>
      <c r="L552" s="65">
        <f>SUM(F552:K552)</f>
        <v>25.7</v>
      </c>
      <c r="M552" s="65">
        <f>L552/6</f>
        <v>4.3</v>
      </c>
      <c r="N552" s="12">
        <f t="shared" si="573"/>
        <v>4.4000000000000004</v>
      </c>
      <c r="O552" s="12">
        <f t="shared" si="573"/>
        <v>4.4000000000000004</v>
      </c>
      <c r="P552" s="12">
        <f t="shared" si="573"/>
        <v>7</v>
      </c>
      <c r="Q552" s="12">
        <f t="shared" si="573"/>
        <v>7</v>
      </c>
      <c r="R552" s="12">
        <f t="shared" si="573"/>
        <v>7</v>
      </c>
      <c r="S552" s="12">
        <f t="shared" si="573"/>
        <v>7.3</v>
      </c>
      <c r="T552" s="65">
        <f>SUM(N552:S552)</f>
        <v>37.1</v>
      </c>
      <c r="U552" s="65">
        <f>T552+L552</f>
        <v>62.8</v>
      </c>
      <c r="V552" s="75">
        <f>V569+V599</f>
        <v>84.3</v>
      </c>
      <c r="W552" s="38">
        <f>V552-U552</f>
        <v>21.5</v>
      </c>
      <c r="X552" s="47"/>
    </row>
    <row r="553" spans="1:28" s="51" customFormat="1" ht="18" customHeight="1">
      <c r="A553" s="614"/>
      <c r="B553" s="581"/>
      <c r="C553" s="581"/>
      <c r="D553" s="187" t="str">
        <f>серпень!D476</f>
        <v>тариф, грн.</v>
      </c>
      <c r="E553" s="49"/>
      <c r="F553" s="49">
        <f t="shared" ref="F553:W553" si="574">F554/F552*1000</f>
        <v>167.43600000000001</v>
      </c>
      <c r="G553" s="49">
        <f t="shared" si="574"/>
        <v>169.286</v>
      </c>
      <c r="H553" s="49">
        <f t="shared" si="574"/>
        <v>166.136</v>
      </c>
      <c r="I553" s="49">
        <f t="shared" si="574"/>
        <v>167.95500000000001</v>
      </c>
      <c r="J553" s="49">
        <f t="shared" si="574"/>
        <v>167.95500000000001</v>
      </c>
      <c r="K553" s="49">
        <f t="shared" si="574"/>
        <v>166.81800000000001</v>
      </c>
      <c r="L553" s="49">
        <f t="shared" si="574"/>
        <v>167.58799999999999</v>
      </c>
      <c r="M553" s="49">
        <f t="shared" si="574"/>
        <v>166.977</v>
      </c>
      <c r="N553" s="49">
        <f t="shared" si="574"/>
        <v>166.59100000000001</v>
      </c>
      <c r="O553" s="49">
        <f t="shared" si="574"/>
        <v>167.95500000000001</v>
      </c>
      <c r="P553" s="49">
        <f t="shared" si="574"/>
        <v>169.857</v>
      </c>
      <c r="Q553" s="49">
        <f t="shared" si="574"/>
        <v>169.857</v>
      </c>
      <c r="R553" s="49">
        <f t="shared" si="574"/>
        <v>169.857</v>
      </c>
      <c r="S553" s="49">
        <f t="shared" si="574"/>
        <v>166.71199999999999</v>
      </c>
      <c r="T553" s="49">
        <f t="shared" si="574"/>
        <v>168.625</v>
      </c>
      <c r="U553" s="49">
        <f t="shared" si="574"/>
        <v>168.20099999999999</v>
      </c>
      <c r="V553" s="49">
        <f t="shared" si="574"/>
        <v>131.625</v>
      </c>
      <c r="W553" s="49">
        <f t="shared" si="574"/>
        <v>24.791</v>
      </c>
      <c r="X553" s="59"/>
    </row>
    <row r="554" spans="1:28" s="130" customFormat="1" ht="18" customHeight="1">
      <c r="A554" s="614"/>
      <c r="B554" s="581"/>
      <c r="C554" s="581"/>
      <c r="D554" s="191" t="str">
        <f>серпень!D477</f>
        <v>сума, тис.грн.</v>
      </c>
      <c r="E554" s="52"/>
      <c r="F554" s="52">
        <f>F571+F601</f>
        <v>0.65300000000000002</v>
      </c>
      <c r="G554" s="52">
        <f t="shared" ref="G554:K554" si="575">G571+G601</f>
        <v>0.71099999999999997</v>
      </c>
      <c r="H554" s="52">
        <f t="shared" si="575"/>
        <v>0.73099999999999998</v>
      </c>
      <c r="I554" s="52">
        <f t="shared" si="575"/>
        <v>0.73899999999999999</v>
      </c>
      <c r="J554" s="52">
        <f t="shared" si="575"/>
        <v>0.73899999999999999</v>
      </c>
      <c r="K554" s="52">
        <f t="shared" si="575"/>
        <v>0.73399999999999999</v>
      </c>
      <c r="L554" s="69">
        <f>SUM(F554:K554)</f>
        <v>4.3070000000000004</v>
      </c>
      <c r="M554" s="69">
        <f>L554/6</f>
        <v>0.71799999999999997</v>
      </c>
      <c r="N554" s="52">
        <f>N571+N601</f>
        <v>0.73299999999999998</v>
      </c>
      <c r="O554" s="52">
        <f t="shared" ref="O554:S554" si="576">O571+O601</f>
        <v>0.73899999999999999</v>
      </c>
      <c r="P554" s="52">
        <f t="shared" si="576"/>
        <v>1.1890000000000001</v>
      </c>
      <c r="Q554" s="52">
        <f t="shared" si="576"/>
        <v>1.1890000000000001</v>
      </c>
      <c r="R554" s="52">
        <f t="shared" si="576"/>
        <v>1.1890000000000001</v>
      </c>
      <c r="S554" s="52">
        <f t="shared" si="576"/>
        <v>1.2170000000000001</v>
      </c>
      <c r="T554" s="69">
        <f>SUM(N554:S554)</f>
        <v>6.2560000000000002</v>
      </c>
      <c r="U554" s="69">
        <f>T554+L554</f>
        <v>10.563000000000001</v>
      </c>
      <c r="V554" s="69">
        <f t="shared" ref="V554" si="577">V571+V601</f>
        <v>11.096</v>
      </c>
      <c r="W554" s="52">
        <f>V554-U554</f>
        <v>0.53300000000000003</v>
      </c>
    </row>
    <row r="555" spans="1:28" s="130" customFormat="1" ht="18" customHeight="1">
      <c r="A555" s="614"/>
      <c r="B555" s="581"/>
      <c r="C555" s="581"/>
      <c r="D555" s="174" t="str">
        <f>серпень!D478</f>
        <v>абоненська плата, тис.грн.</v>
      </c>
      <c r="E555" s="52"/>
      <c r="F555" s="52">
        <f>F586+F616</f>
        <v>3.0000000000000001E-3</v>
      </c>
      <c r="G555" s="52">
        <f t="shared" ref="G555:K555" si="578">G586+G616</f>
        <v>2E-3</v>
      </c>
      <c r="H555" s="52">
        <f t="shared" si="578"/>
        <v>2E-3</v>
      </c>
      <c r="I555" s="52">
        <f t="shared" si="578"/>
        <v>2E-3</v>
      </c>
      <c r="J555" s="52">
        <f t="shared" si="578"/>
        <v>2E-3</v>
      </c>
      <c r="K555" s="52">
        <f t="shared" si="578"/>
        <v>2E-3</v>
      </c>
      <c r="L555" s="69">
        <f t="shared" ref="L555:L556" si="579">SUM(F555:K555)</f>
        <v>1.2999999999999999E-2</v>
      </c>
      <c r="M555" s="69">
        <f t="shared" ref="M555:M556" si="580">L555/6</f>
        <v>2E-3</v>
      </c>
      <c r="N555" s="52">
        <f>N586+N616</f>
        <v>2E-3</v>
      </c>
      <c r="O555" s="52">
        <f t="shared" ref="O555:S555" si="581">O586+O616</f>
        <v>2E-3</v>
      </c>
      <c r="P555" s="52">
        <f t="shared" si="581"/>
        <v>2E-3</v>
      </c>
      <c r="Q555" s="52">
        <f t="shared" si="581"/>
        <v>2E-3</v>
      </c>
      <c r="R555" s="52">
        <f t="shared" si="581"/>
        <v>2E-3</v>
      </c>
      <c r="S555" s="52">
        <f t="shared" si="581"/>
        <v>2E-3</v>
      </c>
      <c r="T555" s="69">
        <f t="shared" ref="T555:T556" si="582">SUM(N555:S555)</f>
        <v>1.2E-2</v>
      </c>
      <c r="U555" s="69">
        <f t="shared" ref="U555:U556" si="583">T555+L555</f>
        <v>2.5000000000000001E-2</v>
      </c>
      <c r="V555" s="69">
        <f t="shared" ref="V555" si="584">V586+V616</f>
        <v>2.5000000000000001E-2</v>
      </c>
      <c r="W555" s="52">
        <f t="shared" ref="W555:W556" si="585">V555-U555</f>
        <v>0</v>
      </c>
    </row>
    <row r="556" spans="1:28" s="130" customFormat="1" ht="18" customHeight="1">
      <c r="A556" s="614"/>
      <c r="B556" s="581"/>
      <c r="C556" s="581"/>
      <c r="D556" s="174" t="str">
        <f>серпень!D479</f>
        <v>разом сума тис. грн+абонплата</v>
      </c>
      <c r="E556" s="52"/>
      <c r="F556" s="52">
        <f>F554+F555</f>
        <v>0.65600000000000003</v>
      </c>
      <c r="G556" s="52">
        <f t="shared" ref="G556:K556" si="586">G554+G555</f>
        <v>0.71299999999999997</v>
      </c>
      <c r="H556" s="52">
        <f t="shared" si="586"/>
        <v>0.73299999999999998</v>
      </c>
      <c r="I556" s="52">
        <f t="shared" si="586"/>
        <v>0.74099999999999999</v>
      </c>
      <c r="J556" s="52">
        <f t="shared" si="586"/>
        <v>0.74099999999999999</v>
      </c>
      <c r="K556" s="52">
        <f t="shared" si="586"/>
        <v>0.73599999999999999</v>
      </c>
      <c r="L556" s="69">
        <f t="shared" si="579"/>
        <v>4.32</v>
      </c>
      <c r="M556" s="69">
        <f t="shared" si="580"/>
        <v>0.72</v>
      </c>
      <c r="N556" s="52">
        <f>N554+N555</f>
        <v>0.73499999999999999</v>
      </c>
      <c r="O556" s="52">
        <f t="shared" ref="O556" si="587">O554+O555</f>
        <v>0.74099999999999999</v>
      </c>
      <c r="P556" s="52">
        <f t="shared" ref="P556" si="588">P554+P555</f>
        <v>1.1910000000000001</v>
      </c>
      <c r="Q556" s="52">
        <f t="shared" ref="Q556" si="589">Q554+Q555</f>
        <v>1.1910000000000001</v>
      </c>
      <c r="R556" s="52">
        <f t="shared" ref="R556" si="590">R554+R555</f>
        <v>1.1910000000000001</v>
      </c>
      <c r="S556" s="52">
        <f t="shared" ref="S556" si="591">S554+S555</f>
        <v>1.2190000000000001</v>
      </c>
      <c r="T556" s="69">
        <f t="shared" si="582"/>
        <v>6.2679999999999998</v>
      </c>
      <c r="U556" s="69">
        <f t="shared" si="583"/>
        <v>10.587999999999999</v>
      </c>
      <c r="V556" s="69">
        <f t="shared" ref="V556" si="592">V554+V555</f>
        <v>11.121</v>
      </c>
      <c r="W556" s="52">
        <f t="shared" si="585"/>
        <v>0.53300000000000003</v>
      </c>
    </row>
    <row r="557" spans="1:28" s="130" customFormat="1" ht="18" customHeight="1">
      <c r="A557" s="614"/>
      <c r="B557" s="581"/>
      <c r="C557" s="581"/>
      <c r="D557" s="174" t="str">
        <f>серпень!D480</f>
        <v>дотація</v>
      </c>
      <c r="E557" s="56"/>
      <c r="F557" s="52">
        <f t="shared" ref="F557:K557" si="593">F572+F602</f>
        <v>0</v>
      </c>
      <c r="G557" s="52">
        <f t="shared" si="593"/>
        <v>0</v>
      </c>
      <c r="H557" s="52">
        <f t="shared" si="593"/>
        <v>0</v>
      </c>
      <c r="I557" s="52">
        <f t="shared" si="593"/>
        <v>0</v>
      </c>
      <c r="J557" s="52">
        <f t="shared" si="593"/>
        <v>0</v>
      </c>
      <c r="K557" s="52">
        <f t="shared" si="593"/>
        <v>0</v>
      </c>
      <c r="L557" s="69">
        <f>SUM(F557:K557)</f>
        <v>0</v>
      </c>
      <c r="M557" s="69">
        <f>L557/6</f>
        <v>0</v>
      </c>
      <c r="N557" s="52">
        <f t="shared" ref="N557:S557" si="594">N572+N602</f>
        <v>0</v>
      </c>
      <c r="O557" s="52">
        <f t="shared" si="594"/>
        <v>0</v>
      </c>
      <c r="P557" s="52">
        <f t="shared" si="594"/>
        <v>0</v>
      </c>
      <c r="Q557" s="52">
        <f t="shared" si="594"/>
        <v>0</v>
      </c>
      <c r="R557" s="52">
        <f t="shared" si="594"/>
        <v>0</v>
      </c>
      <c r="S557" s="52">
        <f t="shared" si="594"/>
        <v>0</v>
      </c>
      <c r="T557" s="69">
        <f>SUM(N557:S557)</f>
        <v>0</v>
      </c>
      <c r="U557" s="69">
        <f>T557+L557</f>
        <v>0</v>
      </c>
      <c r="V557" s="69">
        <f>V572+V602</f>
        <v>0</v>
      </c>
      <c r="W557" s="52">
        <f>V557-U557</f>
        <v>0</v>
      </c>
    </row>
    <row r="558" spans="1:28" s="130" customFormat="1" ht="18" customHeight="1">
      <c r="A558" s="614"/>
      <c r="B558" s="581"/>
      <c r="C558" s="581"/>
      <c r="D558" s="174" t="str">
        <f>серпень!D481</f>
        <v>місцевий (план), тис.грн</v>
      </c>
      <c r="E558" s="56"/>
      <c r="F558" s="52">
        <f>F573+F603+F588</f>
        <v>1.1919999999999999</v>
      </c>
      <c r="G558" s="52">
        <f t="shared" ref="G558:K558" si="595">G573+G603+G588</f>
        <v>0.65600000000000003</v>
      </c>
      <c r="H558" s="52">
        <f t="shared" si="595"/>
        <v>1.1910000000000001</v>
      </c>
      <c r="I558" s="52">
        <f t="shared" si="595"/>
        <v>9.0999999999999998E-2</v>
      </c>
      <c r="J558" s="52">
        <f t="shared" si="595"/>
        <v>0.84299999999999997</v>
      </c>
      <c r="K558" s="52">
        <f t="shared" si="595"/>
        <v>1.1910000000000001</v>
      </c>
      <c r="L558" s="69">
        <f>SUM(F558:K558)</f>
        <v>5.1639999999999997</v>
      </c>
      <c r="M558" s="69">
        <f>L558/6</f>
        <v>0.86099999999999999</v>
      </c>
      <c r="N558" s="52">
        <f>N573+N603+N588</f>
        <v>1.1910000000000001</v>
      </c>
      <c r="O558" s="52">
        <f t="shared" ref="O558:S558" si="596">O573+O603+O588</f>
        <v>1.1910000000000001</v>
      </c>
      <c r="P558" s="52">
        <f t="shared" si="596"/>
        <v>1.1910000000000001</v>
      </c>
      <c r="Q558" s="52">
        <f t="shared" si="596"/>
        <v>1.1910000000000001</v>
      </c>
      <c r="R558" s="52">
        <f t="shared" si="596"/>
        <v>1.1910000000000001</v>
      </c>
      <c r="S558" s="52">
        <f t="shared" si="596"/>
        <v>2E-3</v>
      </c>
      <c r="T558" s="69">
        <f>SUM(N558:S558)</f>
        <v>5.9569999999999999</v>
      </c>
      <c r="U558" s="69">
        <f>T558+L558</f>
        <v>11.121</v>
      </c>
      <c r="V558" s="69">
        <f t="shared" ref="V558" si="597">V573+V603+V588</f>
        <v>11.121</v>
      </c>
      <c r="W558" s="52">
        <f>V558-U558</f>
        <v>0</v>
      </c>
    </row>
    <row r="559" spans="1:28" s="48" customFormat="1" ht="18" customHeight="1">
      <c r="A559" s="614"/>
      <c r="B559" s="581"/>
      <c r="C559" s="581"/>
      <c r="D559" s="178" t="str">
        <f>серпень!D482</f>
        <v>касові нат.п-ки 2025</v>
      </c>
      <c r="E559" s="11"/>
      <c r="F559" s="11">
        <f t="shared" ref="F559:K559" si="598">F574+F604</f>
        <v>0</v>
      </c>
      <c r="G559" s="11">
        <f t="shared" si="598"/>
        <v>8.1</v>
      </c>
      <c r="H559" s="11">
        <f t="shared" si="598"/>
        <v>4.4000000000000004</v>
      </c>
      <c r="I559" s="11">
        <f t="shared" si="598"/>
        <v>4.4000000000000004</v>
      </c>
      <c r="J559" s="11">
        <f t="shared" si="598"/>
        <v>4.4000000000000004</v>
      </c>
      <c r="K559" s="11">
        <f t="shared" si="598"/>
        <v>4.4000000000000004</v>
      </c>
      <c r="L559" s="65">
        <f>SUM(F559:K559)</f>
        <v>25.7</v>
      </c>
      <c r="M559" s="65">
        <f>L559/6</f>
        <v>4.3</v>
      </c>
      <c r="N559" s="11">
        <f t="shared" ref="N559:S559" si="599">N574+N604</f>
        <v>4.4000000000000004</v>
      </c>
      <c r="O559" s="11">
        <f t="shared" si="599"/>
        <v>4.4000000000000004</v>
      </c>
      <c r="P559" s="11">
        <f t="shared" si="599"/>
        <v>7</v>
      </c>
      <c r="Q559" s="11">
        <f t="shared" si="599"/>
        <v>7</v>
      </c>
      <c r="R559" s="11">
        <f t="shared" si="599"/>
        <v>7</v>
      </c>
      <c r="S559" s="11">
        <f t="shared" si="599"/>
        <v>7.3</v>
      </c>
      <c r="T559" s="65">
        <f>SUM(N559:S559)</f>
        <v>37.1</v>
      </c>
      <c r="U559" s="65">
        <f>T559+L559</f>
        <v>62.8</v>
      </c>
      <c r="V559" s="38">
        <f>V574+V604</f>
        <v>84.3</v>
      </c>
      <c r="W559" s="38">
        <f>V559-U559</f>
        <v>21.5</v>
      </c>
      <c r="X559" s="47">
        <f>U552-U559</f>
        <v>0</v>
      </c>
    </row>
    <row r="560" spans="1:28" s="51" customFormat="1" ht="18" customHeight="1">
      <c r="A560" s="614"/>
      <c r="B560" s="581"/>
      <c r="C560" s="581"/>
      <c r="D560" s="187" t="str">
        <f>серпень!D483</f>
        <v>тариф, грн.</v>
      </c>
      <c r="E560" s="49" t="e">
        <f t="shared" ref="E560:W560" si="600">E561/E559*1000</f>
        <v>#DIV/0!</v>
      </c>
      <c r="F560" s="49" t="e">
        <f t="shared" si="600"/>
        <v>#DIV/0!</v>
      </c>
      <c r="G560" s="49">
        <f t="shared" si="600"/>
        <v>169.012</v>
      </c>
      <c r="H560" s="49">
        <f t="shared" si="600"/>
        <v>166.59100000000001</v>
      </c>
      <c r="I560" s="49">
        <f t="shared" si="600"/>
        <v>168.40899999999999</v>
      </c>
      <c r="J560" s="49">
        <f t="shared" si="600"/>
        <v>168.40899999999999</v>
      </c>
      <c r="K560" s="49">
        <f t="shared" si="600"/>
        <v>167.273</v>
      </c>
      <c r="L560" s="49">
        <f t="shared" si="600"/>
        <v>168.09299999999999</v>
      </c>
      <c r="M560" s="49">
        <f t="shared" si="600"/>
        <v>167.44200000000001</v>
      </c>
      <c r="N560" s="49">
        <f t="shared" si="600"/>
        <v>167.04499999999999</v>
      </c>
      <c r="O560" s="49">
        <f t="shared" si="600"/>
        <v>168.40899999999999</v>
      </c>
      <c r="P560" s="49">
        <f t="shared" si="600"/>
        <v>170.143</v>
      </c>
      <c r="Q560" s="49">
        <f t="shared" si="600"/>
        <v>170.143</v>
      </c>
      <c r="R560" s="49">
        <f t="shared" si="600"/>
        <v>170.143</v>
      </c>
      <c r="S560" s="49">
        <f t="shared" si="600"/>
        <v>166.98599999999999</v>
      </c>
      <c r="T560" s="49">
        <f t="shared" si="600"/>
        <v>168.94900000000001</v>
      </c>
      <c r="U560" s="49">
        <f t="shared" si="600"/>
        <v>168.59899999999999</v>
      </c>
      <c r="V560" s="49">
        <f t="shared" si="600"/>
        <v>131.922</v>
      </c>
      <c r="W560" s="49">
        <f t="shared" si="600"/>
        <v>24.791</v>
      </c>
      <c r="X560" s="59"/>
    </row>
    <row r="561" spans="1:28" s="126" customFormat="1" ht="16.3" customHeight="1">
      <c r="A561" s="614"/>
      <c r="B561" s="581"/>
      <c r="C561" s="581"/>
      <c r="D561" s="198" t="str">
        <f>серпень!D484</f>
        <v>касові видатки, тис.грн.</v>
      </c>
      <c r="E561" s="71"/>
      <c r="F561" s="61">
        <f>F576+F591+F606+F621</f>
        <v>0</v>
      </c>
      <c r="G561" s="61">
        <f t="shared" ref="G561:K561" si="601">G576+G591+G606+G621</f>
        <v>1.369</v>
      </c>
      <c r="H561" s="61">
        <f t="shared" si="601"/>
        <v>0.73299999999999998</v>
      </c>
      <c r="I561" s="61">
        <f t="shared" si="601"/>
        <v>0.74099999999999999</v>
      </c>
      <c r="J561" s="61">
        <f t="shared" si="601"/>
        <v>0.74099999999999999</v>
      </c>
      <c r="K561" s="61">
        <f t="shared" si="601"/>
        <v>0.73599999999999999</v>
      </c>
      <c r="L561" s="61">
        <f>SUM(F561:K561)</f>
        <v>4.32</v>
      </c>
      <c r="M561" s="61">
        <f>L561/6</f>
        <v>0.72</v>
      </c>
      <c r="N561" s="61">
        <f>N576+N591+N606+N621</f>
        <v>0.73499999999999999</v>
      </c>
      <c r="O561" s="61">
        <f t="shared" ref="O561:S561" si="602">O576+O591+O606+O621</f>
        <v>0.74099999999999999</v>
      </c>
      <c r="P561" s="61">
        <f t="shared" si="602"/>
        <v>1.1910000000000001</v>
      </c>
      <c r="Q561" s="61">
        <f t="shared" si="602"/>
        <v>1.1910000000000001</v>
      </c>
      <c r="R561" s="61">
        <f t="shared" si="602"/>
        <v>1.1910000000000001</v>
      </c>
      <c r="S561" s="61">
        <f t="shared" si="602"/>
        <v>1.2190000000000001</v>
      </c>
      <c r="T561" s="61">
        <f>SUM(N561:S561)</f>
        <v>6.2679999999999998</v>
      </c>
      <c r="U561" s="61">
        <f>T561+L561</f>
        <v>10.587999999999999</v>
      </c>
      <c r="V561" s="61">
        <f t="shared" ref="V561" si="603">V576+V591+V606+V621</f>
        <v>11.121</v>
      </c>
      <c r="W561" s="72">
        <f>V561-U561</f>
        <v>0.53300000000000003</v>
      </c>
      <c r="X561" s="63">
        <f>U556-U561</f>
        <v>0</v>
      </c>
    </row>
    <row r="562" spans="1:28" s="126" customFormat="1" ht="16.3" customHeight="1">
      <c r="A562" s="614"/>
      <c r="B562" s="581"/>
      <c r="C562" s="581"/>
      <c r="D562" s="201" t="str">
        <f>серпень!D485</f>
        <v>дотація</v>
      </c>
      <c r="E562" s="71"/>
      <c r="F562" s="61">
        <f t="shared" ref="F562:K563" si="604">F577+F592+F607+F622</f>
        <v>0</v>
      </c>
      <c r="G562" s="61">
        <f t="shared" si="604"/>
        <v>0</v>
      </c>
      <c r="H562" s="61">
        <f t="shared" si="604"/>
        <v>0</v>
      </c>
      <c r="I562" s="61">
        <f t="shared" si="604"/>
        <v>0</v>
      </c>
      <c r="J562" s="61">
        <f t="shared" si="604"/>
        <v>0</v>
      </c>
      <c r="K562" s="61">
        <f t="shared" si="604"/>
        <v>0</v>
      </c>
      <c r="L562" s="61">
        <f>SUM(F562:K562)</f>
        <v>0</v>
      </c>
      <c r="M562" s="61">
        <f>L562/6</f>
        <v>0</v>
      </c>
      <c r="N562" s="61">
        <f t="shared" ref="N562:S562" si="605">N577+N592+N607+N622</f>
        <v>0</v>
      </c>
      <c r="O562" s="61">
        <f t="shared" si="605"/>
        <v>0</v>
      </c>
      <c r="P562" s="61">
        <f t="shared" si="605"/>
        <v>0</v>
      </c>
      <c r="Q562" s="61">
        <f t="shared" si="605"/>
        <v>0</v>
      </c>
      <c r="R562" s="61">
        <f t="shared" si="605"/>
        <v>0</v>
      </c>
      <c r="S562" s="61">
        <f t="shared" si="605"/>
        <v>0</v>
      </c>
      <c r="T562" s="61">
        <f>SUM(N562:S562)</f>
        <v>0</v>
      </c>
      <c r="U562" s="61">
        <f>T562+L562</f>
        <v>0</v>
      </c>
      <c r="V562" s="61">
        <f t="shared" ref="V562" si="606">V577+V592+V607+V622</f>
        <v>0</v>
      </c>
      <c r="W562" s="72">
        <f>V562-U562</f>
        <v>0</v>
      </c>
      <c r="X562" s="63">
        <f>U557-U562</f>
        <v>0</v>
      </c>
    </row>
    <row r="563" spans="1:28" s="126" customFormat="1" ht="16.3" customHeight="1">
      <c r="A563" s="614"/>
      <c r="B563" s="581"/>
      <c r="C563" s="581"/>
      <c r="D563" s="201" t="str">
        <f>серпень!D486</f>
        <v xml:space="preserve">місцевий </v>
      </c>
      <c r="E563" s="71"/>
      <c r="F563" s="61">
        <f t="shared" si="604"/>
        <v>0</v>
      </c>
      <c r="G563" s="61">
        <f t="shared" si="604"/>
        <v>1.369</v>
      </c>
      <c r="H563" s="61">
        <f t="shared" si="604"/>
        <v>0.73299999999999998</v>
      </c>
      <c r="I563" s="61">
        <f t="shared" si="604"/>
        <v>0.74099999999999999</v>
      </c>
      <c r="J563" s="61">
        <f t="shared" si="604"/>
        <v>0.74099999999999999</v>
      </c>
      <c r="K563" s="61">
        <f t="shared" si="604"/>
        <v>0.73599999999999999</v>
      </c>
      <c r="L563" s="61">
        <f>SUM(F563:K563)</f>
        <v>4.32</v>
      </c>
      <c r="M563" s="61">
        <f>L563/6</f>
        <v>0.72</v>
      </c>
      <c r="N563" s="61">
        <f t="shared" ref="N563:S563" si="607">N578+N593+N608+N623</f>
        <v>0.73499999999999999</v>
      </c>
      <c r="O563" s="61">
        <f t="shared" si="607"/>
        <v>0.74099999999999999</v>
      </c>
      <c r="P563" s="61">
        <f t="shared" si="607"/>
        <v>1.1910000000000001</v>
      </c>
      <c r="Q563" s="61">
        <f t="shared" si="607"/>
        <v>1.1910000000000001</v>
      </c>
      <c r="R563" s="61">
        <f t="shared" si="607"/>
        <v>1.1910000000000001</v>
      </c>
      <c r="S563" s="61">
        <f t="shared" si="607"/>
        <v>1.2190000000000001</v>
      </c>
      <c r="T563" s="61">
        <f>SUM(N563:S563)</f>
        <v>6.2679999999999998</v>
      </c>
      <c r="U563" s="61">
        <f>T563+L563</f>
        <v>10.587999999999999</v>
      </c>
      <c r="V563" s="61">
        <f t="shared" ref="V563" si="608">V578+V593+V608+V623</f>
        <v>11.121</v>
      </c>
      <c r="W563" s="72">
        <f>V563-U563</f>
        <v>0.53300000000000003</v>
      </c>
      <c r="X563" s="63">
        <f>U558-U563</f>
        <v>0.53300000000000003</v>
      </c>
    </row>
    <row r="564" spans="1:28" s="43" customFormat="1" ht="18" customHeight="1">
      <c r="A564" s="614"/>
      <c r="B564" s="581"/>
      <c r="C564" s="581"/>
      <c r="D564" s="202" t="str">
        <f>серпень!D487</f>
        <v>план</v>
      </c>
      <c r="E564" s="42"/>
      <c r="F564" s="42">
        <f>F579+F594+F609+F624</f>
        <v>1.1919999999999999</v>
      </c>
      <c r="G564" s="42">
        <f t="shared" ref="G564:K564" si="609">G579+G594+G609+G624</f>
        <v>0.65600000000000003</v>
      </c>
      <c r="H564" s="42">
        <f t="shared" si="609"/>
        <v>1.1910000000000001</v>
      </c>
      <c r="I564" s="42">
        <f t="shared" si="609"/>
        <v>9.0999999999999998E-2</v>
      </c>
      <c r="J564" s="42">
        <f t="shared" si="609"/>
        <v>0.84299999999999997</v>
      </c>
      <c r="K564" s="42">
        <f t="shared" si="609"/>
        <v>1.1910000000000001</v>
      </c>
      <c r="L564" s="42">
        <f>SUM(F564:K564)</f>
        <v>5.1639999999999997</v>
      </c>
      <c r="M564" s="42">
        <f>L564/6</f>
        <v>0.86099999999999999</v>
      </c>
      <c r="N564" s="42">
        <f>N579+N594+N609+N624</f>
        <v>1.1910000000000001</v>
      </c>
      <c r="O564" s="42">
        <f t="shared" ref="O564:R564" si="610">O579+O594+O609+O624</f>
        <v>1.1910000000000001</v>
      </c>
      <c r="P564" s="42">
        <f t="shared" si="610"/>
        <v>1.1910000000000001</v>
      </c>
      <c r="Q564" s="42">
        <f t="shared" si="610"/>
        <v>1.1910000000000001</v>
      </c>
      <c r="R564" s="42">
        <f t="shared" si="610"/>
        <v>1.1910000000000001</v>
      </c>
      <c r="S564" s="42">
        <f>S579+S594+S609+S624</f>
        <v>2E-3</v>
      </c>
      <c r="T564" s="42">
        <f>SUM(N564:S564)</f>
        <v>5.9569999999999999</v>
      </c>
      <c r="U564" s="42">
        <f>T564+L564</f>
        <v>11.121</v>
      </c>
      <c r="V564" s="42">
        <f>V579+V594+V609+V624</f>
        <v>11.121</v>
      </c>
      <c r="W564" s="42">
        <f>V564-U564</f>
        <v>0</v>
      </c>
    </row>
    <row r="565" spans="1:28" s="43" customFormat="1" ht="18" customHeight="1">
      <c r="A565" s="614"/>
      <c r="B565" s="581"/>
      <c r="C565" s="581"/>
      <c r="D565" s="202" t="str">
        <f>серпень!D488</f>
        <v xml:space="preserve">відхилення </v>
      </c>
      <c r="E565" s="42"/>
      <c r="F565" s="42">
        <f t="shared" ref="F565:K566" si="611">F580+F610</f>
        <v>-1.1890000000000001</v>
      </c>
      <c r="G565" s="42">
        <f t="shared" si="611"/>
        <v>0.71</v>
      </c>
      <c r="H565" s="42">
        <f t="shared" si="611"/>
        <v>-0.45800000000000002</v>
      </c>
      <c r="I565" s="42">
        <f t="shared" si="611"/>
        <v>0.65</v>
      </c>
      <c r="J565" s="42">
        <f t="shared" si="611"/>
        <v>-0.10199999999999999</v>
      </c>
      <c r="K565" s="42">
        <f t="shared" si="611"/>
        <v>-0.45500000000000002</v>
      </c>
      <c r="L565" s="42"/>
      <c r="M565" s="42"/>
      <c r="N565" s="42">
        <f t="shared" ref="N565:S566" si="612">N580+N610</f>
        <v>-0.45600000000000002</v>
      </c>
      <c r="O565" s="42">
        <f t="shared" si="612"/>
        <v>-0.45</v>
      </c>
      <c r="P565" s="42">
        <f t="shared" si="612"/>
        <v>0</v>
      </c>
      <c r="Q565" s="42">
        <f t="shared" si="612"/>
        <v>0</v>
      </c>
      <c r="R565" s="42">
        <f t="shared" si="612"/>
        <v>0</v>
      </c>
      <c r="S565" s="42">
        <f t="shared" si="612"/>
        <v>1.2170000000000001</v>
      </c>
      <c r="T565" s="42"/>
      <c r="U565" s="42"/>
      <c r="V565" s="42"/>
      <c r="W565" s="42"/>
    </row>
    <row r="566" spans="1:28" s="43" customFormat="1" ht="18" customHeight="1">
      <c r="A566" s="614"/>
      <c r="B566" s="581"/>
      <c r="C566" s="581"/>
      <c r="D566" s="202" t="str">
        <f>серпень!D489</f>
        <v>відхилення з наростаючим</v>
      </c>
      <c r="E566" s="42"/>
      <c r="F566" s="42">
        <f t="shared" si="611"/>
        <v>-1.1890000000000001</v>
      </c>
      <c r="G566" s="42">
        <f t="shared" si="611"/>
        <v>-0.47899999999999998</v>
      </c>
      <c r="H566" s="42">
        <f t="shared" si="611"/>
        <v>-0.93700000000000006</v>
      </c>
      <c r="I566" s="42">
        <f t="shared" si="611"/>
        <v>-0.28699999999999998</v>
      </c>
      <c r="J566" s="42">
        <f t="shared" si="611"/>
        <v>-0.38900000000000001</v>
      </c>
      <c r="K566" s="42">
        <f t="shared" si="611"/>
        <v>-0.84399999999999997</v>
      </c>
      <c r="L566" s="42"/>
      <c r="M566" s="42"/>
      <c r="N566" s="42">
        <f t="shared" si="612"/>
        <v>-1.3</v>
      </c>
      <c r="O566" s="42">
        <f t="shared" si="612"/>
        <v>-1.75</v>
      </c>
      <c r="P566" s="42">
        <f t="shared" si="612"/>
        <v>-1.75</v>
      </c>
      <c r="Q566" s="42">
        <f t="shared" si="612"/>
        <v>-1.75</v>
      </c>
      <c r="R566" s="42">
        <f t="shared" si="612"/>
        <v>-1.75</v>
      </c>
      <c r="S566" s="42">
        <f t="shared" si="612"/>
        <v>-0.53300000000000003</v>
      </c>
      <c r="T566" s="42"/>
      <c r="U566" s="42"/>
      <c r="V566" s="42"/>
      <c r="W566" s="42"/>
    </row>
    <row r="567" spans="1:28" s="55" customFormat="1" ht="18" customHeight="1">
      <c r="A567" s="614"/>
      <c r="B567" s="576" t="s">
        <v>63</v>
      </c>
      <c r="C567" s="577"/>
      <c r="D567" s="178" t="str">
        <f>серпень!D490</f>
        <v>факт. нат.п-ки 2023</v>
      </c>
      <c r="E567" s="11"/>
      <c r="F567" s="12">
        <v>4.4000000000000004</v>
      </c>
      <c r="G567" s="12">
        <v>4.4000000000000004</v>
      </c>
      <c r="H567" s="12">
        <v>4.4000000000000004</v>
      </c>
      <c r="I567" s="12">
        <v>4.3</v>
      </c>
      <c r="J567" s="12">
        <v>4.3</v>
      </c>
      <c r="K567" s="12">
        <v>2.8</v>
      </c>
      <c r="L567" s="65">
        <f>SUM(F567:K567)</f>
        <v>24.6</v>
      </c>
      <c r="M567" s="65">
        <f>L567/6</f>
        <v>4.0999999999999996</v>
      </c>
      <c r="N567" s="11">
        <v>4.4000000000000004</v>
      </c>
      <c r="O567" s="11">
        <v>4.4000000000000004</v>
      </c>
      <c r="P567" s="11">
        <v>4.4000000000000004</v>
      </c>
      <c r="Q567" s="11">
        <v>4.4000000000000004</v>
      </c>
      <c r="R567" s="11">
        <v>4.4000000000000004</v>
      </c>
      <c r="S567" s="11">
        <v>4.4000000000000004</v>
      </c>
      <c r="T567" s="65">
        <f>SUM(N567:S567)</f>
        <v>26.4</v>
      </c>
      <c r="U567" s="65">
        <f>T567+L567</f>
        <v>51</v>
      </c>
      <c r="V567" s="46">
        <v>51</v>
      </c>
      <c r="W567" s="38"/>
      <c r="X567" s="47"/>
      <c r="Y567" s="48"/>
      <c r="Z567" s="48"/>
      <c r="AA567" s="48"/>
      <c r="AB567" s="48"/>
    </row>
    <row r="568" spans="1:28" s="48" customFormat="1" ht="18.649999999999999" customHeight="1">
      <c r="A568" s="614"/>
      <c r="B568" s="576"/>
      <c r="C568" s="577"/>
      <c r="D568" s="178" t="str">
        <f>серпень!D491</f>
        <v>факт. нат.п-ки 2024</v>
      </c>
      <c r="E568" s="11"/>
      <c r="F568" s="12">
        <v>4.3</v>
      </c>
      <c r="G568" s="12">
        <v>4.4000000000000004</v>
      </c>
      <c r="H568" s="12">
        <v>4.4000000000000004</v>
      </c>
      <c r="I568" s="12">
        <v>4.4000000000000004</v>
      </c>
      <c r="J568" s="12">
        <v>4.4000000000000004</v>
      </c>
      <c r="K568" s="12">
        <v>4.4000000000000004</v>
      </c>
      <c r="L568" s="65">
        <f>SUM(F568:K568)</f>
        <v>26.3</v>
      </c>
      <c r="M568" s="65">
        <f>L568/6</f>
        <v>4.4000000000000004</v>
      </c>
      <c r="N568" s="12">
        <v>4.4000000000000004</v>
      </c>
      <c r="O568" s="12">
        <v>4.4000000000000004</v>
      </c>
      <c r="P568" s="12">
        <v>4.4000000000000004</v>
      </c>
      <c r="Q568" s="12">
        <v>4.3</v>
      </c>
      <c r="R568" s="12">
        <v>4.2</v>
      </c>
      <c r="S568" s="12">
        <v>3.9</v>
      </c>
      <c r="T568" s="65">
        <f>SUM(N568:S568)</f>
        <v>25.6</v>
      </c>
      <c r="U568" s="65">
        <f>T568+L568</f>
        <v>51.9</v>
      </c>
      <c r="V568" s="46">
        <v>51.9</v>
      </c>
      <c r="W568" s="38"/>
      <c r="X568" s="47"/>
    </row>
    <row r="569" spans="1:28" s="48" customFormat="1" ht="18" customHeight="1">
      <c r="A569" s="614"/>
      <c r="B569" s="576"/>
      <c r="C569" s="577"/>
      <c r="D569" s="178" t="str">
        <f>серпень!D492</f>
        <v>факт. нат.п-ки 2025</v>
      </c>
      <c r="E569" s="11"/>
      <c r="F569" s="12">
        <v>3.9</v>
      </c>
      <c r="G569" s="12">
        <v>4.2</v>
      </c>
      <c r="H569" s="12">
        <v>4.4000000000000004</v>
      </c>
      <c r="I569" s="12">
        <v>4.4000000000000004</v>
      </c>
      <c r="J569" s="12">
        <v>4.4000000000000004</v>
      </c>
      <c r="K569" s="12">
        <v>4.4000000000000004</v>
      </c>
      <c r="L569" s="65">
        <f>SUM(F569:K569)</f>
        <v>25.7</v>
      </c>
      <c r="M569" s="65">
        <f>L569/6</f>
        <v>4.3</v>
      </c>
      <c r="N569" s="12">
        <v>4.4000000000000004</v>
      </c>
      <c r="O569" s="12">
        <v>4.4000000000000004</v>
      </c>
      <c r="P569" s="12">
        <v>7</v>
      </c>
      <c r="Q569" s="12">
        <v>7</v>
      </c>
      <c r="R569" s="12">
        <v>7</v>
      </c>
      <c r="S569" s="12">
        <v>7.3</v>
      </c>
      <c r="T569" s="65">
        <f>SUM(N569:S569)</f>
        <v>37.1</v>
      </c>
      <c r="U569" s="65">
        <f>T569+L569</f>
        <v>62.8</v>
      </c>
      <c r="V569" s="11">
        <v>84.3</v>
      </c>
      <c r="W569" s="38">
        <f>V569-U569</f>
        <v>21.5</v>
      </c>
      <c r="X569" s="47"/>
    </row>
    <row r="570" spans="1:28" s="51" customFormat="1" ht="18" customHeight="1">
      <c r="A570" s="614"/>
      <c r="B570" s="576"/>
      <c r="C570" s="577"/>
      <c r="D570" s="187" t="str">
        <f>серпень!D493</f>
        <v>тариф, грн.</v>
      </c>
      <c r="E570" s="68" t="e">
        <f>E571/E569*1000</f>
        <v>#DIV/0!</v>
      </c>
      <c r="F570" s="68">
        <f t="shared" ref="F570:K570" si="613">F571/F569*1000</f>
        <v>167.43600000000001</v>
      </c>
      <c r="G570" s="68">
        <f t="shared" si="613"/>
        <v>169.286</v>
      </c>
      <c r="H570" s="68">
        <f t="shared" si="613"/>
        <v>166.136</v>
      </c>
      <c r="I570" s="68">
        <f t="shared" si="613"/>
        <v>167.95500000000001</v>
      </c>
      <c r="J570" s="68">
        <f t="shared" si="613"/>
        <v>167.95500000000001</v>
      </c>
      <c r="K570" s="68">
        <f t="shared" si="613"/>
        <v>166.81800000000001</v>
      </c>
      <c r="L570" s="68">
        <f>L571/L569*1000</f>
        <v>167.58799999999999</v>
      </c>
      <c r="M570" s="68">
        <f>M571/M569*1000</f>
        <v>166.977</v>
      </c>
      <c r="N570" s="68">
        <f t="shared" ref="N570:O570" si="614">N571/N569*1000</f>
        <v>166.59100000000001</v>
      </c>
      <c r="O570" s="68">
        <f t="shared" si="614"/>
        <v>167.95500000000001</v>
      </c>
      <c r="P570" s="68">
        <v>169.88</v>
      </c>
      <c r="Q570" s="68">
        <v>169.88</v>
      </c>
      <c r="R570" s="68">
        <v>169.88</v>
      </c>
      <c r="S570" s="68">
        <v>169.88</v>
      </c>
      <c r="T570" s="68">
        <f>T571/T569*1000</f>
        <v>168.625</v>
      </c>
      <c r="U570" s="68">
        <f>U571/U569*1000</f>
        <v>168.20099999999999</v>
      </c>
      <c r="V570" s="68">
        <f>V571/V569*1000</f>
        <v>131.625</v>
      </c>
      <c r="W570" s="14">
        <f>W571/W569*1000</f>
        <v>24.791</v>
      </c>
      <c r="X570" s="59"/>
    </row>
    <row r="571" spans="1:28" s="130" customFormat="1" ht="18" customHeight="1">
      <c r="A571" s="614"/>
      <c r="B571" s="576"/>
      <c r="C571" s="577"/>
      <c r="D571" s="191" t="str">
        <f>серпень!D494</f>
        <v>сума, тис.грн.</v>
      </c>
      <c r="E571" s="52"/>
      <c r="F571" s="52">
        <v>0.65300000000000002</v>
      </c>
      <c r="G571" s="52">
        <v>0.71099999999999997</v>
      </c>
      <c r="H571" s="52">
        <v>0.73099999999999998</v>
      </c>
      <c r="I571" s="52">
        <v>0.73899999999999999</v>
      </c>
      <c r="J571" s="52">
        <v>0.73899999999999999</v>
      </c>
      <c r="K571" s="52">
        <f>0.735-0.001</f>
        <v>0.73399999999999999</v>
      </c>
      <c r="L571" s="69">
        <f>SUM(F571:K571)</f>
        <v>4.3070000000000004</v>
      </c>
      <c r="M571" s="69">
        <f>L571/6</f>
        <v>0.71799999999999997</v>
      </c>
      <c r="N571" s="52">
        <v>0.73299999999999998</v>
      </c>
      <c r="O571" s="52">
        <v>0.73899999999999999</v>
      </c>
      <c r="P571" s="52">
        <f t="shared" ref="P571" si="615">P569*P570/1000</f>
        <v>1.1890000000000001</v>
      </c>
      <c r="Q571" s="52">
        <f t="shared" ref="Q571" si="616">Q569*Q570/1000</f>
        <v>1.1890000000000001</v>
      </c>
      <c r="R571" s="52">
        <f t="shared" ref="R571" si="617">R569*R570/1000</f>
        <v>1.1890000000000001</v>
      </c>
      <c r="S571" s="52">
        <f>S569*S570/1000-0.023</f>
        <v>1.2170000000000001</v>
      </c>
      <c r="T571" s="69">
        <f>SUM(N571:S571)</f>
        <v>6.2560000000000002</v>
      </c>
      <c r="U571" s="69">
        <f>T571+L571</f>
        <v>10.563000000000001</v>
      </c>
      <c r="V571" s="70">
        <f>V572+V573</f>
        <v>11.096</v>
      </c>
      <c r="W571" s="53">
        <f>V571-U571</f>
        <v>0.53300000000000003</v>
      </c>
    </row>
    <row r="572" spans="1:28" s="130" customFormat="1" ht="18" customHeight="1">
      <c r="A572" s="614"/>
      <c r="B572" s="576"/>
      <c r="C572" s="577"/>
      <c r="D572" s="174" t="str">
        <f>серпень!D495</f>
        <v>дотація</v>
      </c>
      <c r="E572" s="56"/>
      <c r="F572" s="52"/>
      <c r="G572" s="52"/>
      <c r="H572" s="52"/>
      <c r="I572" s="52"/>
      <c r="J572" s="52"/>
      <c r="K572" s="52"/>
      <c r="L572" s="69">
        <f>SUM(F572:K572)</f>
        <v>0</v>
      </c>
      <c r="M572" s="69">
        <f>L572/6</f>
        <v>0</v>
      </c>
      <c r="N572" s="52"/>
      <c r="O572" s="52"/>
      <c r="P572" s="52"/>
      <c r="Q572" s="52"/>
      <c r="R572" s="52"/>
      <c r="S572" s="52"/>
      <c r="T572" s="69">
        <f>SUM(N572:S572)</f>
        <v>0</v>
      </c>
      <c r="U572" s="69">
        <f>T572+L572</f>
        <v>0</v>
      </c>
      <c r="V572" s="70">
        <v>0</v>
      </c>
      <c r="W572" s="53">
        <f>V572-U572</f>
        <v>0</v>
      </c>
    </row>
    <row r="573" spans="1:28" s="130" customFormat="1" ht="18" customHeight="1">
      <c r="A573" s="614"/>
      <c r="B573" s="576"/>
      <c r="C573" s="577"/>
      <c r="D573" s="174" t="str">
        <f>серпень!D496</f>
        <v>місцевий (план), тис.грн</v>
      </c>
      <c r="E573" s="56"/>
      <c r="F573" s="52">
        <v>1.1890000000000001</v>
      </c>
      <c r="G573" s="52">
        <f>1.189-0.535</f>
        <v>0.65400000000000003</v>
      </c>
      <c r="H573" s="52">
        <v>1.1890000000000001</v>
      </c>
      <c r="I573" s="52">
        <f>1.189-1.1</f>
        <v>8.8999999999999996E-2</v>
      </c>
      <c r="J573" s="52">
        <f>1.189+1.1-1.448</f>
        <v>0.84099999999999997</v>
      </c>
      <c r="K573" s="52">
        <f>5.491-0.002-4.3</f>
        <v>1.1890000000000001</v>
      </c>
      <c r="L573" s="69">
        <f>SUM(F573:K573)</f>
        <v>5.1509999999999998</v>
      </c>
      <c r="M573" s="69">
        <f>L573/6</f>
        <v>0.85899999999999999</v>
      </c>
      <c r="N573" s="52">
        <v>1.1890000000000001</v>
      </c>
      <c r="O573" s="52">
        <f>1.189</f>
        <v>1.1890000000000001</v>
      </c>
      <c r="P573" s="52">
        <v>1.1890000000000001</v>
      </c>
      <c r="Q573" s="52">
        <v>1.1890000000000001</v>
      </c>
      <c r="R573" s="52">
        <v>1.1890000000000001</v>
      </c>
      <c r="S573" s="52">
        <f>1.217+0.535-1.752</f>
        <v>0</v>
      </c>
      <c r="T573" s="69">
        <f>SUM(N573:S573)</f>
        <v>5.9450000000000003</v>
      </c>
      <c r="U573" s="69">
        <f>T573+L573</f>
        <v>11.096</v>
      </c>
      <c r="V573" s="70">
        <f>18.596-4.3-1.752-1.448</f>
        <v>11.096</v>
      </c>
      <c r="W573" s="53">
        <f>V573-U573</f>
        <v>0</v>
      </c>
    </row>
    <row r="574" spans="1:28" s="48" customFormat="1" ht="18" customHeight="1">
      <c r="A574" s="614"/>
      <c r="B574" s="576"/>
      <c r="C574" s="577"/>
      <c r="D574" s="178" t="str">
        <f>серпень!D497</f>
        <v>касові нат.п-ки 2025</v>
      </c>
      <c r="E574" s="11"/>
      <c r="F574" s="12"/>
      <c r="G574" s="12">
        <v>8.1</v>
      </c>
      <c r="H574" s="12">
        <v>4.4000000000000004</v>
      </c>
      <c r="I574" s="12">
        <v>4.4000000000000004</v>
      </c>
      <c r="J574" s="12">
        <v>4.4000000000000004</v>
      </c>
      <c r="K574" s="12">
        <v>4.4000000000000004</v>
      </c>
      <c r="L574" s="65">
        <f>SUM(F574:K574)</f>
        <v>25.7</v>
      </c>
      <c r="M574" s="65">
        <f>L574/6</f>
        <v>4.3</v>
      </c>
      <c r="N574" s="12">
        <v>4.4000000000000004</v>
      </c>
      <c r="O574" s="12">
        <v>4.4000000000000004</v>
      </c>
      <c r="P574" s="12">
        <v>7</v>
      </c>
      <c r="Q574" s="12">
        <v>7</v>
      </c>
      <c r="R574" s="12">
        <v>7</v>
      </c>
      <c r="S574" s="12">
        <v>7.3</v>
      </c>
      <c r="T574" s="65">
        <f>SUM(N574:S574)</f>
        <v>37.1</v>
      </c>
      <c r="U574" s="65">
        <f>T574+L574</f>
        <v>62.8</v>
      </c>
      <c r="V574" s="11">
        <f>V569</f>
        <v>84.3</v>
      </c>
      <c r="W574" s="38">
        <f>V574-U574</f>
        <v>21.5</v>
      </c>
      <c r="X574" s="47">
        <f>U569-U574</f>
        <v>0</v>
      </c>
    </row>
    <row r="575" spans="1:28" s="51" customFormat="1" ht="18" customHeight="1">
      <c r="A575" s="614"/>
      <c r="B575" s="576"/>
      <c r="C575" s="577"/>
      <c r="D575" s="187" t="str">
        <f>серпень!D498</f>
        <v>тариф, грн.</v>
      </c>
      <c r="E575" s="49" t="e">
        <f t="shared" ref="E575:K575" si="618">E576/E574*1000</f>
        <v>#DIV/0!</v>
      </c>
      <c r="F575" s="49" t="e">
        <f t="shared" si="618"/>
        <v>#DIV/0!</v>
      </c>
      <c r="G575" s="49">
        <f t="shared" si="618"/>
        <v>168.39500000000001</v>
      </c>
      <c r="H575" s="49">
        <f t="shared" si="618"/>
        <v>166.136</v>
      </c>
      <c r="I575" s="49">
        <f t="shared" si="618"/>
        <v>167.95500000000001</v>
      </c>
      <c r="J575" s="49">
        <f t="shared" si="618"/>
        <v>167.95500000000001</v>
      </c>
      <c r="K575" s="49">
        <f t="shared" si="618"/>
        <v>166.81800000000001</v>
      </c>
      <c r="L575" s="68">
        <f>L576/L574*1000</f>
        <v>167.58799999999999</v>
      </c>
      <c r="M575" s="68">
        <f>M576/M574*1000</f>
        <v>166.977</v>
      </c>
      <c r="N575" s="68">
        <f t="shared" ref="N575:P575" si="619">N576/N574*1000</f>
        <v>166.59100000000001</v>
      </c>
      <c r="O575" s="68">
        <f t="shared" si="619"/>
        <v>167.95500000000001</v>
      </c>
      <c r="P575" s="68">
        <f t="shared" si="619"/>
        <v>169.857</v>
      </c>
      <c r="Q575" s="68">
        <v>169.88</v>
      </c>
      <c r="R575" s="68">
        <v>169.88</v>
      </c>
      <c r="S575" s="49">
        <v>169.88</v>
      </c>
      <c r="T575" s="68">
        <f>T576/T574*1000</f>
        <v>168.625</v>
      </c>
      <c r="U575" s="68">
        <f>U576/U574*1000</f>
        <v>168.20099999999999</v>
      </c>
      <c r="V575" s="68">
        <f>V576/V574*1000</f>
        <v>131.625</v>
      </c>
      <c r="W575" s="14">
        <f>W576/W574*1000</f>
        <v>24.791</v>
      </c>
      <c r="X575" s="59"/>
    </row>
    <row r="576" spans="1:28" s="126" customFormat="1" ht="18" customHeight="1">
      <c r="A576" s="614"/>
      <c r="B576" s="576"/>
      <c r="C576" s="577"/>
      <c r="D576" s="198" t="str">
        <f>серпень!D499</f>
        <v>касові видатки, тис.грн.</v>
      </c>
      <c r="E576" s="71"/>
      <c r="F576" s="61">
        <v>0</v>
      </c>
      <c r="G576" s="61">
        <v>1.3640000000000001</v>
      </c>
      <c r="H576" s="61">
        <v>0.73099999999999998</v>
      </c>
      <c r="I576" s="61">
        <v>0.73899999999999999</v>
      </c>
      <c r="J576" s="61">
        <v>0.73899999999999999</v>
      </c>
      <c r="K576" s="61">
        <f>0.735-0.001</f>
        <v>0.73399999999999999</v>
      </c>
      <c r="L576" s="61">
        <f>SUM(F576:K576)</f>
        <v>4.3070000000000004</v>
      </c>
      <c r="M576" s="61">
        <f>L576/6</f>
        <v>0.71799999999999997</v>
      </c>
      <c r="N576" s="61">
        <v>0.73299999999999998</v>
      </c>
      <c r="O576" s="61">
        <v>0.73899999999999999</v>
      </c>
      <c r="P576" s="61">
        <v>1.1890000000000001</v>
      </c>
      <c r="Q576" s="61">
        <f t="shared" ref="Q576" si="620">Q574*Q575/1000</f>
        <v>1.1890000000000001</v>
      </c>
      <c r="R576" s="61">
        <f t="shared" ref="R576" si="621">R574*R575/1000</f>
        <v>1.1890000000000001</v>
      </c>
      <c r="S576" s="61">
        <f>S574*S575/1000-0.023</f>
        <v>1.2170000000000001</v>
      </c>
      <c r="T576" s="61">
        <f>SUM(N576:S576)</f>
        <v>6.2560000000000002</v>
      </c>
      <c r="U576" s="61">
        <f>T576+L576</f>
        <v>10.563000000000001</v>
      </c>
      <c r="V576" s="61">
        <f>V571</f>
        <v>11.096</v>
      </c>
      <c r="W576" s="72">
        <f>V576-U576</f>
        <v>0.53300000000000003</v>
      </c>
      <c r="X576" s="63">
        <f>U571-U576</f>
        <v>0</v>
      </c>
    </row>
    <row r="577" spans="1:28" s="126" customFormat="1" ht="18" customHeight="1">
      <c r="A577" s="614"/>
      <c r="B577" s="576"/>
      <c r="C577" s="577"/>
      <c r="D577" s="201" t="str">
        <f>серпень!D500</f>
        <v>дотація</v>
      </c>
      <c r="E577" s="71"/>
      <c r="F577" s="61">
        <v>0</v>
      </c>
      <c r="G577" s="61">
        <v>0</v>
      </c>
      <c r="H577" s="61">
        <v>0</v>
      </c>
      <c r="I577" s="61">
        <v>0</v>
      </c>
      <c r="J577" s="61">
        <v>0</v>
      </c>
      <c r="K577" s="61">
        <v>0</v>
      </c>
      <c r="L577" s="61">
        <f>SUM(F577:K577)</f>
        <v>0</v>
      </c>
      <c r="M577" s="61">
        <f>L577/6</f>
        <v>0</v>
      </c>
      <c r="N577" s="61">
        <v>0</v>
      </c>
      <c r="O577" s="61">
        <v>0</v>
      </c>
      <c r="P577" s="61">
        <v>0</v>
      </c>
      <c r="Q577" s="61">
        <v>0</v>
      </c>
      <c r="R577" s="61">
        <v>0</v>
      </c>
      <c r="S577" s="61">
        <v>0</v>
      </c>
      <c r="T577" s="61">
        <f>SUM(N577:S577)</f>
        <v>0</v>
      </c>
      <c r="U577" s="61">
        <f>T577+L577</f>
        <v>0</v>
      </c>
      <c r="V577" s="61">
        <f>V572</f>
        <v>0</v>
      </c>
      <c r="W577" s="72">
        <f>V577-U577</f>
        <v>0</v>
      </c>
      <c r="X577" s="63">
        <f>U572-U577</f>
        <v>0</v>
      </c>
    </row>
    <row r="578" spans="1:28" s="126" customFormat="1" ht="18" customHeight="1">
      <c r="A578" s="614"/>
      <c r="B578" s="576"/>
      <c r="C578" s="577"/>
      <c r="D578" s="201" t="str">
        <f>серпень!D501</f>
        <v xml:space="preserve">місцевий </v>
      </c>
      <c r="E578" s="71"/>
      <c r="F578" s="61">
        <f t="shared" ref="F578:K578" si="622">F576-F577</f>
        <v>0</v>
      </c>
      <c r="G578" s="61">
        <f t="shared" si="622"/>
        <v>1.3640000000000001</v>
      </c>
      <c r="H578" s="61">
        <f t="shared" si="622"/>
        <v>0.73099999999999998</v>
      </c>
      <c r="I578" s="61">
        <f t="shared" si="622"/>
        <v>0.73899999999999999</v>
      </c>
      <c r="J578" s="61">
        <f t="shared" si="622"/>
        <v>0.73899999999999999</v>
      </c>
      <c r="K578" s="61">
        <f t="shared" si="622"/>
        <v>0.73399999999999999</v>
      </c>
      <c r="L578" s="61">
        <f>SUM(F578:K578)</f>
        <v>4.3070000000000004</v>
      </c>
      <c r="M578" s="61">
        <f>L578/6</f>
        <v>0.71799999999999997</v>
      </c>
      <c r="N578" s="61">
        <f t="shared" ref="N578:S578" si="623">N576-N577</f>
        <v>0.73299999999999998</v>
      </c>
      <c r="O578" s="61">
        <f t="shared" si="623"/>
        <v>0.73899999999999999</v>
      </c>
      <c r="P578" s="61">
        <f t="shared" si="623"/>
        <v>1.1890000000000001</v>
      </c>
      <c r="Q578" s="61">
        <f t="shared" si="623"/>
        <v>1.1890000000000001</v>
      </c>
      <c r="R578" s="61">
        <f t="shared" si="623"/>
        <v>1.1890000000000001</v>
      </c>
      <c r="S578" s="61">
        <f t="shared" si="623"/>
        <v>1.2170000000000001</v>
      </c>
      <c r="T578" s="61">
        <f>SUM(N578:S578)</f>
        <v>6.2560000000000002</v>
      </c>
      <c r="U578" s="61">
        <f>T578+L578</f>
        <v>10.563000000000001</v>
      </c>
      <c r="V578" s="61">
        <f>V573</f>
        <v>11.096</v>
      </c>
      <c r="W578" s="72">
        <f>V578-U578</f>
        <v>0.53300000000000003</v>
      </c>
      <c r="X578" s="63">
        <f>U573-U578</f>
        <v>0.53300000000000003</v>
      </c>
    </row>
    <row r="579" spans="1:28" s="43" customFormat="1" ht="18" customHeight="1">
      <c r="A579" s="614"/>
      <c r="B579" s="576"/>
      <c r="C579" s="577"/>
      <c r="D579" s="202" t="str">
        <f>серпень!D502</f>
        <v>план</v>
      </c>
      <c r="E579" s="42"/>
      <c r="F579" s="42">
        <f t="shared" ref="F579:K579" si="624">F573</f>
        <v>1.1890000000000001</v>
      </c>
      <c r="G579" s="42">
        <f t="shared" si="624"/>
        <v>0.65400000000000003</v>
      </c>
      <c r="H579" s="42">
        <f t="shared" si="624"/>
        <v>1.1890000000000001</v>
      </c>
      <c r="I579" s="42">
        <f t="shared" si="624"/>
        <v>8.8999999999999996E-2</v>
      </c>
      <c r="J579" s="42">
        <f t="shared" si="624"/>
        <v>0.84099999999999997</v>
      </c>
      <c r="K579" s="42">
        <f t="shared" si="624"/>
        <v>1.1890000000000001</v>
      </c>
      <c r="L579" s="42">
        <f>SUM(F579:K579)</f>
        <v>5.1509999999999998</v>
      </c>
      <c r="M579" s="42">
        <f>L579/6</f>
        <v>0.85899999999999999</v>
      </c>
      <c r="N579" s="42">
        <f t="shared" ref="N579:S579" si="625">N573+N572</f>
        <v>1.1890000000000001</v>
      </c>
      <c r="O579" s="42">
        <f t="shared" si="625"/>
        <v>1.1890000000000001</v>
      </c>
      <c r="P579" s="42">
        <f t="shared" si="625"/>
        <v>1.1890000000000001</v>
      </c>
      <c r="Q579" s="42">
        <f t="shared" si="625"/>
        <v>1.1890000000000001</v>
      </c>
      <c r="R579" s="42">
        <f t="shared" si="625"/>
        <v>1.1890000000000001</v>
      </c>
      <c r="S579" s="42">
        <f t="shared" si="625"/>
        <v>0</v>
      </c>
      <c r="T579" s="42">
        <f>SUM(N579:S579)</f>
        <v>5.9450000000000003</v>
      </c>
      <c r="U579" s="42">
        <f>T579+L579</f>
        <v>11.096</v>
      </c>
      <c r="V579" s="42">
        <f>V576</f>
        <v>11.096</v>
      </c>
      <c r="W579" s="42">
        <f>V579-U579</f>
        <v>0</v>
      </c>
    </row>
    <row r="580" spans="1:28" s="43" customFormat="1" ht="18" customHeight="1">
      <c r="A580" s="614"/>
      <c r="B580" s="576"/>
      <c r="C580" s="577"/>
      <c r="D580" s="202" t="str">
        <f>серпень!D503</f>
        <v xml:space="preserve">відхилення </v>
      </c>
      <c r="E580" s="42"/>
      <c r="F580" s="42">
        <f t="shared" ref="F580:K580" si="626">F576-F579</f>
        <v>-1.1890000000000001</v>
      </c>
      <c r="G580" s="42">
        <f t="shared" si="626"/>
        <v>0.71</v>
      </c>
      <c r="H580" s="42">
        <f t="shared" si="626"/>
        <v>-0.45800000000000002</v>
      </c>
      <c r="I580" s="42">
        <f t="shared" si="626"/>
        <v>0.65</v>
      </c>
      <c r="J580" s="42">
        <f t="shared" si="626"/>
        <v>-0.10199999999999999</v>
      </c>
      <c r="K580" s="42">
        <f t="shared" si="626"/>
        <v>-0.45500000000000002</v>
      </c>
      <c r="L580" s="42"/>
      <c r="M580" s="42"/>
      <c r="N580" s="42">
        <f t="shared" ref="N580:S580" si="627">N576-N579</f>
        <v>-0.45600000000000002</v>
      </c>
      <c r="O580" s="42">
        <f t="shared" si="627"/>
        <v>-0.45</v>
      </c>
      <c r="P580" s="42">
        <f t="shared" si="627"/>
        <v>0</v>
      </c>
      <c r="Q580" s="42">
        <f t="shared" si="627"/>
        <v>0</v>
      </c>
      <c r="R580" s="42">
        <f t="shared" si="627"/>
        <v>0</v>
      </c>
      <c r="S580" s="42">
        <f t="shared" si="627"/>
        <v>1.2170000000000001</v>
      </c>
      <c r="T580" s="42"/>
      <c r="U580" s="42"/>
      <c r="V580" s="42"/>
      <c r="W580" s="42"/>
    </row>
    <row r="581" spans="1:28" s="43" customFormat="1" ht="18" customHeight="1">
      <c r="A581" s="614"/>
      <c r="B581" s="576"/>
      <c r="C581" s="577"/>
      <c r="D581" s="202" t="str">
        <f>серпень!D504</f>
        <v>відхилення з наростаючим</v>
      </c>
      <c r="E581" s="42"/>
      <c r="F581" s="42">
        <f>F580</f>
        <v>-1.1890000000000001</v>
      </c>
      <c r="G581" s="42">
        <f>G580+F581</f>
        <v>-0.47899999999999998</v>
      </c>
      <c r="H581" s="42">
        <f>H580+G581</f>
        <v>-0.93700000000000006</v>
      </c>
      <c r="I581" s="42">
        <f>I580+H581</f>
        <v>-0.28699999999999998</v>
      </c>
      <c r="J581" s="42">
        <f>J580+I581</f>
        <v>-0.38900000000000001</v>
      </c>
      <c r="K581" s="42">
        <f>K580+J581</f>
        <v>-0.84399999999999997</v>
      </c>
      <c r="L581" s="42"/>
      <c r="M581" s="42"/>
      <c r="N581" s="42">
        <f>N580+K581</f>
        <v>-1.3</v>
      </c>
      <c r="O581" s="42">
        <f>O580+N581</f>
        <v>-1.75</v>
      </c>
      <c r="P581" s="42">
        <f>P580+O581</f>
        <v>-1.75</v>
      </c>
      <c r="Q581" s="42">
        <f>Q580+P581</f>
        <v>-1.75</v>
      </c>
      <c r="R581" s="42">
        <f>R580+Q581</f>
        <v>-1.75</v>
      </c>
      <c r="S581" s="42">
        <f>S580+R581</f>
        <v>-0.53300000000000003</v>
      </c>
      <c r="T581" s="42"/>
      <c r="U581" s="42"/>
      <c r="V581" s="42"/>
      <c r="W581" s="42"/>
    </row>
    <row r="582" spans="1:28" s="55" customFormat="1" ht="18" customHeight="1">
      <c r="A582" s="614"/>
      <c r="B582" s="654" t="s">
        <v>132</v>
      </c>
      <c r="C582" s="581"/>
      <c r="D582" s="178" t="str">
        <f>серпень!D505</f>
        <v>факт. нат.п-ки 2023</v>
      </c>
      <c r="E582" s="11"/>
      <c r="F582" s="12"/>
      <c r="G582" s="12"/>
      <c r="H582" s="12"/>
      <c r="I582" s="12"/>
      <c r="J582" s="12"/>
      <c r="K582" s="12"/>
      <c r="L582" s="65">
        <f>SUM(F582:K582)</f>
        <v>0</v>
      </c>
      <c r="M582" s="65">
        <f>L582/6</f>
        <v>0</v>
      </c>
      <c r="N582" s="11"/>
      <c r="O582" s="11"/>
      <c r="P582" s="11"/>
      <c r="Q582" s="11"/>
      <c r="R582" s="11"/>
      <c r="S582" s="11"/>
      <c r="T582" s="65">
        <f>SUM(N582:S582)</f>
        <v>0</v>
      </c>
      <c r="U582" s="65">
        <f>T582+L582</f>
        <v>0</v>
      </c>
      <c r="V582" s="46"/>
      <c r="W582" s="38"/>
      <c r="X582" s="47"/>
      <c r="Y582" s="48"/>
      <c r="Z582" s="48"/>
      <c r="AA582" s="48"/>
      <c r="AB582" s="48"/>
    </row>
    <row r="583" spans="1:28" s="48" customFormat="1" ht="18.649999999999999" customHeight="1">
      <c r="A583" s="614"/>
      <c r="B583" s="581"/>
      <c r="C583" s="581"/>
      <c r="D583" s="178" t="str">
        <f>серпень!D506</f>
        <v>факт. нат.п-ки 2024</v>
      </c>
      <c r="E583" s="11"/>
      <c r="F583" s="12"/>
      <c r="G583" s="12"/>
      <c r="H583" s="12"/>
      <c r="I583" s="12"/>
      <c r="J583" s="12"/>
      <c r="K583" s="12"/>
      <c r="L583" s="65">
        <f>SUM(F583:K583)</f>
        <v>0</v>
      </c>
      <c r="M583" s="65">
        <f>L583/6</f>
        <v>0</v>
      </c>
      <c r="N583" s="12"/>
      <c r="O583" s="12"/>
      <c r="P583" s="12"/>
      <c r="Q583" s="12"/>
      <c r="R583" s="12"/>
      <c r="S583" s="12"/>
      <c r="T583" s="65">
        <f>SUM(N583:S583)</f>
        <v>0</v>
      </c>
      <c r="U583" s="65">
        <f>T583+L583</f>
        <v>0</v>
      </c>
      <c r="V583" s="46"/>
      <c r="W583" s="38"/>
      <c r="X583" s="47"/>
    </row>
    <row r="584" spans="1:28" s="48" customFormat="1" ht="18" customHeight="1">
      <c r="A584" s="614"/>
      <c r="B584" s="581"/>
      <c r="C584" s="581"/>
      <c r="D584" s="178" t="str">
        <f>серпень!D507</f>
        <v>факт. нат.п-ки 2025</v>
      </c>
      <c r="E584" s="11"/>
      <c r="F584" s="12">
        <v>1</v>
      </c>
      <c r="G584" s="12">
        <v>1</v>
      </c>
      <c r="H584" s="12">
        <v>1</v>
      </c>
      <c r="I584" s="12">
        <v>1</v>
      </c>
      <c r="J584" s="12">
        <v>1</v>
      </c>
      <c r="K584" s="12">
        <v>1</v>
      </c>
      <c r="L584" s="65">
        <f>SUM(F584:K584)</f>
        <v>6</v>
      </c>
      <c r="M584" s="65">
        <f>L584/6</f>
        <v>1</v>
      </c>
      <c r="N584" s="12">
        <v>1</v>
      </c>
      <c r="O584" s="12">
        <v>1</v>
      </c>
      <c r="P584" s="12">
        <v>1</v>
      </c>
      <c r="Q584" s="12">
        <v>1</v>
      </c>
      <c r="R584" s="12">
        <v>1</v>
      </c>
      <c r="S584" s="12">
        <v>1</v>
      </c>
      <c r="T584" s="65">
        <f>SUM(N584:S584)</f>
        <v>6</v>
      </c>
      <c r="U584" s="65">
        <f>T584+L584</f>
        <v>12</v>
      </c>
      <c r="V584" s="11">
        <v>12</v>
      </c>
      <c r="W584" s="38">
        <f>V584-U584</f>
        <v>0</v>
      </c>
      <c r="X584" s="47"/>
    </row>
    <row r="585" spans="1:28" s="51" customFormat="1" ht="18" customHeight="1">
      <c r="A585" s="614"/>
      <c r="B585" s="581"/>
      <c r="C585" s="581"/>
      <c r="D585" s="187" t="str">
        <f>серпень!D508</f>
        <v>тариф, грн.</v>
      </c>
      <c r="E585" s="68" t="e">
        <f>E586/E584*1000</f>
        <v>#DIV/0!</v>
      </c>
      <c r="F585" s="68">
        <f>F586/F584*1000</f>
        <v>3</v>
      </c>
      <c r="G585" s="68">
        <v>2.1</v>
      </c>
      <c r="H585" s="68">
        <v>2.1</v>
      </c>
      <c r="I585" s="68">
        <v>2.1</v>
      </c>
      <c r="J585" s="68">
        <v>2.1</v>
      </c>
      <c r="K585" s="68">
        <v>2.1</v>
      </c>
      <c r="L585" s="68">
        <f>L586/L584*1000</f>
        <v>2.1669999999999998</v>
      </c>
      <c r="M585" s="68">
        <f>M586/M584*1000</f>
        <v>2</v>
      </c>
      <c r="N585" s="68">
        <v>2.1</v>
      </c>
      <c r="O585" s="68">
        <v>2.1</v>
      </c>
      <c r="P585" s="68">
        <v>2.1</v>
      </c>
      <c r="Q585" s="68">
        <v>2.1</v>
      </c>
      <c r="R585" s="68">
        <v>2.1</v>
      </c>
      <c r="S585" s="68">
        <v>2.1</v>
      </c>
      <c r="T585" s="68">
        <f>T586/T584*1000</f>
        <v>2</v>
      </c>
      <c r="U585" s="68">
        <f>U586/U584*1000</f>
        <v>2.0830000000000002</v>
      </c>
      <c r="V585" s="68">
        <f>V586/V584*1000</f>
        <v>2.0830000000000002</v>
      </c>
      <c r="W585" s="14" t="e">
        <f>W586/W584*1000</f>
        <v>#DIV/0!</v>
      </c>
      <c r="X585" s="59"/>
    </row>
    <row r="586" spans="1:28" s="130" customFormat="1" ht="18" customHeight="1">
      <c r="A586" s="614"/>
      <c r="B586" s="581"/>
      <c r="C586" s="581"/>
      <c r="D586" s="191" t="str">
        <f>серпень!D509</f>
        <v>сума, тис.грн.</v>
      </c>
      <c r="E586" s="52"/>
      <c r="F586" s="52">
        <v>3.0000000000000001E-3</v>
      </c>
      <c r="G586" s="52">
        <f t="shared" ref="G586:K586" si="628">G584*G585/1000</f>
        <v>2E-3</v>
      </c>
      <c r="H586" s="52">
        <f t="shared" si="628"/>
        <v>2E-3</v>
      </c>
      <c r="I586" s="52">
        <f t="shared" si="628"/>
        <v>2E-3</v>
      </c>
      <c r="J586" s="52">
        <f t="shared" si="628"/>
        <v>2E-3</v>
      </c>
      <c r="K586" s="52">
        <f t="shared" si="628"/>
        <v>2E-3</v>
      </c>
      <c r="L586" s="69">
        <f>SUM(F586:K586)</f>
        <v>1.2999999999999999E-2</v>
      </c>
      <c r="M586" s="69">
        <f>L586/6</f>
        <v>2E-3</v>
      </c>
      <c r="N586" s="52">
        <f>N584*N585/1000</f>
        <v>2E-3</v>
      </c>
      <c r="O586" s="52">
        <f t="shared" ref="O586" si="629">O584*O585/1000</f>
        <v>2E-3</v>
      </c>
      <c r="P586" s="52">
        <f t="shared" ref="P586" si="630">P584*P585/1000</f>
        <v>2E-3</v>
      </c>
      <c r="Q586" s="52">
        <f t="shared" ref="Q586" si="631">Q584*Q585/1000</f>
        <v>2E-3</v>
      </c>
      <c r="R586" s="52">
        <f t="shared" ref="R586" si="632">R584*R585/1000</f>
        <v>2E-3</v>
      </c>
      <c r="S586" s="52">
        <f>S584*S585/1000</f>
        <v>2E-3</v>
      </c>
      <c r="T586" s="69">
        <f>SUM(N586:S586)</f>
        <v>1.2E-2</v>
      </c>
      <c r="U586" s="69">
        <f>T586+L586</f>
        <v>2.5000000000000001E-2</v>
      </c>
      <c r="V586" s="70">
        <f>V587+V588</f>
        <v>2.5000000000000001E-2</v>
      </c>
      <c r="W586" s="53">
        <f>V586-U586</f>
        <v>0</v>
      </c>
    </row>
    <row r="587" spans="1:28" s="130" customFormat="1" ht="18" customHeight="1">
      <c r="A587" s="614"/>
      <c r="B587" s="581"/>
      <c r="C587" s="581"/>
      <c r="D587" s="174" t="str">
        <f>серпень!D510</f>
        <v>дотація</v>
      </c>
      <c r="E587" s="56"/>
      <c r="F587" s="52"/>
      <c r="G587" s="52"/>
      <c r="H587" s="52"/>
      <c r="I587" s="52"/>
      <c r="J587" s="52"/>
      <c r="K587" s="52"/>
      <c r="L587" s="69">
        <f>SUM(F587:K587)</f>
        <v>0</v>
      </c>
      <c r="M587" s="69">
        <f>L587/6</f>
        <v>0</v>
      </c>
      <c r="N587" s="52"/>
      <c r="O587" s="52"/>
      <c r="P587" s="52"/>
      <c r="Q587" s="52"/>
      <c r="R587" s="52"/>
      <c r="S587" s="52"/>
      <c r="T587" s="69">
        <f>SUM(N587:S587)</f>
        <v>0</v>
      </c>
      <c r="U587" s="69">
        <f>T587+L587</f>
        <v>0</v>
      </c>
      <c r="V587" s="70">
        <v>0</v>
      </c>
      <c r="W587" s="53">
        <f>V587-U587</f>
        <v>0</v>
      </c>
    </row>
    <row r="588" spans="1:28" s="130" customFormat="1" ht="18" customHeight="1">
      <c r="A588" s="614"/>
      <c r="B588" s="581"/>
      <c r="C588" s="581"/>
      <c r="D588" s="174" t="str">
        <f>серпень!D511</f>
        <v>місцевий (план), тис.грн</v>
      </c>
      <c r="E588" s="56"/>
      <c r="F588" s="52">
        <v>3.0000000000000001E-3</v>
      </c>
      <c r="G588" s="52">
        <v>2E-3</v>
      </c>
      <c r="H588" s="52">
        <v>2E-3</v>
      </c>
      <c r="I588" s="52">
        <v>2E-3</v>
      </c>
      <c r="J588" s="52">
        <v>2E-3</v>
      </c>
      <c r="K588" s="52">
        <v>2E-3</v>
      </c>
      <c r="L588" s="69">
        <f>SUM(F588:K588)</f>
        <v>1.2999999999999999E-2</v>
      </c>
      <c r="M588" s="69">
        <f>L588/6</f>
        <v>2E-3</v>
      </c>
      <c r="N588" s="52">
        <v>2E-3</v>
      </c>
      <c r="O588" s="52">
        <v>2E-3</v>
      </c>
      <c r="P588" s="52">
        <v>2E-3</v>
      </c>
      <c r="Q588" s="52">
        <v>2E-3</v>
      </c>
      <c r="R588" s="52">
        <v>2E-3</v>
      </c>
      <c r="S588" s="52">
        <v>2E-3</v>
      </c>
      <c r="T588" s="69">
        <f>SUM(N588:S588)</f>
        <v>1.2E-2</v>
      </c>
      <c r="U588" s="69">
        <f>T588+L588</f>
        <v>2.5000000000000001E-2</v>
      </c>
      <c r="V588" s="70">
        <v>2.5000000000000001E-2</v>
      </c>
      <c r="W588" s="53">
        <f>V588-U588</f>
        <v>0</v>
      </c>
    </row>
    <row r="589" spans="1:28" s="48" customFormat="1" ht="18" customHeight="1">
      <c r="A589" s="614"/>
      <c r="B589" s="581"/>
      <c r="C589" s="581"/>
      <c r="D589" s="178" t="str">
        <f>серпень!D512</f>
        <v>касові нат.п-ки 2025</v>
      </c>
      <c r="E589" s="11"/>
      <c r="F589" s="12">
        <v>0</v>
      </c>
      <c r="G589" s="12">
        <v>2</v>
      </c>
      <c r="H589" s="12">
        <v>1</v>
      </c>
      <c r="I589" s="12">
        <v>1</v>
      </c>
      <c r="J589" s="12">
        <v>1</v>
      </c>
      <c r="K589" s="12">
        <v>1</v>
      </c>
      <c r="L589" s="65">
        <f>SUM(F589:K589)</f>
        <v>6</v>
      </c>
      <c r="M589" s="65">
        <f>L589/6</f>
        <v>1</v>
      </c>
      <c r="N589" s="12">
        <v>1</v>
      </c>
      <c r="O589" s="12">
        <v>1</v>
      </c>
      <c r="P589" s="12">
        <v>1</v>
      </c>
      <c r="Q589" s="12">
        <v>1</v>
      </c>
      <c r="R589" s="12">
        <v>1</v>
      </c>
      <c r="S589" s="12">
        <v>1</v>
      </c>
      <c r="T589" s="65">
        <f>SUM(N589:S589)</f>
        <v>6</v>
      </c>
      <c r="U589" s="65">
        <f>T589+L589</f>
        <v>12</v>
      </c>
      <c r="V589" s="11">
        <f>V584</f>
        <v>12</v>
      </c>
      <c r="W589" s="38">
        <f>V589-U589</f>
        <v>0</v>
      </c>
      <c r="X589" s="47">
        <f>U584-U589</f>
        <v>0</v>
      </c>
    </row>
    <row r="590" spans="1:28" s="51" customFormat="1" ht="18" customHeight="1">
      <c r="A590" s="614"/>
      <c r="B590" s="581"/>
      <c r="C590" s="581"/>
      <c r="D590" s="187" t="str">
        <f>серпень!D513</f>
        <v>тариф, грн.</v>
      </c>
      <c r="E590" s="49" t="e">
        <f t="shared" ref="E590:G590" si="633">E591/E589*1000</f>
        <v>#DIV/0!</v>
      </c>
      <c r="F590" s="49" t="e">
        <f t="shared" si="633"/>
        <v>#DIV/0!</v>
      </c>
      <c r="G590" s="49">
        <f t="shared" si="633"/>
        <v>2.5</v>
      </c>
      <c r="H590" s="68">
        <v>2.1</v>
      </c>
      <c r="I590" s="68">
        <v>2.1</v>
      </c>
      <c r="J590" s="68">
        <v>2.1</v>
      </c>
      <c r="K590" s="68">
        <v>2.1</v>
      </c>
      <c r="L590" s="68">
        <f>L591/L589*1000</f>
        <v>2.1669999999999998</v>
      </c>
      <c r="M590" s="68">
        <f>M591/M589*1000</f>
        <v>2</v>
      </c>
      <c r="N590" s="68">
        <v>2.1</v>
      </c>
      <c r="O590" s="68">
        <v>2.1</v>
      </c>
      <c r="P590" s="68">
        <v>2.1</v>
      </c>
      <c r="Q590" s="68">
        <v>2.1</v>
      </c>
      <c r="R590" s="68">
        <v>2.1</v>
      </c>
      <c r="S590" s="68">
        <v>2.1</v>
      </c>
      <c r="T590" s="68">
        <f>T591/T589*1000</f>
        <v>2</v>
      </c>
      <c r="U590" s="68">
        <f>U591/U589*1000</f>
        <v>2.0830000000000002</v>
      </c>
      <c r="V590" s="68">
        <f>V591/V589*1000</f>
        <v>2.0830000000000002</v>
      </c>
      <c r="W590" s="14" t="e">
        <f>W591/W589*1000</f>
        <v>#DIV/0!</v>
      </c>
      <c r="X590" s="59"/>
    </row>
    <row r="591" spans="1:28" s="126" customFormat="1" ht="18" customHeight="1">
      <c r="A591" s="614"/>
      <c r="B591" s="581"/>
      <c r="C591" s="581"/>
      <c r="D591" s="198" t="str">
        <f>серпень!D514</f>
        <v>касові видатки, тис.грн.</v>
      </c>
      <c r="E591" s="71"/>
      <c r="F591" s="61">
        <v>0</v>
      </c>
      <c r="G591" s="61">
        <f>0.003+0.002</f>
        <v>5.0000000000000001E-3</v>
      </c>
      <c r="H591" s="61">
        <f t="shared" ref="H591:K591" si="634">H589*H590/1000</f>
        <v>2E-3</v>
      </c>
      <c r="I591" s="61">
        <f t="shared" si="634"/>
        <v>2E-3</v>
      </c>
      <c r="J591" s="61">
        <f t="shared" si="634"/>
        <v>2E-3</v>
      </c>
      <c r="K591" s="61">
        <f t="shared" si="634"/>
        <v>2E-3</v>
      </c>
      <c r="L591" s="61">
        <f>SUM(F591:K591)</f>
        <v>1.2999999999999999E-2</v>
      </c>
      <c r="M591" s="61">
        <f>L591/6</f>
        <v>2E-3</v>
      </c>
      <c r="N591" s="61">
        <f>N589*N590/1000</f>
        <v>2E-3</v>
      </c>
      <c r="O591" s="61">
        <f t="shared" ref="O591" si="635">O589*O590/1000</f>
        <v>2E-3</v>
      </c>
      <c r="P591" s="61">
        <f t="shared" ref="P591" si="636">P589*P590/1000</f>
        <v>2E-3</v>
      </c>
      <c r="Q591" s="61">
        <f t="shared" ref="Q591" si="637">Q589*Q590/1000</f>
        <v>2E-3</v>
      </c>
      <c r="R591" s="61">
        <f t="shared" ref="R591" si="638">R589*R590/1000</f>
        <v>2E-3</v>
      </c>
      <c r="S591" s="61">
        <f>S589*S590/1000</f>
        <v>2E-3</v>
      </c>
      <c r="T591" s="61">
        <f>SUM(N591:S591)</f>
        <v>1.2E-2</v>
      </c>
      <c r="U591" s="61">
        <f>T591+L591</f>
        <v>2.5000000000000001E-2</v>
      </c>
      <c r="V591" s="61">
        <f>V586</f>
        <v>2.5000000000000001E-2</v>
      </c>
      <c r="W591" s="72">
        <f>V591-U591</f>
        <v>0</v>
      </c>
      <c r="X591" s="63">
        <f>U586-U591</f>
        <v>0</v>
      </c>
    </row>
    <row r="592" spans="1:28" s="126" customFormat="1" ht="18" customHeight="1">
      <c r="A592" s="614"/>
      <c r="B592" s="581"/>
      <c r="C592" s="581"/>
      <c r="D592" s="201" t="str">
        <f>серпень!D515</f>
        <v>дотація</v>
      </c>
      <c r="E592" s="71"/>
      <c r="F592" s="61">
        <v>0</v>
      </c>
      <c r="G592" s="61">
        <v>0</v>
      </c>
      <c r="H592" s="61">
        <v>0</v>
      </c>
      <c r="I592" s="61">
        <v>0</v>
      </c>
      <c r="J592" s="61">
        <v>0</v>
      </c>
      <c r="K592" s="61">
        <v>0</v>
      </c>
      <c r="L592" s="61">
        <f>SUM(F592:K592)</f>
        <v>0</v>
      </c>
      <c r="M592" s="61">
        <f>L592/6</f>
        <v>0</v>
      </c>
      <c r="N592" s="61">
        <v>0</v>
      </c>
      <c r="O592" s="61">
        <v>0</v>
      </c>
      <c r="P592" s="61">
        <v>0</v>
      </c>
      <c r="Q592" s="61">
        <v>0</v>
      </c>
      <c r="R592" s="61">
        <v>0</v>
      </c>
      <c r="S592" s="61">
        <v>0</v>
      </c>
      <c r="T592" s="61">
        <f>SUM(N592:S592)</f>
        <v>0</v>
      </c>
      <c r="U592" s="61">
        <f>T592+L592</f>
        <v>0</v>
      </c>
      <c r="V592" s="61">
        <f>V587</f>
        <v>0</v>
      </c>
      <c r="W592" s="72">
        <f>V592-U592</f>
        <v>0</v>
      </c>
      <c r="X592" s="63">
        <f>U587-U592</f>
        <v>0</v>
      </c>
    </row>
    <row r="593" spans="1:28" s="126" customFormat="1" ht="18" customHeight="1">
      <c r="A593" s="614"/>
      <c r="B593" s="581"/>
      <c r="C593" s="581"/>
      <c r="D593" s="201" t="str">
        <f>серпень!D516</f>
        <v xml:space="preserve">місцевий </v>
      </c>
      <c r="E593" s="71"/>
      <c r="F593" s="61">
        <f t="shared" ref="F593:K593" si="639">F591-F592</f>
        <v>0</v>
      </c>
      <c r="G593" s="61">
        <f t="shared" si="639"/>
        <v>5.0000000000000001E-3</v>
      </c>
      <c r="H593" s="61">
        <f t="shared" si="639"/>
        <v>2E-3</v>
      </c>
      <c r="I593" s="61">
        <f t="shared" si="639"/>
        <v>2E-3</v>
      </c>
      <c r="J593" s="61">
        <f t="shared" si="639"/>
        <v>2E-3</v>
      </c>
      <c r="K593" s="61">
        <f t="shared" si="639"/>
        <v>2E-3</v>
      </c>
      <c r="L593" s="61">
        <f>SUM(F593:K593)</f>
        <v>1.2999999999999999E-2</v>
      </c>
      <c r="M593" s="61">
        <f>L593/6</f>
        <v>2E-3</v>
      </c>
      <c r="N593" s="61">
        <f t="shared" ref="N593:S593" si="640">N591-N592</f>
        <v>2E-3</v>
      </c>
      <c r="O593" s="61">
        <f t="shared" si="640"/>
        <v>2E-3</v>
      </c>
      <c r="P593" s="61">
        <f t="shared" si="640"/>
        <v>2E-3</v>
      </c>
      <c r="Q593" s="61">
        <f t="shared" si="640"/>
        <v>2E-3</v>
      </c>
      <c r="R593" s="61">
        <f t="shared" si="640"/>
        <v>2E-3</v>
      </c>
      <c r="S593" s="61">
        <f t="shared" si="640"/>
        <v>2E-3</v>
      </c>
      <c r="T593" s="61">
        <f>SUM(N593:S593)</f>
        <v>1.2E-2</v>
      </c>
      <c r="U593" s="61">
        <f>T593+L593</f>
        <v>2.5000000000000001E-2</v>
      </c>
      <c r="V593" s="61">
        <f>V588</f>
        <v>2.5000000000000001E-2</v>
      </c>
      <c r="W593" s="72">
        <f>V593-U593</f>
        <v>0</v>
      </c>
      <c r="X593" s="63">
        <f>U588-U593</f>
        <v>0</v>
      </c>
    </row>
    <row r="594" spans="1:28" s="43" customFormat="1" ht="18" customHeight="1">
      <c r="A594" s="614"/>
      <c r="B594" s="581"/>
      <c r="C594" s="581"/>
      <c r="D594" s="202" t="str">
        <f>серпень!D517</f>
        <v>план</v>
      </c>
      <c r="E594" s="42"/>
      <c r="F594" s="42">
        <f t="shared" ref="F594:K594" si="641">F588</f>
        <v>3.0000000000000001E-3</v>
      </c>
      <c r="G594" s="42">
        <f t="shared" si="641"/>
        <v>2E-3</v>
      </c>
      <c r="H594" s="42">
        <f t="shared" si="641"/>
        <v>2E-3</v>
      </c>
      <c r="I594" s="42">
        <f t="shared" si="641"/>
        <v>2E-3</v>
      </c>
      <c r="J594" s="42">
        <f t="shared" si="641"/>
        <v>2E-3</v>
      </c>
      <c r="K594" s="42">
        <f t="shared" si="641"/>
        <v>2E-3</v>
      </c>
      <c r="L594" s="42">
        <f>SUM(F594:K594)</f>
        <v>1.2999999999999999E-2</v>
      </c>
      <c r="M594" s="42">
        <f>L594/6</f>
        <v>2E-3</v>
      </c>
      <c r="N594" s="42">
        <f t="shared" ref="N594:S594" si="642">N588+N587</f>
        <v>2E-3</v>
      </c>
      <c r="O594" s="42">
        <f t="shared" si="642"/>
        <v>2E-3</v>
      </c>
      <c r="P594" s="42">
        <f t="shared" si="642"/>
        <v>2E-3</v>
      </c>
      <c r="Q594" s="42">
        <f t="shared" si="642"/>
        <v>2E-3</v>
      </c>
      <c r="R594" s="42">
        <f t="shared" si="642"/>
        <v>2E-3</v>
      </c>
      <c r="S594" s="42">
        <f t="shared" si="642"/>
        <v>2E-3</v>
      </c>
      <c r="T594" s="42">
        <f>SUM(N594:S594)</f>
        <v>1.2E-2</v>
      </c>
      <c r="U594" s="42">
        <f>T594+L594</f>
        <v>2.5000000000000001E-2</v>
      </c>
      <c r="V594" s="42">
        <f>V591</f>
        <v>2.5000000000000001E-2</v>
      </c>
      <c r="W594" s="42">
        <f>V594-U594</f>
        <v>0</v>
      </c>
    </row>
    <row r="595" spans="1:28" s="43" customFormat="1" ht="18" customHeight="1">
      <c r="A595" s="614"/>
      <c r="B595" s="581"/>
      <c r="C595" s="581"/>
      <c r="D595" s="202" t="str">
        <f>серпень!D518</f>
        <v xml:space="preserve">відхилення </v>
      </c>
      <c r="E595" s="42"/>
      <c r="F595" s="42">
        <f t="shared" ref="F595:K595" si="643">F591-F594</f>
        <v>-3.0000000000000001E-3</v>
      </c>
      <c r="G595" s="42">
        <f t="shared" si="643"/>
        <v>3.0000000000000001E-3</v>
      </c>
      <c r="H595" s="42">
        <f t="shared" si="643"/>
        <v>0</v>
      </c>
      <c r="I595" s="42">
        <f t="shared" si="643"/>
        <v>0</v>
      </c>
      <c r="J595" s="42">
        <f t="shared" si="643"/>
        <v>0</v>
      </c>
      <c r="K595" s="42">
        <f t="shared" si="643"/>
        <v>0</v>
      </c>
      <c r="L595" s="42"/>
      <c r="M595" s="42"/>
      <c r="N595" s="42">
        <f t="shared" ref="N595:S595" si="644">N591-N594</f>
        <v>0</v>
      </c>
      <c r="O595" s="42">
        <f t="shared" si="644"/>
        <v>0</v>
      </c>
      <c r="P595" s="42">
        <f t="shared" si="644"/>
        <v>0</v>
      </c>
      <c r="Q595" s="42">
        <f t="shared" si="644"/>
        <v>0</v>
      </c>
      <c r="R595" s="42">
        <f t="shared" si="644"/>
        <v>0</v>
      </c>
      <c r="S595" s="42">
        <f t="shared" si="644"/>
        <v>0</v>
      </c>
      <c r="T595" s="42"/>
      <c r="U595" s="42"/>
      <c r="V595" s="42"/>
      <c r="W595" s="42"/>
    </row>
    <row r="596" spans="1:28" s="43" customFormat="1" ht="18" customHeight="1">
      <c r="A596" s="614"/>
      <c r="B596" s="581"/>
      <c r="C596" s="581"/>
      <c r="D596" s="202" t="str">
        <f>серпень!D519</f>
        <v>відхилення з наростаючим</v>
      </c>
      <c r="E596" s="42"/>
      <c r="F596" s="42">
        <f>F595</f>
        <v>-3.0000000000000001E-3</v>
      </c>
      <c r="G596" s="42">
        <f>G595+F596</f>
        <v>0</v>
      </c>
      <c r="H596" s="42">
        <f>H595+G596</f>
        <v>0</v>
      </c>
      <c r="I596" s="42">
        <f>I595+H596</f>
        <v>0</v>
      </c>
      <c r="J596" s="42">
        <f>J595+I596</f>
        <v>0</v>
      </c>
      <c r="K596" s="42">
        <f>K595+J596</f>
        <v>0</v>
      </c>
      <c r="L596" s="42"/>
      <c r="M596" s="42"/>
      <c r="N596" s="42">
        <f>N595+K596</f>
        <v>0</v>
      </c>
      <c r="O596" s="42">
        <f>O595+N596</f>
        <v>0</v>
      </c>
      <c r="P596" s="42">
        <f>P595+O596</f>
        <v>0</v>
      </c>
      <c r="Q596" s="42">
        <f>Q595+P596</f>
        <v>0</v>
      </c>
      <c r="R596" s="42">
        <f>R595+Q596</f>
        <v>0</v>
      </c>
      <c r="S596" s="42">
        <f>S595+R596</f>
        <v>0</v>
      </c>
      <c r="T596" s="42"/>
      <c r="U596" s="42"/>
      <c r="V596" s="42"/>
      <c r="W596" s="42"/>
    </row>
    <row r="597" spans="1:28" s="55" customFormat="1" ht="18" hidden="1" customHeight="1">
      <c r="A597" s="614"/>
      <c r="B597" s="581" t="s">
        <v>64</v>
      </c>
      <c r="C597" s="581"/>
      <c r="D597" s="178" t="str">
        <f>серпень!D520</f>
        <v>факт. нат.п-ки 2023</v>
      </c>
      <c r="E597" s="11"/>
      <c r="F597" s="12"/>
      <c r="G597" s="12"/>
      <c r="H597" s="12"/>
      <c r="I597" s="12"/>
      <c r="J597" s="12"/>
      <c r="K597" s="12"/>
      <c r="L597" s="65">
        <f>SUM(F597:K597)</f>
        <v>0</v>
      </c>
      <c r="M597" s="65">
        <f>L597/6</f>
        <v>0</v>
      </c>
      <c r="N597" s="12"/>
      <c r="O597" s="12"/>
      <c r="P597" s="12"/>
      <c r="Q597" s="12"/>
      <c r="R597" s="12"/>
      <c r="S597" s="12"/>
      <c r="T597" s="65">
        <f>SUM(N597:S597)</f>
        <v>0</v>
      </c>
      <c r="U597" s="65">
        <f>T597+L597</f>
        <v>0</v>
      </c>
      <c r="V597" s="67"/>
      <c r="W597" s="38"/>
      <c r="X597" s="47"/>
      <c r="Y597" s="48"/>
      <c r="Z597" s="48"/>
      <c r="AA597" s="48"/>
      <c r="AB597" s="48"/>
    </row>
    <row r="598" spans="1:28" s="48" customFormat="1" ht="18" hidden="1" customHeight="1">
      <c r="A598" s="614"/>
      <c r="B598" s="581"/>
      <c r="C598" s="581"/>
      <c r="D598" s="178" t="str">
        <f>серпень!D521</f>
        <v>факт. нат.п-ки 2024</v>
      </c>
      <c r="E598" s="11"/>
      <c r="F598" s="12"/>
      <c r="G598" s="12"/>
      <c r="H598" s="12"/>
      <c r="I598" s="12"/>
      <c r="J598" s="12"/>
      <c r="K598" s="12"/>
      <c r="L598" s="65">
        <f>SUM(F598:K598)</f>
        <v>0</v>
      </c>
      <c r="M598" s="65">
        <f>L598/6</f>
        <v>0</v>
      </c>
      <c r="N598" s="11"/>
      <c r="O598" s="11"/>
      <c r="P598" s="11"/>
      <c r="Q598" s="11"/>
      <c r="R598" s="11"/>
      <c r="S598" s="11"/>
      <c r="T598" s="65">
        <f>SUM(N598:S598)</f>
        <v>0</v>
      </c>
      <c r="U598" s="65">
        <f>T598+L598</f>
        <v>0</v>
      </c>
      <c r="V598" s="67"/>
      <c r="W598" s="38"/>
      <c r="X598" s="47"/>
    </row>
    <row r="599" spans="1:28" s="48" customFormat="1" ht="18" hidden="1" customHeight="1">
      <c r="A599" s="614"/>
      <c r="B599" s="581"/>
      <c r="C599" s="581"/>
      <c r="D599" s="178" t="str">
        <f>серпень!D522</f>
        <v>факт. нат.п-ки 2025</v>
      </c>
      <c r="E599" s="11"/>
      <c r="F599" s="12"/>
      <c r="G599" s="12"/>
      <c r="H599" s="12"/>
      <c r="I599" s="12"/>
      <c r="J599" s="12"/>
      <c r="K599" s="12"/>
      <c r="L599" s="65">
        <f>SUM(F599:K599)</f>
        <v>0</v>
      </c>
      <c r="M599" s="65">
        <f>L599/6</f>
        <v>0</v>
      </c>
      <c r="N599" s="12"/>
      <c r="O599" s="12"/>
      <c r="P599" s="12"/>
      <c r="Q599" s="12"/>
      <c r="R599" s="12"/>
      <c r="S599" s="11"/>
      <c r="T599" s="65">
        <f>SUM(N599:S599)</f>
        <v>0</v>
      </c>
      <c r="U599" s="65">
        <f>T599+L599</f>
        <v>0</v>
      </c>
      <c r="V599" s="11"/>
      <c r="W599" s="38">
        <f>V599-U599</f>
        <v>0</v>
      </c>
      <c r="X599" s="47"/>
    </row>
    <row r="600" spans="1:28" s="51" customFormat="1" ht="18" hidden="1" customHeight="1">
      <c r="A600" s="614"/>
      <c r="B600" s="581"/>
      <c r="C600" s="581"/>
      <c r="D600" s="187" t="str">
        <f>серпень!D523</f>
        <v>тариф, грн.</v>
      </c>
      <c r="E600" s="49"/>
      <c r="F600" s="49">
        <v>206.86</v>
      </c>
      <c r="G600" s="49">
        <v>206.86</v>
      </c>
      <c r="H600" s="49">
        <v>206.86</v>
      </c>
      <c r="I600" s="49">
        <v>206.86</v>
      </c>
      <c r="J600" s="49">
        <v>206.86</v>
      </c>
      <c r="K600" s="49">
        <v>206.86</v>
      </c>
      <c r="L600" s="68" t="e">
        <f>L601/L599*1000</f>
        <v>#DIV/0!</v>
      </c>
      <c r="M600" s="68" t="e">
        <f>M601/M599*1000</f>
        <v>#DIV/0!</v>
      </c>
      <c r="N600" s="49">
        <v>206.86</v>
      </c>
      <c r="O600" s="49">
        <v>206.86</v>
      </c>
      <c r="P600" s="49">
        <v>206.86</v>
      </c>
      <c r="Q600" s="49">
        <v>206.86</v>
      </c>
      <c r="R600" s="49">
        <v>206.86</v>
      </c>
      <c r="S600" s="49">
        <v>206.86</v>
      </c>
      <c r="T600" s="68" t="e">
        <f>T601/T599*1000</f>
        <v>#DIV/0!</v>
      </c>
      <c r="U600" s="68" t="e">
        <f>U601/U599*1000</f>
        <v>#DIV/0!</v>
      </c>
      <c r="V600" s="68" t="e">
        <f>V601/V599*1000</f>
        <v>#DIV/0!</v>
      </c>
      <c r="W600" s="14" t="e">
        <f>W601/W599*1000</f>
        <v>#DIV/0!</v>
      </c>
      <c r="X600" s="59"/>
    </row>
    <row r="601" spans="1:28" s="130" customFormat="1" ht="18" hidden="1" customHeight="1">
      <c r="A601" s="614"/>
      <c r="B601" s="581"/>
      <c r="C601" s="581"/>
      <c r="D601" s="191" t="str">
        <f>серпень!D524</f>
        <v>сума, тис.грн.</v>
      </c>
      <c r="E601" s="52"/>
      <c r="F601" s="52">
        <f t="shared" ref="F601:K601" si="645">F599*F600/1000</f>
        <v>0</v>
      </c>
      <c r="G601" s="52">
        <f t="shared" si="645"/>
        <v>0</v>
      </c>
      <c r="H601" s="52">
        <f t="shared" si="645"/>
        <v>0</v>
      </c>
      <c r="I601" s="52">
        <f t="shared" si="645"/>
        <v>0</v>
      </c>
      <c r="J601" s="52">
        <f t="shared" si="645"/>
        <v>0</v>
      </c>
      <c r="K601" s="52">
        <f t="shared" si="645"/>
        <v>0</v>
      </c>
      <c r="L601" s="69">
        <f>SUM(F601:K601)</f>
        <v>0</v>
      </c>
      <c r="M601" s="69">
        <f>L601/6</f>
        <v>0</v>
      </c>
      <c r="N601" s="52">
        <f t="shared" ref="N601:S601" si="646">N599*N600/1000</f>
        <v>0</v>
      </c>
      <c r="O601" s="52">
        <f t="shared" si="646"/>
        <v>0</v>
      </c>
      <c r="P601" s="52">
        <f t="shared" si="646"/>
        <v>0</v>
      </c>
      <c r="Q601" s="52">
        <f t="shared" si="646"/>
        <v>0</v>
      </c>
      <c r="R601" s="52">
        <f t="shared" si="646"/>
        <v>0</v>
      </c>
      <c r="S601" s="52">
        <f t="shared" si="646"/>
        <v>0</v>
      </c>
      <c r="T601" s="69">
        <f>SUM(N601:S601)</f>
        <v>0</v>
      </c>
      <c r="U601" s="69">
        <f>T601+L601</f>
        <v>0</v>
      </c>
      <c r="V601" s="70">
        <f>V602+V603</f>
        <v>0</v>
      </c>
      <c r="W601" s="53">
        <f>V601-U601</f>
        <v>0</v>
      </c>
    </row>
    <row r="602" spans="1:28" s="130" customFormat="1" ht="18" hidden="1" customHeight="1">
      <c r="A602" s="614"/>
      <c r="B602" s="581"/>
      <c r="C602" s="581"/>
      <c r="D602" s="174" t="str">
        <f>серпень!D525</f>
        <v>дотація</v>
      </c>
      <c r="E602" s="56"/>
      <c r="F602" s="52"/>
      <c r="G602" s="52"/>
      <c r="H602" s="52"/>
      <c r="I602" s="52"/>
      <c r="J602" s="52"/>
      <c r="K602" s="52"/>
      <c r="L602" s="69">
        <f>SUM(F602:K602)</f>
        <v>0</v>
      </c>
      <c r="M602" s="69">
        <f>L602/6</f>
        <v>0</v>
      </c>
      <c r="N602" s="52"/>
      <c r="O602" s="52"/>
      <c r="P602" s="52"/>
      <c r="Q602" s="52"/>
      <c r="R602" s="52"/>
      <c r="S602" s="52"/>
      <c r="T602" s="69">
        <f>SUM(N602:S602)</f>
        <v>0</v>
      </c>
      <c r="U602" s="69">
        <f>T602+L602</f>
        <v>0</v>
      </c>
      <c r="V602" s="70">
        <v>0</v>
      </c>
      <c r="W602" s="53">
        <f>V602-U602</f>
        <v>0</v>
      </c>
    </row>
    <row r="603" spans="1:28" s="130" customFormat="1" ht="18" hidden="1" customHeight="1">
      <c r="A603" s="614"/>
      <c r="B603" s="581"/>
      <c r="C603" s="581"/>
      <c r="D603" s="174" t="str">
        <f>серпень!D526</f>
        <v>місцевий (план), тис.грн</v>
      </c>
      <c r="E603" s="56"/>
      <c r="F603" s="52"/>
      <c r="G603" s="52"/>
      <c r="H603" s="52"/>
      <c r="I603" s="52"/>
      <c r="J603" s="52"/>
      <c r="K603" s="52"/>
      <c r="L603" s="69">
        <f>SUM(F603:K603)</f>
        <v>0</v>
      </c>
      <c r="M603" s="69">
        <f>L603/6</f>
        <v>0</v>
      </c>
      <c r="N603" s="52"/>
      <c r="O603" s="52"/>
      <c r="P603" s="52"/>
      <c r="Q603" s="52"/>
      <c r="R603" s="52"/>
      <c r="S603" s="52"/>
      <c r="T603" s="69">
        <f>SUM(N603:S603)</f>
        <v>0</v>
      </c>
      <c r="U603" s="69">
        <f>T603+L603</f>
        <v>0</v>
      </c>
      <c r="V603" s="70"/>
      <c r="W603" s="53">
        <f>V603-U603</f>
        <v>0</v>
      </c>
    </row>
    <row r="604" spans="1:28" s="48" customFormat="1" ht="18" hidden="1" customHeight="1">
      <c r="A604" s="614"/>
      <c r="B604" s="581"/>
      <c r="C604" s="581"/>
      <c r="D604" s="178" t="str">
        <f>серпень!D527</f>
        <v>касові нат.п-ки 2025</v>
      </c>
      <c r="E604" s="11"/>
      <c r="F604" s="11"/>
      <c r="G604" s="11"/>
      <c r="H604" s="11"/>
      <c r="I604" s="11"/>
      <c r="J604" s="11"/>
      <c r="K604" s="11"/>
      <c r="L604" s="65">
        <f>SUM(F604:K604)</f>
        <v>0</v>
      </c>
      <c r="M604" s="65">
        <f>L604/6</f>
        <v>0</v>
      </c>
      <c r="N604" s="11"/>
      <c r="O604" s="11"/>
      <c r="P604" s="11"/>
      <c r="Q604" s="11"/>
      <c r="R604" s="11"/>
      <c r="S604" s="11"/>
      <c r="T604" s="65">
        <f>SUM(N604:S604)</f>
        <v>0</v>
      </c>
      <c r="U604" s="65">
        <f>T604+L604</f>
        <v>0</v>
      </c>
      <c r="V604" s="11">
        <f>V599</f>
        <v>0</v>
      </c>
      <c r="W604" s="38">
        <f>V604-U604</f>
        <v>0</v>
      </c>
      <c r="X604" s="47">
        <f>U599-U604</f>
        <v>0</v>
      </c>
    </row>
    <row r="605" spans="1:28" s="51" customFormat="1" ht="18" hidden="1" customHeight="1">
      <c r="A605" s="614"/>
      <c r="B605" s="581"/>
      <c r="C605" s="581"/>
      <c r="D605" s="187" t="str">
        <f>серпень!D528</f>
        <v>тариф, грн.</v>
      </c>
      <c r="E605" s="49" t="e">
        <f>E606/E604*1000</f>
        <v>#DIV/0!</v>
      </c>
      <c r="F605" s="49">
        <v>206.86</v>
      </c>
      <c r="G605" s="49">
        <v>206.86</v>
      </c>
      <c r="H605" s="49">
        <v>206.86</v>
      </c>
      <c r="I605" s="49">
        <v>206.86</v>
      </c>
      <c r="J605" s="49">
        <v>206.86</v>
      </c>
      <c r="K605" s="49">
        <v>206.86</v>
      </c>
      <c r="L605" s="68" t="e">
        <f>L606/L604*1000</f>
        <v>#DIV/0!</v>
      </c>
      <c r="M605" s="68" t="e">
        <f>M606/M604*1000</f>
        <v>#DIV/0!</v>
      </c>
      <c r="N605" s="49">
        <v>206.86</v>
      </c>
      <c r="O605" s="49">
        <v>206.86</v>
      </c>
      <c r="P605" s="49">
        <v>206.86</v>
      </c>
      <c r="Q605" s="49">
        <v>206.86</v>
      </c>
      <c r="R605" s="49">
        <v>206.86</v>
      </c>
      <c r="S605" s="49">
        <v>206.86</v>
      </c>
      <c r="T605" s="68" t="e">
        <f>T606/T604*1000</f>
        <v>#DIV/0!</v>
      </c>
      <c r="U605" s="68" t="e">
        <f>U606/U604*1000</f>
        <v>#DIV/0!</v>
      </c>
      <c r="V605" s="68" t="e">
        <f>V606/V604*1000</f>
        <v>#DIV/0!</v>
      </c>
      <c r="W605" s="14" t="e">
        <f>W606/W604*1000</f>
        <v>#DIV/0!</v>
      </c>
      <c r="X605" s="59"/>
    </row>
    <row r="606" spans="1:28" s="126" customFormat="1" ht="18" hidden="1" customHeight="1">
      <c r="A606" s="614"/>
      <c r="B606" s="581"/>
      <c r="C606" s="581"/>
      <c r="D606" s="198" t="str">
        <f>серпень!D529</f>
        <v>касові видатки, тис.грн.</v>
      </c>
      <c r="E606" s="71"/>
      <c r="F606" s="61">
        <f t="shared" ref="F606:K606" si="647">F604*F605/1000</f>
        <v>0</v>
      </c>
      <c r="G606" s="61">
        <f t="shared" si="647"/>
        <v>0</v>
      </c>
      <c r="H606" s="61">
        <f t="shared" si="647"/>
        <v>0</v>
      </c>
      <c r="I606" s="61">
        <f t="shared" si="647"/>
        <v>0</v>
      </c>
      <c r="J606" s="61">
        <f t="shared" si="647"/>
        <v>0</v>
      </c>
      <c r="K606" s="61">
        <f t="shared" si="647"/>
        <v>0</v>
      </c>
      <c r="L606" s="61">
        <f>SUM(F606:K606)</f>
        <v>0</v>
      </c>
      <c r="M606" s="61">
        <f>L606/6</f>
        <v>0</v>
      </c>
      <c r="N606" s="61">
        <f t="shared" ref="N606:S606" si="648">N604*N605/1000</f>
        <v>0</v>
      </c>
      <c r="O606" s="61">
        <f t="shared" si="648"/>
        <v>0</v>
      </c>
      <c r="P606" s="61">
        <f t="shared" si="648"/>
        <v>0</v>
      </c>
      <c r="Q606" s="61">
        <f t="shared" si="648"/>
        <v>0</v>
      </c>
      <c r="R606" s="61">
        <f t="shared" si="648"/>
        <v>0</v>
      </c>
      <c r="S606" s="61">
        <f t="shared" si="648"/>
        <v>0</v>
      </c>
      <c r="T606" s="61">
        <f>SUM(N606:S606)</f>
        <v>0</v>
      </c>
      <c r="U606" s="61">
        <f>T606+L606</f>
        <v>0</v>
      </c>
      <c r="V606" s="61">
        <f>V601</f>
        <v>0</v>
      </c>
      <c r="W606" s="72">
        <f>V606-U606</f>
        <v>0</v>
      </c>
      <c r="X606" s="63">
        <f>U601-U606</f>
        <v>0</v>
      </c>
    </row>
    <row r="607" spans="1:28" s="126" customFormat="1" ht="18" hidden="1" customHeight="1">
      <c r="A607" s="614"/>
      <c r="B607" s="581"/>
      <c r="C607" s="581"/>
      <c r="D607" s="201" t="str">
        <f>серпень!D530</f>
        <v>дотація</v>
      </c>
      <c r="E607" s="71"/>
      <c r="F607" s="61">
        <v>0</v>
      </c>
      <c r="G607" s="61">
        <v>0</v>
      </c>
      <c r="H607" s="61">
        <v>0</v>
      </c>
      <c r="I607" s="61">
        <v>0</v>
      </c>
      <c r="J607" s="61">
        <v>0</v>
      </c>
      <c r="K607" s="61">
        <v>0</v>
      </c>
      <c r="L607" s="61">
        <f>SUM(F607:K607)</f>
        <v>0</v>
      </c>
      <c r="M607" s="61">
        <f>L607/6</f>
        <v>0</v>
      </c>
      <c r="N607" s="61">
        <v>0</v>
      </c>
      <c r="O607" s="61">
        <v>0</v>
      </c>
      <c r="P607" s="61">
        <v>0</v>
      </c>
      <c r="Q607" s="61">
        <v>0</v>
      </c>
      <c r="R607" s="61">
        <v>0</v>
      </c>
      <c r="S607" s="61">
        <v>0</v>
      </c>
      <c r="T607" s="61">
        <f>SUM(N607:S607)</f>
        <v>0</v>
      </c>
      <c r="U607" s="61">
        <f>T607+L607</f>
        <v>0</v>
      </c>
      <c r="V607" s="61">
        <f>V602</f>
        <v>0</v>
      </c>
      <c r="W607" s="72">
        <f>V607-U607</f>
        <v>0</v>
      </c>
      <c r="X607" s="63">
        <f>U602-U607</f>
        <v>0</v>
      </c>
    </row>
    <row r="608" spans="1:28" s="126" customFormat="1" ht="18" hidden="1" customHeight="1">
      <c r="A608" s="614"/>
      <c r="B608" s="581"/>
      <c r="C608" s="581"/>
      <c r="D608" s="201" t="str">
        <f>серпень!D531</f>
        <v xml:space="preserve">місцевий </v>
      </c>
      <c r="E608" s="71"/>
      <c r="F608" s="61">
        <f t="shared" ref="F608:K608" si="649">F606-F607</f>
        <v>0</v>
      </c>
      <c r="G608" s="61">
        <f t="shared" si="649"/>
        <v>0</v>
      </c>
      <c r="H608" s="61">
        <f t="shared" si="649"/>
        <v>0</v>
      </c>
      <c r="I608" s="61">
        <f t="shared" si="649"/>
        <v>0</v>
      </c>
      <c r="J608" s="61">
        <f t="shared" si="649"/>
        <v>0</v>
      </c>
      <c r="K608" s="61">
        <f t="shared" si="649"/>
        <v>0</v>
      </c>
      <c r="L608" s="61">
        <f>SUM(F608:K608)</f>
        <v>0</v>
      </c>
      <c r="M608" s="61">
        <f>L608/6</f>
        <v>0</v>
      </c>
      <c r="N608" s="61">
        <f t="shared" ref="N608:S608" si="650">N606-N607</f>
        <v>0</v>
      </c>
      <c r="O608" s="61">
        <f t="shared" si="650"/>
        <v>0</v>
      </c>
      <c r="P608" s="61">
        <f t="shared" si="650"/>
        <v>0</v>
      </c>
      <c r="Q608" s="61">
        <f t="shared" si="650"/>
        <v>0</v>
      </c>
      <c r="R608" s="61">
        <f t="shared" si="650"/>
        <v>0</v>
      </c>
      <c r="S608" s="61">
        <f t="shared" si="650"/>
        <v>0</v>
      </c>
      <c r="T608" s="61">
        <f>SUM(N608:S608)</f>
        <v>0</v>
      </c>
      <c r="U608" s="61">
        <f>T608+L608</f>
        <v>0</v>
      </c>
      <c r="V608" s="61">
        <f>V603</f>
        <v>0</v>
      </c>
      <c r="W608" s="72">
        <f>V608-U608</f>
        <v>0</v>
      </c>
      <c r="X608" s="63">
        <f>U603-U608</f>
        <v>0</v>
      </c>
    </row>
    <row r="609" spans="1:28" s="43" customFormat="1" ht="18" hidden="1" customHeight="1">
      <c r="A609" s="614"/>
      <c r="B609" s="581"/>
      <c r="C609" s="581"/>
      <c r="D609" s="202" t="str">
        <f>серпень!D532</f>
        <v>план</v>
      </c>
      <c r="E609" s="42"/>
      <c r="F609" s="42">
        <f t="shared" ref="F609:K609" si="651">F603</f>
        <v>0</v>
      </c>
      <c r="G609" s="42">
        <f t="shared" si="651"/>
        <v>0</v>
      </c>
      <c r="H609" s="42">
        <f t="shared" si="651"/>
        <v>0</v>
      </c>
      <c r="I609" s="42">
        <f t="shared" si="651"/>
        <v>0</v>
      </c>
      <c r="J609" s="42">
        <f t="shared" si="651"/>
        <v>0</v>
      </c>
      <c r="K609" s="42">
        <f t="shared" si="651"/>
        <v>0</v>
      </c>
      <c r="L609" s="42">
        <f>SUM(F609:K609)</f>
        <v>0</v>
      </c>
      <c r="M609" s="42">
        <f>L609/6</f>
        <v>0</v>
      </c>
      <c r="N609" s="42">
        <f t="shared" ref="N609:S609" si="652">N603+N602</f>
        <v>0</v>
      </c>
      <c r="O609" s="42">
        <f t="shared" si="652"/>
        <v>0</v>
      </c>
      <c r="P609" s="42">
        <f t="shared" si="652"/>
        <v>0</v>
      </c>
      <c r="Q609" s="42">
        <f t="shared" si="652"/>
        <v>0</v>
      </c>
      <c r="R609" s="42">
        <f t="shared" si="652"/>
        <v>0</v>
      </c>
      <c r="S609" s="42">
        <f t="shared" si="652"/>
        <v>0</v>
      </c>
      <c r="T609" s="42">
        <f>SUM(N609:S609)</f>
        <v>0</v>
      </c>
      <c r="U609" s="42">
        <f>T609+L609</f>
        <v>0</v>
      </c>
      <c r="V609" s="42">
        <f>V606</f>
        <v>0</v>
      </c>
      <c r="W609" s="42">
        <f>V609-U609</f>
        <v>0</v>
      </c>
    </row>
    <row r="610" spans="1:28" s="43" customFormat="1" ht="18" hidden="1" customHeight="1">
      <c r="A610" s="614"/>
      <c r="B610" s="581"/>
      <c r="C610" s="581"/>
      <c r="D610" s="202" t="str">
        <f>серпень!D533</f>
        <v xml:space="preserve">відхилення </v>
      </c>
      <c r="E610" s="42"/>
      <c r="F610" s="42">
        <f t="shared" ref="F610:K610" si="653">F606-F609</f>
        <v>0</v>
      </c>
      <c r="G610" s="42">
        <f t="shared" si="653"/>
        <v>0</v>
      </c>
      <c r="H610" s="42">
        <f t="shared" si="653"/>
        <v>0</v>
      </c>
      <c r="I610" s="42">
        <f t="shared" si="653"/>
        <v>0</v>
      </c>
      <c r="J610" s="42">
        <f t="shared" si="653"/>
        <v>0</v>
      </c>
      <c r="K610" s="42">
        <f t="shared" si="653"/>
        <v>0</v>
      </c>
      <c r="L610" s="42"/>
      <c r="M610" s="42"/>
      <c r="N610" s="42">
        <f t="shared" ref="N610:S610" si="654">N606-N609</f>
        <v>0</v>
      </c>
      <c r="O610" s="42">
        <f t="shared" si="654"/>
        <v>0</v>
      </c>
      <c r="P610" s="42">
        <f t="shared" si="654"/>
        <v>0</v>
      </c>
      <c r="Q610" s="42">
        <f t="shared" si="654"/>
        <v>0</v>
      </c>
      <c r="R610" s="42">
        <f t="shared" si="654"/>
        <v>0</v>
      </c>
      <c r="S610" s="42">
        <f t="shared" si="654"/>
        <v>0</v>
      </c>
      <c r="T610" s="42"/>
      <c r="U610" s="42"/>
      <c r="V610" s="42"/>
      <c r="W610" s="42"/>
    </row>
    <row r="611" spans="1:28" s="43" customFormat="1" ht="18" hidden="1" customHeight="1">
      <c r="A611" s="614"/>
      <c r="B611" s="581"/>
      <c r="C611" s="581"/>
      <c r="D611" s="202" t="str">
        <f>серпень!D534</f>
        <v>відхилення з наростаючим</v>
      </c>
      <c r="E611" s="42"/>
      <c r="F611" s="42">
        <f>F610</f>
        <v>0</v>
      </c>
      <c r="G611" s="42">
        <f>G610+F611</f>
        <v>0</v>
      </c>
      <c r="H611" s="42">
        <f>H610+G611</f>
        <v>0</v>
      </c>
      <c r="I611" s="42">
        <f>I610+H611</f>
        <v>0</v>
      </c>
      <c r="J611" s="42">
        <f>J610+I611</f>
        <v>0</v>
      </c>
      <c r="K611" s="42">
        <f>K610+J611</f>
        <v>0</v>
      </c>
      <c r="L611" s="42"/>
      <c r="M611" s="42"/>
      <c r="N611" s="42">
        <f>N610+K611</f>
        <v>0</v>
      </c>
      <c r="O611" s="42">
        <f>O610+N611</f>
        <v>0</v>
      </c>
      <c r="P611" s="42">
        <f>P610+O611</f>
        <v>0</v>
      </c>
      <c r="Q611" s="42">
        <f>Q610+P611</f>
        <v>0</v>
      </c>
      <c r="R611" s="42">
        <f>R610+Q611</f>
        <v>0</v>
      </c>
      <c r="S611" s="42">
        <f>S610+R611</f>
        <v>0</v>
      </c>
      <c r="T611" s="42"/>
      <c r="U611" s="42"/>
      <c r="V611" s="42"/>
      <c r="W611" s="42"/>
    </row>
    <row r="612" spans="1:28" s="55" customFormat="1" ht="18" hidden="1" customHeight="1">
      <c r="A612" s="614"/>
      <c r="B612" s="654" t="s">
        <v>134</v>
      </c>
      <c r="C612" s="581"/>
      <c r="D612" s="178" t="str">
        <f>серпень!D535</f>
        <v>факт. нат.п-ки 2023</v>
      </c>
      <c r="E612" s="11"/>
      <c r="F612" s="12"/>
      <c r="G612" s="12"/>
      <c r="H612" s="12"/>
      <c r="I612" s="12"/>
      <c r="J612" s="12"/>
      <c r="K612" s="12"/>
      <c r="L612" s="65">
        <f>SUM(F612:K612)</f>
        <v>0</v>
      </c>
      <c r="M612" s="65">
        <f>L612/6</f>
        <v>0</v>
      </c>
      <c r="N612" s="12"/>
      <c r="O612" s="12"/>
      <c r="P612" s="12"/>
      <c r="Q612" s="12"/>
      <c r="R612" s="12"/>
      <c r="S612" s="12"/>
      <c r="T612" s="65">
        <f>SUM(N612:S612)</f>
        <v>0</v>
      </c>
      <c r="U612" s="65">
        <f>T612+L612</f>
        <v>0</v>
      </c>
      <c r="V612" s="67"/>
      <c r="W612" s="38"/>
      <c r="X612" s="47"/>
      <c r="Y612" s="48"/>
      <c r="Z612" s="48"/>
      <c r="AA612" s="48"/>
      <c r="AB612" s="48"/>
    </row>
    <row r="613" spans="1:28" s="48" customFormat="1" ht="18" hidden="1" customHeight="1">
      <c r="A613" s="614"/>
      <c r="B613" s="581"/>
      <c r="C613" s="581"/>
      <c r="D613" s="178" t="str">
        <f>серпень!D536</f>
        <v>факт. нат.п-ки 2024</v>
      </c>
      <c r="E613" s="11"/>
      <c r="F613" s="12"/>
      <c r="G613" s="12"/>
      <c r="H613" s="12"/>
      <c r="I613" s="12"/>
      <c r="J613" s="12"/>
      <c r="K613" s="12"/>
      <c r="L613" s="65">
        <f>SUM(F613:K613)</f>
        <v>0</v>
      </c>
      <c r="M613" s="65">
        <f>L613/6</f>
        <v>0</v>
      </c>
      <c r="N613" s="11"/>
      <c r="O613" s="11"/>
      <c r="P613" s="11"/>
      <c r="Q613" s="11"/>
      <c r="R613" s="11"/>
      <c r="S613" s="11"/>
      <c r="T613" s="65">
        <f>SUM(N613:S613)</f>
        <v>0</v>
      </c>
      <c r="U613" s="65">
        <f>T613+L613</f>
        <v>0</v>
      </c>
      <c r="V613" s="67"/>
      <c r="W613" s="38"/>
      <c r="X613" s="47"/>
    </row>
    <row r="614" spans="1:28" s="48" customFormat="1" ht="18" hidden="1" customHeight="1">
      <c r="A614" s="614"/>
      <c r="B614" s="581"/>
      <c r="C614" s="581"/>
      <c r="D614" s="178" t="str">
        <f>серпень!D537</f>
        <v>факт. нат.п-ки 2025</v>
      </c>
      <c r="E614" s="11"/>
      <c r="F614" s="12"/>
      <c r="G614" s="12"/>
      <c r="H614" s="12"/>
      <c r="I614" s="12"/>
      <c r="J614" s="12"/>
      <c r="K614" s="12"/>
      <c r="L614" s="65">
        <f>SUM(F614:K614)</f>
        <v>0</v>
      </c>
      <c r="M614" s="65">
        <f>L614/6</f>
        <v>0</v>
      </c>
      <c r="N614" s="12"/>
      <c r="O614" s="12"/>
      <c r="P614" s="12"/>
      <c r="Q614" s="12"/>
      <c r="R614" s="12"/>
      <c r="S614" s="11"/>
      <c r="T614" s="65">
        <f>SUM(N614:S614)</f>
        <v>0</v>
      </c>
      <c r="U614" s="65">
        <f>T614+L614</f>
        <v>0</v>
      </c>
      <c r="V614" s="11"/>
      <c r="W614" s="38">
        <f>V614-U614</f>
        <v>0</v>
      </c>
      <c r="X614" s="47"/>
    </row>
    <row r="615" spans="1:28" s="51" customFormat="1" ht="18" hidden="1" customHeight="1">
      <c r="A615" s="614"/>
      <c r="B615" s="581"/>
      <c r="C615" s="581"/>
      <c r="D615" s="187" t="str">
        <f>серпень!D538</f>
        <v>тариф, грн.</v>
      </c>
      <c r="E615" s="49"/>
      <c r="F615" s="49">
        <v>0</v>
      </c>
      <c r="G615" s="49">
        <v>0</v>
      </c>
      <c r="H615" s="49">
        <v>0</v>
      </c>
      <c r="I615" s="49">
        <v>0</v>
      </c>
      <c r="J615" s="49">
        <v>0</v>
      </c>
      <c r="K615" s="49">
        <v>0</v>
      </c>
      <c r="L615" s="68" t="e">
        <f>L616/L614*1000</f>
        <v>#DIV/0!</v>
      </c>
      <c r="M615" s="68" t="e">
        <f>M616/M614*1000</f>
        <v>#DIV/0!</v>
      </c>
      <c r="N615" s="49">
        <v>0</v>
      </c>
      <c r="O615" s="49">
        <v>0</v>
      </c>
      <c r="P615" s="49">
        <v>0</v>
      </c>
      <c r="Q615" s="49">
        <v>0</v>
      </c>
      <c r="R615" s="49">
        <v>0</v>
      </c>
      <c r="S615" s="49">
        <v>0</v>
      </c>
      <c r="T615" s="68" t="e">
        <f>T616/T614*1000</f>
        <v>#DIV/0!</v>
      </c>
      <c r="U615" s="68" t="e">
        <f>U616/U614*1000</f>
        <v>#DIV/0!</v>
      </c>
      <c r="V615" s="68" t="e">
        <f>V616/V614*1000</f>
        <v>#DIV/0!</v>
      </c>
      <c r="W615" s="14" t="e">
        <f>W616/W614*1000</f>
        <v>#DIV/0!</v>
      </c>
      <c r="X615" s="59"/>
    </row>
    <row r="616" spans="1:28" s="130" customFormat="1" ht="18" hidden="1" customHeight="1">
      <c r="A616" s="614"/>
      <c r="B616" s="581"/>
      <c r="C616" s="581"/>
      <c r="D616" s="191" t="str">
        <f>серпень!D539</f>
        <v>сума, тис.грн.</v>
      </c>
      <c r="E616" s="52"/>
      <c r="F616" s="52">
        <f>F614*F615/1000</f>
        <v>0</v>
      </c>
      <c r="G616" s="52">
        <f t="shared" ref="G616:K616" si="655">G614*G615/1000</f>
        <v>0</v>
      </c>
      <c r="H616" s="52">
        <f t="shared" si="655"/>
        <v>0</v>
      </c>
      <c r="I616" s="52">
        <f t="shared" si="655"/>
        <v>0</v>
      </c>
      <c r="J616" s="52">
        <f t="shared" si="655"/>
        <v>0</v>
      </c>
      <c r="K616" s="52">
        <f t="shared" si="655"/>
        <v>0</v>
      </c>
      <c r="L616" s="69">
        <f>SUM(F616:K616)</f>
        <v>0</v>
      </c>
      <c r="M616" s="69">
        <f>L616/6</f>
        <v>0</v>
      </c>
      <c r="N616" s="52">
        <f>N614*N615/1000</f>
        <v>0</v>
      </c>
      <c r="O616" s="52">
        <f t="shared" ref="O616" si="656">O614*O615/1000</f>
        <v>0</v>
      </c>
      <c r="P616" s="52">
        <f t="shared" ref="P616" si="657">P614*P615/1000</f>
        <v>0</v>
      </c>
      <c r="Q616" s="52">
        <f t="shared" ref="Q616" si="658">Q614*Q615/1000</f>
        <v>0</v>
      </c>
      <c r="R616" s="52">
        <f t="shared" ref="R616" si="659">R614*R615/1000</f>
        <v>0</v>
      </c>
      <c r="S616" s="52">
        <f t="shared" ref="S616" si="660">S614*S615/1000</f>
        <v>0</v>
      </c>
      <c r="T616" s="69">
        <f>SUM(N616:S616)</f>
        <v>0</v>
      </c>
      <c r="U616" s="69">
        <f>T616+L616</f>
        <v>0</v>
      </c>
      <c r="V616" s="70">
        <f>V617+V618</f>
        <v>0</v>
      </c>
      <c r="W616" s="53">
        <f>V616-U616</f>
        <v>0</v>
      </c>
    </row>
    <row r="617" spans="1:28" s="130" customFormat="1" ht="18" hidden="1" customHeight="1">
      <c r="A617" s="614"/>
      <c r="B617" s="581"/>
      <c r="C617" s="581"/>
      <c r="D617" s="174" t="str">
        <f>серпень!D540</f>
        <v>дотація</v>
      </c>
      <c r="E617" s="56"/>
      <c r="F617" s="52"/>
      <c r="G617" s="52"/>
      <c r="H617" s="52"/>
      <c r="I617" s="52"/>
      <c r="J617" s="52"/>
      <c r="K617" s="52"/>
      <c r="L617" s="69">
        <f>SUM(F617:K617)</f>
        <v>0</v>
      </c>
      <c r="M617" s="69">
        <f>L617/6</f>
        <v>0</v>
      </c>
      <c r="N617" s="52"/>
      <c r="O617" s="52"/>
      <c r="P617" s="52"/>
      <c r="Q617" s="52"/>
      <c r="R617" s="52"/>
      <c r="S617" s="52"/>
      <c r="T617" s="69">
        <f>SUM(N617:S617)</f>
        <v>0</v>
      </c>
      <c r="U617" s="69">
        <f>T617+L617</f>
        <v>0</v>
      </c>
      <c r="V617" s="70">
        <v>0</v>
      </c>
      <c r="W617" s="53">
        <f>V617-U617</f>
        <v>0</v>
      </c>
    </row>
    <row r="618" spans="1:28" s="130" customFormat="1" ht="18" hidden="1" customHeight="1">
      <c r="A618" s="614"/>
      <c r="B618" s="581"/>
      <c r="C618" s="581"/>
      <c r="D618" s="174" t="str">
        <f>серпень!D541</f>
        <v>місцевий (план), тис.грн</v>
      </c>
      <c r="E618" s="56"/>
      <c r="F618" s="52"/>
      <c r="G618" s="52"/>
      <c r="H618" s="52"/>
      <c r="I618" s="52"/>
      <c r="J618" s="52"/>
      <c r="K618" s="52"/>
      <c r="L618" s="69">
        <f>SUM(F618:K618)</f>
        <v>0</v>
      </c>
      <c r="M618" s="69">
        <f>L618/6</f>
        <v>0</v>
      </c>
      <c r="N618" s="52"/>
      <c r="O618" s="52"/>
      <c r="P618" s="52"/>
      <c r="Q618" s="52"/>
      <c r="R618" s="52"/>
      <c r="S618" s="52"/>
      <c r="T618" s="69">
        <f>SUM(N618:S618)</f>
        <v>0</v>
      </c>
      <c r="U618" s="69">
        <f>T618+L618</f>
        <v>0</v>
      </c>
      <c r="V618" s="70"/>
      <c r="W618" s="53">
        <f>V618-U618</f>
        <v>0</v>
      </c>
    </row>
    <row r="619" spans="1:28" s="48" customFormat="1" ht="18" hidden="1" customHeight="1">
      <c r="A619" s="614"/>
      <c r="B619" s="581"/>
      <c r="C619" s="581"/>
      <c r="D619" s="178" t="str">
        <f>серпень!D542</f>
        <v>касові нат.п-ки 2025</v>
      </c>
      <c r="E619" s="11"/>
      <c r="F619" s="11"/>
      <c r="G619" s="11"/>
      <c r="H619" s="11"/>
      <c r="I619" s="11"/>
      <c r="J619" s="11"/>
      <c r="K619" s="11"/>
      <c r="L619" s="65">
        <f>SUM(F619:K619)</f>
        <v>0</v>
      </c>
      <c r="M619" s="65">
        <f>L619/6</f>
        <v>0</v>
      </c>
      <c r="N619" s="11"/>
      <c r="O619" s="11"/>
      <c r="P619" s="11"/>
      <c r="Q619" s="11"/>
      <c r="R619" s="11"/>
      <c r="S619" s="11"/>
      <c r="T619" s="65">
        <f>SUM(N619:S619)</f>
        <v>0</v>
      </c>
      <c r="U619" s="65">
        <f>T619+L619</f>
        <v>0</v>
      </c>
      <c r="V619" s="11">
        <f>V614</f>
        <v>0</v>
      </c>
      <c r="W619" s="38">
        <f>V619-U619</f>
        <v>0</v>
      </c>
      <c r="X619" s="47">
        <f>U614-U619</f>
        <v>0</v>
      </c>
    </row>
    <row r="620" spans="1:28" s="51" customFormat="1" ht="18" hidden="1" customHeight="1">
      <c r="A620" s="614"/>
      <c r="B620" s="581"/>
      <c r="C620" s="581"/>
      <c r="D620" s="187" t="str">
        <f>серпень!D543</f>
        <v>тариф, грн.</v>
      </c>
      <c r="E620" s="49" t="e">
        <f>E621/E619*1000</f>
        <v>#DIV/0!</v>
      </c>
      <c r="F620" s="49">
        <v>0</v>
      </c>
      <c r="G620" s="49">
        <v>0</v>
      </c>
      <c r="H620" s="49">
        <v>0</v>
      </c>
      <c r="I620" s="49">
        <v>0</v>
      </c>
      <c r="J620" s="49">
        <v>0</v>
      </c>
      <c r="K620" s="49">
        <v>0</v>
      </c>
      <c r="L620" s="68" t="e">
        <f>L621/L619*1000</f>
        <v>#DIV/0!</v>
      </c>
      <c r="M620" s="68" t="e">
        <f>M621/M619*1000</f>
        <v>#DIV/0!</v>
      </c>
      <c r="N620" s="49">
        <v>0</v>
      </c>
      <c r="O620" s="49">
        <v>0</v>
      </c>
      <c r="P620" s="49">
        <v>0</v>
      </c>
      <c r="Q620" s="49">
        <v>0</v>
      </c>
      <c r="R620" s="49">
        <v>0</v>
      </c>
      <c r="S620" s="49">
        <v>0</v>
      </c>
      <c r="T620" s="68" t="e">
        <f>T621/T619*1000</f>
        <v>#DIV/0!</v>
      </c>
      <c r="U620" s="68" t="e">
        <f>U621/U619*1000</f>
        <v>#DIV/0!</v>
      </c>
      <c r="V620" s="68" t="e">
        <f>V621/V619*1000</f>
        <v>#DIV/0!</v>
      </c>
      <c r="W620" s="14" t="e">
        <f>W621/W619*1000</f>
        <v>#DIV/0!</v>
      </c>
      <c r="X620" s="59"/>
    </row>
    <row r="621" spans="1:28" s="126" customFormat="1" ht="18" hidden="1" customHeight="1">
      <c r="A621" s="614"/>
      <c r="B621" s="581"/>
      <c r="C621" s="581"/>
      <c r="D621" s="198" t="str">
        <f>серпень!D544</f>
        <v>касові видатки, тис.грн.</v>
      </c>
      <c r="E621" s="71"/>
      <c r="F621" s="61">
        <f>F619*F620/1000</f>
        <v>0</v>
      </c>
      <c r="G621" s="61">
        <f t="shared" ref="G621" si="661">G619*G620/1000</f>
        <v>0</v>
      </c>
      <c r="H621" s="61">
        <f t="shared" ref="H621" si="662">H619*H620/1000</f>
        <v>0</v>
      </c>
      <c r="I621" s="61">
        <f t="shared" ref="I621" si="663">I619*I620/1000</f>
        <v>0</v>
      </c>
      <c r="J621" s="61">
        <f t="shared" ref="J621" si="664">J619*J620/1000</f>
        <v>0</v>
      </c>
      <c r="K621" s="61">
        <f t="shared" ref="K621" si="665">K619*K620/1000</f>
        <v>0</v>
      </c>
      <c r="L621" s="61">
        <f>SUM(F621:K621)</f>
        <v>0</v>
      </c>
      <c r="M621" s="61">
        <f>L621/6</f>
        <v>0</v>
      </c>
      <c r="N621" s="61">
        <f>N619*N620/1000</f>
        <v>0</v>
      </c>
      <c r="O621" s="61">
        <f t="shared" ref="O621" si="666">O619*O620/1000</f>
        <v>0</v>
      </c>
      <c r="P621" s="61">
        <f t="shared" ref="P621" si="667">P619*P620/1000</f>
        <v>0</v>
      </c>
      <c r="Q621" s="61">
        <f t="shared" ref="Q621" si="668">Q619*Q620/1000</f>
        <v>0</v>
      </c>
      <c r="R621" s="61">
        <f t="shared" ref="R621" si="669">R619*R620/1000</f>
        <v>0</v>
      </c>
      <c r="S621" s="61">
        <f t="shared" ref="S621" si="670">S619*S620/1000</f>
        <v>0</v>
      </c>
      <c r="T621" s="61">
        <f>SUM(N621:S621)</f>
        <v>0</v>
      </c>
      <c r="U621" s="61">
        <f>T621+L621</f>
        <v>0</v>
      </c>
      <c r="V621" s="61">
        <f>V616</f>
        <v>0</v>
      </c>
      <c r="W621" s="72">
        <f>V621-U621</f>
        <v>0</v>
      </c>
      <c r="X621" s="63">
        <f>U616-U621</f>
        <v>0</v>
      </c>
    </row>
    <row r="622" spans="1:28" s="126" customFormat="1" ht="18" hidden="1" customHeight="1">
      <c r="A622" s="614"/>
      <c r="B622" s="581"/>
      <c r="C622" s="581"/>
      <c r="D622" s="201" t="str">
        <f>серпень!D545</f>
        <v>дотація</v>
      </c>
      <c r="E622" s="71"/>
      <c r="F622" s="61">
        <v>0</v>
      </c>
      <c r="G622" s="61">
        <v>0</v>
      </c>
      <c r="H622" s="61">
        <v>0</v>
      </c>
      <c r="I622" s="61">
        <v>0</v>
      </c>
      <c r="J622" s="61">
        <v>0</v>
      </c>
      <c r="K622" s="61">
        <v>0</v>
      </c>
      <c r="L622" s="61">
        <f>SUM(F622:K622)</f>
        <v>0</v>
      </c>
      <c r="M622" s="61">
        <f>L622/6</f>
        <v>0</v>
      </c>
      <c r="N622" s="61">
        <v>0</v>
      </c>
      <c r="O622" s="61">
        <v>0</v>
      </c>
      <c r="P622" s="61">
        <v>0</v>
      </c>
      <c r="Q622" s="61">
        <v>0</v>
      </c>
      <c r="R622" s="61">
        <v>0</v>
      </c>
      <c r="S622" s="61">
        <v>0</v>
      </c>
      <c r="T622" s="61">
        <f>SUM(N622:S622)</f>
        <v>0</v>
      </c>
      <c r="U622" s="61">
        <f>T622+L622</f>
        <v>0</v>
      </c>
      <c r="V622" s="61">
        <f>V617</f>
        <v>0</v>
      </c>
      <c r="W622" s="72">
        <f>V622-U622</f>
        <v>0</v>
      </c>
      <c r="X622" s="63">
        <f>U617-U622</f>
        <v>0</v>
      </c>
    </row>
    <row r="623" spans="1:28" s="126" customFormat="1" ht="18" hidden="1" customHeight="1">
      <c r="A623" s="614"/>
      <c r="B623" s="581"/>
      <c r="C623" s="581"/>
      <c r="D623" s="201" t="str">
        <f>серпень!D546</f>
        <v xml:space="preserve">місцевий </v>
      </c>
      <c r="E623" s="71"/>
      <c r="F623" s="61">
        <f t="shared" ref="F623:K623" si="671">F621-F622</f>
        <v>0</v>
      </c>
      <c r="G623" s="61">
        <f t="shared" si="671"/>
        <v>0</v>
      </c>
      <c r="H623" s="61">
        <f t="shared" si="671"/>
        <v>0</v>
      </c>
      <c r="I623" s="61">
        <f t="shared" si="671"/>
        <v>0</v>
      </c>
      <c r="J623" s="61">
        <f t="shared" si="671"/>
        <v>0</v>
      </c>
      <c r="K623" s="61">
        <f t="shared" si="671"/>
        <v>0</v>
      </c>
      <c r="L623" s="61">
        <f>SUM(F623:K623)</f>
        <v>0</v>
      </c>
      <c r="M623" s="61">
        <f>L623/6</f>
        <v>0</v>
      </c>
      <c r="N623" s="61">
        <f t="shared" ref="N623:S623" si="672">N621-N622</f>
        <v>0</v>
      </c>
      <c r="O623" s="61">
        <f t="shared" si="672"/>
        <v>0</v>
      </c>
      <c r="P623" s="61">
        <f t="shared" si="672"/>
        <v>0</v>
      </c>
      <c r="Q623" s="61">
        <f t="shared" si="672"/>
        <v>0</v>
      </c>
      <c r="R623" s="61">
        <f t="shared" si="672"/>
        <v>0</v>
      </c>
      <c r="S623" s="61">
        <f t="shared" si="672"/>
        <v>0</v>
      </c>
      <c r="T623" s="61">
        <f>SUM(N623:S623)</f>
        <v>0</v>
      </c>
      <c r="U623" s="61">
        <f>T623+L623</f>
        <v>0</v>
      </c>
      <c r="V623" s="61">
        <f>V618</f>
        <v>0</v>
      </c>
      <c r="W623" s="72">
        <f>V623-U623</f>
        <v>0</v>
      </c>
      <c r="X623" s="63">
        <f>U618-U623</f>
        <v>0</v>
      </c>
    </row>
    <row r="624" spans="1:28" s="43" customFormat="1" ht="18" hidden="1" customHeight="1">
      <c r="A624" s="614"/>
      <c r="B624" s="581"/>
      <c r="C624" s="581"/>
      <c r="D624" s="202" t="str">
        <f>серпень!D547</f>
        <v>план</v>
      </c>
      <c r="E624" s="42"/>
      <c r="F624" s="42">
        <f t="shared" ref="F624:K624" si="673">F618</f>
        <v>0</v>
      </c>
      <c r="G624" s="42">
        <f t="shared" si="673"/>
        <v>0</v>
      </c>
      <c r="H624" s="42">
        <f t="shared" si="673"/>
        <v>0</v>
      </c>
      <c r="I624" s="42">
        <f t="shared" si="673"/>
        <v>0</v>
      </c>
      <c r="J624" s="42">
        <f t="shared" si="673"/>
        <v>0</v>
      </c>
      <c r="K624" s="42">
        <f t="shared" si="673"/>
        <v>0</v>
      </c>
      <c r="L624" s="42">
        <f>SUM(F624:K624)</f>
        <v>0</v>
      </c>
      <c r="M624" s="42">
        <f>L624/6</f>
        <v>0</v>
      </c>
      <c r="N624" s="42">
        <f t="shared" ref="N624:S624" si="674">N618+N617</f>
        <v>0</v>
      </c>
      <c r="O624" s="42">
        <f t="shared" si="674"/>
        <v>0</v>
      </c>
      <c r="P624" s="42">
        <f t="shared" si="674"/>
        <v>0</v>
      </c>
      <c r="Q624" s="42">
        <f t="shared" si="674"/>
        <v>0</v>
      </c>
      <c r="R624" s="42">
        <f t="shared" si="674"/>
        <v>0</v>
      </c>
      <c r="S624" s="42">
        <f t="shared" si="674"/>
        <v>0</v>
      </c>
      <c r="T624" s="42">
        <f>SUM(N624:S624)</f>
        <v>0</v>
      </c>
      <c r="U624" s="42">
        <f>T624+L624</f>
        <v>0</v>
      </c>
      <c r="V624" s="42">
        <f>V621</f>
        <v>0</v>
      </c>
      <c r="W624" s="42">
        <f>V624-U624</f>
        <v>0</v>
      </c>
    </row>
    <row r="625" spans="1:28" s="43" customFormat="1" ht="18" hidden="1" customHeight="1">
      <c r="A625" s="614"/>
      <c r="B625" s="581"/>
      <c r="C625" s="581"/>
      <c r="D625" s="202" t="str">
        <f>серпень!D548</f>
        <v xml:space="preserve">відхилення </v>
      </c>
      <c r="E625" s="42"/>
      <c r="F625" s="42">
        <f t="shared" ref="F625:K625" si="675">F621-F624</f>
        <v>0</v>
      </c>
      <c r="G625" s="42">
        <f t="shared" si="675"/>
        <v>0</v>
      </c>
      <c r="H625" s="42">
        <f t="shared" si="675"/>
        <v>0</v>
      </c>
      <c r="I625" s="42">
        <f t="shared" si="675"/>
        <v>0</v>
      </c>
      <c r="J625" s="42">
        <f t="shared" si="675"/>
        <v>0</v>
      </c>
      <c r="K625" s="42">
        <f t="shared" si="675"/>
        <v>0</v>
      </c>
      <c r="L625" s="42"/>
      <c r="M625" s="42"/>
      <c r="N625" s="42">
        <f t="shared" ref="N625:S625" si="676">N621-N624</f>
        <v>0</v>
      </c>
      <c r="O625" s="42">
        <f t="shared" si="676"/>
        <v>0</v>
      </c>
      <c r="P625" s="42">
        <f t="shared" si="676"/>
        <v>0</v>
      </c>
      <c r="Q625" s="42">
        <f t="shared" si="676"/>
        <v>0</v>
      </c>
      <c r="R625" s="42">
        <f t="shared" si="676"/>
        <v>0</v>
      </c>
      <c r="S625" s="42">
        <f t="shared" si="676"/>
        <v>0</v>
      </c>
      <c r="T625" s="42"/>
      <c r="U625" s="42"/>
      <c r="V625" s="42"/>
      <c r="W625" s="42"/>
    </row>
    <row r="626" spans="1:28" s="43" customFormat="1" ht="18" hidden="1" customHeight="1">
      <c r="A626" s="614"/>
      <c r="B626" s="581"/>
      <c r="C626" s="581"/>
      <c r="D626" s="202" t="str">
        <f>серпень!D549</f>
        <v>відхилення з наростаючим</v>
      </c>
      <c r="E626" s="42"/>
      <c r="F626" s="42">
        <f>F625</f>
        <v>0</v>
      </c>
      <c r="G626" s="42">
        <f>G625+F626</f>
        <v>0</v>
      </c>
      <c r="H626" s="42">
        <f>H625+G626</f>
        <v>0</v>
      </c>
      <c r="I626" s="42">
        <f>I625+H626</f>
        <v>0</v>
      </c>
      <c r="J626" s="42">
        <f>J625+I626</f>
        <v>0</v>
      </c>
      <c r="K626" s="42">
        <f>K625+J626</f>
        <v>0</v>
      </c>
      <c r="L626" s="42"/>
      <c r="M626" s="42"/>
      <c r="N626" s="42">
        <f>N625+K626</f>
        <v>0</v>
      </c>
      <c r="O626" s="42">
        <f>O625+N626</f>
        <v>0</v>
      </c>
      <c r="P626" s="42">
        <f>P625+O626</f>
        <v>0</v>
      </c>
      <c r="Q626" s="42">
        <f>Q625+P626</f>
        <v>0</v>
      </c>
      <c r="R626" s="42">
        <f>R625+Q626</f>
        <v>0</v>
      </c>
      <c r="S626" s="42">
        <f>S625+R626</f>
        <v>0</v>
      </c>
      <c r="T626" s="42"/>
      <c r="U626" s="42"/>
      <c r="V626" s="42"/>
      <c r="W626" s="42"/>
    </row>
    <row r="627" spans="1:28" s="55" customFormat="1" ht="18" hidden="1" customHeight="1">
      <c r="A627" s="614"/>
      <c r="B627" s="581" t="s">
        <v>66</v>
      </c>
      <c r="C627" s="581"/>
      <c r="D627" s="178" t="str">
        <f>серпень!D550</f>
        <v>факт. нат.п-ки 2023</v>
      </c>
      <c r="E627" s="11"/>
      <c r="F627" s="12">
        <f t="shared" ref="F627:K629" si="677">F644+F674</f>
        <v>0</v>
      </c>
      <c r="G627" s="12">
        <f t="shared" si="677"/>
        <v>0</v>
      </c>
      <c r="H627" s="12">
        <f t="shared" si="677"/>
        <v>0</v>
      </c>
      <c r="I627" s="12">
        <f t="shared" si="677"/>
        <v>0</v>
      </c>
      <c r="J627" s="12">
        <f t="shared" si="677"/>
        <v>0</v>
      </c>
      <c r="K627" s="12">
        <f t="shared" si="677"/>
        <v>0</v>
      </c>
      <c r="L627" s="65">
        <f>SUM(F627:K627)</f>
        <v>0</v>
      </c>
      <c r="M627" s="65">
        <f>L627/6</f>
        <v>0</v>
      </c>
      <c r="N627" s="12">
        <f t="shared" ref="N627:S629" si="678">N644+N674</f>
        <v>0</v>
      </c>
      <c r="O627" s="12">
        <f t="shared" si="678"/>
        <v>0</v>
      </c>
      <c r="P627" s="12">
        <f t="shared" si="678"/>
        <v>0</v>
      </c>
      <c r="Q627" s="12">
        <f t="shared" si="678"/>
        <v>0</v>
      </c>
      <c r="R627" s="12">
        <f t="shared" si="678"/>
        <v>0</v>
      </c>
      <c r="S627" s="12">
        <f t="shared" si="678"/>
        <v>0</v>
      </c>
      <c r="T627" s="65">
        <f>SUM(N627:S627)</f>
        <v>0</v>
      </c>
      <c r="U627" s="65">
        <f>T627+L627</f>
        <v>0</v>
      </c>
      <c r="V627" s="75">
        <f>V644+V674</f>
        <v>0</v>
      </c>
      <c r="W627" s="38">
        <f>V627-U627</f>
        <v>0</v>
      </c>
      <c r="X627" s="47"/>
      <c r="Y627" s="48"/>
      <c r="Z627" s="48"/>
      <c r="AA627" s="48"/>
      <c r="AB627" s="48"/>
    </row>
    <row r="628" spans="1:28" s="48" customFormat="1" ht="18" hidden="1" customHeight="1">
      <c r="A628" s="614"/>
      <c r="B628" s="581"/>
      <c r="C628" s="581"/>
      <c r="D628" s="178" t="str">
        <f>серпень!D551</f>
        <v>факт. нат.п-ки 2024</v>
      </c>
      <c r="E628" s="11"/>
      <c r="F628" s="12">
        <f t="shared" si="677"/>
        <v>0</v>
      </c>
      <c r="G628" s="12">
        <f t="shared" si="677"/>
        <v>0</v>
      </c>
      <c r="H628" s="12">
        <f t="shared" si="677"/>
        <v>0</v>
      </c>
      <c r="I628" s="12">
        <f t="shared" si="677"/>
        <v>0</v>
      </c>
      <c r="J628" s="12">
        <f t="shared" si="677"/>
        <v>0</v>
      </c>
      <c r="K628" s="12">
        <f t="shared" si="677"/>
        <v>0</v>
      </c>
      <c r="L628" s="65">
        <f>SUM(F628:K628)</f>
        <v>0</v>
      </c>
      <c r="M628" s="65">
        <f>L628/6</f>
        <v>0</v>
      </c>
      <c r="N628" s="12">
        <f t="shared" si="678"/>
        <v>0</v>
      </c>
      <c r="O628" s="12">
        <f t="shared" si="678"/>
        <v>0</v>
      </c>
      <c r="P628" s="12">
        <f t="shared" si="678"/>
        <v>0</v>
      </c>
      <c r="Q628" s="12">
        <f t="shared" si="678"/>
        <v>0</v>
      </c>
      <c r="R628" s="12">
        <f t="shared" si="678"/>
        <v>0</v>
      </c>
      <c r="S628" s="12">
        <f t="shared" si="678"/>
        <v>0</v>
      </c>
      <c r="T628" s="65">
        <f>SUM(N628:S628)</f>
        <v>0</v>
      </c>
      <c r="U628" s="65">
        <f>T628+L628</f>
        <v>0</v>
      </c>
      <c r="V628" s="75">
        <f>V645+V675</f>
        <v>0</v>
      </c>
      <c r="W628" s="38">
        <f>V628-U628</f>
        <v>0</v>
      </c>
      <c r="X628" s="47"/>
    </row>
    <row r="629" spans="1:28" s="48" customFormat="1" ht="18" hidden="1" customHeight="1">
      <c r="A629" s="614"/>
      <c r="B629" s="581"/>
      <c r="C629" s="581"/>
      <c r="D629" s="178" t="str">
        <f>серпень!D552</f>
        <v>факт. нат.п-ки 2025</v>
      </c>
      <c r="E629" s="11"/>
      <c r="F629" s="12">
        <f t="shared" si="677"/>
        <v>0</v>
      </c>
      <c r="G629" s="12">
        <f t="shared" si="677"/>
        <v>0</v>
      </c>
      <c r="H629" s="12">
        <f t="shared" si="677"/>
        <v>0</v>
      </c>
      <c r="I629" s="12">
        <f t="shared" si="677"/>
        <v>0</v>
      </c>
      <c r="J629" s="12">
        <f t="shared" si="677"/>
        <v>0</v>
      </c>
      <c r="K629" s="12">
        <f t="shared" si="677"/>
        <v>0</v>
      </c>
      <c r="L629" s="65">
        <f>SUM(F629:K629)</f>
        <v>0</v>
      </c>
      <c r="M629" s="65">
        <f>L629/6</f>
        <v>0</v>
      </c>
      <c r="N629" s="12">
        <f t="shared" si="678"/>
        <v>0</v>
      </c>
      <c r="O629" s="12">
        <f t="shared" si="678"/>
        <v>0</v>
      </c>
      <c r="P629" s="12">
        <f t="shared" si="678"/>
        <v>0</v>
      </c>
      <c r="Q629" s="12">
        <f t="shared" si="678"/>
        <v>0</v>
      </c>
      <c r="R629" s="12">
        <f t="shared" si="678"/>
        <v>0</v>
      </c>
      <c r="S629" s="12">
        <f t="shared" si="678"/>
        <v>0</v>
      </c>
      <c r="T629" s="65">
        <f>SUM(N629:S629)</f>
        <v>0</v>
      </c>
      <c r="U629" s="65">
        <f>T629+L629</f>
        <v>0</v>
      </c>
      <c r="V629" s="75">
        <f>V646+V676</f>
        <v>0</v>
      </c>
      <c r="W629" s="38">
        <f>V629-U629</f>
        <v>0</v>
      </c>
      <c r="X629" s="47"/>
    </row>
    <row r="630" spans="1:28" s="51" customFormat="1" ht="18" hidden="1" customHeight="1">
      <c r="A630" s="614"/>
      <c r="B630" s="581"/>
      <c r="C630" s="581"/>
      <c r="D630" s="187" t="str">
        <f>серпень!D553</f>
        <v>тариф, грн.</v>
      </c>
      <c r="E630" s="49"/>
      <c r="F630" s="49" t="e">
        <f t="shared" ref="F630:W630" si="679">F631/F629*1000</f>
        <v>#DIV/0!</v>
      </c>
      <c r="G630" s="49" t="e">
        <f t="shared" si="679"/>
        <v>#DIV/0!</v>
      </c>
      <c r="H630" s="49" t="e">
        <f t="shared" si="679"/>
        <v>#DIV/0!</v>
      </c>
      <c r="I630" s="49" t="e">
        <f t="shared" si="679"/>
        <v>#DIV/0!</v>
      </c>
      <c r="J630" s="49" t="e">
        <f t="shared" si="679"/>
        <v>#DIV/0!</v>
      </c>
      <c r="K630" s="49" t="e">
        <f t="shared" si="679"/>
        <v>#DIV/0!</v>
      </c>
      <c r="L630" s="49" t="e">
        <f t="shared" si="679"/>
        <v>#DIV/0!</v>
      </c>
      <c r="M630" s="49" t="e">
        <f t="shared" si="679"/>
        <v>#DIV/0!</v>
      </c>
      <c r="N630" s="49" t="e">
        <f t="shared" si="679"/>
        <v>#DIV/0!</v>
      </c>
      <c r="O630" s="49" t="e">
        <f t="shared" si="679"/>
        <v>#DIV/0!</v>
      </c>
      <c r="P630" s="49" t="e">
        <f t="shared" si="679"/>
        <v>#DIV/0!</v>
      </c>
      <c r="Q630" s="49" t="e">
        <f t="shared" si="679"/>
        <v>#DIV/0!</v>
      </c>
      <c r="R630" s="49" t="e">
        <f t="shared" si="679"/>
        <v>#DIV/0!</v>
      </c>
      <c r="S630" s="49" t="e">
        <f t="shared" si="679"/>
        <v>#DIV/0!</v>
      </c>
      <c r="T630" s="49" t="e">
        <f t="shared" si="679"/>
        <v>#DIV/0!</v>
      </c>
      <c r="U630" s="49" t="e">
        <f t="shared" si="679"/>
        <v>#DIV/0!</v>
      </c>
      <c r="V630" s="49" t="e">
        <f t="shared" si="679"/>
        <v>#DIV/0!</v>
      </c>
      <c r="W630" s="49" t="e">
        <f t="shared" si="679"/>
        <v>#DIV/0!</v>
      </c>
      <c r="X630" s="59"/>
    </row>
    <row r="631" spans="1:28" s="130" customFormat="1" ht="18" hidden="1" customHeight="1">
      <c r="A631" s="614"/>
      <c r="B631" s="581"/>
      <c r="C631" s="581"/>
      <c r="D631" s="191" t="str">
        <f>серпень!D554</f>
        <v>сума, тис.грн.</v>
      </c>
      <c r="E631" s="52"/>
      <c r="F631" s="52">
        <f>F648+F678</f>
        <v>0</v>
      </c>
      <c r="G631" s="52">
        <f t="shared" ref="G631:K631" si="680">G648+G678</f>
        <v>0</v>
      </c>
      <c r="H631" s="52">
        <f t="shared" si="680"/>
        <v>0</v>
      </c>
      <c r="I631" s="52">
        <f t="shared" si="680"/>
        <v>0</v>
      </c>
      <c r="J631" s="52">
        <f t="shared" si="680"/>
        <v>0</v>
      </c>
      <c r="K631" s="52">
        <f t="shared" si="680"/>
        <v>0</v>
      </c>
      <c r="L631" s="69">
        <f>SUM(F631:K631)</f>
        <v>0</v>
      </c>
      <c r="M631" s="69">
        <f>L631/6</f>
        <v>0</v>
      </c>
      <c r="N631" s="52">
        <f>N648+N678</f>
        <v>0</v>
      </c>
      <c r="O631" s="52">
        <f t="shared" ref="O631:S631" si="681">O648+O678</f>
        <v>0</v>
      </c>
      <c r="P631" s="52">
        <f t="shared" si="681"/>
        <v>0</v>
      </c>
      <c r="Q631" s="52">
        <f t="shared" si="681"/>
        <v>0</v>
      </c>
      <c r="R631" s="52">
        <f t="shared" si="681"/>
        <v>0</v>
      </c>
      <c r="S631" s="52">
        <f t="shared" si="681"/>
        <v>0</v>
      </c>
      <c r="T631" s="69">
        <f>SUM(N631:S631)</f>
        <v>0</v>
      </c>
      <c r="U631" s="69">
        <f>T631+L631</f>
        <v>0</v>
      </c>
      <c r="V631" s="69">
        <f t="shared" ref="V631" si="682">V648+V678</f>
        <v>0</v>
      </c>
      <c r="W631" s="52">
        <f>V631-U631</f>
        <v>0</v>
      </c>
    </row>
    <row r="632" spans="1:28" s="130" customFormat="1" ht="18" hidden="1" customHeight="1">
      <c r="A632" s="614"/>
      <c r="B632" s="581"/>
      <c r="C632" s="581"/>
      <c r="D632" s="174" t="str">
        <f>серпень!D555</f>
        <v>абоненська плата, тис.грн.</v>
      </c>
      <c r="E632" s="52"/>
      <c r="F632" s="52">
        <f>F663+F693</f>
        <v>0</v>
      </c>
      <c r="G632" s="52">
        <f t="shared" ref="G632:K632" si="683">G663+G693</f>
        <v>0</v>
      </c>
      <c r="H632" s="52">
        <f t="shared" si="683"/>
        <v>0</v>
      </c>
      <c r="I632" s="52">
        <f t="shared" si="683"/>
        <v>0</v>
      </c>
      <c r="J632" s="52">
        <f t="shared" si="683"/>
        <v>0</v>
      </c>
      <c r="K632" s="52">
        <f t="shared" si="683"/>
        <v>0</v>
      </c>
      <c r="L632" s="69">
        <f t="shared" ref="L632:L633" si="684">SUM(F632:K632)</f>
        <v>0</v>
      </c>
      <c r="M632" s="69">
        <f t="shared" ref="M632:M633" si="685">L632/6</f>
        <v>0</v>
      </c>
      <c r="N632" s="52">
        <f>N663+N693</f>
        <v>0</v>
      </c>
      <c r="O632" s="52">
        <f t="shared" ref="O632:S632" si="686">O663+O693</f>
        <v>0</v>
      </c>
      <c r="P632" s="52">
        <f t="shared" si="686"/>
        <v>0</v>
      </c>
      <c r="Q632" s="52">
        <f t="shared" si="686"/>
        <v>0</v>
      </c>
      <c r="R632" s="52">
        <f t="shared" si="686"/>
        <v>0</v>
      </c>
      <c r="S632" s="52">
        <f t="shared" si="686"/>
        <v>0</v>
      </c>
      <c r="T632" s="69">
        <f t="shared" ref="T632:T634" si="687">SUM(N632:S632)</f>
        <v>0</v>
      </c>
      <c r="U632" s="69">
        <f t="shared" ref="U632:U634" si="688">T632+L632</f>
        <v>0</v>
      </c>
      <c r="V632" s="69">
        <f t="shared" ref="V632" si="689">V663+V693</f>
        <v>0</v>
      </c>
      <c r="W632" s="52">
        <f t="shared" ref="W632:W633" si="690">V632-U632</f>
        <v>0</v>
      </c>
    </row>
    <row r="633" spans="1:28" s="130" customFormat="1" ht="18" hidden="1" customHeight="1">
      <c r="A633" s="614"/>
      <c r="B633" s="581"/>
      <c r="C633" s="581"/>
      <c r="D633" s="174" t="str">
        <f>серпень!D556</f>
        <v>разом сума тис. грн+абонплата</v>
      </c>
      <c r="E633" s="52"/>
      <c r="F633" s="52">
        <f>F631+F632</f>
        <v>0</v>
      </c>
      <c r="G633" s="52">
        <f t="shared" ref="G633:K633" si="691">G631+G632</f>
        <v>0</v>
      </c>
      <c r="H633" s="52">
        <f t="shared" si="691"/>
        <v>0</v>
      </c>
      <c r="I633" s="52">
        <f t="shared" si="691"/>
        <v>0</v>
      </c>
      <c r="J633" s="52">
        <f t="shared" si="691"/>
        <v>0</v>
      </c>
      <c r="K633" s="52">
        <f t="shared" si="691"/>
        <v>0</v>
      </c>
      <c r="L633" s="69">
        <f t="shared" si="684"/>
        <v>0</v>
      </c>
      <c r="M633" s="69">
        <f t="shared" si="685"/>
        <v>0</v>
      </c>
      <c r="N633" s="52">
        <f>N631+N632</f>
        <v>0</v>
      </c>
      <c r="O633" s="52">
        <f t="shared" ref="O633" si="692">O631+O632</f>
        <v>0</v>
      </c>
      <c r="P633" s="52">
        <f t="shared" ref="P633" si="693">P631+P632</f>
        <v>0</v>
      </c>
      <c r="Q633" s="52">
        <f t="shared" ref="Q633" si="694">Q631+Q632</f>
        <v>0</v>
      </c>
      <c r="R633" s="52">
        <f t="shared" ref="R633" si="695">R631+R632</f>
        <v>0</v>
      </c>
      <c r="S633" s="52">
        <f t="shared" ref="S633" si="696">S631+S632</f>
        <v>0</v>
      </c>
      <c r="T633" s="69">
        <f t="shared" si="687"/>
        <v>0</v>
      </c>
      <c r="U633" s="69">
        <f t="shared" si="688"/>
        <v>0</v>
      </c>
      <c r="V633" s="69">
        <f t="shared" ref="V633" si="697">V631+V632</f>
        <v>0</v>
      </c>
      <c r="W633" s="52">
        <f t="shared" si="690"/>
        <v>0</v>
      </c>
    </row>
    <row r="634" spans="1:28" s="130" customFormat="1" ht="18" hidden="1" customHeight="1">
      <c r="A634" s="614"/>
      <c r="B634" s="581"/>
      <c r="C634" s="581"/>
      <c r="D634" s="174" t="str">
        <f>серпень!D557</f>
        <v>дотація</v>
      </c>
      <c r="E634" s="56"/>
      <c r="F634" s="52">
        <f t="shared" ref="F634:K636" si="698">F649+F679</f>
        <v>0</v>
      </c>
      <c r="G634" s="52">
        <f t="shared" si="698"/>
        <v>0</v>
      </c>
      <c r="H634" s="52">
        <f t="shared" si="698"/>
        <v>0</v>
      </c>
      <c r="I634" s="52">
        <f t="shared" si="698"/>
        <v>0</v>
      </c>
      <c r="J634" s="52">
        <f t="shared" si="698"/>
        <v>0</v>
      </c>
      <c r="K634" s="52">
        <f t="shared" si="698"/>
        <v>0</v>
      </c>
      <c r="L634" s="69">
        <f>SUM(F634:K634)</f>
        <v>0</v>
      </c>
      <c r="M634" s="69">
        <f>L634/6</f>
        <v>0</v>
      </c>
      <c r="N634" s="52">
        <f t="shared" ref="N634:S636" si="699">N649+N679</f>
        <v>0</v>
      </c>
      <c r="O634" s="52">
        <f t="shared" si="699"/>
        <v>0</v>
      </c>
      <c r="P634" s="52">
        <f t="shared" si="699"/>
        <v>0</v>
      </c>
      <c r="Q634" s="52">
        <f t="shared" si="699"/>
        <v>0</v>
      </c>
      <c r="R634" s="52">
        <f t="shared" si="699"/>
        <v>0</v>
      </c>
      <c r="S634" s="52">
        <f t="shared" si="699"/>
        <v>0</v>
      </c>
      <c r="T634" s="69">
        <f t="shared" si="687"/>
        <v>0</v>
      </c>
      <c r="U634" s="69">
        <f t="shared" si="688"/>
        <v>0</v>
      </c>
      <c r="V634" s="69">
        <f>V649+V679</f>
        <v>0</v>
      </c>
      <c r="W634" s="52">
        <f>V634-U634</f>
        <v>0</v>
      </c>
    </row>
    <row r="635" spans="1:28" s="130" customFormat="1" ht="18" hidden="1" customHeight="1">
      <c r="A635" s="614"/>
      <c r="B635" s="581"/>
      <c r="C635" s="581"/>
      <c r="D635" s="174" t="str">
        <f>серпень!D558</f>
        <v>місцевий (план), тис.грн</v>
      </c>
      <c r="E635" s="56"/>
      <c r="F635" s="52">
        <f t="shared" si="698"/>
        <v>0</v>
      </c>
      <c r="G635" s="52">
        <f t="shared" si="698"/>
        <v>0</v>
      </c>
      <c r="H635" s="52">
        <f t="shared" si="698"/>
        <v>0</v>
      </c>
      <c r="I635" s="52">
        <f t="shared" si="698"/>
        <v>0</v>
      </c>
      <c r="J635" s="52">
        <f t="shared" si="698"/>
        <v>0</v>
      </c>
      <c r="K635" s="52">
        <f t="shared" si="698"/>
        <v>0</v>
      </c>
      <c r="L635" s="69">
        <f>SUM(F635:K635)</f>
        <v>0</v>
      </c>
      <c r="M635" s="69">
        <f>L635/6</f>
        <v>0</v>
      </c>
      <c r="N635" s="52">
        <f t="shared" si="699"/>
        <v>0</v>
      </c>
      <c r="O635" s="52">
        <f t="shared" si="699"/>
        <v>0</v>
      </c>
      <c r="P635" s="52">
        <f t="shared" si="699"/>
        <v>0</v>
      </c>
      <c r="Q635" s="52">
        <f t="shared" si="699"/>
        <v>0</v>
      </c>
      <c r="R635" s="52">
        <f t="shared" si="699"/>
        <v>0</v>
      </c>
      <c r="S635" s="52">
        <f t="shared" si="699"/>
        <v>0</v>
      </c>
      <c r="T635" s="69">
        <f>SUM(N635:S635)</f>
        <v>0</v>
      </c>
      <c r="U635" s="69">
        <f>T635+L635</f>
        <v>0</v>
      </c>
      <c r="V635" s="69">
        <f>V650+V680</f>
        <v>0</v>
      </c>
      <c r="W635" s="52">
        <f>V635-U635</f>
        <v>0</v>
      </c>
    </row>
    <row r="636" spans="1:28" s="48" customFormat="1" ht="18" hidden="1" customHeight="1">
      <c r="A636" s="614"/>
      <c r="B636" s="581"/>
      <c r="C636" s="581"/>
      <c r="D636" s="178" t="str">
        <f>серпень!D559</f>
        <v>касові нат.п-ки 2025</v>
      </c>
      <c r="E636" s="11"/>
      <c r="F636" s="11">
        <f t="shared" si="698"/>
        <v>0</v>
      </c>
      <c r="G636" s="11">
        <f t="shared" si="698"/>
        <v>0</v>
      </c>
      <c r="H636" s="11">
        <f t="shared" si="698"/>
        <v>0</v>
      </c>
      <c r="I636" s="11">
        <f t="shared" si="698"/>
        <v>0</v>
      </c>
      <c r="J636" s="11">
        <f t="shared" si="698"/>
        <v>0</v>
      </c>
      <c r="K636" s="11">
        <f t="shared" si="698"/>
        <v>0</v>
      </c>
      <c r="L636" s="65">
        <f>SUM(F636:K636)</f>
        <v>0</v>
      </c>
      <c r="M636" s="65">
        <f>L636/6</f>
        <v>0</v>
      </c>
      <c r="N636" s="11">
        <f t="shared" si="699"/>
        <v>0</v>
      </c>
      <c r="O636" s="11">
        <f t="shared" si="699"/>
        <v>0</v>
      </c>
      <c r="P636" s="11">
        <f t="shared" si="699"/>
        <v>0</v>
      </c>
      <c r="Q636" s="11">
        <f t="shared" si="699"/>
        <v>0</v>
      </c>
      <c r="R636" s="11">
        <f t="shared" si="699"/>
        <v>0</v>
      </c>
      <c r="S636" s="11">
        <f t="shared" si="699"/>
        <v>0</v>
      </c>
      <c r="T636" s="65">
        <f>SUM(N636:S636)</f>
        <v>0</v>
      </c>
      <c r="U636" s="65">
        <f>T636+L636</f>
        <v>0</v>
      </c>
      <c r="V636" s="38">
        <f>V651+V681</f>
        <v>0</v>
      </c>
      <c r="W636" s="38">
        <f>V636-U636</f>
        <v>0</v>
      </c>
      <c r="X636" s="47">
        <f>U629-U636</f>
        <v>0</v>
      </c>
    </row>
    <row r="637" spans="1:28" s="51" customFormat="1" ht="18" hidden="1" customHeight="1">
      <c r="A637" s="614"/>
      <c r="B637" s="581"/>
      <c r="C637" s="581"/>
      <c r="D637" s="187" t="str">
        <f>серпень!D560</f>
        <v>тариф, грн.</v>
      </c>
      <c r="E637" s="49" t="e">
        <f>E638/E636*1000</f>
        <v>#DIV/0!</v>
      </c>
      <c r="F637" s="49" t="e">
        <f t="shared" ref="F637:W637" si="700">F638/F636*1000</f>
        <v>#DIV/0!</v>
      </c>
      <c r="G637" s="49" t="e">
        <f t="shared" si="700"/>
        <v>#DIV/0!</v>
      </c>
      <c r="H637" s="49" t="e">
        <f t="shared" si="700"/>
        <v>#DIV/0!</v>
      </c>
      <c r="I637" s="49" t="e">
        <f t="shared" si="700"/>
        <v>#DIV/0!</v>
      </c>
      <c r="J637" s="49" t="e">
        <f t="shared" si="700"/>
        <v>#DIV/0!</v>
      </c>
      <c r="K637" s="49" t="e">
        <f t="shared" si="700"/>
        <v>#DIV/0!</v>
      </c>
      <c r="L637" s="49" t="e">
        <f t="shared" si="700"/>
        <v>#DIV/0!</v>
      </c>
      <c r="M637" s="49" t="e">
        <f t="shared" si="700"/>
        <v>#DIV/0!</v>
      </c>
      <c r="N637" s="49" t="e">
        <f t="shared" si="700"/>
        <v>#DIV/0!</v>
      </c>
      <c r="O637" s="49" t="e">
        <f t="shared" si="700"/>
        <v>#DIV/0!</v>
      </c>
      <c r="P637" s="49" t="e">
        <f t="shared" si="700"/>
        <v>#DIV/0!</v>
      </c>
      <c r="Q637" s="49" t="e">
        <f t="shared" si="700"/>
        <v>#DIV/0!</v>
      </c>
      <c r="R637" s="49" t="e">
        <f t="shared" si="700"/>
        <v>#DIV/0!</v>
      </c>
      <c r="S637" s="49" t="e">
        <f t="shared" si="700"/>
        <v>#DIV/0!</v>
      </c>
      <c r="T637" s="49" t="e">
        <f t="shared" si="700"/>
        <v>#DIV/0!</v>
      </c>
      <c r="U637" s="49" t="e">
        <f t="shared" si="700"/>
        <v>#DIV/0!</v>
      </c>
      <c r="V637" s="49" t="e">
        <f t="shared" si="700"/>
        <v>#DIV/0!</v>
      </c>
      <c r="W637" s="49" t="e">
        <f t="shared" si="700"/>
        <v>#DIV/0!</v>
      </c>
      <c r="X637" s="59"/>
    </row>
    <row r="638" spans="1:28" s="126" customFormat="1" ht="18" hidden="1" customHeight="1">
      <c r="A638" s="614"/>
      <c r="B638" s="581"/>
      <c r="C638" s="581"/>
      <c r="D638" s="198" t="str">
        <f>серпень!D561</f>
        <v>касові видатки, тис.грн.</v>
      </c>
      <c r="E638" s="71"/>
      <c r="F638" s="61">
        <f t="shared" ref="F638:K643" si="701">F653+F683</f>
        <v>0</v>
      </c>
      <c r="G638" s="61">
        <f t="shared" si="701"/>
        <v>0</v>
      </c>
      <c r="H638" s="61">
        <f t="shared" si="701"/>
        <v>0</v>
      </c>
      <c r="I638" s="61">
        <f t="shared" si="701"/>
        <v>0</v>
      </c>
      <c r="J638" s="61">
        <f t="shared" si="701"/>
        <v>0</v>
      </c>
      <c r="K638" s="61">
        <f t="shared" si="701"/>
        <v>0</v>
      </c>
      <c r="L638" s="61">
        <f>SUM(F638:K638)</f>
        <v>0</v>
      </c>
      <c r="M638" s="61">
        <f>L638/6</f>
        <v>0</v>
      </c>
      <c r="N638" s="61">
        <f t="shared" ref="N638:S643" si="702">N653+N683</f>
        <v>0</v>
      </c>
      <c r="O638" s="61">
        <f t="shared" si="702"/>
        <v>0</v>
      </c>
      <c r="P638" s="61">
        <f t="shared" si="702"/>
        <v>0</v>
      </c>
      <c r="Q638" s="61">
        <f t="shared" si="702"/>
        <v>0</v>
      </c>
      <c r="R638" s="61">
        <f t="shared" si="702"/>
        <v>0</v>
      </c>
      <c r="S638" s="61">
        <f t="shared" si="702"/>
        <v>0</v>
      </c>
      <c r="T638" s="61">
        <f>SUM(N638:S638)</f>
        <v>0</v>
      </c>
      <c r="U638" s="61">
        <f>T638+L638</f>
        <v>0</v>
      </c>
      <c r="V638" s="61">
        <f>V653+V683</f>
        <v>0</v>
      </c>
      <c r="W638" s="72">
        <f>V638-U638</f>
        <v>0</v>
      </c>
      <c r="X638" s="63">
        <f>U633-U638</f>
        <v>0</v>
      </c>
    </row>
    <row r="639" spans="1:28" s="126" customFormat="1" ht="18" hidden="1" customHeight="1">
      <c r="A639" s="614"/>
      <c r="B639" s="581"/>
      <c r="C639" s="581"/>
      <c r="D639" s="201" t="str">
        <f>серпень!D562</f>
        <v>дотація</v>
      </c>
      <c r="E639" s="71"/>
      <c r="F639" s="61">
        <f t="shared" si="701"/>
        <v>0</v>
      </c>
      <c r="G639" s="61">
        <f t="shared" si="701"/>
        <v>0</v>
      </c>
      <c r="H639" s="61">
        <f t="shared" si="701"/>
        <v>0</v>
      </c>
      <c r="I639" s="61">
        <f t="shared" si="701"/>
        <v>0</v>
      </c>
      <c r="J639" s="61">
        <f t="shared" si="701"/>
        <v>0</v>
      </c>
      <c r="K639" s="61">
        <f t="shared" si="701"/>
        <v>0</v>
      </c>
      <c r="L639" s="61">
        <f>SUM(F639:K639)</f>
        <v>0</v>
      </c>
      <c r="M639" s="61">
        <f>L639/6</f>
        <v>0</v>
      </c>
      <c r="N639" s="61">
        <f t="shared" si="702"/>
        <v>0</v>
      </c>
      <c r="O639" s="61">
        <f t="shared" si="702"/>
        <v>0</v>
      </c>
      <c r="P639" s="61">
        <f t="shared" si="702"/>
        <v>0</v>
      </c>
      <c r="Q639" s="61">
        <f t="shared" si="702"/>
        <v>0</v>
      </c>
      <c r="R639" s="61">
        <f t="shared" si="702"/>
        <v>0</v>
      </c>
      <c r="S639" s="61">
        <f t="shared" si="702"/>
        <v>0</v>
      </c>
      <c r="T639" s="61">
        <f>SUM(N639:S639)</f>
        <v>0</v>
      </c>
      <c r="U639" s="61">
        <f>T639+L639</f>
        <v>0</v>
      </c>
      <c r="V639" s="61">
        <f>V654+V684</f>
        <v>0</v>
      </c>
      <c r="W639" s="72">
        <f>V639-U639</f>
        <v>0</v>
      </c>
      <c r="X639" s="63">
        <f>U634-U639</f>
        <v>0</v>
      </c>
    </row>
    <row r="640" spans="1:28" s="126" customFormat="1" ht="18" hidden="1" customHeight="1">
      <c r="A640" s="614"/>
      <c r="B640" s="581"/>
      <c r="C640" s="581"/>
      <c r="D640" s="201" t="str">
        <f>серпень!D563</f>
        <v xml:space="preserve">місцевий </v>
      </c>
      <c r="E640" s="71"/>
      <c r="F640" s="61">
        <f t="shared" si="701"/>
        <v>0</v>
      </c>
      <c r="G640" s="61">
        <f t="shared" si="701"/>
        <v>0</v>
      </c>
      <c r="H640" s="61">
        <f t="shared" si="701"/>
        <v>0</v>
      </c>
      <c r="I640" s="61">
        <f t="shared" si="701"/>
        <v>0</v>
      </c>
      <c r="J640" s="61">
        <f t="shared" si="701"/>
        <v>0</v>
      </c>
      <c r="K640" s="61">
        <f t="shared" si="701"/>
        <v>0</v>
      </c>
      <c r="L640" s="61">
        <f>SUM(F640:K640)</f>
        <v>0</v>
      </c>
      <c r="M640" s="61">
        <f>L640/6</f>
        <v>0</v>
      </c>
      <c r="N640" s="61">
        <f t="shared" si="702"/>
        <v>0</v>
      </c>
      <c r="O640" s="61">
        <f t="shared" si="702"/>
        <v>0</v>
      </c>
      <c r="P640" s="61">
        <f t="shared" si="702"/>
        <v>0</v>
      </c>
      <c r="Q640" s="61">
        <f t="shared" si="702"/>
        <v>0</v>
      </c>
      <c r="R640" s="61">
        <f t="shared" si="702"/>
        <v>0</v>
      </c>
      <c r="S640" s="61">
        <f t="shared" si="702"/>
        <v>0</v>
      </c>
      <c r="T640" s="61">
        <f>SUM(N640:S640)</f>
        <v>0</v>
      </c>
      <c r="U640" s="61">
        <f>T640+L640</f>
        <v>0</v>
      </c>
      <c r="V640" s="61">
        <f>V655+V685</f>
        <v>0</v>
      </c>
      <c r="W640" s="72">
        <f>V640-U640</f>
        <v>0</v>
      </c>
      <c r="X640" s="63">
        <f>U635-U640</f>
        <v>0</v>
      </c>
    </row>
    <row r="641" spans="1:28" s="43" customFormat="1" ht="18" hidden="1" customHeight="1">
      <c r="A641" s="614"/>
      <c r="B641" s="581"/>
      <c r="C641" s="581"/>
      <c r="D641" s="202" t="str">
        <f>серпень!D564</f>
        <v>план</v>
      </c>
      <c r="E641" s="42"/>
      <c r="F641" s="42">
        <f t="shared" si="701"/>
        <v>0</v>
      </c>
      <c r="G641" s="42">
        <f t="shared" si="701"/>
        <v>0</v>
      </c>
      <c r="H641" s="42">
        <f t="shared" si="701"/>
        <v>0</v>
      </c>
      <c r="I641" s="42">
        <f t="shared" si="701"/>
        <v>0</v>
      </c>
      <c r="J641" s="42">
        <f t="shared" si="701"/>
        <v>0</v>
      </c>
      <c r="K641" s="42">
        <f t="shared" si="701"/>
        <v>0</v>
      </c>
      <c r="L641" s="42">
        <f>SUM(F641:K641)</f>
        <v>0</v>
      </c>
      <c r="M641" s="42">
        <f>L641/6</f>
        <v>0</v>
      </c>
      <c r="N641" s="42">
        <f t="shared" si="702"/>
        <v>0</v>
      </c>
      <c r="O641" s="42">
        <f t="shared" si="702"/>
        <v>0</v>
      </c>
      <c r="P641" s="42">
        <f t="shared" si="702"/>
        <v>0</v>
      </c>
      <c r="Q641" s="42">
        <f t="shared" si="702"/>
        <v>0</v>
      </c>
      <c r="R641" s="42">
        <f t="shared" si="702"/>
        <v>0</v>
      </c>
      <c r="S641" s="42">
        <f t="shared" si="702"/>
        <v>0</v>
      </c>
      <c r="T641" s="42">
        <f>SUM(N641:S641)</f>
        <v>0</v>
      </c>
      <c r="U641" s="42">
        <f>T641+L641</f>
        <v>0</v>
      </c>
      <c r="V641" s="42">
        <f>V656+V686</f>
        <v>0</v>
      </c>
      <c r="W641" s="42">
        <f>V641-U641</f>
        <v>0</v>
      </c>
    </row>
    <row r="642" spans="1:28" s="43" customFormat="1" ht="18" hidden="1" customHeight="1">
      <c r="A642" s="614"/>
      <c r="B642" s="581"/>
      <c r="C642" s="581"/>
      <c r="D642" s="202" t="str">
        <f>серпень!D565</f>
        <v xml:space="preserve">відхилення </v>
      </c>
      <c r="E642" s="42"/>
      <c r="F642" s="42">
        <f t="shared" si="701"/>
        <v>0</v>
      </c>
      <c r="G642" s="42">
        <f t="shared" si="701"/>
        <v>0</v>
      </c>
      <c r="H642" s="42">
        <f t="shared" si="701"/>
        <v>0</v>
      </c>
      <c r="I642" s="42">
        <f t="shared" si="701"/>
        <v>0</v>
      </c>
      <c r="J642" s="42">
        <f t="shared" si="701"/>
        <v>0</v>
      </c>
      <c r="K642" s="42">
        <f t="shared" si="701"/>
        <v>0</v>
      </c>
      <c r="L642" s="42"/>
      <c r="M642" s="42"/>
      <c r="N642" s="42">
        <f t="shared" si="702"/>
        <v>0</v>
      </c>
      <c r="O642" s="42">
        <f t="shared" si="702"/>
        <v>0</v>
      </c>
      <c r="P642" s="42">
        <f t="shared" si="702"/>
        <v>0</v>
      </c>
      <c r="Q642" s="42">
        <f t="shared" si="702"/>
        <v>0</v>
      </c>
      <c r="R642" s="42">
        <f t="shared" si="702"/>
        <v>0</v>
      </c>
      <c r="S642" s="42">
        <f t="shared" si="702"/>
        <v>0</v>
      </c>
      <c r="T642" s="42"/>
      <c r="U642" s="42"/>
      <c r="V642" s="42"/>
      <c r="W642" s="42"/>
    </row>
    <row r="643" spans="1:28" s="43" customFormat="1" ht="18" hidden="1" customHeight="1">
      <c r="A643" s="614"/>
      <c r="B643" s="581"/>
      <c r="C643" s="581"/>
      <c r="D643" s="202" t="str">
        <f>серпень!D566</f>
        <v>відхилення з наростаючим</v>
      </c>
      <c r="E643" s="42"/>
      <c r="F643" s="42">
        <f t="shared" si="701"/>
        <v>0</v>
      </c>
      <c r="G643" s="42">
        <f t="shared" si="701"/>
        <v>0</v>
      </c>
      <c r="H643" s="42">
        <f t="shared" si="701"/>
        <v>0</v>
      </c>
      <c r="I643" s="42">
        <f t="shared" si="701"/>
        <v>0</v>
      </c>
      <c r="J643" s="42">
        <f t="shared" si="701"/>
        <v>0</v>
      </c>
      <c r="K643" s="42">
        <f t="shared" si="701"/>
        <v>0</v>
      </c>
      <c r="L643" s="42"/>
      <c r="M643" s="42"/>
      <c r="N643" s="42">
        <f t="shared" si="702"/>
        <v>0</v>
      </c>
      <c r="O643" s="42">
        <f t="shared" si="702"/>
        <v>0</v>
      </c>
      <c r="P643" s="42">
        <f t="shared" si="702"/>
        <v>0</v>
      </c>
      <c r="Q643" s="42">
        <f t="shared" si="702"/>
        <v>0</v>
      </c>
      <c r="R643" s="42">
        <f t="shared" si="702"/>
        <v>0</v>
      </c>
      <c r="S643" s="42">
        <f t="shared" si="702"/>
        <v>0</v>
      </c>
      <c r="T643" s="42"/>
      <c r="U643" s="42"/>
      <c r="V643" s="42"/>
      <c r="W643" s="42"/>
    </row>
    <row r="644" spans="1:28" s="55" customFormat="1" ht="18" hidden="1" customHeight="1">
      <c r="A644" s="614"/>
      <c r="B644" s="581" t="s">
        <v>67</v>
      </c>
      <c r="C644" s="581"/>
      <c r="D644" s="178" t="str">
        <f>серпень!D567</f>
        <v>факт. нат.п-ки 2023</v>
      </c>
      <c r="E644" s="11"/>
      <c r="F644" s="12"/>
      <c r="G644" s="12"/>
      <c r="H644" s="12"/>
      <c r="I644" s="12"/>
      <c r="J644" s="12"/>
      <c r="K644" s="12"/>
      <c r="L644" s="65">
        <f>SUM(F644:K644)</f>
        <v>0</v>
      </c>
      <c r="M644" s="65">
        <f>L644/6</f>
        <v>0</v>
      </c>
      <c r="N644" s="12"/>
      <c r="O644" s="12"/>
      <c r="P644" s="12"/>
      <c r="Q644" s="12"/>
      <c r="R644" s="12"/>
      <c r="S644" s="12"/>
      <c r="T644" s="65">
        <f>SUM(N644:S644)</f>
        <v>0</v>
      </c>
      <c r="U644" s="66">
        <f>T644+L644</f>
        <v>0</v>
      </c>
      <c r="V644" s="67"/>
      <c r="W644" s="38">
        <f>V644-U644</f>
        <v>0</v>
      </c>
      <c r="X644" s="47"/>
      <c r="Y644" s="48"/>
      <c r="Z644" s="48"/>
      <c r="AA644" s="48"/>
      <c r="AB644" s="48"/>
    </row>
    <row r="645" spans="1:28" s="48" customFormat="1" ht="18" hidden="1" customHeight="1">
      <c r="A645" s="614"/>
      <c r="B645" s="581"/>
      <c r="C645" s="581"/>
      <c r="D645" s="178" t="str">
        <f>серпень!D568</f>
        <v>факт. нат.п-ки 2024</v>
      </c>
      <c r="E645" s="11"/>
      <c r="F645" s="12"/>
      <c r="G645" s="12"/>
      <c r="H645" s="12"/>
      <c r="I645" s="12"/>
      <c r="J645" s="12"/>
      <c r="K645" s="12"/>
      <c r="L645" s="65">
        <f>SUM(F645:K645)</f>
        <v>0</v>
      </c>
      <c r="M645" s="65">
        <f>L645/6</f>
        <v>0</v>
      </c>
      <c r="N645" s="11"/>
      <c r="O645" s="11"/>
      <c r="P645" s="11"/>
      <c r="Q645" s="11"/>
      <c r="R645" s="11"/>
      <c r="S645" s="11"/>
      <c r="T645" s="65">
        <f>SUM(N645:S645)</f>
        <v>0</v>
      </c>
      <c r="U645" s="66">
        <f>T645+L645</f>
        <v>0</v>
      </c>
      <c r="V645" s="67"/>
      <c r="W645" s="38">
        <f>V645-U645</f>
        <v>0</v>
      </c>
      <c r="X645" s="47"/>
    </row>
    <row r="646" spans="1:28" s="48" customFormat="1" ht="18" hidden="1" customHeight="1">
      <c r="A646" s="614"/>
      <c r="B646" s="581"/>
      <c r="C646" s="581"/>
      <c r="D646" s="178" t="str">
        <f>серпень!D569</f>
        <v>факт. нат.п-ки 2025</v>
      </c>
      <c r="E646" s="11"/>
      <c r="F646" s="12"/>
      <c r="G646" s="12"/>
      <c r="H646" s="12"/>
      <c r="I646" s="12"/>
      <c r="J646" s="12"/>
      <c r="K646" s="12"/>
      <c r="L646" s="65">
        <f>SUM(F646:K646)</f>
        <v>0</v>
      </c>
      <c r="M646" s="65">
        <f>L646/6</f>
        <v>0</v>
      </c>
      <c r="N646" s="12"/>
      <c r="O646" s="12"/>
      <c r="P646" s="12"/>
      <c r="Q646" s="12"/>
      <c r="R646" s="12"/>
      <c r="S646" s="11"/>
      <c r="T646" s="65">
        <f>SUM(N646:S646)</f>
        <v>0</v>
      </c>
      <c r="U646" s="66">
        <f>T646+L646</f>
        <v>0</v>
      </c>
      <c r="V646" s="11"/>
      <c r="W646" s="38">
        <f>V646-U646</f>
        <v>0</v>
      </c>
      <c r="X646" s="47"/>
    </row>
    <row r="647" spans="1:28" s="51" customFormat="1" ht="18" hidden="1" customHeight="1">
      <c r="A647" s="614"/>
      <c r="B647" s="581"/>
      <c r="C647" s="581"/>
      <c r="D647" s="187" t="str">
        <f>серпень!D570</f>
        <v>тариф, грн.</v>
      </c>
      <c r="E647" s="49"/>
      <c r="F647" s="49">
        <v>127.2</v>
      </c>
      <c r="G647" s="49">
        <v>127.2</v>
      </c>
      <c r="H647" s="49">
        <v>127.2</v>
      </c>
      <c r="I647" s="49">
        <v>127.2</v>
      </c>
      <c r="J647" s="49">
        <v>127.2</v>
      </c>
      <c r="K647" s="49">
        <v>127.2</v>
      </c>
      <c r="L647" s="49" t="e">
        <f>L648/L646*1000</f>
        <v>#DIV/0!</v>
      </c>
      <c r="M647" s="49" t="e">
        <f>M648/M646*1000</f>
        <v>#DIV/0!</v>
      </c>
      <c r="N647" s="49">
        <v>127.2</v>
      </c>
      <c r="O647" s="49">
        <v>127.2</v>
      </c>
      <c r="P647" s="49">
        <v>127.2</v>
      </c>
      <c r="Q647" s="49">
        <v>127.2</v>
      </c>
      <c r="R647" s="49">
        <v>127.2</v>
      </c>
      <c r="S647" s="49">
        <v>127.2</v>
      </c>
      <c r="T647" s="49" t="e">
        <f>T648/T646*1000</f>
        <v>#DIV/0!</v>
      </c>
      <c r="U647" s="49" t="e">
        <f>U648/U646*1000</f>
        <v>#DIV/0!</v>
      </c>
      <c r="V647" s="68" t="e">
        <f>V648/V646*1000</f>
        <v>#DIV/0!</v>
      </c>
      <c r="W647" s="14" t="e">
        <f>W648/W646*1000</f>
        <v>#DIV/0!</v>
      </c>
      <c r="X647" s="59"/>
    </row>
    <row r="648" spans="1:28" s="130" customFormat="1" ht="18" hidden="1" customHeight="1">
      <c r="A648" s="614"/>
      <c r="B648" s="581"/>
      <c r="C648" s="581"/>
      <c r="D648" s="191" t="str">
        <f>серпень!D571</f>
        <v>сума, тис.грн.</v>
      </c>
      <c r="E648" s="52"/>
      <c r="F648" s="52">
        <f t="shared" ref="F648:K648" si="703">F646*F647/1000</f>
        <v>0</v>
      </c>
      <c r="G648" s="52">
        <f t="shared" si="703"/>
        <v>0</v>
      </c>
      <c r="H648" s="52">
        <f t="shared" si="703"/>
        <v>0</v>
      </c>
      <c r="I648" s="52">
        <f t="shared" si="703"/>
        <v>0</v>
      </c>
      <c r="J648" s="52">
        <f t="shared" si="703"/>
        <v>0</v>
      </c>
      <c r="K648" s="52">
        <f t="shared" si="703"/>
        <v>0</v>
      </c>
      <c r="L648" s="69">
        <f>SUM(F648:K648)</f>
        <v>0</v>
      </c>
      <c r="M648" s="69">
        <f>L648/6</f>
        <v>0</v>
      </c>
      <c r="N648" s="52">
        <f t="shared" ref="N648:S648" si="704">N646*N647/1000</f>
        <v>0</v>
      </c>
      <c r="O648" s="52">
        <f t="shared" si="704"/>
        <v>0</v>
      </c>
      <c r="P648" s="52">
        <f t="shared" si="704"/>
        <v>0</v>
      </c>
      <c r="Q648" s="52">
        <f t="shared" si="704"/>
        <v>0</v>
      </c>
      <c r="R648" s="52">
        <f t="shared" si="704"/>
        <v>0</v>
      </c>
      <c r="S648" s="52">
        <f t="shared" si="704"/>
        <v>0</v>
      </c>
      <c r="T648" s="69">
        <f>SUM(N648:S648)</f>
        <v>0</v>
      </c>
      <c r="U648" s="69">
        <f>T648+L648</f>
        <v>0</v>
      </c>
      <c r="V648" s="70">
        <f>V649+V650</f>
        <v>0</v>
      </c>
      <c r="W648" s="53">
        <f>V648-U648</f>
        <v>0</v>
      </c>
    </row>
    <row r="649" spans="1:28" s="130" customFormat="1" ht="18" hidden="1" customHeight="1">
      <c r="A649" s="614"/>
      <c r="B649" s="581"/>
      <c r="C649" s="581"/>
      <c r="D649" s="174" t="str">
        <f>серпень!D572</f>
        <v>дотація</v>
      </c>
      <c r="E649" s="56"/>
      <c r="F649" s="52"/>
      <c r="G649" s="52"/>
      <c r="H649" s="52"/>
      <c r="I649" s="52"/>
      <c r="J649" s="52"/>
      <c r="K649" s="52"/>
      <c r="L649" s="69">
        <f>SUM(F649:K649)</f>
        <v>0</v>
      </c>
      <c r="M649" s="69">
        <f>L649/6</f>
        <v>0</v>
      </c>
      <c r="N649" s="52"/>
      <c r="O649" s="52"/>
      <c r="P649" s="52"/>
      <c r="Q649" s="52"/>
      <c r="R649" s="52"/>
      <c r="S649" s="52"/>
      <c r="T649" s="69">
        <f>SUM(N649:S649)</f>
        <v>0</v>
      </c>
      <c r="U649" s="69">
        <f>T649+L649</f>
        <v>0</v>
      </c>
      <c r="V649" s="70">
        <v>0</v>
      </c>
      <c r="W649" s="53">
        <f>V649-U649</f>
        <v>0</v>
      </c>
    </row>
    <row r="650" spans="1:28" s="130" customFormat="1" ht="18" hidden="1" customHeight="1">
      <c r="A650" s="614"/>
      <c r="B650" s="581"/>
      <c r="C650" s="581"/>
      <c r="D650" s="174" t="str">
        <f>серпень!D573</f>
        <v>місцевий (план), тис.грн</v>
      </c>
      <c r="E650" s="56"/>
      <c r="F650" s="52"/>
      <c r="G650" s="52"/>
      <c r="H650" s="52"/>
      <c r="I650" s="52"/>
      <c r="J650" s="52"/>
      <c r="K650" s="52"/>
      <c r="L650" s="69">
        <f>SUM(F650:K650)</f>
        <v>0</v>
      </c>
      <c r="M650" s="69">
        <f>L650/6</f>
        <v>0</v>
      </c>
      <c r="N650" s="52"/>
      <c r="O650" s="52"/>
      <c r="P650" s="52"/>
      <c r="Q650" s="52"/>
      <c r="R650" s="52"/>
      <c r="S650" s="52"/>
      <c r="T650" s="69">
        <f>SUM(N650:S650)</f>
        <v>0</v>
      </c>
      <c r="U650" s="69">
        <f>T650+L650</f>
        <v>0</v>
      </c>
      <c r="V650" s="70"/>
      <c r="W650" s="53">
        <f>V650-U650</f>
        <v>0</v>
      </c>
    </row>
    <row r="651" spans="1:28" s="48" customFormat="1" ht="18" hidden="1" customHeight="1">
      <c r="A651" s="614"/>
      <c r="B651" s="581"/>
      <c r="C651" s="581"/>
      <c r="D651" s="178" t="str">
        <f>серпень!D574</f>
        <v>касові нат.п-ки 2025</v>
      </c>
      <c r="E651" s="11"/>
      <c r="F651" s="11"/>
      <c r="G651" s="11"/>
      <c r="H651" s="11"/>
      <c r="I651" s="11"/>
      <c r="J651" s="11"/>
      <c r="K651" s="11"/>
      <c r="L651" s="65">
        <f>SUM(F651:K651)</f>
        <v>0</v>
      </c>
      <c r="M651" s="65">
        <f>L651/6</f>
        <v>0</v>
      </c>
      <c r="N651" s="11"/>
      <c r="O651" s="11"/>
      <c r="P651" s="11"/>
      <c r="Q651" s="11"/>
      <c r="R651" s="11"/>
      <c r="S651" s="11"/>
      <c r="T651" s="65">
        <f>SUM(N651:S651)</f>
        <v>0</v>
      </c>
      <c r="U651" s="65">
        <f>T651+L651</f>
        <v>0</v>
      </c>
      <c r="V651" s="11">
        <f>V646</f>
        <v>0</v>
      </c>
      <c r="W651" s="38">
        <f>V651-U651</f>
        <v>0</v>
      </c>
      <c r="X651" s="47">
        <f>U646-U651</f>
        <v>0</v>
      </c>
    </row>
    <row r="652" spans="1:28" s="51" customFormat="1" ht="18" hidden="1" customHeight="1">
      <c r="A652" s="614"/>
      <c r="B652" s="581"/>
      <c r="C652" s="581"/>
      <c r="D652" s="187" t="str">
        <f>серпень!D575</f>
        <v>тариф, грн.</v>
      </c>
      <c r="E652" s="49" t="e">
        <f>E653/E651*1000</f>
        <v>#DIV/0!</v>
      </c>
      <c r="F652" s="49">
        <v>127.2</v>
      </c>
      <c r="G652" s="49">
        <v>127.2</v>
      </c>
      <c r="H652" s="49">
        <v>127.2</v>
      </c>
      <c r="I652" s="49">
        <v>127.2</v>
      </c>
      <c r="J652" s="49">
        <v>127.2</v>
      </c>
      <c r="K652" s="49">
        <v>127.2</v>
      </c>
      <c r="L652" s="49" t="e">
        <f>L653/L651*1000</f>
        <v>#DIV/0!</v>
      </c>
      <c r="M652" s="49" t="e">
        <f>M653/M651*1000</f>
        <v>#DIV/0!</v>
      </c>
      <c r="N652" s="49">
        <v>127.2</v>
      </c>
      <c r="O652" s="49">
        <v>127.2</v>
      </c>
      <c r="P652" s="49">
        <v>127.2</v>
      </c>
      <c r="Q652" s="49">
        <v>127.2</v>
      </c>
      <c r="R652" s="49">
        <v>127.2</v>
      </c>
      <c r="S652" s="49">
        <v>127.2</v>
      </c>
      <c r="T652" s="49" t="e">
        <f>T653/T651*1000</f>
        <v>#DIV/0!</v>
      </c>
      <c r="U652" s="49" t="e">
        <f>U653/U651*1000</f>
        <v>#DIV/0!</v>
      </c>
      <c r="V652" s="68" t="e">
        <f>V653/V651*1000</f>
        <v>#DIV/0!</v>
      </c>
      <c r="W652" s="14" t="e">
        <f>W653/W651*1000</f>
        <v>#DIV/0!</v>
      </c>
      <c r="X652" s="59"/>
    </row>
    <row r="653" spans="1:28" s="126" customFormat="1" ht="18" hidden="1" customHeight="1">
      <c r="A653" s="614"/>
      <c r="B653" s="581"/>
      <c r="C653" s="581"/>
      <c r="D653" s="198" t="str">
        <f>серпень!D576</f>
        <v>касові видатки, тис.грн.</v>
      </c>
      <c r="E653" s="71"/>
      <c r="F653" s="61">
        <f t="shared" ref="F653:K653" si="705">F651*F652/1000</f>
        <v>0</v>
      </c>
      <c r="G653" s="61">
        <f t="shared" si="705"/>
        <v>0</v>
      </c>
      <c r="H653" s="61">
        <f t="shared" si="705"/>
        <v>0</v>
      </c>
      <c r="I653" s="61">
        <f t="shared" si="705"/>
        <v>0</v>
      </c>
      <c r="J653" s="61">
        <f t="shared" si="705"/>
        <v>0</v>
      </c>
      <c r="K653" s="61">
        <f t="shared" si="705"/>
        <v>0</v>
      </c>
      <c r="L653" s="61">
        <f>SUM(F653:K653)</f>
        <v>0</v>
      </c>
      <c r="M653" s="61">
        <f>L653/6</f>
        <v>0</v>
      </c>
      <c r="N653" s="61">
        <f t="shared" ref="N653:S653" si="706">N651*N652/1000</f>
        <v>0</v>
      </c>
      <c r="O653" s="61">
        <f t="shared" si="706"/>
        <v>0</v>
      </c>
      <c r="P653" s="61">
        <f t="shared" si="706"/>
        <v>0</v>
      </c>
      <c r="Q653" s="61">
        <f t="shared" si="706"/>
        <v>0</v>
      </c>
      <c r="R653" s="61">
        <f t="shared" si="706"/>
        <v>0</v>
      </c>
      <c r="S653" s="61">
        <f t="shared" si="706"/>
        <v>0</v>
      </c>
      <c r="T653" s="61">
        <f>SUM(N653:S653)</f>
        <v>0</v>
      </c>
      <c r="U653" s="61">
        <f>T653+L653</f>
        <v>0</v>
      </c>
      <c r="V653" s="61">
        <f>V648</f>
        <v>0</v>
      </c>
      <c r="W653" s="72">
        <f>V653-U653</f>
        <v>0</v>
      </c>
      <c r="X653" s="63">
        <f>U648-U653</f>
        <v>0</v>
      </c>
    </row>
    <row r="654" spans="1:28" s="126" customFormat="1" ht="18" hidden="1" customHeight="1">
      <c r="A654" s="614"/>
      <c r="B654" s="581"/>
      <c r="C654" s="581"/>
      <c r="D654" s="201" t="str">
        <f>серпень!D577</f>
        <v>дотація</v>
      </c>
      <c r="E654" s="71"/>
      <c r="F654" s="61"/>
      <c r="G654" s="61"/>
      <c r="H654" s="61"/>
      <c r="I654" s="61"/>
      <c r="J654" s="61"/>
      <c r="K654" s="61"/>
      <c r="L654" s="61">
        <f>SUM(F654:K654)</f>
        <v>0</v>
      </c>
      <c r="M654" s="61">
        <f>L654/6</f>
        <v>0</v>
      </c>
      <c r="N654" s="61"/>
      <c r="O654" s="61"/>
      <c r="P654" s="61"/>
      <c r="Q654" s="61"/>
      <c r="R654" s="61"/>
      <c r="S654" s="61"/>
      <c r="T654" s="61">
        <f>SUM(N654:S654)</f>
        <v>0</v>
      </c>
      <c r="U654" s="61">
        <f>T654+L654</f>
        <v>0</v>
      </c>
      <c r="V654" s="61">
        <f>V649</f>
        <v>0</v>
      </c>
      <c r="W654" s="72">
        <f>V654-U654</f>
        <v>0</v>
      </c>
      <c r="X654" s="63">
        <f>U649-U654</f>
        <v>0</v>
      </c>
    </row>
    <row r="655" spans="1:28" s="126" customFormat="1" ht="18" hidden="1" customHeight="1">
      <c r="A655" s="614"/>
      <c r="B655" s="581"/>
      <c r="C655" s="581"/>
      <c r="D655" s="201" t="str">
        <f>серпень!D578</f>
        <v xml:space="preserve">місцевий </v>
      </c>
      <c r="E655" s="71"/>
      <c r="F655" s="61">
        <f t="shared" ref="F655:K655" si="707">F653-F654</f>
        <v>0</v>
      </c>
      <c r="G655" s="61">
        <f t="shared" si="707"/>
        <v>0</v>
      </c>
      <c r="H655" s="61">
        <f t="shared" si="707"/>
        <v>0</v>
      </c>
      <c r="I655" s="61">
        <f t="shared" si="707"/>
        <v>0</v>
      </c>
      <c r="J655" s="61">
        <f t="shared" si="707"/>
        <v>0</v>
      </c>
      <c r="K655" s="61">
        <f t="shared" si="707"/>
        <v>0</v>
      </c>
      <c r="L655" s="61">
        <f>SUM(F655:K655)</f>
        <v>0</v>
      </c>
      <c r="M655" s="61">
        <f>L655/6</f>
        <v>0</v>
      </c>
      <c r="N655" s="61">
        <f t="shared" ref="N655:S655" si="708">N653-N654</f>
        <v>0</v>
      </c>
      <c r="O655" s="61">
        <f t="shared" si="708"/>
        <v>0</v>
      </c>
      <c r="P655" s="61">
        <f t="shared" si="708"/>
        <v>0</v>
      </c>
      <c r="Q655" s="61">
        <f t="shared" si="708"/>
        <v>0</v>
      </c>
      <c r="R655" s="61">
        <f t="shared" si="708"/>
        <v>0</v>
      </c>
      <c r="S655" s="61">
        <f t="shared" si="708"/>
        <v>0</v>
      </c>
      <c r="T655" s="61">
        <f>SUM(N655:S655)</f>
        <v>0</v>
      </c>
      <c r="U655" s="61">
        <f>T655+L655</f>
        <v>0</v>
      </c>
      <c r="V655" s="61">
        <f>V650</f>
        <v>0</v>
      </c>
      <c r="W655" s="72">
        <f>V655-U655</f>
        <v>0</v>
      </c>
      <c r="X655" s="63">
        <f>U650-U655</f>
        <v>0</v>
      </c>
    </row>
    <row r="656" spans="1:28" s="43" customFormat="1" ht="18" hidden="1" customHeight="1">
      <c r="A656" s="614"/>
      <c r="B656" s="581"/>
      <c r="C656" s="581"/>
      <c r="D656" s="202" t="str">
        <f>серпень!D579</f>
        <v>план</v>
      </c>
      <c r="E656" s="42"/>
      <c r="F656" s="42">
        <f t="shared" ref="F656:K656" si="709">F650</f>
        <v>0</v>
      </c>
      <c r="G656" s="42">
        <f t="shared" si="709"/>
        <v>0</v>
      </c>
      <c r="H656" s="42">
        <f t="shared" si="709"/>
        <v>0</v>
      </c>
      <c r="I656" s="42">
        <f t="shared" si="709"/>
        <v>0</v>
      </c>
      <c r="J656" s="42">
        <f t="shared" si="709"/>
        <v>0</v>
      </c>
      <c r="K656" s="42">
        <f t="shared" si="709"/>
        <v>0</v>
      </c>
      <c r="L656" s="42">
        <f>SUM(F656:K656)</f>
        <v>0</v>
      </c>
      <c r="M656" s="42">
        <f>L656/6</f>
        <v>0</v>
      </c>
      <c r="N656" s="42">
        <f t="shared" ref="N656:S656" si="710">N650+N649</f>
        <v>0</v>
      </c>
      <c r="O656" s="42">
        <f t="shared" si="710"/>
        <v>0</v>
      </c>
      <c r="P656" s="42">
        <f t="shared" si="710"/>
        <v>0</v>
      </c>
      <c r="Q656" s="42">
        <f t="shared" si="710"/>
        <v>0</v>
      </c>
      <c r="R656" s="42">
        <f t="shared" si="710"/>
        <v>0</v>
      </c>
      <c r="S656" s="42">
        <f t="shared" si="710"/>
        <v>0</v>
      </c>
      <c r="T656" s="42">
        <f>SUM(N656:S656)</f>
        <v>0</v>
      </c>
      <c r="U656" s="42">
        <f>T656+L656</f>
        <v>0</v>
      </c>
      <c r="V656" s="42">
        <f>V653</f>
        <v>0</v>
      </c>
      <c r="W656" s="42">
        <f>V656-U656</f>
        <v>0</v>
      </c>
    </row>
    <row r="657" spans="1:28" s="43" customFormat="1" ht="18" hidden="1" customHeight="1">
      <c r="A657" s="614"/>
      <c r="B657" s="581"/>
      <c r="C657" s="581"/>
      <c r="D657" s="202" t="str">
        <f>серпень!D580</f>
        <v xml:space="preserve">відхилення </v>
      </c>
      <c r="E657" s="42"/>
      <c r="F657" s="42">
        <f t="shared" ref="F657:K657" si="711">F653-F656</f>
        <v>0</v>
      </c>
      <c r="G657" s="42">
        <f t="shared" si="711"/>
        <v>0</v>
      </c>
      <c r="H657" s="42">
        <f t="shared" si="711"/>
        <v>0</v>
      </c>
      <c r="I657" s="42">
        <f t="shared" si="711"/>
        <v>0</v>
      </c>
      <c r="J657" s="42">
        <f t="shared" si="711"/>
        <v>0</v>
      </c>
      <c r="K657" s="42">
        <f t="shared" si="711"/>
        <v>0</v>
      </c>
      <c r="L657" s="42"/>
      <c r="M657" s="42"/>
      <c r="N657" s="42">
        <f t="shared" ref="N657:S657" si="712">N653-N656</f>
        <v>0</v>
      </c>
      <c r="O657" s="42">
        <f t="shared" si="712"/>
        <v>0</v>
      </c>
      <c r="P657" s="42">
        <f t="shared" si="712"/>
        <v>0</v>
      </c>
      <c r="Q657" s="42">
        <f t="shared" si="712"/>
        <v>0</v>
      </c>
      <c r="R657" s="42">
        <f t="shared" si="712"/>
        <v>0</v>
      </c>
      <c r="S657" s="42">
        <f t="shared" si="712"/>
        <v>0</v>
      </c>
      <c r="T657" s="42"/>
      <c r="U657" s="42"/>
      <c r="V657" s="42"/>
      <c r="W657" s="42"/>
    </row>
    <row r="658" spans="1:28" s="43" customFormat="1" ht="18" hidden="1" customHeight="1">
      <c r="A658" s="614"/>
      <c r="B658" s="581"/>
      <c r="C658" s="581"/>
      <c r="D658" s="202" t="str">
        <f>серпень!D581</f>
        <v>відхилення з наростаючим</v>
      </c>
      <c r="E658" s="42"/>
      <c r="F658" s="42">
        <f>F657</f>
        <v>0</v>
      </c>
      <c r="G658" s="42">
        <f>G657+F658</f>
        <v>0</v>
      </c>
      <c r="H658" s="42">
        <f>H657+G658</f>
        <v>0</v>
      </c>
      <c r="I658" s="42">
        <f>I657+H658</f>
        <v>0</v>
      </c>
      <c r="J658" s="42">
        <f>J657+I658</f>
        <v>0</v>
      </c>
      <c r="K658" s="42">
        <f>K657+J658</f>
        <v>0</v>
      </c>
      <c r="L658" s="42"/>
      <c r="M658" s="42"/>
      <c r="N658" s="42">
        <f>N657+K658</f>
        <v>0</v>
      </c>
      <c r="O658" s="42">
        <f>O657+N658</f>
        <v>0</v>
      </c>
      <c r="P658" s="42">
        <f>P657+O658</f>
        <v>0</v>
      </c>
      <c r="Q658" s="42">
        <f>Q657+P658</f>
        <v>0</v>
      </c>
      <c r="R658" s="42">
        <f>R657+Q658</f>
        <v>0</v>
      </c>
      <c r="S658" s="42">
        <f>S657+R658</f>
        <v>0</v>
      </c>
      <c r="T658" s="42"/>
      <c r="U658" s="42"/>
      <c r="V658" s="42"/>
      <c r="W658" s="42"/>
    </row>
    <row r="659" spans="1:28" s="55" customFormat="1" ht="18" hidden="1" customHeight="1">
      <c r="A659" s="614"/>
      <c r="B659" s="654" t="s">
        <v>135</v>
      </c>
      <c r="C659" s="581"/>
      <c r="D659" s="178" t="str">
        <f>серпень!D582</f>
        <v>факт. нат.п-ки 2023</v>
      </c>
      <c r="E659" s="11"/>
      <c r="F659" s="12"/>
      <c r="G659" s="12"/>
      <c r="H659" s="12"/>
      <c r="I659" s="12"/>
      <c r="J659" s="12"/>
      <c r="K659" s="12"/>
      <c r="L659" s="65">
        <f>SUM(F659:K659)</f>
        <v>0</v>
      </c>
      <c r="M659" s="65">
        <f>L659/6</f>
        <v>0</v>
      </c>
      <c r="N659" s="12"/>
      <c r="O659" s="12"/>
      <c r="P659" s="12"/>
      <c r="Q659" s="12"/>
      <c r="R659" s="12"/>
      <c r="S659" s="12"/>
      <c r="T659" s="65">
        <f>SUM(N659:S659)</f>
        <v>0</v>
      </c>
      <c r="U659" s="66">
        <f>T659+L659</f>
        <v>0</v>
      </c>
      <c r="V659" s="67"/>
      <c r="W659" s="38">
        <f>V659-U659</f>
        <v>0</v>
      </c>
      <c r="X659" s="47"/>
      <c r="Y659" s="48"/>
      <c r="Z659" s="48"/>
      <c r="AA659" s="48"/>
      <c r="AB659" s="48"/>
    </row>
    <row r="660" spans="1:28" s="48" customFormat="1" ht="18" hidden="1" customHeight="1">
      <c r="A660" s="614"/>
      <c r="B660" s="581"/>
      <c r="C660" s="581"/>
      <c r="D660" s="178" t="str">
        <f>серпень!D583</f>
        <v>факт. нат.п-ки 2024</v>
      </c>
      <c r="E660" s="11"/>
      <c r="F660" s="12"/>
      <c r="G660" s="12"/>
      <c r="H660" s="12"/>
      <c r="I660" s="12"/>
      <c r="J660" s="12"/>
      <c r="K660" s="12"/>
      <c r="L660" s="65">
        <f>SUM(F660:K660)</f>
        <v>0</v>
      </c>
      <c r="M660" s="65">
        <f>L660/6</f>
        <v>0</v>
      </c>
      <c r="N660" s="11"/>
      <c r="O660" s="11"/>
      <c r="P660" s="11"/>
      <c r="Q660" s="11"/>
      <c r="R660" s="11"/>
      <c r="S660" s="11"/>
      <c r="T660" s="65">
        <f>SUM(N660:S660)</f>
        <v>0</v>
      </c>
      <c r="U660" s="66">
        <f>T660+L660</f>
        <v>0</v>
      </c>
      <c r="V660" s="67"/>
      <c r="W660" s="38">
        <f>V660-U660</f>
        <v>0</v>
      </c>
      <c r="X660" s="47"/>
    </row>
    <row r="661" spans="1:28" s="48" customFormat="1" ht="18" hidden="1" customHeight="1">
      <c r="A661" s="614"/>
      <c r="B661" s="581"/>
      <c r="C661" s="581"/>
      <c r="D661" s="178" t="str">
        <f>серпень!D584</f>
        <v>факт. нат.п-ки 2025</v>
      </c>
      <c r="E661" s="11"/>
      <c r="F661" s="12"/>
      <c r="G661" s="12"/>
      <c r="H661" s="12"/>
      <c r="I661" s="12"/>
      <c r="J661" s="12"/>
      <c r="K661" s="12"/>
      <c r="L661" s="65">
        <f>SUM(F661:K661)</f>
        <v>0</v>
      </c>
      <c r="M661" s="65">
        <f>L661/6</f>
        <v>0</v>
      </c>
      <c r="N661" s="12"/>
      <c r="O661" s="12"/>
      <c r="P661" s="12"/>
      <c r="Q661" s="12"/>
      <c r="R661" s="12"/>
      <c r="S661" s="11"/>
      <c r="T661" s="65">
        <f>SUM(N661:S661)</f>
        <v>0</v>
      </c>
      <c r="U661" s="66">
        <f>T661+L661</f>
        <v>0</v>
      </c>
      <c r="V661" s="11"/>
      <c r="W661" s="38">
        <f>V661-U661</f>
        <v>0</v>
      </c>
      <c r="X661" s="47"/>
    </row>
    <row r="662" spans="1:28" s="51" customFormat="1" ht="18" hidden="1" customHeight="1">
      <c r="A662" s="614"/>
      <c r="B662" s="581"/>
      <c r="C662" s="581"/>
      <c r="D662" s="187" t="str">
        <f>серпень!D585</f>
        <v>тариф, грн.</v>
      </c>
      <c r="E662" s="49"/>
      <c r="F662" s="49">
        <v>127.2</v>
      </c>
      <c r="G662" s="49">
        <v>127.2</v>
      </c>
      <c r="H662" s="49">
        <v>127.2</v>
      </c>
      <c r="I662" s="49">
        <v>127.2</v>
      </c>
      <c r="J662" s="49">
        <v>127.2</v>
      </c>
      <c r="K662" s="49">
        <v>127.2</v>
      </c>
      <c r="L662" s="49" t="e">
        <f>L663/L661*1000</f>
        <v>#DIV/0!</v>
      </c>
      <c r="M662" s="49" t="e">
        <f>M663/M661*1000</f>
        <v>#DIV/0!</v>
      </c>
      <c r="N662" s="49">
        <v>127.2</v>
      </c>
      <c r="O662" s="49">
        <v>127.2</v>
      </c>
      <c r="P662" s="49">
        <v>127.2</v>
      </c>
      <c r="Q662" s="49">
        <v>127.2</v>
      </c>
      <c r="R662" s="49">
        <v>127.2</v>
      </c>
      <c r="S662" s="49">
        <v>127.2</v>
      </c>
      <c r="T662" s="49" t="e">
        <f>T663/T661*1000</f>
        <v>#DIV/0!</v>
      </c>
      <c r="U662" s="49" t="e">
        <f>U663/U661*1000</f>
        <v>#DIV/0!</v>
      </c>
      <c r="V662" s="68" t="e">
        <f>V663/V661*1000</f>
        <v>#DIV/0!</v>
      </c>
      <c r="W662" s="14" t="e">
        <f>W663/W661*1000</f>
        <v>#DIV/0!</v>
      </c>
      <c r="X662" s="59"/>
    </row>
    <row r="663" spans="1:28" s="130" customFormat="1" ht="18" hidden="1" customHeight="1">
      <c r="A663" s="614"/>
      <c r="B663" s="581"/>
      <c r="C663" s="581"/>
      <c r="D663" s="191" t="str">
        <f>серпень!D586</f>
        <v>сума, тис.грн.</v>
      </c>
      <c r="E663" s="52"/>
      <c r="F663" s="52">
        <f t="shared" ref="F663:K663" si="713">F661*F662/1000</f>
        <v>0</v>
      </c>
      <c r="G663" s="52">
        <f t="shared" si="713"/>
        <v>0</v>
      </c>
      <c r="H663" s="52">
        <f t="shared" si="713"/>
        <v>0</v>
      </c>
      <c r="I663" s="52">
        <f t="shared" si="713"/>
        <v>0</v>
      </c>
      <c r="J663" s="52">
        <f t="shared" si="713"/>
        <v>0</v>
      </c>
      <c r="K663" s="52">
        <f t="shared" si="713"/>
        <v>0</v>
      </c>
      <c r="L663" s="69">
        <f>SUM(F663:K663)</f>
        <v>0</v>
      </c>
      <c r="M663" s="69">
        <f>L663/6</f>
        <v>0</v>
      </c>
      <c r="N663" s="52">
        <f t="shared" ref="N663:S663" si="714">N661*N662/1000</f>
        <v>0</v>
      </c>
      <c r="O663" s="52">
        <f t="shared" si="714"/>
        <v>0</v>
      </c>
      <c r="P663" s="52">
        <f t="shared" si="714"/>
        <v>0</v>
      </c>
      <c r="Q663" s="52">
        <f t="shared" si="714"/>
        <v>0</v>
      </c>
      <c r="R663" s="52">
        <f t="shared" si="714"/>
        <v>0</v>
      </c>
      <c r="S663" s="52">
        <f t="shared" si="714"/>
        <v>0</v>
      </c>
      <c r="T663" s="69">
        <f>SUM(N663:S663)</f>
        <v>0</v>
      </c>
      <c r="U663" s="69">
        <f>T663+L663</f>
        <v>0</v>
      </c>
      <c r="V663" s="70">
        <f>V664+V665</f>
        <v>0</v>
      </c>
      <c r="W663" s="53">
        <f>V663-U663</f>
        <v>0</v>
      </c>
    </row>
    <row r="664" spans="1:28" s="130" customFormat="1" ht="18" hidden="1" customHeight="1">
      <c r="A664" s="614"/>
      <c r="B664" s="581"/>
      <c r="C664" s="581"/>
      <c r="D664" s="174" t="str">
        <f>серпень!D587</f>
        <v>дотація</v>
      </c>
      <c r="E664" s="56"/>
      <c r="F664" s="52"/>
      <c r="G664" s="52"/>
      <c r="H664" s="52"/>
      <c r="I664" s="52"/>
      <c r="J664" s="52"/>
      <c r="K664" s="52"/>
      <c r="L664" s="69">
        <f>SUM(F664:K664)</f>
        <v>0</v>
      </c>
      <c r="M664" s="69">
        <f>L664/6</f>
        <v>0</v>
      </c>
      <c r="N664" s="52"/>
      <c r="O664" s="52"/>
      <c r="P664" s="52"/>
      <c r="Q664" s="52"/>
      <c r="R664" s="52"/>
      <c r="S664" s="52"/>
      <c r="T664" s="69">
        <f>SUM(N664:S664)</f>
        <v>0</v>
      </c>
      <c r="U664" s="69">
        <f>T664+L664</f>
        <v>0</v>
      </c>
      <c r="V664" s="70">
        <v>0</v>
      </c>
      <c r="W664" s="53">
        <f>V664-U664</f>
        <v>0</v>
      </c>
    </row>
    <row r="665" spans="1:28" s="130" customFormat="1" ht="18" hidden="1" customHeight="1">
      <c r="A665" s="614"/>
      <c r="B665" s="581"/>
      <c r="C665" s="581"/>
      <c r="D665" s="174" t="str">
        <f>серпень!D588</f>
        <v>місцевий (план), тис.грн</v>
      </c>
      <c r="E665" s="56"/>
      <c r="F665" s="52"/>
      <c r="G665" s="52"/>
      <c r="H665" s="52"/>
      <c r="I665" s="52"/>
      <c r="J665" s="52"/>
      <c r="K665" s="52"/>
      <c r="L665" s="69">
        <f>SUM(F665:K665)</f>
        <v>0</v>
      </c>
      <c r="M665" s="69">
        <f>L665/6</f>
        <v>0</v>
      </c>
      <c r="N665" s="52"/>
      <c r="O665" s="52"/>
      <c r="P665" s="52"/>
      <c r="Q665" s="52"/>
      <c r="R665" s="52"/>
      <c r="S665" s="52"/>
      <c r="T665" s="69">
        <f>SUM(N665:S665)</f>
        <v>0</v>
      </c>
      <c r="U665" s="69">
        <f>T665+L665</f>
        <v>0</v>
      </c>
      <c r="V665" s="70"/>
      <c r="W665" s="53">
        <f>V665-U665</f>
        <v>0</v>
      </c>
    </row>
    <row r="666" spans="1:28" s="48" customFormat="1" ht="18" hidden="1" customHeight="1">
      <c r="A666" s="614"/>
      <c r="B666" s="581"/>
      <c r="C666" s="581"/>
      <c r="D666" s="178" t="str">
        <f>серпень!D589</f>
        <v>касові нат.п-ки 2025</v>
      </c>
      <c r="E666" s="11"/>
      <c r="F666" s="11"/>
      <c r="G666" s="11"/>
      <c r="H666" s="11"/>
      <c r="I666" s="11"/>
      <c r="J666" s="11"/>
      <c r="K666" s="11"/>
      <c r="L666" s="65">
        <f>SUM(F666:K666)</f>
        <v>0</v>
      </c>
      <c r="M666" s="65">
        <f>L666/6</f>
        <v>0</v>
      </c>
      <c r="N666" s="11"/>
      <c r="O666" s="11"/>
      <c r="P666" s="11"/>
      <c r="Q666" s="11"/>
      <c r="R666" s="11"/>
      <c r="S666" s="11"/>
      <c r="T666" s="65">
        <f>SUM(N666:S666)</f>
        <v>0</v>
      </c>
      <c r="U666" s="65">
        <f>T666+L666</f>
        <v>0</v>
      </c>
      <c r="V666" s="11">
        <f>V661</f>
        <v>0</v>
      </c>
      <c r="W666" s="38">
        <f>V666-U666</f>
        <v>0</v>
      </c>
      <c r="X666" s="47">
        <f>U661-U666</f>
        <v>0</v>
      </c>
    </row>
    <row r="667" spans="1:28" s="51" customFormat="1" ht="18" hidden="1" customHeight="1">
      <c r="A667" s="614"/>
      <c r="B667" s="581"/>
      <c r="C667" s="581"/>
      <c r="D667" s="187" t="str">
        <f>серпень!D590</f>
        <v>тариф, грн.</v>
      </c>
      <c r="E667" s="49" t="e">
        <f>E668/E666*1000</f>
        <v>#DIV/0!</v>
      </c>
      <c r="F667" s="49">
        <v>127.2</v>
      </c>
      <c r="G667" s="49">
        <v>127.2</v>
      </c>
      <c r="H667" s="49">
        <v>127.2</v>
      </c>
      <c r="I667" s="49">
        <v>127.2</v>
      </c>
      <c r="J667" s="49">
        <v>127.2</v>
      </c>
      <c r="K667" s="49">
        <v>127.2</v>
      </c>
      <c r="L667" s="49" t="e">
        <f>L668/L666*1000</f>
        <v>#DIV/0!</v>
      </c>
      <c r="M667" s="49" t="e">
        <f>M668/M666*1000</f>
        <v>#DIV/0!</v>
      </c>
      <c r="N667" s="49">
        <v>127.2</v>
      </c>
      <c r="O667" s="49">
        <v>127.2</v>
      </c>
      <c r="P667" s="49">
        <v>127.2</v>
      </c>
      <c r="Q667" s="49">
        <v>127.2</v>
      </c>
      <c r="R667" s="49">
        <v>127.2</v>
      </c>
      <c r="S667" s="49">
        <v>127.2</v>
      </c>
      <c r="T667" s="49" t="e">
        <f>T668/T666*1000</f>
        <v>#DIV/0!</v>
      </c>
      <c r="U667" s="49" t="e">
        <f>U668/U666*1000</f>
        <v>#DIV/0!</v>
      </c>
      <c r="V667" s="68" t="e">
        <f>V668/V666*1000</f>
        <v>#DIV/0!</v>
      </c>
      <c r="W667" s="14" t="e">
        <f>W668/W666*1000</f>
        <v>#DIV/0!</v>
      </c>
      <c r="X667" s="59"/>
    </row>
    <row r="668" spans="1:28" s="126" customFormat="1" ht="18" hidden="1" customHeight="1">
      <c r="A668" s="614"/>
      <c r="B668" s="581"/>
      <c r="C668" s="581"/>
      <c r="D668" s="198" t="str">
        <f>серпень!D591</f>
        <v>касові видатки, тис.грн.</v>
      </c>
      <c r="E668" s="71"/>
      <c r="F668" s="61">
        <f t="shared" ref="F668:K668" si="715">F666*F667/1000</f>
        <v>0</v>
      </c>
      <c r="G668" s="61">
        <f t="shared" si="715"/>
        <v>0</v>
      </c>
      <c r="H668" s="61">
        <f t="shared" si="715"/>
        <v>0</v>
      </c>
      <c r="I668" s="61">
        <f t="shared" si="715"/>
        <v>0</v>
      </c>
      <c r="J668" s="61">
        <f t="shared" si="715"/>
        <v>0</v>
      </c>
      <c r="K668" s="61">
        <f t="shared" si="715"/>
        <v>0</v>
      </c>
      <c r="L668" s="61">
        <f>SUM(F668:K668)</f>
        <v>0</v>
      </c>
      <c r="M668" s="61">
        <f>L668/6</f>
        <v>0</v>
      </c>
      <c r="N668" s="61">
        <f t="shared" ref="N668:S668" si="716">N666*N667/1000</f>
        <v>0</v>
      </c>
      <c r="O668" s="61">
        <f t="shared" si="716"/>
        <v>0</v>
      </c>
      <c r="P668" s="61">
        <f t="shared" si="716"/>
        <v>0</v>
      </c>
      <c r="Q668" s="61">
        <f t="shared" si="716"/>
        <v>0</v>
      </c>
      <c r="R668" s="61">
        <f t="shared" si="716"/>
        <v>0</v>
      </c>
      <c r="S668" s="61">
        <f t="shared" si="716"/>
        <v>0</v>
      </c>
      <c r="T668" s="61">
        <f>SUM(N668:S668)</f>
        <v>0</v>
      </c>
      <c r="U668" s="61">
        <f>T668+L668</f>
        <v>0</v>
      </c>
      <c r="V668" s="61">
        <f>V663</f>
        <v>0</v>
      </c>
      <c r="W668" s="72">
        <f>V668-U668</f>
        <v>0</v>
      </c>
      <c r="X668" s="63">
        <f>U663-U668</f>
        <v>0</v>
      </c>
    </row>
    <row r="669" spans="1:28" s="126" customFormat="1" ht="18" hidden="1" customHeight="1">
      <c r="A669" s="614"/>
      <c r="B669" s="581"/>
      <c r="C669" s="581"/>
      <c r="D669" s="201" t="str">
        <f>серпень!D592</f>
        <v>дотація</v>
      </c>
      <c r="E669" s="71"/>
      <c r="F669" s="61"/>
      <c r="G669" s="61"/>
      <c r="H669" s="61"/>
      <c r="I669" s="61"/>
      <c r="J669" s="61"/>
      <c r="K669" s="61"/>
      <c r="L669" s="61">
        <f>SUM(F669:K669)</f>
        <v>0</v>
      </c>
      <c r="M669" s="61">
        <f>L669/6</f>
        <v>0</v>
      </c>
      <c r="N669" s="61"/>
      <c r="O669" s="61"/>
      <c r="P669" s="61"/>
      <c r="Q669" s="61"/>
      <c r="R669" s="61"/>
      <c r="S669" s="61"/>
      <c r="T669" s="61">
        <f>SUM(N669:S669)</f>
        <v>0</v>
      </c>
      <c r="U669" s="61">
        <f>T669+L669</f>
        <v>0</v>
      </c>
      <c r="V669" s="61">
        <f>V664</f>
        <v>0</v>
      </c>
      <c r="W669" s="72">
        <f>V669-U669</f>
        <v>0</v>
      </c>
      <c r="X669" s="63">
        <f>U664-U669</f>
        <v>0</v>
      </c>
    </row>
    <row r="670" spans="1:28" s="126" customFormat="1" ht="18" hidden="1" customHeight="1">
      <c r="A670" s="614"/>
      <c r="B670" s="581"/>
      <c r="C670" s="581"/>
      <c r="D670" s="201" t="str">
        <f>серпень!D593</f>
        <v xml:space="preserve">місцевий </v>
      </c>
      <c r="E670" s="71"/>
      <c r="F670" s="61">
        <f t="shared" ref="F670:K670" si="717">F668-F669</f>
        <v>0</v>
      </c>
      <c r="G670" s="61">
        <f t="shared" si="717"/>
        <v>0</v>
      </c>
      <c r="H670" s="61">
        <f t="shared" si="717"/>
        <v>0</v>
      </c>
      <c r="I670" s="61">
        <f t="shared" si="717"/>
        <v>0</v>
      </c>
      <c r="J670" s="61">
        <f t="shared" si="717"/>
        <v>0</v>
      </c>
      <c r="K670" s="61">
        <f t="shared" si="717"/>
        <v>0</v>
      </c>
      <c r="L670" s="61">
        <f>SUM(F670:K670)</f>
        <v>0</v>
      </c>
      <c r="M670" s="61">
        <f>L670/6</f>
        <v>0</v>
      </c>
      <c r="N670" s="61">
        <f t="shared" ref="N670:S670" si="718">N668-N669</f>
        <v>0</v>
      </c>
      <c r="O670" s="61">
        <f t="shared" si="718"/>
        <v>0</v>
      </c>
      <c r="P670" s="61">
        <f t="shared" si="718"/>
        <v>0</v>
      </c>
      <c r="Q670" s="61">
        <f t="shared" si="718"/>
        <v>0</v>
      </c>
      <c r="R670" s="61">
        <f t="shared" si="718"/>
        <v>0</v>
      </c>
      <c r="S670" s="61">
        <f t="shared" si="718"/>
        <v>0</v>
      </c>
      <c r="T670" s="61">
        <f>SUM(N670:S670)</f>
        <v>0</v>
      </c>
      <c r="U670" s="61">
        <f>T670+L670</f>
        <v>0</v>
      </c>
      <c r="V670" s="61">
        <f>V665</f>
        <v>0</v>
      </c>
      <c r="W670" s="72">
        <f>V670-U670</f>
        <v>0</v>
      </c>
      <c r="X670" s="63">
        <f>U665-U670</f>
        <v>0</v>
      </c>
    </row>
    <row r="671" spans="1:28" s="43" customFormat="1" ht="18" hidden="1" customHeight="1">
      <c r="A671" s="614"/>
      <c r="B671" s="581"/>
      <c r="C671" s="581"/>
      <c r="D671" s="202" t="str">
        <f>серпень!D594</f>
        <v>план</v>
      </c>
      <c r="E671" s="42"/>
      <c r="F671" s="42">
        <f t="shared" ref="F671:K671" si="719">F665</f>
        <v>0</v>
      </c>
      <c r="G671" s="42">
        <f t="shared" si="719"/>
        <v>0</v>
      </c>
      <c r="H671" s="42">
        <f t="shared" si="719"/>
        <v>0</v>
      </c>
      <c r="I671" s="42">
        <f t="shared" si="719"/>
        <v>0</v>
      </c>
      <c r="J671" s="42">
        <f t="shared" si="719"/>
        <v>0</v>
      </c>
      <c r="K671" s="42">
        <f t="shared" si="719"/>
        <v>0</v>
      </c>
      <c r="L671" s="42">
        <f>SUM(F671:K671)</f>
        <v>0</v>
      </c>
      <c r="M671" s="42">
        <f>L671/6</f>
        <v>0</v>
      </c>
      <c r="N671" s="42">
        <f t="shared" ref="N671:S671" si="720">N665+N664</f>
        <v>0</v>
      </c>
      <c r="O671" s="42">
        <f t="shared" si="720"/>
        <v>0</v>
      </c>
      <c r="P671" s="42">
        <f t="shared" si="720"/>
        <v>0</v>
      </c>
      <c r="Q671" s="42">
        <f t="shared" si="720"/>
        <v>0</v>
      </c>
      <c r="R671" s="42">
        <f t="shared" si="720"/>
        <v>0</v>
      </c>
      <c r="S671" s="42">
        <f t="shared" si="720"/>
        <v>0</v>
      </c>
      <c r="T671" s="42">
        <f>SUM(N671:S671)</f>
        <v>0</v>
      </c>
      <c r="U671" s="42">
        <f>T671+L671</f>
        <v>0</v>
      </c>
      <c r="V671" s="42">
        <f>V668</f>
        <v>0</v>
      </c>
      <c r="W671" s="42">
        <f>V671-U671</f>
        <v>0</v>
      </c>
    </row>
    <row r="672" spans="1:28" s="43" customFormat="1" ht="18" hidden="1" customHeight="1">
      <c r="A672" s="614"/>
      <c r="B672" s="581"/>
      <c r="C672" s="581"/>
      <c r="D672" s="202" t="str">
        <f>серпень!D595</f>
        <v xml:space="preserve">відхилення </v>
      </c>
      <c r="E672" s="42"/>
      <c r="F672" s="42">
        <f t="shared" ref="F672:K672" si="721">F668-F671</f>
        <v>0</v>
      </c>
      <c r="G672" s="42">
        <f t="shared" si="721"/>
        <v>0</v>
      </c>
      <c r="H672" s="42">
        <f t="shared" si="721"/>
        <v>0</v>
      </c>
      <c r="I672" s="42">
        <f t="shared" si="721"/>
        <v>0</v>
      </c>
      <c r="J672" s="42">
        <f t="shared" si="721"/>
        <v>0</v>
      </c>
      <c r="K672" s="42">
        <f t="shared" si="721"/>
        <v>0</v>
      </c>
      <c r="L672" s="42"/>
      <c r="M672" s="42"/>
      <c r="N672" s="42">
        <f t="shared" ref="N672:S672" si="722">N668-N671</f>
        <v>0</v>
      </c>
      <c r="O672" s="42">
        <f t="shared" si="722"/>
        <v>0</v>
      </c>
      <c r="P672" s="42">
        <f t="shared" si="722"/>
        <v>0</v>
      </c>
      <c r="Q672" s="42">
        <f t="shared" si="722"/>
        <v>0</v>
      </c>
      <c r="R672" s="42">
        <f t="shared" si="722"/>
        <v>0</v>
      </c>
      <c r="S672" s="42">
        <f t="shared" si="722"/>
        <v>0</v>
      </c>
      <c r="T672" s="42"/>
      <c r="U672" s="42"/>
      <c r="V672" s="42"/>
      <c r="W672" s="42"/>
    </row>
    <row r="673" spans="1:28" s="43" customFormat="1" ht="18" hidden="1" customHeight="1">
      <c r="A673" s="614"/>
      <c r="B673" s="581"/>
      <c r="C673" s="581"/>
      <c r="D673" s="202" t="str">
        <f>серпень!D596</f>
        <v>відхилення з наростаючим</v>
      </c>
      <c r="E673" s="42"/>
      <c r="F673" s="42">
        <f>F672</f>
        <v>0</v>
      </c>
      <c r="G673" s="42">
        <f>G672+F673</f>
        <v>0</v>
      </c>
      <c r="H673" s="42">
        <f>H672+G673</f>
        <v>0</v>
      </c>
      <c r="I673" s="42">
        <f>I672+H673</f>
        <v>0</v>
      </c>
      <c r="J673" s="42">
        <f>J672+I673</f>
        <v>0</v>
      </c>
      <c r="K673" s="42">
        <f>K672+J673</f>
        <v>0</v>
      </c>
      <c r="L673" s="42"/>
      <c r="M673" s="42"/>
      <c r="N673" s="42">
        <f>N672+K673</f>
        <v>0</v>
      </c>
      <c r="O673" s="42">
        <f>O672+N673</f>
        <v>0</v>
      </c>
      <c r="P673" s="42">
        <f>P672+O673</f>
        <v>0</v>
      </c>
      <c r="Q673" s="42">
        <f>Q672+P673</f>
        <v>0</v>
      </c>
      <c r="R673" s="42">
        <f>R672+Q673</f>
        <v>0</v>
      </c>
      <c r="S673" s="42">
        <f>S672+R673</f>
        <v>0</v>
      </c>
      <c r="T673" s="42"/>
      <c r="U673" s="42"/>
      <c r="V673" s="42"/>
      <c r="W673" s="42"/>
    </row>
    <row r="674" spans="1:28" s="55" customFormat="1" ht="18" hidden="1" customHeight="1">
      <c r="A674" s="614"/>
      <c r="B674" s="581" t="s">
        <v>68</v>
      </c>
      <c r="C674" s="581"/>
      <c r="D674" s="178" t="str">
        <f>серпень!D597</f>
        <v>факт. нат.п-ки 2023</v>
      </c>
      <c r="E674" s="11"/>
      <c r="F674" s="12"/>
      <c r="G674" s="12"/>
      <c r="H674" s="12"/>
      <c r="I674" s="12"/>
      <c r="J674" s="12"/>
      <c r="K674" s="12"/>
      <c r="L674" s="65">
        <f>SUM(F674:K674)</f>
        <v>0</v>
      </c>
      <c r="M674" s="65">
        <f>L674/6</f>
        <v>0</v>
      </c>
      <c r="N674" s="12"/>
      <c r="O674" s="12"/>
      <c r="P674" s="12"/>
      <c r="Q674" s="12"/>
      <c r="R674" s="12"/>
      <c r="S674" s="12"/>
      <c r="T674" s="65">
        <f>SUM(N674:S674)</f>
        <v>0</v>
      </c>
      <c r="U674" s="66">
        <f>T674+L674</f>
        <v>0</v>
      </c>
      <c r="V674" s="67"/>
      <c r="W674" s="38">
        <f>V674-U674</f>
        <v>0</v>
      </c>
      <c r="X674" s="47"/>
      <c r="Y674" s="48"/>
      <c r="Z674" s="48"/>
      <c r="AA674" s="48"/>
      <c r="AB674" s="48"/>
    </row>
    <row r="675" spans="1:28" s="48" customFormat="1" ht="18" hidden="1" customHeight="1">
      <c r="A675" s="614"/>
      <c r="B675" s="581"/>
      <c r="C675" s="581"/>
      <c r="D675" s="178" t="str">
        <f>серпень!D598</f>
        <v>факт. нат.п-ки 2024</v>
      </c>
      <c r="E675" s="11"/>
      <c r="F675" s="12"/>
      <c r="G675" s="12"/>
      <c r="H675" s="12"/>
      <c r="I675" s="12"/>
      <c r="J675" s="12"/>
      <c r="K675" s="12"/>
      <c r="L675" s="65">
        <f>SUM(F675:K675)</f>
        <v>0</v>
      </c>
      <c r="M675" s="65">
        <f>L675/6</f>
        <v>0</v>
      </c>
      <c r="N675" s="11"/>
      <c r="O675" s="11"/>
      <c r="P675" s="11"/>
      <c r="Q675" s="11"/>
      <c r="R675" s="11"/>
      <c r="S675" s="11"/>
      <c r="T675" s="65">
        <f>SUM(N675:S675)</f>
        <v>0</v>
      </c>
      <c r="U675" s="66">
        <f>T675+L675</f>
        <v>0</v>
      </c>
      <c r="V675" s="67"/>
      <c r="W675" s="38">
        <f>V675-U675</f>
        <v>0</v>
      </c>
      <c r="X675" s="47"/>
    </row>
    <row r="676" spans="1:28" s="48" customFormat="1" ht="18" hidden="1" customHeight="1">
      <c r="A676" s="614"/>
      <c r="B676" s="581"/>
      <c r="C676" s="581"/>
      <c r="D676" s="178" t="str">
        <f>серпень!D599</f>
        <v>факт. нат.п-ки 2025</v>
      </c>
      <c r="E676" s="11"/>
      <c r="F676" s="12"/>
      <c r="G676" s="12"/>
      <c r="H676" s="12"/>
      <c r="I676" s="12"/>
      <c r="J676" s="12"/>
      <c r="K676" s="12"/>
      <c r="L676" s="65">
        <f>SUM(F676:K676)</f>
        <v>0</v>
      </c>
      <c r="M676" s="65">
        <f>L676/6</f>
        <v>0</v>
      </c>
      <c r="N676" s="12"/>
      <c r="O676" s="12"/>
      <c r="P676" s="12"/>
      <c r="Q676" s="12"/>
      <c r="R676" s="12"/>
      <c r="S676" s="11"/>
      <c r="T676" s="65">
        <f>SUM(N676:S676)</f>
        <v>0</v>
      </c>
      <c r="U676" s="66">
        <f>T676+L676</f>
        <v>0</v>
      </c>
      <c r="V676" s="11"/>
      <c r="W676" s="38">
        <f>V676-U676</f>
        <v>0</v>
      </c>
      <c r="X676" s="47"/>
    </row>
    <row r="677" spans="1:28" s="51" customFormat="1" ht="18" hidden="1" customHeight="1">
      <c r="A677" s="614"/>
      <c r="B677" s="581"/>
      <c r="C677" s="581"/>
      <c r="D677" s="187" t="str">
        <f>серпень!D600</f>
        <v>тариф, грн.</v>
      </c>
      <c r="E677" s="49"/>
      <c r="F677" s="49"/>
      <c r="G677" s="49"/>
      <c r="H677" s="49"/>
      <c r="I677" s="49"/>
      <c r="J677" s="49"/>
      <c r="K677" s="49"/>
      <c r="L677" s="49" t="e">
        <f>L678/L676*1000</f>
        <v>#DIV/0!</v>
      </c>
      <c r="M677" s="49" t="e">
        <f>M678/M676*1000</f>
        <v>#DIV/0!</v>
      </c>
      <c r="N677" s="49"/>
      <c r="O677" s="49"/>
      <c r="P677" s="49"/>
      <c r="Q677" s="49"/>
      <c r="R677" s="49"/>
      <c r="S677" s="49"/>
      <c r="T677" s="49" t="e">
        <f>T678/T676*1000</f>
        <v>#DIV/0!</v>
      </c>
      <c r="U677" s="49" t="e">
        <f>U678/U676*1000</f>
        <v>#DIV/0!</v>
      </c>
      <c r="V677" s="68" t="e">
        <f>V678/V676*1000</f>
        <v>#DIV/0!</v>
      </c>
      <c r="W677" s="14" t="e">
        <f>W678/W676*1000</f>
        <v>#DIV/0!</v>
      </c>
      <c r="X677" s="59"/>
    </row>
    <row r="678" spans="1:28" s="130" customFormat="1" ht="18" hidden="1" customHeight="1">
      <c r="A678" s="614"/>
      <c r="B678" s="581"/>
      <c r="C678" s="581"/>
      <c r="D678" s="191" t="str">
        <f>серпень!D601</f>
        <v>сума, тис.грн.</v>
      </c>
      <c r="E678" s="52"/>
      <c r="F678" s="52">
        <f t="shared" ref="F678:K678" si="723">F676*F677/1000</f>
        <v>0</v>
      </c>
      <c r="G678" s="52">
        <f t="shared" si="723"/>
        <v>0</v>
      </c>
      <c r="H678" s="52">
        <f t="shared" si="723"/>
        <v>0</v>
      </c>
      <c r="I678" s="52">
        <f t="shared" si="723"/>
        <v>0</v>
      </c>
      <c r="J678" s="52">
        <f t="shared" si="723"/>
        <v>0</v>
      </c>
      <c r="K678" s="52">
        <f t="shared" si="723"/>
        <v>0</v>
      </c>
      <c r="L678" s="69">
        <f>SUM(F678:K678)</f>
        <v>0</v>
      </c>
      <c r="M678" s="69">
        <f>L678/6</f>
        <v>0</v>
      </c>
      <c r="N678" s="52">
        <f t="shared" ref="N678:S678" si="724">N676*N677/1000</f>
        <v>0</v>
      </c>
      <c r="O678" s="52">
        <f t="shared" si="724"/>
        <v>0</v>
      </c>
      <c r="P678" s="52">
        <f t="shared" si="724"/>
        <v>0</v>
      </c>
      <c r="Q678" s="52">
        <f t="shared" si="724"/>
        <v>0</v>
      </c>
      <c r="R678" s="52">
        <f t="shared" si="724"/>
        <v>0</v>
      </c>
      <c r="S678" s="52">
        <f t="shared" si="724"/>
        <v>0</v>
      </c>
      <c r="T678" s="69">
        <f>SUM(N678:S678)</f>
        <v>0</v>
      </c>
      <c r="U678" s="69">
        <f>T678+L678</f>
        <v>0</v>
      </c>
      <c r="V678" s="70">
        <f>V679+V680</f>
        <v>0</v>
      </c>
      <c r="W678" s="53">
        <f>V678-U678</f>
        <v>0</v>
      </c>
    </row>
    <row r="679" spans="1:28" s="130" customFormat="1" ht="18" hidden="1" customHeight="1">
      <c r="A679" s="614"/>
      <c r="B679" s="581"/>
      <c r="C679" s="581"/>
      <c r="D679" s="174" t="str">
        <f>серпень!D602</f>
        <v>дотація</v>
      </c>
      <c r="E679" s="56"/>
      <c r="F679" s="52"/>
      <c r="G679" s="52"/>
      <c r="H679" s="52"/>
      <c r="I679" s="52"/>
      <c r="J679" s="52"/>
      <c r="K679" s="52"/>
      <c r="L679" s="69">
        <f>SUM(F679:K679)</f>
        <v>0</v>
      </c>
      <c r="M679" s="69">
        <f>L679/6</f>
        <v>0</v>
      </c>
      <c r="N679" s="52"/>
      <c r="O679" s="52"/>
      <c r="P679" s="52"/>
      <c r="Q679" s="52"/>
      <c r="R679" s="52"/>
      <c r="S679" s="52"/>
      <c r="T679" s="69">
        <f>SUM(N679:S679)</f>
        <v>0</v>
      </c>
      <c r="U679" s="69">
        <f>T679+L679</f>
        <v>0</v>
      </c>
      <c r="V679" s="70">
        <v>0</v>
      </c>
      <c r="W679" s="53">
        <f>V679-U679</f>
        <v>0</v>
      </c>
    </row>
    <row r="680" spans="1:28" s="130" customFormat="1" ht="18" hidden="1" customHeight="1">
      <c r="A680" s="614"/>
      <c r="B680" s="581"/>
      <c r="C680" s="581"/>
      <c r="D680" s="174" t="str">
        <f>серпень!D603</f>
        <v>місцевий (план), тис.грн</v>
      </c>
      <c r="E680" s="56"/>
      <c r="F680" s="52"/>
      <c r="G680" s="52"/>
      <c r="H680" s="52"/>
      <c r="I680" s="52"/>
      <c r="J680" s="52"/>
      <c r="K680" s="52"/>
      <c r="L680" s="69">
        <f>SUM(F680:K680)</f>
        <v>0</v>
      </c>
      <c r="M680" s="69">
        <f>L680/6</f>
        <v>0</v>
      </c>
      <c r="N680" s="52"/>
      <c r="O680" s="52"/>
      <c r="P680" s="52"/>
      <c r="Q680" s="52"/>
      <c r="R680" s="52"/>
      <c r="S680" s="52"/>
      <c r="T680" s="69">
        <f>SUM(N680:S680)</f>
        <v>0</v>
      </c>
      <c r="U680" s="69">
        <f>T680+L680</f>
        <v>0</v>
      </c>
      <c r="V680" s="70"/>
      <c r="W680" s="53">
        <f>V680-U680</f>
        <v>0</v>
      </c>
    </row>
    <row r="681" spans="1:28" s="48" customFormat="1" ht="18" hidden="1" customHeight="1">
      <c r="A681" s="614"/>
      <c r="B681" s="581"/>
      <c r="C681" s="581"/>
      <c r="D681" s="178" t="str">
        <f>серпень!D604</f>
        <v>касові нат.п-ки 2025</v>
      </c>
      <c r="E681" s="11"/>
      <c r="F681" s="11"/>
      <c r="G681" s="11"/>
      <c r="H681" s="11"/>
      <c r="I681" s="11"/>
      <c r="J681" s="11"/>
      <c r="K681" s="11"/>
      <c r="L681" s="65">
        <f>SUM(F681:K681)</f>
        <v>0</v>
      </c>
      <c r="M681" s="65">
        <f>L681/6</f>
        <v>0</v>
      </c>
      <c r="N681" s="11"/>
      <c r="O681" s="11"/>
      <c r="P681" s="11"/>
      <c r="Q681" s="11"/>
      <c r="R681" s="11"/>
      <c r="S681" s="11"/>
      <c r="T681" s="65">
        <f>SUM(N681:S681)</f>
        <v>0</v>
      </c>
      <c r="U681" s="65">
        <f>T681+L681</f>
        <v>0</v>
      </c>
      <c r="V681" s="11">
        <f>V676</f>
        <v>0</v>
      </c>
      <c r="W681" s="38">
        <f>V681-U681</f>
        <v>0</v>
      </c>
      <c r="X681" s="47">
        <f>U676-U681</f>
        <v>0</v>
      </c>
    </row>
    <row r="682" spans="1:28" s="51" customFormat="1" ht="18" hidden="1" customHeight="1">
      <c r="A682" s="614"/>
      <c r="B682" s="581"/>
      <c r="C682" s="581"/>
      <c r="D682" s="187" t="str">
        <f>серпень!D605</f>
        <v>тариф, грн.</v>
      </c>
      <c r="E682" s="49" t="e">
        <f>E683/E681*1000</f>
        <v>#DIV/0!</v>
      </c>
      <c r="F682" s="49"/>
      <c r="G682" s="49"/>
      <c r="H682" s="49"/>
      <c r="I682" s="49"/>
      <c r="J682" s="49"/>
      <c r="K682" s="49"/>
      <c r="L682" s="49" t="e">
        <f>L683/L681*1000</f>
        <v>#DIV/0!</v>
      </c>
      <c r="M682" s="49" t="e">
        <f>M683/M681*1000</f>
        <v>#DIV/0!</v>
      </c>
      <c r="N682" s="49"/>
      <c r="O682" s="49"/>
      <c r="P682" s="49"/>
      <c r="Q682" s="49"/>
      <c r="R682" s="49"/>
      <c r="S682" s="49"/>
      <c r="T682" s="49" t="e">
        <f>T683/T681*1000</f>
        <v>#DIV/0!</v>
      </c>
      <c r="U682" s="49" t="e">
        <f>U683/U681*1000</f>
        <v>#DIV/0!</v>
      </c>
      <c r="V682" s="68" t="e">
        <f>V683/V681*1000</f>
        <v>#DIV/0!</v>
      </c>
      <c r="W682" s="14" t="e">
        <f>W683/W681*1000</f>
        <v>#DIV/0!</v>
      </c>
      <c r="X682" s="59"/>
    </row>
    <row r="683" spans="1:28" s="126" customFormat="1" ht="18" hidden="1" customHeight="1">
      <c r="A683" s="614"/>
      <c r="B683" s="581"/>
      <c r="C683" s="581"/>
      <c r="D683" s="198" t="str">
        <f>серпень!D606</f>
        <v>касові видатки, тис.грн.</v>
      </c>
      <c r="E683" s="71"/>
      <c r="F683" s="61">
        <f t="shared" ref="F683:K683" si="725">F681*F682/1000</f>
        <v>0</v>
      </c>
      <c r="G683" s="61">
        <f t="shared" si="725"/>
        <v>0</v>
      </c>
      <c r="H683" s="61">
        <f t="shared" si="725"/>
        <v>0</v>
      </c>
      <c r="I683" s="61">
        <f t="shared" si="725"/>
        <v>0</v>
      </c>
      <c r="J683" s="61">
        <f t="shared" si="725"/>
        <v>0</v>
      </c>
      <c r="K683" s="61">
        <f t="shared" si="725"/>
        <v>0</v>
      </c>
      <c r="L683" s="61">
        <f>SUM(F683:K683)</f>
        <v>0</v>
      </c>
      <c r="M683" s="61">
        <f>L683/6</f>
        <v>0</v>
      </c>
      <c r="N683" s="61">
        <f t="shared" ref="N683:S683" si="726">N681*N682/1000</f>
        <v>0</v>
      </c>
      <c r="O683" s="61">
        <f t="shared" si="726"/>
        <v>0</v>
      </c>
      <c r="P683" s="61">
        <f t="shared" si="726"/>
        <v>0</v>
      </c>
      <c r="Q683" s="61">
        <f t="shared" si="726"/>
        <v>0</v>
      </c>
      <c r="R683" s="61">
        <f t="shared" si="726"/>
        <v>0</v>
      </c>
      <c r="S683" s="61">
        <f t="shared" si="726"/>
        <v>0</v>
      </c>
      <c r="T683" s="61">
        <f>SUM(N683:S683)</f>
        <v>0</v>
      </c>
      <c r="U683" s="61">
        <f>T683+L683</f>
        <v>0</v>
      </c>
      <c r="V683" s="61">
        <f>V678</f>
        <v>0</v>
      </c>
      <c r="W683" s="72">
        <f>V683-U683</f>
        <v>0</v>
      </c>
      <c r="X683" s="63">
        <f>U678-U683</f>
        <v>0</v>
      </c>
    </row>
    <row r="684" spans="1:28" s="126" customFormat="1" ht="18" hidden="1" customHeight="1">
      <c r="A684" s="614"/>
      <c r="B684" s="581"/>
      <c r="C684" s="581"/>
      <c r="D684" s="201" t="str">
        <f>серпень!D607</f>
        <v>дотація</v>
      </c>
      <c r="E684" s="71"/>
      <c r="F684" s="61"/>
      <c r="G684" s="61"/>
      <c r="H684" s="61"/>
      <c r="I684" s="61"/>
      <c r="J684" s="61"/>
      <c r="K684" s="61"/>
      <c r="L684" s="61">
        <f>SUM(F684:K684)</f>
        <v>0</v>
      </c>
      <c r="M684" s="61">
        <f>L684/6</f>
        <v>0</v>
      </c>
      <c r="N684" s="61"/>
      <c r="O684" s="61"/>
      <c r="P684" s="61"/>
      <c r="Q684" s="61"/>
      <c r="R684" s="61"/>
      <c r="S684" s="61"/>
      <c r="T684" s="61">
        <f>SUM(N684:S684)</f>
        <v>0</v>
      </c>
      <c r="U684" s="61">
        <f>T684+L684</f>
        <v>0</v>
      </c>
      <c r="V684" s="61">
        <f>V679</f>
        <v>0</v>
      </c>
      <c r="W684" s="72">
        <f>V684-U684</f>
        <v>0</v>
      </c>
      <c r="X684" s="63">
        <f>U679-U684</f>
        <v>0</v>
      </c>
    </row>
    <row r="685" spans="1:28" s="126" customFormat="1" ht="18" hidden="1" customHeight="1">
      <c r="A685" s="614"/>
      <c r="B685" s="581"/>
      <c r="C685" s="581"/>
      <c r="D685" s="201" t="str">
        <f>серпень!D608</f>
        <v xml:space="preserve">місцевий </v>
      </c>
      <c r="E685" s="71"/>
      <c r="F685" s="61">
        <f t="shared" ref="F685:K685" si="727">F683-F684</f>
        <v>0</v>
      </c>
      <c r="G685" s="61">
        <f t="shared" si="727"/>
        <v>0</v>
      </c>
      <c r="H685" s="61">
        <f t="shared" si="727"/>
        <v>0</v>
      </c>
      <c r="I685" s="61">
        <f t="shared" si="727"/>
        <v>0</v>
      </c>
      <c r="J685" s="61">
        <f t="shared" si="727"/>
        <v>0</v>
      </c>
      <c r="K685" s="61">
        <f t="shared" si="727"/>
        <v>0</v>
      </c>
      <c r="L685" s="61">
        <f>SUM(F685:K685)</f>
        <v>0</v>
      </c>
      <c r="M685" s="61">
        <f>L685/6</f>
        <v>0</v>
      </c>
      <c r="N685" s="61">
        <f t="shared" ref="N685:S685" si="728">N683-N684</f>
        <v>0</v>
      </c>
      <c r="O685" s="61">
        <f t="shared" si="728"/>
        <v>0</v>
      </c>
      <c r="P685" s="61">
        <f t="shared" si="728"/>
        <v>0</v>
      </c>
      <c r="Q685" s="61">
        <f t="shared" si="728"/>
        <v>0</v>
      </c>
      <c r="R685" s="61">
        <f t="shared" si="728"/>
        <v>0</v>
      </c>
      <c r="S685" s="61">
        <f t="shared" si="728"/>
        <v>0</v>
      </c>
      <c r="T685" s="61">
        <f>SUM(N685:S685)</f>
        <v>0</v>
      </c>
      <c r="U685" s="61">
        <f>T685+L685</f>
        <v>0</v>
      </c>
      <c r="V685" s="61">
        <f>V680</f>
        <v>0</v>
      </c>
      <c r="W685" s="72">
        <f>V685-U685</f>
        <v>0</v>
      </c>
      <c r="X685" s="63">
        <f>U680-U685</f>
        <v>0</v>
      </c>
    </row>
    <row r="686" spans="1:28" s="43" customFormat="1" ht="18" hidden="1" customHeight="1">
      <c r="A686" s="614"/>
      <c r="B686" s="581"/>
      <c r="C686" s="581"/>
      <c r="D686" s="202" t="str">
        <f>серпень!D609</f>
        <v>план</v>
      </c>
      <c r="E686" s="42"/>
      <c r="F686" s="42">
        <f t="shared" ref="F686:K686" si="729">F680</f>
        <v>0</v>
      </c>
      <c r="G686" s="42">
        <f t="shared" si="729"/>
        <v>0</v>
      </c>
      <c r="H686" s="42">
        <f t="shared" si="729"/>
        <v>0</v>
      </c>
      <c r="I686" s="42">
        <f t="shared" si="729"/>
        <v>0</v>
      </c>
      <c r="J686" s="42">
        <f t="shared" si="729"/>
        <v>0</v>
      </c>
      <c r="K686" s="42">
        <f t="shared" si="729"/>
        <v>0</v>
      </c>
      <c r="L686" s="42">
        <f>SUM(F686:K686)</f>
        <v>0</v>
      </c>
      <c r="M686" s="42">
        <f>L686/6</f>
        <v>0</v>
      </c>
      <c r="N686" s="42">
        <f t="shared" ref="N686:S686" si="730">N680+N679</f>
        <v>0</v>
      </c>
      <c r="O686" s="42">
        <f t="shared" si="730"/>
        <v>0</v>
      </c>
      <c r="P686" s="42">
        <f t="shared" si="730"/>
        <v>0</v>
      </c>
      <c r="Q686" s="42">
        <f t="shared" si="730"/>
        <v>0</v>
      </c>
      <c r="R686" s="42">
        <f t="shared" si="730"/>
        <v>0</v>
      </c>
      <c r="S686" s="42">
        <f t="shared" si="730"/>
        <v>0</v>
      </c>
      <c r="T686" s="42">
        <f>SUM(N686:S686)</f>
        <v>0</v>
      </c>
      <c r="U686" s="42">
        <f>T686+L686</f>
        <v>0</v>
      </c>
      <c r="V686" s="42">
        <f>V683</f>
        <v>0</v>
      </c>
      <c r="W686" s="42">
        <f>V686-U686</f>
        <v>0</v>
      </c>
    </row>
    <row r="687" spans="1:28" s="43" customFormat="1" ht="18" hidden="1" customHeight="1">
      <c r="A687" s="614"/>
      <c r="B687" s="581"/>
      <c r="C687" s="581"/>
      <c r="D687" s="202" t="str">
        <f>серпень!D610</f>
        <v xml:space="preserve">відхилення </v>
      </c>
      <c r="E687" s="42"/>
      <c r="F687" s="42">
        <f t="shared" ref="F687:K687" si="731">F683-F686</f>
        <v>0</v>
      </c>
      <c r="G687" s="42">
        <f t="shared" si="731"/>
        <v>0</v>
      </c>
      <c r="H687" s="42">
        <f t="shared" si="731"/>
        <v>0</v>
      </c>
      <c r="I687" s="42">
        <f t="shared" si="731"/>
        <v>0</v>
      </c>
      <c r="J687" s="42">
        <f t="shared" si="731"/>
        <v>0</v>
      </c>
      <c r="K687" s="42">
        <f t="shared" si="731"/>
        <v>0</v>
      </c>
      <c r="L687" s="42"/>
      <c r="M687" s="42"/>
      <c r="N687" s="42">
        <f t="shared" ref="N687:S687" si="732">N683-N686</f>
        <v>0</v>
      </c>
      <c r="O687" s="42">
        <f t="shared" si="732"/>
        <v>0</v>
      </c>
      <c r="P687" s="42">
        <f t="shared" si="732"/>
        <v>0</v>
      </c>
      <c r="Q687" s="42">
        <f t="shared" si="732"/>
        <v>0</v>
      </c>
      <c r="R687" s="42">
        <f t="shared" si="732"/>
        <v>0</v>
      </c>
      <c r="S687" s="42">
        <f t="shared" si="732"/>
        <v>0</v>
      </c>
      <c r="T687" s="42"/>
      <c r="U687" s="42"/>
      <c r="V687" s="42"/>
      <c r="W687" s="42"/>
    </row>
    <row r="688" spans="1:28" s="43" customFormat="1" ht="18" hidden="1" customHeight="1">
      <c r="A688" s="614"/>
      <c r="B688" s="581"/>
      <c r="C688" s="581"/>
      <c r="D688" s="202" t="str">
        <f>серпень!D611</f>
        <v>відхилення з наростаючим</v>
      </c>
      <c r="E688" s="42"/>
      <c r="F688" s="42">
        <f>F687</f>
        <v>0</v>
      </c>
      <c r="G688" s="42">
        <f>G687+F688</f>
        <v>0</v>
      </c>
      <c r="H688" s="42">
        <f>H687+G688</f>
        <v>0</v>
      </c>
      <c r="I688" s="42">
        <f>I687+H688</f>
        <v>0</v>
      </c>
      <c r="J688" s="42">
        <f>J687+I688</f>
        <v>0</v>
      </c>
      <c r="K688" s="42">
        <f>K687+J688</f>
        <v>0</v>
      </c>
      <c r="L688" s="42"/>
      <c r="M688" s="42"/>
      <c r="N688" s="42">
        <f>N687+K688</f>
        <v>0</v>
      </c>
      <c r="O688" s="42">
        <f>O687+N688</f>
        <v>0</v>
      </c>
      <c r="P688" s="42">
        <f>P687+O688</f>
        <v>0</v>
      </c>
      <c r="Q688" s="42">
        <f>Q687+P688</f>
        <v>0</v>
      </c>
      <c r="R688" s="42">
        <f>R687+Q688</f>
        <v>0</v>
      </c>
      <c r="S688" s="42">
        <f>S687+R688</f>
        <v>0</v>
      </c>
      <c r="T688" s="42"/>
      <c r="U688" s="42"/>
      <c r="V688" s="42"/>
      <c r="W688" s="42"/>
    </row>
    <row r="689" spans="1:28" s="55" customFormat="1" ht="18" hidden="1" customHeight="1">
      <c r="A689" s="614"/>
      <c r="B689" s="654" t="s">
        <v>136</v>
      </c>
      <c r="C689" s="581"/>
      <c r="D689" s="178" t="str">
        <f>серпень!D612</f>
        <v>факт. нат.п-ки 2023</v>
      </c>
      <c r="E689" s="11"/>
      <c r="F689" s="12"/>
      <c r="G689" s="12"/>
      <c r="H689" s="12"/>
      <c r="I689" s="12"/>
      <c r="J689" s="12"/>
      <c r="K689" s="12"/>
      <c r="L689" s="65">
        <f>SUM(F689:K689)</f>
        <v>0</v>
      </c>
      <c r="M689" s="65">
        <f>L689/6</f>
        <v>0</v>
      </c>
      <c r="N689" s="12"/>
      <c r="O689" s="12"/>
      <c r="P689" s="12"/>
      <c r="Q689" s="12"/>
      <c r="R689" s="12"/>
      <c r="S689" s="12"/>
      <c r="T689" s="65">
        <f>SUM(N689:S689)</f>
        <v>0</v>
      </c>
      <c r="U689" s="66">
        <f>T689+L689</f>
        <v>0</v>
      </c>
      <c r="V689" s="67"/>
      <c r="W689" s="38">
        <f>V689-U689</f>
        <v>0</v>
      </c>
      <c r="X689" s="47"/>
      <c r="Y689" s="48"/>
      <c r="Z689" s="48"/>
      <c r="AA689" s="48"/>
      <c r="AB689" s="48"/>
    </row>
    <row r="690" spans="1:28" s="48" customFormat="1" ht="18" hidden="1" customHeight="1">
      <c r="A690" s="614"/>
      <c r="B690" s="581"/>
      <c r="C690" s="581"/>
      <c r="D690" s="178" t="str">
        <f>серпень!D613</f>
        <v>факт. нат.п-ки 2024</v>
      </c>
      <c r="E690" s="11"/>
      <c r="F690" s="12"/>
      <c r="G690" s="12"/>
      <c r="H690" s="12"/>
      <c r="I690" s="12"/>
      <c r="J690" s="12"/>
      <c r="K690" s="12"/>
      <c r="L690" s="65">
        <f>SUM(F690:K690)</f>
        <v>0</v>
      </c>
      <c r="M690" s="65">
        <f>L690/6</f>
        <v>0</v>
      </c>
      <c r="N690" s="11"/>
      <c r="O690" s="11"/>
      <c r="P690" s="11"/>
      <c r="Q690" s="11"/>
      <c r="R690" s="11"/>
      <c r="S690" s="11"/>
      <c r="T690" s="65">
        <f>SUM(N690:S690)</f>
        <v>0</v>
      </c>
      <c r="U690" s="66">
        <f>T690+L690</f>
        <v>0</v>
      </c>
      <c r="V690" s="67"/>
      <c r="W690" s="38">
        <f>V690-U690</f>
        <v>0</v>
      </c>
      <c r="X690" s="47"/>
    </row>
    <row r="691" spans="1:28" s="48" customFormat="1" ht="18" hidden="1" customHeight="1">
      <c r="A691" s="614"/>
      <c r="B691" s="581"/>
      <c r="C691" s="581"/>
      <c r="D691" s="178" t="str">
        <f>серпень!D614</f>
        <v>факт. нат.п-ки 2025</v>
      </c>
      <c r="E691" s="11"/>
      <c r="F691" s="12"/>
      <c r="G691" s="12"/>
      <c r="H691" s="12"/>
      <c r="I691" s="12"/>
      <c r="J691" s="12"/>
      <c r="K691" s="12"/>
      <c r="L691" s="65">
        <f>SUM(F691:K691)</f>
        <v>0</v>
      </c>
      <c r="M691" s="65">
        <f>L691/6</f>
        <v>0</v>
      </c>
      <c r="N691" s="12"/>
      <c r="O691" s="12"/>
      <c r="P691" s="12"/>
      <c r="Q691" s="12"/>
      <c r="R691" s="12"/>
      <c r="S691" s="11"/>
      <c r="T691" s="65">
        <f>SUM(N691:S691)</f>
        <v>0</v>
      </c>
      <c r="U691" s="66">
        <f>T691+L691</f>
        <v>0</v>
      </c>
      <c r="V691" s="11"/>
      <c r="W691" s="38">
        <f>V691-U691</f>
        <v>0</v>
      </c>
      <c r="X691" s="47"/>
    </row>
    <row r="692" spans="1:28" s="51" customFormat="1" ht="18" hidden="1" customHeight="1">
      <c r="A692" s="614"/>
      <c r="B692" s="581"/>
      <c r="C692" s="581"/>
      <c r="D692" s="187" t="str">
        <f>серпень!D615</f>
        <v>тариф, грн.</v>
      </c>
      <c r="E692" s="49"/>
      <c r="F692" s="49"/>
      <c r="G692" s="49"/>
      <c r="H692" s="49"/>
      <c r="I692" s="49"/>
      <c r="J692" s="49"/>
      <c r="K692" s="49"/>
      <c r="L692" s="49" t="e">
        <f>L693/L691*1000</f>
        <v>#DIV/0!</v>
      </c>
      <c r="M692" s="49" t="e">
        <f>M693/M691*1000</f>
        <v>#DIV/0!</v>
      </c>
      <c r="N692" s="49"/>
      <c r="O692" s="49"/>
      <c r="P692" s="49"/>
      <c r="Q692" s="49"/>
      <c r="R692" s="49"/>
      <c r="S692" s="49"/>
      <c r="T692" s="49" t="e">
        <f>T693/T691*1000</f>
        <v>#DIV/0!</v>
      </c>
      <c r="U692" s="49" t="e">
        <f>U693/U691*1000</f>
        <v>#DIV/0!</v>
      </c>
      <c r="V692" s="68" t="e">
        <f>V693/V691*1000</f>
        <v>#DIV/0!</v>
      </c>
      <c r="W692" s="14" t="e">
        <f>W693/W691*1000</f>
        <v>#DIV/0!</v>
      </c>
      <c r="X692" s="59"/>
    </row>
    <row r="693" spans="1:28" s="130" customFormat="1" ht="18" hidden="1" customHeight="1">
      <c r="A693" s="614"/>
      <c r="B693" s="581"/>
      <c r="C693" s="581"/>
      <c r="D693" s="191" t="str">
        <f>серпень!D616</f>
        <v>сума, тис.грн.</v>
      </c>
      <c r="E693" s="52"/>
      <c r="F693" s="52">
        <f t="shared" ref="F693:K693" si="733">F691*F692/1000</f>
        <v>0</v>
      </c>
      <c r="G693" s="52">
        <f t="shared" si="733"/>
        <v>0</v>
      </c>
      <c r="H693" s="52">
        <f t="shared" si="733"/>
        <v>0</v>
      </c>
      <c r="I693" s="52">
        <f t="shared" si="733"/>
        <v>0</v>
      </c>
      <c r="J693" s="52">
        <f t="shared" si="733"/>
        <v>0</v>
      </c>
      <c r="K693" s="52">
        <f t="shared" si="733"/>
        <v>0</v>
      </c>
      <c r="L693" s="69">
        <f>SUM(F693:K693)</f>
        <v>0</v>
      </c>
      <c r="M693" s="69">
        <f>L693/6</f>
        <v>0</v>
      </c>
      <c r="N693" s="52">
        <f t="shared" ref="N693:S693" si="734">N691*N692/1000</f>
        <v>0</v>
      </c>
      <c r="O693" s="52">
        <f t="shared" si="734"/>
        <v>0</v>
      </c>
      <c r="P693" s="52">
        <f t="shared" si="734"/>
        <v>0</v>
      </c>
      <c r="Q693" s="52">
        <f t="shared" si="734"/>
        <v>0</v>
      </c>
      <c r="R693" s="52">
        <f t="shared" si="734"/>
        <v>0</v>
      </c>
      <c r="S693" s="52">
        <f t="shared" si="734"/>
        <v>0</v>
      </c>
      <c r="T693" s="69">
        <f>SUM(N693:S693)</f>
        <v>0</v>
      </c>
      <c r="U693" s="69">
        <f>T693+L693</f>
        <v>0</v>
      </c>
      <c r="V693" s="70">
        <f>V694+V695</f>
        <v>0</v>
      </c>
      <c r="W693" s="53">
        <f>V693-U693</f>
        <v>0</v>
      </c>
    </row>
    <row r="694" spans="1:28" s="130" customFormat="1" ht="18" hidden="1" customHeight="1">
      <c r="A694" s="614"/>
      <c r="B694" s="581"/>
      <c r="C694" s="581"/>
      <c r="D694" s="174" t="str">
        <f>серпень!D617</f>
        <v>дотація</v>
      </c>
      <c r="E694" s="56"/>
      <c r="F694" s="52"/>
      <c r="G694" s="52"/>
      <c r="H694" s="52"/>
      <c r="I694" s="52"/>
      <c r="J694" s="52"/>
      <c r="K694" s="52"/>
      <c r="L694" s="69">
        <f>SUM(F694:K694)</f>
        <v>0</v>
      </c>
      <c r="M694" s="69">
        <f>L694/6</f>
        <v>0</v>
      </c>
      <c r="N694" s="52"/>
      <c r="O694" s="52"/>
      <c r="P694" s="52"/>
      <c r="Q694" s="52"/>
      <c r="R694" s="52"/>
      <c r="S694" s="52"/>
      <c r="T694" s="69">
        <f>SUM(N694:S694)</f>
        <v>0</v>
      </c>
      <c r="U694" s="69">
        <f>T694+L694</f>
        <v>0</v>
      </c>
      <c r="V694" s="70">
        <v>0</v>
      </c>
      <c r="W694" s="53">
        <f>V694-U694</f>
        <v>0</v>
      </c>
    </row>
    <row r="695" spans="1:28" s="130" customFormat="1" ht="18" hidden="1" customHeight="1">
      <c r="A695" s="614"/>
      <c r="B695" s="581"/>
      <c r="C695" s="581"/>
      <c r="D695" s="174" t="str">
        <f>серпень!D618</f>
        <v>місцевий (план), тис.грн</v>
      </c>
      <c r="E695" s="56"/>
      <c r="F695" s="52"/>
      <c r="G695" s="52"/>
      <c r="H695" s="52"/>
      <c r="I695" s="52"/>
      <c r="J695" s="52"/>
      <c r="K695" s="52"/>
      <c r="L695" s="69">
        <f>SUM(F695:K695)</f>
        <v>0</v>
      </c>
      <c r="M695" s="69">
        <f>L695/6</f>
        <v>0</v>
      </c>
      <c r="N695" s="52"/>
      <c r="O695" s="52"/>
      <c r="P695" s="52"/>
      <c r="Q695" s="52"/>
      <c r="R695" s="52"/>
      <c r="S695" s="52"/>
      <c r="T695" s="69">
        <f>SUM(N695:S695)</f>
        <v>0</v>
      </c>
      <c r="U695" s="69">
        <f>T695+L695</f>
        <v>0</v>
      </c>
      <c r="V695" s="70"/>
      <c r="W695" s="53">
        <f>V695-U695</f>
        <v>0</v>
      </c>
    </row>
    <row r="696" spans="1:28" s="48" customFormat="1" ht="18" hidden="1" customHeight="1">
      <c r="A696" s="614"/>
      <c r="B696" s="581"/>
      <c r="C696" s="581"/>
      <c r="D696" s="178" t="str">
        <f>серпень!D619</f>
        <v>касові нат.п-ки 2025</v>
      </c>
      <c r="E696" s="11"/>
      <c r="F696" s="11"/>
      <c r="G696" s="11"/>
      <c r="H696" s="11"/>
      <c r="I696" s="11"/>
      <c r="J696" s="11"/>
      <c r="K696" s="11"/>
      <c r="L696" s="65">
        <f>SUM(F696:K696)</f>
        <v>0</v>
      </c>
      <c r="M696" s="65">
        <f>L696/6</f>
        <v>0</v>
      </c>
      <c r="N696" s="11"/>
      <c r="O696" s="11"/>
      <c r="P696" s="11"/>
      <c r="Q696" s="11"/>
      <c r="R696" s="11"/>
      <c r="S696" s="11"/>
      <c r="T696" s="65">
        <f>SUM(N696:S696)</f>
        <v>0</v>
      </c>
      <c r="U696" s="65">
        <f>T696+L696</f>
        <v>0</v>
      </c>
      <c r="V696" s="11">
        <f>V691</f>
        <v>0</v>
      </c>
      <c r="W696" s="38">
        <f>V696-U696</f>
        <v>0</v>
      </c>
      <c r="X696" s="47">
        <f>U691-U696</f>
        <v>0</v>
      </c>
    </row>
    <row r="697" spans="1:28" s="51" customFormat="1" ht="18" hidden="1" customHeight="1">
      <c r="A697" s="614"/>
      <c r="B697" s="581"/>
      <c r="C697" s="581"/>
      <c r="D697" s="187" t="str">
        <f>серпень!D620</f>
        <v>тариф, грн.</v>
      </c>
      <c r="E697" s="49" t="e">
        <f>E698/E696*1000</f>
        <v>#DIV/0!</v>
      </c>
      <c r="F697" s="49"/>
      <c r="G697" s="49"/>
      <c r="H697" s="49"/>
      <c r="I697" s="49"/>
      <c r="J697" s="49"/>
      <c r="K697" s="49"/>
      <c r="L697" s="49" t="e">
        <f>L698/L696*1000</f>
        <v>#DIV/0!</v>
      </c>
      <c r="M697" s="49" t="e">
        <f>M698/M696*1000</f>
        <v>#DIV/0!</v>
      </c>
      <c r="N697" s="49"/>
      <c r="O697" s="49"/>
      <c r="P697" s="49"/>
      <c r="Q697" s="49"/>
      <c r="R697" s="49"/>
      <c r="S697" s="49"/>
      <c r="T697" s="49" t="e">
        <f>T698/T696*1000</f>
        <v>#DIV/0!</v>
      </c>
      <c r="U697" s="49" t="e">
        <f>U698/U696*1000</f>
        <v>#DIV/0!</v>
      </c>
      <c r="V697" s="68" t="e">
        <f>V698/V696*1000</f>
        <v>#DIV/0!</v>
      </c>
      <c r="W697" s="14" t="e">
        <f>W698/W696*1000</f>
        <v>#DIV/0!</v>
      </c>
      <c r="X697" s="59"/>
    </row>
    <row r="698" spans="1:28" s="126" customFormat="1" ht="18" hidden="1" customHeight="1">
      <c r="A698" s="614"/>
      <c r="B698" s="581"/>
      <c r="C698" s="581"/>
      <c r="D698" s="198" t="str">
        <f>серпень!D621</f>
        <v>касові видатки, тис.грн.</v>
      </c>
      <c r="E698" s="71"/>
      <c r="F698" s="61">
        <f t="shared" ref="F698:K698" si="735">F696*F697/1000</f>
        <v>0</v>
      </c>
      <c r="G698" s="61">
        <f t="shared" si="735"/>
        <v>0</v>
      </c>
      <c r="H698" s="61">
        <f t="shared" si="735"/>
        <v>0</v>
      </c>
      <c r="I698" s="61">
        <f t="shared" si="735"/>
        <v>0</v>
      </c>
      <c r="J698" s="61">
        <f t="shared" si="735"/>
        <v>0</v>
      </c>
      <c r="K698" s="61">
        <f t="shared" si="735"/>
        <v>0</v>
      </c>
      <c r="L698" s="61">
        <f>SUM(F698:K698)</f>
        <v>0</v>
      </c>
      <c r="M698" s="61">
        <f>L698/6</f>
        <v>0</v>
      </c>
      <c r="N698" s="61">
        <f t="shared" ref="N698:S698" si="736">N696*N697/1000</f>
        <v>0</v>
      </c>
      <c r="O698" s="61">
        <f t="shared" si="736"/>
        <v>0</v>
      </c>
      <c r="P698" s="61">
        <f t="shared" si="736"/>
        <v>0</v>
      </c>
      <c r="Q698" s="61">
        <f t="shared" si="736"/>
        <v>0</v>
      </c>
      <c r="R698" s="61">
        <f t="shared" si="736"/>
        <v>0</v>
      </c>
      <c r="S698" s="61">
        <f t="shared" si="736"/>
        <v>0</v>
      </c>
      <c r="T698" s="61">
        <f>SUM(N698:S698)</f>
        <v>0</v>
      </c>
      <c r="U698" s="61">
        <f>T698+L698</f>
        <v>0</v>
      </c>
      <c r="V698" s="61">
        <f>V693</f>
        <v>0</v>
      </c>
      <c r="W698" s="72">
        <f>V698-U698</f>
        <v>0</v>
      </c>
      <c r="X698" s="63">
        <f>U693-U698</f>
        <v>0</v>
      </c>
    </row>
    <row r="699" spans="1:28" s="126" customFormat="1" ht="18" hidden="1" customHeight="1">
      <c r="A699" s="614"/>
      <c r="B699" s="581"/>
      <c r="C699" s="581"/>
      <c r="D699" s="201" t="str">
        <f>серпень!D622</f>
        <v>дотація</v>
      </c>
      <c r="E699" s="71"/>
      <c r="F699" s="61"/>
      <c r="G699" s="61"/>
      <c r="H699" s="61"/>
      <c r="I699" s="61"/>
      <c r="J699" s="61"/>
      <c r="K699" s="61"/>
      <c r="L699" s="61">
        <f>SUM(F699:K699)</f>
        <v>0</v>
      </c>
      <c r="M699" s="61">
        <f>L699/6</f>
        <v>0</v>
      </c>
      <c r="N699" s="61"/>
      <c r="O699" s="61"/>
      <c r="P699" s="61"/>
      <c r="Q699" s="61"/>
      <c r="R699" s="61"/>
      <c r="S699" s="61"/>
      <c r="T699" s="61">
        <f>SUM(N699:S699)</f>
        <v>0</v>
      </c>
      <c r="U699" s="61">
        <f>T699+L699</f>
        <v>0</v>
      </c>
      <c r="V699" s="61">
        <f>V694</f>
        <v>0</v>
      </c>
      <c r="W699" s="72">
        <f>V699-U699</f>
        <v>0</v>
      </c>
      <c r="X699" s="63">
        <f>U694-U699</f>
        <v>0</v>
      </c>
    </row>
    <row r="700" spans="1:28" s="126" customFormat="1" ht="18" hidden="1" customHeight="1">
      <c r="A700" s="614"/>
      <c r="B700" s="581"/>
      <c r="C700" s="581"/>
      <c r="D700" s="201" t="str">
        <f>серпень!D623</f>
        <v xml:space="preserve">місцевий </v>
      </c>
      <c r="E700" s="71"/>
      <c r="F700" s="61">
        <f t="shared" ref="F700:K700" si="737">F698-F699</f>
        <v>0</v>
      </c>
      <c r="G700" s="61">
        <f t="shared" si="737"/>
        <v>0</v>
      </c>
      <c r="H700" s="61">
        <f t="shared" si="737"/>
        <v>0</v>
      </c>
      <c r="I700" s="61">
        <f t="shared" si="737"/>
        <v>0</v>
      </c>
      <c r="J700" s="61">
        <f t="shared" si="737"/>
        <v>0</v>
      </c>
      <c r="K700" s="61">
        <f t="shared" si="737"/>
        <v>0</v>
      </c>
      <c r="L700" s="61">
        <f>SUM(F700:K700)</f>
        <v>0</v>
      </c>
      <c r="M700" s="61">
        <f>L700/6</f>
        <v>0</v>
      </c>
      <c r="N700" s="61">
        <f t="shared" ref="N700:S700" si="738">N698-N699</f>
        <v>0</v>
      </c>
      <c r="O700" s="61">
        <f t="shared" si="738"/>
        <v>0</v>
      </c>
      <c r="P700" s="61">
        <f t="shared" si="738"/>
        <v>0</v>
      </c>
      <c r="Q700" s="61">
        <f t="shared" si="738"/>
        <v>0</v>
      </c>
      <c r="R700" s="61">
        <f t="shared" si="738"/>
        <v>0</v>
      </c>
      <c r="S700" s="61">
        <f t="shared" si="738"/>
        <v>0</v>
      </c>
      <c r="T700" s="61">
        <f>SUM(N700:S700)</f>
        <v>0</v>
      </c>
      <c r="U700" s="61">
        <f>T700+L700</f>
        <v>0</v>
      </c>
      <c r="V700" s="61">
        <f>V695</f>
        <v>0</v>
      </c>
      <c r="W700" s="72">
        <f>V700-U700</f>
        <v>0</v>
      </c>
      <c r="X700" s="63">
        <f>U695-U700</f>
        <v>0</v>
      </c>
    </row>
    <row r="701" spans="1:28" s="43" customFormat="1" ht="18" hidden="1" customHeight="1">
      <c r="A701" s="614"/>
      <c r="B701" s="581"/>
      <c r="C701" s="581"/>
      <c r="D701" s="202" t="str">
        <f>серпень!D624</f>
        <v>план</v>
      </c>
      <c r="E701" s="42"/>
      <c r="F701" s="42">
        <f t="shared" ref="F701:K701" si="739">F695</f>
        <v>0</v>
      </c>
      <c r="G701" s="42">
        <f t="shared" si="739"/>
        <v>0</v>
      </c>
      <c r="H701" s="42">
        <f t="shared" si="739"/>
        <v>0</v>
      </c>
      <c r="I701" s="42">
        <f t="shared" si="739"/>
        <v>0</v>
      </c>
      <c r="J701" s="42">
        <f t="shared" si="739"/>
        <v>0</v>
      </c>
      <c r="K701" s="42">
        <f t="shared" si="739"/>
        <v>0</v>
      </c>
      <c r="L701" s="42">
        <f>SUM(F701:K701)</f>
        <v>0</v>
      </c>
      <c r="M701" s="42">
        <f>L701/6</f>
        <v>0</v>
      </c>
      <c r="N701" s="42">
        <f t="shared" ref="N701:S701" si="740">N695+N694</f>
        <v>0</v>
      </c>
      <c r="O701" s="42">
        <f t="shared" si="740"/>
        <v>0</v>
      </c>
      <c r="P701" s="42">
        <f t="shared" si="740"/>
        <v>0</v>
      </c>
      <c r="Q701" s="42">
        <f t="shared" si="740"/>
        <v>0</v>
      </c>
      <c r="R701" s="42">
        <f t="shared" si="740"/>
        <v>0</v>
      </c>
      <c r="S701" s="42">
        <f t="shared" si="740"/>
        <v>0</v>
      </c>
      <c r="T701" s="42">
        <f>SUM(N701:S701)</f>
        <v>0</v>
      </c>
      <c r="U701" s="42">
        <f>T701+L701</f>
        <v>0</v>
      </c>
      <c r="V701" s="42">
        <f>V698</f>
        <v>0</v>
      </c>
      <c r="W701" s="42">
        <f>V701-U701</f>
        <v>0</v>
      </c>
    </row>
    <row r="702" spans="1:28" s="43" customFormat="1" ht="18" hidden="1" customHeight="1">
      <c r="A702" s="614"/>
      <c r="B702" s="581"/>
      <c r="C702" s="581"/>
      <c r="D702" s="202" t="str">
        <f>серпень!D625</f>
        <v xml:space="preserve">відхилення </v>
      </c>
      <c r="E702" s="42"/>
      <c r="F702" s="42">
        <f t="shared" ref="F702:K702" si="741">F698-F701</f>
        <v>0</v>
      </c>
      <c r="G702" s="42">
        <f t="shared" si="741"/>
        <v>0</v>
      </c>
      <c r="H702" s="42">
        <f t="shared" si="741"/>
        <v>0</v>
      </c>
      <c r="I702" s="42">
        <f t="shared" si="741"/>
        <v>0</v>
      </c>
      <c r="J702" s="42">
        <f t="shared" si="741"/>
        <v>0</v>
      </c>
      <c r="K702" s="42">
        <f t="shared" si="741"/>
        <v>0</v>
      </c>
      <c r="L702" s="42"/>
      <c r="M702" s="42"/>
      <c r="N702" s="42">
        <f t="shared" ref="N702:S702" si="742">N698-N701</f>
        <v>0</v>
      </c>
      <c r="O702" s="42">
        <f t="shared" si="742"/>
        <v>0</v>
      </c>
      <c r="P702" s="42">
        <f t="shared" si="742"/>
        <v>0</v>
      </c>
      <c r="Q702" s="42">
        <f t="shared" si="742"/>
        <v>0</v>
      </c>
      <c r="R702" s="42">
        <f t="shared" si="742"/>
        <v>0</v>
      </c>
      <c r="S702" s="42">
        <f t="shared" si="742"/>
        <v>0</v>
      </c>
      <c r="T702" s="42"/>
      <c r="U702" s="42"/>
      <c r="V702" s="42"/>
      <c r="W702" s="42"/>
    </row>
    <row r="703" spans="1:28" s="43" customFormat="1" ht="18" hidden="1" customHeight="1">
      <c r="A703" s="614"/>
      <c r="B703" s="581"/>
      <c r="C703" s="581"/>
      <c r="D703" s="202" t="str">
        <f>серпень!D626</f>
        <v>відхилення з наростаючим</v>
      </c>
      <c r="E703" s="42"/>
      <c r="F703" s="42">
        <f>F702</f>
        <v>0</v>
      </c>
      <c r="G703" s="42">
        <f>G702+F703</f>
        <v>0</v>
      </c>
      <c r="H703" s="42">
        <f>H702+G703</f>
        <v>0</v>
      </c>
      <c r="I703" s="42">
        <f>I702+H703</f>
        <v>0</v>
      </c>
      <c r="J703" s="42">
        <f>J702+I703</f>
        <v>0</v>
      </c>
      <c r="K703" s="42">
        <f>K702+J703</f>
        <v>0</v>
      </c>
      <c r="L703" s="42"/>
      <c r="M703" s="42"/>
      <c r="N703" s="42">
        <f>N702+K703</f>
        <v>0</v>
      </c>
      <c r="O703" s="42">
        <f>O702+N703</f>
        <v>0</v>
      </c>
      <c r="P703" s="42">
        <f>P702+O703</f>
        <v>0</v>
      </c>
      <c r="Q703" s="42">
        <f>Q702+P703</f>
        <v>0</v>
      </c>
      <c r="R703" s="42">
        <f>R702+Q703</f>
        <v>0</v>
      </c>
      <c r="S703" s="42">
        <f>S702+R703</f>
        <v>0</v>
      </c>
      <c r="T703" s="42"/>
      <c r="U703" s="42"/>
      <c r="V703" s="42"/>
      <c r="W703" s="42"/>
    </row>
    <row r="704" spans="1:28" s="47" customFormat="1" ht="18" customHeight="1">
      <c r="A704" s="614"/>
      <c r="B704" s="585" t="s">
        <v>137</v>
      </c>
      <c r="C704" s="586"/>
      <c r="D704" s="178" t="str">
        <f>серпень!D627</f>
        <v>факт. нат.п-ки 2023</v>
      </c>
      <c r="E704" s="11"/>
      <c r="F704" s="12">
        <f>F719+F734</f>
        <v>0</v>
      </c>
      <c r="G704" s="12">
        <f t="shared" ref="G704:K704" si="743">G719+G734</f>
        <v>0</v>
      </c>
      <c r="H704" s="12">
        <f t="shared" si="743"/>
        <v>0</v>
      </c>
      <c r="I704" s="12">
        <f t="shared" si="743"/>
        <v>0</v>
      </c>
      <c r="J704" s="12">
        <f t="shared" si="743"/>
        <v>0</v>
      </c>
      <c r="K704" s="12">
        <f t="shared" si="743"/>
        <v>0</v>
      </c>
      <c r="L704" s="65">
        <f>SUM(F704:K704)</f>
        <v>0</v>
      </c>
      <c r="M704" s="65">
        <f>L704/6</f>
        <v>0</v>
      </c>
      <c r="N704" s="12">
        <f>N719+N734</f>
        <v>0</v>
      </c>
      <c r="O704" s="12">
        <f t="shared" ref="O704:S704" si="744">O719+O734</f>
        <v>20.399999999999999</v>
      </c>
      <c r="P704" s="12">
        <f t="shared" si="744"/>
        <v>15.6</v>
      </c>
      <c r="Q704" s="12">
        <f t="shared" si="744"/>
        <v>0</v>
      </c>
      <c r="R704" s="12">
        <f t="shared" si="744"/>
        <v>0</v>
      </c>
      <c r="S704" s="12">
        <f t="shared" si="744"/>
        <v>0</v>
      </c>
      <c r="T704" s="65">
        <f>SUM(N704:S704)</f>
        <v>36</v>
      </c>
      <c r="U704" s="66">
        <f>T704+L704</f>
        <v>36</v>
      </c>
      <c r="V704" s="67"/>
      <c r="W704" s="38"/>
    </row>
    <row r="705" spans="1:24" s="47" customFormat="1" ht="18" customHeight="1">
      <c r="A705" s="614"/>
      <c r="B705" s="587"/>
      <c r="C705" s="588"/>
      <c r="D705" s="178" t="str">
        <f>серпень!D628</f>
        <v>факт. нат.п-ки 2024</v>
      </c>
      <c r="E705" s="11"/>
      <c r="F705" s="12">
        <f t="shared" ref="F705:K706" si="745">F720+F735</f>
        <v>0</v>
      </c>
      <c r="G705" s="12">
        <f t="shared" si="745"/>
        <v>0</v>
      </c>
      <c r="H705" s="12">
        <f t="shared" si="745"/>
        <v>0</v>
      </c>
      <c r="I705" s="12">
        <f t="shared" si="745"/>
        <v>0</v>
      </c>
      <c r="J705" s="12">
        <f t="shared" si="745"/>
        <v>0</v>
      </c>
      <c r="K705" s="12">
        <f t="shared" si="745"/>
        <v>0</v>
      </c>
      <c r="L705" s="65">
        <f>SUM(F705:K705)</f>
        <v>0</v>
      </c>
      <c r="M705" s="65">
        <f>L705/6</f>
        <v>0</v>
      </c>
      <c r="N705" s="11">
        <f t="shared" ref="N705:S705" si="746">N720+N735</f>
        <v>25</v>
      </c>
      <c r="O705" s="12">
        <f t="shared" si="746"/>
        <v>10.199999999999999</v>
      </c>
      <c r="P705" s="12">
        <f t="shared" si="746"/>
        <v>1549.5</v>
      </c>
      <c r="Q705" s="11">
        <f t="shared" si="746"/>
        <v>0</v>
      </c>
      <c r="R705" s="11">
        <f t="shared" si="746"/>
        <v>0</v>
      </c>
      <c r="S705" s="11">
        <f t="shared" si="746"/>
        <v>0</v>
      </c>
      <c r="T705" s="65">
        <f>SUM(N705:S705)</f>
        <v>1584.7</v>
      </c>
      <c r="U705" s="66">
        <f>T705+L705</f>
        <v>1584.7</v>
      </c>
      <c r="V705" s="67">
        <v>35</v>
      </c>
      <c r="W705" s="38"/>
    </row>
    <row r="706" spans="1:24" s="47" customFormat="1" ht="18" customHeight="1">
      <c r="A706" s="614"/>
      <c r="B706" s="587"/>
      <c r="C706" s="588"/>
      <c r="D706" s="178" t="str">
        <f>серпень!D629</f>
        <v>факт. нат.п-ки 2025</v>
      </c>
      <c r="E706" s="11"/>
      <c r="F706" s="12">
        <f>F721+F736</f>
        <v>0</v>
      </c>
      <c r="G706" s="12">
        <f t="shared" si="745"/>
        <v>0</v>
      </c>
      <c r="H706" s="12">
        <f t="shared" si="745"/>
        <v>0</v>
      </c>
      <c r="I706" s="12">
        <f t="shared" si="745"/>
        <v>0</v>
      </c>
      <c r="J706" s="12">
        <f t="shared" si="745"/>
        <v>120</v>
      </c>
      <c r="K706" s="12">
        <f t="shared" si="745"/>
        <v>200</v>
      </c>
      <c r="L706" s="65">
        <f>SUM(F706:K706)</f>
        <v>320</v>
      </c>
      <c r="M706" s="65">
        <f>L706/6</f>
        <v>53.3</v>
      </c>
      <c r="N706" s="12">
        <f>N721+N736</f>
        <v>8.8000000000000007</v>
      </c>
      <c r="O706" s="12">
        <f t="shared" ref="O706:S706" si="747">O721+O736</f>
        <v>0</v>
      </c>
      <c r="P706" s="12">
        <f t="shared" si="747"/>
        <v>0</v>
      </c>
      <c r="Q706" s="12">
        <f t="shared" si="747"/>
        <v>2.5</v>
      </c>
      <c r="R706" s="12">
        <f t="shared" si="747"/>
        <v>0</v>
      </c>
      <c r="S706" s="12">
        <f t="shared" si="747"/>
        <v>0</v>
      </c>
      <c r="T706" s="65">
        <f>SUM(N706:S706)</f>
        <v>11.3</v>
      </c>
      <c r="U706" s="66">
        <f>T706+L706</f>
        <v>331.3</v>
      </c>
      <c r="V706" s="11">
        <f t="shared" ref="V706" si="748">V721+V736</f>
        <v>433.2</v>
      </c>
      <c r="W706" s="38">
        <f>V706-U706</f>
        <v>101.9</v>
      </c>
    </row>
    <row r="707" spans="1:24" s="47" customFormat="1" ht="18" customHeight="1">
      <c r="A707" s="614"/>
      <c r="B707" s="587"/>
      <c r="C707" s="588"/>
      <c r="D707" s="187" t="str">
        <f>серпень!D630</f>
        <v>тариф, грн.</v>
      </c>
      <c r="E707" s="49" t="e">
        <f>E708/E706*1000</f>
        <v>#DIV/0!</v>
      </c>
      <c r="F707" s="49" t="e">
        <f t="shared" ref="F707:K707" si="749">F708/F706*1000</f>
        <v>#DIV/0!</v>
      </c>
      <c r="G707" s="49" t="e">
        <f t="shared" si="749"/>
        <v>#DIV/0!</v>
      </c>
      <c r="H707" s="49" t="e">
        <f t="shared" si="749"/>
        <v>#DIV/0!</v>
      </c>
      <c r="I707" s="49" t="e">
        <f t="shared" si="749"/>
        <v>#DIV/0!</v>
      </c>
      <c r="J707" s="49">
        <f t="shared" si="749"/>
        <v>52.491999999999997</v>
      </c>
      <c r="K707" s="49">
        <f t="shared" si="749"/>
        <v>55.99</v>
      </c>
      <c r="L707" s="49">
        <f>L708/L706*1000</f>
        <v>54.677999999999997</v>
      </c>
      <c r="M707" s="49">
        <f>M708/M706*1000</f>
        <v>54.709000000000003</v>
      </c>
      <c r="N707" s="49">
        <f t="shared" ref="N707:S707" si="750">N708/N706*1000</f>
        <v>7613.8639999999996</v>
      </c>
      <c r="O707" s="49" t="e">
        <f t="shared" si="750"/>
        <v>#DIV/0!</v>
      </c>
      <c r="P707" s="49" t="e">
        <f t="shared" si="750"/>
        <v>#DIV/0!</v>
      </c>
      <c r="Q707" s="49">
        <f t="shared" si="750"/>
        <v>7679.2</v>
      </c>
      <c r="R707" s="49" t="e">
        <f t="shared" si="750"/>
        <v>#DIV/0!</v>
      </c>
      <c r="S707" s="49" t="e">
        <f t="shared" si="750"/>
        <v>#DIV/0!</v>
      </c>
      <c r="T707" s="49">
        <f>T708/T706*1000</f>
        <v>7628.3190000000004</v>
      </c>
      <c r="U707" s="49">
        <f>U708/U706*1000</f>
        <v>313</v>
      </c>
      <c r="V707" s="68">
        <f>V708/V706*1000</f>
        <v>239.381</v>
      </c>
      <c r="W707" s="14">
        <f>W708/W706*1000</f>
        <v>2.9000000000000001E-2</v>
      </c>
    </row>
    <row r="708" spans="1:24" s="47" customFormat="1" ht="18" customHeight="1">
      <c r="A708" s="614"/>
      <c r="B708" s="587"/>
      <c r="C708" s="588"/>
      <c r="D708" s="191" t="str">
        <f>серпень!D631</f>
        <v>сума, тис.грн.</v>
      </c>
      <c r="E708" s="52"/>
      <c r="F708" s="52">
        <f>F723+F738</f>
        <v>0</v>
      </c>
      <c r="G708" s="52">
        <f t="shared" ref="G708:K708" si="751">G723+G738</f>
        <v>0</v>
      </c>
      <c r="H708" s="52">
        <f t="shared" si="751"/>
        <v>0</v>
      </c>
      <c r="I708" s="52">
        <f t="shared" si="751"/>
        <v>0</v>
      </c>
      <c r="J708" s="52">
        <f t="shared" si="751"/>
        <v>6.2990000000000004</v>
      </c>
      <c r="K708" s="52">
        <f t="shared" si="751"/>
        <v>11.198</v>
      </c>
      <c r="L708" s="69">
        <f>SUM(F708:K708)</f>
        <v>17.497</v>
      </c>
      <c r="M708" s="69">
        <f>L708/6</f>
        <v>2.9159999999999999</v>
      </c>
      <c r="N708" s="52">
        <f>N723+N738</f>
        <v>67.001999999999995</v>
      </c>
      <c r="O708" s="52">
        <f t="shared" ref="O708:R708" si="752">O723+O738</f>
        <v>0</v>
      </c>
      <c r="P708" s="52">
        <f t="shared" si="752"/>
        <v>0</v>
      </c>
      <c r="Q708" s="52">
        <f t="shared" si="752"/>
        <v>19.198</v>
      </c>
      <c r="R708" s="52">
        <f t="shared" si="752"/>
        <v>0</v>
      </c>
      <c r="S708" s="52">
        <f>S723+S738</f>
        <v>0</v>
      </c>
      <c r="T708" s="69">
        <f>SUM(N708:S708)</f>
        <v>86.2</v>
      </c>
      <c r="U708" s="69">
        <f>T708+L708</f>
        <v>103.697</v>
      </c>
      <c r="V708" s="70">
        <f>V723+V738</f>
        <v>103.7</v>
      </c>
      <c r="W708" s="53">
        <f>V708-U708</f>
        <v>3.0000000000000001E-3</v>
      </c>
    </row>
    <row r="709" spans="1:24" s="47" customFormat="1" ht="18" customHeight="1">
      <c r="A709" s="614"/>
      <c r="B709" s="587"/>
      <c r="C709" s="588"/>
      <c r="D709" s="174" t="str">
        <f>серпень!D632</f>
        <v>дотація</v>
      </c>
      <c r="E709" s="56"/>
      <c r="F709" s="52"/>
      <c r="G709" s="52"/>
      <c r="H709" s="52"/>
      <c r="I709" s="52"/>
      <c r="J709" s="52"/>
      <c r="K709" s="52"/>
      <c r="L709" s="69">
        <f>SUM(F709:K709)</f>
        <v>0</v>
      </c>
      <c r="M709" s="69">
        <f>L709/6</f>
        <v>0</v>
      </c>
      <c r="N709" s="52"/>
      <c r="O709" s="52"/>
      <c r="P709" s="52"/>
      <c r="Q709" s="52"/>
      <c r="R709" s="52"/>
      <c r="S709" s="52"/>
      <c r="T709" s="69">
        <f>SUM(N709:S709)</f>
        <v>0</v>
      </c>
      <c r="U709" s="69">
        <f>T709+L709</f>
        <v>0</v>
      </c>
      <c r="V709" s="70">
        <v>0</v>
      </c>
      <c r="W709" s="53">
        <f>V709-U709</f>
        <v>0</v>
      </c>
    </row>
    <row r="710" spans="1:24" s="47" customFormat="1" ht="18" customHeight="1">
      <c r="A710" s="614"/>
      <c r="B710" s="587"/>
      <c r="C710" s="588"/>
      <c r="D710" s="174" t="str">
        <f>серпень!D633</f>
        <v>місцевий (план), тис.грн</v>
      </c>
      <c r="E710" s="56"/>
      <c r="F710" s="52">
        <f>F725+F740</f>
        <v>0</v>
      </c>
      <c r="G710" s="52">
        <f t="shared" ref="G710:K710" si="753">G725+G740</f>
        <v>0</v>
      </c>
      <c r="H710" s="52">
        <f t="shared" si="753"/>
        <v>0</v>
      </c>
      <c r="I710" s="52">
        <f t="shared" si="753"/>
        <v>0</v>
      </c>
      <c r="J710" s="52">
        <f t="shared" si="753"/>
        <v>12.448</v>
      </c>
      <c r="K710" s="52">
        <f t="shared" si="753"/>
        <v>4.3</v>
      </c>
      <c r="L710" s="69">
        <f>SUM(F710:K710)</f>
        <v>16.748000000000001</v>
      </c>
      <c r="M710" s="69">
        <f>L710/6</f>
        <v>2.7909999999999999</v>
      </c>
      <c r="N710" s="52">
        <f>N725+N740</f>
        <v>66.549000000000007</v>
      </c>
      <c r="O710" s="52">
        <f t="shared" ref="O710:S710" si="754">O725+O740</f>
        <v>10.4</v>
      </c>
      <c r="P710" s="52">
        <f t="shared" si="754"/>
        <v>8.2509999999999994</v>
      </c>
      <c r="Q710" s="52">
        <f t="shared" si="754"/>
        <v>0</v>
      </c>
      <c r="R710" s="52">
        <f t="shared" si="754"/>
        <v>0</v>
      </c>
      <c r="S710" s="52">
        <f t="shared" si="754"/>
        <v>1.752</v>
      </c>
      <c r="T710" s="69">
        <f>SUM(N710:S710)</f>
        <v>86.951999999999998</v>
      </c>
      <c r="U710" s="69">
        <f>T710+L710</f>
        <v>103.7</v>
      </c>
      <c r="V710" s="70">
        <f>V725+V740</f>
        <v>103.7</v>
      </c>
      <c r="W710" s="53">
        <f>V710-U710</f>
        <v>0</v>
      </c>
    </row>
    <row r="711" spans="1:24" s="47" customFormat="1" ht="18" customHeight="1">
      <c r="A711" s="614"/>
      <c r="B711" s="587"/>
      <c r="C711" s="588"/>
      <c r="D711" s="178" t="str">
        <f>серпень!D634</f>
        <v>касові нат.п-ки 2025</v>
      </c>
      <c r="E711" s="11"/>
      <c r="F711" s="11">
        <f>F726+F741</f>
        <v>0</v>
      </c>
      <c r="G711" s="11">
        <f t="shared" ref="G711:K711" si="755">G726+G741</f>
        <v>0</v>
      </c>
      <c r="H711" s="11">
        <f t="shared" si="755"/>
        <v>0</v>
      </c>
      <c r="I711" s="11">
        <f t="shared" si="755"/>
        <v>0</v>
      </c>
      <c r="J711" s="11">
        <f t="shared" si="755"/>
        <v>120</v>
      </c>
      <c r="K711" s="11">
        <f t="shared" si="755"/>
        <v>0</v>
      </c>
      <c r="L711" s="65">
        <f>SUM(F711:K711)</f>
        <v>120</v>
      </c>
      <c r="M711" s="65">
        <f>L711/6</f>
        <v>20</v>
      </c>
      <c r="N711" s="11">
        <f>N726+N741</f>
        <v>208.8</v>
      </c>
      <c r="O711" s="11">
        <f t="shared" ref="O711:S711" si="756">O726+O741</f>
        <v>0</v>
      </c>
      <c r="P711" s="11">
        <f t="shared" si="756"/>
        <v>0</v>
      </c>
      <c r="Q711" s="11">
        <f t="shared" si="756"/>
        <v>2.5</v>
      </c>
      <c r="R711" s="11">
        <f t="shared" si="756"/>
        <v>0</v>
      </c>
      <c r="S711" s="11">
        <f t="shared" si="756"/>
        <v>0</v>
      </c>
      <c r="T711" s="65">
        <f>SUM(N711:S711)</f>
        <v>211.3</v>
      </c>
      <c r="U711" s="65">
        <f>T711+L711</f>
        <v>331.3</v>
      </c>
      <c r="V711" s="11">
        <f t="shared" ref="V711" si="757">V726+V741</f>
        <v>433.2</v>
      </c>
      <c r="W711" s="38">
        <f>V711-U711</f>
        <v>101.9</v>
      </c>
      <c r="X711" s="47">
        <f>U706-U711</f>
        <v>0</v>
      </c>
    </row>
    <row r="712" spans="1:24" s="47" customFormat="1" ht="18" customHeight="1">
      <c r="A712" s="614"/>
      <c r="B712" s="587"/>
      <c r="C712" s="588"/>
      <c r="D712" s="187" t="str">
        <f>серпень!D635</f>
        <v>тариф, грн.</v>
      </c>
      <c r="E712" s="49" t="e">
        <f t="shared" ref="E712:K712" si="758">E713/E711*1000</f>
        <v>#DIV/0!</v>
      </c>
      <c r="F712" s="49" t="e">
        <f t="shared" si="758"/>
        <v>#DIV/0!</v>
      </c>
      <c r="G712" s="49" t="e">
        <f t="shared" si="758"/>
        <v>#DIV/0!</v>
      </c>
      <c r="H712" s="49" t="e">
        <f t="shared" si="758"/>
        <v>#DIV/0!</v>
      </c>
      <c r="I712" s="49" t="e">
        <f t="shared" si="758"/>
        <v>#DIV/0!</v>
      </c>
      <c r="J712" s="49">
        <f t="shared" si="758"/>
        <v>52.491999999999997</v>
      </c>
      <c r="K712" s="49" t="e">
        <f t="shared" si="758"/>
        <v>#DIV/0!</v>
      </c>
      <c r="L712" s="49">
        <f>L713/L711*1000</f>
        <v>52.491999999999997</v>
      </c>
      <c r="M712" s="49">
        <f>M713/M711*1000</f>
        <v>52.5</v>
      </c>
      <c r="N712" s="49">
        <f t="shared" ref="N712:P712" si="759">N713/N711*1000</f>
        <v>374.52100000000002</v>
      </c>
      <c r="O712" s="49" t="e">
        <f t="shared" si="759"/>
        <v>#DIV/0!</v>
      </c>
      <c r="P712" s="49" t="e">
        <f t="shared" si="759"/>
        <v>#DIV/0!</v>
      </c>
      <c r="Q712" s="49">
        <v>6300</v>
      </c>
      <c r="R712" s="49">
        <v>6300</v>
      </c>
      <c r="S712" s="49">
        <v>6300</v>
      </c>
      <c r="T712" s="49">
        <f>T713/T711*1000</f>
        <v>460.947</v>
      </c>
      <c r="U712" s="49">
        <f>U713/U711*1000</f>
        <v>313</v>
      </c>
      <c r="V712" s="68">
        <f>V713/V711*1000</f>
        <v>239.381</v>
      </c>
      <c r="W712" s="14">
        <f>W713/W711*1000</f>
        <v>2.9000000000000001E-2</v>
      </c>
      <c r="X712" s="59"/>
    </row>
    <row r="713" spans="1:24" s="47" customFormat="1" ht="18" customHeight="1">
      <c r="A713" s="614"/>
      <c r="B713" s="587"/>
      <c r="C713" s="588"/>
      <c r="D713" s="198" t="str">
        <f>серпень!D636</f>
        <v>касові видатки, тис.грн.</v>
      </c>
      <c r="E713" s="71"/>
      <c r="F713" s="61">
        <f>F728+F743</f>
        <v>0</v>
      </c>
      <c r="G713" s="61">
        <f t="shared" ref="G713:K713" si="760">G728+G743</f>
        <v>0</v>
      </c>
      <c r="H713" s="61">
        <f t="shared" si="760"/>
        <v>0</v>
      </c>
      <c r="I713" s="61">
        <f t="shared" si="760"/>
        <v>0</v>
      </c>
      <c r="J713" s="61">
        <f t="shared" si="760"/>
        <v>6.2990000000000004</v>
      </c>
      <c r="K713" s="61">
        <f t="shared" si="760"/>
        <v>0</v>
      </c>
      <c r="L713" s="61">
        <f>SUM(F713:K713)</f>
        <v>6.2990000000000004</v>
      </c>
      <c r="M713" s="61">
        <f>L713/6</f>
        <v>1.05</v>
      </c>
      <c r="N713" s="61">
        <f>N728+N743</f>
        <v>78.2</v>
      </c>
      <c r="O713" s="61">
        <f t="shared" ref="O713:S713" si="761">O728+O743</f>
        <v>0</v>
      </c>
      <c r="P713" s="61">
        <f t="shared" si="761"/>
        <v>0</v>
      </c>
      <c r="Q713" s="61">
        <f t="shared" si="761"/>
        <v>19.198</v>
      </c>
      <c r="R713" s="61">
        <f t="shared" si="761"/>
        <v>0</v>
      </c>
      <c r="S713" s="61">
        <f t="shared" si="761"/>
        <v>0</v>
      </c>
      <c r="T713" s="61">
        <f>SUM(N713:S713)</f>
        <v>97.397999999999996</v>
      </c>
      <c r="U713" s="61">
        <f>T713+L713</f>
        <v>103.697</v>
      </c>
      <c r="V713" s="61">
        <f>V708</f>
        <v>103.7</v>
      </c>
      <c r="W713" s="72">
        <f>V713-U713</f>
        <v>3.0000000000000001E-3</v>
      </c>
      <c r="X713" s="63">
        <f>U708-U713</f>
        <v>0</v>
      </c>
    </row>
    <row r="714" spans="1:24" s="47" customFormat="1" ht="18" customHeight="1">
      <c r="A714" s="614"/>
      <c r="B714" s="587"/>
      <c r="C714" s="588"/>
      <c r="D714" s="201" t="str">
        <f>серпень!D637</f>
        <v>дотація</v>
      </c>
      <c r="E714" s="71"/>
      <c r="F714" s="61"/>
      <c r="G714" s="61"/>
      <c r="H714" s="61"/>
      <c r="I714" s="61"/>
      <c r="J714" s="61"/>
      <c r="K714" s="61"/>
      <c r="L714" s="61">
        <f>SUM(F714:K714)</f>
        <v>0</v>
      </c>
      <c r="M714" s="61">
        <f>L714/6</f>
        <v>0</v>
      </c>
      <c r="N714" s="61"/>
      <c r="O714" s="61"/>
      <c r="P714" s="61"/>
      <c r="Q714" s="61"/>
      <c r="R714" s="61"/>
      <c r="S714" s="61"/>
      <c r="T714" s="61">
        <f>SUM(N714:S714)</f>
        <v>0</v>
      </c>
      <c r="U714" s="61">
        <f>T714+L714</f>
        <v>0</v>
      </c>
      <c r="V714" s="61">
        <f>V709</f>
        <v>0</v>
      </c>
      <c r="W714" s="72">
        <f>V714-U714</f>
        <v>0</v>
      </c>
      <c r="X714" s="63">
        <f>U709-U714</f>
        <v>0</v>
      </c>
    </row>
    <row r="715" spans="1:24" s="47" customFormat="1" ht="18" customHeight="1">
      <c r="A715" s="614"/>
      <c r="B715" s="587"/>
      <c r="C715" s="588"/>
      <c r="D715" s="201" t="str">
        <f>серпень!D638</f>
        <v xml:space="preserve">місцевий </v>
      </c>
      <c r="E715" s="71"/>
      <c r="F715" s="61">
        <f t="shared" ref="F715:K715" si="762">F713-F714</f>
        <v>0</v>
      </c>
      <c r="G715" s="61">
        <f t="shared" si="762"/>
        <v>0</v>
      </c>
      <c r="H715" s="61">
        <f t="shared" si="762"/>
        <v>0</v>
      </c>
      <c r="I715" s="61">
        <f t="shared" si="762"/>
        <v>0</v>
      </c>
      <c r="J715" s="61">
        <f t="shared" si="762"/>
        <v>6.2990000000000004</v>
      </c>
      <c r="K715" s="61">
        <f t="shared" si="762"/>
        <v>0</v>
      </c>
      <c r="L715" s="61">
        <f>SUM(F715:K715)</f>
        <v>6.2990000000000004</v>
      </c>
      <c r="M715" s="61">
        <f>L715/6</f>
        <v>1.05</v>
      </c>
      <c r="N715" s="61">
        <f t="shared" ref="N715:S715" si="763">N713-N714</f>
        <v>78.2</v>
      </c>
      <c r="O715" s="61">
        <f t="shared" si="763"/>
        <v>0</v>
      </c>
      <c r="P715" s="61">
        <f t="shared" si="763"/>
        <v>0</v>
      </c>
      <c r="Q715" s="61">
        <f t="shared" si="763"/>
        <v>19.198</v>
      </c>
      <c r="R715" s="61">
        <f t="shared" si="763"/>
        <v>0</v>
      </c>
      <c r="S715" s="61">
        <f t="shared" si="763"/>
        <v>0</v>
      </c>
      <c r="T715" s="61">
        <f>SUM(N715:S715)</f>
        <v>97.397999999999996</v>
      </c>
      <c r="U715" s="61">
        <f>T715+L715</f>
        <v>103.697</v>
      </c>
      <c r="V715" s="61">
        <f>V710</f>
        <v>103.7</v>
      </c>
      <c r="W715" s="72">
        <f>V715-U715</f>
        <v>3.0000000000000001E-3</v>
      </c>
      <c r="X715" s="63">
        <f>U710-U715</f>
        <v>3.0000000000000001E-3</v>
      </c>
    </row>
    <row r="716" spans="1:24" s="47" customFormat="1" ht="18" customHeight="1">
      <c r="A716" s="614"/>
      <c r="B716" s="587"/>
      <c r="C716" s="588"/>
      <c r="D716" s="202" t="str">
        <f>серпень!D639</f>
        <v>план</v>
      </c>
      <c r="E716" s="42"/>
      <c r="F716" s="42">
        <f t="shared" ref="F716:K716" si="764">F710</f>
        <v>0</v>
      </c>
      <c r="G716" s="42">
        <f t="shared" si="764"/>
        <v>0</v>
      </c>
      <c r="H716" s="42">
        <f t="shared" si="764"/>
        <v>0</v>
      </c>
      <c r="I716" s="42">
        <f t="shared" si="764"/>
        <v>0</v>
      </c>
      <c r="J716" s="42">
        <f t="shared" si="764"/>
        <v>12.448</v>
      </c>
      <c r="K716" s="42">
        <f t="shared" si="764"/>
        <v>4.3</v>
      </c>
      <c r="L716" s="42">
        <f>SUM(F716:K716)</f>
        <v>16.748000000000001</v>
      </c>
      <c r="M716" s="42">
        <f>L716/6</f>
        <v>2.7909999999999999</v>
      </c>
      <c r="N716" s="42">
        <f t="shared" ref="N716:S716" si="765">N710+N709</f>
        <v>66.549000000000007</v>
      </c>
      <c r="O716" s="42">
        <f t="shared" si="765"/>
        <v>10.4</v>
      </c>
      <c r="P716" s="42">
        <f t="shared" si="765"/>
        <v>8.2509999999999994</v>
      </c>
      <c r="Q716" s="42">
        <f t="shared" si="765"/>
        <v>0</v>
      </c>
      <c r="R716" s="42">
        <f t="shared" si="765"/>
        <v>0</v>
      </c>
      <c r="S716" s="42">
        <f t="shared" si="765"/>
        <v>1.752</v>
      </c>
      <c r="T716" s="42">
        <f>SUM(N716:S716)</f>
        <v>86.951999999999998</v>
      </c>
      <c r="U716" s="42">
        <f>T716+L716</f>
        <v>103.7</v>
      </c>
      <c r="V716" s="42">
        <f>V713</f>
        <v>103.7</v>
      </c>
      <c r="W716" s="42">
        <f>V716-U716</f>
        <v>0</v>
      </c>
    </row>
    <row r="717" spans="1:24" s="47" customFormat="1" ht="18" customHeight="1">
      <c r="A717" s="614"/>
      <c r="B717" s="587"/>
      <c r="C717" s="588"/>
      <c r="D717" s="202" t="str">
        <f>серпень!D640</f>
        <v xml:space="preserve">відхилення </v>
      </c>
      <c r="E717" s="42"/>
      <c r="F717" s="42">
        <f t="shared" ref="F717:K717" si="766">F713-F716</f>
        <v>0</v>
      </c>
      <c r="G717" s="42">
        <f t="shared" si="766"/>
        <v>0</v>
      </c>
      <c r="H717" s="42">
        <f t="shared" si="766"/>
        <v>0</v>
      </c>
      <c r="I717" s="42">
        <f t="shared" si="766"/>
        <v>0</v>
      </c>
      <c r="J717" s="42">
        <f t="shared" si="766"/>
        <v>-6.149</v>
      </c>
      <c r="K717" s="42">
        <f t="shared" si="766"/>
        <v>-4.3</v>
      </c>
      <c r="L717" s="42"/>
      <c r="M717" s="42"/>
      <c r="N717" s="42">
        <f t="shared" ref="N717:S717" si="767">N713-N716</f>
        <v>11.651</v>
      </c>
      <c r="O717" s="42">
        <f t="shared" si="767"/>
        <v>-10.4</v>
      </c>
      <c r="P717" s="42">
        <f t="shared" si="767"/>
        <v>-8.2509999999999994</v>
      </c>
      <c r="Q717" s="42">
        <f t="shared" si="767"/>
        <v>19.198</v>
      </c>
      <c r="R717" s="42">
        <f t="shared" si="767"/>
        <v>0</v>
      </c>
      <c r="S717" s="42">
        <f t="shared" si="767"/>
        <v>-1.752</v>
      </c>
      <c r="T717" s="42"/>
      <c r="U717" s="42"/>
      <c r="V717" s="42"/>
      <c r="W717" s="42"/>
    </row>
    <row r="718" spans="1:24" s="47" customFormat="1" ht="18" customHeight="1">
      <c r="A718" s="615"/>
      <c r="B718" s="589"/>
      <c r="C718" s="590"/>
      <c r="D718" s="202" t="str">
        <f>серпень!D641</f>
        <v>відхилення з наростаючим</v>
      </c>
      <c r="E718" s="42"/>
      <c r="F718" s="42">
        <f>F717</f>
        <v>0</v>
      </c>
      <c r="G718" s="42">
        <f>G717+F718</f>
        <v>0</v>
      </c>
      <c r="H718" s="42">
        <f>H717+G718</f>
        <v>0</v>
      </c>
      <c r="I718" s="42">
        <f>I717+H718</f>
        <v>0</v>
      </c>
      <c r="J718" s="42">
        <f>J717+I718</f>
        <v>-6.149</v>
      </c>
      <c r="K718" s="42">
        <f>K717+J718</f>
        <v>-10.449</v>
      </c>
      <c r="L718" s="42"/>
      <c r="M718" s="42"/>
      <c r="N718" s="42">
        <f>N717+K718</f>
        <v>1.202</v>
      </c>
      <c r="O718" s="42">
        <f>O717+N718</f>
        <v>-9.1980000000000004</v>
      </c>
      <c r="P718" s="42">
        <f>P717+O718</f>
        <v>-17.449000000000002</v>
      </c>
      <c r="Q718" s="42">
        <f>Q717+P718</f>
        <v>1.7490000000000001</v>
      </c>
      <c r="R718" s="42">
        <f>R717+Q718</f>
        <v>1.7490000000000001</v>
      </c>
      <c r="S718" s="42">
        <f>S717+R718</f>
        <v>-3.0000000000000001E-3</v>
      </c>
      <c r="T718" s="42"/>
      <c r="U718" s="42"/>
      <c r="V718" s="42"/>
      <c r="W718" s="42"/>
    </row>
    <row r="719" spans="1:24" s="47" customFormat="1" ht="20.05" customHeight="1">
      <c r="A719" s="682"/>
      <c r="B719" s="580" t="s">
        <v>125</v>
      </c>
      <c r="C719" s="575"/>
      <c r="D719" s="178" t="str">
        <f>серпень!D642</f>
        <v>факт. нат.п-ки 2023</v>
      </c>
      <c r="E719" s="11"/>
      <c r="F719" s="12"/>
      <c r="G719" s="12"/>
      <c r="H719" s="12">
        <v>0</v>
      </c>
      <c r="I719" s="12"/>
      <c r="J719" s="12"/>
      <c r="K719" s="12"/>
      <c r="L719" s="65">
        <f>SUM(F719:K719)</f>
        <v>0</v>
      </c>
      <c r="M719" s="65">
        <f>L719/6</f>
        <v>0</v>
      </c>
      <c r="N719" s="12"/>
      <c r="O719" s="12">
        <v>10.199999999999999</v>
      </c>
      <c r="P719" s="12">
        <v>7.8</v>
      </c>
      <c r="Q719" s="12"/>
      <c r="R719" s="12"/>
      <c r="S719" s="12"/>
      <c r="T719" s="65">
        <f>SUM(N719:S719)</f>
        <v>18</v>
      </c>
      <c r="U719" s="66">
        <f>T719+L719</f>
        <v>18</v>
      </c>
      <c r="V719" s="67"/>
      <c r="W719" s="38"/>
    </row>
    <row r="720" spans="1:24" s="47" customFormat="1" ht="18" customHeight="1">
      <c r="A720" s="683"/>
      <c r="B720" s="576"/>
      <c r="C720" s="577"/>
      <c r="D720" s="178" t="str">
        <f>серпень!D643</f>
        <v>факт. нат.п-ки 2024</v>
      </c>
      <c r="E720" s="11"/>
      <c r="F720" s="12"/>
      <c r="G720" s="12"/>
      <c r="H720" s="12"/>
      <c r="I720" s="12"/>
      <c r="J720" s="12"/>
      <c r="K720" s="12"/>
      <c r="L720" s="65">
        <f>SUM(F720:K720)</f>
        <v>0</v>
      </c>
      <c r="M720" s="65">
        <f>L720/6</f>
        <v>0</v>
      </c>
      <c r="N720" s="11">
        <v>25</v>
      </c>
      <c r="O720" s="12"/>
      <c r="P720" s="12">
        <v>9.5</v>
      </c>
      <c r="Q720" s="11"/>
      <c r="R720" s="11">
        <v>0</v>
      </c>
      <c r="S720" s="11">
        <v>0</v>
      </c>
      <c r="T720" s="65">
        <f>SUM(N720:S720)</f>
        <v>34.5</v>
      </c>
      <c r="U720" s="66">
        <f>T720+L720</f>
        <v>34.5</v>
      </c>
      <c r="V720" s="67"/>
      <c r="W720" s="38"/>
    </row>
    <row r="721" spans="1:24" s="47" customFormat="1" ht="18" customHeight="1">
      <c r="A721" s="683"/>
      <c r="B721" s="576"/>
      <c r="C721" s="577"/>
      <c r="D721" s="178" t="str">
        <f>серпень!D644</f>
        <v>факт. нат.п-ки 2025</v>
      </c>
      <c r="E721" s="11"/>
      <c r="F721" s="12"/>
      <c r="G721" s="12"/>
      <c r="H721" s="12">
        <v>0</v>
      </c>
      <c r="I721" s="12"/>
      <c r="J721" s="12">
        <v>0</v>
      </c>
      <c r="K721" s="12"/>
      <c r="L721" s="65">
        <f>SUM(F721:K721)</f>
        <v>0</v>
      </c>
      <c r="M721" s="65">
        <f>L721/6</f>
        <v>0</v>
      </c>
      <c r="N721" s="82">
        <v>8.8160000000000007</v>
      </c>
      <c r="O721" s="12"/>
      <c r="P721" s="12"/>
      <c r="Q721" s="12">
        <v>2.5</v>
      </c>
      <c r="R721" s="12">
        <v>0</v>
      </c>
      <c r="S721" s="11">
        <v>0</v>
      </c>
      <c r="T721" s="65">
        <f>SUM(N721:S721)</f>
        <v>11.3</v>
      </c>
      <c r="U721" s="66">
        <f>T721+L721</f>
        <v>11.3</v>
      </c>
      <c r="V721" s="11">
        <v>10</v>
      </c>
      <c r="W721" s="38">
        <f>V721-U721</f>
        <v>-1.3</v>
      </c>
    </row>
    <row r="722" spans="1:24" s="47" customFormat="1" ht="18" customHeight="1">
      <c r="A722" s="683"/>
      <c r="B722" s="576"/>
      <c r="C722" s="577"/>
      <c r="D722" s="187" t="str">
        <f>серпень!D645</f>
        <v>тариф, грн.</v>
      </c>
      <c r="E722" s="49" t="e">
        <f>E723/E721*1000</f>
        <v>#DIV/0!</v>
      </c>
      <c r="F722" s="49">
        <v>6700</v>
      </c>
      <c r="G722" s="49">
        <v>6700</v>
      </c>
      <c r="H722" s="49">
        <v>6700</v>
      </c>
      <c r="I722" s="49">
        <v>6700</v>
      </c>
      <c r="J722" s="49">
        <v>6700</v>
      </c>
      <c r="K722" s="49">
        <v>6700</v>
      </c>
      <c r="L722" s="49" t="e">
        <f>L723/L721*1000</f>
        <v>#DIV/0!</v>
      </c>
      <c r="M722" s="49" t="e">
        <f>M723/M721*1000</f>
        <v>#DIV/0!</v>
      </c>
      <c r="N722" s="49">
        <f>N723/N721*1000</f>
        <v>7600.0450000000001</v>
      </c>
      <c r="O722" s="49">
        <v>7600</v>
      </c>
      <c r="P722" s="49">
        <v>7600</v>
      </c>
      <c r="Q722" s="49">
        <v>7600</v>
      </c>
      <c r="R722" s="49">
        <v>6700</v>
      </c>
      <c r="S722" s="49">
        <v>6700</v>
      </c>
      <c r="T722" s="49">
        <f>T723/T721*1000</f>
        <v>7628.3190000000004</v>
      </c>
      <c r="U722" s="49">
        <f>U723/U721*1000</f>
        <v>7628.3190000000004</v>
      </c>
      <c r="V722" s="68">
        <f>V723/V721*1000</f>
        <v>8620</v>
      </c>
      <c r="W722" s="14">
        <f>W723/W721*1000</f>
        <v>0</v>
      </c>
    </row>
    <row r="723" spans="1:24" s="47" customFormat="1" ht="18" customHeight="1">
      <c r="A723" s="683"/>
      <c r="B723" s="576"/>
      <c r="C723" s="577"/>
      <c r="D723" s="191" t="str">
        <f>серпень!D646</f>
        <v>сума, тис.грн.</v>
      </c>
      <c r="E723" s="52"/>
      <c r="F723" s="52">
        <f>F721*F722/1000</f>
        <v>0</v>
      </c>
      <c r="G723" s="52">
        <f t="shared" ref="G723" si="768">G721*G722/1000</f>
        <v>0</v>
      </c>
      <c r="H723" s="52">
        <f t="shared" ref="H723" si="769">H721*H722/1000</f>
        <v>0</v>
      </c>
      <c r="I723" s="52">
        <f t="shared" ref="I723" si="770">I721*I722/1000</f>
        <v>0</v>
      </c>
      <c r="J723" s="52">
        <f t="shared" ref="J723" si="771">J721*J722/1000</f>
        <v>0</v>
      </c>
      <c r="K723" s="52">
        <f t="shared" ref="K723" si="772">K721*K722/1000</f>
        <v>0</v>
      </c>
      <c r="L723" s="69">
        <f>SUM(F723:K723)</f>
        <v>0</v>
      </c>
      <c r="M723" s="69">
        <f>L723/6</f>
        <v>0</v>
      </c>
      <c r="N723" s="52">
        <v>67.001999999999995</v>
      </c>
      <c r="O723" s="52">
        <v>0</v>
      </c>
      <c r="P723" s="52">
        <v>0</v>
      </c>
      <c r="Q723" s="52">
        <v>19.198</v>
      </c>
      <c r="R723" s="52">
        <v>0</v>
      </c>
      <c r="S723" s="52">
        <v>0</v>
      </c>
      <c r="T723" s="69">
        <f>SUM(N723:S723)</f>
        <v>86.2</v>
      </c>
      <c r="U723" s="69">
        <f>T723+L723</f>
        <v>86.2</v>
      </c>
      <c r="V723" s="70">
        <f>V724+V725</f>
        <v>86.2</v>
      </c>
      <c r="W723" s="53">
        <f>V723-U723</f>
        <v>0</v>
      </c>
    </row>
    <row r="724" spans="1:24" s="47" customFormat="1" ht="18" customHeight="1">
      <c r="A724" s="683"/>
      <c r="B724" s="576"/>
      <c r="C724" s="577"/>
      <c r="D724" s="174" t="str">
        <f>серпень!D647</f>
        <v>дотація</v>
      </c>
      <c r="E724" s="56"/>
      <c r="F724" s="52"/>
      <c r="G724" s="52"/>
      <c r="H724" s="52"/>
      <c r="I724" s="52"/>
      <c r="J724" s="52"/>
      <c r="K724" s="52"/>
      <c r="L724" s="69">
        <f>SUM(F724:K724)</f>
        <v>0</v>
      </c>
      <c r="M724" s="69">
        <f>L724/6</f>
        <v>0</v>
      </c>
      <c r="N724" s="52"/>
      <c r="O724" s="52"/>
      <c r="P724" s="52"/>
      <c r="Q724" s="52"/>
      <c r="R724" s="52"/>
      <c r="S724" s="52"/>
      <c r="T724" s="69">
        <f>SUM(N724:S724)</f>
        <v>0</v>
      </c>
      <c r="U724" s="69">
        <f>T724+L724</f>
        <v>0</v>
      </c>
      <c r="V724" s="70">
        <v>0</v>
      </c>
      <c r="W724" s="53">
        <f>V724-U724</f>
        <v>0</v>
      </c>
    </row>
    <row r="725" spans="1:24" s="47" customFormat="1" ht="18" customHeight="1">
      <c r="A725" s="683"/>
      <c r="B725" s="576"/>
      <c r="C725" s="577"/>
      <c r="D725" s="174" t="str">
        <f>серпень!D648</f>
        <v>місцевий (план), тис.грн</v>
      </c>
      <c r="E725" s="56"/>
      <c r="F725" s="52">
        <v>0</v>
      </c>
      <c r="G725" s="52">
        <v>0</v>
      </c>
      <c r="H725" s="52">
        <v>0</v>
      </c>
      <c r="I725" s="52">
        <v>0</v>
      </c>
      <c r="J725" s="52">
        <v>1.448</v>
      </c>
      <c r="K725" s="52">
        <v>0</v>
      </c>
      <c r="L725" s="69">
        <f>SUM(F725:K725)</f>
        <v>1.448</v>
      </c>
      <c r="M725" s="69">
        <f>L725/6</f>
        <v>0.24099999999999999</v>
      </c>
      <c r="N725" s="52">
        <f>67-16.451+16</f>
        <v>66.549000000000007</v>
      </c>
      <c r="O725" s="52">
        <v>8.1999999999999993</v>
      </c>
      <c r="P725" s="52">
        <v>8.2509999999999994</v>
      </c>
      <c r="Q725" s="52">
        <v>0</v>
      </c>
      <c r="R725" s="52">
        <v>0</v>
      </c>
      <c r="S725" s="52">
        <v>1.752</v>
      </c>
      <c r="T725" s="69">
        <f>SUM(N725:S725)</f>
        <v>84.751999999999995</v>
      </c>
      <c r="U725" s="69">
        <f>T725+L725</f>
        <v>86.2</v>
      </c>
      <c r="V725" s="70">
        <f>67+16+1.752+1.448</f>
        <v>86.2</v>
      </c>
      <c r="W725" s="53">
        <f>V725-U725</f>
        <v>0</v>
      </c>
    </row>
    <row r="726" spans="1:24" s="47" customFormat="1" ht="18" customHeight="1">
      <c r="A726" s="683"/>
      <c r="B726" s="576"/>
      <c r="C726" s="577"/>
      <c r="D726" s="178" t="str">
        <f>серпень!D649</f>
        <v>касові нат.п-ки 2025</v>
      </c>
      <c r="E726" s="11"/>
      <c r="F726" s="11"/>
      <c r="G726" s="11"/>
      <c r="H726" s="11">
        <v>0</v>
      </c>
      <c r="I726" s="11">
        <v>0</v>
      </c>
      <c r="J726" s="11"/>
      <c r="K726" s="11">
        <v>0</v>
      </c>
      <c r="L726" s="65">
        <f>SUM(F726:K726)</f>
        <v>0</v>
      </c>
      <c r="M726" s="65">
        <f>L726/6</f>
        <v>0</v>
      </c>
      <c r="N726" s="349">
        <v>8.8160000000000007</v>
      </c>
      <c r="O726" s="11"/>
      <c r="P726" s="11">
        <v>0</v>
      </c>
      <c r="Q726" s="11">
        <v>2.5</v>
      </c>
      <c r="R726" s="11">
        <v>0</v>
      </c>
      <c r="S726" s="11">
        <v>0</v>
      </c>
      <c r="T726" s="65">
        <f>SUM(N726:S726)</f>
        <v>11.3</v>
      </c>
      <c r="U726" s="65">
        <f>T726+L726</f>
        <v>11.3</v>
      </c>
      <c r="V726" s="11">
        <f>V721</f>
        <v>10</v>
      </c>
      <c r="W726" s="38">
        <f>V726-U726</f>
        <v>-1.3</v>
      </c>
      <c r="X726" s="47">
        <f>U721-U726</f>
        <v>0</v>
      </c>
    </row>
    <row r="727" spans="1:24" s="47" customFormat="1" ht="18" customHeight="1">
      <c r="A727" s="683"/>
      <c r="B727" s="576"/>
      <c r="C727" s="577"/>
      <c r="D727" s="187" t="str">
        <f>серпень!D650</f>
        <v>тариф, грн.</v>
      </c>
      <c r="E727" s="49" t="e">
        <f t="shared" ref="E727" si="773">E728/E726*1000</f>
        <v>#DIV/0!</v>
      </c>
      <c r="F727" s="49">
        <v>6700</v>
      </c>
      <c r="G727" s="49">
        <v>6700</v>
      </c>
      <c r="H727" s="49">
        <v>6700</v>
      </c>
      <c r="I727" s="49">
        <v>6700</v>
      </c>
      <c r="J727" s="49">
        <v>6700</v>
      </c>
      <c r="K727" s="49">
        <v>6700</v>
      </c>
      <c r="L727" s="49" t="e">
        <f>L728/L726*1000</f>
        <v>#DIV/0!</v>
      </c>
      <c r="M727" s="49" t="e">
        <f>M728/M726*1000</f>
        <v>#DIV/0!</v>
      </c>
      <c r="N727" s="49">
        <f>N728/N726*1000</f>
        <v>7600.0450000000001</v>
      </c>
      <c r="O727" s="49">
        <v>6700</v>
      </c>
      <c r="P727" s="49">
        <v>7600</v>
      </c>
      <c r="Q727" s="49">
        <v>6700</v>
      </c>
      <c r="R727" s="49">
        <v>6700</v>
      </c>
      <c r="S727" s="49">
        <v>6700</v>
      </c>
      <c r="T727" s="49">
        <f>T728/T726*1000</f>
        <v>7628.3190000000004</v>
      </c>
      <c r="U727" s="49">
        <f>U728/U726*1000</f>
        <v>7628.3190000000004</v>
      </c>
      <c r="V727" s="68">
        <f>V728/V726*1000</f>
        <v>8620</v>
      </c>
      <c r="W727" s="14">
        <f>W728/W726*1000</f>
        <v>0</v>
      </c>
      <c r="X727" s="59"/>
    </row>
    <row r="728" spans="1:24" s="47" customFormat="1" ht="18" customHeight="1">
      <c r="A728" s="683"/>
      <c r="B728" s="576"/>
      <c r="C728" s="577"/>
      <c r="D728" s="198" t="str">
        <f>серпень!D651</f>
        <v>касові видатки, тис.грн.</v>
      </c>
      <c r="E728" s="71"/>
      <c r="F728" s="61">
        <f>F726*F727/1000</f>
        <v>0</v>
      </c>
      <c r="G728" s="61">
        <f t="shared" ref="G728" si="774">G726*G727/1000</f>
        <v>0</v>
      </c>
      <c r="H728" s="61">
        <f t="shared" ref="H728" si="775">H726*H727/1000</f>
        <v>0</v>
      </c>
      <c r="I728" s="61">
        <f t="shared" ref="I728" si="776">I726*I727/1000</f>
        <v>0</v>
      </c>
      <c r="J728" s="61">
        <f t="shared" ref="J728" si="777">J726*J727/1000</f>
        <v>0</v>
      </c>
      <c r="K728" s="61">
        <f t="shared" ref="K728" si="778">K726*K727/1000</f>
        <v>0</v>
      </c>
      <c r="L728" s="61">
        <f>SUM(F728:K728)</f>
        <v>0</v>
      </c>
      <c r="M728" s="61">
        <f>L728/6</f>
        <v>0</v>
      </c>
      <c r="N728" s="61">
        <v>67.001999999999995</v>
      </c>
      <c r="O728" s="61">
        <f t="shared" ref="O728:S728" si="779">O726*O727/1000</f>
        <v>0</v>
      </c>
      <c r="P728" s="61">
        <v>0</v>
      </c>
      <c r="Q728" s="61">
        <v>19.198</v>
      </c>
      <c r="R728" s="61">
        <f t="shared" si="779"/>
        <v>0</v>
      </c>
      <c r="S728" s="61">
        <f t="shared" si="779"/>
        <v>0</v>
      </c>
      <c r="T728" s="61">
        <f>SUM(N728:S728)</f>
        <v>86.2</v>
      </c>
      <c r="U728" s="61">
        <f>T728+L728</f>
        <v>86.2</v>
      </c>
      <c r="V728" s="61">
        <f>V723</f>
        <v>86.2</v>
      </c>
      <c r="W728" s="72">
        <f>V728-U728</f>
        <v>0</v>
      </c>
      <c r="X728" s="63">
        <f>U723-U728</f>
        <v>0</v>
      </c>
    </row>
    <row r="729" spans="1:24" s="47" customFormat="1" ht="18" customHeight="1">
      <c r="A729" s="683"/>
      <c r="B729" s="576"/>
      <c r="C729" s="577"/>
      <c r="D729" s="201" t="str">
        <f>серпень!D652</f>
        <v>дотація</v>
      </c>
      <c r="E729" s="71"/>
      <c r="F729" s="61"/>
      <c r="G729" s="61"/>
      <c r="H729" s="61"/>
      <c r="I729" s="61"/>
      <c r="J729" s="61"/>
      <c r="K729" s="61"/>
      <c r="L729" s="61">
        <f>SUM(F729:K729)</f>
        <v>0</v>
      </c>
      <c r="M729" s="61">
        <f>L729/6</f>
        <v>0</v>
      </c>
      <c r="N729" s="61"/>
      <c r="O729" s="61"/>
      <c r="P729" s="61"/>
      <c r="Q729" s="61"/>
      <c r="R729" s="61"/>
      <c r="S729" s="61"/>
      <c r="T729" s="61">
        <f>SUM(N729:S729)</f>
        <v>0</v>
      </c>
      <c r="U729" s="61">
        <f>T729+L729</f>
        <v>0</v>
      </c>
      <c r="V729" s="61">
        <f>V724</f>
        <v>0</v>
      </c>
      <c r="W729" s="72">
        <f>V729-U729</f>
        <v>0</v>
      </c>
      <c r="X729" s="63">
        <f>U724-U729</f>
        <v>0</v>
      </c>
    </row>
    <row r="730" spans="1:24" s="47" customFormat="1" ht="18" customHeight="1">
      <c r="A730" s="683"/>
      <c r="B730" s="576"/>
      <c r="C730" s="577"/>
      <c r="D730" s="201" t="str">
        <f>серпень!D653</f>
        <v xml:space="preserve">місцевий </v>
      </c>
      <c r="E730" s="71"/>
      <c r="F730" s="61">
        <f t="shared" ref="F730:K730" si="780">F728-F729</f>
        <v>0</v>
      </c>
      <c r="G730" s="61">
        <f t="shared" si="780"/>
        <v>0</v>
      </c>
      <c r="H730" s="61">
        <f t="shared" si="780"/>
        <v>0</v>
      </c>
      <c r="I730" s="61">
        <f t="shared" si="780"/>
        <v>0</v>
      </c>
      <c r="J730" s="61">
        <f t="shared" si="780"/>
        <v>0</v>
      </c>
      <c r="K730" s="61">
        <f t="shared" si="780"/>
        <v>0</v>
      </c>
      <c r="L730" s="61">
        <f>SUM(F730:K730)</f>
        <v>0</v>
      </c>
      <c r="M730" s="61">
        <f>L730/6</f>
        <v>0</v>
      </c>
      <c r="N730" s="61">
        <f t="shared" ref="N730:S730" si="781">N728-N729</f>
        <v>67.001999999999995</v>
      </c>
      <c r="O730" s="61">
        <f t="shared" si="781"/>
        <v>0</v>
      </c>
      <c r="P730" s="61">
        <f t="shared" si="781"/>
        <v>0</v>
      </c>
      <c r="Q730" s="61">
        <f t="shared" si="781"/>
        <v>19.198</v>
      </c>
      <c r="R730" s="61">
        <f t="shared" si="781"/>
        <v>0</v>
      </c>
      <c r="S730" s="61">
        <f t="shared" si="781"/>
        <v>0</v>
      </c>
      <c r="T730" s="61">
        <f>SUM(N730:S730)</f>
        <v>86.2</v>
      </c>
      <c r="U730" s="61">
        <f>T730+L730</f>
        <v>86.2</v>
      </c>
      <c r="V730" s="61">
        <f>V725</f>
        <v>86.2</v>
      </c>
      <c r="W730" s="72">
        <f>V730-U730</f>
        <v>0</v>
      </c>
      <c r="X730" s="63">
        <f>U725-U730</f>
        <v>0</v>
      </c>
    </row>
    <row r="731" spans="1:24" s="47" customFormat="1" ht="18" customHeight="1">
      <c r="A731" s="683"/>
      <c r="B731" s="576"/>
      <c r="C731" s="577"/>
      <c r="D731" s="202" t="str">
        <f>серпень!D654</f>
        <v>план</v>
      </c>
      <c r="E731" s="42"/>
      <c r="F731" s="42">
        <f t="shared" ref="F731:K731" si="782">F725</f>
        <v>0</v>
      </c>
      <c r="G731" s="42">
        <f t="shared" si="782"/>
        <v>0</v>
      </c>
      <c r="H731" s="42">
        <f t="shared" si="782"/>
        <v>0</v>
      </c>
      <c r="I731" s="42">
        <f t="shared" si="782"/>
        <v>0</v>
      </c>
      <c r="J731" s="42">
        <f t="shared" si="782"/>
        <v>1.448</v>
      </c>
      <c r="K731" s="42">
        <f t="shared" si="782"/>
        <v>0</v>
      </c>
      <c r="L731" s="42">
        <f>SUM(F731:K731)</f>
        <v>1.448</v>
      </c>
      <c r="M731" s="42">
        <f>L731/6</f>
        <v>0.24099999999999999</v>
      </c>
      <c r="N731" s="42">
        <f t="shared" ref="N731:S731" si="783">N725+N724</f>
        <v>66.549000000000007</v>
      </c>
      <c r="O731" s="42">
        <f t="shared" si="783"/>
        <v>8.1999999999999993</v>
      </c>
      <c r="P731" s="42">
        <f t="shared" si="783"/>
        <v>8.2509999999999994</v>
      </c>
      <c r="Q731" s="42">
        <f t="shared" si="783"/>
        <v>0</v>
      </c>
      <c r="R731" s="42">
        <f t="shared" si="783"/>
        <v>0</v>
      </c>
      <c r="S731" s="42">
        <f t="shared" si="783"/>
        <v>1.752</v>
      </c>
      <c r="T731" s="42">
        <f>SUM(N731:S731)</f>
        <v>84.751999999999995</v>
      </c>
      <c r="U731" s="42">
        <f>T731+L731</f>
        <v>86.2</v>
      </c>
      <c r="V731" s="42">
        <f>V728</f>
        <v>86.2</v>
      </c>
      <c r="W731" s="42">
        <f>V731-U731</f>
        <v>0</v>
      </c>
    </row>
    <row r="732" spans="1:24" s="47" customFormat="1" ht="18" customHeight="1">
      <c r="A732" s="683"/>
      <c r="B732" s="576"/>
      <c r="C732" s="577"/>
      <c r="D732" s="202" t="str">
        <f>серпень!D655</f>
        <v xml:space="preserve">відхилення </v>
      </c>
      <c r="E732" s="42"/>
      <c r="F732" s="42">
        <f t="shared" ref="F732:K732" si="784">F728-F731</f>
        <v>0</v>
      </c>
      <c r="G732" s="42">
        <f t="shared" si="784"/>
        <v>0</v>
      </c>
      <c r="H732" s="42">
        <f t="shared" si="784"/>
        <v>0</v>
      </c>
      <c r="I732" s="42">
        <f t="shared" si="784"/>
        <v>0</v>
      </c>
      <c r="J732" s="42">
        <f t="shared" si="784"/>
        <v>-1.448</v>
      </c>
      <c r="K732" s="42">
        <f t="shared" si="784"/>
        <v>0</v>
      </c>
      <c r="L732" s="42"/>
      <c r="M732" s="42"/>
      <c r="N732" s="42">
        <f t="shared" ref="N732:S732" si="785">N728-N731</f>
        <v>0.45300000000000001</v>
      </c>
      <c r="O732" s="42">
        <f t="shared" si="785"/>
        <v>-8.1999999999999993</v>
      </c>
      <c r="P732" s="42">
        <f t="shared" si="785"/>
        <v>-8.2509999999999994</v>
      </c>
      <c r="Q732" s="42">
        <f t="shared" si="785"/>
        <v>19.198</v>
      </c>
      <c r="R732" s="42">
        <f t="shared" si="785"/>
        <v>0</v>
      </c>
      <c r="S732" s="42">
        <f t="shared" si="785"/>
        <v>-1.752</v>
      </c>
      <c r="T732" s="42"/>
      <c r="U732" s="42"/>
      <c r="V732" s="42"/>
      <c r="W732" s="42"/>
    </row>
    <row r="733" spans="1:24" s="47" customFormat="1" ht="18" customHeight="1">
      <c r="A733" s="683"/>
      <c r="B733" s="578"/>
      <c r="C733" s="579"/>
      <c r="D733" s="202" t="str">
        <f>серпень!D656</f>
        <v>відхилення з наростаючим</v>
      </c>
      <c r="E733" s="42"/>
      <c r="F733" s="42">
        <f>F732</f>
        <v>0</v>
      </c>
      <c r="G733" s="42">
        <f>G732+F733</f>
        <v>0</v>
      </c>
      <c r="H733" s="42">
        <f>H732+G733</f>
        <v>0</v>
      </c>
      <c r="I733" s="42">
        <f>I732+H733</f>
        <v>0</v>
      </c>
      <c r="J733" s="42">
        <f>J732+I733</f>
        <v>-1.448</v>
      </c>
      <c r="K733" s="42">
        <f>K732+J733</f>
        <v>-1.448</v>
      </c>
      <c r="L733" s="42"/>
      <c r="M733" s="42"/>
      <c r="N733" s="42">
        <f>N732+K733</f>
        <v>-0.995</v>
      </c>
      <c r="O733" s="42">
        <f>O732+N733</f>
        <v>-9.1950000000000003</v>
      </c>
      <c r="P733" s="42">
        <f>P732+O733</f>
        <v>-17.446000000000002</v>
      </c>
      <c r="Q733" s="42">
        <f>Q732+P733</f>
        <v>1.752</v>
      </c>
      <c r="R733" s="42">
        <f>R732+Q733</f>
        <v>1.752</v>
      </c>
      <c r="S733" s="42">
        <f>S732+R733</f>
        <v>0</v>
      </c>
      <c r="T733" s="42"/>
      <c r="U733" s="42"/>
      <c r="V733" s="42"/>
      <c r="W733" s="42"/>
    </row>
    <row r="734" spans="1:24" s="47" customFormat="1" ht="20.05" customHeight="1">
      <c r="A734" s="683"/>
      <c r="B734" s="580" t="s">
        <v>124</v>
      </c>
      <c r="C734" s="575"/>
      <c r="D734" s="178" t="str">
        <f>серпень!D657</f>
        <v>факт. нат.п-ки 2023</v>
      </c>
      <c r="E734" s="11"/>
      <c r="F734" s="12"/>
      <c r="G734" s="12"/>
      <c r="H734" s="12"/>
      <c r="I734" s="12"/>
      <c r="J734" s="12"/>
      <c r="K734" s="12"/>
      <c r="L734" s="65">
        <f>SUM(F734:K734)</f>
        <v>0</v>
      </c>
      <c r="M734" s="65">
        <f>L734/6</f>
        <v>0</v>
      </c>
      <c r="N734" s="12"/>
      <c r="O734" s="12">
        <v>10.199999999999999</v>
      </c>
      <c r="P734" s="12">
        <v>7.8</v>
      </c>
      <c r="Q734" s="12"/>
      <c r="R734" s="12"/>
      <c r="S734" s="12"/>
      <c r="T734" s="65">
        <f>SUM(N734:S734)</f>
        <v>18</v>
      </c>
      <c r="U734" s="66">
        <f>T734+L734</f>
        <v>18</v>
      </c>
      <c r="V734" s="67"/>
      <c r="W734" s="38"/>
    </row>
    <row r="735" spans="1:24" s="47" customFormat="1" ht="18" customHeight="1">
      <c r="A735" s="683"/>
      <c r="B735" s="576"/>
      <c r="C735" s="577"/>
      <c r="D735" s="178" t="str">
        <f>серпень!D658</f>
        <v>факт. нат.п-ки 2024</v>
      </c>
      <c r="E735" s="11"/>
      <c r="F735" s="12"/>
      <c r="G735" s="12"/>
      <c r="H735" s="12"/>
      <c r="I735" s="12"/>
      <c r="J735" s="12"/>
      <c r="K735" s="12"/>
      <c r="L735" s="65">
        <f>SUM(F735:K735)</f>
        <v>0</v>
      </c>
      <c r="M735" s="65">
        <f>L735/6</f>
        <v>0</v>
      </c>
      <c r="N735" s="11"/>
      <c r="O735" s="12">
        <v>10.199999999999999</v>
      </c>
      <c r="P735" s="12">
        <f>1540</f>
        <v>1540</v>
      </c>
      <c r="Q735" s="11"/>
      <c r="R735" s="11"/>
      <c r="S735" s="11"/>
      <c r="T735" s="65">
        <f>SUM(N735:S735)</f>
        <v>1550.2</v>
      </c>
      <c r="U735" s="66">
        <f>T735+L735</f>
        <v>1550.2</v>
      </c>
      <c r="V735" s="67"/>
      <c r="W735" s="38"/>
    </row>
    <row r="736" spans="1:24" s="47" customFormat="1" ht="18" customHeight="1">
      <c r="A736" s="683"/>
      <c r="B736" s="576"/>
      <c r="C736" s="577"/>
      <c r="D736" s="178" t="str">
        <f>серпень!D659</f>
        <v>факт. нат.п-ки 2025</v>
      </c>
      <c r="E736" s="11"/>
      <c r="F736" s="12"/>
      <c r="G736" s="12"/>
      <c r="H736" s="12"/>
      <c r="I736" s="12">
        <v>0</v>
      </c>
      <c r="J736" s="82">
        <v>120</v>
      </c>
      <c r="K736" s="82">
        <v>200</v>
      </c>
      <c r="L736" s="465">
        <f>SUM(F736:K736)</f>
        <v>320</v>
      </c>
      <c r="M736" s="465">
        <f>L736/6</f>
        <v>53.332999999999998</v>
      </c>
      <c r="N736" s="82"/>
      <c r="O736" s="12">
        <v>0</v>
      </c>
      <c r="P736" s="12"/>
      <c r="Q736" s="12"/>
      <c r="R736" s="12"/>
      <c r="S736" s="11"/>
      <c r="T736" s="465">
        <f>SUM(N736:S736)</f>
        <v>0</v>
      </c>
      <c r="U736" s="464">
        <f>T736+L736</f>
        <v>320</v>
      </c>
      <c r="V736" s="11">
        <v>423.2</v>
      </c>
      <c r="W736" s="38">
        <f>V736-U736</f>
        <v>103.2</v>
      </c>
    </row>
    <row r="737" spans="1:24" s="47" customFormat="1" ht="18" customHeight="1">
      <c r="A737" s="683"/>
      <c r="B737" s="576"/>
      <c r="C737" s="577"/>
      <c r="D737" s="187" t="str">
        <f>серпень!D660</f>
        <v>тариф, грн.</v>
      </c>
      <c r="E737" s="49" t="e">
        <f>E738/E736*1000</f>
        <v>#DIV/0!</v>
      </c>
      <c r="F737" s="49" t="e">
        <f t="shared" ref="F737:K737" si="786">F738/F736*1000</f>
        <v>#DIV/0!</v>
      </c>
      <c r="G737" s="49" t="e">
        <f t="shared" si="786"/>
        <v>#DIV/0!</v>
      </c>
      <c r="H737" s="49" t="e">
        <f t="shared" si="786"/>
        <v>#DIV/0!</v>
      </c>
      <c r="I737" s="49" t="e">
        <f t="shared" si="786"/>
        <v>#DIV/0!</v>
      </c>
      <c r="J737" s="49">
        <f t="shared" si="786"/>
        <v>52.491999999999997</v>
      </c>
      <c r="K737" s="49">
        <f t="shared" si="786"/>
        <v>55.99</v>
      </c>
      <c r="L737" s="49">
        <f>L738/L736*1000</f>
        <v>54.677999999999997</v>
      </c>
      <c r="M737" s="49">
        <f>M738/M736*1000</f>
        <v>54.674999999999997</v>
      </c>
      <c r="N737" s="49" t="e">
        <f>N738/N736*1000</f>
        <v>#DIV/0!</v>
      </c>
      <c r="O737" s="49" t="e">
        <f>O738/O736*1000</f>
        <v>#DIV/0!</v>
      </c>
      <c r="P737" s="49">
        <v>93.75</v>
      </c>
      <c r="Q737" s="49">
        <v>93.75</v>
      </c>
      <c r="R737" s="49">
        <v>93.75</v>
      </c>
      <c r="S737" s="49">
        <v>93.75</v>
      </c>
      <c r="T737" s="49" t="e">
        <f>T738/T736*1000</f>
        <v>#DIV/0!</v>
      </c>
      <c r="U737" s="49">
        <f>U738/U736*1000</f>
        <v>54.677999999999997</v>
      </c>
      <c r="V737" s="68">
        <f>V738/V736*1000</f>
        <v>41.351999999999997</v>
      </c>
      <c r="W737" s="14">
        <f>W738/W736*1000</f>
        <v>2.9000000000000001E-2</v>
      </c>
    </row>
    <row r="738" spans="1:24" s="47" customFormat="1" ht="18" customHeight="1">
      <c r="A738" s="683"/>
      <c r="B738" s="576"/>
      <c r="C738" s="577"/>
      <c r="D738" s="191" t="str">
        <f>серпень!D661</f>
        <v>сума, тис.грн.</v>
      </c>
      <c r="E738" s="52"/>
      <c r="F738" s="52">
        <v>0</v>
      </c>
      <c r="G738" s="52">
        <v>0</v>
      </c>
      <c r="H738" s="52">
        <v>0</v>
      </c>
      <c r="I738" s="52">
        <v>0</v>
      </c>
      <c r="J738" s="52">
        <v>6.2990000000000004</v>
      </c>
      <c r="K738" s="52">
        <v>11.198</v>
      </c>
      <c r="L738" s="69">
        <f>SUM(F738:K738)</f>
        <v>17.497</v>
      </c>
      <c r="M738" s="69">
        <f>L738/6</f>
        <v>2.9159999999999999</v>
      </c>
      <c r="N738" s="52">
        <v>0</v>
      </c>
      <c r="O738" s="52">
        <v>0</v>
      </c>
      <c r="P738" s="52">
        <f t="shared" ref="P738:S738" si="787">P736*P737/1000</f>
        <v>0</v>
      </c>
      <c r="Q738" s="52">
        <f t="shared" si="787"/>
        <v>0</v>
      </c>
      <c r="R738" s="52">
        <f t="shared" si="787"/>
        <v>0</v>
      </c>
      <c r="S738" s="52">
        <f t="shared" si="787"/>
        <v>0</v>
      </c>
      <c r="T738" s="69">
        <f>SUM(N738:S738)</f>
        <v>0</v>
      </c>
      <c r="U738" s="69">
        <f>T738+L738</f>
        <v>17.497</v>
      </c>
      <c r="V738" s="70">
        <f>V739+V740</f>
        <v>17.5</v>
      </c>
      <c r="W738" s="53">
        <f>V738-U738</f>
        <v>3.0000000000000001E-3</v>
      </c>
    </row>
    <row r="739" spans="1:24" s="47" customFormat="1" ht="18" customHeight="1">
      <c r="A739" s="683"/>
      <c r="B739" s="576"/>
      <c r="C739" s="577"/>
      <c r="D739" s="174" t="str">
        <f>серпень!D662</f>
        <v>дотація</v>
      </c>
      <c r="E739" s="56"/>
      <c r="F739" s="52"/>
      <c r="G739" s="52"/>
      <c r="H739" s="52"/>
      <c r="I739" s="52"/>
      <c r="J739" s="52"/>
      <c r="K739" s="52"/>
      <c r="L739" s="69">
        <f>SUM(F739:K739)</f>
        <v>0</v>
      </c>
      <c r="M739" s="69">
        <f>L739/6</f>
        <v>0</v>
      </c>
      <c r="N739" s="52"/>
      <c r="O739" s="52"/>
      <c r="P739" s="52"/>
      <c r="Q739" s="52"/>
      <c r="R739" s="52"/>
      <c r="S739" s="52"/>
      <c r="T739" s="69">
        <f>SUM(N739:S739)</f>
        <v>0</v>
      </c>
      <c r="U739" s="69">
        <f>T739+L739</f>
        <v>0</v>
      </c>
      <c r="V739" s="70">
        <v>0</v>
      </c>
      <c r="W739" s="53">
        <f>V739-U739</f>
        <v>0</v>
      </c>
    </row>
    <row r="740" spans="1:24" s="47" customFormat="1" ht="18" customHeight="1">
      <c r="A740" s="683"/>
      <c r="B740" s="576"/>
      <c r="C740" s="577"/>
      <c r="D740" s="174" t="str">
        <f>серпень!D663</f>
        <v>місцевий (план), тис.грн</v>
      </c>
      <c r="E740" s="56"/>
      <c r="F740" s="52">
        <v>0</v>
      </c>
      <c r="G740" s="52">
        <v>0</v>
      </c>
      <c r="H740" s="52">
        <v>0</v>
      </c>
      <c r="I740" s="52">
        <v>0</v>
      </c>
      <c r="J740" s="52">
        <v>11</v>
      </c>
      <c r="K740" s="52">
        <f>6.5-6.5+4.3</f>
        <v>4.3</v>
      </c>
      <c r="L740" s="69">
        <f>SUM(F740:K740)</f>
        <v>15.3</v>
      </c>
      <c r="M740" s="69">
        <f>L740/6</f>
        <v>2.5499999999999998</v>
      </c>
      <c r="N740" s="52">
        <f>16-16</f>
        <v>0</v>
      </c>
      <c r="O740" s="52">
        <f>2.2</f>
        <v>2.2000000000000002</v>
      </c>
      <c r="P740" s="52"/>
      <c r="Q740" s="52"/>
      <c r="R740" s="52"/>
      <c r="S740" s="52"/>
      <c r="T740" s="69">
        <f>SUM(N740:S740)</f>
        <v>2.2000000000000002</v>
      </c>
      <c r="U740" s="69">
        <f>T740+L740</f>
        <v>17.5</v>
      </c>
      <c r="V740" s="70">
        <f>33.5-16</f>
        <v>17.5</v>
      </c>
      <c r="W740" s="53">
        <f>V740-U740</f>
        <v>0</v>
      </c>
    </row>
    <row r="741" spans="1:24" s="47" customFormat="1" ht="18" customHeight="1">
      <c r="A741" s="683"/>
      <c r="B741" s="576"/>
      <c r="C741" s="577"/>
      <c r="D741" s="178" t="str">
        <f>серпень!D664</f>
        <v>касові нат.п-ки 2025</v>
      </c>
      <c r="E741" s="11"/>
      <c r="F741" s="11"/>
      <c r="G741" s="11"/>
      <c r="H741" s="11">
        <v>0</v>
      </c>
      <c r="I741" s="11">
        <v>0</v>
      </c>
      <c r="J741" s="349">
        <v>120</v>
      </c>
      <c r="K741" s="349">
        <v>0</v>
      </c>
      <c r="L741" s="125">
        <f>SUM(F741:K741)</f>
        <v>120</v>
      </c>
      <c r="M741" s="465">
        <f>L741/6</f>
        <v>20</v>
      </c>
      <c r="N741" s="11">
        <v>200</v>
      </c>
      <c r="O741" s="349">
        <v>0</v>
      </c>
      <c r="P741" s="11"/>
      <c r="Q741" s="11"/>
      <c r="R741" s="11"/>
      <c r="S741" s="11"/>
      <c r="T741" s="465">
        <f>SUM(N741:S741)</f>
        <v>200</v>
      </c>
      <c r="U741" s="465">
        <f>T741+L741</f>
        <v>320</v>
      </c>
      <c r="V741" s="11">
        <f>V736</f>
        <v>423.2</v>
      </c>
      <c r="W741" s="38">
        <f>V741-U741</f>
        <v>103.2</v>
      </c>
      <c r="X741" s="47">
        <f>U736-U741</f>
        <v>0</v>
      </c>
    </row>
    <row r="742" spans="1:24" s="47" customFormat="1" ht="18" customHeight="1">
      <c r="A742" s="683"/>
      <c r="B742" s="576"/>
      <c r="C742" s="577"/>
      <c r="D742" s="187" t="str">
        <f>серпень!D665</f>
        <v>тариф, грн.</v>
      </c>
      <c r="E742" s="49" t="e">
        <f t="shared" ref="E742:K742" si="788">E743/E741*1000</f>
        <v>#DIV/0!</v>
      </c>
      <c r="F742" s="49" t="e">
        <f t="shared" si="788"/>
        <v>#DIV/0!</v>
      </c>
      <c r="G742" s="49" t="e">
        <f t="shared" si="788"/>
        <v>#DIV/0!</v>
      </c>
      <c r="H742" s="49" t="e">
        <f t="shared" si="788"/>
        <v>#DIV/0!</v>
      </c>
      <c r="I742" s="49" t="e">
        <f t="shared" si="788"/>
        <v>#DIV/0!</v>
      </c>
      <c r="J742" s="49">
        <f t="shared" si="788"/>
        <v>52.491999999999997</v>
      </c>
      <c r="K742" s="49" t="e">
        <f t="shared" si="788"/>
        <v>#DIV/0!</v>
      </c>
      <c r="L742" s="49">
        <f>L743/L741*1000</f>
        <v>52.491999999999997</v>
      </c>
      <c r="M742" s="49">
        <f>M743/M741*1000</f>
        <v>52.5</v>
      </c>
      <c r="N742" s="49">
        <f t="shared" ref="N742:O742" si="789">N743/N741*1000</f>
        <v>55.99</v>
      </c>
      <c r="O742" s="49" t="e">
        <f t="shared" si="789"/>
        <v>#DIV/0!</v>
      </c>
      <c r="P742" s="49">
        <v>93.75</v>
      </c>
      <c r="Q742" s="49">
        <v>93.75</v>
      </c>
      <c r="R742" s="49">
        <v>93.75</v>
      </c>
      <c r="S742" s="49">
        <v>93.75</v>
      </c>
      <c r="T742" s="49">
        <f>T743/T741*1000</f>
        <v>55.99</v>
      </c>
      <c r="U742" s="49">
        <f>U743/U741*1000</f>
        <v>54.677999999999997</v>
      </c>
      <c r="V742" s="68">
        <f>V743/V741*1000</f>
        <v>41.351999999999997</v>
      </c>
      <c r="W742" s="14">
        <f>W743/W741*1000</f>
        <v>2.9000000000000001E-2</v>
      </c>
      <c r="X742" s="59"/>
    </row>
    <row r="743" spans="1:24" s="47" customFormat="1" ht="18" customHeight="1">
      <c r="A743" s="683"/>
      <c r="B743" s="576"/>
      <c r="C743" s="577"/>
      <c r="D743" s="198" t="str">
        <f>серпень!D666</f>
        <v>касові видатки, тис.грн.</v>
      </c>
      <c r="E743" s="71"/>
      <c r="F743" s="61">
        <v>0</v>
      </c>
      <c r="G743" s="61">
        <v>0</v>
      </c>
      <c r="H743" s="61">
        <v>0</v>
      </c>
      <c r="I743" s="61">
        <v>0</v>
      </c>
      <c r="J743" s="61">
        <v>6.2990000000000004</v>
      </c>
      <c r="K743" s="61">
        <v>0</v>
      </c>
      <c r="L743" s="61">
        <f>SUM(F743:K743)</f>
        <v>6.2990000000000004</v>
      </c>
      <c r="M743" s="61">
        <f>L743/6</f>
        <v>1.05</v>
      </c>
      <c r="N743" s="61">
        <v>11.198</v>
      </c>
      <c r="O743" s="61">
        <v>0</v>
      </c>
      <c r="P743" s="61">
        <f t="shared" ref="P743" si="790">P741*P742/1000</f>
        <v>0</v>
      </c>
      <c r="Q743" s="61">
        <f t="shared" ref="Q743" si="791">Q741*Q742/1000</f>
        <v>0</v>
      </c>
      <c r="R743" s="61">
        <f t="shared" ref="R743" si="792">R741*R742/1000</f>
        <v>0</v>
      </c>
      <c r="S743" s="61">
        <f t="shared" ref="S743" si="793">S741*S742/1000</f>
        <v>0</v>
      </c>
      <c r="T743" s="61">
        <f>SUM(N743:S743)</f>
        <v>11.198</v>
      </c>
      <c r="U743" s="61">
        <f>T743+L743</f>
        <v>17.497</v>
      </c>
      <c r="V743" s="61">
        <f>V738</f>
        <v>17.5</v>
      </c>
      <c r="W743" s="72">
        <f>V743-U743</f>
        <v>3.0000000000000001E-3</v>
      </c>
      <c r="X743" s="63">
        <f>U738-U743</f>
        <v>0</v>
      </c>
    </row>
    <row r="744" spans="1:24" s="47" customFormat="1" ht="18" customHeight="1">
      <c r="A744" s="683"/>
      <c r="B744" s="576"/>
      <c r="C744" s="577"/>
      <c r="D744" s="201" t="str">
        <f>серпень!D667</f>
        <v>дотація</v>
      </c>
      <c r="E744" s="71"/>
      <c r="F744" s="61"/>
      <c r="G744" s="61"/>
      <c r="H744" s="61"/>
      <c r="I744" s="61"/>
      <c r="J744" s="61"/>
      <c r="K744" s="61"/>
      <c r="L744" s="61">
        <f>SUM(F744:K744)</f>
        <v>0</v>
      </c>
      <c r="M744" s="61">
        <f>L744/6</f>
        <v>0</v>
      </c>
      <c r="N744" s="61"/>
      <c r="O744" s="61"/>
      <c r="P744" s="61"/>
      <c r="Q744" s="61"/>
      <c r="R744" s="61"/>
      <c r="S744" s="61"/>
      <c r="T744" s="61">
        <f>SUM(N744:S744)</f>
        <v>0</v>
      </c>
      <c r="U744" s="61">
        <f>T744+L744</f>
        <v>0</v>
      </c>
      <c r="V744" s="61">
        <f>V739</f>
        <v>0</v>
      </c>
      <c r="W744" s="72">
        <f>V744-U744</f>
        <v>0</v>
      </c>
      <c r="X744" s="63">
        <f>U739-U744</f>
        <v>0</v>
      </c>
    </row>
    <row r="745" spans="1:24" s="47" customFormat="1" ht="18" customHeight="1">
      <c r="A745" s="683"/>
      <c r="B745" s="576"/>
      <c r="C745" s="577"/>
      <c r="D745" s="201" t="str">
        <f>серпень!D668</f>
        <v xml:space="preserve">місцевий </v>
      </c>
      <c r="E745" s="71"/>
      <c r="F745" s="61">
        <f t="shared" ref="F745:K745" si="794">F743-F744</f>
        <v>0</v>
      </c>
      <c r="G745" s="61">
        <f t="shared" si="794"/>
        <v>0</v>
      </c>
      <c r="H745" s="61">
        <f t="shared" si="794"/>
        <v>0</v>
      </c>
      <c r="I745" s="61">
        <f t="shared" si="794"/>
        <v>0</v>
      </c>
      <c r="J745" s="61">
        <f t="shared" si="794"/>
        <v>6.2990000000000004</v>
      </c>
      <c r="K745" s="61">
        <f t="shared" si="794"/>
        <v>0</v>
      </c>
      <c r="L745" s="61">
        <f>SUM(F745:K745)</f>
        <v>6.2990000000000004</v>
      </c>
      <c r="M745" s="61">
        <f>L745/6</f>
        <v>1.05</v>
      </c>
      <c r="N745" s="61">
        <f t="shared" ref="N745:S745" si="795">N743-N744</f>
        <v>11.198</v>
      </c>
      <c r="O745" s="61">
        <f t="shared" si="795"/>
        <v>0</v>
      </c>
      <c r="P745" s="61">
        <f t="shared" si="795"/>
        <v>0</v>
      </c>
      <c r="Q745" s="61">
        <f t="shared" si="795"/>
        <v>0</v>
      </c>
      <c r="R745" s="61">
        <f t="shared" si="795"/>
        <v>0</v>
      </c>
      <c r="S745" s="61">
        <f t="shared" si="795"/>
        <v>0</v>
      </c>
      <c r="T745" s="61">
        <f>SUM(N745:S745)</f>
        <v>11.198</v>
      </c>
      <c r="U745" s="61">
        <f>T745+L745</f>
        <v>17.497</v>
      </c>
      <c r="V745" s="61">
        <f>V740</f>
        <v>17.5</v>
      </c>
      <c r="W745" s="72">
        <f>V745-U745</f>
        <v>3.0000000000000001E-3</v>
      </c>
      <c r="X745" s="63">
        <f>U740-U745</f>
        <v>3.0000000000000001E-3</v>
      </c>
    </row>
    <row r="746" spans="1:24" s="47" customFormat="1" ht="18" customHeight="1">
      <c r="A746" s="683"/>
      <c r="B746" s="576"/>
      <c r="C746" s="577"/>
      <c r="D746" s="202" t="str">
        <f>серпень!D669</f>
        <v>план</v>
      </c>
      <c r="E746" s="42"/>
      <c r="F746" s="42">
        <f t="shared" ref="F746:K746" si="796">F740</f>
        <v>0</v>
      </c>
      <c r="G746" s="42">
        <f t="shared" si="796"/>
        <v>0</v>
      </c>
      <c r="H746" s="42">
        <f t="shared" si="796"/>
        <v>0</v>
      </c>
      <c r="I746" s="42">
        <f t="shared" si="796"/>
        <v>0</v>
      </c>
      <c r="J746" s="42">
        <f t="shared" si="796"/>
        <v>11</v>
      </c>
      <c r="K746" s="42">
        <f t="shared" si="796"/>
        <v>4.3</v>
      </c>
      <c r="L746" s="42">
        <f>SUM(F746:K746)</f>
        <v>15.3</v>
      </c>
      <c r="M746" s="42">
        <f>L746/6</f>
        <v>2.5499999999999998</v>
      </c>
      <c r="N746" s="42">
        <f t="shared" ref="N746:S746" si="797">N740+N739</f>
        <v>0</v>
      </c>
      <c r="O746" s="42">
        <f t="shared" si="797"/>
        <v>2.2000000000000002</v>
      </c>
      <c r="P746" s="42">
        <f t="shared" si="797"/>
        <v>0</v>
      </c>
      <c r="Q746" s="42">
        <f t="shared" si="797"/>
        <v>0</v>
      </c>
      <c r="R746" s="42">
        <f t="shared" si="797"/>
        <v>0</v>
      </c>
      <c r="S746" s="42">
        <f t="shared" si="797"/>
        <v>0</v>
      </c>
      <c r="T746" s="42">
        <f>SUM(N746:S746)</f>
        <v>2.2000000000000002</v>
      </c>
      <c r="U746" s="42">
        <f>T746+L746</f>
        <v>17.5</v>
      </c>
      <c r="V746" s="42">
        <f>V743</f>
        <v>17.5</v>
      </c>
      <c r="W746" s="42">
        <f>V746-U746</f>
        <v>0</v>
      </c>
    </row>
    <row r="747" spans="1:24" s="47" customFormat="1" ht="18" customHeight="1">
      <c r="A747" s="683"/>
      <c r="B747" s="576"/>
      <c r="C747" s="577"/>
      <c r="D747" s="202" t="str">
        <f>серпень!D670</f>
        <v xml:space="preserve">відхилення </v>
      </c>
      <c r="E747" s="42"/>
      <c r="F747" s="42">
        <f t="shared" ref="F747:K747" si="798">F743-F746</f>
        <v>0</v>
      </c>
      <c r="G747" s="42">
        <f t="shared" si="798"/>
        <v>0</v>
      </c>
      <c r="H747" s="42">
        <f t="shared" si="798"/>
        <v>0</v>
      </c>
      <c r="I747" s="42">
        <f t="shared" si="798"/>
        <v>0</v>
      </c>
      <c r="J747" s="42">
        <f t="shared" si="798"/>
        <v>-4.7009999999999996</v>
      </c>
      <c r="K747" s="42">
        <f t="shared" si="798"/>
        <v>-4.3</v>
      </c>
      <c r="L747" s="42"/>
      <c r="M747" s="42"/>
      <c r="N747" s="42">
        <f t="shared" ref="N747:S747" si="799">N743-N746</f>
        <v>11.198</v>
      </c>
      <c r="O747" s="42">
        <f t="shared" si="799"/>
        <v>-2.2000000000000002</v>
      </c>
      <c r="P747" s="42">
        <f t="shared" si="799"/>
        <v>0</v>
      </c>
      <c r="Q747" s="42">
        <f t="shared" si="799"/>
        <v>0</v>
      </c>
      <c r="R747" s="42">
        <f t="shared" si="799"/>
        <v>0</v>
      </c>
      <c r="S747" s="42">
        <f t="shared" si="799"/>
        <v>0</v>
      </c>
      <c r="T747" s="42"/>
      <c r="U747" s="42"/>
      <c r="V747" s="42"/>
      <c r="W747" s="42"/>
    </row>
    <row r="748" spans="1:24" s="47" customFormat="1" ht="18" customHeight="1">
      <c r="A748" s="683"/>
      <c r="B748" s="578"/>
      <c r="C748" s="579"/>
      <c r="D748" s="202" t="str">
        <f>серпень!D671</f>
        <v>відхилення з наростаючим</v>
      </c>
      <c r="E748" s="42"/>
      <c r="F748" s="42">
        <f>F747</f>
        <v>0</v>
      </c>
      <c r="G748" s="42">
        <f>G747+F748</f>
        <v>0</v>
      </c>
      <c r="H748" s="42">
        <f>H747+G748</f>
        <v>0</v>
      </c>
      <c r="I748" s="42">
        <f>I747+H748</f>
        <v>0</v>
      </c>
      <c r="J748" s="42">
        <f>J747+I748</f>
        <v>-4.7009999999999996</v>
      </c>
      <c r="K748" s="42">
        <f>K747+J748</f>
        <v>-9.0009999999999994</v>
      </c>
      <c r="L748" s="42"/>
      <c r="M748" s="42"/>
      <c r="N748" s="42">
        <f>N747+K748</f>
        <v>2.1970000000000001</v>
      </c>
      <c r="O748" s="42">
        <f>O747+N748</f>
        <v>-3.0000000000000001E-3</v>
      </c>
      <c r="P748" s="42">
        <f>P747+O748</f>
        <v>-3.0000000000000001E-3</v>
      </c>
      <c r="Q748" s="42">
        <f>Q747+P748</f>
        <v>-3.0000000000000001E-3</v>
      </c>
      <c r="R748" s="42">
        <f>R747+Q748</f>
        <v>-3.0000000000000001E-3</v>
      </c>
      <c r="S748" s="42">
        <f>S747+R748</f>
        <v>-3.0000000000000001E-3</v>
      </c>
      <c r="T748" s="42"/>
      <c r="U748" s="42"/>
      <c r="V748" s="42"/>
      <c r="W748" s="42"/>
    </row>
    <row r="749" spans="1:24">
      <c r="L749" s="15"/>
      <c r="M749" s="15"/>
      <c r="N749" s="15"/>
      <c r="T749" s="15"/>
      <c r="U749" s="15"/>
    </row>
    <row r="750" spans="1:24">
      <c r="L750" s="15"/>
      <c r="M750" s="15"/>
      <c r="N750" s="15"/>
      <c r="T750" s="15"/>
      <c r="U750" s="15"/>
    </row>
    <row r="751" spans="1:24">
      <c r="L751" s="15"/>
      <c r="M751" s="15"/>
      <c r="N751" s="15"/>
      <c r="T751" s="15"/>
      <c r="U751" s="15"/>
    </row>
    <row r="752" spans="1:24">
      <c r="L752" s="15"/>
      <c r="M752" s="15"/>
      <c r="N752" s="15"/>
      <c r="T752" s="15"/>
      <c r="U752" s="15"/>
    </row>
    <row r="753" spans="12:21">
      <c r="L753" s="15"/>
      <c r="M753" s="15"/>
      <c r="N753" s="15"/>
      <c r="T753" s="15"/>
      <c r="U753" s="15"/>
    </row>
    <row r="754" spans="12:21">
      <c r="L754" s="15"/>
      <c r="M754" s="15"/>
      <c r="N754" s="15"/>
      <c r="T754" s="15"/>
      <c r="U754" s="15"/>
    </row>
    <row r="755" spans="12:21">
      <c r="L755" s="15"/>
      <c r="M755" s="15"/>
      <c r="N755" s="15"/>
      <c r="T755" s="15"/>
      <c r="U755" s="15"/>
    </row>
    <row r="756" spans="12:21">
      <c r="L756" s="15"/>
      <c r="M756" s="15"/>
      <c r="N756" s="15"/>
      <c r="T756" s="15"/>
      <c r="U756" s="15"/>
    </row>
    <row r="757" spans="12:21">
      <c r="L757" s="15"/>
      <c r="M757" s="15"/>
      <c r="N757" s="15"/>
      <c r="T757" s="15"/>
      <c r="U757" s="15"/>
    </row>
    <row r="758" spans="12:21">
      <c r="L758" s="15"/>
      <c r="M758" s="15"/>
      <c r="N758" s="15"/>
      <c r="T758" s="15"/>
      <c r="U758" s="15"/>
    </row>
    <row r="759" spans="12:21">
      <c r="L759" s="15"/>
      <c r="M759" s="15"/>
      <c r="N759" s="15"/>
      <c r="T759" s="15"/>
      <c r="U759" s="15"/>
    </row>
    <row r="760" spans="12:21">
      <c r="L760" s="15"/>
      <c r="M760" s="15"/>
      <c r="N760" s="15"/>
      <c r="T760" s="15"/>
      <c r="U760" s="15"/>
    </row>
    <row r="761" spans="12:21">
      <c r="L761" s="15"/>
      <c r="M761" s="15"/>
      <c r="N761" s="15"/>
      <c r="T761" s="15"/>
      <c r="U761" s="15"/>
    </row>
    <row r="762" spans="12:21">
      <c r="L762" s="15"/>
      <c r="M762" s="15"/>
      <c r="N762" s="15"/>
      <c r="T762" s="15"/>
      <c r="U762" s="15"/>
    </row>
    <row r="763" spans="12:21">
      <c r="L763" s="15"/>
      <c r="M763" s="15"/>
      <c r="N763" s="15"/>
      <c r="T763" s="15"/>
      <c r="U763" s="15"/>
    </row>
    <row r="764" spans="12:21">
      <c r="L764" s="15"/>
      <c r="M764" s="15"/>
      <c r="N764" s="15"/>
      <c r="T764" s="15"/>
      <c r="U764" s="15"/>
    </row>
    <row r="765" spans="12:21">
      <c r="L765" s="15"/>
      <c r="M765" s="15"/>
      <c r="N765" s="15"/>
      <c r="T765" s="15"/>
      <c r="U765" s="15"/>
    </row>
    <row r="766" spans="12:21">
      <c r="L766" s="15"/>
      <c r="M766" s="15"/>
      <c r="N766" s="15"/>
      <c r="T766" s="15"/>
      <c r="U766" s="15"/>
    </row>
    <row r="767" spans="12:21">
      <c r="L767" s="15"/>
      <c r="M767" s="15"/>
      <c r="N767" s="15"/>
      <c r="T767" s="15"/>
      <c r="U767" s="15"/>
    </row>
    <row r="768" spans="12:21">
      <c r="L768" s="15"/>
      <c r="M768" s="15"/>
      <c r="N768" s="15"/>
      <c r="T768" s="15"/>
      <c r="U768" s="15"/>
    </row>
    <row r="769" spans="12:21">
      <c r="L769" s="15"/>
      <c r="M769" s="15"/>
      <c r="N769" s="15"/>
      <c r="T769" s="15"/>
      <c r="U769" s="15"/>
    </row>
    <row r="770" spans="12:21">
      <c r="L770" s="15"/>
      <c r="M770" s="15"/>
      <c r="N770" s="15"/>
      <c r="T770" s="15"/>
      <c r="U770" s="15"/>
    </row>
    <row r="771" spans="12:21">
      <c r="L771" s="15"/>
      <c r="M771" s="15"/>
      <c r="N771" s="15"/>
      <c r="T771" s="15"/>
      <c r="U771" s="15"/>
    </row>
    <row r="772" spans="12:21">
      <c r="L772" s="15"/>
      <c r="M772" s="15"/>
      <c r="N772" s="15"/>
      <c r="T772" s="15"/>
      <c r="U772" s="15"/>
    </row>
    <row r="773" spans="12:21">
      <c r="L773" s="15"/>
      <c r="M773" s="15"/>
      <c r="N773" s="15"/>
      <c r="T773" s="15"/>
      <c r="U773" s="15"/>
    </row>
    <row r="774" spans="12:21">
      <c r="L774" s="15"/>
      <c r="M774" s="15"/>
      <c r="N774" s="15"/>
      <c r="T774" s="15"/>
      <c r="U774" s="15"/>
    </row>
    <row r="775" spans="12:21">
      <c r="L775" s="15"/>
      <c r="M775" s="15"/>
      <c r="N775" s="15"/>
      <c r="T775" s="15"/>
      <c r="U775" s="15"/>
    </row>
    <row r="776" spans="12:21">
      <c r="L776" s="15"/>
      <c r="M776" s="15"/>
      <c r="N776" s="15"/>
      <c r="T776" s="15"/>
      <c r="U776" s="15"/>
    </row>
    <row r="777" spans="12:21">
      <c r="L777" s="15"/>
      <c r="M777" s="15"/>
      <c r="N777" s="15"/>
      <c r="T777" s="15"/>
      <c r="U777" s="15"/>
    </row>
    <row r="778" spans="12:21">
      <c r="L778" s="15"/>
      <c r="M778" s="15"/>
      <c r="N778" s="15"/>
      <c r="T778" s="15"/>
      <c r="U778" s="15"/>
    </row>
    <row r="779" spans="12:21">
      <c r="L779" s="15"/>
      <c r="M779" s="15"/>
      <c r="N779" s="15"/>
      <c r="T779" s="15"/>
      <c r="U779" s="15"/>
    </row>
    <row r="780" spans="12:21">
      <c r="L780" s="15"/>
      <c r="M780" s="15"/>
      <c r="N780" s="15"/>
      <c r="T780" s="15"/>
      <c r="U780" s="15"/>
    </row>
    <row r="781" spans="12:21">
      <c r="L781" s="15"/>
      <c r="M781" s="15"/>
      <c r="N781" s="15"/>
      <c r="T781" s="15"/>
      <c r="U781" s="15"/>
    </row>
    <row r="782" spans="12:21">
      <c r="L782" s="15"/>
      <c r="M782" s="15"/>
      <c r="N782" s="15"/>
      <c r="T782" s="15"/>
      <c r="U782" s="15"/>
    </row>
    <row r="783" spans="12:21">
      <c r="L783" s="15"/>
      <c r="M783" s="15"/>
      <c r="N783" s="15"/>
      <c r="T783" s="15"/>
      <c r="U783" s="15"/>
    </row>
    <row r="784" spans="12:21">
      <c r="L784" s="15"/>
      <c r="M784" s="15"/>
      <c r="N784" s="15"/>
      <c r="T784" s="15"/>
      <c r="U784" s="15"/>
    </row>
    <row r="785" spans="12:21">
      <c r="L785" s="15"/>
      <c r="M785" s="15"/>
      <c r="N785" s="15"/>
      <c r="T785" s="15"/>
      <c r="U785" s="15"/>
    </row>
    <row r="786" spans="12:21">
      <c r="L786" s="15"/>
      <c r="M786" s="15"/>
      <c r="N786" s="15"/>
      <c r="T786" s="15"/>
      <c r="U786" s="15"/>
    </row>
    <row r="787" spans="12:21">
      <c r="L787" s="15"/>
      <c r="M787" s="15"/>
      <c r="N787" s="15"/>
      <c r="T787" s="15"/>
      <c r="U787" s="15"/>
    </row>
    <row r="788" spans="12:21">
      <c r="L788" s="15"/>
      <c r="M788" s="15"/>
      <c r="N788" s="15"/>
      <c r="T788" s="15"/>
      <c r="U788" s="15"/>
    </row>
    <row r="789" spans="12:21">
      <c r="L789" s="15"/>
      <c r="M789" s="15"/>
      <c r="N789" s="15"/>
      <c r="T789" s="15"/>
      <c r="U789" s="15"/>
    </row>
    <row r="790" spans="12:21">
      <c r="L790" s="15"/>
      <c r="M790" s="15"/>
      <c r="N790" s="15"/>
      <c r="T790" s="15"/>
      <c r="U790" s="15"/>
    </row>
    <row r="791" spans="12:21">
      <c r="L791" s="15"/>
      <c r="M791" s="15"/>
      <c r="N791" s="15"/>
      <c r="T791" s="15"/>
      <c r="U791" s="15"/>
    </row>
    <row r="792" spans="12:21">
      <c r="L792" s="15"/>
      <c r="M792" s="15"/>
      <c r="N792" s="15"/>
      <c r="T792" s="15"/>
      <c r="U792" s="15"/>
    </row>
    <row r="793" spans="12:21">
      <c r="L793" s="15"/>
      <c r="M793" s="15"/>
      <c r="N793" s="15"/>
      <c r="T793" s="15"/>
      <c r="U793" s="15"/>
    </row>
    <row r="794" spans="12:21">
      <c r="L794" s="15"/>
      <c r="M794" s="15"/>
      <c r="N794" s="15"/>
      <c r="T794" s="15"/>
      <c r="U794" s="15"/>
    </row>
    <row r="795" spans="12:21">
      <c r="L795" s="15"/>
      <c r="M795" s="15"/>
      <c r="N795" s="15"/>
      <c r="T795" s="15"/>
      <c r="U795" s="15"/>
    </row>
    <row r="796" spans="12:21">
      <c r="L796" s="15"/>
      <c r="M796" s="15"/>
      <c r="N796" s="15"/>
      <c r="T796" s="15"/>
      <c r="U796" s="15"/>
    </row>
    <row r="797" spans="12:21">
      <c r="L797" s="15"/>
      <c r="M797" s="15"/>
      <c r="N797" s="15"/>
      <c r="T797" s="15"/>
      <c r="U797" s="15"/>
    </row>
    <row r="798" spans="12:21">
      <c r="L798" s="15"/>
      <c r="M798" s="15"/>
      <c r="N798" s="15"/>
      <c r="T798" s="15"/>
      <c r="U798" s="15"/>
    </row>
    <row r="799" spans="12:21">
      <c r="L799" s="15"/>
      <c r="M799" s="15"/>
      <c r="N799" s="15"/>
      <c r="T799" s="15"/>
      <c r="U799" s="15"/>
    </row>
    <row r="800" spans="12:21">
      <c r="L800" s="15"/>
      <c r="M800" s="15"/>
      <c r="N800" s="15"/>
      <c r="T800" s="15"/>
      <c r="U800" s="15"/>
    </row>
    <row r="801" spans="12:21">
      <c r="L801" s="15"/>
      <c r="M801" s="15"/>
      <c r="N801" s="15"/>
      <c r="T801" s="15"/>
      <c r="U801" s="15"/>
    </row>
    <row r="802" spans="12:21">
      <c r="L802" s="15"/>
      <c r="M802" s="15"/>
      <c r="N802" s="15"/>
      <c r="T802" s="15"/>
      <c r="U802" s="15"/>
    </row>
    <row r="803" spans="12:21">
      <c r="L803" s="15"/>
      <c r="M803" s="15"/>
      <c r="N803" s="15"/>
      <c r="T803" s="15"/>
      <c r="U803" s="15"/>
    </row>
    <row r="804" spans="12:21">
      <c r="L804" s="15"/>
      <c r="M804" s="15"/>
      <c r="N804" s="15"/>
      <c r="T804" s="15"/>
      <c r="U804" s="15"/>
    </row>
    <row r="805" spans="12:21">
      <c r="L805" s="15"/>
      <c r="M805" s="15"/>
      <c r="N805" s="15"/>
      <c r="T805" s="15"/>
      <c r="U805" s="15"/>
    </row>
    <row r="806" spans="12:21">
      <c r="L806" s="15"/>
      <c r="M806" s="15"/>
      <c r="N806" s="15"/>
      <c r="T806" s="15"/>
      <c r="U806" s="15"/>
    </row>
    <row r="807" spans="12:21">
      <c r="L807" s="15"/>
      <c r="M807" s="15"/>
      <c r="N807" s="15"/>
      <c r="T807" s="15"/>
      <c r="U807" s="15"/>
    </row>
    <row r="808" spans="12:21">
      <c r="L808" s="15"/>
      <c r="M808" s="15"/>
      <c r="N808" s="15"/>
      <c r="T808" s="15"/>
      <c r="U808" s="15"/>
    </row>
    <row r="809" spans="12:21">
      <c r="L809" s="15"/>
      <c r="M809" s="15"/>
      <c r="N809" s="15"/>
      <c r="T809" s="15"/>
      <c r="U809" s="15"/>
    </row>
    <row r="810" spans="12:21">
      <c r="L810" s="15"/>
      <c r="M810" s="15"/>
      <c r="N810" s="15"/>
      <c r="T810" s="15"/>
      <c r="U810" s="15"/>
    </row>
    <row r="811" spans="12:21">
      <c r="L811" s="15"/>
      <c r="M811" s="15"/>
      <c r="N811" s="15"/>
      <c r="T811" s="15"/>
      <c r="U811" s="15"/>
    </row>
    <row r="812" spans="12:21">
      <c r="L812" s="15"/>
      <c r="M812" s="15"/>
      <c r="N812" s="15"/>
      <c r="T812" s="15"/>
      <c r="U812" s="15"/>
    </row>
    <row r="813" spans="12:21">
      <c r="L813" s="15"/>
      <c r="M813" s="15"/>
      <c r="N813" s="15"/>
      <c r="T813" s="15"/>
      <c r="U813" s="15"/>
    </row>
    <row r="814" spans="12:21">
      <c r="L814" s="15"/>
      <c r="M814" s="15"/>
      <c r="N814" s="15"/>
      <c r="T814" s="15"/>
      <c r="U814" s="15"/>
    </row>
    <row r="815" spans="12:21">
      <c r="L815" s="15"/>
      <c r="M815" s="15"/>
      <c r="N815" s="15"/>
      <c r="T815" s="15"/>
      <c r="U815" s="15"/>
    </row>
    <row r="816" spans="12:21">
      <c r="L816" s="15"/>
      <c r="M816" s="15"/>
      <c r="N816" s="15"/>
      <c r="T816" s="15"/>
      <c r="U816" s="15"/>
    </row>
    <row r="817" spans="12:21">
      <c r="L817" s="15"/>
      <c r="M817" s="15"/>
      <c r="N817" s="15"/>
      <c r="T817" s="15"/>
      <c r="U817" s="15"/>
    </row>
    <row r="818" spans="12:21">
      <c r="L818" s="15"/>
      <c r="M818" s="15"/>
      <c r="N818" s="15"/>
      <c r="T818" s="15"/>
      <c r="U818" s="15"/>
    </row>
    <row r="819" spans="12:21">
      <c r="L819" s="15"/>
      <c r="M819" s="15"/>
      <c r="N819" s="15"/>
      <c r="T819" s="15"/>
      <c r="U819" s="15"/>
    </row>
    <row r="820" spans="12:21">
      <c r="L820" s="15"/>
      <c r="M820" s="15"/>
      <c r="N820" s="15"/>
      <c r="T820" s="15"/>
      <c r="U820" s="15"/>
    </row>
    <row r="821" spans="12:21">
      <c r="L821" s="15"/>
      <c r="M821" s="15"/>
      <c r="N821" s="15"/>
      <c r="T821" s="15"/>
      <c r="U821" s="15"/>
    </row>
    <row r="822" spans="12:21">
      <c r="L822" s="15"/>
      <c r="M822" s="15"/>
      <c r="N822" s="15"/>
      <c r="T822" s="15"/>
      <c r="U822" s="15"/>
    </row>
    <row r="823" spans="12:21">
      <c r="L823" s="15"/>
      <c r="M823" s="15"/>
      <c r="N823" s="15"/>
      <c r="T823" s="15"/>
      <c r="U823" s="15"/>
    </row>
    <row r="824" spans="12:21">
      <c r="L824" s="15"/>
      <c r="M824" s="15"/>
      <c r="N824" s="15"/>
      <c r="T824" s="15"/>
      <c r="U824" s="15"/>
    </row>
    <row r="825" spans="12:21">
      <c r="L825" s="15"/>
      <c r="M825" s="15"/>
      <c r="N825" s="15"/>
      <c r="T825" s="15"/>
      <c r="U825" s="15"/>
    </row>
    <row r="826" spans="12:21">
      <c r="L826" s="15"/>
      <c r="M826" s="15"/>
      <c r="N826" s="15"/>
      <c r="T826" s="15"/>
      <c r="U826" s="15"/>
    </row>
    <row r="827" spans="12:21">
      <c r="L827" s="15"/>
      <c r="M827" s="15"/>
      <c r="N827" s="15"/>
      <c r="T827" s="15"/>
      <c r="U827" s="15"/>
    </row>
    <row r="828" spans="12:21">
      <c r="L828" s="15"/>
      <c r="M828" s="15"/>
      <c r="N828" s="15"/>
      <c r="T828" s="15"/>
      <c r="U828" s="15"/>
    </row>
    <row r="829" spans="12:21">
      <c r="L829" s="15"/>
      <c r="M829" s="15"/>
      <c r="N829" s="15"/>
      <c r="T829" s="15"/>
      <c r="U829" s="15"/>
    </row>
    <row r="830" spans="12:21">
      <c r="L830" s="15"/>
      <c r="M830" s="15"/>
      <c r="N830" s="15"/>
      <c r="T830" s="15"/>
      <c r="U830" s="15"/>
    </row>
    <row r="831" spans="12:21">
      <c r="L831" s="15"/>
      <c r="M831" s="15"/>
      <c r="N831" s="15"/>
      <c r="T831" s="15"/>
      <c r="U831" s="15"/>
    </row>
    <row r="832" spans="12:21">
      <c r="L832" s="15"/>
      <c r="M832" s="15"/>
      <c r="N832" s="15"/>
      <c r="T832" s="15"/>
      <c r="U832" s="15"/>
    </row>
    <row r="833" spans="12:21">
      <c r="L833" s="15"/>
      <c r="M833" s="15"/>
      <c r="N833" s="15"/>
      <c r="T833" s="15"/>
      <c r="U833" s="15"/>
    </row>
    <row r="834" spans="12:21">
      <c r="L834" s="15"/>
      <c r="M834" s="15"/>
      <c r="N834" s="15"/>
      <c r="T834" s="15"/>
      <c r="U834" s="15"/>
    </row>
    <row r="835" spans="12:21">
      <c r="L835" s="15"/>
      <c r="M835" s="15"/>
      <c r="N835" s="15"/>
      <c r="T835" s="15"/>
      <c r="U835" s="15"/>
    </row>
    <row r="836" spans="12:21">
      <c r="L836" s="15"/>
      <c r="M836" s="15"/>
      <c r="N836" s="15"/>
      <c r="T836" s="15"/>
      <c r="U836" s="15"/>
    </row>
    <row r="837" spans="12:21">
      <c r="L837" s="15"/>
      <c r="M837" s="15"/>
      <c r="N837" s="15"/>
      <c r="T837" s="15"/>
      <c r="U837" s="15"/>
    </row>
    <row r="838" spans="12:21">
      <c r="L838" s="15"/>
      <c r="M838" s="15"/>
      <c r="N838" s="15"/>
      <c r="T838" s="15"/>
      <c r="U838" s="15"/>
    </row>
    <row r="839" spans="12:21">
      <c r="L839" s="15"/>
      <c r="M839" s="15"/>
      <c r="N839" s="15"/>
      <c r="T839" s="15"/>
      <c r="U839" s="15"/>
    </row>
    <row r="840" spans="12:21">
      <c r="L840" s="15"/>
      <c r="M840" s="15"/>
      <c r="N840" s="15"/>
      <c r="T840" s="15"/>
      <c r="U840" s="15"/>
    </row>
    <row r="841" spans="12:21">
      <c r="L841" s="15"/>
      <c r="M841" s="15"/>
      <c r="N841" s="15"/>
      <c r="T841" s="15"/>
      <c r="U841" s="15"/>
    </row>
    <row r="842" spans="12:21">
      <c r="L842" s="15"/>
      <c r="M842" s="15"/>
      <c r="N842" s="15"/>
      <c r="T842" s="15"/>
      <c r="U842" s="15"/>
    </row>
    <row r="843" spans="12:21">
      <c r="L843" s="15"/>
      <c r="M843" s="15"/>
      <c r="N843" s="15"/>
      <c r="T843" s="15"/>
      <c r="U843" s="15"/>
    </row>
    <row r="844" spans="12:21">
      <c r="L844" s="15"/>
      <c r="M844" s="15"/>
      <c r="N844" s="15"/>
      <c r="T844" s="15"/>
      <c r="U844" s="15"/>
    </row>
    <row r="845" spans="12:21">
      <c r="L845" s="15"/>
      <c r="M845" s="15"/>
      <c r="N845" s="15"/>
      <c r="T845" s="15"/>
      <c r="U845" s="15"/>
    </row>
    <row r="846" spans="12:21">
      <c r="L846" s="15"/>
      <c r="M846" s="15"/>
      <c r="N846" s="15"/>
      <c r="T846" s="15"/>
      <c r="U846" s="15"/>
    </row>
    <row r="847" spans="12:21">
      <c r="L847" s="15"/>
      <c r="M847" s="15"/>
      <c r="N847" s="15"/>
      <c r="T847" s="15"/>
      <c r="U847" s="15"/>
    </row>
    <row r="848" spans="12:21">
      <c r="L848" s="15"/>
      <c r="M848" s="15"/>
      <c r="N848" s="15"/>
      <c r="T848" s="15"/>
      <c r="U848" s="15"/>
    </row>
    <row r="849" spans="12:21">
      <c r="L849" s="15"/>
      <c r="M849" s="15"/>
      <c r="N849" s="15"/>
      <c r="T849" s="15"/>
      <c r="U849" s="15"/>
    </row>
    <row r="850" spans="12:21">
      <c r="L850" s="15"/>
      <c r="M850" s="15"/>
      <c r="N850" s="15"/>
      <c r="T850" s="15"/>
      <c r="U850" s="15"/>
    </row>
    <row r="851" spans="12:21">
      <c r="L851" s="15"/>
      <c r="M851" s="15"/>
      <c r="N851" s="15"/>
      <c r="T851" s="15"/>
      <c r="U851" s="15"/>
    </row>
    <row r="852" spans="12:21">
      <c r="L852" s="15"/>
      <c r="M852" s="15"/>
      <c r="N852" s="15"/>
      <c r="T852" s="15"/>
      <c r="U852" s="15"/>
    </row>
    <row r="853" spans="12:21">
      <c r="L853" s="15"/>
      <c r="M853" s="15"/>
      <c r="N853" s="15"/>
      <c r="T853" s="15"/>
      <c r="U853" s="15"/>
    </row>
    <row r="854" spans="12:21">
      <c r="L854" s="15"/>
      <c r="M854" s="15"/>
      <c r="N854" s="15"/>
      <c r="T854" s="15"/>
      <c r="U854" s="15"/>
    </row>
    <row r="855" spans="12:21">
      <c r="L855" s="15"/>
      <c r="M855" s="15"/>
      <c r="N855" s="15"/>
      <c r="T855" s="15"/>
      <c r="U855" s="15"/>
    </row>
    <row r="856" spans="12:21">
      <c r="L856" s="15"/>
      <c r="M856" s="15"/>
      <c r="N856" s="15"/>
      <c r="T856" s="15"/>
      <c r="U856" s="15"/>
    </row>
    <row r="857" spans="12:21">
      <c r="L857" s="15"/>
      <c r="M857" s="15"/>
      <c r="N857" s="15"/>
      <c r="T857" s="15"/>
      <c r="U857" s="15"/>
    </row>
    <row r="858" spans="12:21">
      <c r="L858" s="15"/>
      <c r="M858" s="15"/>
      <c r="N858" s="15"/>
      <c r="T858" s="15"/>
      <c r="U858" s="15"/>
    </row>
    <row r="859" spans="12:21">
      <c r="L859" s="15"/>
      <c r="M859" s="15"/>
      <c r="N859" s="15"/>
      <c r="T859" s="15"/>
      <c r="U859" s="15"/>
    </row>
    <row r="860" spans="12:21">
      <c r="L860" s="15"/>
      <c r="M860" s="15"/>
      <c r="N860" s="15"/>
      <c r="T860" s="15"/>
      <c r="U860" s="15"/>
    </row>
    <row r="861" spans="12:21">
      <c r="L861" s="15"/>
      <c r="M861" s="15"/>
      <c r="N861" s="15"/>
      <c r="T861" s="15"/>
      <c r="U861" s="15"/>
    </row>
    <row r="862" spans="12:21">
      <c r="L862" s="15"/>
      <c r="M862" s="15"/>
      <c r="N862" s="15"/>
      <c r="T862" s="15"/>
      <c r="U862" s="15"/>
    </row>
    <row r="863" spans="12:21">
      <c r="L863" s="15"/>
      <c r="M863" s="15"/>
      <c r="N863" s="15"/>
      <c r="T863" s="15"/>
      <c r="U863" s="15"/>
    </row>
    <row r="864" spans="12:21">
      <c r="L864" s="15"/>
      <c r="M864" s="15"/>
      <c r="N864" s="15"/>
      <c r="T864" s="15"/>
      <c r="U864" s="15"/>
    </row>
    <row r="865" spans="12:21">
      <c r="L865" s="15"/>
      <c r="M865" s="15"/>
      <c r="N865" s="15"/>
      <c r="T865" s="15"/>
      <c r="U865" s="15"/>
    </row>
    <row r="866" spans="12:21">
      <c r="L866" s="15"/>
      <c r="M866" s="15"/>
      <c r="N866" s="15"/>
      <c r="T866" s="15"/>
      <c r="U866" s="15"/>
    </row>
    <row r="867" spans="12:21">
      <c r="L867" s="15"/>
      <c r="M867" s="15"/>
      <c r="N867" s="15"/>
      <c r="T867" s="15"/>
      <c r="U867" s="15"/>
    </row>
    <row r="868" spans="12:21">
      <c r="L868" s="15"/>
      <c r="M868" s="15"/>
      <c r="N868" s="15"/>
      <c r="T868" s="15"/>
      <c r="U868" s="15"/>
    </row>
    <row r="869" spans="12:21">
      <c r="L869" s="15"/>
      <c r="M869" s="15"/>
      <c r="N869" s="15"/>
      <c r="T869" s="15"/>
      <c r="U869" s="15"/>
    </row>
    <row r="870" spans="12:21">
      <c r="L870" s="15"/>
      <c r="M870" s="15"/>
      <c r="N870" s="15"/>
      <c r="T870" s="15"/>
      <c r="U870" s="15"/>
    </row>
    <row r="871" spans="12:21">
      <c r="L871" s="15"/>
      <c r="M871" s="15"/>
      <c r="N871" s="15"/>
      <c r="T871" s="15"/>
      <c r="U871" s="15"/>
    </row>
    <row r="872" spans="12:21">
      <c r="L872" s="15"/>
      <c r="M872" s="15"/>
      <c r="N872" s="15"/>
      <c r="T872" s="15"/>
      <c r="U872" s="15"/>
    </row>
    <row r="873" spans="12:21">
      <c r="L873" s="15"/>
      <c r="M873" s="15"/>
      <c r="N873" s="15"/>
      <c r="T873" s="15"/>
      <c r="U873" s="15"/>
    </row>
    <row r="874" spans="12:21">
      <c r="L874" s="15"/>
      <c r="M874" s="15"/>
      <c r="N874" s="15"/>
      <c r="T874" s="15"/>
      <c r="U874" s="15"/>
    </row>
    <row r="875" spans="12:21">
      <c r="L875" s="15"/>
      <c r="M875" s="15"/>
      <c r="N875" s="15"/>
      <c r="T875" s="15"/>
      <c r="U875" s="15"/>
    </row>
    <row r="876" spans="12:21">
      <c r="L876" s="15"/>
      <c r="M876" s="15"/>
      <c r="N876" s="15"/>
      <c r="T876" s="15"/>
      <c r="U876" s="15"/>
    </row>
    <row r="877" spans="12:21">
      <c r="L877" s="15"/>
      <c r="M877" s="15"/>
      <c r="N877" s="15"/>
      <c r="T877" s="15"/>
      <c r="U877" s="15"/>
    </row>
    <row r="878" spans="12:21">
      <c r="L878" s="15"/>
      <c r="M878" s="15"/>
      <c r="N878" s="15"/>
      <c r="T878" s="15"/>
      <c r="U878" s="15"/>
    </row>
    <row r="879" spans="12:21">
      <c r="L879" s="15"/>
      <c r="M879" s="15"/>
      <c r="N879" s="15"/>
      <c r="T879" s="15"/>
      <c r="U879" s="15"/>
    </row>
    <row r="880" spans="12:21">
      <c r="L880" s="15"/>
      <c r="M880" s="15"/>
      <c r="N880" s="15"/>
      <c r="T880" s="15"/>
      <c r="U880" s="15"/>
    </row>
    <row r="881" spans="12:21">
      <c r="L881" s="15"/>
      <c r="M881" s="15"/>
      <c r="N881" s="15"/>
      <c r="T881" s="15"/>
      <c r="U881" s="15"/>
    </row>
    <row r="882" spans="12:21">
      <c r="L882" s="15"/>
      <c r="M882" s="15"/>
      <c r="N882" s="15"/>
      <c r="T882" s="15"/>
      <c r="U882" s="15"/>
    </row>
    <row r="883" spans="12:21">
      <c r="L883" s="15"/>
      <c r="M883" s="15"/>
      <c r="N883" s="15"/>
      <c r="T883" s="15"/>
      <c r="U883" s="15"/>
    </row>
    <row r="884" spans="12:21">
      <c r="L884" s="15"/>
      <c r="M884" s="15"/>
      <c r="N884" s="15"/>
      <c r="T884" s="15"/>
      <c r="U884" s="15"/>
    </row>
    <row r="885" spans="12:21">
      <c r="L885" s="15"/>
      <c r="M885" s="15"/>
      <c r="N885" s="15"/>
      <c r="T885" s="15"/>
      <c r="U885" s="15"/>
    </row>
    <row r="886" spans="12:21">
      <c r="L886" s="15"/>
      <c r="M886" s="15"/>
      <c r="N886" s="15"/>
      <c r="T886" s="15"/>
      <c r="U886" s="15"/>
    </row>
    <row r="887" spans="12:21">
      <c r="L887" s="15"/>
      <c r="M887" s="15"/>
      <c r="N887" s="15"/>
      <c r="T887" s="15"/>
      <c r="U887" s="15"/>
    </row>
    <row r="888" spans="12:21">
      <c r="L888" s="15"/>
      <c r="M888" s="15"/>
      <c r="N888" s="15"/>
      <c r="T888" s="15"/>
      <c r="U888" s="15"/>
    </row>
    <row r="889" spans="12:21">
      <c r="L889" s="15"/>
      <c r="M889" s="15"/>
      <c r="N889" s="15"/>
      <c r="T889" s="15"/>
      <c r="U889" s="15"/>
    </row>
    <row r="890" spans="12:21">
      <c r="L890" s="15"/>
      <c r="M890" s="15"/>
      <c r="N890" s="15"/>
      <c r="T890" s="15"/>
      <c r="U890" s="15"/>
    </row>
    <row r="891" spans="12:21">
      <c r="L891" s="15"/>
      <c r="M891" s="15"/>
      <c r="N891" s="15"/>
      <c r="T891" s="15"/>
      <c r="U891" s="15"/>
    </row>
    <row r="892" spans="12:21">
      <c r="L892" s="15"/>
      <c r="M892" s="15"/>
      <c r="N892" s="15"/>
      <c r="T892" s="15"/>
      <c r="U892" s="15"/>
    </row>
    <row r="893" spans="12:21">
      <c r="L893" s="15"/>
      <c r="M893" s="15"/>
      <c r="N893" s="15"/>
      <c r="T893" s="15"/>
      <c r="U893" s="15"/>
    </row>
    <row r="894" spans="12:21">
      <c r="L894" s="15"/>
      <c r="M894" s="15"/>
      <c r="N894" s="15"/>
      <c r="T894" s="15"/>
      <c r="U894" s="15"/>
    </row>
    <row r="895" spans="12:21">
      <c r="L895" s="15"/>
      <c r="M895" s="15"/>
      <c r="N895" s="15"/>
      <c r="T895" s="15"/>
      <c r="U895" s="15"/>
    </row>
    <row r="896" spans="12:21">
      <c r="L896" s="15"/>
      <c r="M896" s="15"/>
      <c r="N896" s="15"/>
      <c r="T896" s="15"/>
      <c r="U896" s="15"/>
    </row>
    <row r="897" spans="12:21">
      <c r="L897" s="15"/>
      <c r="M897" s="15"/>
      <c r="N897" s="15"/>
      <c r="T897" s="15"/>
      <c r="U897" s="15"/>
    </row>
    <row r="898" spans="12:21">
      <c r="L898" s="15"/>
      <c r="M898" s="15"/>
      <c r="N898" s="15"/>
      <c r="T898" s="15"/>
      <c r="U898" s="15"/>
    </row>
    <row r="899" spans="12:21">
      <c r="L899" s="15"/>
      <c r="M899" s="15"/>
      <c r="N899" s="15"/>
      <c r="T899" s="15"/>
      <c r="U899" s="15"/>
    </row>
    <row r="900" spans="12:21">
      <c r="L900" s="15"/>
      <c r="M900" s="15"/>
      <c r="N900" s="15"/>
      <c r="T900" s="15"/>
      <c r="U900" s="15"/>
    </row>
    <row r="901" spans="12:21">
      <c r="L901" s="15"/>
      <c r="M901" s="15"/>
      <c r="N901" s="15"/>
      <c r="T901" s="15"/>
      <c r="U901" s="15"/>
    </row>
    <row r="902" spans="12:21">
      <c r="L902" s="15"/>
      <c r="M902" s="15"/>
      <c r="N902" s="15"/>
      <c r="T902" s="15"/>
      <c r="U902" s="15"/>
    </row>
    <row r="903" spans="12:21">
      <c r="L903" s="15"/>
      <c r="M903" s="15"/>
      <c r="N903" s="15"/>
      <c r="T903" s="15"/>
      <c r="U903" s="15"/>
    </row>
    <row r="904" spans="12:21">
      <c r="L904" s="15"/>
      <c r="M904" s="15"/>
      <c r="N904" s="15"/>
      <c r="T904" s="15"/>
      <c r="U904" s="15"/>
    </row>
    <row r="905" spans="12:21">
      <c r="L905" s="15"/>
      <c r="M905" s="15"/>
      <c r="N905" s="15"/>
      <c r="T905" s="15"/>
      <c r="U905" s="15"/>
    </row>
    <row r="906" spans="12:21">
      <c r="L906" s="15"/>
      <c r="M906" s="15"/>
      <c r="N906" s="15"/>
      <c r="T906" s="15"/>
      <c r="U906" s="15"/>
    </row>
    <row r="907" spans="12:21">
      <c r="L907" s="15"/>
      <c r="M907" s="15"/>
      <c r="N907" s="15"/>
      <c r="T907" s="15"/>
      <c r="U907" s="15"/>
    </row>
    <row r="908" spans="12:21">
      <c r="L908" s="15"/>
      <c r="M908" s="15"/>
      <c r="N908" s="15"/>
      <c r="T908" s="15"/>
      <c r="U908" s="15"/>
    </row>
    <row r="909" spans="12:21">
      <c r="L909" s="15"/>
      <c r="M909" s="15"/>
      <c r="N909" s="15"/>
      <c r="T909" s="15"/>
      <c r="U909" s="15"/>
    </row>
    <row r="910" spans="12:21">
      <c r="L910" s="15"/>
      <c r="M910" s="15"/>
      <c r="N910" s="15"/>
      <c r="T910" s="15"/>
      <c r="U910" s="15"/>
    </row>
    <row r="911" spans="12:21">
      <c r="L911" s="15"/>
      <c r="M911" s="15"/>
      <c r="N911" s="15"/>
      <c r="T911" s="15"/>
      <c r="U911" s="15"/>
    </row>
    <row r="912" spans="12:21">
      <c r="L912" s="15"/>
      <c r="M912" s="15"/>
      <c r="N912" s="15"/>
      <c r="T912" s="15"/>
      <c r="U912" s="15"/>
    </row>
    <row r="913" spans="12:21">
      <c r="L913" s="15"/>
      <c r="M913" s="15"/>
      <c r="N913" s="15"/>
      <c r="T913" s="15"/>
      <c r="U913" s="15"/>
    </row>
    <row r="914" spans="12:21">
      <c r="L914" s="15"/>
      <c r="M914" s="15"/>
      <c r="N914" s="15"/>
      <c r="T914" s="15"/>
      <c r="U914" s="15"/>
    </row>
    <row r="915" spans="12:21">
      <c r="L915" s="15"/>
      <c r="M915" s="15"/>
      <c r="N915" s="15"/>
      <c r="T915" s="15"/>
      <c r="U915" s="15"/>
    </row>
    <row r="916" spans="12:21">
      <c r="L916" s="15"/>
      <c r="M916" s="15"/>
      <c r="N916" s="15"/>
      <c r="T916" s="15"/>
      <c r="U916" s="15"/>
    </row>
    <row r="917" spans="12:21">
      <c r="L917" s="15"/>
      <c r="M917" s="15"/>
      <c r="N917" s="15"/>
      <c r="T917" s="15"/>
      <c r="U917" s="15"/>
    </row>
    <row r="918" spans="12:21">
      <c r="L918" s="15"/>
      <c r="M918" s="15"/>
      <c r="N918" s="15"/>
      <c r="T918" s="15"/>
      <c r="U918" s="15"/>
    </row>
    <row r="919" spans="12:21">
      <c r="L919" s="15"/>
      <c r="M919" s="15"/>
      <c r="N919" s="15"/>
      <c r="T919" s="15"/>
      <c r="U919" s="15"/>
    </row>
    <row r="920" spans="12:21">
      <c r="L920" s="15"/>
      <c r="M920" s="15"/>
      <c r="N920" s="15"/>
      <c r="T920" s="15"/>
      <c r="U920" s="15"/>
    </row>
    <row r="921" spans="12:21">
      <c r="L921" s="15"/>
      <c r="M921" s="15"/>
      <c r="N921" s="15"/>
      <c r="T921" s="15"/>
      <c r="U921" s="15"/>
    </row>
    <row r="922" spans="12:21">
      <c r="L922" s="15"/>
      <c r="M922" s="15"/>
      <c r="N922" s="15"/>
      <c r="T922" s="15"/>
      <c r="U922" s="15"/>
    </row>
    <row r="923" spans="12:21">
      <c r="L923" s="15"/>
      <c r="M923" s="15"/>
      <c r="N923" s="15"/>
      <c r="T923" s="15"/>
      <c r="U923" s="15"/>
    </row>
    <row r="924" spans="12:21">
      <c r="L924" s="15"/>
      <c r="M924" s="15"/>
      <c r="N924" s="15"/>
      <c r="T924" s="15"/>
      <c r="U924" s="15"/>
    </row>
    <row r="925" spans="12:21">
      <c r="L925" s="15"/>
      <c r="M925" s="15"/>
      <c r="N925" s="15"/>
      <c r="T925" s="15"/>
      <c r="U925" s="15"/>
    </row>
    <row r="926" spans="12:21">
      <c r="L926" s="15"/>
      <c r="M926" s="15"/>
      <c r="N926" s="15"/>
      <c r="T926" s="15"/>
      <c r="U926" s="15"/>
    </row>
    <row r="927" spans="12:21">
      <c r="L927" s="15"/>
      <c r="M927" s="15"/>
      <c r="N927" s="15"/>
      <c r="T927" s="15"/>
      <c r="U927" s="15"/>
    </row>
    <row r="928" spans="12:21">
      <c r="L928" s="15"/>
      <c r="M928" s="15"/>
      <c r="N928" s="15"/>
      <c r="T928" s="15"/>
      <c r="U928" s="15"/>
    </row>
    <row r="929" spans="12:21">
      <c r="L929" s="15"/>
      <c r="M929" s="15"/>
      <c r="N929" s="15"/>
      <c r="T929" s="15"/>
      <c r="U929" s="15"/>
    </row>
    <row r="930" spans="12:21">
      <c r="L930" s="15"/>
      <c r="M930" s="15"/>
      <c r="N930" s="15"/>
      <c r="T930" s="15"/>
      <c r="U930" s="15"/>
    </row>
    <row r="931" spans="12:21">
      <c r="L931" s="15"/>
      <c r="M931" s="15"/>
      <c r="N931" s="15"/>
      <c r="T931" s="15"/>
      <c r="U931" s="15"/>
    </row>
    <row r="932" spans="12:21">
      <c r="L932" s="15"/>
      <c r="M932" s="15"/>
      <c r="N932" s="15"/>
      <c r="T932" s="15"/>
      <c r="U932" s="15"/>
    </row>
    <row r="933" spans="12:21">
      <c r="L933" s="15"/>
      <c r="M933" s="15"/>
      <c r="N933" s="15"/>
      <c r="T933" s="15"/>
      <c r="U933" s="15"/>
    </row>
    <row r="934" spans="12:21">
      <c r="L934" s="15"/>
      <c r="M934" s="15"/>
      <c r="N934" s="15"/>
      <c r="T934" s="15"/>
      <c r="U934" s="15"/>
    </row>
    <row r="935" spans="12:21">
      <c r="L935" s="15"/>
      <c r="M935" s="15"/>
      <c r="N935" s="15"/>
      <c r="T935" s="15"/>
      <c r="U935" s="15"/>
    </row>
    <row r="936" spans="12:21">
      <c r="L936" s="15"/>
      <c r="M936" s="15"/>
      <c r="N936" s="15"/>
      <c r="T936" s="15"/>
      <c r="U936" s="15"/>
    </row>
    <row r="937" spans="12:21">
      <c r="L937" s="15"/>
      <c r="M937" s="15"/>
      <c r="N937" s="15"/>
      <c r="T937" s="15"/>
      <c r="U937" s="15"/>
    </row>
    <row r="938" spans="12:21">
      <c r="L938" s="15"/>
      <c r="M938" s="15"/>
      <c r="N938" s="15"/>
      <c r="T938" s="15"/>
      <c r="U938" s="15"/>
    </row>
    <row r="939" spans="12:21">
      <c r="L939" s="15"/>
      <c r="M939" s="15"/>
      <c r="N939" s="15"/>
      <c r="T939" s="15"/>
      <c r="U939" s="15"/>
    </row>
    <row r="940" spans="12:21">
      <c r="L940" s="15"/>
      <c r="M940" s="15"/>
      <c r="N940" s="15"/>
      <c r="T940" s="15"/>
      <c r="U940" s="15"/>
    </row>
    <row r="941" spans="12:21">
      <c r="L941" s="15"/>
      <c r="M941" s="15"/>
      <c r="N941" s="15"/>
      <c r="T941" s="15"/>
      <c r="U941" s="15"/>
    </row>
    <row r="942" spans="12:21">
      <c r="L942" s="15"/>
      <c r="M942" s="15"/>
      <c r="N942" s="15"/>
      <c r="T942" s="15"/>
      <c r="U942" s="15"/>
    </row>
    <row r="943" spans="12:21">
      <c r="L943" s="15"/>
      <c r="M943" s="15"/>
      <c r="N943" s="15"/>
      <c r="T943" s="15"/>
      <c r="U943" s="15"/>
    </row>
    <row r="944" spans="12:21">
      <c r="L944" s="15"/>
      <c r="M944" s="15"/>
      <c r="N944" s="15"/>
      <c r="T944" s="15"/>
      <c r="U944" s="15"/>
    </row>
    <row r="945" spans="12:21">
      <c r="L945" s="15"/>
      <c r="M945" s="15"/>
      <c r="N945" s="15"/>
      <c r="T945" s="15"/>
      <c r="U945" s="15"/>
    </row>
    <row r="946" spans="12:21">
      <c r="L946" s="15"/>
      <c r="M946" s="15"/>
      <c r="N946" s="15"/>
      <c r="T946" s="15"/>
      <c r="U946" s="15"/>
    </row>
    <row r="947" spans="12:21">
      <c r="L947" s="15"/>
      <c r="M947" s="15"/>
      <c r="N947" s="15"/>
      <c r="T947" s="15"/>
      <c r="U947" s="15"/>
    </row>
    <row r="948" spans="12:21">
      <c r="L948" s="15"/>
      <c r="M948" s="15"/>
      <c r="N948" s="15"/>
      <c r="T948" s="15"/>
      <c r="U948" s="15"/>
    </row>
    <row r="949" spans="12:21">
      <c r="L949" s="15"/>
      <c r="M949" s="15"/>
      <c r="N949" s="15"/>
      <c r="T949" s="15"/>
      <c r="U949" s="15"/>
    </row>
    <row r="950" spans="12:21">
      <c r="L950" s="15"/>
      <c r="M950" s="15"/>
      <c r="N950" s="15"/>
      <c r="T950" s="15"/>
      <c r="U950" s="15"/>
    </row>
    <row r="951" spans="12:21">
      <c r="L951" s="15"/>
      <c r="M951" s="15"/>
      <c r="N951" s="15"/>
      <c r="T951" s="15"/>
      <c r="U951" s="15"/>
    </row>
    <row r="952" spans="12:21">
      <c r="L952" s="15"/>
      <c r="M952" s="15"/>
      <c r="N952" s="15"/>
      <c r="T952" s="15"/>
      <c r="U952" s="15"/>
    </row>
    <row r="953" spans="12:21">
      <c r="L953" s="15"/>
      <c r="M953" s="15"/>
      <c r="N953" s="15"/>
      <c r="T953" s="15"/>
      <c r="U953" s="15"/>
    </row>
    <row r="954" spans="12:21">
      <c r="L954" s="15"/>
      <c r="M954" s="15"/>
      <c r="N954" s="15"/>
      <c r="T954" s="15"/>
      <c r="U954" s="15"/>
    </row>
    <row r="955" spans="12:21">
      <c r="L955" s="15"/>
      <c r="M955" s="15"/>
      <c r="N955" s="15"/>
      <c r="T955" s="15"/>
      <c r="U955" s="15"/>
    </row>
    <row r="956" spans="12:21">
      <c r="L956" s="15"/>
      <c r="M956" s="15"/>
      <c r="N956" s="15"/>
      <c r="T956" s="15"/>
      <c r="U956" s="15"/>
    </row>
    <row r="957" spans="12:21">
      <c r="L957" s="15"/>
      <c r="M957" s="15"/>
      <c r="N957" s="15"/>
      <c r="T957" s="15"/>
      <c r="U957" s="15"/>
    </row>
    <row r="958" spans="12:21">
      <c r="L958" s="15"/>
      <c r="M958" s="15"/>
      <c r="N958" s="15"/>
      <c r="T958" s="15"/>
      <c r="U958" s="15"/>
    </row>
    <row r="959" spans="12:21">
      <c r="L959" s="15"/>
      <c r="M959" s="15"/>
      <c r="N959" s="15"/>
      <c r="T959" s="15"/>
      <c r="U959" s="15"/>
    </row>
    <row r="960" spans="12:21">
      <c r="L960" s="15"/>
      <c r="M960" s="15"/>
      <c r="N960" s="15"/>
      <c r="T960" s="15"/>
      <c r="U960" s="15"/>
    </row>
    <row r="961" spans="12:21">
      <c r="L961" s="15"/>
      <c r="M961" s="15"/>
      <c r="N961" s="15"/>
      <c r="T961" s="15"/>
      <c r="U961" s="15"/>
    </row>
    <row r="962" spans="12:21">
      <c r="L962" s="15"/>
      <c r="M962" s="15"/>
      <c r="N962" s="15"/>
      <c r="T962" s="15"/>
      <c r="U962" s="15"/>
    </row>
    <row r="963" spans="12:21">
      <c r="L963" s="15"/>
      <c r="M963" s="15"/>
      <c r="N963" s="15"/>
      <c r="T963" s="15"/>
      <c r="U963" s="15"/>
    </row>
    <row r="964" spans="12:21">
      <c r="L964" s="15"/>
      <c r="M964" s="15"/>
      <c r="N964" s="15"/>
      <c r="T964" s="15"/>
      <c r="U964" s="15"/>
    </row>
    <row r="965" spans="12:21">
      <c r="L965" s="15"/>
      <c r="M965" s="15"/>
      <c r="N965" s="15"/>
      <c r="T965" s="15"/>
      <c r="U965" s="15"/>
    </row>
    <row r="966" spans="12:21">
      <c r="L966" s="15"/>
      <c r="M966" s="15"/>
      <c r="N966" s="15"/>
      <c r="T966" s="15"/>
      <c r="U966" s="15"/>
    </row>
    <row r="967" spans="12:21">
      <c r="L967" s="15"/>
      <c r="M967" s="15"/>
      <c r="N967" s="15"/>
      <c r="T967" s="15"/>
      <c r="U967" s="15"/>
    </row>
    <row r="968" spans="12:21">
      <c r="L968" s="15"/>
      <c r="M968" s="15"/>
      <c r="N968" s="15"/>
      <c r="T968" s="15"/>
      <c r="U968" s="15"/>
    </row>
    <row r="969" spans="12:21">
      <c r="L969" s="15"/>
      <c r="M969" s="15"/>
      <c r="N969" s="15"/>
      <c r="T969" s="15"/>
      <c r="U969" s="15"/>
    </row>
    <row r="970" spans="12:21">
      <c r="L970" s="15"/>
      <c r="M970" s="15"/>
      <c r="N970" s="15"/>
      <c r="T970" s="15"/>
      <c r="U970" s="15"/>
    </row>
    <row r="971" spans="12:21">
      <c r="L971" s="15"/>
      <c r="M971" s="15"/>
      <c r="N971" s="15"/>
      <c r="T971" s="15"/>
      <c r="U971" s="15"/>
    </row>
    <row r="972" spans="12:21">
      <c r="L972" s="15"/>
      <c r="M972" s="15"/>
      <c r="N972" s="15"/>
      <c r="T972" s="15"/>
      <c r="U972" s="15"/>
    </row>
    <row r="973" spans="12:21">
      <c r="L973" s="15"/>
      <c r="M973" s="15"/>
      <c r="N973" s="15"/>
      <c r="T973" s="15"/>
      <c r="U973" s="15"/>
    </row>
    <row r="974" spans="12:21">
      <c r="L974" s="15"/>
      <c r="M974" s="15"/>
      <c r="N974" s="15"/>
      <c r="T974" s="15"/>
      <c r="U974" s="15"/>
    </row>
    <row r="975" spans="12:21">
      <c r="L975" s="15"/>
      <c r="M975" s="15"/>
      <c r="N975" s="15"/>
      <c r="T975" s="15"/>
      <c r="U975" s="15"/>
    </row>
    <row r="976" spans="12:21">
      <c r="L976" s="15"/>
      <c r="M976" s="15"/>
      <c r="N976" s="15"/>
      <c r="T976" s="15"/>
      <c r="U976" s="15"/>
    </row>
    <row r="977" spans="12:21">
      <c r="L977" s="15"/>
      <c r="M977" s="15"/>
      <c r="N977" s="15"/>
      <c r="T977" s="15"/>
      <c r="U977" s="15"/>
    </row>
    <row r="978" spans="12:21">
      <c r="L978" s="15"/>
      <c r="M978" s="15"/>
      <c r="N978" s="15"/>
      <c r="T978" s="15"/>
      <c r="U978" s="15"/>
    </row>
    <row r="979" spans="12:21">
      <c r="L979" s="15"/>
      <c r="M979" s="15"/>
      <c r="N979" s="15"/>
      <c r="T979" s="15"/>
      <c r="U979" s="15"/>
    </row>
    <row r="980" spans="12:21">
      <c r="L980" s="15"/>
      <c r="M980" s="15"/>
      <c r="N980" s="15"/>
      <c r="T980" s="15"/>
      <c r="U980" s="15"/>
    </row>
    <row r="981" spans="12:21">
      <c r="L981" s="15"/>
      <c r="M981" s="15"/>
      <c r="N981" s="15"/>
      <c r="T981" s="15"/>
      <c r="U981" s="15"/>
    </row>
    <row r="982" spans="12:21">
      <c r="L982" s="15"/>
      <c r="M982" s="15"/>
      <c r="N982" s="15"/>
      <c r="T982" s="15"/>
      <c r="U982" s="15"/>
    </row>
    <row r="983" spans="12:21">
      <c r="L983" s="15"/>
      <c r="M983" s="15"/>
      <c r="N983" s="15"/>
      <c r="T983" s="15"/>
      <c r="U983" s="15"/>
    </row>
    <row r="984" spans="12:21">
      <c r="L984" s="15"/>
      <c r="M984" s="15"/>
      <c r="N984" s="15"/>
      <c r="T984" s="15"/>
      <c r="U984" s="15"/>
    </row>
    <row r="985" spans="12:21">
      <c r="L985" s="15"/>
      <c r="M985" s="15"/>
      <c r="N985" s="15"/>
      <c r="T985" s="15"/>
      <c r="U985" s="15"/>
    </row>
    <row r="986" spans="12:21">
      <c r="L986" s="15"/>
      <c r="M986" s="15"/>
      <c r="N986" s="15"/>
      <c r="T986" s="15"/>
      <c r="U986" s="15"/>
    </row>
    <row r="987" spans="12:21">
      <c r="L987" s="15"/>
      <c r="M987" s="15"/>
      <c r="N987" s="15"/>
      <c r="T987" s="15"/>
      <c r="U987" s="15"/>
    </row>
    <row r="988" spans="12:21">
      <c r="L988" s="15"/>
      <c r="M988" s="15"/>
      <c r="N988" s="15"/>
      <c r="T988" s="15"/>
      <c r="U988" s="15"/>
    </row>
    <row r="989" spans="12:21">
      <c r="L989" s="15"/>
      <c r="M989" s="15"/>
      <c r="N989" s="15"/>
      <c r="T989" s="15"/>
      <c r="U989" s="15"/>
    </row>
    <row r="990" spans="12:21">
      <c r="L990" s="15"/>
      <c r="M990" s="15"/>
      <c r="N990" s="15"/>
      <c r="T990" s="15"/>
      <c r="U990" s="15"/>
    </row>
    <row r="991" spans="12:21">
      <c r="L991" s="15"/>
      <c r="M991" s="15"/>
      <c r="N991" s="15"/>
      <c r="T991" s="15"/>
      <c r="U991" s="15"/>
    </row>
    <row r="992" spans="12:21">
      <c r="L992" s="15"/>
      <c r="M992" s="15"/>
      <c r="N992" s="15"/>
      <c r="T992" s="15"/>
      <c r="U992" s="15"/>
    </row>
    <row r="993" spans="12:21">
      <c r="L993" s="15"/>
      <c r="M993" s="15"/>
      <c r="N993" s="15"/>
      <c r="T993" s="15"/>
      <c r="U993" s="15"/>
    </row>
    <row r="994" spans="12:21">
      <c r="L994" s="15"/>
      <c r="M994" s="15"/>
      <c r="N994" s="15"/>
      <c r="T994" s="15"/>
      <c r="U994" s="15"/>
    </row>
    <row r="995" spans="12:21">
      <c r="L995" s="15"/>
      <c r="M995" s="15"/>
      <c r="N995" s="15"/>
      <c r="T995" s="15"/>
      <c r="U995" s="15"/>
    </row>
    <row r="996" spans="12:21">
      <c r="L996" s="15"/>
      <c r="M996" s="15"/>
      <c r="N996" s="15"/>
      <c r="T996" s="15"/>
      <c r="U996" s="15"/>
    </row>
    <row r="997" spans="12:21">
      <c r="L997" s="15"/>
      <c r="M997" s="15"/>
      <c r="N997" s="15"/>
      <c r="T997" s="15"/>
      <c r="U997" s="15"/>
    </row>
    <row r="998" spans="12:21">
      <c r="L998" s="15"/>
      <c r="M998" s="15"/>
      <c r="N998" s="15"/>
      <c r="T998" s="15"/>
      <c r="U998" s="15"/>
    </row>
    <row r="999" spans="12:21">
      <c r="L999" s="15"/>
      <c r="M999" s="15"/>
      <c r="N999" s="15"/>
      <c r="T999" s="15"/>
      <c r="U999" s="15"/>
    </row>
    <row r="1000" spans="12:21">
      <c r="L1000" s="15"/>
      <c r="M1000" s="15"/>
      <c r="N1000" s="15"/>
      <c r="T1000" s="15"/>
      <c r="U1000" s="15"/>
    </row>
    <row r="1001" spans="12:21">
      <c r="L1001" s="15"/>
      <c r="M1001" s="15"/>
      <c r="N1001" s="15"/>
      <c r="T1001" s="15"/>
      <c r="U1001" s="15"/>
    </row>
    <row r="1002" spans="12:21">
      <c r="L1002" s="15"/>
      <c r="M1002" s="15"/>
      <c r="N1002" s="15"/>
      <c r="T1002" s="15"/>
      <c r="U1002" s="15"/>
    </row>
    <row r="1003" spans="12:21">
      <c r="L1003" s="15"/>
      <c r="M1003" s="15"/>
      <c r="N1003" s="15"/>
      <c r="T1003" s="15"/>
      <c r="U1003" s="15"/>
    </row>
    <row r="1004" spans="12:21">
      <c r="L1004" s="15"/>
      <c r="M1004" s="15"/>
      <c r="N1004" s="15"/>
      <c r="T1004" s="15"/>
      <c r="U1004" s="15"/>
    </row>
    <row r="1005" spans="12:21">
      <c r="L1005" s="15"/>
      <c r="M1005" s="15"/>
      <c r="N1005" s="15"/>
      <c r="T1005" s="15"/>
      <c r="U1005" s="15"/>
    </row>
    <row r="1006" spans="12:21">
      <c r="L1006" s="15"/>
      <c r="M1006" s="15"/>
      <c r="N1006" s="15"/>
      <c r="T1006" s="15"/>
      <c r="U1006" s="15"/>
    </row>
    <row r="1007" spans="12:21">
      <c r="L1007" s="15"/>
      <c r="M1007" s="15"/>
      <c r="N1007" s="15"/>
      <c r="T1007" s="15"/>
      <c r="U1007" s="15"/>
    </row>
    <row r="1008" spans="12:21">
      <c r="L1008" s="15"/>
      <c r="M1008" s="15"/>
      <c r="N1008" s="15"/>
      <c r="T1008" s="15"/>
      <c r="U1008" s="15"/>
    </row>
    <row r="1009" spans="12:21">
      <c r="L1009" s="15"/>
      <c r="M1009" s="15"/>
      <c r="N1009" s="15"/>
      <c r="T1009" s="15"/>
      <c r="U1009" s="15"/>
    </row>
    <row r="1010" spans="12:21">
      <c r="L1010" s="15"/>
      <c r="M1010" s="15"/>
      <c r="N1010" s="15"/>
      <c r="T1010" s="15"/>
      <c r="U1010" s="15"/>
    </row>
    <row r="1011" spans="12:21">
      <c r="L1011" s="15"/>
      <c r="M1011" s="15"/>
      <c r="N1011" s="15"/>
      <c r="T1011" s="15"/>
      <c r="U1011" s="15"/>
    </row>
    <row r="1012" spans="12:21">
      <c r="L1012" s="15"/>
      <c r="M1012" s="15"/>
      <c r="N1012" s="15"/>
      <c r="T1012" s="15"/>
      <c r="U1012" s="15"/>
    </row>
    <row r="1013" spans="12:21">
      <c r="L1013" s="15"/>
      <c r="M1013" s="15"/>
      <c r="N1013" s="15"/>
      <c r="T1013" s="15"/>
      <c r="U1013" s="15"/>
    </row>
    <row r="1014" spans="12:21">
      <c r="L1014" s="15"/>
      <c r="M1014" s="15"/>
      <c r="N1014" s="15"/>
      <c r="T1014" s="15"/>
      <c r="U1014" s="15"/>
    </row>
    <row r="1015" spans="12:21">
      <c r="L1015" s="15"/>
      <c r="M1015" s="15"/>
      <c r="N1015" s="15"/>
      <c r="T1015" s="15"/>
      <c r="U1015" s="15"/>
    </row>
    <row r="1016" spans="12:21">
      <c r="L1016" s="15"/>
      <c r="M1016" s="15"/>
      <c r="N1016" s="15"/>
      <c r="T1016" s="15"/>
      <c r="U1016" s="15"/>
    </row>
    <row r="1017" spans="12:21">
      <c r="L1017" s="15"/>
      <c r="M1017" s="15"/>
      <c r="N1017" s="15"/>
      <c r="T1017" s="15"/>
      <c r="U1017" s="15"/>
    </row>
    <row r="1018" spans="12:21">
      <c r="L1018" s="15"/>
      <c r="M1018" s="15"/>
      <c r="N1018" s="15"/>
      <c r="T1018" s="15"/>
      <c r="U1018" s="15"/>
    </row>
    <row r="1019" spans="12:21">
      <c r="L1019" s="15"/>
      <c r="M1019" s="15"/>
      <c r="N1019" s="15"/>
      <c r="T1019" s="15"/>
      <c r="U1019" s="15"/>
    </row>
    <row r="1020" spans="12:21">
      <c r="L1020" s="15"/>
      <c r="M1020" s="15"/>
      <c r="N1020" s="15"/>
      <c r="T1020" s="15"/>
      <c r="U1020" s="15"/>
    </row>
    <row r="1021" spans="12:21">
      <c r="L1021" s="15"/>
      <c r="M1021" s="15"/>
      <c r="N1021" s="15"/>
      <c r="T1021" s="15"/>
      <c r="U1021" s="15"/>
    </row>
    <row r="1022" spans="12:21">
      <c r="L1022" s="15"/>
      <c r="M1022" s="15"/>
      <c r="N1022" s="15"/>
      <c r="T1022" s="15"/>
      <c r="U1022" s="15"/>
    </row>
    <row r="1023" spans="12:21">
      <c r="L1023" s="15"/>
      <c r="M1023" s="15"/>
      <c r="N1023" s="15"/>
      <c r="T1023" s="15"/>
      <c r="U1023" s="15"/>
    </row>
    <row r="1024" spans="12:21">
      <c r="L1024" s="15"/>
      <c r="M1024" s="15"/>
      <c r="N1024" s="15"/>
      <c r="T1024" s="15"/>
      <c r="U1024" s="15"/>
    </row>
    <row r="1025" spans="12:21">
      <c r="L1025" s="15"/>
      <c r="M1025" s="15"/>
      <c r="N1025" s="15"/>
      <c r="T1025" s="15"/>
      <c r="U1025" s="15"/>
    </row>
    <row r="1026" spans="12:21">
      <c r="L1026" s="15"/>
      <c r="M1026" s="15"/>
      <c r="N1026" s="15"/>
      <c r="T1026" s="15"/>
      <c r="U1026" s="15"/>
    </row>
    <row r="1027" spans="12:21">
      <c r="L1027" s="15"/>
      <c r="M1027" s="15"/>
      <c r="N1027" s="15"/>
      <c r="T1027" s="15"/>
      <c r="U1027" s="15"/>
    </row>
    <row r="1028" spans="12:21">
      <c r="L1028" s="15"/>
      <c r="M1028" s="15"/>
      <c r="N1028" s="15"/>
      <c r="T1028" s="15"/>
      <c r="U1028" s="15"/>
    </row>
    <row r="1029" spans="12:21">
      <c r="L1029" s="15"/>
      <c r="M1029" s="15"/>
      <c r="N1029" s="15"/>
      <c r="T1029" s="15"/>
      <c r="U1029" s="15"/>
    </row>
    <row r="1030" spans="12:21">
      <c r="L1030" s="15"/>
      <c r="M1030" s="15"/>
      <c r="N1030" s="15"/>
      <c r="T1030" s="15"/>
      <c r="U1030" s="15"/>
    </row>
    <row r="1031" spans="12:21">
      <c r="L1031" s="15"/>
      <c r="M1031" s="15"/>
      <c r="N1031" s="15"/>
      <c r="T1031" s="15"/>
      <c r="U1031" s="15"/>
    </row>
    <row r="1032" spans="12:21">
      <c r="L1032" s="15"/>
      <c r="M1032" s="15"/>
      <c r="N1032" s="15"/>
      <c r="T1032" s="15"/>
      <c r="U1032" s="15"/>
    </row>
    <row r="1033" spans="12:21">
      <c r="L1033" s="15"/>
      <c r="M1033" s="15"/>
      <c r="N1033" s="15"/>
      <c r="T1033" s="15"/>
      <c r="U1033" s="15"/>
    </row>
    <row r="1034" spans="12:21">
      <c r="L1034" s="15"/>
      <c r="M1034" s="15"/>
      <c r="N1034" s="15"/>
      <c r="T1034" s="15"/>
      <c r="U1034" s="15"/>
    </row>
    <row r="1035" spans="12:21">
      <c r="L1035" s="15"/>
      <c r="M1035" s="15"/>
      <c r="N1035" s="15"/>
      <c r="T1035" s="15"/>
      <c r="U1035" s="15"/>
    </row>
    <row r="1036" spans="12:21">
      <c r="L1036" s="15"/>
      <c r="M1036" s="15"/>
      <c r="N1036" s="15"/>
      <c r="T1036" s="15"/>
      <c r="U1036" s="15"/>
    </row>
    <row r="1037" spans="12:21">
      <c r="L1037" s="15"/>
      <c r="M1037" s="15"/>
      <c r="N1037" s="15"/>
      <c r="T1037" s="15"/>
      <c r="U1037" s="15"/>
    </row>
    <row r="1038" spans="12:21">
      <c r="L1038" s="15"/>
      <c r="M1038" s="15"/>
      <c r="N1038" s="15"/>
      <c r="T1038" s="15"/>
      <c r="U1038" s="15"/>
    </row>
    <row r="1039" spans="12:21">
      <c r="L1039" s="15"/>
      <c r="M1039" s="15"/>
      <c r="N1039" s="15"/>
      <c r="T1039" s="15"/>
      <c r="U1039" s="15"/>
    </row>
    <row r="1040" spans="12:21">
      <c r="L1040" s="15"/>
      <c r="M1040" s="15"/>
      <c r="N1040" s="15"/>
      <c r="T1040" s="15"/>
      <c r="U1040" s="15"/>
    </row>
    <row r="1041" spans="12:21">
      <c r="L1041" s="15"/>
      <c r="M1041" s="15"/>
      <c r="N1041" s="15"/>
      <c r="T1041" s="15"/>
      <c r="U1041" s="15"/>
    </row>
    <row r="1042" spans="12:21">
      <c r="L1042" s="15"/>
      <c r="M1042" s="15"/>
      <c r="N1042" s="15"/>
      <c r="T1042" s="15"/>
      <c r="U1042" s="15"/>
    </row>
    <row r="1043" spans="12:21">
      <c r="L1043" s="15"/>
      <c r="M1043" s="15"/>
      <c r="N1043" s="15"/>
      <c r="T1043" s="15"/>
      <c r="U1043" s="15"/>
    </row>
    <row r="1044" spans="12:21">
      <c r="L1044" s="15"/>
      <c r="M1044" s="15"/>
      <c r="N1044" s="15"/>
      <c r="T1044" s="15"/>
      <c r="U1044" s="15"/>
    </row>
    <row r="1045" spans="12:21">
      <c r="L1045" s="15"/>
      <c r="M1045" s="15"/>
      <c r="N1045" s="15"/>
      <c r="T1045" s="15"/>
      <c r="U1045" s="15"/>
    </row>
    <row r="1046" spans="12:21">
      <c r="L1046" s="15"/>
      <c r="M1046" s="15"/>
      <c r="N1046" s="15"/>
      <c r="T1046" s="15"/>
      <c r="U1046" s="15"/>
    </row>
    <row r="1047" spans="12:21">
      <c r="L1047" s="15"/>
      <c r="M1047" s="15"/>
      <c r="N1047" s="15"/>
      <c r="T1047" s="15"/>
      <c r="U1047" s="15"/>
    </row>
    <row r="1048" spans="12:21">
      <c r="L1048" s="15"/>
      <c r="M1048" s="15"/>
      <c r="N1048" s="15"/>
      <c r="T1048" s="15"/>
      <c r="U1048" s="15"/>
    </row>
    <row r="1049" spans="12:21">
      <c r="L1049" s="15"/>
      <c r="M1049" s="15"/>
      <c r="N1049" s="15"/>
      <c r="T1049" s="15"/>
      <c r="U1049" s="15"/>
    </row>
    <row r="1050" spans="12:21">
      <c r="L1050" s="15"/>
      <c r="M1050" s="15"/>
      <c r="N1050" s="15"/>
      <c r="T1050" s="15"/>
      <c r="U1050" s="15"/>
    </row>
    <row r="1051" spans="12:21">
      <c r="L1051" s="15"/>
      <c r="M1051" s="15"/>
      <c r="N1051" s="15"/>
      <c r="T1051" s="15"/>
      <c r="U1051" s="15"/>
    </row>
    <row r="1052" spans="12:21">
      <c r="L1052" s="15"/>
      <c r="M1052" s="15"/>
      <c r="N1052" s="15"/>
      <c r="T1052" s="15"/>
      <c r="U1052" s="15"/>
    </row>
    <row r="1053" spans="12:21">
      <c r="L1053" s="15"/>
      <c r="M1053" s="15"/>
      <c r="N1053" s="15"/>
      <c r="T1053" s="15"/>
      <c r="U1053" s="15"/>
    </row>
    <row r="1054" spans="12:21">
      <c r="L1054" s="15"/>
      <c r="M1054" s="15"/>
      <c r="N1054" s="15"/>
      <c r="T1054" s="15"/>
      <c r="U1054" s="15"/>
    </row>
    <row r="1055" spans="12:21">
      <c r="L1055" s="15"/>
      <c r="M1055" s="15"/>
      <c r="N1055" s="15"/>
      <c r="T1055" s="15"/>
      <c r="U1055" s="15"/>
    </row>
    <row r="1056" spans="12:21">
      <c r="L1056" s="15"/>
      <c r="M1056" s="15"/>
      <c r="N1056" s="15"/>
      <c r="T1056" s="15"/>
      <c r="U1056" s="15"/>
    </row>
    <row r="1057" spans="12:21">
      <c r="L1057" s="15"/>
      <c r="M1057" s="15"/>
      <c r="N1057" s="15"/>
      <c r="T1057" s="15"/>
      <c r="U1057" s="15"/>
    </row>
    <row r="1058" spans="12:21">
      <c r="L1058" s="15"/>
      <c r="M1058" s="15"/>
      <c r="N1058" s="15"/>
      <c r="T1058" s="15"/>
      <c r="U1058" s="15"/>
    </row>
    <row r="1059" spans="12:21">
      <c r="L1059" s="15"/>
      <c r="M1059" s="15"/>
      <c r="N1059" s="15"/>
      <c r="T1059" s="15"/>
      <c r="U1059" s="15"/>
    </row>
    <row r="1060" spans="12:21">
      <c r="L1060" s="15"/>
      <c r="M1060" s="15"/>
      <c r="N1060" s="15"/>
      <c r="T1060" s="15"/>
      <c r="U1060" s="15"/>
    </row>
    <row r="1061" spans="12:21">
      <c r="L1061" s="15"/>
      <c r="M1061" s="15"/>
      <c r="N1061" s="15"/>
      <c r="T1061" s="15"/>
      <c r="U1061" s="15"/>
    </row>
    <row r="1062" spans="12:21">
      <c r="L1062" s="15"/>
      <c r="M1062" s="15"/>
      <c r="N1062" s="15"/>
      <c r="T1062" s="15"/>
      <c r="U1062" s="15"/>
    </row>
    <row r="1063" spans="12:21">
      <c r="L1063" s="15"/>
      <c r="M1063" s="15"/>
      <c r="N1063" s="15"/>
      <c r="T1063" s="15"/>
      <c r="U1063" s="15"/>
    </row>
    <row r="1064" spans="12:21">
      <c r="L1064" s="15"/>
      <c r="M1064" s="15"/>
      <c r="N1064" s="15"/>
      <c r="T1064" s="15"/>
      <c r="U1064" s="15"/>
    </row>
    <row r="1065" spans="12:21">
      <c r="L1065" s="15"/>
      <c r="M1065" s="15"/>
      <c r="N1065" s="15"/>
      <c r="T1065" s="15"/>
      <c r="U1065" s="15"/>
    </row>
    <row r="1066" spans="12:21">
      <c r="L1066" s="15"/>
      <c r="M1066" s="15"/>
      <c r="N1066" s="15"/>
      <c r="T1066" s="15"/>
      <c r="U1066" s="15"/>
    </row>
    <row r="1067" spans="12:21">
      <c r="L1067" s="15"/>
      <c r="M1067" s="15"/>
      <c r="N1067" s="15"/>
      <c r="T1067" s="15"/>
      <c r="U1067" s="15"/>
    </row>
    <row r="1068" spans="12:21">
      <c r="L1068" s="15"/>
      <c r="M1068" s="15"/>
      <c r="N1068" s="15"/>
      <c r="T1068" s="15"/>
      <c r="U1068" s="15"/>
    </row>
    <row r="1069" spans="12:21">
      <c r="L1069" s="15"/>
      <c r="M1069" s="15"/>
      <c r="N1069" s="15"/>
      <c r="T1069" s="15"/>
      <c r="U1069" s="15"/>
    </row>
    <row r="1070" spans="12:21">
      <c r="L1070" s="15"/>
      <c r="M1070" s="15"/>
      <c r="N1070" s="15"/>
      <c r="T1070" s="15"/>
      <c r="U1070" s="15"/>
    </row>
    <row r="1071" spans="12:21">
      <c r="L1071" s="15"/>
      <c r="M1071" s="15"/>
      <c r="N1071" s="15"/>
      <c r="T1071" s="15"/>
      <c r="U1071" s="15"/>
    </row>
    <row r="1072" spans="12:21">
      <c r="L1072" s="15"/>
      <c r="M1072" s="15"/>
      <c r="N1072" s="15"/>
      <c r="T1072" s="15"/>
      <c r="U1072" s="15"/>
    </row>
    <row r="1073" spans="12:21">
      <c r="L1073" s="15"/>
      <c r="M1073" s="15"/>
      <c r="N1073" s="15"/>
      <c r="T1073" s="15"/>
      <c r="U1073" s="15"/>
    </row>
    <row r="1074" spans="12:21">
      <c r="L1074" s="15"/>
      <c r="M1074" s="15"/>
      <c r="N1074" s="15"/>
      <c r="T1074" s="15"/>
      <c r="U1074" s="15"/>
    </row>
    <row r="1075" spans="12:21">
      <c r="L1075" s="15"/>
      <c r="M1075" s="15"/>
      <c r="N1075" s="15"/>
      <c r="T1075" s="15"/>
      <c r="U1075" s="15"/>
    </row>
    <row r="1076" spans="12:21">
      <c r="L1076" s="15"/>
      <c r="M1076" s="15"/>
      <c r="N1076" s="15"/>
      <c r="T1076" s="15"/>
      <c r="U1076" s="15"/>
    </row>
    <row r="1077" spans="12:21">
      <c r="L1077" s="15"/>
      <c r="M1077" s="15"/>
      <c r="N1077" s="15"/>
      <c r="T1077" s="15"/>
      <c r="U1077" s="15"/>
    </row>
    <row r="1078" spans="12:21">
      <c r="L1078" s="15"/>
      <c r="M1078" s="15"/>
      <c r="N1078" s="15"/>
      <c r="T1078" s="15"/>
      <c r="U1078" s="15"/>
    </row>
    <row r="1079" spans="12:21">
      <c r="L1079" s="15"/>
      <c r="M1079" s="15"/>
      <c r="N1079" s="15"/>
      <c r="T1079" s="15"/>
      <c r="U1079" s="15"/>
    </row>
    <row r="1080" spans="12:21">
      <c r="L1080" s="15"/>
      <c r="M1080" s="15"/>
      <c r="N1080" s="15"/>
      <c r="T1080" s="15"/>
      <c r="U1080" s="15"/>
    </row>
    <row r="1081" spans="12:21">
      <c r="L1081" s="15"/>
      <c r="M1081" s="15"/>
      <c r="N1081" s="15"/>
      <c r="T1081" s="15"/>
      <c r="U1081" s="15"/>
    </row>
    <row r="1082" spans="12:21">
      <c r="L1082" s="15"/>
      <c r="M1082" s="15"/>
      <c r="N1082" s="15"/>
      <c r="T1082" s="15"/>
      <c r="U1082" s="15"/>
    </row>
    <row r="1083" spans="12:21">
      <c r="L1083" s="15"/>
      <c r="M1083" s="15"/>
      <c r="N1083" s="15"/>
      <c r="T1083" s="15"/>
      <c r="U1083" s="15"/>
    </row>
    <row r="1084" spans="12:21">
      <c r="L1084" s="15"/>
      <c r="M1084" s="15"/>
      <c r="N1084" s="15"/>
      <c r="T1084" s="15"/>
      <c r="U1084" s="15"/>
    </row>
    <row r="1085" spans="12:21">
      <c r="L1085" s="15"/>
      <c r="M1085" s="15"/>
      <c r="N1085" s="15"/>
      <c r="T1085" s="15"/>
      <c r="U1085" s="15"/>
    </row>
    <row r="1086" spans="12:21">
      <c r="L1086" s="15"/>
      <c r="M1086" s="15"/>
      <c r="N1086" s="15"/>
      <c r="T1086" s="15"/>
      <c r="U1086" s="15"/>
    </row>
    <row r="1087" spans="12:21">
      <c r="L1087" s="15"/>
      <c r="M1087" s="15"/>
      <c r="N1087" s="15"/>
      <c r="T1087" s="15"/>
      <c r="U1087" s="15"/>
    </row>
    <row r="1088" spans="12:21">
      <c r="L1088" s="15"/>
      <c r="M1088" s="15"/>
      <c r="N1088" s="15"/>
      <c r="T1088" s="15"/>
      <c r="U1088" s="15"/>
    </row>
    <row r="1089" spans="12:21">
      <c r="L1089" s="15"/>
      <c r="M1089" s="15"/>
      <c r="N1089" s="15"/>
      <c r="T1089" s="15"/>
      <c r="U1089" s="15"/>
    </row>
    <row r="1090" spans="12:21">
      <c r="L1090" s="15"/>
      <c r="M1090" s="15"/>
      <c r="N1090" s="15"/>
      <c r="T1090" s="15"/>
      <c r="U1090" s="15"/>
    </row>
    <row r="1091" spans="12:21">
      <c r="L1091" s="15"/>
      <c r="M1091" s="15"/>
      <c r="N1091" s="15"/>
      <c r="T1091" s="15"/>
      <c r="U1091" s="15"/>
    </row>
    <row r="1092" spans="12:21">
      <c r="L1092" s="15"/>
      <c r="M1092" s="15"/>
      <c r="N1092" s="15"/>
      <c r="T1092" s="15"/>
      <c r="U1092" s="15"/>
    </row>
    <row r="1093" spans="12:21">
      <c r="L1093" s="15"/>
      <c r="M1093" s="15"/>
      <c r="N1093" s="15"/>
      <c r="T1093" s="15"/>
      <c r="U1093" s="15"/>
    </row>
    <row r="1094" spans="12:21">
      <c r="L1094" s="15"/>
      <c r="M1094" s="15"/>
      <c r="N1094" s="15"/>
      <c r="T1094" s="15"/>
      <c r="U1094" s="15"/>
    </row>
    <row r="1095" spans="12:21">
      <c r="L1095" s="15"/>
      <c r="M1095" s="15"/>
      <c r="N1095" s="15"/>
      <c r="T1095" s="15"/>
      <c r="U1095" s="15"/>
    </row>
    <row r="1096" spans="12:21">
      <c r="L1096" s="15"/>
      <c r="M1096" s="15"/>
      <c r="N1096" s="15"/>
      <c r="T1096" s="15"/>
      <c r="U1096" s="15"/>
    </row>
    <row r="1097" spans="12:21">
      <c r="L1097" s="15"/>
      <c r="M1097" s="15"/>
      <c r="N1097" s="15"/>
      <c r="T1097" s="15"/>
      <c r="U1097" s="15"/>
    </row>
    <row r="1098" spans="12:21">
      <c r="L1098" s="15"/>
      <c r="M1098" s="15"/>
      <c r="N1098" s="15"/>
      <c r="T1098" s="15"/>
      <c r="U1098" s="15"/>
    </row>
    <row r="1099" spans="12:21">
      <c r="L1099" s="15"/>
      <c r="M1099" s="15"/>
      <c r="N1099" s="15"/>
      <c r="T1099" s="15"/>
      <c r="U1099" s="15"/>
    </row>
    <row r="1100" spans="12:21">
      <c r="L1100" s="15"/>
      <c r="M1100" s="15"/>
      <c r="N1100" s="15"/>
      <c r="T1100" s="15"/>
      <c r="U1100" s="15"/>
    </row>
    <row r="1101" spans="12:21">
      <c r="L1101" s="15"/>
      <c r="M1101" s="15"/>
      <c r="N1101" s="15"/>
      <c r="T1101" s="15"/>
      <c r="U1101" s="15"/>
    </row>
    <row r="1102" spans="12:21">
      <c r="L1102" s="15"/>
      <c r="M1102" s="15"/>
      <c r="N1102" s="15"/>
      <c r="T1102" s="15"/>
      <c r="U1102" s="15"/>
    </row>
    <row r="1103" spans="12:21">
      <c r="L1103" s="15"/>
      <c r="M1103" s="15"/>
      <c r="N1103" s="15"/>
      <c r="T1103" s="15"/>
      <c r="U1103" s="15"/>
    </row>
    <row r="1104" spans="12:21">
      <c r="L1104" s="15"/>
      <c r="M1104" s="15"/>
      <c r="N1104" s="15"/>
      <c r="T1104" s="15"/>
      <c r="U1104" s="15"/>
    </row>
    <row r="1105" spans="12:21">
      <c r="L1105" s="15"/>
      <c r="M1105" s="15"/>
      <c r="N1105" s="15"/>
      <c r="T1105" s="15"/>
      <c r="U1105" s="15"/>
    </row>
    <row r="1106" spans="12:21">
      <c r="L1106" s="15"/>
      <c r="M1106" s="15"/>
      <c r="N1106" s="15"/>
      <c r="T1106" s="15"/>
      <c r="U1106" s="15"/>
    </row>
    <row r="1107" spans="12:21">
      <c r="L1107" s="15"/>
      <c r="M1107" s="15"/>
      <c r="N1107" s="15"/>
      <c r="T1107" s="15"/>
      <c r="U1107" s="15"/>
    </row>
    <row r="1108" spans="12:21">
      <c r="L1108" s="15"/>
      <c r="M1108" s="15"/>
      <c r="N1108" s="15"/>
      <c r="T1108" s="15"/>
      <c r="U1108" s="15"/>
    </row>
    <row r="1109" spans="12:21">
      <c r="L1109" s="15"/>
      <c r="M1109" s="15"/>
      <c r="N1109" s="15"/>
      <c r="T1109" s="15"/>
      <c r="U1109" s="15"/>
    </row>
    <row r="1110" spans="12:21">
      <c r="L1110" s="15"/>
      <c r="M1110" s="15"/>
      <c r="N1110" s="15"/>
      <c r="T1110" s="15"/>
      <c r="U1110" s="15"/>
    </row>
    <row r="1111" spans="12:21">
      <c r="L1111" s="15"/>
      <c r="M1111" s="15"/>
      <c r="N1111" s="15"/>
      <c r="T1111" s="15"/>
      <c r="U1111" s="15"/>
    </row>
    <row r="1112" spans="12:21">
      <c r="L1112" s="15"/>
      <c r="M1112" s="15"/>
      <c r="N1112" s="15"/>
      <c r="T1112" s="15"/>
      <c r="U1112" s="15"/>
    </row>
    <row r="1113" spans="12:21">
      <c r="L1113" s="15"/>
      <c r="M1113" s="15"/>
      <c r="N1113" s="15"/>
      <c r="T1113" s="15"/>
      <c r="U1113" s="15"/>
    </row>
    <row r="1114" spans="12:21">
      <c r="L1114" s="15"/>
      <c r="M1114" s="15"/>
      <c r="N1114" s="15"/>
      <c r="T1114" s="15"/>
      <c r="U1114" s="15"/>
    </row>
    <row r="1115" spans="12:21">
      <c r="L1115" s="15"/>
      <c r="M1115" s="15"/>
      <c r="N1115" s="15"/>
      <c r="T1115" s="15"/>
      <c r="U1115" s="15"/>
    </row>
    <row r="1116" spans="12:21">
      <c r="L1116" s="15"/>
      <c r="M1116" s="15"/>
      <c r="N1116" s="15"/>
      <c r="T1116" s="15"/>
      <c r="U1116" s="15"/>
    </row>
    <row r="1117" spans="12:21">
      <c r="L1117" s="15"/>
      <c r="M1117" s="15"/>
      <c r="N1117" s="15"/>
      <c r="T1117" s="15"/>
      <c r="U1117" s="15"/>
    </row>
    <row r="1118" spans="12:21">
      <c r="L1118" s="15"/>
      <c r="M1118" s="15"/>
      <c r="N1118" s="15"/>
      <c r="T1118" s="15"/>
      <c r="U1118" s="15"/>
    </row>
    <row r="1119" spans="12:21">
      <c r="L1119" s="15"/>
      <c r="M1119" s="15"/>
      <c r="N1119" s="15"/>
      <c r="T1119" s="15"/>
      <c r="U1119" s="15"/>
    </row>
    <row r="1120" spans="12:21">
      <c r="L1120" s="15"/>
      <c r="M1120" s="15"/>
      <c r="N1120" s="15"/>
      <c r="T1120" s="15"/>
      <c r="U1120" s="15"/>
    </row>
    <row r="1121" spans="12:21">
      <c r="L1121" s="15"/>
      <c r="M1121" s="15"/>
      <c r="N1121" s="15"/>
      <c r="T1121" s="15"/>
      <c r="U1121" s="15"/>
    </row>
    <row r="1122" spans="12:21">
      <c r="L1122" s="15"/>
      <c r="M1122" s="15"/>
      <c r="N1122" s="15"/>
      <c r="T1122" s="15"/>
      <c r="U1122" s="15"/>
    </row>
    <row r="1123" spans="12:21">
      <c r="L1123" s="15"/>
      <c r="M1123" s="15"/>
      <c r="N1123" s="15"/>
      <c r="T1123" s="15"/>
      <c r="U1123" s="15"/>
    </row>
    <row r="1124" spans="12:21">
      <c r="L1124" s="15"/>
      <c r="M1124" s="15"/>
      <c r="N1124" s="15"/>
      <c r="T1124" s="15"/>
      <c r="U1124" s="15"/>
    </row>
    <row r="1125" spans="12:21">
      <c r="L1125" s="15"/>
      <c r="M1125" s="15"/>
      <c r="N1125" s="15"/>
      <c r="T1125" s="15"/>
      <c r="U1125" s="15"/>
    </row>
    <row r="1126" spans="12:21">
      <c r="L1126" s="15"/>
      <c r="M1126" s="15"/>
      <c r="N1126" s="15"/>
      <c r="T1126" s="15"/>
      <c r="U1126" s="15"/>
    </row>
    <row r="1127" spans="12:21">
      <c r="L1127" s="15"/>
      <c r="M1127" s="15"/>
      <c r="N1127" s="15"/>
      <c r="T1127" s="15"/>
      <c r="U1127" s="15"/>
    </row>
    <row r="1128" spans="12:21">
      <c r="L1128" s="15"/>
      <c r="M1128" s="15"/>
      <c r="N1128" s="15"/>
      <c r="T1128" s="15"/>
      <c r="U1128" s="15"/>
    </row>
    <row r="1129" spans="12:21">
      <c r="L1129" s="15"/>
      <c r="M1129" s="15"/>
      <c r="N1129" s="15"/>
      <c r="T1129" s="15"/>
      <c r="U1129" s="15"/>
    </row>
    <row r="1130" spans="12:21">
      <c r="L1130" s="15"/>
      <c r="M1130" s="15"/>
      <c r="N1130" s="15"/>
      <c r="T1130" s="15"/>
      <c r="U1130" s="15"/>
    </row>
    <row r="1131" spans="12:21">
      <c r="L1131" s="15"/>
      <c r="M1131" s="15"/>
      <c r="N1131" s="15"/>
      <c r="T1131" s="15"/>
      <c r="U1131" s="15"/>
    </row>
    <row r="1132" spans="12:21">
      <c r="L1132" s="15"/>
      <c r="M1132" s="15"/>
      <c r="N1132" s="15"/>
      <c r="T1132" s="15"/>
      <c r="U1132" s="15"/>
    </row>
    <row r="1133" spans="12:21">
      <c r="L1133" s="15"/>
      <c r="M1133" s="15"/>
      <c r="N1133" s="15"/>
      <c r="T1133" s="15"/>
      <c r="U1133" s="15"/>
    </row>
    <row r="1134" spans="12:21">
      <c r="L1134" s="15"/>
      <c r="M1134" s="15"/>
      <c r="N1134" s="15"/>
      <c r="T1134" s="15"/>
      <c r="U1134" s="15"/>
    </row>
    <row r="1135" spans="12:21">
      <c r="L1135" s="15"/>
      <c r="M1135" s="15"/>
      <c r="N1135" s="15"/>
      <c r="T1135" s="15"/>
      <c r="U1135" s="15"/>
    </row>
    <row r="1136" spans="12:21">
      <c r="L1136" s="15"/>
      <c r="M1136" s="15"/>
      <c r="N1136" s="15"/>
      <c r="T1136" s="15"/>
      <c r="U1136" s="15"/>
    </row>
    <row r="1137" spans="12:21">
      <c r="L1137" s="15"/>
      <c r="M1137" s="15"/>
      <c r="N1137" s="15"/>
      <c r="T1137" s="15"/>
      <c r="U1137" s="15"/>
    </row>
    <row r="1138" spans="12:21">
      <c r="L1138" s="15"/>
      <c r="M1138" s="15"/>
      <c r="N1138" s="15"/>
      <c r="T1138" s="15"/>
      <c r="U1138" s="15"/>
    </row>
    <row r="1139" spans="12:21">
      <c r="L1139" s="15"/>
      <c r="M1139" s="15"/>
      <c r="N1139" s="15"/>
      <c r="T1139" s="15"/>
      <c r="U1139" s="15"/>
    </row>
    <row r="1140" spans="12:21">
      <c r="L1140" s="15"/>
      <c r="M1140" s="15"/>
      <c r="N1140" s="15"/>
      <c r="T1140" s="15"/>
      <c r="U1140" s="15"/>
    </row>
    <row r="1141" spans="12:21">
      <c r="L1141" s="15"/>
      <c r="M1141" s="15"/>
      <c r="N1141" s="15"/>
      <c r="T1141" s="15"/>
      <c r="U1141" s="15"/>
    </row>
    <row r="1142" spans="12:21">
      <c r="L1142" s="15"/>
      <c r="M1142" s="15"/>
      <c r="N1142" s="15"/>
      <c r="T1142" s="15"/>
      <c r="U1142" s="15"/>
    </row>
    <row r="1143" spans="12:21">
      <c r="L1143" s="15"/>
      <c r="M1143" s="15"/>
      <c r="N1143" s="15"/>
      <c r="T1143" s="15"/>
      <c r="U1143" s="15"/>
    </row>
    <row r="1144" spans="12:21">
      <c r="L1144" s="15"/>
      <c r="M1144" s="15"/>
      <c r="N1144" s="15"/>
      <c r="T1144" s="15"/>
      <c r="U1144" s="15"/>
    </row>
    <row r="1145" spans="12:21">
      <c r="L1145" s="15"/>
      <c r="M1145" s="15"/>
      <c r="N1145" s="15"/>
      <c r="T1145" s="15"/>
      <c r="U1145" s="15"/>
    </row>
    <row r="1146" spans="12:21">
      <c r="L1146" s="15"/>
      <c r="M1146" s="15"/>
      <c r="N1146" s="15"/>
      <c r="T1146" s="15"/>
      <c r="U1146" s="15"/>
    </row>
    <row r="1147" spans="12:21">
      <c r="L1147" s="15"/>
      <c r="M1147" s="15"/>
      <c r="N1147" s="15"/>
      <c r="T1147" s="15"/>
      <c r="U1147" s="15"/>
    </row>
    <row r="1148" spans="12:21">
      <c r="L1148" s="15"/>
      <c r="M1148" s="15"/>
      <c r="N1148" s="15"/>
      <c r="T1148" s="15"/>
      <c r="U1148" s="15"/>
    </row>
    <row r="1149" spans="12:21">
      <c r="L1149" s="15"/>
      <c r="M1149" s="15"/>
      <c r="N1149" s="15"/>
      <c r="T1149" s="15"/>
      <c r="U1149" s="15"/>
    </row>
    <row r="1150" spans="12:21">
      <c r="L1150" s="15"/>
      <c r="M1150" s="15"/>
      <c r="N1150" s="15"/>
      <c r="T1150" s="15"/>
      <c r="U1150" s="15"/>
    </row>
    <row r="1151" spans="12:21">
      <c r="L1151" s="15"/>
      <c r="M1151" s="15"/>
      <c r="N1151" s="15"/>
      <c r="T1151" s="15"/>
      <c r="U1151" s="15"/>
    </row>
    <row r="1152" spans="12:21">
      <c r="L1152" s="15"/>
      <c r="M1152" s="15"/>
      <c r="N1152" s="15"/>
      <c r="T1152" s="15"/>
      <c r="U1152" s="15"/>
    </row>
    <row r="1153" spans="12:21">
      <c r="L1153" s="15"/>
      <c r="M1153" s="15"/>
      <c r="N1153" s="15"/>
      <c r="T1153" s="15"/>
      <c r="U1153" s="15"/>
    </row>
    <row r="1154" spans="12:21">
      <c r="L1154" s="15"/>
      <c r="M1154" s="15"/>
      <c r="N1154" s="15"/>
      <c r="T1154" s="15"/>
      <c r="U1154" s="15"/>
    </row>
    <row r="1155" spans="12:21">
      <c r="L1155" s="15"/>
      <c r="M1155" s="15"/>
      <c r="N1155" s="15"/>
      <c r="T1155" s="15"/>
      <c r="U1155" s="15"/>
    </row>
    <row r="1156" spans="12:21">
      <c r="L1156" s="15"/>
      <c r="M1156" s="15"/>
      <c r="N1156" s="15"/>
      <c r="T1156" s="15"/>
      <c r="U1156" s="15"/>
    </row>
    <row r="1157" spans="12:21">
      <c r="L1157" s="15"/>
      <c r="M1157" s="15"/>
      <c r="N1157" s="15"/>
      <c r="T1157" s="15"/>
      <c r="U1157" s="15"/>
    </row>
    <row r="1158" spans="12:21">
      <c r="L1158" s="15"/>
      <c r="M1158" s="15"/>
      <c r="N1158" s="15"/>
      <c r="T1158" s="15"/>
      <c r="U1158" s="15"/>
    </row>
    <row r="1159" spans="12:21">
      <c r="L1159" s="15"/>
      <c r="M1159" s="15"/>
      <c r="N1159" s="15"/>
      <c r="T1159" s="15"/>
      <c r="U1159" s="15"/>
    </row>
    <row r="1160" spans="12:21">
      <c r="L1160" s="15"/>
      <c r="M1160" s="15"/>
      <c r="N1160" s="15"/>
      <c r="T1160" s="15"/>
      <c r="U1160" s="15"/>
    </row>
    <row r="1161" spans="12:21">
      <c r="L1161" s="15"/>
      <c r="M1161" s="15"/>
      <c r="N1161" s="15"/>
      <c r="T1161" s="15"/>
      <c r="U1161" s="15"/>
    </row>
    <row r="1162" spans="12:21">
      <c r="L1162" s="15"/>
      <c r="M1162" s="15"/>
      <c r="N1162" s="15"/>
      <c r="T1162" s="15"/>
      <c r="U1162" s="15"/>
    </row>
    <row r="1163" spans="12:21">
      <c r="L1163" s="15"/>
      <c r="M1163" s="15"/>
      <c r="N1163" s="15"/>
      <c r="T1163" s="15"/>
      <c r="U1163" s="15"/>
    </row>
    <row r="1164" spans="12:21">
      <c r="L1164" s="15"/>
      <c r="M1164" s="15"/>
      <c r="N1164" s="15"/>
      <c r="T1164" s="15"/>
      <c r="U1164" s="15"/>
    </row>
    <row r="1165" spans="12:21">
      <c r="L1165" s="15"/>
      <c r="M1165" s="15"/>
      <c r="N1165" s="15"/>
      <c r="T1165" s="15"/>
      <c r="U1165" s="15"/>
    </row>
    <row r="1166" spans="12:21">
      <c r="L1166" s="15"/>
      <c r="M1166" s="15"/>
      <c r="N1166" s="15"/>
      <c r="T1166" s="15"/>
      <c r="U1166" s="15"/>
    </row>
    <row r="1167" spans="12:21">
      <c r="L1167" s="15"/>
      <c r="M1167" s="15"/>
      <c r="N1167" s="15"/>
      <c r="T1167" s="15"/>
      <c r="U1167" s="15"/>
    </row>
    <row r="1168" spans="12:21">
      <c r="L1168" s="15"/>
      <c r="M1168" s="15"/>
      <c r="N1168" s="15"/>
      <c r="T1168" s="15"/>
      <c r="U1168" s="15"/>
    </row>
    <row r="1169" spans="12:21">
      <c r="L1169" s="15"/>
      <c r="M1169" s="15"/>
      <c r="N1169" s="15"/>
      <c r="T1169" s="15"/>
      <c r="U1169" s="15"/>
    </row>
    <row r="1170" spans="12:21">
      <c r="L1170" s="15"/>
      <c r="M1170" s="15"/>
      <c r="N1170" s="15"/>
      <c r="T1170" s="15"/>
      <c r="U1170" s="15"/>
    </row>
    <row r="1171" spans="12:21">
      <c r="L1171" s="15"/>
      <c r="M1171" s="15"/>
      <c r="N1171" s="15"/>
      <c r="T1171" s="15"/>
      <c r="U1171" s="15"/>
    </row>
    <row r="1172" spans="12:21">
      <c r="L1172" s="15"/>
      <c r="M1172" s="15"/>
      <c r="N1172" s="15"/>
      <c r="T1172" s="15"/>
      <c r="U1172" s="15"/>
    </row>
    <row r="1173" spans="12:21">
      <c r="L1173" s="15"/>
      <c r="M1173" s="15"/>
      <c r="N1173" s="15"/>
      <c r="T1173" s="15"/>
      <c r="U1173" s="15"/>
    </row>
    <row r="1174" spans="12:21">
      <c r="L1174" s="15"/>
      <c r="M1174" s="15"/>
      <c r="N1174" s="15"/>
      <c r="T1174" s="15"/>
      <c r="U1174" s="15"/>
    </row>
    <row r="1175" spans="12:21">
      <c r="L1175" s="15"/>
      <c r="M1175" s="15"/>
      <c r="N1175" s="15"/>
      <c r="T1175" s="15"/>
      <c r="U1175" s="15"/>
    </row>
    <row r="1176" spans="12:21">
      <c r="L1176" s="15"/>
      <c r="M1176" s="15"/>
      <c r="N1176" s="15"/>
      <c r="T1176" s="15"/>
      <c r="U1176" s="15"/>
    </row>
    <row r="1177" spans="12:21">
      <c r="L1177" s="15"/>
      <c r="M1177" s="15"/>
      <c r="N1177" s="15"/>
      <c r="T1177" s="15"/>
      <c r="U1177" s="15"/>
    </row>
    <row r="1178" spans="12:21">
      <c r="L1178" s="15"/>
      <c r="M1178" s="15"/>
      <c r="N1178" s="15"/>
      <c r="T1178" s="15"/>
      <c r="U1178" s="15"/>
    </row>
    <row r="1179" spans="12:21">
      <c r="L1179" s="15"/>
      <c r="M1179" s="15"/>
      <c r="N1179" s="15"/>
      <c r="T1179" s="15"/>
      <c r="U1179" s="15"/>
    </row>
    <row r="1180" spans="12:21">
      <c r="L1180" s="15"/>
      <c r="M1180" s="15"/>
      <c r="N1180" s="15"/>
      <c r="T1180" s="15"/>
      <c r="U1180" s="15"/>
    </row>
    <row r="1181" spans="12:21">
      <c r="L1181" s="15"/>
      <c r="M1181" s="15"/>
      <c r="N1181" s="15"/>
      <c r="T1181" s="15"/>
      <c r="U1181" s="15"/>
    </row>
    <row r="1182" spans="12:21">
      <c r="L1182" s="15"/>
      <c r="M1182" s="15"/>
      <c r="N1182" s="15"/>
      <c r="T1182" s="15"/>
      <c r="U1182" s="15"/>
    </row>
    <row r="1183" spans="12:21">
      <c r="L1183" s="15"/>
      <c r="M1183" s="15"/>
      <c r="N1183" s="15"/>
      <c r="T1183" s="15"/>
      <c r="U1183" s="15"/>
    </row>
    <row r="1184" spans="12:21">
      <c r="L1184" s="15"/>
      <c r="M1184" s="15"/>
      <c r="N1184" s="15"/>
      <c r="T1184" s="15"/>
      <c r="U1184" s="15"/>
    </row>
    <row r="1185" spans="12:21">
      <c r="L1185" s="15"/>
      <c r="M1185" s="15"/>
      <c r="N1185" s="15"/>
      <c r="T1185" s="15"/>
      <c r="U1185" s="15"/>
    </row>
    <row r="1186" spans="12:21">
      <c r="L1186" s="15"/>
      <c r="M1186" s="15"/>
      <c r="N1186" s="15"/>
      <c r="T1186" s="15"/>
      <c r="U1186" s="15"/>
    </row>
    <row r="1187" spans="12:21">
      <c r="L1187" s="15"/>
      <c r="M1187" s="15"/>
      <c r="N1187" s="15"/>
      <c r="T1187" s="15"/>
      <c r="U1187" s="15"/>
    </row>
    <row r="1188" spans="12:21">
      <c r="L1188" s="15"/>
      <c r="M1188" s="15"/>
      <c r="N1188" s="15"/>
      <c r="T1188" s="15"/>
      <c r="U1188" s="15"/>
    </row>
    <row r="1189" spans="12:21">
      <c r="L1189" s="15"/>
      <c r="M1189" s="15"/>
      <c r="N1189" s="15"/>
      <c r="T1189" s="15"/>
      <c r="U1189" s="15"/>
    </row>
    <row r="1190" spans="12:21">
      <c r="L1190" s="15"/>
      <c r="M1190" s="15"/>
      <c r="N1190" s="15"/>
      <c r="T1190" s="15"/>
      <c r="U1190" s="15"/>
    </row>
    <row r="1191" spans="12:21">
      <c r="L1191" s="15"/>
      <c r="M1191" s="15"/>
      <c r="N1191" s="15"/>
      <c r="T1191" s="15"/>
      <c r="U1191" s="15"/>
    </row>
    <row r="1192" spans="12:21">
      <c r="L1192" s="15"/>
      <c r="M1192" s="15"/>
      <c r="N1192" s="15"/>
      <c r="T1192" s="15"/>
      <c r="U1192" s="15"/>
    </row>
    <row r="1193" spans="12:21">
      <c r="L1193" s="15"/>
      <c r="M1193" s="15"/>
      <c r="N1193" s="15"/>
      <c r="T1193" s="15"/>
      <c r="U1193" s="15"/>
    </row>
    <row r="1194" spans="12:21">
      <c r="L1194" s="15"/>
      <c r="M1194" s="15"/>
      <c r="N1194" s="15"/>
      <c r="T1194" s="15"/>
      <c r="U1194" s="15"/>
    </row>
    <row r="1195" spans="12:21">
      <c r="L1195" s="15"/>
      <c r="M1195" s="15"/>
      <c r="N1195" s="15"/>
      <c r="T1195" s="15"/>
      <c r="U1195" s="15"/>
    </row>
    <row r="1196" spans="12:21">
      <c r="L1196" s="15"/>
      <c r="M1196" s="15"/>
      <c r="N1196" s="15"/>
      <c r="T1196" s="15"/>
      <c r="U1196" s="15"/>
    </row>
    <row r="1197" spans="12:21">
      <c r="L1197" s="15"/>
      <c r="M1197" s="15"/>
      <c r="N1197" s="15"/>
      <c r="T1197" s="15"/>
      <c r="U1197" s="15"/>
    </row>
    <row r="1198" spans="12:21">
      <c r="L1198" s="15"/>
      <c r="M1198" s="15"/>
      <c r="N1198" s="15"/>
      <c r="T1198" s="15"/>
      <c r="U1198" s="15"/>
    </row>
    <row r="1199" spans="12:21">
      <c r="L1199" s="15"/>
      <c r="M1199" s="15"/>
      <c r="N1199" s="15"/>
      <c r="T1199" s="15"/>
      <c r="U1199" s="15"/>
    </row>
    <row r="1200" spans="12:21">
      <c r="L1200" s="15"/>
      <c r="M1200" s="15"/>
      <c r="N1200" s="15"/>
      <c r="T1200" s="15"/>
      <c r="U1200" s="15"/>
    </row>
    <row r="1201" spans="12:21">
      <c r="L1201" s="15"/>
      <c r="M1201" s="15"/>
      <c r="N1201" s="15"/>
      <c r="T1201" s="15"/>
      <c r="U1201" s="15"/>
    </row>
    <row r="1202" spans="12:21">
      <c r="L1202" s="15"/>
      <c r="M1202" s="15"/>
      <c r="N1202" s="15"/>
      <c r="T1202" s="15"/>
      <c r="U1202" s="15"/>
    </row>
    <row r="1203" spans="12:21">
      <c r="L1203" s="15"/>
      <c r="M1203" s="15"/>
      <c r="N1203" s="15"/>
      <c r="T1203" s="15"/>
      <c r="U1203" s="15"/>
    </row>
    <row r="1204" spans="12:21">
      <c r="L1204" s="15"/>
      <c r="M1204" s="15"/>
      <c r="N1204" s="15"/>
      <c r="T1204" s="15"/>
      <c r="U1204" s="15"/>
    </row>
    <row r="1205" spans="12:21">
      <c r="L1205" s="15"/>
      <c r="M1205" s="15"/>
      <c r="N1205" s="15"/>
      <c r="T1205" s="15"/>
      <c r="U1205" s="15"/>
    </row>
    <row r="1206" spans="12:21">
      <c r="L1206" s="15"/>
      <c r="M1206" s="15"/>
      <c r="N1206" s="15"/>
      <c r="T1206" s="15"/>
      <c r="U1206" s="15"/>
    </row>
    <row r="1207" spans="12:21">
      <c r="L1207" s="15"/>
      <c r="M1207" s="15"/>
      <c r="N1207" s="15"/>
      <c r="T1207" s="15"/>
      <c r="U1207" s="15"/>
    </row>
    <row r="1208" spans="12:21">
      <c r="L1208" s="15"/>
      <c r="M1208" s="15"/>
      <c r="N1208" s="15"/>
      <c r="T1208" s="15"/>
      <c r="U1208" s="15"/>
    </row>
    <row r="1209" spans="12:21">
      <c r="L1209" s="15"/>
      <c r="M1209" s="15"/>
      <c r="N1209" s="15"/>
      <c r="T1209" s="15"/>
      <c r="U1209" s="15"/>
    </row>
    <row r="1210" spans="12:21">
      <c r="L1210" s="15"/>
      <c r="M1210" s="15"/>
      <c r="N1210" s="15"/>
      <c r="T1210" s="15"/>
      <c r="U1210" s="15"/>
    </row>
    <row r="1211" spans="12:21">
      <c r="L1211" s="15"/>
      <c r="M1211" s="15"/>
      <c r="N1211" s="15"/>
      <c r="T1211" s="15"/>
      <c r="U1211" s="15"/>
    </row>
    <row r="1212" spans="12:21">
      <c r="L1212" s="15"/>
      <c r="M1212" s="15"/>
      <c r="N1212" s="15"/>
      <c r="T1212" s="15"/>
      <c r="U1212" s="15"/>
    </row>
    <row r="1213" spans="12:21">
      <c r="L1213" s="15"/>
      <c r="M1213" s="15"/>
      <c r="N1213" s="15"/>
      <c r="T1213" s="15"/>
      <c r="U1213" s="15"/>
    </row>
    <row r="1214" spans="12:21">
      <c r="L1214" s="15"/>
      <c r="M1214" s="15"/>
      <c r="N1214" s="15"/>
      <c r="T1214" s="15"/>
      <c r="U1214" s="15"/>
    </row>
    <row r="1215" spans="12:21">
      <c r="L1215" s="15"/>
      <c r="M1215" s="15"/>
      <c r="N1215" s="15"/>
      <c r="T1215" s="15"/>
      <c r="U1215" s="15"/>
    </row>
    <row r="1216" spans="12:21">
      <c r="L1216" s="15"/>
      <c r="M1216" s="15"/>
      <c r="N1216" s="15"/>
      <c r="T1216" s="15"/>
      <c r="U1216" s="15"/>
    </row>
    <row r="1217" spans="12:21">
      <c r="L1217" s="15"/>
      <c r="M1217" s="15"/>
      <c r="N1217" s="15"/>
      <c r="T1217" s="15"/>
      <c r="U1217" s="15"/>
    </row>
    <row r="1218" spans="12:21">
      <c r="L1218" s="15"/>
      <c r="M1218" s="15"/>
      <c r="N1218" s="15"/>
      <c r="T1218" s="15"/>
      <c r="U1218" s="15"/>
    </row>
    <row r="1219" spans="12:21">
      <c r="L1219" s="15"/>
      <c r="M1219" s="15"/>
      <c r="N1219" s="15"/>
      <c r="T1219" s="15"/>
      <c r="U1219" s="15"/>
    </row>
    <row r="1220" spans="12:21">
      <c r="L1220" s="15"/>
      <c r="M1220" s="15"/>
      <c r="N1220" s="15"/>
      <c r="T1220" s="15"/>
      <c r="U1220" s="15"/>
    </row>
    <row r="1221" spans="12:21">
      <c r="L1221" s="15"/>
      <c r="M1221" s="15"/>
      <c r="N1221" s="15"/>
      <c r="T1221" s="15"/>
      <c r="U1221" s="15"/>
    </row>
    <row r="1222" spans="12:21">
      <c r="L1222" s="15"/>
      <c r="M1222" s="15"/>
      <c r="N1222" s="15"/>
      <c r="T1222" s="15"/>
      <c r="U1222" s="15"/>
    </row>
    <row r="1223" spans="12:21">
      <c r="L1223" s="15"/>
      <c r="M1223" s="15"/>
      <c r="N1223" s="15"/>
      <c r="T1223" s="15"/>
      <c r="U1223" s="15"/>
    </row>
    <row r="1224" spans="12:21">
      <c r="L1224" s="15"/>
      <c r="M1224" s="15"/>
      <c r="N1224" s="15"/>
      <c r="T1224" s="15"/>
      <c r="U1224" s="15"/>
    </row>
    <row r="1225" spans="12:21">
      <c r="L1225" s="15"/>
      <c r="M1225" s="15"/>
      <c r="N1225" s="15"/>
      <c r="T1225" s="15"/>
      <c r="U1225" s="15"/>
    </row>
    <row r="1226" spans="12:21">
      <c r="L1226" s="15"/>
      <c r="M1226" s="15"/>
      <c r="N1226" s="15"/>
      <c r="T1226" s="15"/>
      <c r="U1226" s="15"/>
    </row>
    <row r="1227" spans="12:21">
      <c r="L1227" s="15"/>
      <c r="M1227" s="15"/>
      <c r="N1227" s="15"/>
      <c r="T1227" s="15"/>
      <c r="U1227" s="15"/>
    </row>
    <row r="1228" spans="12:21">
      <c r="L1228" s="15"/>
      <c r="M1228" s="15"/>
      <c r="N1228" s="15"/>
      <c r="T1228" s="15"/>
      <c r="U1228" s="15"/>
    </row>
    <row r="1229" spans="12:21">
      <c r="L1229" s="15"/>
      <c r="M1229" s="15"/>
      <c r="N1229" s="15"/>
      <c r="T1229" s="15"/>
      <c r="U1229" s="15"/>
    </row>
    <row r="1230" spans="12:21">
      <c r="L1230" s="15"/>
      <c r="M1230" s="15"/>
      <c r="N1230" s="15"/>
      <c r="T1230" s="15"/>
      <c r="U1230" s="15"/>
    </row>
    <row r="1231" spans="12:21">
      <c r="L1231" s="15"/>
      <c r="M1231" s="15"/>
      <c r="N1231" s="15"/>
      <c r="T1231" s="15"/>
      <c r="U1231" s="15"/>
    </row>
    <row r="1232" spans="12:21">
      <c r="L1232" s="15"/>
      <c r="M1232" s="15"/>
      <c r="N1232" s="15"/>
      <c r="T1232" s="15"/>
      <c r="U1232" s="15"/>
    </row>
    <row r="1233" spans="12:21">
      <c r="L1233" s="15"/>
      <c r="M1233" s="15"/>
      <c r="N1233" s="15"/>
      <c r="T1233" s="15"/>
      <c r="U1233" s="15"/>
    </row>
    <row r="1234" spans="12:21">
      <c r="L1234" s="15"/>
      <c r="M1234" s="15"/>
      <c r="N1234" s="15"/>
      <c r="T1234" s="15"/>
      <c r="U1234" s="15"/>
    </row>
    <row r="1235" spans="12:21">
      <c r="L1235" s="15"/>
      <c r="M1235" s="15"/>
      <c r="N1235" s="15"/>
      <c r="T1235" s="15"/>
      <c r="U1235" s="15"/>
    </row>
    <row r="1236" spans="12:21">
      <c r="L1236" s="15"/>
      <c r="M1236" s="15"/>
      <c r="N1236" s="15"/>
      <c r="T1236" s="15"/>
      <c r="U1236" s="15"/>
    </row>
    <row r="1237" spans="12:21">
      <c r="L1237" s="15"/>
      <c r="M1237" s="15"/>
      <c r="N1237" s="15"/>
      <c r="T1237" s="15"/>
      <c r="U1237" s="15"/>
    </row>
    <row r="1238" spans="12:21">
      <c r="L1238" s="15"/>
      <c r="M1238" s="15"/>
      <c r="N1238" s="15"/>
      <c r="T1238" s="15"/>
      <c r="U1238" s="15"/>
    </row>
    <row r="1239" spans="12:21">
      <c r="L1239" s="15"/>
      <c r="M1239" s="15"/>
      <c r="N1239" s="15"/>
      <c r="T1239" s="15"/>
      <c r="U1239" s="15"/>
    </row>
    <row r="1240" spans="12:21">
      <c r="L1240" s="15"/>
      <c r="M1240" s="15"/>
      <c r="N1240" s="15"/>
      <c r="T1240" s="15"/>
      <c r="U1240" s="15"/>
    </row>
    <row r="1241" spans="12:21">
      <c r="L1241" s="15"/>
      <c r="M1241" s="15"/>
      <c r="N1241" s="15"/>
      <c r="T1241" s="15"/>
      <c r="U1241" s="15"/>
    </row>
    <row r="1242" spans="12:21">
      <c r="L1242" s="15"/>
      <c r="M1242" s="15"/>
      <c r="N1242" s="15"/>
      <c r="T1242" s="15"/>
      <c r="U1242" s="15"/>
    </row>
    <row r="1243" spans="12:21">
      <c r="L1243" s="15"/>
      <c r="M1243" s="15"/>
      <c r="N1243" s="15"/>
      <c r="T1243" s="15"/>
      <c r="U1243" s="15"/>
    </row>
    <row r="1244" spans="12:21">
      <c r="L1244" s="15"/>
      <c r="M1244" s="15"/>
      <c r="N1244" s="15"/>
      <c r="T1244" s="15"/>
      <c r="U1244" s="15"/>
    </row>
    <row r="1245" spans="12:21">
      <c r="L1245" s="15"/>
      <c r="M1245" s="15"/>
      <c r="N1245" s="15"/>
      <c r="T1245" s="15"/>
      <c r="U1245" s="15"/>
    </row>
    <row r="1246" spans="12:21">
      <c r="L1246" s="15"/>
      <c r="M1246" s="15"/>
      <c r="N1246" s="15"/>
      <c r="T1246" s="15"/>
      <c r="U1246" s="15"/>
    </row>
    <row r="1247" spans="12:21">
      <c r="L1247" s="15"/>
      <c r="M1247" s="15"/>
      <c r="N1247" s="15"/>
      <c r="T1247" s="15"/>
      <c r="U1247" s="15"/>
    </row>
    <row r="1248" spans="12:21">
      <c r="L1248" s="15"/>
      <c r="M1248" s="15"/>
      <c r="N1248" s="15"/>
      <c r="T1248" s="15"/>
      <c r="U1248" s="15"/>
    </row>
    <row r="1249" spans="12:21">
      <c r="L1249" s="15"/>
      <c r="M1249" s="15"/>
      <c r="N1249" s="15"/>
      <c r="T1249" s="15"/>
      <c r="U1249" s="15"/>
    </row>
    <row r="1250" spans="12:21">
      <c r="L1250" s="15"/>
      <c r="M1250" s="15"/>
      <c r="N1250" s="15"/>
      <c r="T1250" s="15"/>
      <c r="U1250" s="15"/>
    </row>
    <row r="1251" spans="12:21">
      <c r="L1251" s="15"/>
      <c r="M1251" s="15"/>
      <c r="N1251" s="15"/>
      <c r="T1251" s="15"/>
      <c r="U1251" s="15"/>
    </row>
    <row r="1252" spans="12:21">
      <c r="L1252" s="15"/>
      <c r="M1252" s="15"/>
      <c r="N1252" s="15"/>
      <c r="T1252" s="15"/>
      <c r="U1252" s="15"/>
    </row>
    <row r="1253" spans="12:21">
      <c r="L1253" s="15"/>
      <c r="M1253" s="15"/>
      <c r="N1253" s="15"/>
      <c r="T1253" s="15"/>
      <c r="U1253" s="15"/>
    </row>
    <row r="1254" spans="12:21">
      <c r="L1254" s="15"/>
      <c r="M1254" s="15"/>
      <c r="N1254" s="15"/>
      <c r="T1254" s="15"/>
      <c r="U1254" s="15"/>
    </row>
    <row r="1255" spans="12:21">
      <c r="L1255" s="15"/>
      <c r="M1255" s="15"/>
      <c r="N1255" s="15"/>
      <c r="T1255" s="15"/>
      <c r="U1255" s="15"/>
    </row>
    <row r="1256" spans="12:21">
      <c r="L1256" s="15"/>
      <c r="M1256" s="15"/>
      <c r="N1256" s="15"/>
      <c r="T1256" s="15"/>
      <c r="U1256" s="15"/>
    </row>
    <row r="1257" spans="12:21">
      <c r="L1257" s="15"/>
      <c r="M1257" s="15"/>
      <c r="N1257" s="15"/>
      <c r="T1257" s="15"/>
      <c r="U1257" s="15"/>
    </row>
    <row r="1258" spans="12:21">
      <c r="L1258" s="15"/>
      <c r="M1258" s="15"/>
      <c r="N1258" s="15"/>
      <c r="T1258" s="15"/>
      <c r="U1258" s="15"/>
    </row>
    <row r="1259" spans="12:21">
      <c r="L1259" s="15"/>
      <c r="M1259" s="15"/>
      <c r="N1259" s="15"/>
      <c r="T1259" s="15"/>
      <c r="U1259" s="15"/>
    </row>
    <row r="1260" spans="12:21">
      <c r="L1260" s="15"/>
      <c r="M1260" s="15"/>
      <c r="N1260" s="15"/>
      <c r="T1260" s="15"/>
      <c r="U1260" s="15"/>
    </row>
    <row r="1261" spans="12:21">
      <c r="L1261" s="15"/>
      <c r="M1261" s="15"/>
      <c r="N1261" s="15"/>
      <c r="T1261" s="15"/>
      <c r="U1261" s="15"/>
    </row>
    <row r="1262" spans="12:21">
      <c r="L1262" s="15"/>
      <c r="M1262" s="15"/>
      <c r="N1262" s="15"/>
      <c r="T1262" s="15"/>
      <c r="U1262" s="15"/>
    </row>
    <row r="1263" spans="12:21">
      <c r="L1263" s="15"/>
      <c r="M1263" s="15"/>
      <c r="N1263" s="15"/>
      <c r="T1263" s="15"/>
      <c r="U1263" s="15"/>
    </row>
    <row r="1264" spans="12:21">
      <c r="L1264" s="15"/>
      <c r="M1264" s="15"/>
      <c r="N1264" s="15"/>
      <c r="T1264" s="15"/>
      <c r="U1264" s="15"/>
    </row>
    <row r="1265" spans="12:21">
      <c r="L1265" s="15"/>
      <c r="M1265" s="15"/>
      <c r="N1265" s="15"/>
      <c r="T1265" s="15"/>
      <c r="U1265" s="15"/>
    </row>
    <row r="1266" spans="12:21">
      <c r="L1266" s="15"/>
      <c r="M1266" s="15"/>
      <c r="N1266" s="15"/>
      <c r="T1266" s="15"/>
      <c r="U1266" s="15"/>
    </row>
    <row r="1267" spans="12:21">
      <c r="L1267" s="15"/>
      <c r="M1267" s="15"/>
      <c r="N1267" s="15"/>
      <c r="T1267" s="15"/>
      <c r="U1267" s="15"/>
    </row>
    <row r="1268" spans="12:21">
      <c r="L1268" s="15"/>
      <c r="M1268" s="15"/>
      <c r="N1268" s="15"/>
      <c r="T1268" s="15"/>
      <c r="U1268" s="15"/>
    </row>
    <row r="1269" spans="12:21">
      <c r="L1269" s="15"/>
      <c r="M1269" s="15"/>
      <c r="N1269" s="15"/>
      <c r="T1269" s="15"/>
      <c r="U1269" s="15"/>
    </row>
    <row r="1270" spans="12:21">
      <c r="L1270" s="15"/>
      <c r="M1270" s="15"/>
      <c r="N1270" s="15"/>
      <c r="T1270" s="15"/>
      <c r="U1270" s="15"/>
    </row>
    <row r="1271" spans="12:21">
      <c r="L1271" s="15"/>
      <c r="M1271" s="15"/>
      <c r="N1271" s="15"/>
      <c r="T1271" s="15"/>
      <c r="U1271" s="15"/>
    </row>
    <row r="1272" spans="12:21">
      <c r="L1272" s="15"/>
      <c r="M1272" s="15"/>
      <c r="N1272" s="15"/>
      <c r="T1272" s="15"/>
      <c r="U1272" s="15"/>
    </row>
    <row r="1273" spans="12:21">
      <c r="L1273" s="15"/>
      <c r="M1273" s="15"/>
      <c r="N1273" s="15"/>
      <c r="T1273" s="15"/>
      <c r="U1273" s="15"/>
    </row>
    <row r="1274" spans="12:21">
      <c r="L1274" s="15"/>
      <c r="M1274" s="15"/>
      <c r="N1274" s="15"/>
      <c r="T1274" s="15"/>
      <c r="U1274" s="15"/>
    </row>
    <row r="1275" spans="12:21">
      <c r="L1275" s="15"/>
      <c r="M1275" s="15"/>
      <c r="N1275" s="15"/>
      <c r="T1275" s="15"/>
      <c r="U1275" s="15"/>
    </row>
    <row r="1276" spans="12:21">
      <c r="L1276" s="15"/>
      <c r="M1276" s="15"/>
      <c r="N1276" s="15"/>
      <c r="T1276" s="15"/>
      <c r="U1276" s="15"/>
    </row>
    <row r="1277" spans="12:21">
      <c r="L1277" s="15"/>
      <c r="M1277" s="15"/>
      <c r="N1277" s="15"/>
      <c r="T1277" s="15"/>
      <c r="U1277" s="15"/>
    </row>
    <row r="1278" spans="12:21">
      <c r="L1278" s="15"/>
      <c r="M1278" s="15"/>
      <c r="N1278" s="15"/>
      <c r="T1278" s="15"/>
      <c r="U1278" s="15"/>
    </row>
    <row r="1279" spans="12:21">
      <c r="L1279" s="15"/>
      <c r="M1279" s="15"/>
      <c r="N1279" s="15"/>
      <c r="T1279" s="15"/>
      <c r="U1279" s="15"/>
    </row>
    <row r="1280" spans="12:21">
      <c r="L1280" s="15"/>
      <c r="M1280" s="15"/>
      <c r="N1280" s="15"/>
      <c r="T1280" s="15"/>
      <c r="U1280" s="15"/>
    </row>
    <row r="1281" spans="12:21">
      <c r="L1281" s="15"/>
      <c r="M1281" s="15"/>
      <c r="N1281" s="15"/>
      <c r="T1281" s="15"/>
      <c r="U1281" s="15"/>
    </row>
    <row r="1282" spans="12:21">
      <c r="L1282" s="15"/>
      <c r="M1282" s="15"/>
      <c r="N1282" s="15"/>
      <c r="T1282" s="15"/>
      <c r="U1282" s="15"/>
    </row>
    <row r="1283" spans="12:21">
      <c r="L1283" s="15"/>
      <c r="M1283" s="15"/>
      <c r="N1283" s="15"/>
      <c r="T1283" s="15"/>
      <c r="U1283" s="15"/>
    </row>
    <row r="1284" spans="12:21">
      <c r="L1284" s="15"/>
      <c r="M1284" s="15"/>
      <c r="N1284" s="15"/>
      <c r="T1284" s="15"/>
      <c r="U1284" s="15"/>
    </row>
    <row r="1285" spans="12:21">
      <c r="L1285" s="15"/>
      <c r="M1285" s="15"/>
      <c r="N1285" s="15"/>
      <c r="T1285" s="15"/>
      <c r="U1285" s="15"/>
    </row>
    <row r="1286" spans="12:21">
      <c r="L1286" s="15"/>
      <c r="M1286" s="15"/>
      <c r="N1286" s="15"/>
      <c r="T1286" s="15"/>
      <c r="U1286" s="15"/>
    </row>
    <row r="1287" spans="12:21">
      <c r="L1287" s="15"/>
      <c r="M1287" s="15"/>
      <c r="N1287" s="15"/>
      <c r="T1287" s="15"/>
      <c r="U1287" s="15"/>
    </row>
    <row r="1288" spans="12:21">
      <c r="L1288" s="15"/>
      <c r="M1288" s="15"/>
      <c r="N1288" s="15"/>
      <c r="T1288" s="15"/>
      <c r="U1288" s="15"/>
    </row>
    <row r="1289" spans="12:21">
      <c r="L1289" s="15"/>
      <c r="M1289" s="15"/>
      <c r="N1289" s="15"/>
      <c r="T1289" s="15"/>
      <c r="U1289" s="15"/>
    </row>
    <row r="1290" spans="12:21">
      <c r="L1290" s="15"/>
      <c r="M1290" s="15"/>
      <c r="N1290" s="15"/>
      <c r="T1290" s="15"/>
      <c r="U1290" s="15"/>
    </row>
    <row r="1291" spans="12:21">
      <c r="L1291" s="15"/>
      <c r="M1291" s="15"/>
      <c r="N1291" s="15"/>
      <c r="T1291" s="15"/>
      <c r="U1291" s="15"/>
    </row>
    <row r="1292" spans="12:21">
      <c r="L1292" s="15"/>
      <c r="M1292" s="15"/>
      <c r="N1292" s="15"/>
      <c r="T1292" s="15"/>
      <c r="U1292" s="15"/>
    </row>
    <row r="1293" spans="12:21">
      <c r="L1293" s="15"/>
      <c r="M1293" s="15"/>
      <c r="N1293" s="15"/>
      <c r="T1293" s="15"/>
      <c r="U1293" s="15"/>
    </row>
    <row r="1294" spans="12:21">
      <c r="L1294" s="15"/>
      <c r="M1294" s="15"/>
      <c r="N1294" s="15"/>
      <c r="T1294" s="15"/>
      <c r="U1294" s="15"/>
    </row>
    <row r="1295" spans="12:21">
      <c r="L1295" s="15"/>
      <c r="M1295" s="15"/>
      <c r="N1295" s="15"/>
      <c r="T1295" s="15"/>
      <c r="U1295" s="15"/>
    </row>
    <row r="1296" spans="12:21">
      <c r="L1296" s="15"/>
      <c r="M1296" s="15"/>
      <c r="N1296" s="15"/>
      <c r="T1296" s="15"/>
      <c r="U1296" s="15"/>
    </row>
    <row r="1297" spans="12:21">
      <c r="L1297" s="15"/>
      <c r="M1297" s="15"/>
      <c r="N1297" s="15"/>
      <c r="T1297" s="15"/>
      <c r="U1297" s="15"/>
    </row>
    <row r="1298" spans="12:21">
      <c r="L1298" s="15"/>
      <c r="M1298" s="15"/>
      <c r="N1298" s="15"/>
      <c r="T1298" s="15"/>
      <c r="U1298" s="15"/>
    </row>
    <row r="1299" spans="12:21">
      <c r="L1299" s="15"/>
      <c r="M1299" s="15"/>
      <c r="N1299" s="15"/>
      <c r="T1299" s="15"/>
      <c r="U1299" s="15"/>
    </row>
    <row r="1300" spans="12:21">
      <c r="L1300" s="15"/>
      <c r="M1300" s="15"/>
      <c r="N1300" s="15"/>
      <c r="T1300" s="15"/>
      <c r="U1300" s="15"/>
    </row>
    <row r="1301" spans="12:21">
      <c r="L1301" s="15"/>
      <c r="M1301" s="15"/>
      <c r="N1301" s="15"/>
      <c r="T1301" s="15"/>
      <c r="U1301" s="15"/>
    </row>
    <row r="1302" spans="12:21">
      <c r="L1302" s="15"/>
      <c r="M1302" s="15"/>
      <c r="N1302" s="15"/>
      <c r="T1302" s="15"/>
      <c r="U1302" s="15"/>
    </row>
    <row r="1303" spans="12:21">
      <c r="L1303" s="15"/>
      <c r="M1303" s="15"/>
      <c r="N1303" s="15"/>
      <c r="T1303" s="15"/>
      <c r="U1303" s="15"/>
    </row>
    <row r="1304" spans="12:21">
      <c r="L1304" s="15"/>
      <c r="M1304" s="15"/>
      <c r="N1304" s="15"/>
      <c r="T1304" s="15"/>
      <c r="U1304" s="15"/>
    </row>
    <row r="1305" spans="12:21">
      <c r="L1305" s="15"/>
      <c r="M1305" s="15"/>
      <c r="N1305" s="15"/>
      <c r="T1305" s="15"/>
      <c r="U1305" s="15"/>
    </row>
    <row r="1306" spans="12:21">
      <c r="L1306" s="15"/>
      <c r="M1306" s="15"/>
      <c r="N1306" s="15"/>
      <c r="T1306" s="15"/>
      <c r="U1306" s="15"/>
    </row>
    <row r="1307" spans="12:21">
      <c r="L1307" s="15"/>
      <c r="M1307" s="15"/>
      <c r="N1307" s="15"/>
      <c r="T1307" s="15"/>
      <c r="U1307" s="15"/>
    </row>
    <row r="1308" spans="12:21">
      <c r="L1308" s="15"/>
      <c r="M1308" s="15"/>
      <c r="N1308" s="15"/>
      <c r="T1308" s="15"/>
      <c r="U1308" s="15"/>
    </row>
    <row r="1309" spans="12:21">
      <c r="L1309" s="15"/>
      <c r="M1309" s="15"/>
      <c r="N1309" s="15"/>
      <c r="T1309" s="15"/>
      <c r="U1309" s="15"/>
    </row>
    <row r="1310" spans="12:21">
      <c r="L1310" s="15"/>
      <c r="M1310" s="15"/>
      <c r="N1310" s="15"/>
      <c r="T1310" s="15"/>
      <c r="U1310" s="15"/>
    </row>
    <row r="1311" spans="12:21">
      <c r="L1311" s="15"/>
      <c r="M1311" s="15"/>
      <c r="N1311" s="15"/>
      <c r="T1311" s="15"/>
      <c r="U1311" s="15"/>
    </row>
    <row r="1312" spans="12:21">
      <c r="L1312" s="15"/>
      <c r="M1312" s="15"/>
      <c r="N1312" s="15"/>
      <c r="T1312" s="15"/>
      <c r="U1312" s="15"/>
    </row>
    <row r="1313" spans="12:21">
      <c r="L1313" s="15"/>
      <c r="M1313" s="15"/>
      <c r="N1313" s="15"/>
      <c r="T1313" s="15"/>
      <c r="U1313" s="15"/>
    </row>
    <row r="1314" spans="12:21">
      <c r="L1314" s="15"/>
      <c r="M1314" s="15"/>
      <c r="N1314" s="15"/>
      <c r="T1314" s="15"/>
      <c r="U1314" s="15"/>
    </row>
    <row r="1315" spans="12:21">
      <c r="L1315" s="15"/>
      <c r="M1315" s="15"/>
      <c r="N1315" s="15"/>
      <c r="T1315" s="15"/>
      <c r="U1315" s="15"/>
    </row>
    <row r="1316" spans="12:21">
      <c r="L1316" s="15"/>
      <c r="M1316" s="15"/>
      <c r="N1316" s="15"/>
      <c r="T1316" s="15"/>
      <c r="U1316" s="15"/>
    </row>
    <row r="1317" spans="12:21">
      <c r="L1317" s="15"/>
      <c r="M1317" s="15"/>
      <c r="N1317" s="15"/>
      <c r="T1317" s="15"/>
      <c r="U1317" s="15"/>
    </row>
    <row r="1318" spans="12:21">
      <c r="L1318" s="15"/>
      <c r="M1318" s="15"/>
      <c r="N1318" s="15"/>
      <c r="T1318" s="15"/>
      <c r="U1318" s="15"/>
    </row>
    <row r="1319" spans="12:21">
      <c r="L1319" s="15"/>
      <c r="M1319" s="15"/>
      <c r="N1319" s="15"/>
      <c r="T1319" s="15"/>
      <c r="U1319" s="15"/>
    </row>
    <row r="1320" spans="12:21">
      <c r="L1320" s="15"/>
      <c r="M1320" s="15"/>
      <c r="N1320" s="15"/>
      <c r="T1320" s="15"/>
      <c r="U1320" s="15"/>
    </row>
    <row r="1321" spans="12:21">
      <c r="L1321" s="15"/>
      <c r="M1321" s="15"/>
      <c r="N1321" s="15"/>
      <c r="T1321" s="15"/>
      <c r="U1321" s="15"/>
    </row>
    <row r="1322" spans="12:21">
      <c r="L1322" s="15"/>
      <c r="M1322" s="15"/>
      <c r="N1322" s="15"/>
      <c r="T1322" s="15"/>
      <c r="U1322" s="15"/>
    </row>
    <row r="1323" spans="12:21">
      <c r="L1323" s="15"/>
      <c r="M1323" s="15"/>
      <c r="N1323" s="15"/>
      <c r="T1323" s="15"/>
      <c r="U1323" s="15"/>
    </row>
    <row r="1324" spans="12:21">
      <c r="L1324" s="15"/>
      <c r="M1324" s="15"/>
      <c r="N1324" s="15"/>
      <c r="T1324" s="15"/>
      <c r="U1324" s="15"/>
    </row>
    <row r="1325" spans="12:21">
      <c r="L1325" s="15"/>
      <c r="M1325" s="15"/>
      <c r="N1325" s="15"/>
      <c r="T1325" s="15"/>
      <c r="U1325" s="15"/>
    </row>
    <row r="1326" spans="12:21">
      <c r="L1326" s="15"/>
      <c r="M1326" s="15"/>
      <c r="N1326" s="15"/>
      <c r="T1326" s="15"/>
      <c r="U1326" s="15"/>
    </row>
    <row r="1327" spans="12:21">
      <c r="L1327" s="15"/>
      <c r="M1327" s="15"/>
      <c r="N1327" s="15"/>
      <c r="T1327" s="15"/>
      <c r="U1327" s="15"/>
    </row>
    <row r="1328" spans="12:21">
      <c r="L1328" s="15"/>
      <c r="M1328" s="15"/>
      <c r="N1328" s="15"/>
      <c r="T1328" s="15"/>
      <c r="U1328" s="15"/>
    </row>
    <row r="1329" spans="12:21">
      <c r="L1329" s="15"/>
      <c r="M1329" s="15"/>
      <c r="N1329" s="15"/>
      <c r="T1329" s="15"/>
      <c r="U1329" s="15"/>
    </row>
    <row r="1330" spans="12:21">
      <c r="L1330" s="15"/>
      <c r="M1330" s="15"/>
      <c r="N1330" s="15"/>
      <c r="T1330" s="15"/>
      <c r="U1330" s="15"/>
    </row>
    <row r="1331" spans="12:21">
      <c r="L1331" s="15"/>
      <c r="M1331" s="15"/>
      <c r="N1331" s="15"/>
      <c r="T1331" s="15"/>
      <c r="U1331" s="15"/>
    </row>
    <row r="1332" spans="12:21">
      <c r="L1332" s="15"/>
      <c r="M1332" s="15"/>
      <c r="N1332" s="15"/>
      <c r="T1332" s="15"/>
      <c r="U1332" s="15"/>
    </row>
    <row r="1333" spans="12:21">
      <c r="L1333" s="15"/>
      <c r="M1333" s="15"/>
      <c r="N1333" s="15"/>
      <c r="T1333" s="15"/>
      <c r="U1333" s="15"/>
    </row>
    <row r="1334" spans="12:21">
      <c r="L1334" s="15"/>
      <c r="M1334" s="15"/>
      <c r="N1334" s="15"/>
      <c r="T1334" s="15"/>
      <c r="U1334" s="15"/>
    </row>
    <row r="1335" spans="12:21">
      <c r="L1335" s="15"/>
      <c r="M1335" s="15"/>
      <c r="N1335" s="15"/>
      <c r="T1335" s="15"/>
      <c r="U1335" s="15"/>
    </row>
    <row r="1336" spans="12:21">
      <c r="L1336" s="15"/>
      <c r="M1336" s="15"/>
      <c r="N1336" s="15"/>
      <c r="T1336" s="15"/>
      <c r="U1336" s="15"/>
    </row>
    <row r="1337" spans="12:21">
      <c r="L1337" s="15"/>
      <c r="M1337" s="15"/>
      <c r="N1337" s="15"/>
      <c r="T1337" s="15"/>
      <c r="U1337" s="15"/>
    </row>
    <row r="1338" spans="12:21">
      <c r="L1338" s="15"/>
      <c r="M1338" s="15"/>
      <c r="N1338" s="15"/>
      <c r="T1338" s="15"/>
      <c r="U1338" s="15"/>
    </row>
    <row r="1339" spans="12:21">
      <c r="L1339" s="15"/>
      <c r="M1339" s="15"/>
      <c r="N1339" s="15"/>
      <c r="T1339" s="15"/>
      <c r="U1339" s="15"/>
    </row>
    <row r="1340" spans="12:21">
      <c r="L1340" s="15"/>
      <c r="M1340" s="15"/>
      <c r="N1340" s="15"/>
      <c r="T1340" s="15"/>
      <c r="U1340" s="15"/>
    </row>
    <row r="1341" spans="12:21">
      <c r="L1341" s="15"/>
      <c r="M1341" s="15"/>
      <c r="N1341" s="15"/>
      <c r="T1341" s="15"/>
      <c r="U1341" s="15"/>
    </row>
    <row r="1342" spans="12:21">
      <c r="L1342" s="15"/>
      <c r="M1342" s="15"/>
      <c r="N1342" s="15"/>
      <c r="T1342" s="15"/>
      <c r="U1342" s="15"/>
    </row>
    <row r="1343" spans="12:21">
      <c r="L1343" s="15"/>
      <c r="M1343" s="15"/>
      <c r="N1343" s="15"/>
      <c r="T1343" s="15"/>
      <c r="U1343" s="15"/>
    </row>
    <row r="1344" spans="12:21">
      <c r="L1344" s="15"/>
      <c r="M1344" s="15"/>
      <c r="N1344" s="15"/>
      <c r="T1344" s="15"/>
      <c r="U1344" s="15"/>
    </row>
    <row r="1345" spans="12:21">
      <c r="L1345" s="15"/>
      <c r="M1345" s="15"/>
      <c r="N1345" s="15"/>
      <c r="T1345" s="15"/>
      <c r="U1345" s="15"/>
    </row>
    <row r="1346" spans="12:21">
      <c r="L1346" s="15"/>
      <c r="M1346" s="15"/>
      <c r="N1346" s="15"/>
      <c r="T1346" s="15"/>
      <c r="U1346" s="15"/>
    </row>
    <row r="1347" spans="12:21">
      <c r="L1347" s="15"/>
      <c r="M1347" s="15"/>
      <c r="N1347" s="15"/>
      <c r="T1347" s="15"/>
      <c r="U1347" s="15"/>
    </row>
    <row r="1348" spans="12:21">
      <c r="L1348" s="15"/>
      <c r="M1348" s="15"/>
      <c r="N1348" s="15"/>
      <c r="T1348" s="15"/>
      <c r="U1348" s="15"/>
    </row>
    <row r="1349" spans="12:21">
      <c r="L1349" s="15"/>
      <c r="M1349" s="15"/>
      <c r="N1349" s="15"/>
      <c r="T1349" s="15"/>
      <c r="U1349" s="15"/>
    </row>
    <row r="1350" spans="12:21">
      <c r="L1350" s="15"/>
      <c r="M1350" s="15"/>
      <c r="N1350" s="15"/>
      <c r="T1350" s="15"/>
      <c r="U1350" s="15"/>
    </row>
    <row r="1351" spans="12:21">
      <c r="L1351" s="15"/>
      <c r="M1351" s="15"/>
      <c r="N1351" s="15"/>
      <c r="T1351" s="15"/>
      <c r="U1351" s="15"/>
    </row>
    <row r="1352" spans="12:21">
      <c r="L1352" s="15"/>
      <c r="M1352" s="15"/>
      <c r="N1352" s="15"/>
      <c r="T1352" s="15"/>
      <c r="U1352" s="15"/>
    </row>
    <row r="1353" spans="12:21">
      <c r="L1353" s="15"/>
      <c r="M1353" s="15"/>
      <c r="N1353" s="15"/>
      <c r="T1353" s="15"/>
      <c r="U1353" s="15"/>
    </row>
    <row r="1354" spans="12:21">
      <c r="L1354" s="15"/>
      <c r="M1354" s="15"/>
      <c r="N1354" s="15"/>
      <c r="T1354" s="15"/>
      <c r="U1354" s="15"/>
    </row>
    <row r="1355" spans="12:21">
      <c r="L1355" s="15"/>
      <c r="M1355" s="15"/>
      <c r="N1355" s="15"/>
      <c r="T1355" s="15"/>
      <c r="U1355" s="15"/>
    </row>
    <row r="1356" spans="12:21">
      <c r="L1356" s="15"/>
      <c r="M1356" s="15"/>
      <c r="N1356" s="15"/>
      <c r="T1356" s="15"/>
      <c r="U1356" s="15"/>
    </row>
    <row r="1357" spans="12:21">
      <c r="L1357" s="15"/>
      <c r="M1357" s="15"/>
      <c r="N1357" s="15"/>
      <c r="T1357" s="15"/>
      <c r="U1357" s="15"/>
    </row>
    <row r="1358" spans="12:21">
      <c r="L1358" s="15"/>
      <c r="M1358" s="15"/>
      <c r="N1358" s="15"/>
      <c r="T1358" s="15"/>
      <c r="U1358" s="15"/>
    </row>
    <row r="1359" spans="12:21">
      <c r="L1359" s="15"/>
      <c r="M1359" s="15"/>
      <c r="N1359" s="15"/>
      <c r="T1359" s="15"/>
      <c r="U1359" s="15"/>
    </row>
    <row r="1360" spans="12:21">
      <c r="L1360" s="15"/>
      <c r="M1360" s="15"/>
      <c r="N1360" s="15"/>
      <c r="T1360" s="15"/>
      <c r="U1360" s="15"/>
    </row>
    <row r="1361" spans="12:21">
      <c r="L1361" s="15"/>
      <c r="M1361" s="15"/>
      <c r="N1361" s="15"/>
      <c r="T1361" s="15"/>
      <c r="U1361" s="15"/>
    </row>
    <row r="1362" spans="12:21">
      <c r="L1362" s="15"/>
      <c r="M1362" s="15"/>
      <c r="N1362" s="15"/>
      <c r="T1362" s="15"/>
      <c r="U1362" s="15"/>
    </row>
    <row r="1363" spans="12:21">
      <c r="L1363" s="15"/>
      <c r="M1363" s="15"/>
      <c r="N1363" s="15"/>
      <c r="T1363" s="15"/>
      <c r="U1363" s="15"/>
    </row>
    <row r="1364" spans="12:21">
      <c r="L1364" s="15"/>
      <c r="M1364" s="15"/>
      <c r="N1364" s="15"/>
      <c r="T1364" s="15"/>
      <c r="U1364" s="15"/>
    </row>
    <row r="1365" spans="12:21">
      <c r="L1365" s="15"/>
      <c r="M1365" s="15"/>
      <c r="N1365" s="15"/>
      <c r="T1365" s="15"/>
      <c r="U1365" s="15"/>
    </row>
    <row r="1366" spans="12:21">
      <c r="L1366" s="15"/>
      <c r="M1366" s="15"/>
      <c r="N1366" s="15"/>
      <c r="T1366" s="15"/>
      <c r="U1366" s="15"/>
    </row>
    <row r="1367" spans="12:21">
      <c r="L1367" s="15"/>
      <c r="M1367" s="15"/>
      <c r="N1367" s="15"/>
      <c r="T1367" s="15"/>
      <c r="U1367" s="15"/>
    </row>
    <row r="1368" spans="12:21">
      <c r="L1368" s="15"/>
      <c r="M1368" s="15"/>
      <c r="N1368" s="15"/>
      <c r="T1368" s="15"/>
      <c r="U1368" s="15"/>
    </row>
    <row r="1369" spans="12:21">
      <c r="L1369" s="15"/>
      <c r="M1369" s="15"/>
      <c r="N1369" s="15"/>
      <c r="T1369" s="15"/>
      <c r="U1369" s="15"/>
    </row>
    <row r="1370" spans="12:21">
      <c r="L1370" s="15"/>
      <c r="M1370" s="15"/>
      <c r="N1370" s="15"/>
      <c r="T1370" s="15"/>
      <c r="U1370" s="15"/>
    </row>
    <row r="1371" spans="12:21">
      <c r="L1371" s="15"/>
      <c r="M1371" s="15"/>
      <c r="N1371" s="15"/>
      <c r="T1371" s="15"/>
      <c r="U1371" s="15"/>
    </row>
    <row r="1372" spans="12:21">
      <c r="L1372" s="15"/>
      <c r="M1372" s="15"/>
      <c r="N1372" s="15"/>
      <c r="T1372" s="15"/>
      <c r="U1372" s="15"/>
    </row>
    <row r="1373" spans="12:21">
      <c r="L1373" s="15"/>
      <c r="M1373" s="15"/>
      <c r="N1373" s="15"/>
      <c r="T1373" s="15"/>
      <c r="U1373" s="15"/>
    </row>
    <row r="1374" spans="12:21">
      <c r="L1374" s="15"/>
      <c r="M1374" s="15"/>
      <c r="N1374" s="15"/>
      <c r="T1374" s="15"/>
      <c r="U1374" s="15"/>
    </row>
    <row r="1375" spans="12:21">
      <c r="L1375" s="15"/>
      <c r="M1375" s="15"/>
      <c r="N1375" s="15"/>
      <c r="T1375" s="15"/>
      <c r="U1375" s="15"/>
    </row>
    <row r="1376" spans="12:21">
      <c r="L1376" s="15"/>
      <c r="M1376" s="15"/>
      <c r="N1376" s="15"/>
      <c r="T1376" s="15"/>
      <c r="U1376" s="15"/>
    </row>
    <row r="1377" spans="12:21">
      <c r="L1377" s="15"/>
      <c r="M1377" s="15"/>
      <c r="N1377" s="15"/>
      <c r="T1377" s="15"/>
      <c r="U1377" s="15"/>
    </row>
    <row r="1378" spans="12:21">
      <c r="L1378" s="15"/>
      <c r="M1378" s="15"/>
      <c r="N1378" s="15"/>
      <c r="T1378" s="15"/>
      <c r="U1378" s="15"/>
    </row>
    <row r="1379" spans="12:21">
      <c r="L1379" s="15"/>
      <c r="M1379" s="15"/>
      <c r="N1379" s="15"/>
      <c r="T1379" s="15"/>
      <c r="U1379" s="15"/>
    </row>
    <row r="1380" spans="12:21">
      <c r="L1380" s="15"/>
      <c r="M1380" s="15"/>
      <c r="N1380" s="15"/>
      <c r="T1380" s="15"/>
      <c r="U1380" s="15"/>
    </row>
    <row r="1381" spans="12:21">
      <c r="L1381" s="15"/>
      <c r="M1381" s="15"/>
      <c r="N1381" s="15"/>
      <c r="T1381" s="15"/>
      <c r="U1381" s="15"/>
    </row>
    <row r="1382" spans="12:21">
      <c r="L1382" s="15"/>
      <c r="M1382" s="15"/>
      <c r="N1382" s="15"/>
      <c r="T1382" s="15"/>
      <c r="U1382" s="15"/>
    </row>
    <row r="1383" spans="12:21">
      <c r="L1383" s="15"/>
      <c r="M1383" s="15"/>
      <c r="N1383" s="15"/>
      <c r="T1383" s="15"/>
      <c r="U1383" s="15"/>
    </row>
    <row r="1384" spans="12:21">
      <c r="L1384" s="15"/>
      <c r="M1384" s="15"/>
      <c r="N1384" s="15"/>
      <c r="T1384" s="15"/>
      <c r="U1384" s="15"/>
    </row>
    <row r="1385" spans="12:21">
      <c r="L1385" s="15"/>
      <c r="M1385" s="15"/>
      <c r="N1385" s="15"/>
      <c r="T1385" s="15"/>
      <c r="U1385" s="15"/>
    </row>
    <row r="1386" spans="12:21">
      <c r="L1386" s="15"/>
      <c r="M1386" s="15"/>
      <c r="N1386" s="15"/>
      <c r="T1386" s="15"/>
      <c r="U1386" s="15"/>
    </row>
    <row r="1387" spans="12:21">
      <c r="L1387" s="15"/>
      <c r="M1387" s="15"/>
      <c r="N1387" s="15"/>
      <c r="T1387" s="15"/>
      <c r="U1387" s="15"/>
    </row>
    <row r="1388" spans="12:21">
      <c r="L1388" s="15"/>
      <c r="M1388" s="15"/>
      <c r="N1388" s="15"/>
      <c r="T1388" s="15"/>
      <c r="U1388" s="15"/>
    </row>
    <row r="1389" spans="12:21">
      <c r="L1389" s="15"/>
      <c r="M1389" s="15"/>
      <c r="N1389" s="15"/>
      <c r="T1389" s="15"/>
      <c r="U1389" s="15"/>
    </row>
    <row r="1390" spans="12:21">
      <c r="L1390" s="15"/>
      <c r="M1390" s="15"/>
      <c r="N1390" s="15"/>
      <c r="T1390" s="15"/>
      <c r="U1390" s="15"/>
    </row>
    <row r="1391" spans="12:21">
      <c r="L1391" s="15"/>
      <c r="M1391" s="15"/>
      <c r="N1391" s="15"/>
      <c r="T1391" s="15"/>
      <c r="U1391" s="15"/>
    </row>
    <row r="1392" spans="12:21">
      <c r="L1392" s="15"/>
      <c r="M1392" s="15"/>
      <c r="N1392" s="15"/>
      <c r="T1392" s="15"/>
      <c r="U1392" s="15"/>
    </row>
    <row r="1393" spans="12:21">
      <c r="L1393" s="15"/>
      <c r="M1393" s="15"/>
      <c r="N1393" s="15"/>
      <c r="T1393" s="15"/>
      <c r="U1393" s="15"/>
    </row>
    <row r="1394" spans="12:21">
      <c r="L1394" s="15"/>
      <c r="M1394" s="15"/>
      <c r="N1394" s="15"/>
      <c r="T1394" s="15"/>
      <c r="U1394" s="15"/>
    </row>
    <row r="1395" spans="12:21">
      <c r="L1395" s="15"/>
      <c r="M1395" s="15"/>
      <c r="N1395" s="15"/>
      <c r="T1395" s="15"/>
      <c r="U1395" s="15"/>
    </row>
    <row r="1396" spans="12:21">
      <c r="L1396" s="15"/>
      <c r="M1396" s="15"/>
      <c r="N1396" s="15"/>
      <c r="T1396" s="15"/>
      <c r="U1396" s="15"/>
    </row>
    <row r="1397" spans="12:21">
      <c r="L1397" s="15"/>
      <c r="M1397" s="15"/>
      <c r="N1397" s="15"/>
      <c r="T1397" s="15"/>
      <c r="U1397" s="15"/>
    </row>
    <row r="1398" spans="12:21">
      <c r="L1398" s="15"/>
      <c r="M1398" s="15"/>
      <c r="N1398" s="15"/>
      <c r="T1398" s="15"/>
      <c r="U1398" s="15"/>
    </row>
    <row r="1399" spans="12:21">
      <c r="L1399" s="15"/>
      <c r="M1399" s="15"/>
      <c r="N1399" s="15"/>
      <c r="T1399" s="15"/>
      <c r="U1399" s="15"/>
    </row>
    <row r="1400" spans="12:21">
      <c r="L1400" s="15"/>
      <c r="M1400" s="15"/>
      <c r="N1400" s="15"/>
      <c r="T1400" s="15"/>
      <c r="U1400" s="15"/>
    </row>
    <row r="1401" spans="12:21">
      <c r="L1401" s="15"/>
      <c r="M1401" s="15"/>
      <c r="N1401" s="15"/>
      <c r="T1401" s="15"/>
      <c r="U1401" s="15"/>
    </row>
    <row r="1402" spans="12:21">
      <c r="L1402" s="15"/>
      <c r="M1402" s="15"/>
      <c r="N1402" s="15"/>
      <c r="T1402" s="15"/>
      <c r="U1402" s="15"/>
    </row>
    <row r="1403" spans="12:21">
      <c r="L1403" s="15"/>
      <c r="M1403" s="15"/>
      <c r="N1403" s="15"/>
      <c r="T1403" s="15"/>
      <c r="U1403" s="15"/>
    </row>
    <row r="1404" spans="12:21">
      <c r="L1404" s="15"/>
      <c r="M1404" s="15"/>
      <c r="N1404" s="15"/>
      <c r="T1404" s="15"/>
      <c r="U1404" s="15"/>
    </row>
    <row r="1405" spans="12:21">
      <c r="L1405" s="15"/>
      <c r="M1405" s="15"/>
      <c r="N1405" s="15"/>
      <c r="T1405" s="15"/>
      <c r="U1405" s="15"/>
    </row>
    <row r="1406" spans="12:21">
      <c r="L1406" s="15"/>
      <c r="M1406" s="15"/>
      <c r="N1406" s="15"/>
      <c r="T1406" s="15"/>
      <c r="U1406" s="15"/>
    </row>
    <row r="1407" spans="12:21">
      <c r="L1407" s="15"/>
      <c r="M1407" s="15"/>
      <c r="N1407" s="15"/>
      <c r="T1407" s="15"/>
      <c r="U1407" s="15"/>
    </row>
    <row r="1408" spans="12:21">
      <c r="L1408" s="15"/>
      <c r="M1408" s="15"/>
      <c r="N1408" s="15"/>
      <c r="T1408" s="15"/>
      <c r="U1408" s="15"/>
    </row>
    <row r="1409" spans="12:21">
      <c r="L1409" s="15"/>
      <c r="M1409" s="15"/>
      <c r="N1409" s="15"/>
      <c r="T1409" s="15"/>
      <c r="U1409" s="15"/>
    </row>
    <row r="1410" spans="12:21">
      <c r="L1410" s="15"/>
      <c r="M1410" s="15"/>
      <c r="N1410" s="15"/>
      <c r="T1410" s="15"/>
      <c r="U1410" s="15"/>
    </row>
    <row r="1411" spans="12:21">
      <c r="L1411" s="15"/>
      <c r="M1411" s="15"/>
      <c r="N1411" s="15"/>
      <c r="T1411" s="15"/>
      <c r="U1411" s="15"/>
    </row>
    <row r="1412" spans="12:21">
      <c r="L1412" s="15"/>
      <c r="M1412" s="15"/>
      <c r="N1412" s="15"/>
      <c r="T1412" s="15"/>
      <c r="U1412" s="15"/>
    </row>
    <row r="1413" spans="12:21">
      <c r="L1413" s="15"/>
      <c r="M1413" s="15"/>
      <c r="N1413" s="15"/>
      <c r="T1413" s="15"/>
      <c r="U1413" s="15"/>
    </row>
    <row r="1414" spans="12:21">
      <c r="L1414" s="15"/>
      <c r="M1414" s="15"/>
      <c r="N1414" s="15"/>
      <c r="T1414" s="15"/>
      <c r="U1414" s="15"/>
    </row>
    <row r="1415" spans="12:21">
      <c r="L1415" s="15"/>
      <c r="M1415" s="15"/>
      <c r="N1415" s="15"/>
      <c r="T1415" s="15"/>
      <c r="U1415" s="15"/>
    </row>
    <row r="1416" spans="12:21">
      <c r="L1416" s="15"/>
      <c r="M1416" s="15"/>
      <c r="N1416" s="15"/>
      <c r="T1416" s="15"/>
      <c r="U1416" s="15"/>
    </row>
    <row r="1417" spans="12:21">
      <c r="L1417" s="15"/>
      <c r="M1417" s="15"/>
      <c r="N1417" s="15"/>
      <c r="T1417" s="15"/>
      <c r="U1417" s="15"/>
    </row>
    <row r="1418" spans="12:21">
      <c r="L1418" s="15"/>
      <c r="M1418" s="15"/>
      <c r="N1418" s="15"/>
      <c r="T1418" s="15"/>
      <c r="U1418" s="15"/>
    </row>
    <row r="1419" spans="12:21">
      <c r="L1419" s="15"/>
      <c r="M1419" s="15"/>
      <c r="N1419" s="15"/>
      <c r="T1419" s="15"/>
      <c r="U1419" s="15"/>
    </row>
    <row r="1420" spans="12:21">
      <c r="L1420" s="15"/>
      <c r="M1420" s="15"/>
      <c r="N1420" s="15"/>
      <c r="T1420" s="15"/>
      <c r="U1420" s="15"/>
    </row>
    <row r="1421" spans="12:21">
      <c r="L1421" s="15"/>
      <c r="M1421" s="15"/>
      <c r="N1421" s="15"/>
      <c r="T1421" s="15"/>
      <c r="U1421" s="15"/>
    </row>
    <row r="1422" spans="12:21">
      <c r="L1422" s="15"/>
      <c r="M1422" s="15"/>
      <c r="N1422" s="15"/>
      <c r="T1422" s="15"/>
      <c r="U1422" s="15"/>
    </row>
    <row r="1423" spans="12:21">
      <c r="L1423" s="15"/>
      <c r="M1423" s="15"/>
      <c r="N1423" s="15"/>
      <c r="T1423" s="15"/>
      <c r="U1423" s="15"/>
    </row>
    <row r="1424" spans="12:21">
      <c r="L1424" s="15"/>
      <c r="M1424" s="15"/>
      <c r="N1424" s="15"/>
      <c r="T1424" s="15"/>
      <c r="U1424" s="15"/>
    </row>
    <row r="1425" spans="12:21">
      <c r="L1425" s="15"/>
      <c r="M1425" s="15"/>
      <c r="N1425" s="15"/>
      <c r="T1425" s="15"/>
      <c r="U1425" s="15"/>
    </row>
    <row r="1426" spans="12:21">
      <c r="L1426" s="15"/>
      <c r="M1426" s="15"/>
      <c r="N1426" s="15"/>
      <c r="T1426" s="15"/>
      <c r="U1426" s="15"/>
    </row>
    <row r="1427" spans="12:21">
      <c r="L1427" s="15"/>
      <c r="M1427" s="15"/>
      <c r="N1427" s="15"/>
      <c r="T1427" s="15"/>
      <c r="U1427" s="15"/>
    </row>
    <row r="1428" spans="12:21">
      <c r="L1428" s="15"/>
      <c r="M1428" s="15"/>
      <c r="N1428" s="15"/>
      <c r="T1428" s="15"/>
      <c r="U1428" s="15"/>
    </row>
    <row r="1429" spans="12:21">
      <c r="L1429" s="15"/>
      <c r="M1429" s="15"/>
      <c r="N1429" s="15"/>
      <c r="T1429" s="15"/>
      <c r="U1429" s="15"/>
    </row>
    <row r="1430" spans="12:21">
      <c r="L1430" s="15"/>
      <c r="M1430" s="15"/>
      <c r="N1430" s="15"/>
      <c r="T1430" s="15"/>
      <c r="U1430" s="15"/>
    </row>
    <row r="1431" spans="12:21">
      <c r="L1431" s="15"/>
      <c r="M1431" s="15"/>
      <c r="N1431" s="15"/>
      <c r="T1431" s="15"/>
      <c r="U1431" s="15"/>
    </row>
    <row r="1432" spans="12:21">
      <c r="L1432" s="15"/>
      <c r="M1432" s="15"/>
      <c r="N1432" s="15"/>
      <c r="T1432" s="15"/>
      <c r="U1432" s="15"/>
    </row>
    <row r="1433" spans="12:21">
      <c r="L1433" s="15"/>
      <c r="M1433" s="15"/>
      <c r="N1433" s="15"/>
      <c r="T1433" s="15"/>
      <c r="U1433" s="15"/>
    </row>
    <row r="1434" spans="12:21">
      <c r="L1434" s="15"/>
      <c r="M1434" s="15"/>
      <c r="N1434" s="15"/>
      <c r="T1434" s="15"/>
      <c r="U1434" s="15"/>
    </row>
    <row r="1435" spans="12:21">
      <c r="L1435" s="15"/>
      <c r="M1435" s="15"/>
      <c r="N1435" s="15"/>
      <c r="T1435" s="15"/>
      <c r="U1435" s="15"/>
    </row>
    <row r="1436" spans="12:21">
      <c r="L1436" s="15"/>
      <c r="M1436" s="15"/>
      <c r="N1436" s="15"/>
      <c r="T1436" s="15"/>
      <c r="U1436" s="15"/>
    </row>
    <row r="1437" spans="12:21">
      <c r="L1437" s="15"/>
      <c r="M1437" s="15"/>
      <c r="N1437" s="15"/>
      <c r="T1437" s="15"/>
      <c r="U1437" s="15"/>
    </row>
    <row r="1438" spans="12:21">
      <c r="L1438" s="15"/>
      <c r="M1438" s="15"/>
      <c r="N1438" s="15"/>
      <c r="T1438" s="15"/>
      <c r="U1438" s="15"/>
    </row>
    <row r="1439" spans="12:21">
      <c r="L1439" s="15"/>
      <c r="M1439" s="15"/>
      <c r="N1439" s="15"/>
      <c r="T1439" s="15"/>
      <c r="U1439" s="15"/>
    </row>
    <row r="1440" spans="12:21">
      <c r="L1440" s="15"/>
      <c r="M1440" s="15"/>
      <c r="N1440" s="15"/>
      <c r="T1440" s="15"/>
      <c r="U1440" s="15"/>
    </row>
    <row r="1441" spans="12:21">
      <c r="L1441" s="15"/>
      <c r="M1441" s="15"/>
      <c r="N1441" s="15"/>
      <c r="T1441" s="15"/>
      <c r="U1441" s="15"/>
    </row>
    <row r="1442" spans="12:21">
      <c r="L1442" s="15"/>
      <c r="M1442" s="15"/>
      <c r="N1442" s="15"/>
      <c r="T1442" s="15"/>
      <c r="U1442" s="15"/>
    </row>
    <row r="1443" spans="12:21">
      <c r="L1443" s="15"/>
      <c r="M1443" s="15"/>
      <c r="N1443" s="15"/>
      <c r="T1443" s="15"/>
      <c r="U1443" s="15"/>
    </row>
    <row r="1444" spans="12:21">
      <c r="L1444" s="15"/>
      <c r="M1444" s="15"/>
      <c r="N1444" s="15"/>
      <c r="T1444" s="15"/>
      <c r="U1444" s="15"/>
    </row>
    <row r="1445" spans="12:21">
      <c r="L1445" s="15"/>
      <c r="M1445" s="15"/>
      <c r="N1445" s="15"/>
      <c r="T1445" s="15"/>
      <c r="U1445" s="15"/>
    </row>
    <row r="1446" spans="12:21">
      <c r="L1446" s="15"/>
      <c r="M1446" s="15"/>
      <c r="N1446" s="15"/>
      <c r="T1446" s="15"/>
      <c r="U1446" s="15"/>
    </row>
    <row r="1447" spans="12:21">
      <c r="L1447" s="15"/>
      <c r="M1447" s="15"/>
      <c r="N1447" s="15"/>
      <c r="T1447" s="15"/>
      <c r="U1447" s="15"/>
    </row>
    <row r="1448" spans="12:21">
      <c r="L1448" s="15"/>
      <c r="M1448" s="15"/>
      <c r="N1448" s="15"/>
      <c r="T1448" s="15"/>
      <c r="U1448" s="15"/>
    </row>
    <row r="1449" spans="12:21">
      <c r="L1449" s="15"/>
      <c r="M1449" s="15"/>
      <c r="N1449" s="15"/>
      <c r="T1449" s="15"/>
      <c r="U1449" s="15"/>
    </row>
    <row r="1450" spans="12:21">
      <c r="L1450" s="15"/>
      <c r="M1450" s="15"/>
      <c r="N1450" s="15"/>
      <c r="T1450" s="15"/>
      <c r="U1450" s="15"/>
    </row>
    <row r="1451" spans="12:21">
      <c r="L1451" s="15"/>
      <c r="M1451" s="15"/>
      <c r="N1451" s="15"/>
      <c r="T1451" s="15"/>
      <c r="U1451" s="15"/>
    </row>
    <row r="1452" spans="12:21">
      <c r="L1452" s="15"/>
      <c r="M1452" s="15"/>
      <c r="N1452" s="15"/>
      <c r="T1452" s="15"/>
      <c r="U1452" s="15"/>
    </row>
    <row r="1453" spans="12:21">
      <c r="L1453" s="15"/>
      <c r="M1453" s="15"/>
      <c r="N1453" s="15"/>
      <c r="T1453" s="15"/>
      <c r="U1453" s="15"/>
    </row>
    <row r="1454" spans="12:21">
      <c r="L1454" s="15"/>
      <c r="M1454" s="15"/>
      <c r="N1454" s="15"/>
      <c r="T1454" s="15"/>
      <c r="U1454" s="15"/>
    </row>
    <row r="1455" spans="12:21">
      <c r="L1455" s="15"/>
      <c r="M1455" s="15"/>
      <c r="N1455" s="15"/>
      <c r="T1455" s="15"/>
      <c r="U1455" s="15"/>
    </row>
    <row r="1456" spans="12:21">
      <c r="L1456" s="15"/>
      <c r="M1456" s="15"/>
      <c r="N1456" s="15"/>
      <c r="T1456" s="15"/>
      <c r="U1456" s="15"/>
    </row>
    <row r="1457" spans="12:21">
      <c r="L1457" s="15"/>
      <c r="M1457" s="15"/>
      <c r="N1457" s="15"/>
      <c r="T1457" s="15"/>
      <c r="U1457" s="15"/>
    </row>
    <row r="1458" spans="12:21">
      <c r="L1458" s="15"/>
      <c r="M1458" s="15"/>
      <c r="N1458" s="15"/>
      <c r="T1458" s="15"/>
      <c r="U1458" s="15"/>
    </row>
    <row r="1459" spans="12:21">
      <c r="L1459" s="15"/>
      <c r="M1459" s="15"/>
      <c r="N1459" s="15"/>
      <c r="T1459" s="15"/>
      <c r="U1459" s="15"/>
    </row>
    <row r="1460" spans="12:21">
      <c r="L1460" s="15"/>
      <c r="M1460" s="15"/>
      <c r="N1460" s="15"/>
      <c r="T1460" s="15"/>
      <c r="U1460" s="15"/>
    </row>
    <row r="1461" spans="12:21">
      <c r="L1461" s="15"/>
      <c r="M1461" s="15"/>
      <c r="N1461" s="15"/>
      <c r="T1461" s="15"/>
      <c r="U1461" s="15"/>
    </row>
    <row r="1462" spans="12:21">
      <c r="L1462" s="15"/>
      <c r="M1462" s="15"/>
      <c r="N1462" s="15"/>
      <c r="T1462" s="15"/>
      <c r="U1462" s="15"/>
    </row>
    <row r="1463" spans="12:21">
      <c r="L1463" s="15"/>
      <c r="M1463" s="15"/>
      <c r="N1463" s="15"/>
      <c r="T1463" s="15"/>
      <c r="U1463" s="15"/>
    </row>
    <row r="1464" spans="12:21">
      <c r="L1464" s="15"/>
      <c r="M1464" s="15"/>
      <c r="N1464" s="15"/>
      <c r="T1464" s="15"/>
      <c r="U1464" s="15"/>
    </row>
    <row r="1465" spans="12:21">
      <c r="L1465" s="15"/>
      <c r="M1465" s="15"/>
      <c r="N1465" s="15"/>
      <c r="T1465" s="15"/>
      <c r="U1465" s="15"/>
    </row>
    <row r="1466" spans="12:21">
      <c r="L1466" s="15"/>
      <c r="M1466" s="15"/>
      <c r="N1466" s="15"/>
      <c r="T1466" s="15"/>
      <c r="U1466" s="15"/>
    </row>
    <row r="1467" spans="12:21">
      <c r="L1467" s="15"/>
      <c r="M1467" s="15"/>
      <c r="N1467" s="15"/>
      <c r="T1467" s="15"/>
      <c r="U1467" s="15"/>
    </row>
    <row r="1468" spans="12:21">
      <c r="L1468" s="15"/>
      <c r="M1468" s="15"/>
      <c r="N1468" s="15"/>
      <c r="T1468" s="15"/>
      <c r="U1468" s="15"/>
    </row>
    <row r="1469" spans="12:21">
      <c r="L1469" s="15"/>
      <c r="M1469" s="15"/>
      <c r="N1469" s="15"/>
      <c r="T1469" s="15"/>
      <c r="U1469" s="15"/>
    </row>
    <row r="1470" spans="12:21">
      <c r="L1470" s="15"/>
      <c r="M1470" s="15"/>
      <c r="N1470" s="15"/>
      <c r="T1470" s="15"/>
      <c r="U1470" s="15"/>
    </row>
    <row r="1471" spans="12:21">
      <c r="L1471" s="15"/>
      <c r="M1471" s="15"/>
      <c r="N1471" s="15"/>
      <c r="T1471" s="15"/>
      <c r="U1471" s="15"/>
    </row>
    <row r="1472" spans="12:21">
      <c r="L1472" s="15"/>
      <c r="M1472" s="15"/>
      <c r="N1472" s="15"/>
      <c r="T1472" s="15"/>
      <c r="U1472" s="15"/>
    </row>
    <row r="1473" spans="12:21">
      <c r="L1473" s="15"/>
      <c r="M1473" s="15"/>
      <c r="N1473" s="15"/>
      <c r="T1473" s="15"/>
      <c r="U1473" s="15"/>
    </row>
    <row r="1474" spans="12:21">
      <c r="L1474" s="15"/>
      <c r="M1474" s="15"/>
      <c r="N1474" s="15"/>
      <c r="T1474" s="15"/>
      <c r="U1474" s="15"/>
    </row>
    <row r="1475" spans="12:21">
      <c r="L1475" s="15"/>
      <c r="M1475" s="15"/>
      <c r="N1475" s="15"/>
      <c r="T1475" s="15"/>
      <c r="U1475" s="15"/>
    </row>
    <row r="1476" spans="12:21">
      <c r="L1476" s="15"/>
      <c r="M1476" s="15"/>
      <c r="N1476" s="15"/>
      <c r="T1476" s="15"/>
      <c r="U1476" s="15"/>
    </row>
    <row r="1477" spans="12:21">
      <c r="L1477" s="15"/>
      <c r="M1477" s="15"/>
      <c r="N1477" s="15"/>
      <c r="T1477" s="15"/>
      <c r="U1477" s="15"/>
    </row>
    <row r="1478" spans="12:21">
      <c r="L1478" s="15"/>
      <c r="M1478" s="15"/>
      <c r="N1478" s="15"/>
      <c r="T1478" s="15"/>
      <c r="U1478" s="15"/>
    </row>
    <row r="1479" spans="12:21">
      <c r="L1479" s="15"/>
      <c r="M1479" s="15"/>
      <c r="N1479" s="15"/>
      <c r="T1479" s="15"/>
      <c r="U1479" s="15"/>
    </row>
    <row r="1480" spans="12:21">
      <c r="L1480" s="15"/>
      <c r="M1480" s="15"/>
      <c r="N1480" s="15"/>
      <c r="T1480" s="15"/>
      <c r="U1480" s="15"/>
    </row>
    <row r="1481" spans="12:21">
      <c r="L1481" s="15"/>
      <c r="M1481" s="15"/>
      <c r="N1481" s="15"/>
      <c r="T1481" s="15"/>
      <c r="U1481" s="15"/>
    </row>
    <row r="1482" spans="12:21">
      <c r="L1482" s="15"/>
      <c r="M1482" s="15"/>
      <c r="N1482" s="15"/>
      <c r="T1482" s="15"/>
      <c r="U1482" s="15"/>
    </row>
    <row r="1483" spans="12:21">
      <c r="L1483" s="15"/>
      <c r="M1483" s="15"/>
      <c r="N1483" s="15"/>
      <c r="T1483" s="15"/>
      <c r="U1483" s="15"/>
    </row>
    <row r="1484" spans="12:21">
      <c r="L1484" s="15"/>
      <c r="M1484" s="15"/>
      <c r="N1484" s="15"/>
      <c r="T1484" s="15"/>
      <c r="U1484" s="15"/>
    </row>
    <row r="1485" spans="12:21">
      <c r="L1485" s="15"/>
      <c r="M1485" s="15"/>
      <c r="N1485" s="15"/>
      <c r="T1485" s="15"/>
      <c r="U1485" s="15"/>
    </row>
    <row r="1486" spans="12:21">
      <c r="L1486" s="15"/>
      <c r="M1486" s="15"/>
      <c r="N1486" s="15"/>
      <c r="T1486" s="15"/>
      <c r="U1486" s="15"/>
    </row>
    <row r="1487" spans="12:21">
      <c r="L1487" s="15"/>
      <c r="M1487" s="15"/>
      <c r="N1487" s="15"/>
      <c r="T1487" s="15"/>
      <c r="U1487" s="15"/>
    </row>
    <row r="1488" spans="12:21">
      <c r="L1488" s="15"/>
      <c r="M1488" s="15"/>
      <c r="N1488" s="15"/>
      <c r="T1488" s="15"/>
      <c r="U1488" s="15"/>
    </row>
    <row r="1489" spans="12:21">
      <c r="L1489" s="15"/>
      <c r="M1489" s="15"/>
      <c r="N1489" s="15"/>
      <c r="T1489" s="15"/>
      <c r="U1489" s="15"/>
    </row>
    <row r="1490" spans="12:21">
      <c r="L1490" s="15"/>
      <c r="M1490" s="15"/>
      <c r="N1490" s="15"/>
      <c r="T1490" s="15"/>
      <c r="U1490" s="15"/>
    </row>
    <row r="1491" spans="12:21">
      <c r="L1491" s="15"/>
      <c r="M1491" s="15"/>
      <c r="N1491" s="15"/>
      <c r="T1491" s="15"/>
      <c r="U1491" s="15"/>
    </row>
    <row r="1492" spans="12:21">
      <c r="L1492" s="15"/>
      <c r="M1492" s="15"/>
      <c r="N1492" s="15"/>
      <c r="T1492" s="15"/>
      <c r="U1492" s="15"/>
    </row>
    <row r="1493" spans="12:21">
      <c r="L1493" s="15"/>
      <c r="M1493" s="15"/>
      <c r="N1493" s="15"/>
      <c r="T1493" s="15"/>
      <c r="U1493" s="15"/>
    </row>
    <row r="1494" spans="12:21">
      <c r="L1494" s="15"/>
      <c r="M1494" s="15"/>
      <c r="N1494" s="15"/>
      <c r="T1494" s="15"/>
      <c r="U1494" s="15"/>
    </row>
    <row r="1495" spans="12:21">
      <c r="L1495" s="15"/>
      <c r="M1495" s="15"/>
      <c r="N1495" s="15"/>
      <c r="T1495" s="15"/>
      <c r="U1495" s="15"/>
    </row>
    <row r="1496" spans="12:21">
      <c r="L1496" s="15"/>
      <c r="M1496" s="15"/>
      <c r="N1496" s="15"/>
      <c r="T1496" s="15"/>
      <c r="U1496" s="15"/>
    </row>
    <row r="1497" spans="12:21">
      <c r="L1497" s="15"/>
      <c r="M1497" s="15"/>
      <c r="N1497" s="15"/>
      <c r="T1497" s="15"/>
      <c r="U1497" s="15"/>
    </row>
    <row r="1498" spans="12:21">
      <c r="L1498" s="15"/>
      <c r="M1498" s="15"/>
      <c r="N1498" s="15"/>
      <c r="T1498" s="15"/>
      <c r="U1498" s="15"/>
    </row>
    <row r="1499" spans="12:21">
      <c r="L1499" s="15"/>
      <c r="M1499" s="15"/>
      <c r="N1499" s="15"/>
      <c r="T1499" s="15"/>
      <c r="U1499" s="15"/>
    </row>
    <row r="1500" spans="12:21">
      <c r="L1500" s="15"/>
      <c r="M1500" s="15"/>
      <c r="N1500" s="15"/>
      <c r="T1500" s="15"/>
      <c r="U1500" s="15"/>
    </row>
    <row r="1501" spans="12:21">
      <c r="L1501" s="15"/>
      <c r="M1501" s="15"/>
      <c r="N1501" s="15"/>
      <c r="T1501" s="15"/>
      <c r="U1501" s="15"/>
    </row>
    <row r="1502" spans="12:21">
      <c r="L1502" s="15"/>
      <c r="M1502" s="15"/>
      <c r="N1502" s="15"/>
      <c r="T1502" s="15"/>
      <c r="U1502" s="15"/>
    </row>
    <row r="1503" spans="12:21">
      <c r="L1503" s="15"/>
      <c r="M1503" s="15"/>
      <c r="N1503" s="15"/>
      <c r="T1503" s="15"/>
      <c r="U1503" s="15"/>
    </row>
    <row r="1504" spans="12:21">
      <c r="L1504" s="15"/>
      <c r="M1504" s="15"/>
      <c r="N1504" s="15"/>
      <c r="T1504" s="15"/>
      <c r="U1504" s="15"/>
    </row>
    <row r="1505" spans="12:21">
      <c r="L1505" s="15"/>
      <c r="M1505" s="15"/>
      <c r="N1505" s="15"/>
      <c r="T1505" s="15"/>
      <c r="U1505" s="15"/>
    </row>
    <row r="1506" spans="12:21">
      <c r="L1506" s="15"/>
      <c r="M1506" s="15"/>
      <c r="N1506" s="15"/>
      <c r="T1506" s="15"/>
      <c r="U1506" s="15"/>
    </row>
    <row r="1507" spans="12:21">
      <c r="L1507" s="15"/>
      <c r="M1507" s="15"/>
      <c r="N1507" s="15"/>
      <c r="T1507" s="15"/>
      <c r="U1507" s="15"/>
    </row>
    <row r="1508" spans="12:21">
      <c r="L1508" s="15"/>
      <c r="M1508" s="15"/>
      <c r="N1508" s="15"/>
      <c r="T1508" s="15"/>
      <c r="U1508" s="15"/>
    </row>
    <row r="1509" spans="12:21">
      <c r="L1509" s="15"/>
      <c r="M1509" s="15"/>
      <c r="N1509" s="15"/>
      <c r="T1509" s="15"/>
      <c r="U1509" s="15"/>
    </row>
    <row r="1510" spans="12:21">
      <c r="L1510" s="15"/>
      <c r="M1510" s="15"/>
      <c r="N1510" s="15"/>
      <c r="T1510" s="15"/>
      <c r="U1510" s="15"/>
    </row>
    <row r="1511" spans="12:21">
      <c r="L1511" s="15"/>
      <c r="M1511" s="15"/>
      <c r="N1511" s="15"/>
      <c r="T1511" s="15"/>
      <c r="U1511" s="15"/>
    </row>
    <row r="1512" spans="12:21">
      <c r="L1512" s="15"/>
      <c r="M1512" s="15"/>
      <c r="N1512" s="15"/>
      <c r="T1512" s="15"/>
      <c r="U1512" s="15"/>
    </row>
    <row r="1513" spans="12:21">
      <c r="L1513" s="15"/>
      <c r="M1513" s="15"/>
      <c r="N1513" s="15"/>
      <c r="T1513" s="15"/>
      <c r="U1513" s="15"/>
    </row>
    <row r="1514" spans="12:21">
      <c r="L1514" s="15"/>
      <c r="M1514" s="15"/>
      <c r="N1514" s="15"/>
      <c r="T1514" s="15"/>
      <c r="U1514" s="15"/>
    </row>
    <row r="1515" spans="12:21">
      <c r="L1515" s="15"/>
      <c r="M1515" s="15"/>
      <c r="N1515" s="15"/>
      <c r="T1515" s="15"/>
      <c r="U1515" s="15"/>
    </row>
    <row r="1516" spans="12:21">
      <c r="L1516" s="15"/>
      <c r="M1516" s="15"/>
      <c r="N1516" s="15"/>
      <c r="T1516" s="15"/>
      <c r="U1516" s="15"/>
    </row>
    <row r="1517" spans="12:21">
      <c r="L1517" s="15"/>
      <c r="M1517" s="15"/>
      <c r="N1517" s="15"/>
      <c r="T1517" s="15"/>
      <c r="U1517" s="15"/>
    </row>
    <row r="1518" spans="12:21">
      <c r="L1518" s="15"/>
      <c r="M1518" s="15"/>
      <c r="N1518" s="15"/>
      <c r="T1518" s="15"/>
      <c r="U1518" s="15"/>
    </row>
    <row r="1519" spans="12:21">
      <c r="L1519" s="15"/>
      <c r="M1519" s="15"/>
      <c r="N1519" s="15"/>
      <c r="T1519" s="15"/>
      <c r="U1519" s="15"/>
    </row>
    <row r="1520" spans="12:21">
      <c r="L1520" s="15"/>
      <c r="M1520" s="15"/>
      <c r="N1520" s="15"/>
      <c r="T1520" s="15"/>
      <c r="U1520" s="15"/>
    </row>
    <row r="1521" spans="12:21">
      <c r="L1521" s="15"/>
      <c r="M1521" s="15"/>
      <c r="N1521" s="15"/>
      <c r="T1521" s="15"/>
      <c r="U1521" s="15"/>
    </row>
    <row r="1522" spans="12:21">
      <c r="L1522" s="15"/>
      <c r="M1522" s="15"/>
      <c r="N1522" s="15"/>
      <c r="T1522" s="15"/>
      <c r="U1522" s="15"/>
    </row>
    <row r="1523" spans="12:21">
      <c r="L1523" s="15"/>
      <c r="M1523" s="15"/>
      <c r="N1523" s="15"/>
      <c r="T1523" s="15"/>
      <c r="U1523" s="15"/>
    </row>
    <row r="1524" spans="12:21">
      <c r="L1524" s="15"/>
      <c r="M1524" s="15"/>
      <c r="N1524" s="15"/>
      <c r="T1524" s="15"/>
      <c r="U1524" s="15"/>
    </row>
    <row r="1525" spans="12:21">
      <c r="L1525" s="15"/>
      <c r="M1525" s="15"/>
      <c r="N1525" s="15"/>
      <c r="T1525" s="15"/>
      <c r="U1525" s="15"/>
    </row>
    <row r="1526" spans="12:21">
      <c r="L1526" s="15"/>
      <c r="M1526" s="15"/>
      <c r="N1526" s="15"/>
      <c r="T1526" s="15"/>
      <c r="U1526" s="15"/>
    </row>
    <row r="1527" spans="12:21">
      <c r="L1527" s="15"/>
      <c r="M1527" s="15"/>
      <c r="N1527" s="15"/>
      <c r="T1527" s="15"/>
      <c r="U1527" s="15"/>
    </row>
    <row r="1528" spans="12:21">
      <c r="L1528" s="15"/>
      <c r="M1528" s="15"/>
      <c r="N1528" s="15"/>
      <c r="T1528" s="15"/>
      <c r="U1528" s="15"/>
    </row>
    <row r="1529" spans="12:21">
      <c r="L1529" s="15"/>
      <c r="M1529" s="15"/>
      <c r="N1529" s="15"/>
      <c r="T1529" s="15"/>
      <c r="U1529" s="15"/>
    </row>
    <row r="1530" spans="12:21">
      <c r="L1530" s="15"/>
      <c r="M1530" s="15"/>
      <c r="N1530" s="15"/>
      <c r="T1530" s="15"/>
      <c r="U1530" s="15"/>
    </row>
    <row r="1531" spans="12:21">
      <c r="L1531" s="15"/>
      <c r="M1531" s="15"/>
      <c r="N1531" s="15"/>
      <c r="T1531" s="15"/>
      <c r="U1531" s="15"/>
    </row>
    <row r="1532" spans="12:21">
      <c r="L1532" s="15"/>
      <c r="M1532" s="15"/>
      <c r="N1532" s="15"/>
      <c r="T1532" s="15"/>
      <c r="U1532" s="15"/>
    </row>
    <row r="1533" spans="12:21">
      <c r="L1533" s="15"/>
      <c r="M1533" s="15"/>
      <c r="N1533" s="15"/>
      <c r="T1533" s="15"/>
      <c r="U1533" s="15"/>
    </row>
    <row r="1534" spans="12:21">
      <c r="L1534" s="15"/>
      <c r="M1534" s="15"/>
      <c r="N1534" s="15"/>
      <c r="T1534" s="15"/>
      <c r="U1534" s="15"/>
    </row>
    <row r="1535" spans="12:21">
      <c r="L1535" s="15"/>
      <c r="M1535" s="15"/>
      <c r="N1535" s="15"/>
      <c r="T1535" s="15"/>
      <c r="U1535" s="15"/>
    </row>
    <row r="1536" spans="12:21">
      <c r="L1536" s="15"/>
      <c r="M1536" s="15"/>
      <c r="N1536" s="15"/>
      <c r="T1536" s="15"/>
      <c r="U1536" s="15"/>
    </row>
    <row r="1537" spans="12:21">
      <c r="L1537" s="15"/>
      <c r="M1537" s="15"/>
      <c r="N1537" s="15"/>
      <c r="T1537" s="15"/>
      <c r="U1537" s="15"/>
    </row>
    <row r="1538" spans="12:21">
      <c r="L1538" s="15"/>
      <c r="M1538" s="15"/>
      <c r="N1538" s="15"/>
      <c r="T1538" s="15"/>
      <c r="U1538" s="15"/>
    </row>
    <row r="1539" spans="12:21">
      <c r="L1539" s="15"/>
      <c r="M1539" s="15"/>
      <c r="N1539" s="15"/>
      <c r="T1539" s="15"/>
      <c r="U1539" s="15"/>
    </row>
    <row r="1540" spans="12:21">
      <c r="L1540" s="15"/>
      <c r="M1540" s="15"/>
      <c r="N1540" s="15"/>
      <c r="T1540" s="15"/>
      <c r="U1540" s="15"/>
    </row>
    <row r="1541" spans="12:21">
      <c r="L1541" s="15"/>
      <c r="M1541" s="15"/>
      <c r="N1541" s="15"/>
      <c r="T1541" s="15"/>
      <c r="U1541" s="15"/>
    </row>
    <row r="1542" spans="12:21">
      <c r="L1542" s="15"/>
      <c r="M1542" s="15"/>
      <c r="N1542" s="15"/>
      <c r="T1542" s="15"/>
      <c r="U1542" s="15"/>
    </row>
    <row r="1543" spans="12:21">
      <c r="L1543" s="15"/>
      <c r="M1543" s="15"/>
      <c r="N1543" s="15"/>
      <c r="T1543" s="15"/>
      <c r="U1543" s="15"/>
    </row>
    <row r="1544" spans="12:21">
      <c r="L1544" s="15"/>
      <c r="M1544" s="15"/>
      <c r="N1544" s="15"/>
      <c r="T1544" s="15"/>
      <c r="U1544" s="15"/>
    </row>
    <row r="1545" spans="12:21">
      <c r="L1545" s="15"/>
      <c r="M1545" s="15"/>
      <c r="N1545" s="15"/>
      <c r="T1545" s="15"/>
      <c r="U1545" s="15"/>
    </row>
    <row r="1546" spans="12:21">
      <c r="L1546" s="15"/>
      <c r="M1546" s="15"/>
      <c r="N1546" s="15"/>
      <c r="T1546" s="15"/>
      <c r="U1546" s="15"/>
    </row>
    <row r="1547" spans="12:21">
      <c r="L1547" s="15"/>
      <c r="M1547" s="15"/>
      <c r="N1547" s="15"/>
      <c r="T1547" s="15"/>
      <c r="U1547" s="15"/>
    </row>
    <row r="1548" spans="12:21">
      <c r="L1548" s="15"/>
      <c r="M1548" s="15"/>
      <c r="N1548" s="15"/>
      <c r="T1548" s="15"/>
      <c r="U1548" s="15"/>
    </row>
    <row r="1549" spans="12:21">
      <c r="L1549" s="15"/>
      <c r="M1549" s="15"/>
      <c r="N1549" s="15"/>
      <c r="T1549" s="15"/>
      <c r="U1549" s="15"/>
    </row>
    <row r="1550" spans="12:21">
      <c r="L1550" s="15"/>
      <c r="M1550" s="15"/>
      <c r="N1550" s="15"/>
      <c r="T1550" s="15"/>
      <c r="U1550" s="15"/>
    </row>
    <row r="1551" spans="12:21">
      <c r="L1551" s="15"/>
      <c r="M1551" s="15"/>
      <c r="N1551" s="15"/>
      <c r="T1551" s="15"/>
      <c r="U1551" s="15"/>
    </row>
    <row r="1552" spans="12:21">
      <c r="L1552" s="15"/>
      <c r="M1552" s="15"/>
      <c r="N1552" s="15"/>
      <c r="T1552" s="15"/>
      <c r="U1552" s="15"/>
    </row>
    <row r="1553" spans="12:21">
      <c r="L1553" s="15"/>
      <c r="M1553" s="15"/>
      <c r="N1553" s="15"/>
      <c r="T1553" s="15"/>
      <c r="U1553" s="15"/>
    </row>
    <row r="1554" spans="12:21">
      <c r="L1554" s="15"/>
      <c r="M1554" s="15"/>
      <c r="N1554" s="15"/>
      <c r="T1554" s="15"/>
      <c r="U1554" s="15"/>
    </row>
    <row r="1555" spans="12:21">
      <c r="L1555" s="15"/>
      <c r="M1555" s="15"/>
      <c r="N1555" s="15"/>
      <c r="T1555" s="15"/>
      <c r="U1555" s="15"/>
    </row>
    <row r="1556" spans="12:21">
      <c r="L1556" s="15"/>
      <c r="M1556" s="15"/>
      <c r="N1556" s="15"/>
      <c r="T1556" s="15"/>
      <c r="U1556" s="15"/>
    </row>
    <row r="1557" spans="12:21">
      <c r="L1557" s="15"/>
      <c r="M1557" s="15"/>
      <c r="N1557" s="15"/>
      <c r="T1557" s="15"/>
      <c r="U1557" s="15"/>
    </row>
    <row r="1558" spans="12:21">
      <c r="L1558" s="15"/>
      <c r="M1558" s="15"/>
      <c r="N1558" s="15"/>
      <c r="T1558" s="15"/>
      <c r="U1558" s="15"/>
    </row>
    <row r="1559" spans="12:21">
      <c r="L1559" s="15"/>
      <c r="M1559" s="15"/>
      <c r="N1559" s="15"/>
      <c r="T1559" s="15"/>
      <c r="U1559" s="15"/>
    </row>
    <row r="1560" spans="12:21">
      <c r="L1560" s="15"/>
      <c r="M1560" s="15"/>
      <c r="N1560" s="15"/>
      <c r="T1560" s="15"/>
      <c r="U1560" s="15"/>
    </row>
    <row r="1561" spans="12:21">
      <c r="L1561" s="15"/>
      <c r="M1561" s="15"/>
      <c r="N1561" s="15"/>
      <c r="T1561" s="15"/>
      <c r="U1561" s="15"/>
    </row>
    <row r="1562" spans="12:21">
      <c r="L1562" s="15"/>
      <c r="M1562" s="15"/>
      <c r="N1562" s="15"/>
      <c r="T1562" s="15"/>
      <c r="U1562" s="15"/>
    </row>
    <row r="1563" spans="12:21">
      <c r="L1563" s="15"/>
      <c r="M1563" s="15"/>
      <c r="N1563" s="15"/>
      <c r="T1563" s="15"/>
      <c r="U1563" s="15"/>
    </row>
    <row r="1564" spans="12:21">
      <c r="L1564" s="15"/>
      <c r="M1564" s="15"/>
      <c r="N1564" s="15"/>
      <c r="T1564" s="15"/>
      <c r="U1564" s="15"/>
    </row>
    <row r="1565" spans="12:21">
      <c r="L1565" s="15"/>
      <c r="M1565" s="15"/>
      <c r="N1565" s="15"/>
      <c r="T1565" s="15"/>
      <c r="U1565" s="15"/>
    </row>
    <row r="1566" spans="12:21">
      <c r="L1566" s="15"/>
      <c r="M1566" s="15"/>
      <c r="N1566" s="15"/>
      <c r="T1566" s="15"/>
      <c r="U1566" s="15"/>
    </row>
    <row r="1567" spans="12:21">
      <c r="L1567" s="15"/>
      <c r="M1567" s="15"/>
      <c r="N1567" s="15"/>
      <c r="T1567" s="15"/>
      <c r="U1567" s="15"/>
    </row>
    <row r="1568" spans="12:21">
      <c r="L1568" s="15"/>
      <c r="M1568" s="15"/>
      <c r="N1568" s="15"/>
      <c r="T1568" s="15"/>
      <c r="U1568" s="15"/>
    </row>
    <row r="1569" spans="12:21">
      <c r="L1569" s="15"/>
      <c r="M1569" s="15"/>
      <c r="N1569" s="15"/>
      <c r="T1569" s="15"/>
      <c r="U1569" s="15"/>
    </row>
    <row r="1570" spans="12:21">
      <c r="L1570" s="15"/>
      <c r="M1570" s="15"/>
      <c r="N1570" s="15"/>
      <c r="T1570" s="15"/>
      <c r="U1570" s="15"/>
    </row>
    <row r="1571" spans="12:21">
      <c r="L1571" s="15"/>
      <c r="M1571" s="15"/>
      <c r="N1571" s="15"/>
      <c r="T1571" s="15"/>
      <c r="U1571" s="15"/>
    </row>
    <row r="1572" spans="12:21">
      <c r="L1572" s="15"/>
      <c r="M1572" s="15"/>
      <c r="N1572" s="15"/>
      <c r="T1572" s="15"/>
      <c r="U1572" s="15"/>
    </row>
    <row r="1573" spans="12:21">
      <c r="L1573" s="15"/>
      <c r="M1573" s="15"/>
      <c r="N1573" s="15"/>
      <c r="T1573" s="15"/>
      <c r="U1573" s="15"/>
    </row>
    <row r="1574" spans="12:21">
      <c r="L1574" s="15"/>
      <c r="M1574" s="15"/>
      <c r="N1574" s="15"/>
      <c r="T1574" s="15"/>
      <c r="U1574" s="15"/>
    </row>
    <row r="1575" spans="12:21">
      <c r="L1575" s="15"/>
      <c r="M1575" s="15"/>
      <c r="N1575" s="15"/>
      <c r="T1575" s="15"/>
      <c r="U1575" s="15"/>
    </row>
    <row r="1576" spans="12:21">
      <c r="L1576" s="15"/>
      <c r="M1576" s="15"/>
      <c r="N1576" s="15"/>
      <c r="T1576" s="15"/>
      <c r="U1576" s="15"/>
    </row>
    <row r="1577" spans="12:21">
      <c r="L1577" s="15"/>
      <c r="M1577" s="15"/>
      <c r="N1577" s="15"/>
      <c r="T1577" s="15"/>
      <c r="U1577" s="15"/>
    </row>
    <row r="1578" spans="12:21">
      <c r="L1578" s="15"/>
      <c r="M1578" s="15"/>
      <c r="N1578" s="15"/>
      <c r="T1578" s="15"/>
      <c r="U1578" s="15"/>
    </row>
    <row r="1579" spans="12:21">
      <c r="L1579" s="15"/>
      <c r="M1579" s="15"/>
      <c r="N1579" s="15"/>
      <c r="T1579" s="15"/>
      <c r="U1579" s="15"/>
    </row>
    <row r="1580" spans="12:21">
      <c r="L1580" s="15"/>
      <c r="M1580" s="15"/>
      <c r="N1580" s="15"/>
      <c r="T1580" s="15"/>
      <c r="U1580" s="15"/>
    </row>
    <row r="1581" spans="12:21">
      <c r="L1581" s="15"/>
      <c r="M1581" s="15"/>
      <c r="N1581" s="15"/>
      <c r="T1581" s="15"/>
      <c r="U1581" s="15"/>
    </row>
    <row r="1582" spans="12:21">
      <c r="L1582" s="15"/>
      <c r="M1582" s="15"/>
      <c r="N1582" s="15"/>
      <c r="T1582" s="15"/>
      <c r="U1582" s="15"/>
    </row>
    <row r="1583" spans="12:21">
      <c r="L1583" s="15"/>
      <c r="M1583" s="15"/>
      <c r="N1583" s="15"/>
      <c r="T1583" s="15"/>
      <c r="U1583" s="15"/>
    </row>
    <row r="1584" spans="12:21">
      <c r="L1584" s="15"/>
      <c r="M1584" s="15"/>
      <c r="N1584" s="15"/>
      <c r="T1584" s="15"/>
      <c r="U1584" s="15"/>
    </row>
    <row r="1585" spans="12:21">
      <c r="L1585" s="15"/>
      <c r="M1585" s="15"/>
      <c r="N1585" s="15"/>
      <c r="T1585" s="15"/>
      <c r="U1585" s="15"/>
    </row>
    <row r="1586" spans="12:21">
      <c r="L1586" s="15"/>
      <c r="M1586" s="15"/>
      <c r="N1586" s="15"/>
      <c r="T1586" s="15"/>
      <c r="U1586" s="15"/>
    </row>
    <row r="1587" spans="12:21">
      <c r="L1587" s="15"/>
      <c r="M1587" s="15"/>
      <c r="N1587" s="15"/>
      <c r="T1587" s="15"/>
      <c r="U1587" s="15"/>
    </row>
    <row r="1588" spans="12:21">
      <c r="L1588" s="15"/>
      <c r="M1588" s="15"/>
      <c r="N1588" s="15"/>
      <c r="T1588" s="15"/>
      <c r="U1588" s="15"/>
    </row>
    <row r="1589" spans="12:21">
      <c r="L1589" s="15"/>
      <c r="M1589" s="15"/>
      <c r="N1589" s="15"/>
      <c r="T1589" s="15"/>
      <c r="U1589" s="15"/>
    </row>
    <row r="1590" spans="12:21">
      <c r="L1590" s="15"/>
      <c r="M1590" s="15"/>
      <c r="N1590" s="15"/>
      <c r="T1590" s="15"/>
      <c r="U1590" s="15"/>
    </row>
    <row r="1591" spans="12:21">
      <c r="L1591" s="15"/>
      <c r="M1591" s="15"/>
      <c r="N1591" s="15"/>
      <c r="T1591" s="15"/>
      <c r="U1591" s="15"/>
    </row>
    <row r="1592" spans="12:21">
      <c r="L1592" s="15"/>
      <c r="M1592" s="15"/>
      <c r="N1592" s="15"/>
      <c r="T1592" s="15"/>
      <c r="U1592" s="15"/>
    </row>
    <row r="1593" spans="12:21">
      <c r="L1593" s="15"/>
      <c r="M1593" s="15"/>
      <c r="N1593" s="15"/>
      <c r="T1593" s="15"/>
      <c r="U1593" s="15"/>
    </row>
    <row r="1594" spans="12:21">
      <c r="L1594" s="15"/>
      <c r="M1594" s="15"/>
      <c r="N1594" s="15"/>
      <c r="T1594" s="15"/>
      <c r="U1594" s="15"/>
    </row>
    <row r="1595" spans="12:21">
      <c r="L1595" s="15"/>
      <c r="M1595" s="15"/>
      <c r="N1595" s="15"/>
      <c r="T1595" s="15"/>
      <c r="U1595" s="15"/>
    </row>
    <row r="1596" spans="12:21">
      <c r="L1596" s="15"/>
      <c r="M1596" s="15"/>
      <c r="N1596" s="15"/>
      <c r="T1596" s="15"/>
      <c r="U1596" s="15"/>
    </row>
    <row r="1597" spans="12:21">
      <c r="L1597" s="15"/>
      <c r="M1597" s="15"/>
      <c r="N1597" s="15"/>
      <c r="T1597" s="15"/>
      <c r="U1597" s="15"/>
    </row>
    <row r="1598" spans="12:21">
      <c r="L1598" s="15"/>
      <c r="M1598" s="15"/>
      <c r="N1598" s="15"/>
      <c r="T1598" s="15"/>
      <c r="U1598" s="15"/>
    </row>
    <row r="1599" spans="12:21">
      <c r="L1599" s="15"/>
      <c r="M1599" s="15"/>
      <c r="N1599" s="15"/>
      <c r="T1599" s="15"/>
      <c r="U1599" s="15"/>
    </row>
    <row r="1600" spans="12:21">
      <c r="L1600" s="15"/>
      <c r="M1600" s="15"/>
      <c r="N1600" s="15"/>
      <c r="T1600" s="15"/>
      <c r="U1600" s="15"/>
    </row>
    <row r="1601" spans="12:21">
      <c r="L1601" s="15"/>
      <c r="M1601" s="15"/>
      <c r="N1601" s="15"/>
      <c r="T1601" s="15"/>
      <c r="U1601" s="15"/>
    </row>
    <row r="1602" spans="12:21">
      <c r="L1602" s="15"/>
      <c r="M1602" s="15"/>
      <c r="N1602" s="15"/>
      <c r="T1602" s="15"/>
      <c r="U1602" s="15"/>
    </row>
    <row r="1603" spans="12:21">
      <c r="L1603" s="15"/>
      <c r="M1603" s="15"/>
      <c r="N1603" s="15"/>
      <c r="T1603" s="15"/>
      <c r="U1603" s="15"/>
    </row>
    <row r="1604" spans="12:21">
      <c r="L1604" s="15"/>
      <c r="M1604" s="15"/>
      <c r="N1604" s="15"/>
      <c r="T1604" s="15"/>
      <c r="U1604" s="15"/>
    </row>
    <row r="1605" spans="12:21">
      <c r="L1605" s="15"/>
      <c r="M1605" s="15"/>
      <c r="N1605" s="15"/>
      <c r="T1605" s="15"/>
      <c r="U1605" s="15"/>
    </row>
    <row r="1606" spans="12:21">
      <c r="L1606" s="15"/>
      <c r="M1606" s="15"/>
      <c r="N1606" s="15"/>
      <c r="T1606" s="15"/>
      <c r="U1606" s="15"/>
    </row>
    <row r="1607" spans="12:21">
      <c r="L1607" s="15"/>
      <c r="M1607" s="15"/>
      <c r="N1607" s="15"/>
      <c r="T1607" s="15"/>
      <c r="U1607" s="15"/>
    </row>
    <row r="1608" spans="12:21">
      <c r="L1608" s="15"/>
      <c r="M1608" s="15"/>
      <c r="N1608" s="15"/>
      <c r="T1608" s="15"/>
      <c r="U1608" s="15"/>
    </row>
    <row r="1609" spans="12:21">
      <c r="L1609" s="15"/>
      <c r="M1609" s="15"/>
      <c r="N1609" s="15"/>
      <c r="T1609" s="15"/>
      <c r="U1609" s="15"/>
    </row>
    <row r="1610" spans="12:21">
      <c r="L1610" s="15"/>
      <c r="M1610" s="15"/>
      <c r="N1610" s="15"/>
      <c r="T1610" s="15"/>
      <c r="U1610" s="15"/>
    </row>
    <row r="1611" spans="12:21">
      <c r="L1611" s="15"/>
      <c r="M1611" s="15"/>
      <c r="N1611" s="15"/>
      <c r="T1611" s="15"/>
      <c r="U1611" s="15"/>
    </row>
    <row r="1612" spans="12:21">
      <c r="L1612" s="15"/>
      <c r="M1612" s="15"/>
      <c r="N1612" s="15"/>
      <c r="T1612" s="15"/>
      <c r="U1612" s="15"/>
    </row>
    <row r="1613" spans="12:21">
      <c r="L1613" s="15"/>
      <c r="M1613" s="15"/>
      <c r="N1613" s="15"/>
      <c r="T1613" s="15"/>
      <c r="U1613" s="15"/>
    </row>
    <row r="1614" spans="12:21">
      <c r="L1614" s="15"/>
      <c r="M1614" s="15"/>
      <c r="N1614" s="15"/>
      <c r="T1614" s="15"/>
      <c r="U1614" s="15"/>
    </row>
    <row r="1615" spans="12:21">
      <c r="L1615" s="15"/>
      <c r="M1615" s="15"/>
      <c r="N1615" s="15"/>
      <c r="T1615" s="15"/>
      <c r="U1615" s="15"/>
    </row>
    <row r="1616" spans="12:21">
      <c r="L1616" s="15"/>
      <c r="M1616" s="15"/>
      <c r="N1616" s="15"/>
      <c r="T1616" s="15"/>
      <c r="U1616" s="15"/>
    </row>
    <row r="1617" spans="12:21">
      <c r="L1617" s="15"/>
      <c r="M1617" s="15"/>
      <c r="N1617" s="15"/>
      <c r="T1617" s="15"/>
      <c r="U1617" s="15"/>
    </row>
    <row r="1618" spans="12:21">
      <c r="L1618" s="15"/>
      <c r="M1618" s="15"/>
      <c r="N1618" s="15"/>
      <c r="T1618" s="15"/>
      <c r="U1618" s="15"/>
    </row>
    <row r="1619" spans="12:21">
      <c r="L1619" s="15"/>
      <c r="M1619" s="15"/>
      <c r="N1619" s="15"/>
      <c r="T1619" s="15"/>
      <c r="U1619" s="15"/>
    </row>
    <row r="1620" spans="12:21">
      <c r="L1620" s="15"/>
      <c r="M1620" s="15"/>
      <c r="N1620" s="15"/>
      <c r="T1620" s="15"/>
      <c r="U1620" s="15"/>
    </row>
    <row r="1621" spans="12:21">
      <c r="L1621" s="15"/>
      <c r="M1621" s="15"/>
      <c r="N1621" s="15"/>
      <c r="T1621" s="15"/>
      <c r="U1621" s="15"/>
    </row>
    <row r="1622" spans="12:21">
      <c r="L1622" s="15"/>
      <c r="M1622" s="15"/>
      <c r="N1622" s="15"/>
      <c r="T1622" s="15"/>
      <c r="U1622" s="15"/>
    </row>
    <row r="1623" spans="12:21">
      <c r="L1623" s="15"/>
      <c r="M1623" s="15"/>
      <c r="N1623" s="15"/>
      <c r="T1623" s="15"/>
      <c r="U1623" s="15"/>
    </row>
    <row r="1624" spans="12:21">
      <c r="L1624" s="15"/>
      <c r="M1624" s="15"/>
      <c r="N1624" s="15"/>
      <c r="T1624" s="15"/>
      <c r="U1624" s="15"/>
    </row>
    <row r="1625" spans="12:21">
      <c r="L1625" s="15"/>
      <c r="M1625" s="15"/>
      <c r="N1625" s="15"/>
      <c r="T1625" s="15"/>
      <c r="U1625" s="15"/>
    </row>
    <row r="1626" spans="12:21">
      <c r="L1626" s="15"/>
      <c r="M1626" s="15"/>
      <c r="N1626" s="15"/>
      <c r="T1626" s="15"/>
      <c r="U1626" s="15"/>
    </row>
    <row r="1627" spans="12:21">
      <c r="L1627" s="15"/>
      <c r="M1627" s="15"/>
      <c r="N1627" s="15"/>
      <c r="T1627" s="15"/>
      <c r="U1627" s="15"/>
    </row>
    <row r="1628" spans="12:21">
      <c r="L1628" s="15"/>
      <c r="M1628" s="15"/>
      <c r="N1628" s="15"/>
      <c r="T1628" s="15"/>
      <c r="U1628" s="15"/>
    </row>
    <row r="1629" spans="12:21">
      <c r="L1629" s="15"/>
      <c r="M1629" s="15"/>
      <c r="N1629" s="15"/>
      <c r="T1629" s="15"/>
      <c r="U1629" s="15"/>
    </row>
    <row r="1630" spans="12:21">
      <c r="L1630" s="15"/>
      <c r="M1630" s="15"/>
      <c r="N1630" s="15"/>
      <c r="T1630" s="15"/>
      <c r="U1630" s="15"/>
    </row>
    <row r="1631" spans="12:21">
      <c r="L1631" s="15"/>
      <c r="M1631" s="15"/>
      <c r="N1631" s="15"/>
      <c r="T1631" s="15"/>
      <c r="U1631" s="15"/>
    </row>
    <row r="1632" spans="12:21">
      <c r="L1632" s="15"/>
      <c r="M1632" s="15"/>
      <c r="N1632" s="15"/>
      <c r="T1632" s="15"/>
      <c r="U1632" s="15"/>
    </row>
    <row r="1633" spans="12:21">
      <c r="L1633" s="15"/>
      <c r="M1633" s="15"/>
      <c r="N1633" s="15"/>
      <c r="T1633" s="15"/>
      <c r="U1633" s="15"/>
    </row>
    <row r="1634" spans="12:21">
      <c r="L1634" s="15"/>
      <c r="M1634" s="15"/>
      <c r="N1634" s="15"/>
      <c r="T1634" s="15"/>
      <c r="U1634" s="15"/>
    </row>
    <row r="1635" spans="12:21">
      <c r="L1635" s="15"/>
      <c r="M1635" s="15"/>
      <c r="N1635" s="15"/>
      <c r="T1635" s="15"/>
      <c r="U1635" s="15"/>
    </row>
    <row r="1636" spans="12:21">
      <c r="L1636" s="15"/>
      <c r="M1636" s="15"/>
      <c r="N1636" s="15"/>
      <c r="T1636" s="15"/>
      <c r="U1636" s="15"/>
    </row>
    <row r="1637" spans="12:21">
      <c r="L1637" s="15"/>
      <c r="M1637" s="15"/>
      <c r="N1637" s="15"/>
      <c r="T1637" s="15"/>
      <c r="U1637" s="15"/>
    </row>
    <row r="1638" spans="12:21">
      <c r="L1638" s="15"/>
      <c r="M1638" s="15"/>
      <c r="N1638" s="15"/>
      <c r="T1638" s="15"/>
      <c r="U1638" s="15"/>
    </row>
    <row r="1639" spans="12:21">
      <c r="L1639" s="15"/>
      <c r="M1639" s="15"/>
      <c r="N1639" s="15"/>
      <c r="T1639" s="15"/>
      <c r="U1639" s="15"/>
    </row>
    <row r="1640" spans="12:21">
      <c r="L1640" s="15"/>
      <c r="M1640" s="15"/>
      <c r="N1640" s="15"/>
      <c r="T1640" s="15"/>
      <c r="U1640" s="15"/>
    </row>
    <row r="1641" spans="12:21">
      <c r="L1641" s="15"/>
      <c r="M1641" s="15"/>
      <c r="N1641" s="15"/>
      <c r="T1641" s="15"/>
      <c r="U1641" s="15"/>
    </row>
    <row r="1642" spans="12:21">
      <c r="L1642" s="15"/>
      <c r="M1642" s="15"/>
      <c r="N1642" s="15"/>
      <c r="T1642" s="15"/>
      <c r="U1642" s="15"/>
    </row>
    <row r="1643" spans="12:21">
      <c r="L1643" s="15"/>
      <c r="M1643" s="15"/>
      <c r="N1643" s="15"/>
      <c r="T1643" s="15"/>
      <c r="U1643" s="15"/>
    </row>
    <row r="1644" spans="12:21">
      <c r="L1644" s="15"/>
      <c r="M1644" s="15"/>
      <c r="N1644" s="15"/>
      <c r="T1644" s="15"/>
      <c r="U1644" s="15"/>
    </row>
    <row r="1645" spans="12:21">
      <c r="L1645" s="15"/>
      <c r="M1645" s="15"/>
      <c r="N1645" s="15"/>
      <c r="T1645" s="15"/>
      <c r="U1645" s="15"/>
    </row>
    <row r="1646" spans="12:21">
      <c r="L1646" s="15"/>
      <c r="M1646" s="15"/>
      <c r="N1646" s="15"/>
      <c r="T1646" s="15"/>
      <c r="U1646" s="15"/>
    </row>
    <row r="1647" spans="12:21">
      <c r="L1647" s="15"/>
      <c r="M1647" s="15"/>
      <c r="N1647" s="15"/>
      <c r="T1647" s="15"/>
      <c r="U1647" s="15"/>
    </row>
    <row r="1648" spans="12:21">
      <c r="L1648" s="15"/>
      <c r="M1648" s="15"/>
      <c r="N1648" s="15"/>
      <c r="T1648" s="15"/>
      <c r="U1648" s="15"/>
    </row>
    <row r="1649" spans="12:21">
      <c r="L1649" s="15"/>
      <c r="M1649" s="15"/>
      <c r="N1649" s="15"/>
      <c r="T1649" s="15"/>
      <c r="U1649" s="15"/>
    </row>
    <row r="1650" spans="12:21">
      <c r="L1650" s="15"/>
      <c r="M1650" s="15"/>
      <c r="N1650" s="15"/>
      <c r="T1650" s="15"/>
      <c r="U1650" s="15"/>
    </row>
    <row r="1651" spans="12:21">
      <c r="L1651" s="15"/>
      <c r="M1651" s="15"/>
      <c r="N1651" s="15"/>
      <c r="T1651" s="15"/>
      <c r="U1651" s="15"/>
    </row>
    <row r="1652" spans="12:21">
      <c r="L1652" s="15"/>
      <c r="M1652" s="15"/>
      <c r="N1652" s="15"/>
      <c r="T1652" s="15"/>
      <c r="U1652" s="15"/>
    </row>
    <row r="1653" spans="12:21">
      <c r="L1653" s="15"/>
      <c r="M1653" s="15"/>
      <c r="N1653" s="15"/>
      <c r="T1653" s="15"/>
      <c r="U1653" s="15"/>
    </row>
    <row r="1654" spans="12:21">
      <c r="L1654" s="15"/>
      <c r="M1654" s="15"/>
      <c r="N1654" s="15"/>
      <c r="T1654" s="15"/>
      <c r="U1654" s="15"/>
    </row>
    <row r="1655" spans="12:21">
      <c r="L1655" s="15"/>
      <c r="M1655" s="15"/>
      <c r="N1655" s="15"/>
      <c r="T1655" s="15"/>
      <c r="U1655" s="15"/>
    </row>
    <row r="1656" spans="12:21">
      <c r="L1656" s="15"/>
      <c r="M1656" s="15"/>
      <c r="N1656" s="15"/>
      <c r="T1656" s="15"/>
      <c r="U1656" s="15"/>
    </row>
    <row r="1657" spans="12:21">
      <c r="L1657" s="15"/>
      <c r="M1657" s="15"/>
      <c r="N1657" s="15"/>
      <c r="T1657" s="15"/>
      <c r="U1657" s="15"/>
    </row>
    <row r="1658" spans="12:21">
      <c r="L1658" s="15"/>
      <c r="M1658" s="15"/>
      <c r="N1658" s="15"/>
      <c r="T1658" s="15"/>
      <c r="U1658" s="15"/>
    </row>
    <row r="1659" spans="12:21">
      <c r="L1659" s="15"/>
      <c r="M1659" s="15"/>
      <c r="N1659" s="15"/>
      <c r="T1659" s="15"/>
      <c r="U1659" s="15"/>
    </row>
    <row r="1660" spans="12:21">
      <c r="L1660" s="15"/>
      <c r="M1660" s="15"/>
      <c r="N1660" s="15"/>
      <c r="T1660" s="15"/>
      <c r="U1660" s="15"/>
    </row>
    <row r="1661" spans="12:21">
      <c r="L1661" s="15"/>
      <c r="M1661" s="15"/>
      <c r="N1661" s="15"/>
      <c r="T1661" s="15"/>
      <c r="U1661" s="15"/>
    </row>
    <row r="1662" spans="12:21">
      <c r="L1662" s="15"/>
      <c r="M1662" s="15"/>
      <c r="N1662" s="15"/>
      <c r="T1662" s="15"/>
      <c r="U1662" s="15"/>
    </row>
    <row r="1663" spans="12:21">
      <c r="L1663" s="15"/>
      <c r="M1663" s="15"/>
      <c r="N1663" s="15"/>
      <c r="T1663" s="15"/>
      <c r="U1663" s="15"/>
    </row>
    <row r="1664" spans="12:21">
      <c r="L1664" s="15"/>
      <c r="M1664" s="15"/>
      <c r="N1664" s="15"/>
      <c r="T1664" s="15"/>
      <c r="U1664" s="15"/>
    </row>
    <row r="1665" spans="12:21">
      <c r="L1665" s="15"/>
      <c r="M1665" s="15"/>
      <c r="N1665" s="15"/>
      <c r="T1665" s="15"/>
      <c r="U1665" s="15"/>
    </row>
    <row r="1666" spans="12:21">
      <c r="L1666" s="15"/>
      <c r="M1666" s="15"/>
      <c r="N1666" s="15"/>
      <c r="T1666" s="15"/>
      <c r="U1666" s="15"/>
    </row>
    <row r="1667" spans="12:21">
      <c r="L1667" s="15"/>
      <c r="M1667" s="15"/>
      <c r="N1667" s="15"/>
      <c r="T1667" s="15"/>
      <c r="U1667" s="15"/>
    </row>
    <row r="1668" spans="12:21">
      <c r="L1668" s="15"/>
      <c r="M1668" s="15"/>
      <c r="N1668" s="15"/>
      <c r="T1668" s="15"/>
      <c r="U1668" s="15"/>
    </row>
    <row r="1669" spans="12:21">
      <c r="L1669" s="15"/>
      <c r="M1669" s="15"/>
      <c r="N1669" s="15"/>
      <c r="T1669" s="15"/>
      <c r="U1669" s="15"/>
    </row>
    <row r="1670" spans="12:21">
      <c r="L1670" s="15"/>
      <c r="M1670" s="15"/>
      <c r="N1670" s="15"/>
      <c r="T1670" s="15"/>
      <c r="U1670" s="15"/>
    </row>
    <row r="1671" spans="12:21">
      <c r="L1671" s="15"/>
      <c r="M1671" s="15"/>
      <c r="N1671" s="15"/>
      <c r="T1671" s="15"/>
      <c r="U1671" s="15"/>
    </row>
    <row r="1672" spans="12:21">
      <c r="L1672" s="15"/>
      <c r="M1672" s="15"/>
      <c r="N1672" s="15"/>
      <c r="T1672" s="15"/>
      <c r="U1672" s="15"/>
    </row>
    <row r="1673" spans="12:21">
      <c r="L1673" s="15"/>
      <c r="M1673" s="15"/>
      <c r="N1673" s="15"/>
      <c r="T1673" s="15"/>
      <c r="U1673" s="15"/>
    </row>
    <row r="1674" spans="12:21">
      <c r="L1674" s="15"/>
      <c r="M1674" s="15"/>
      <c r="N1674" s="15"/>
      <c r="T1674" s="15"/>
      <c r="U1674" s="15"/>
    </row>
    <row r="1675" spans="12:21">
      <c r="L1675" s="15"/>
      <c r="M1675" s="15"/>
      <c r="N1675" s="15"/>
      <c r="T1675" s="15"/>
      <c r="U1675" s="15"/>
    </row>
    <row r="1676" spans="12:21">
      <c r="L1676" s="15"/>
      <c r="M1676" s="15"/>
      <c r="N1676" s="15"/>
      <c r="T1676" s="15"/>
      <c r="U1676" s="15"/>
    </row>
    <row r="1677" spans="12:21">
      <c r="L1677" s="15"/>
      <c r="M1677" s="15"/>
      <c r="N1677" s="15"/>
      <c r="T1677" s="15"/>
      <c r="U1677" s="15"/>
    </row>
    <row r="1678" spans="12:21">
      <c r="L1678" s="15"/>
      <c r="M1678" s="15"/>
      <c r="N1678" s="15"/>
      <c r="T1678" s="15"/>
      <c r="U1678" s="15"/>
    </row>
    <row r="1679" spans="12:21">
      <c r="L1679" s="15"/>
      <c r="M1679" s="15"/>
      <c r="N1679" s="15"/>
      <c r="T1679" s="15"/>
      <c r="U1679" s="15"/>
    </row>
    <row r="1680" spans="12:21">
      <c r="L1680" s="15"/>
      <c r="M1680" s="15"/>
      <c r="N1680" s="15"/>
      <c r="T1680" s="15"/>
      <c r="U1680" s="15"/>
    </row>
    <row r="1681" spans="12:21">
      <c r="L1681" s="15"/>
      <c r="M1681" s="15"/>
      <c r="N1681" s="15"/>
      <c r="T1681" s="15"/>
      <c r="U1681" s="15"/>
    </row>
    <row r="1682" spans="12:21">
      <c r="L1682" s="15"/>
      <c r="M1682" s="15"/>
      <c r="N1682" s="15"/>
      <c r="T1682" s="15"/>
      <c r="U1682" s="15"/>
    </row>
    <row r="1683" spans="12:21">
      <c r="L1683" s="15"/>
      <c r="M1683" s="15"/>
      <c r="N1683" s="15"/>
      <c r="T1683" s="15"/>
      <c r="U1683" s="15"/>
    </row>
    <row r="1684" spans="12:21">
      <c r="L1684" s="15"/>
      <c r="M1684" s="15"/>
      <c r="N1684" s="15"/>
      <c r="T1684" s="15"/>
      <c r="U1684" s="15"/>
    </row>
    <row r="1685" spans="12:21">
      <c r="L1685" s="15"/>
      <c r="M1685" s="15"/>
      <c r="N1685" s="15"/>
      <c r="T1685" s="15"/>
      <c r="U1685" s="15"/>
    </row>
    <row r="1686" spans="12:21">
      <c r="L1686" s="15"/>
      <c r="M1686" s="15"/>
      <c r="N1686" s="15"/>
      <c r="T1686" s="15"/>
      <c r="U1686" s="15"/>
    </row>
    <row r="1687" spans="12:21">
      <c r="L1687" s="15"/>
      <c r="M1687" s="15"/>
      <c r="N1687" s="15"/>
      <c r="T1687" s="15"/>
      <c r="U1687" s="15"/>
    </row>
    <row r="1688" spans="12:21">
      <c r="L1688" s="15"/>
      <c r="M1688" s="15"/>
      <c r="N1688" s="15"/>
      <c r="T1688" s="15"/>
      <c r="U1688" s="15"/>
    </row>
    <row r="1689" spans="12:21">
      <c r="L1689" s="15"/>
      <c r="M1689" s="15"/>
      <c r="N1689" s="15"/>
      <c r="T1689" s="15"/>
      <c r="U1689" s="15"/>
    </row>
    <row r="1690" spans="12:21">
      <c r="L1690" s="15"/>
      <c r="M1690" s="15"/>
      <c r="N1690" s="15"/>
      <c r="T1690" s="15"/>
      <c r="U1690" s="15"/>
    </row>
    <row r="1691" spans="12:21">
      <c r="L1691" s="15"/>
      <c r="M1691" s="15"/>
      <c r="N1691" s="15"/>
      <c r="T1691" s="15"/>
      <c r="U1691" s="15"/>
    </row>
    <row r="1692" spans="12:21">
      <c r="L1692" s="15"/>
      <c r="M1692" s="15"/>
      <c r="N1692" s="15"/>
      <c r="T1692" s="15"/>
      <c r="U1692" s="15"/>
    </row>
    <row r="1693" spans="12:21">
      <c r="L1693" s="15"/>
      <c r="M1693" s="15"/>
      <c r="N1693" s="15"/>
      <c r="T1693" s="15"/>
      <c r="U1693" s="15"/>
    </row>
    <row r="1694" spans="12:21">
      <c r="L1694" s="15"/>
      <c r="M1694" s="15"/>
      <c r="N1694" s="15"/>
      <c r="T1694" s="15"/>
      <c r="U1694" s="15"/>
    </row>
    <row r="1695" spans="12:21">
      <c r="L1695" s="15"/>
      <c r="M1695" s="15"/>
      <c r="N1695" s="15"/>
      <c r="T1695" s="15"/>
      <c r="U1695" s="15"/>
    </row>
    <row r="1696" spans="12:21">
      <c r="L1696" s="15"/>
      <c r="M1696" s="15"/>
      <c r="N1696" s="15"/>
      <c r="T1696" s="15"/>
      <c r="U1696" s="15"/>
    </row>
    <row r="1697" spans="12:21">
      <c r="L1697" s="15"/>
      <c r="M1697" s="15"/>
      <c r="N1697" s="15"/>
      <c r="T1697" s="15"/>
      <c r="U1697" s="15"/>
    </row>
    <row r="1698" spans="12:21">
      <c r="L1698" s="15"/>
      <c r="M1698" s="15"/>
      <c r="N1698" s="15"/>
      <c r="T1698" s="15"/>
      <c r="U1698" s="15"/>
    </row>
    <row r="1699" spans="12:21">
      <c r="L1699" s="15"/>
      <c r="M1699" s="15"/>
      <c r="N1699" s="15"/>
      <c r="T1699" s="15"/>
      <c r="U1699" s="15"/>
    </row>
    <row r="1700" spans="12:21">
      <c r="L1700" s="15"/>
      <c r="M1700" s="15"/>
      <c r="N1700" s="15"/>
      <c r="T1700" s="15"/>
      <c r="U1700" s="15"/>
    </row>
    <row r="1701" spans="12:21">
      <c r="L1701" s="15"/>
      <c r="M1701" s="15"/>
      <c r="N1701" s="15"/>
      <c r="T1701" s="15"/>
      <c r="U1701" s="15"/>
    </row>
    <row r="1702" spans="12:21">
      <c r="L1702" s="15"/>
      <c r="M1702" s="15"/>
      <c r="N1702" s="15"/>
      <c r="T1702" s="15"/>
      <c r="U1702" s="15"/>
    </row>
    <row r="1703" spans="12:21">
      <c r="L1703" s="15"/>
      <c r="M1703" s="15"/>
      <c r="N1703" s="15"/>
      <c r="T1703" s="15"/>
      <c r="U1703" s="15"/>
    </row>
    <row r="1704" spans="12:21">
      <c r="L1704" s="15"/>
      <c r="M1704" s="15"/>
      <c r="N1704" s="15"/>
      <c r="T1704" s="15"/>
      <c r="U1704" s="15"/>
    </row>
    <row r="1705" spans="12:21">
      <c r="L1705" s="15"/>
      <c r="M1705" s="15"/>
      <c r="N1705" s="15"/>
      <c r="T1705" s="15"/>
      <c r="U1705" s="15"/>
    </row>
    <row r="1706" spans="12:21">
      <c r="L1706" s="15"/>
      <c r="M1706" s="15"/>
      <c r="N1706" s="15"/>
      <c r="T1706" s="15"/>
      <c r="U1706" s="15"/>
    </row>
    <row r="1707" spans="12:21">
      <c r="L1707" s="15"/>
      <c r="M1707" s="15"/>
      <c r="N1707" s="15"/>
      <c r="T1707" s="15"/>
      <c r="U1707" s="15"/>
    </row>
    <row r="1708" spans="12:21">
      <c r="L1708" s="15"/>
      <c r="M1708" s="15"/>
      <c r="N1708" s="15"/>
      <c r="T1708" s="15"/>
      <c r="U1708" s="15"/>
    </row>
    <row r="1709" spans="12:21">
      <c r="L1709" s="15"/>
      <c r="M1709" s="15"/>
      <c r="N1709" s="15"/>
      <c r="T1709" s="15"/>
      <c r="U1709" s="15"/>
    </row>
    <row r="1710" spans="12:21">
      <c r="L1710" s="15"/>
      <c r="M1710" s="15"/>
      <c r="N1710" s="15"/>
      <c r="T1710" s="15"/>
      <c r="U1710" s="15"/>
    </row>
    <row r="1711" spans="12:21">
      <c r="L1711" s="15"/>
      <c r="M1711" s="15"/>
      <c r="N1711" s="15"/>
      <c r="T1711" s="15"/>
      <c r="U1711" s="15"/>
    </row>
    <row r="1712" spans="12:21">
      <c r="L1712" s="15"/>
      <c r="M1712" s="15"/>
      <c r="N1712" s="15"/>
      <c r="T1712" s="15"/>
      <c r="U1712" s="15"/>
    </row>
    <row r="1713" spans="12:21">
      <c r="L1713" s="15"/>
      <c r="M1713" s="15"/>
      <c r="N1713" s="15"/>
      <c r="T1713" s="15"/>
      <c r="U1713" s="15"/>
    </row>
    <row r="1714" spans="12:21">
      <c r="L1714" s="15"/>
      <c r="M1714" s="15"/>
      <c r="N1714" s="15"/>
      <c r="T1714" s="15"/>
      <c r="U1714" s="15"/>
    </row>
    <row r="1715" spans="12:21">
      <c r="L1715" s="15"/>
      <c r="M1715" s="15"/>
      <c r="N1715" s="15"/>
      <c r="T1715" s="15"/>
      <c r="U1715" s="15"/>
    </row>
    <row r="1716" spans="12:21">
      <c r="L1716" s="15"/>
      <c r="M1716" s="15"/>
      <c r="N1716" s="15"/>
      <c r="T1716" s="15"/>
      <c r="U1716" s="15"/>
    </row>
    <row r="1717" spans="12:21">
      <c r="L1717" s="15"/>
      <c r="M1717" s="15"/>
      <c r="N1717" s="15"/>
      <c r="T1717" s="15"/>
      <c r="U1717" s="15"/>
    </row>
    <row r="1718" spans="12:21">
      <c r="L1718" s="15"/>
      <c r="M1718" s="15"/>
      <c r="N1718" s="15"/>
      <c r="T1718" s="15"/>
      <c r="U1718" s="15"/>
    </row>
    <row r="1719" spans="12:21">
      <c r="L1719" s="15"/>
      <c r="M1719" s="15"/>
      <c r="N1719" s="15"/>
      <c r="T1719" s="15"/>
      <c r="U1719" s="15"/>
    </row>
    <row r="1720" spans="12:21">
      <c r="L1720" s="15"/>
      <c r="M1720" s="15"/>
      <c r="N1720" s="15"/>
      <c r="T1720" s="15"/>
      <c r="U1720" s="15"/>
    </row>
    <row r="1721" spans="12:21">
      <c r="L1721" s="15"/>
      <c r="M1721" s="15"/>
      <c r="N1721" s="15"/>
      <c r="T1721" s="15"/>
      <c r="U1721" s="15"/>
    </row>
    <row r="1722" spans="12:21">
      <c r="L1722" s="15"/>
      <c r="M1722" s="15"/>
      <c r="N1722" s="15"/>
      <c r="T1722" s="15"/>
      <c r="U1722" s="15"/>
    </row>
    <row r="1723" spans="12:21">
      <c r="L1723" s="15"/>
      <c r="M1723" s="15"/>
      <c r="N1723" s="15"/>
      <c r="T1723" s="15"/>
      <c r="U1723" s="15"/>
    </row>
    <row r="1724" spans="12:21">
      <c r="L1724" s="15"/>
      <c r="M1724" s="15"/>
      <c r="N1724" s="15"/>
      <c r="T1724" s="15"/>
      <c r="U1724" s="15"/>
    </row>
    <row r="1725" spans="12:21">
      <c r="L1725" s="15"/>
      <c r="M1725" s="15"/>
      <c r="N1725" s="15"/>
      <c r="T1725" s="15"/>
      <c r="U1725" s="15"/>
    </row>
    <row r="1726" spans="12:21">
      <c r="L1726" s="15"/>
      <c r="M1726" s="15"/>
      <c r="N1726" s="15"/>
      <c r="T1726" s="15"/>
      <c r="U1726" s="15"/>
    </row>
    <row r="1727" spans="12:21">
      <c r="L1727" s="15"/>
      <c r="M1727" s="15"/>
      <c r="N1727" s="15"/>
      <c r="T1727" s="15"/>
      <c r="U1727" s="15"/>
    </row>
    <row r="1728" spans="12:21">
      <c r="L1728" s="15"/>
      <c r="M1728" s="15"/>
      <c r="N1728" s="15"/>
      <c r="T1728" s="15"/>
      <c r="U1728" s="15"/>
    </row>
    <row r="1729" spans="12:21">
      <c r="L1729" s="15"/>
      <c r="M1729" s="15"/>
      <c r="N1729" s="15"/>
      <c r="T1729" s="15"/>
      <c r="U1729" s="15"/>
    </row>
    <row r="1730" spans="12:21">
      <c r="L1730" s="15"/>
      <c r="M1730" s="15"/>
      <c r="N1730" s="15"/>
      <c r="T1730" s="15"/>
      <c r="U1730" s="15"/>
    </row>
    <row r="1731" spans="12:21">
      <c r="L1731" s="15"/>
      <c r="M1731" s="15"/>
      <c r="N1731" s="15"/>
      <c r="T1731" s="15"/>
      <c r="U1731" s="15"/>
    </row>
    <row r="1732" spans="12:21">
      <c r="L1732" s="15"/>
      <c r="M1732" s="15"/>
      <c r="N1732" s="15"/>
      <c r="T1732" s="15"/>
      <c r="U1732" s="15"/>
    </row>
    <row r="1733" spans="12:21">
      <c r="L1733" s="15"/>
      <c r="M1733" s="15"/>
      <c r="N1733" s="15"/>
      <c r="T1733" s="15"/>
      <c r="U1733" s="15"/>
    </row>
    <row r="1734" spans="12:21">
      <c r="L1734" s="15"/>
      <c r="M1734" s="15"/>
      <c r="N1734" s="15"/>
      <c r="T1734" s="15"/>
      <c r="U1734" s="15"/>
    </row>
    <row r="1735" spans="12:21">
      <c r="L1735" s="15"/>
      <c r="M1735" s="15"/>
      <c r="N1735" s="15"/>
      <c r="T1735" s="15"/>
      <c r="U1735" s="15"/>
    </row>
    <row r="1736" spans="12:21">
      <c r="L1736" s="15"/>
      <c r="M1736" s="15"/>
      <c r="N1736" s="15"/>
      <c r="T1736" s="15"/>
      <c r="U1736" s="15"/>
    </row>
    <row r="1737" spans="12:21">
      <c r="L1737" s="15"/>
      <c r="M1737" s="15"/>
      <c r="N1737" s="15"/>
      <c r="T1737" s="15"/>
      <c r="U1737" s="15"/>
    </row>
    <row r="1738" spans="12:21">
      <c r="L1738" s="15"/>
      <c r="M1738" s="15"/>
      <c r="N1738" s="15"/>
      <c r="T1738" s="15"/>
      <c r="U1738" s="15"/>
    </row>
    <row r="1739" spans="12:21">
      <c r="L1739" s="15"/>
      <c r="M1739" s="15"/>
      <c r="N1739" s="15"/>
      <c r="T1739" s="15"/>
      <c r="U1739" s="15"/>
    </row>
    <row r="1740" spans="12:21">
      <c r="L1740" s="15"/>
      <c r="M1740" s="15"/>
      <c r="N1740" s="15"/>
      <c r="T1740" s="15"/>
      <c r="U1740" s="15"/>
    </row>
    <row r="1741" spans="12:21">
      <c r="L1741" s="15"/>
      <c r="M1741" s="15"/>
      <c r="N1741" s="15"/>
      <c r="T1741" s="15"/>
      <c r="U1741" s="15"/>
    </row>
    <row r="1742" spans="12:21">
      <c r="L1742" s="15"/>
      <c r="M1742" s="15"/>
      <c r="N1742" s="15"/>
      <c r="T1742" s="15"/>
      <c r="U1742" s="15"/>
    </row>
    <row r="1743" spans="12:21">
      <c r="L1743" s="15"/>
      <c r="M1743" s="15"/>
      <c r="N1743" s="15"/>
      <c r="T1743" s="15"/>
      <c r="U1743" s="15"/>
    </row>
    <row r="1744" spans="12:21">
      <c r="L1744" s="15"/>
      <c r="M1744" s="15"/>
      <c r="N1744" s="15"/>
      <c r="T1744" s="15"/>
      <c r="U1744" s="15"/>
    </row>
    <row r="1745" spans="12:21">
      <c r="L1745" s="15"/>
      <c r="M1745" s="15"/>
      <c r="N1745" s="15"/>
      <c r="T1745" s="15"/>
      <c r="U1745" s="15"/>
    </row>
    <row r="1746" spans="12:21">
      <c r="L1746" s="15"/>
      <c r="M1746" s="15"/>
      <c r="N1746" s="15"/>
      <c r="T1746" s="15"/>
      <c r="U1746" s="15"/>
    </row>
    <row r="1747" spans="12:21">
      <c r="L1747" s="15"/>
      <c r="M1747" s="15"/>
      <c r="N1747" s="15"/>
      <c r="T1747" s="15"/>
      <c r="U1747" s="15"/>
    </row>
    <row r="1748" spans="12:21">
      <c r="L1748" s="15"/>
      <c r="M1748" s="15"/>
      <c r="N1748" s="15"/>
      <c r="T1748" s="15"/>
      <c r="U1748" s="15"/>
    </row>
    <row r="1749" spans="12:21">
      <c r="L1749" s="15"/>
      <c r="M1749" s="15"/>
      <c r="N1749" s="15"/>
      <c r="T1749" s="15"/>
      <c r="U1749" s="15"/>
    </row>
    <row r="1750" spans="12:21">
      <c r="L1750" s="15"/>
      <c r="M1750" s="15"/>
      <c r="N1750" s="15"/>
      <c r="T1750" s="15"/>
      <c r="U1750" s="15"/>
    </row>
    <row r="1751" spans="12:21">
      <c r="L1751" s="15"/>
      <c r="M1751" s="15"/>
      <c r="N1751" s="15"/>
      <c r="T1751" s="15"/>
      <c r="U1751" s="15"/>
    </row>
    <row r="1752" spans="12:21">
      <c r="L1752" s="15"/>
      <c r="M1752" s="15"/>
      <c r="N1752" s="15"/>
      <c r="T1752" s="15"/>
      <c r="U1752" s="15"/>
    </row>
    <row r="1753" spans="12:21">
      <c r="L1753" s="15"/>
      <c r="M1753" s="15"/>
      <c r="N1753" s="15"/>
      <c r="T1753" s="15"/>
      <c r="U1753" s="15"/>
    </row>
    <row r="1754" spans="12:21">
      <c r="L1754" s="15"/>
      <c r="M1754" s="15"/>
      <c r="N1754" s="15"/>
      <c r="T1754" s="15"/>
      <c r="U1754" s="15"/>
    </row>
    <row r="1755" spans="12:21">
      <c r="L1755" s="15"/>
      <c r="M1755" s="15"/>
      <c r="N1755" s="15"/>
      <c r="T1755" s="15"/>
      <c r="U1755" s="15"/>
    </row>
    <row r="1756" spans="12:21">
      <c r="L1756" s="15"/>
      <c r="M1756" s="15"/>
      <c r="N1756" s="15"/>
      <c r="T1756" s="15"/>
      <c r="U1756" s="15"/>
    </row>
    <row r="1757" spans="12:21">
      <c r="L1757" s="15"/>
      <c r="M1757" s="15"/>
      <c r="N1757" s="15"/>
      <c r="T1757" s="15"/>
      <c r="U1757" s="15"/>
    </row>
    <row r="1758" spans="12:21">
      <c r="L1758" s="15"/>
      <c r="M1758" s="15"/>
      <c r="N1758" s="15"/>
      <c r="T1758" s="15"/>
      <c r="U1758" s="15"/>
    </row>
    <row r="1759" spans="12:21">
      <c r="L1759" s="15"/>
      <c r="M1759" s="15"/>
      <c r="N1759" s="15"/>
      <c r="T1759" s="15"/>
      <c r="U1759" s="15"/>
    </row>
    <row r="1760" spans="12:21">
      <c r="L1760" s="15"/>
      <c r="M1760" s="15"/>
      <c r="N1760" s="15"/>
      <c r="T1760" s="15"/>
      <c r="U1760" s="15"/>
    </row>
    <row r="1761" spans="12:21">
      <c r="L1761" s="15"/>
      <c r="M1761" s="15"/>
      <c r="N1761" s="15"/>
      <c r="T1761" s="15"/>
      <c r="U1761" s="15"/>
    </row>
    <row r="1762" spans="12:21">
      <c r="L1762" s="15"/>
      <c r="M1762" s="15"/>
      <c r="N1762" s="15"/>
      <c r="T1762" s="15"/>
      <c r="U1762" s="15"/>
    </row>
    <row r="1763" spans="12:21">
      <c r="L1763" s="15"/>
      <c r="M1763" s="15"/>
      <c r="N1763" s="15"/>
      <c r="T1763" s="15"/>
      <c r="U1763" s="15"/>
    </row>
    <row r="1764" spans="12:21">
      <c r="L1764" s="15"/>
      <c r="M1764" s="15"/>
      <c r="N1764" s="15"/>
      <c r="T1764" s="15"/>
      <c r="U1764" s="15"/>
    </row>
    <row r="1765" spans="12:21">
      <c r="L1765" s="15"/>
      <c r="M1765" s="15"/>
      <c r="N1765" s="15"/>
      <c r="T1765" s="15"/>
      <c r="U1765" s="15"/>
    </row>
    <row r="1766" spans="12:21">
      <c r="L1766" s="15"/>
      <c r="M1766" s="15"/>
      <c r="N1766" s="15"/>
      <c r="T1766" s="15"/>
      <c r="U1766" s="15"/>
    </row>
    <row r="1767" spans="12:21">
      <c r="L1767" s="15"/>
      <c r="M1767" s="15"/>
      <c r="N1767" s="15"/>
      <c r="T1767" s="15"/>
      <c r="U1767" s="15"/>
    </row>
    <row r="1768" spans="12:21">
      <c r="L1768" s="15"/>
      <c r="M1768" s="15"/>
      <c r="N1768" s="15"/>
      <c r="T1768" s="15"/>
      <c r="U1768" s="15"/>
    </row>
    <row r="1769" spans="12:21">
      <c r="L1769" s="15"/>
      <c r="M1769" s="15"/>
      <c r="N1769" s="15"/>
      <c r="T1769" s="15"/>
      <c r="U1769" s="15"/>
    </row>
    <row r="1770" spans="12:21">
      <c r="L1770" s="15"/>
      <c r="M1770" s="15"/>
      <c r="N1770" s="15"/>
      <c r="T1770" s="15"/>
      <c r="U1770" s="15"/>
    </row>
    <row r="1771" spans="12:21">
      <c r="L1771" s="15"/>
      <c r="M1771" s="15"/>
      <c r="N1771" s="15"/>
      <c r="T1771" s="15"/>
      <c r="U1771" s="15"/>
    </row>
    <row r="1772" spans="12:21">
      <c r="L1772" s="15"/>
      <c r="M1772" s="15"/>
      <c r="N1772" s="15"/>
      <c r="T1772" s="15"/>
      <c r="U1772" s="15"/>
    </row>
    <row r="1773" spans="12:21">
      <c r="L1773" s="15"/>
      <c r="M1773" s="15"/>
      <c r="N1773" s="15"/>
      <c r="T1773" s="15"/>
      <c r="U1773" s="15"/>
    </row>
    <row r="1774" spans="12:21">
      <c r="L1774" s="15"/>
      <c r="M1774" s="15"/>
      <c r="N1774" s="15"/>
      <c r="T1774" s="15"/>
      <c r="U1774" s="15"/>
    </row>
    <row r="1775" spans="12:21">
      <c r="L1775" s="15"/>
      <c r="M1775" s="15"/>
      <c r="N1775" s="15"/>
      <c r="T1775" s="15"/>
      <c r="U1775" s="15"/>
    </row>
    <row r="1776" spans="12:21">
      <c r="L1776" s="15"/>
      <c r="M1776" s="15"/>
      <c r="N1776" s="15"/>
      <c r="T1776" s="15"/>
      <c r="U1776" s="15"/>
    </row>
    <row r="1777" spans="12:21">
      <c r="L1777" s="15"/>
      <c r="M1777" s="15"/>
      <c r="N1777" s="15"/>
      <c r="T1777" s="15"/>
      <c r="U1777" s="15"/>
    </row>
    <row r="1778" spans="12:21">
      <c r="L1778" s="15"/>
      <c r="M1778" s="15"/>
      <c r="N1778" s="15"/>
      <c r="T1778" s="15"/>
      <c r="U1778" s="15"/>
    </row>
    <row r="1779" spans="12:21">
      <c r="L1779" s="15"/>
      <c r="M1779" s="15"/>
      <c r="N1779" s="15"/>
      <c r="T1779" s="15"/>
      <c r="U1779" s="15"/>
    </row>
    <row r="1780" spans="12:21">
      <c r="L1780" s="15"/>
      <c r="M1780" s="15"/>
      <c r="N1780" s="15"/>
      <c r="T1780" s="15"/>
      <c r="U1780" s="15"/>
    </row>
    <row r="1781" spans="12:21">
      <c r="L1781" s="15"/>
      <c r="M1781" s="15"/>
      <c r="N1781" s="15"/>
      <c r="T1781" s="15"/>
      <c r="U1781" s="15"/>
    </row>
    <row r="1782" spans="12:21">
      <c r="L1782" s="15"/>
      <c r="M1782" s="15"/>
      <c r="N1782" s="15"/>
      <c r="T1782" s="15"/>
      <c r="U1782" s="15"/>
    </row>
    <row r="1783" spans="12:21">
      <c r="L1783" s="15"/>
      <c r="M1783" s="15"/>
      <c r="N1783" s="15"/>
      <c r="T1783" s="15"/>
      <c r="U1783" s="15"/>
    </row>
    <row r="1784" spans="12:21">
      <c r="L1784" s="15"/>
      <c r="M1784" s="15"/>
      <c r="N1784" s="15"/>
      <c r="T1784" s="15"/>
      <c r="U1784" s="15"/>
    </row>
    <row r="1785" spans="12:21">
      <c r="L1785" s="15"/>
      <c r="M1785" s="15"/>
      <c r="N1785" s="15"/>
      <c r="T1785" s="15"/>
      <c r="U1785" s="15"/>
    </row>
    <row r="1786" spans="12:21">
      <c r="L1786" s="15"/>
      <c r="M1786" s="15"/>
      <c r="N1786" s="15"/>
      <c r="T1786" s="15"/>
      <c r="U1786" s="15"/>
    </row>
    <row r="1787" spans="12:21">
      <c r="L1787" s="15"/>
      <c r="M1787" s="15"/>
      <c r="N1787" s="15"/>
      <c r="T1787" s="15"/>
      <c r="U1787" s="15"/>
    </row>
    <row r="1788" spans="12:21">
      <c r="L1788" s="15"/>
      <c r="M1788" s="15"/>
      <c r="N1788" s="15"/>
      <c r="T1788" s="15"/>
      <c r="U1788" s="15"/>
    </row>
    <row r="1789" spans="12:21">
      <c r="L1789" s="15"/>
      <c r="M1789" s="15"/>
      <c r="N1789" s="15"/>
      <c r="T1789" s="15"/>
      <c r="U1789" s="15"/>
    </row>
    <row r="1790" spans="12:21">
      <c r="L1790" s="15"/>
      <c r="M1790" s="15"/>
      <c r="N1790" s="15"/>
      <c r="T1790" s="15"/>
      <c r="U1790" s="15"/>
    </row>
    <row r="1791" spans="12:21">
      <c r="L1791" s="15"/>
      <c r="M1791" s="15"/>
      <c r="N1791" s="15"/>
      <c r="T1791" s="15"/>
      <c r="U1791" s="15"/>
    </row>
    <row r="1792" spans="12:21">
      <c r="L1792" s="15"/>
      <c r="M1792" s="15"/>
      <c r="N1792" s="15"/>
      <c r="T1792" s="15"/>
      <c r="U1792" s="15"/>
    </row>
    <row r="1793" spans="12:21">
      <c r="L1793" s="15"/>
      <c r="M1793" s="15"/>
      <c r="N1793" s="15"/>
      <c r="T1793" s="15"/>
      <c r="U1793" s="15"/>
    </row>
    <row r="1794" spans="12:21">
      <c r="L1794" s="15"/>
      <c r="M1794" s="15"/>
      <c r="N1794" s="15"/>
      <c r="T1794" s="15"/>
      <c r="U1794" s="15"/>
    </row>
    <row r="1795" spans="12:21">
      <c r="L1795" s="15"/>
      <c r="M1795" s="15"/>
      <c r="N1795" s="15"/>
      <c r="T1795" s="15"/>
      <c r="U1795" s="15"/>
    </row>
    <row r="1796" spans="12:21">
      <c r="L1796" s="15"/>
      <c r="M1796" s="15"/>
      <c r="N1796" s="15"/>
      <c r="T1796" s="15"/>
      <c r="U1796" s="15"/>
    </row>
    <row r="1797" spans="12:21">
      <c r="L1797" s="15"/>
      <c r="M1797" s="15"/>
      <c r="N1797" s="15"/>
      <c r="T1797" s="15"/>
      <c r="U1797" s="15"/>
    </row>
    <row r="1798" spans="12:21">
      <c r="L1798" s="15"/>
      <c r="M1798" s="15"/>
      <c r="N1798" s="15"/>
      <c r="T1798" s="15"/>
      <c r="U1798" s="15"/>
    </row>
    <row r="1799" spans="12:21">
      <c r="L1799" s="15"/>
      <c r="M1799" s="15"/>
      <c r="N1799" s="15"/>
      <c r="T1799" s="15"/>
      <c r="U1799" s="15"/>
    </row>
    <row r="1800" spans="12:21">
      <c r="L1800" s="15"/>
      <c r="M1800" s="15"/>
      <c r="N1800" s="15"/>
      <c r="T1800" s="15"/>
      <c r="U1800" s="15"/>
    </row>
    <row r="1801" spans="12:21">
      <c r="L1801" s="15"/>
      <c r="M1801" s="15"/>
      <c r="N1801" s="15"/>
      <c r="T1801" s="15"/>
      <c r="U1801" s="15"/>
    </row>
    <row r="1802" spans="12:21">
      <c r="L1802" s="15"/>
      <c r="M1802" s="15"/>
      <c r="N1802" s="15"/>
      <c r="T1802" s="15"/>
      <c r="U1802" s="15"/>
    </row>
    <row r="1803" spans="12:21">
      <c r="L1803" s="15"/>
      <c r="M1803" s="15"/>
      <c r="N1803" s="15"/>
      <c r="T1803" s="15"/>
      <c r="U1803" s="15"/>
    </row>
    <row r="1804" spans="12:21">
      <c r="L1804" s="15"/>
      <c r="M1804" s="15"/>
      <c r="N1804" s="15"/>
      <c r="T1804" s="15"/>
      <c r="U1804" s="15"/>
    </row>
    <row r="1805" spans="12:21">
      <c r="L1805" s="15"/>
      <c r="M1805" s="15"/>
      <c r="N1805" s="15"/>
      <c r="T1805" s="15"/>
      <c r="U1805" s="15"/>
    </row>
    <row r="1806" spans="12:21">
      <c r="L1806" s="15"/>
      <c r="M1806" s="15"/>
      <c r="N1806" s="15"/>
      <c r="T1806" s="15"/>
      <c r="U1806" s="15"/>
    </row>
    <row r="1807" spans="12:21">
      <c r="L1807" s="15"/>
      <c r="M1807" s="15"/>
      <c r="N1807" s="15"/>
      <c r="T1807" s="15"/>
      <c r="U1807" s="15"/>
    </row>
    <row r="1808" spans="12:21">
      <c r="L1808" s="15"/>
      <c r="M1808" s="15"/>
      <c r="N1808" s="15"/>
      <c r="T1808" s="15"/>
      <c r="U1808" s="15"/>
    </row>
    <row r="1809" spans="12:21">
      <c r="L1809" s="15"/>
      <c r="M1809" s="15"/>
      <c r="N1809" s="15"/>
      <c r="T1809" s="15"/>
      <c r="U1809" s="15"/>
    </row>
    <row r="1810" spans="12:21">
      <c r="L1810" s="15"/>
      <c r="M1810" s="15"/>
      <c r="N1810" s="15"/>
      <c r="T1810" s="15"/>
      <c r="U1810" s="15"/>
    </row>
    <row r="1811" spans="12:21">
      <c r="L1811" s="15"/>
      <c r="M1811" s="15"/>
      <c r="N1811" s="15"/>
      <c r="T1811" s="15"/>
      <c r="U1811" s="15"/>
    </row>
    <row r="1812" spans="12:21">
      <c r="L1812" s="15"/>
      <c r="M1812" s="15"/>
      <c r="N1812" s="15"/>
      <c r="T1812" s="15"/>
      <c r="U1812" s="15"/>
    </row>
    <row r="1813" spans="12:21">
      <c r="L1813" s="15"/>
      <c r="M1813" s="15"/>
      <c r="N1813" s="15"/>
      <c r="T1813" s="15"/>
      <c r="U1813" s="15"/>
    </row>
    <row r="1814" spans="12:21">
      <c r="L1814" s="15"/>
      <c r="M1814" s="15"/>
      <c r="N1814" s="15"/>
      <c r="T1814" s="15"/>
      <c r="U1814" s="15"/>
    </row>
    <row r="1815" spans="12:21">
      <c r="L1815" s="15"/>
      <c r="M1815" s="15"/>
      <c r="N1815" s="15"/>
      <c r="T1815" s="15"/>
      <c r="U1815" s="15"/>
    </row>
    <row r="1816" spans="12:21">
      <c r="L1816" s="15"/>
      <c r="M1816" s="15"/>
      <c r="N1816" s="15"/>
      <c r="T1816" s="15"/>
      <c r="U1816" s="15"/>
    </row>
    <row r="1817" spans="12:21">
      <c r="L1817" s="15"/>
      <c r="M1817" s="15"/>
      <c r="N1817" s="15"/>
      <c r="T1817" s="15"/>
      <c r="U1817" s="15"/>
    </row>
    <row r="1818" spans="12:21">
      <c r="L1818" s="15"/>
      <c r="M1818" s="15"/>
      <c r="N1818" s="15"/>
      <c r="T1818" s="15"/>
      <c r="U1818" s="15"/>
    </row>
    <row r="1819" spans="12:21">
      <c r="L1819" s="15"/>
      <c r="M1819" s="15"/>
      <c r="N1819" s="15"/>
      <c r="T1819" s="15"/>
      <c r="U1819" s="15"/>
    </row>
    <row r="1820" spans="12:21">
      <c r="L1820" s="15"/>
      <c r="M1820" s="15"/>
      <c r="N1820" s="15"/>
      <c r="T1820" s="15"/>
      <c r="U1820" s="15"/>
    </row>
    <row r="1821" spans="12:21">
      <c r="L1821" s="15"/>
      <c r="M1821" s="15"/>
      <c r="N1821" s="15"/>
      <c r="T1821" s="15"/>
      <c r="U1821" s="15"/>
    </row>
    <row r="1822" spans="12:21">
      <c r="L1822" s="15"/>
      <c r="M1822" s="15"/>
      <c r="N1822" s="15"/>
      <c r="T1822" s="15"/>
      <c r="U1822" s="15"/>
    </row>
    <row r="1823" spans="12:21">
      <c r="L1823" s="15"/>
      <c r="M1823" s="15"/>
      <c r="N1823" s="15"/>
      <c r="T1823" s="15"/>
      <c r="U1823" s="15"/>
    </row>
    <row r="1824" spans="12:21">
      <c r="L1824" s="15"/>
      <c r="M1824" s="15"/>
      <c r="N1824" s="15"/>
      <c r="T1824" s="15"/>
      <c r="U1824" s="15"/>
    </row>
    <row r="1825" spans="12:21">
      <c r="L1825" s="15"/>
      <c r="M1825" s="15"/>
      <c r="N1825" s="15"/>
      <c r="T1825" s="15"/>
      <c r="U1825" s="15"/>
    </row>
    <row r="1826" spans="12:21">
      <c r="L1826" s="15"/>
      <c r="M1826" s="15"/>
      <c r="N1826" s="15"/>
      <c r="T1826" s="15"/>
      <c r="U1826" s="15"/>
    </row>
    <row r="1827" spans="12:21">
      <c r="L1827" s="15"/>
      <c r="M1827" s="15"/>
      <c r="N1827" s="15"/>
      <c r="T1827" s="15"/>
      <c r="U1827" s="15"/>
    </row>
    <row r="1828" spans="12:21">
      <c r="L1828" s="15"/>
      <c r="M1828" s="15"/>
      <c r="N1828" s="15"/>
      <c r="T1828" s="15"/>
      <c r="U1828" s="15"/>
    </row>
    <row r="1829" spans="12:21">
      <c r="L1829" s="15"/>
      <c r="M1829" s="15"/>
      <c r="N1829" s="15"/>
      <c r="T1829" s="15"/>
      <c r="U1829" s="15"/>
    </row>
    <row r="1830" spans="12:21">
      <c r="L1830" s="15"/>
      <c r="M1830" s="15"/>
      <c r="N1830" s="15"/>
      <c r="T1830" s="15"/>
      <c r="U1830" s="15"/>
    </row>
    <row r="1831" spans="12:21">
      <c r="L1831" s="15"/>
      <c r="M1831" s="15"/>
      <c r="N1831" s="15"/>
      <c r="T1831" s="15"/>
      <c r="U1831" s="15"/>
    </row>
    <row r="1832" spans="12:21">
      <c r="L1832" s="15"/>
      <c r="M1832" s="15"/>
      <c r="N1832" s="15"/>
      <c r="T1832" s="15"/>
      <c r="U1832" s="15"/>
    </row>
    <row r="1833" spans="12:21">
      <c r="L1833" s="15"/>
      <c r="M1833" s="15"/>
      <c r="N1833" s="15"/>
      <c r="T1833" s="15"/>
      <c r="U1833" s="15"/>
    </row>
    <row r="1834" spans="12:21">
      <c r="L1834" s="15"/>
      <c r="M1834" s="15"/>
      <c r="N1834" s="15"/>
      <c r="T1834" s="15"/>
      <c r="U1834" s="15"/>
    </row>
    <row r="1835" spans="12:21">
      <c r="L1835" s="15"/>
      <c r="M1835" s="15"/>
      <c r="N1835" s="15"/>
      <c r="T1835" s="15"/>
      <c r="U1835" s="15"/>
    </row>
    <row r="1836" spans="12:21">
      <c r="L1836" s="15"/>
      <c r="M1836" s="15"/>
      <c r="N1836" s="15"/>
      <c r="T1836" s="15"/>
      <c r="U1836" s="15"/>
    </row>
    <row r="1837" spans="12:21">
      <c r="L1837" s="15"/>
      <c r="M1837" s="15"/>
      <c r="N1837" s="15"/>
      <c r="T1837" s="15"/>
      <c r="U1837" s="15"/>
    </row>
    <row r="1838" spans="12:21">
      <c r="L1838" s="15"/>
      <c r="M1838" s="15"/>
      <c r="N1838" s="15"/>
      <c r="T1838" s="15"/>
      <c r="U1838" s="15"/>
    </row>
    <row r="1839" spans="12:21">
      <c r="L1839" s="15"/>
      <c r="M1839" s="15"/>
      <c r="N1839" s="15"/>
      <c r="T1839" s="15"/>
      <c r="U1839" s="15"/>
    </row>
    <row r="1840" spans="12:21">
      <c r="L1840" s="15"/>
      <c r="M1840" s="15"/>
      <c r="N1840" s="15"/>
      <c r="T1840" s="15"/>
      <c r="U1840" s="15"/>
    </row>
    <row r="1841" spans="12:21">
      <c r="L1841" s="15"/>
      <c r="M1841" s="15"/>
      <c r="N1841" s="15"/>
      <c r="T1841" s="15"/>
      <c r="U1841" s="15"/>
    </row>
    <row r="1842" spans="12:21">
      <c r="L1842" s="15"/>
      <c r="M1842" s="15"/>
      <c r="N1842" s="15"/>
      <c r="T1842" s="15"/>
      <c r="U1842" s="15"/>
    </row>
    <row r="1843" spans="12:21">
      <c r="L1843" s="15"/>
      <c r="M1843" s="15"/>
      <c r="N1843" s="15"/>
      <c r="T1843" s="15"/>
      <c r="U1843" s="15"/>
    </row>
    <row r="1844" spans="12:21">
      <c r="L1844" s="15"/>
      <c r="M1844" s="15"/>
      <c r="N1844" s="15"/>
      <c r="T1844" s="15"/>
      <c r="U1844" s="15"/>
    </row>
    <row r="1845" spans="12:21">
      <c r="L1845" s="15"/>
      <c r="M1845" s="15"/>
      <c r="N1845" s="15"/>
      <c r="T1845" s="15"/>
      <c r="U1845" s="15"/>
    </row>
    <row r="1846" spans="12:21">
      <c r="L1846" s="15"/>
      <c r="M1846" s="15"/>
      <c r="N1846" s="15"/>
      <c r="T1846" s="15"/>
      <c r="U1846" s="15"/>
    </row>
    <row r="1847" spans="12:21">
      <c r="L1847" s="15"/>
      <c r="M1847" s="15"/>
      <c r="N1847" s="15"/>
      <c r="T1847" s="15"/>
      <c r="U1847" s="15"/>
    </row>
    <row r="1848" spans="12:21">
      <c r="L1848" s="15"/>
      <c r="M1848" s="15"/>
      <c r="N1848" s="15"/>
      <c r="T1848" s="15"/>
      <c r="U1848" s="15"/>
    </row>
    <row r="1849" spans="12:21">
      <c r="L1849" s="15"/>
      <c r="M1849" s="15"/>
      <c r="N1849" s="15"/>
      <c r="T1849" s="15"/>
      <c r="U1849" s="15"/>
    </row>
    <row r="1850" spans="12:21">
      <c r="L1850" s="15"/>
      <c r="M1850" s="15"/>
      <c r="N1850" s="15"/>
      <c r="T1850" s="15"/>
      <c r="U1850" s="15"/>
    </row>
    <row r="1851" spans="12:21">
      <c r="L1851" s="15"/>
      <c r="M1851" s="15"/>
      <c r="N1851" s="15"/>
      <c r="T1851" s="15"/>
      <c r="U1851" s="15"/>
    </row>
    <row r="1852" spans="12:21">
      <c r="L1852" s="15"/>
      <c r="M1852" s="15"/>
      <c r="N1852" s="15"/>
      <c r="T1852" s="15"/>
      <c r="U1852" s="15"/>
    </row>
    <row r="1853" spans="12:21">
      <c r="L1853" s="15"/>
      <c r="M1853" s="15"/>
      <c r="N1853" s="15"/>
      <c r="T1853" s="15"/>
      <c r="U1853" s="15"/>
    </row>
    <row r="1854" spans="12:21">
      <c r="L1854" s="15"/>
      <c r="M1854" s="15"/>
      <c r="N1854" s="15"/>
      <c r="T1854" s="15"/>
      <c r="U1854" s="15"/>
    </row>
    <row r="1855" spans="12:21">
      <c r="L1855" s="15"/>
      <c r="M1855" s="15"/>
      <c r="N1855" s="15"/>
      <c r="T1855" s="15"/>
      <c r="U1855" s="15"/>
    </row>
    <row r="1856" spans="12:21">
      <c r="L1856" s="15"/>
      <c r="M1856" s="15"/>
      <c r="N1856" s="15"/>
      <c r="T1856" s="15"/>
      <c r="U1856" s="15"/>
    </row>
    <row r="1857" spans="12:21">
      <c r="L1857" s="15"/>
      <c r="M1857" s="15"/>
      <c r="N1857" s="15"/>
      <c r="T1857" s="15"/>
      <c r="U1857" s="15"/>
    </row>
    <row r="1858" spans="12:21">
      <c r="L1858" s="15"/>
      <c r="M1858" s="15"/>
      <c r="N1858" s="15"/>
      <c r="T1858" s="15"/>
      <c r="U1858" s="15"/>
    </row>
    <row r="1859" spans="12:21">
      <c r="L1859" s="15"/>
      <c r="M1859" s="15"/>
      <c r="N1859" s="15"/>
      <c r="T1859" s="15"/>
      <c r="U1859" s="15"/>
    </row>
    <row r="1860" spans="12:21">
      <c r="L1860" s="15"/>
      <c r="M1860" s="15"/>
      <c r="N1860" s="15"/>
      <c r="T1860" s="15"/>
      <c r="U1860" s="15"/>
    </row>
    <row r="1861" spans="12:21">
      <c r="L1861" s="15"/>
      <c r="M1861" s="15"/>
      <c r="N1861" s="15"/>
      <c r="T1861" s="15"/>
      <c r="U1861" s="15"/>
    </row>
    <row r="1862" spans="12:21">
      <c r="L1862" s="15"/>
      <c r="M1862" s="15"/>
      <c r="N1862" s="15"/>
      <c r="T1862" s="15"/>
      <c r="U1862" s="15"/>
    </row>
    <row r="1863" spans="12:21">
      <c r="L1863" s="15"/>
      <c r="M1863" s="15"/>
      <c r="N1863" s="15"/>
      <c r="T1863" s="15"/>
      <c r="U1863" s="15"/>
    </row>
    <row r="1864" spans="12:21">
      <c r="L1864" s="15"/>
      <c r="M1864" s="15"/>
      <c r="N1864" s="15"/>
      <c r="T1864" s="15"/>
      <c r="U1864" s="15"/>
    </row>
    <row r="1865" spans="12:21">
      <c r="L1865" s="15"/>
      <c r="M1865" s="15"/>
      <c r="N1865" s="15"/>
      <c r="T1865" s="15"/>
      <c r="U1865" s="15"/>
    </row>
    <row r="1866" spans="12:21">
      <c r="L1866" s="15"/>
      <c r="M1866" s="15"/>
      <c r="N1866" s="15"/>
      <c r="T1866" s="15"/>
      <c r="U1866" s="15"/>
    </row>
    <row r="1867" spans="12:21">
      <c r="L1867" s="15"/>
      <c r="M1867" s="15"/>
      <c r="N1867" s="15"/>
      <c r="T1867" s="15"/>
      <c r="U1867" s="15"/>
    </row>
    <row r="1868" spans="12:21">
      <c r="L1868" s="15"/>
      <c r="M1868" s="15"/>
      <c r="N1868" s="15"/>
      <c r="T1868" s="15"/>
      <c r="U1868" s="15"/>
    </row>
    <row r="1869" spans="12:21">
      <c r="L1869" s="15"/>
      <c r="M1869" s="15"/>
      <c r="N1869" s="15"/>
      <c r="T1869" s="15"/>
      <c r="U1869" s="15"/>
    </row>
    <row r="1870" spans="12:21">
      <c r="L1870" s="15"/>
      <c r="M1870" s="15"/>
      <c r="N1870" s="15"/>
      <c r="T1870" s="15"/>
      <c r="U1870" s="15"/>
    </row>
    <row r="1871" spans="12:21">
      <c r="L1871" s="15"/>
      <c r="M1871" s="15"/>
      <c r="N1871" s="15"/>
      <c r="T1871" s="15"/>
      <c r="U1871" s="15"/>
    </row>
    <row r="1872" spans="12:21">
      <c r="L1872" s="15"/>
      <c r="M1872" s="15"/>
      <c r="N1872" s="15"/>
      <c r="T1872" s="15"/>
      <c r="U1872" s="15"/>
    </row>
    <row r="1873" spans="12:21">
      <c r="L1873" s="15"/>
      <c r="M1873" s="15"/>
      <c r="N1873" s="15"/>
      <c r="T1873" s="15"/>
      <c r="U1873" s="15"/>
    </row>
    <row r="1874" spans="12:21">
      <c r="L1874" s="15"/>
      <c r="M1874" s="15"/>
      <c r="N1874" s="15"/>
      <c r="T1874" s="15"/>
      <c r="U1874" s="15"/>
    </row>
    <row r="1875" spans="12:21">
      <c r="L1875" s="15"/>
      <c r="M1875" s="15"/>
      <c r="N1875" s="15"/>
      <c r="T1875" s="15"/>
      <c r="U1875" s="15"/>
    </row>
    <row r="1876" spans="12:21">
      <c r="L1876" s="15"/>
      <c r="M1876" s="15"/>
      <c r="N1876" s="15"/>
      <c r="T1876" s="15"/>
      <c r="U1876" s="15"/>
    </row>
    <row r="1877" spans="12:21">
      <c r="L1877" s="15"/>
      <c r="M1877" s="15"/>
      <c r="N1877" s="15"/>
      <c r="T1877" s="15"/>
      <c r="U1877" s="15"/>
    </row>
    <row r="1878" spans="12:21">
      <c r="L1878" s="15"/>
      <c r="M1878" s="15"/>
      <c r="N1878" s="15"/>
      <c r="T1878" s="15"/>
      <c r="U1878" s="15"/>
    </row>
    <row r="1879" spans="12:21">
      <c r="L1879" s="15"/>
      <c r="M1879" s="15"/>
      <c r="N1879" s="15"/>
      <c r="T1879" s="15"/>
      <c r="U1879" s="15"/>
    </row>
    <row r="1880" spans="12:21">
      <c r="L1880" s="15"/>
      <c r="M1880" s="15"/>
      <c r="N1880" s="15"/>
      <c r="T1880" s="15"/>
      <c r="U1880" s="15"/>
    </row>
    <row r="1881" spans="12:21">
      <c r="L1881" s="15"/>
      <c r="M1881" s="15"/>
      <c r="N1881" s="15"/>
      <c r="T1881" s="15"/>
      <c r="U1881" s="15"/>
    </row>
    <row r="1882" spans="12:21">
      <c r="L1882" s="15"/>
      <c r="M1882" s="15"/>
      <c r="N1882" s="15"/>
      <c r="T1882" s="15"/>
      <c r="U1882" s="15"/>
    </row>
    <row r="1883" spans="12:21">
      <c r="L1883" s="15"/>
      <c r="M1883" s="15"/>
      <c r="N1883" s="15"/>
      <c r="T1883" s="15"/>
      <c r="U1883" s="15"/>
    </row>
    <row r="1884" spans="12:21">
      <c r="L1884" s="15"/>
      <c r="M1884" s="15"/>
      <c r="N1884" s="15"/>
      <c r="T1884" s="15"/>
      <c r="U1884" s="15"/>
    </row>
    <row r="1885" spans="12:21">
      <c r="L1885" s="15"/>
      <c r="M1885" s="15"/>
      <c r="N1885" s="15"/>
      <c r="T1885" s="15"/>
      <c r="U1885" s="15"/>
    </row>
    <row r="1886" spans="12:21">
      <c r="L1886" s="15"/>
      <c r="M1886" s="15"/>
      <c r="N1886" s="15"/>
      <c r="T1886" s="15"/>
      <c r="U1886" s="15"/>
    </row>
    <row r="1887" spans="12:21">
      <c r="L1887" s="15"/>
      <c r="M1887" s="15"/>
      <c r="N1887" s="15"/>
      <c r="T1887" s="15"/>
      <c r="U1887" s="15"/>
    </row>
    <row r="1888" spans="12:21">
      <c r="L1888" s="15"/>
      <c r="M1888" s="15"/>
      <c r="N1888" s="15"/>
      <c r="T1888" s="15"/>
      <c r="U1888" s="15"/>
    </row>
    <row r="1889" spans="12:21">
      <c r="L1889" s="15"/>
      <c r="M1889" s="15"/>
      <c r="N1889" s="15"/>
      <c r="T1889" s="15"/>
      <c r="U1889" s="15"/>
    </row>
    <row r="1890" spans="12:21">
      <c r="L1890" s="15"/>
      <c r="M1890" s="15"/>
      <c r="N1890" s="15"/>
      <c r="T1890" s="15"/>
      <c r="U1890" s="15"/>
    </row>
    <row r="1891" spans="12:21">
      <c r="N1891" s="15"/>
    </row>
    <row r="1892" spans="12:21">
      <c r="N1892" s="15"/>
    </row>
    <row r="1893" spans="12:21">
      <c r="N1893" s="15"/>
    </row>
    <row r="1894" spans="12:21">
      <c r="N1894" s="15"/>
    </row>
    <row r="1895" spans="12:21">
      <c r="N1895" s="15"/>
    </row>
    <row r="1896" spans="12:21">
      <c r="N1896" s="15"/>
    </row>
    <row r="1897" spans="12:21">
      <c r="N1897" s="15"/>
    </row>
    <row r="1898" spans="12:21">
      <c r="N1898" s="15"/>
    </row>
    <row r="1899" spans="12:21">
      <c r="N1899" s="15"/>
    </row>
    <row r="1900" spans="12:21">
      <c r="N1900" s="15"/>
    </row>
    <row r="1901" spans="12:21">
      <c r="N1901" s="15"/>
    </row>
    <row r="1902" spans="12:21">
      <c r="N1902" s="15"/>
    </row>
    <row r="1903" spans="12:21">
      <c r="N1903" s="15"/>
    </row>
    <row r="1904" spans="12:21">
      <c r="N1904" s="15"/>
    </row>
    <row r="1905" spans="14:14">
      <c r="N1905" s="15"/>
    </row>
    <row r="1906" spans="14:14">
      <c r="N1906" s="15"/>
    </row>
  </sheetData>
  <mergeCells count="73">
    <mergeCell ref="B719:C733"/>
    <mergeCell ref="B734:C748"/>
    <mergeCell ref="A719:A748"/>
    <mergeCell ref="B394:C408"/>
    <mergeCell ref="B409:C425"/>
    <mergeCell ref="B426:C440"/>
    <mergeCell ref="B456:C470"/>
    <mergeCell ref="B471:C485"/>
    <mergeCell ref="A471:A515"/>
    <mergeCell ref="A516:A718"/>
    <mergeCell ref="B486:C500"/>
    <mergeCell ref="B501:C515"/>
    <mergeCell ref="B516:C532"/>
    <mergeCell ref="B644:C658"/>
    <mergeCell ref="B674:C688"/>
    <mergeCell ref="B704:C718"/>
    <mergeCell ref="C133:C147"/>
    <mergeCell ref="B347:C363"/>
    <mergeCell ref="B364:C378"/>
    <mergeCell ref="C285:C299"/>
    <mergeCell ref="C315:C329"/>
    <mergeCell ref="C270:C284"/>
    <mergeCell ref="C300:C314"/>
    <mergeCell ref="B270:B299"/>
    <mergeCell ref="B300:B329"/>
    <mergeCell ref="B330:C346"/>
    <mergeCell ref="B193:C207"/>
    <mergeCell ref="B208:C222"/>
    <mergeCell ref="B223:C237"/>
    <mergeCell ref="B238:C252"/>
    <mergeCell ref="B253:C269"/>
    <mergeCell ref="B659:C673"/>
    <mergeCell ref="B689:C703"/>
    <mergeCell ref="A208:A252"/>
    <mergeCell ref="A330:A346"/>
    <mergeCell ref="A347:A408"/>
    <mergeCell ref="A409:A470"/>
    <mergeCell ref="A253:A329"/>
    <mergeCell ref="B533:C549"/>
    <mergeCell ref="B550:C566"/>
    <mergeCell ref="B567:C581"/>
    <mergeCell ref="B597:C611"/>
    <mergeCell ref="B627:C643"/>
    <mergeCell ref="B582:C596"/>
    <mergeCell ref="B612:C626"/>
    <mergeCell ref="B379:C393"/>
    <mergeCell ref="B441:C455"/>
    <mergeCell ref="A15:W15"/>
    <mergeCell ref="A16:C18"/>
    <mergeCell ref="A19:C21"/>
    <mergeCell ref="A22:A207"/>
    <mergeCell ref="C73:C87"/>
    <mergeCell ref="C103:C117"/>
    <mergeCell ref="C118:C132"/>
    <mergeCell ref="C148:C162"/>
    <mergeCell ref="B22:C38"/>
    <mergeCell ref="B39:C55"/>
    <mergeCell ref="B56:C72"/>
    <mergeCell ref="B73:B117"/>
    <mergeCell ref="B118:B162"/>
    <mergeCell ref="B163:C177"/>
    <mergeCell ref="B178:C192"/>
    <mergeCell ref="C88:C102"/>
    <mergeCell ref="V13:V14"/>
    <mergeCell ref="V1:W1"/>
    <mergeCell ref="C6:W6"/>
    <mergeCell ref="W13:W14"/>
    <mergeCell ref="A13:C14"/>
    <mergeCell ref="D13:D14"/>
    <mergeCell ref="E13:E14"/>
    <mergeCell ref="F13:U13"/>
    <mergeCell ref="F7:Q7"/>
    <mergeCell ref="F8:Q8"/>
  </mergeCells>
  <pageMargins left="0.19685039370078741" right="0.31496062992125984" top="0.19685039370078741" bottom="0.19685039370078741" header="0.19685039370078741" footer="0.19685039370078741"/>
  <pageSetup paperSize="9" scale="14" fitToHeight="2" orientation="portrait" r:id="rId1"/>
  <rowBreaks count="1" manualBreakCount="1">
    <brk id="329" max="22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C000"/>
  </sheetPr>
  <dimension ref="A1:AB1906"/>
  <sheetViews>
    <sheetView view="pageBreakPreview" zoomScale="70" zoomScaleNormal="70" zoomScaleSheetLayoutView="70" workbookViewId="0">
      <pane xSplit="5" ySplit="15" topLeftCell="H476" activePane="bottomRight" state="frozen"/>
      <selection activeCell="K525" sqref="K525"/>
      <selection pane="topRight" activeCell="K525" sqref="K525"/>
      <selection pane="bottomLeft" activeCell="K525" sqref="K525"/>
      <selection pane="bottomRight" activeCell="P496" sqref="P496"/>
    </sheetView>
  </sheetViews>
  <sheetFormatPr defaultColWidth="9.33203125" defaultRowHeight="12.55"/>
  <cols>
    <col min="1" max="1" width="10.44140625" style="249" customWidth="1"/>
    <col min="2" max="2" width="6.44140625" style="249" customWidth="1"/>
    <col min="3" max="3" width="7" style="155" customWidth="1"/>
    <col min="4" max="4" width="33.5546875" style="155" customWidth="1"/>
    <col min="5" max="5" width="16.5546875" style="1" customWidth="1"/>
    <col min="6" max="6" width="12.44140625" style="15" customWidth="1"/>
    <col min="7" max="11" width="11.44140625" style="15" customWidth="1"/>
    <col min="12" max="12" width="12" style="16" customWidth="1"/>
    <col min="13" max="13" width="11.44140625" style="16" customWidth="1"/>
    <col min="14" max="14" width="11.33203125" style="17" bestFit="1" customWidth="1"/>
    <col min="15" max="17" width="11.44140625" style="15" customWidth="1"/>
    <col min="18" max="18" width="13" style="15" customWidth="1"/>
    <col min="19" max="19" width="12.6640625" style="15" customWidth="1"/>
    <col min="20" max="20" width="13.44140625" style="16" customWidth="1"/>
    <col min="21" max="21" width="13.5546875" style="16" customWidth="1"/>
    <col min="22" max="22" width="14.5546875" style="78" customWidth="1"/>
    <col min="23" max="23" width="14.5546875" style="15" customWidth="1"/>
    <col min="24" max="24" width="14.5546875" style="13" customWidth="1"/>
    <col min="25" max="25" width="15.6640625" style="13" customWidth="1"/>
    <col min="26" max="27" width="13.44140625" style="13" customWidth="1"/>
    <col min="28" max="16384" width="9.33203125" style="13"/>
  </cols>
  <sheetData>
    <row r="1" spans="1:27" s="3" customFormat="1" ht="25.05">
      <c r="A1" s="543" t="s">
        <v>52</v>
      </c>
      <c r="B1" s="155"/>
      <c r="E1" s="519" t="s">
        <v>131</v>
      </c>
      <c r="F1" s="472">
        <v>12932</v>
      </c>
      <c r="G1" s="472">
        <v>587217</v>
      </c>
      <c r="H1" s="472">
        <v>893251</v>
      </c>
      <c r="I1" s="472">
        <v>499089</v>
      </c>
      <c r="J1" s="472">
        <v>202319</v>
      </c>
      <c r="K1" s="472">
        <v>94588</v>
      </c>
      <c r="L1" s="472"/>
      <c r="M1" s="472"/>
      <c r="N1" s="472">
        <v>142274</v>
      </c>
      <c r="O1" s="472">
        <v>62342</v>
      </c>
      <c r="P1" s="472">
        <v>101481</v>
      </c>
      <c r="Q1" s="472">
        <v>126983</v>
      </c>
      <c r="R1" s="472">
        <v>137744</v>
      </c>
      <c r="S1" s="472">
        <v>1392522</v>
      </c>
      <c r="T1" s="472">
        <v>4252742</v>
      </c>
      <c r="U1" s="329">
        <v>4252742</v>
      </c>
      <c r="V1" s="681" t="s">
        <v>3</v>
      </c>
      <c r="W1" s="681"/>
      <c r="Y1" s="311"/>
      <c r="Z1" s="310"/>
      <c r="AA1" s="312"/>
    </row>
    <row r="2" spans="1:27" s="3" customFormat="1" ht="19.45" customHeight="1">
      <c r="A2" s="155"/>
      <c r="B2" s="155"/>
      <c r="C2" s="434"/>
      <c r="D2" s="434"/>
      <c r="E2" s="385"/>
      <c r="F2" s="476">
        <f>F1/1000</f>
        <v>12.932</v>
      </c>
      <c r="G2" s="476">
        <f t="shared" ref="G2:K2" si="0">G1/1000</f>
        <v>587.21699999999998</v>
      </c>
      <c r="H2" s="476">
        <f t="shared" si="0"/>
        <v>893.25099999999998</v>
      </c>
      <c r="I2" s="476">
        <f t="shared" si="0"/>
        <v>499.089</v>
      </c>
      <c r="J2" s="476">
        <f t="shared" si="0"/>
        <v>202.31899999999999</v>
      </c>
      <c r="K2" s="476">
        <f t="shared" si="0"/>
        <v>94.587999999999994</v>
      </c>
      <c r="L2" s="476"/>
      <c r="M2" s="476"/>
      <c r="N2" s="476">
        <f>N1/1000</f>
        <v>142.274</v>
      </c>
      <c r="O2" s="476">
        <f t="shared" ref="O2:S2" si="1">O1/1000</f>
        <v>62.341999999999999</v>
      </c>
      <c r="P2" s="476">
        <f t="shared" si="1"/>
        <v>101.48099999999999</v>
      </c>
      <c r="Q2" s="476">
        <f t="shared" si="1"/>
        <v>126.983</v>
      </c>
      <c r="R2" s="476">
        <f t="shared" si="1"/>
        <v>137.744</v>
      </c>
      <c r="S2" s="476">
        <f t="shared" si="1"/>
        <v>1392.5219999999999</v>
      </c>
      <c r="T2" s="479">
        <f>SUM(F2:S2)</f>
        <v>4252.7420000000002</v>
      </c>
      <c r="U2" s="329">
        <f>U1/1000</f>
        <v>4252.7420000000002</v>
      </c>
      <c r="V2" s="433"/>
      <c r="W2" s="433"/>
      <c r="Y2" s="163"/>
      <c r="Z2" s="293"/>
      <c r="AA2" s="270"/>
    </row>
    <row r="3" spans="1:27" s="3" customFormat="1" ht="21.3" customHeight="1">
      <c r="A3" s="155"/>
      <c r="B3" s="155"/>
      <c r="C3" s="158"/>
      <c r="D3" s="447"/>
      <c r="E3" s="385"/>
      <c r="F3" s="477">
        <f>F2-F17-F18</f>
        <v>0</v>
      </c>
      <c r="G3" s="477">
        <f t="shared" ref="G3:K3" si="2">G2-G17-G18</f>
        <v>0</v>
      </c>
      <c r="H3" s="477">
        <f t="shared" si="2"/>
        <v>0</v>
      </c>
      <c r="I3" s="477">
        <f t="shared" si="2"/>
        <v>0</v>
      </c>
      <c r="J3" s="477">
        <f t="shared" si="2"/>
        <v>0</v>
      </c>
      <c r="K3" s="477">
        <f t="shared" si="2"/>
        <v>0</v>
      </c>
      <c r="L3" s="477"/>
      <c r="M3" s="477"/>
      <c r="N3" s="477">
        <f>N2-N17-N18</f>
        <v>0</v>
      </c>
      <c r="O3" s="477">
        <f t="shared" ref="O3" si="3">O2-O17-O18</f>
        <v>0</v>
      </c>
      <c r="P3" s="477">
        <f t="shared" ref="P3" si="4">P2-P17-P18</f>
        <v>0</v>
      </c>
      <c r="Q3" s="477">
        <f t="shared" ref="Q3" si="5">Q2-Q17-Q18</f>
        <v>0</v>
      </c>
      <c r="R3" s="477">
        <f t="shared" ref="R3" si="6">R2-R17-R18</f>
        <v>0</v>
      </c>
      <c r="S3" s="477">
        <f t="shared" ref="S3" si="7">S2-S17-S18</f>
        <v>0</v>
      </c>
      <c r="T3" s="478">
        <f>SUM(F3:S3)</f>
        <v>0</v>
      </c>
      <c r="U3" s="329">
        <f>U2-V16</f>
        <v>0</v>
      </c>
      <c r="V3" s="77"/>
      <c r="W3" s="1"/>
      <c r="Y3" s="163"/>
      <c r="Z3" s="293"/>
      <c r="AA3" s="270"/>
    </row>
    <row r="4" spans="1:27" s="3" customFormat="1" ht="23.8" customHeight="1">
      <c r="A4" s="155"/>
      <c r="B4" s="155"/>
      <c r="C4" s="158"/>
      <c r="D4" s="159"/>
      <c r="E4" s="4"/>
      <c r="F4" s="440"/>
      <c r="G4" s="440"/>
      <c r="H4" s="440"/>
      <c r="I4" s="423"/>
      <c r="J4" s="423"/>
      <c r="K4" s="423"/>
      <c r="L4" s="1"/>
      <c r="M4" s="1"/>
      <c r="N4" s="1"/>
      <c r="O4" s="1"/>
      <c r="P4" s="1"/>
      <c r="Q4" s="1"/>
      <c r="R4" s="1"/>
      <c r="S4" s="1"/>
      <c r="T4" s="1"/>
      <c r="U4" s="1"/>
      <c r="V4" s="77"/>
      <c r="W4" s="1"/>
      <c r="Y4" s="163"/>
      <c r="Z4" s="293"/>
      <c r="AA4" s="270"/>
    </row>
    <row r="5" spans="1:27" s="7" customFormat="1" ht="21.3" customHeight="1">
      <c r="A5" s="162"/>
      <c r="B5" s="162"/>
      <c r="C5" s="684"/>
      <c r="D5" s="684"/>
      <c r="E5" s="684"/>
      <c r="F5" s="684"/>
      <c r="G5" s="684"/>
      <c r="H5" s="684"/>
      <c r="I5" s="684"/>
      <c r="J5" s="684"/>
      <c r="K5" s="684"/>
      <c r="L5" s="684"/>
      <c r="M5" s="684"/>
      <c r="N5" s="684"/>
      <c r="O5" s="684"/>
      <c r="P5" s="684"/>
      <c r="Q5" s="684"/>
      <c r="R5" s="684"/>
      <c r="S5" s="684"/>
      <c r="T5" s="684"/>
      <c r="U5" s="684"/>
      <c r="V5" s="684"/>
      <c r="W5" s="684"/>
      <c r="Y5" s="163"/>
      <c r="Z5" s="293"/>
      <c r="AA5" s="270"/>
    </row>
    <row r="6" spans="1:27" s="7" customFormat="1" ht="17.55" customHeight="1">
      <c r="A6" s="162"/>
      <c r="B6" s="162"/>
      <c r="C6" s="674" t="s">
        <v>44</v>
      </c>
      <c r="D6" s="674"/>
      <c r="E6" s="674"/>
      <c r="F6" s="674"/>
      <c r="G6" s="674"/>
      <c r="H6" s="674"/>
      <c r="I6" s="674"/>
      <c r="J6" s="674"/>
      <c r="K6" s="674"/>
      <c r="L6" s="674"/>
      <c r="M6" s="674"/>
      <c r="N6" s="674"/>
      <c r="O6" s="674"/>
      <c r="P6" s="674"/>
      <c r="Q6" s="674"/>
      <c r="R6" s="674"/>
      <c r="S6" s="674"/>
      <c r="T6" s="674"/>
      <c r="U6" s="674"/>
      <c r="V6" s="674"/>
      <c r="W6" s="674"/>
      <c r="Y6" s="163"/>
      <c r="Z6" s="293"/>
      <c r="AA6" s="270"/>
    </row>
    <row r="7" spans="1:27" s="7" customFormat="1" ht="15.65">
      <c r="A7" s="162"/>
      <c r="B7" s="162"/>
      <c r="C7" s="613" t="str">
        <f>серпень!C8</f>
        <v>станом на 01.09.2025</v>
      </c>
      <c r="D7" s="613"/>
      <c r="E7" s="613"/>
      <c r="F7" s="613"/>
      <c r="G7" s="613"/>
      <c r="H7" s="613"/>
      <c r="I7" s="613"/>
      <c r="J7" s="613"/>
      <c r="K7" s="613"/>
      <c r="L7" s="613"/>
      <c r="M7" s="613"/>
      <c r="N7" s="613"/>
      <c r="O7" s="613"/>
      <c r="P7" s="613"/>
      <c r="Q7" s="613"/>
      <c r="R7" s="613"/>
      <c r="S7" s="613"/>
      <c r="T7" s="613"/>
      <c r="U7" s="613"/>
      <c r="V7" s="613"/>
      <c r="W7" s="613"/>
      <c r="Y7" s="163"/>
      <c r="Z7" s="293"/>
      <c r="AA7" s="270"/>
    </row>
    <row r="8" spans="1:27" s="3" customFormat="1" ht="15.05" customHeight="1">
      <c r="A8" s="155"/>
      <c r="B8" s="155"/>
      <c r="C8" s="155"/>
      <c r="D8" s="164"/>
      <c r="E8" s="1"/>
      <c r="F8" s="1"/>
      <c r="G8" s="1"/>
      <c r="H8" s="290"/>
      <c r="I8" s="290"/>
      <c r="J8" s="1"/>
      <c r="K8" s="1"/>
      <c r="L8" s="1"/>
      <c r="M8" s="1"/>
      <c r="N8" s="1"/>
      <c r="O8" s="290"/>
      <c r="P8" s="1"/>
      <c r="Q8" s="1"/>
      <c r="R8" s="1"/>
      <c r="S8" s="1"/>
      <c r="T8" s="1"/>
      <c r="U8" s="1"/>
      <c r="V8" s="79"/>
      <c r="W8" s="1"/>
    </row>
    <row r="9" spans="1:27" s="3" customFormat="1" ht="15.05" customHeight="1">
      <c r="A9" s="155"/>
      <c r="B9" s="155"/>
      <c r="C9" s="155"/>
      <c r="D9" s="164"/>
      <c r="E9" s="1"/>
      <c r="F9" s="373"/>
      <c r="G9" s="373"/>
      <c r="H9" s="373"/>
      <c r="I9" s="373"/>
      <c r="J9" s="373"/>
      <c r="K9" s="373"/>
      <c r="L9" s="1"/>
      <c r="M9" s="1"/>
      <c r="N9" s="373"/>
      <c r="O9" s="373"/>
      <c r="P9" s="373"/>
      <c r="Q9" s="373"/>
      <c r="R9" s="373"/>
      <c r="S9" s="373"/>
      <c r="T9" s="1"/>
      <c r="U9" s="1"/>
      <c r="V9" s="395"/>
      <c r="W9" s="1"/>
    </row>
    <row r="10" spans="1:27" s="3" customFormat="1" ht="20.7" customHeight="1">
      <c r="A10" s="155"/>
      <c r="B10" s="155"/>
      <c r="C10" s="155"/>
      <c r="D10" s="164"/>
      <c r="E10" s="518" t="s">
        <v>126</v>
      </c>
      <c r="F10" s="376">
        <v>11998</v>
      </c>
      <c r="G10" s="376">
        <v>555723.98</v>
      </c>
      <c r="H10" s="376">
        <v>844628.54</v>
      </c>
      <c r="I10" s="376">
        <v>544094.05000000005</v>
      </c>
      <c r="J10" s="376">
        <v>190835.28</v>
      </c>
      <c r="K10" s="376">
        <v>141866.9</v>
      </c>
      <c r="L10" s="1"/>
      <c r="M10" s="1"/>
      <c r="N10" s="376">
        <v>140300.74</v>
      </c>
      <c r="O10" s="376">
        <v>49700.22</v>
      </c>
      <c r="P10" s="376"/>
      <c r="Q10" s="376"/>
      <c r="R10" s="376"/>
      <c r="S10" s="376"/>
      <c r="T10" s="1"/>
      <c r="U10" s="1"/>
      <c r="V10" s="77"/>
      <c r="W10" s="1"/>
    </row>
    <row r="11" spans="1:27" s="3" customFormat="1" ht="13.15" customHeight="1">
      <c r="A11" s="155"/>
      <c r="B11" s="155"/>
      <c r="C11" s="155"/>
      <c r="D11" s="164"/>
      <c r="E11" s="1"/>
      <c r="F11" s="328">
        <f>F10/1000</f>
        <v>11.997999999999999</v>
      </c>
      <c r="G11" s="328">
        <f t="shared" ref="G11:K11" si="8">G10/1000</f>
        <v>555.72400000000005</v>
      </c>
      <c r="H11" s="328">
        <f t="shared" si="8"/>
        <v>844.62900000000002</v>
      </c>
      <c r="I11" s="328">
        <f t="shared" si="8"/>
        <v>544.09400000000005</v>
      </c>
      <c r="J11" s="328">
        <f t="shared" si="8"/>
        <v>190.83500000000001</v>
      </c>
      <c r="K11" s="328">
        <f t="shared" si="8"/>
        <v>141.86699999999999</v>
      </c>
      <c r="L11" s="1"/>
      <c r="M11" s="1"/>
      <c r="N11" s="328">
        <f>N10/1000</f>
        <v>140.30099999999999</v>
      </c>
      <c r="O11" s="328">
        <f t="shared" ref="O11:S11" si="9">O10/1000</f>
        <v>49.7</v>
      </c>
      <c r="P11" s="328">
        <f t="shared" si="9"/>
        <v>0</v>
      </c>
      <c r="Q11" s="328">
        <f t="shared" si="9"/>
        <v>0</v>
      </c>
      <c r="R11" s="328">
        <f t="shared" si="9"/>
        <v>0</v>
      </c>
      <c r="S11" s="328">
        <f t="shared" si="9"/>
        <v>0</v>
      </c>
      <c r="T11" s="1"/>
      <c r="U11" s="1"/>
      <c r="V11" s="393"/>
      <c r="W11" s="1"/>
    </row>
    <row r="12" spans="1:27" s="36" customFormat="1" ht="16.3" customHeight="1">
      <c r="A12" s="525"/>
      <c r="B12" s="525"/>
      <c r="C12" s="525"/>
      <c r="D12" s="526"/>
      <c r="E12" s="527"/>
      <c r="F12" s="534">
        <f>F11-F19</f>
        <v>0</v>
      </c>
      <c r="G12" s="534">
        <f t="shared" ref="G12:K12" si="10">G11-G19</f>
        <v>0</v>
      </c>
      <c r="H12" s="534">
        <f t="shared" si="10"/>
        <v>0</v>
      </c>
      <c r="I12" s="534">
        <f t="shared" si="10"/>
        <v>0</v>
      </c>
      <c r="J12" s="534">
        <f t="shared" si="10"/>
        <v>0</v>
      </c>
      <c r="K12" s="534">
        <f t="shared" si="10"/>
        <v>1E-3</v>
      </c>
      <c r="L12" s="527"/>
      <c r="M12" s="527"/>
      <c r="N12" s="534">
        <f>N11-N19</f>
        <v>0</v>
      </c>
      <c r="O12" s="534">
        <f t="shared" ref="O12" si="11">O11-O19</f>
        <v>0</v>
      </c>
      <c r="P12" s="534">
        <f t="shared" ref="P12" si="12">P11-P19</f>
        <v>-118.932</v>
      </c>
      <c r="Q12" s="534">
        <f t="shared" ref="Q12" si="13">Q11-Q19</f>
        <v>-107.70099999999999</v>
      </c>
      <c r="R12" s="534">
        <f t="shared" ref="R12" si="14">R11-R19</f>
        <v>-134.73400000000001</v>
      </c>
      <c r="S12" s="534">
        <f t="shared" ref="S12" si="15">S11-S19</f>
        <v>-1442.758</v>
      </c>
      <c r="T12" s="527">
        <f>SUM(F12:S12)</f>
        <v>-1804.124</v>
      </c>
      <c r="U12" s="527"/>
      <c r="V12" s="528"/>
      <c r="W12" s="527"/>
    </row>
    <row r="13" spans="1:27" s="3" customFormat="1" ht="39.450000000000003" customHeight="1">
      <c r="A13" s="668" t="s">
        <v>5</v>
      </c>
      <c r="B13" s="668"/>
      <c r="C13" s="668"/>
      <c r="D13" s="668"/>
      <c r="E13" s="648" t="str">
        <f>серпень!E13</f>
        <v>оплата в січні 2025 за грудень 2024 року/в грудні 2024за січень 2025</v>
      </c>
      <c r="F13" s="675" t="s">
        <v>6</v>
      </c>
      <c r="G13" s="675"/>
      <c r="H13" s="675"/>
      <c r="I13" s="675"/>
      <c r="J13" s="675"/>
      <c r="K13" s="675"/>
      <c r="L13" s="675"/>
      <c r="M13" s="675"/>
      <c r="N13" s="675"/>
      <c r="O13" s="675"/>
      <c r="P13" s="675"/>
      <c r="Q13" s="675"/>
      <c r="R13" s="675"/>
      <c r="S13" s="675"/>
      <c r="T13" s="675"/>
      <c r="U13" s="675"/>
      <c r="V13" s="676" t="s">
        <v>7</v>
      </c>
      <c r="W13" s="676" t="s">
        <v>8</v>
      </c>
    </row>
    <row r="14" spans="1:27" s="3" customFormat="1" ht="51.05" customHeight="1">
      <c r="A14" s="668"/>
      <c r="B14" s="668"/>
      <c r="C14" s="668"/>
      <c r="D14" s="672"/>
      <c r="E14" s="649"/>
      <c r="F14" s="8" t="s">
        <v>9</v>
      </c>
      <c r="G14" s="8" t="s">
        <v>10</v>
      </c>
      <c r="H14" s="8" t="s">
        <v>11</v>
      </c>
      <c r="I14" s="8" t="s">
        <v>12</v>
      </c>
      <c r="J14" s="8" t="s">
        <v>13</v>
      </c>
      <c r="K14" s="8" t="s">
        <v>14</v>
      </c>
      <c r="L14" s="9" t="s">
        <v>15</v>
      </c>
      <c r="M14" s="9" t="s">
        <v>16</v>
      </c>
      <c r="N14" s="8" t="s">
        <v>17</v>
      </c>
      <c r="O14" s="8" t="s">
        <v>18</v>
      </c>
      <c r="P14" s="8" t="s">
        <v>19</v>
      </c>
      <c r="Q14" s="8" t="s">
        <v>20</v>
      </c>
      <c r="R14" s="8" t="s">
        <v>21</v>
      </c>
      <c r="S14" s="8" t="s">
        <v>22</v>
      </c>
      <c r="T14" s="9" t="s">
        <v>23</v>
      </c>
      <c r="U14" s="9" t="s">
        <v>2</v>
      </c>
      <c r="V14" s="676"/>
      <c r="W14" s="676"/>
    </row>
    <row r="15" spans="1:27" s="18" customFormat="1" ht="18.649999999999999" customHeight="1">
      <c r="A15" s="677" t="s">
        <v>94</v>
      </c>
      <c r="B15" s="678"/>
      <c r="C15" s="678"/>
      <c r="D15" s="678"/>
      <c r="E15" s="678"/>
      <c r="F15" s="678"/>
      <c r="G15" s="678"/>
      <c r="H15" s="678"/>
      <c r="I15" s="678"/>
      <c r="J15" s="678"/>
      <c r="K15" s="678"/>
      <c r="L15" s="678"/>
      <c r="M15" s="678"/>
      <c r="N15" s="678"/>
      <c r="O15" s="678"/>
      <c r="P15" s="678"/>
      <c r="Q15" s="678"/>
      <c r="R15" s="678"/>
      <c r="S15" s="678"/>
      <c r="T15" s="678"/>
      <c r="U15" s="678"/>
      <c r="V15" s="678"/>
      <c r="W15" s="679"/>
      <c r="X15" s="37"/>
    </row>
    <row r="16" spans="1:27" s="173" customFormat="1" ht="18" customHeight="1">
      <c r="A16" s="621">
        <v>2270</v>
      </c>
      <c r="B16" s="622"/>
      <c r="C16" s="623"/>
      <c r="D16" s="170" t="s">
        <v>0</v>
      </c>
      <c r="E16" s="171"/>
      <c r="F16" s="171">
        <f>F28+F336+F475+F522</f>
        <v>587.90200000000004</v>
      </c>
      <c r="G16" s="171">
        <f t="shared" ref="G16:K16" si="16">G28+G336+G475+G522</f>
        <v>845.50099999999998</v>
      </c>
      <c r="H16" s="171">
        <f t="shared" si="16"/>
        <v>543.45799999999997</v>
      </c>
      <c r="I16" s="171">
        <f t="shared" si="16"/>
        <v>160.36600000000001</v>
      </c>
      <c r="J16" s="171">
        <f t="shared" si="16"/>
        <v>140.017</v>
      </c>
      <c r="K16" s="171">
        <f t="shared" si="16"/>
        <v>138.84899999999999</v>
      </c>
      <c r="L16" s="171">
        <f t="shared" ref="L16:L18" si="17">SUM(F16:K16)</f>
        <v>2416.0929999999998</v>
      </c>
      <c r="M16" s="171">
        <f t="shared" ref="M16:M18" si="18">L16/6</f>
        <v>402.68200000000002</v>
      </c>
      <c r="N16" s="171">
        <f>N28+N336+N475+N522</f>
        <v>68.043000000000006</v>
      </c>
      <c r="O16" s="171">
        <f t="shared" ref="O16:S16" si="19">O28+O336+O475+O522</f>
        <v>103.685</v>
      </c>
      <c r="P16" s="171">
        <f t="shared" si="19"/>
        <v>109.93</v>
      </c>
      <c r="Q16" s="171">
        <f t="shared" si="19"/>
        <v>134.096</v>
      </c>
      <c r="R16" s="171">
        <f t="shared" si="19"/>
        <v>398.69799999999998</v>
      </c>
      <c r="S16" s="171">
        <f t="shared" si="19"/>
        <v>1052.7270000000001</v>
      </c>
      <c r="T16" s="171">
        <f t="shared" ref="T16:T18" si="20">SUM(N16:S16)</f>
        <v>1867.1790000000001</v>
      </c>
      <c r="U16" s="171">
        <f>T16+L16</f>
        <v>4283.2719999999999</v>
      </c>
      <c r="V16" s="171">
        <f>V28+V336+V475+V522</f>
        <v>4252.7420000000002</v>
      </c>
      <c r="W16" s="171">
        <f t="shared" ref="W16:W18" si="21">V16-U16</f>
        <v>-30.53</v>
      </c>
      <c r="X16" s="172"/>
    </row>
    <row r="17" spans="1:25" s="173" customFormat="1" ht="18" customHeight="1">
      <c r="A17" s="624"/>
      <c r="B17" s="625"/>
      <c r="C17" s="626"/>
      <c r="D17" s="174" t="s">
        <v>55</v>
      </c>
      <c r="E17" s="171"/>
      <c r="F17" s="171">
        <f t="shared" ref="F17" si="22">F29+F337+F476+F540</f>
        <v>0</v>
      </c>
      <c r="G17" s="171">
        <f t="shared" ref="G17:K17" si="23">G29+G337+G476+G540</f>
        <v>0</v>
      </c>
      <c r="H17" s="171">
        <f t="shared" si="23"/>
        <v>70.325000000000003</v>
      </c>
      <c r="I17" s="171">
        <f t="shared" si="23"/>
        <v>35.881999999999998</v>
      </c>
      <c r="J17" s="171">
        <f t="shared" si="23"/>
        <v>47.076999999999998</v>
      </c>
      <c r="K17" s="171">
        <f t="shared" si="23"/>
        <v>0</v>
      </c>
      <c r="L17" s="171">
        <f t="shared" si="17"/>
        <v>153.28399999999999</v>
      </c>
      <c r="M17" s="171">
        <f>L17/6</f>
        <v>25.547000000000001</v>
      </c>
      <c r="N17" s="171">
        <f t="shared" ref="N17:S17" si="24">N29+N337+N476+N540</f>
        <v>0</v>
      </c>
      <c r="O17" s="171">
        <f t="shared" si="24"/>
        <v>0</v>
      </c>
      <c r="P17" s="171">
        <f t="shared" si="24"/>
        <v>0</v>
      </c>
      <c r="Q17" s="171">
        <f t="shared" si="24"/>
        <v>0</v>
      </c>
      <c r="R17" s="171">
        <f t="shared" si="24"/>
        <v>0</v>
      </c>
      <c r="S17" s="171">
        <f t="shared" si="24"/>
        <v>0</v>
      </c>
      <c r="T17" s="171">
        <f t="shared" si="20"/>
        <v>0</v>
      </c>
      <c r="U17" s="171">
        <f>T17+L17</f>
        <v>153.28399999999999</v>
      </c>
      <c r="V17" s="171">
        <f t="shared" ref="V17" si="25">V29+V337+V476+V540</f>
        <v>153.28399999999999</v>
      </c>
      <c r="W17" s="171">
        <f t="shared" si="21"/>
        <v>0</v>
      </c>
      <c r="X17" s="172"/>
    </row>
    <row r="18" spans="1:25" s="173" customFormat="1" ht="18" customHeight="1">
      <c r="A18" s="627"/>
      <c r="B18" s="628"/>
      <c r="C18" s="629"/>
      <c r="D18" s="170" t="s">
        <v>24</v>
      </c>
      <c r="E18" s="171"/>
      <c r="F18" s="171">
        <f>F30+F338+F477+F524</f>
        <v>12.932</v>
      </c>
      <c r="G18" s="171">
        <f t="shared" ref="G18:K18" si="26">G30+G338+G477+G524</f>
        <v>587.21699999999998</v>
      </c>
      <c r="H18" s="171">
        <f t="shared" si="26"/>
        <v>822.92600000000004</v>
      </c>
      <c r="I18" s="171">
        <f t="shared" si="26"/>
        <v>463.20699999999999</v>
      </c>
      <c r="J18" s="171">
        <f t="shared" si="26"/>
        <v>155.24199999999999</v>
      </c>
      <c r="K18" s="171">
        <f t="shared" si="26"/>
        <v>94.587999999999994</v>
      </c>
      <c r="L18" s="171">
        <f t="shared" si="17"/>
        <v>2136.1120000000001</v>
      </c>
      <c r="M18" s="171">
        <f t="shared" si="18"/>
        <v>356.01900000000001</v>
      </c>
      <c r="N18" s="171">
        <f>N30+N338+N477+N524</f>
        <v>142.274</v>
      </c>
      <c r="O18" s="171">
        <f t="shared" ref="O18:R18" si="27">O30+O338+O477+O524</f>
        <v>62.341999999999999</v>
      </c>
      <c r="P18" s="171">
        <f t="shared" si="27"/>
        <v>101.48099999999999</v>
      </c>
      <c r="Q18" s="171">
        <f t="shared" si="27"/>
        <v>126.983</v>
      </c>
      <c r="R18" s="171">
        <f t="shared" si="27"/>
        <v>137.744</v>
      </c>
      <c r="S18" s="171">
        <f>S30+S338+S477+S524</f>
        <v>1392.5219999999999</v>
      </c>
      <c r="T18" s="171">
        <f t="shared" si="20"/>
        <v>1963.346</v>
      </c>
      <c r="U18" s="171">
        <f>T18+L18</f>
        <v>4099.4579999999996</v>
      </c>
      <c r="V18" s="171">
        <f>V30+V338+V477+V524</f>
        <v>4099.4579999999996</v>
      </c>
      <c r="W18" s="171">
        <f t="shared" si="21"/>
        <v>0</v>
      </c>
      <c r="X18" s="172"/>
    </row>
    <row r="19" spans="1:25" s="116" customFormat="1" ht="21.45" customHeight="1">
      <c r="A19" s="630">
        <v>2270</v>
      </c>
      <c r="B19" s="631"/>
      <c r="C19" s="632"/>
      <c r="D19" s="115" t="s">
        <v>25</v>
      </c>
      <c r="E19" s="62">
        <f t="shared" ref="E19:K19" si="28">E33+E341+E480+E527</f>
        <v>0</v>
      </c>
      <c r="F19" s="62">
        <f t="shared" si="28"/>
        <v>11.997999999999999</v>
      </c>
      <c r="G19" s="62">
        <f t="shared" si="28"/>
        <v>555.72400000000005</v>
      </c>
      <c r="H19" s="62">
        <f t="shared" si="28"/>
        <v>844.62900000000002</v>
      </c>
      <c r="I19" s="62">
        <f t="shared" si="28"/>
        <v>544.09400000000005</v>
      </c>
      <c r="J19" s="62">
        <f t="shared" si="28"/>
        <v>190.83500000000001</v>
      </c>
      <c r="K19" s="62">
        <f t="shared" si="28"/>
        <v>141.86600000000001</v>
      </c>
      <c r="L19" s="62">
        <f t="shared" ref="L19:L21" si="29">SUM(F19:K19)</f>
        <v>2289.1460000000002</v>
      </c>
      <c r="M19" s="62">
        <f t="shared" ref="M19:M21" si="30">L19/6</f>
        <v>381.524</v>
      </c>
      <c r="N19" s="62">
        <f t="shared" ref="N19:S21" si="31">N33+N341+N480+N527</f>
        <v>140.30099999999999</v>
      </c>
      <c r="O19" s="62">
        <f t="shared" si="31"/>
        <v>49.7</v>
      </c>
      <c r="P19" s="62">
        <f t="shared" si="31"/>
        <v>118.932</v>
      </c>
      <c r="Q19" s="62">
        <f t="shared" si="31"/>
        <v>107.70099999999999</v>
      </c>
      <c r="R19" s="62">
        <f t="shared" si="31"/>
        <v>134.73400000000001</v>
      </c>
      <c r="S19" s="62">
        <f t="shared" si="31"/>
        <v>1442.758</v>
      </c>
      <c r="T19" s="62">
        <f t="shared" ref="T19:T21" si="32">SUM(N19:S19)</f>
        <v>1994.126</v>
      </c>
      <c r="U19" s="62">
        <f t="shared" ref="U19:U21" si="33">T19+L19</f>
        <v>4283.2719999999999</v>
      </c>
      <c r="V19" s="62">
        <f>V33+V341+V480+V527</f>
        <v>4252.7420000000002</v>
      </c>
      <c r="W19" s="62">
        <f t="shared" ref="W19:W21" si="34">V19-U19</f>
        <v>-30.53</v>
      </c>
      <c r="X19" s="63">
        <f>U16-U19</f>
        <v>0</v>
      </c>
    </row>
    <row r="20" spans="1:25" s="116" customFormat="1" ht="18" customHeight="1">
      <c r="A20" s="633"/>
      <c r="B20" s="634"/>
      <c r="C20" s="635"/>
      <c r="D20" s="115" t="s">
        <v>55</v>
      </c>
      <c r="E20" s="62"/>
      <c r="F20" s="62">
        <f t="shared" ref="F20:K21" si="35">F34+F342+F481+F528</f>
        <v>0</v>
      </c>
      <c r="G20" s="62">
        <f t="shared" si="35"/>
        <v>0</v>
      </c>
      <c r="H20" s="62">
        <f t="shared" si="35"/>
        <v>70.325000000000003</v>
      </c>
      <c r="I20" s="62">
        <f t="shared" si="35"/>
        <v>0</v>
      </c>
      <c r="J20" s="62">
        <f t="shared" si="35"/>
        <v>35.881999999999998</v>
      </c>
      <c r="K20" s="62">
        <f t="shared" si="35"/>
        <v>47.076999999999998</v>
      </c>
      <c r="L20" s="62">
        <f t="shared" si="29"/>
        <v>153.28399999999999</v>
      </c>
      <c r="M20" s="62">
        <f t="shared" si="30"/>
        <v>25.547000000000001</v>
      </c>
      <c r="N20" s="62">
        <f t="shared" si="31"/>
        <v>0</v>
      </c>
      <c r="O20" s="62">
        <f t="shared" si="31"/>
        <v>0</v>
      </c>
      <c r="P20" s="62">
        <f t="shared" si="31"/>
        <v>0</v>
      </c>
      <c r="Q20" s="62">
        <f t="shared" si="31"/>
        <v>0</v>
      </c>
      <c r="R20" s="62">
        <f t="shared" si="31"/>
        <v>0</v>
      </c>
      <c r="S20" s="62">
        <f t="shared" si="31"/>
        <v>0</v>
      </c>
      <c r="T20" s="62">
        <f t="shared" si="32"/>
        <v>0</v>
      </c>
      <c r="U20" s="62">
        <f t="shared" si="33"/>
        <v>153.28399999999999</v>
      </c>
      <c r="V20" s="62">
        <f>V34+V342+V481+V528</f>
        <v>153.28399999999999</v>
      </c>
      <c r="W20" s="62">
        <f t="shared" si="34"/>
        <v>0</v>
      </c>
      <c r="X20" s="63">
        <f>U17-U20</f>
        <v>0</v>
      </c>
    </row>
    <row r="21" spans="1:25" s="116" customFormat="1" ht="18" customHeight="1">
      <c r="A21" s="636"/>
      <c r="B21" s="637"/>
      <c r="C21" s="638"/>
      <c r="D21" s="115" t="s">
        <v>24</v>
      </c>
      <c r="E21" s="62"/>
      <c r="F21" s="62">
        <f t="shared" si="35"/>
        <v>11.997999999999999</v>
      </c>
      <c r="G21" s="62">
        <f t="shared" si="35"/>
        <v>555.72400000000005</v>
      </c>
      <c r="H21" s="62">
        <f t="shared" si="35"/>
        <v>774.30399999999997</v>
      </c>
      <c r="I21" s="62">
        <f t="shared" si="35"/>
        <v>544.09400000000005</v>
      </c>
      <c r="J21" s="62">
        <f t="shared" si="35"/>
        <v>154.953</v>
      </c>
      <c r="K21" s="62">
        <f t="shared" si="35"/>
        <v>94.789000000000001</v>
      </c>
      <c r="L21" s="62">
        <f t="shared" si="29"/>
        <v>2135.8620000000001</v>
      </c>
      <c r="M21" s="62">
        <f t="shared" si="30"/>
        <v>355.97699999999998</v>
      </c>
      <c r="N21" s="62">
        <f t="shared" si="31"/>
        <v>140.30099999999999</v>
      </c>
      <c r="O21" s="62">
        <f t="shared" si="31"/>
        <v>49.7</v>
      </c>
      <c r="P21" s="62">
        <f t="shared" si="31"/>
        <v>118.932</v>
      </c>
      <c r="Q21" s="62">
        <f t="shared" si="31"/>
        <v>107.70099999999999</v>
      </c>
      <c r="R21" s="62">
        <f t="shared" si="31"/>
        <v>134.73400000000001</v>
      </c>
      <c r="S21" s="62">
        <f t="shared" si="31"/>
        <v>1442.758</v>
      </c>
      <c r="T21" s="62">
        <f t="shared" si="32"/>
        <v>1994.126</v>
      </c>
      <c r="U21" s="62">
        <f t="shared" si="33"/>
        <v>4129.9880000000003</v>
      </c>
      <c r="V21" s="62">
        <f>V35+V343+V482+V529</f>
        <v>4099.4579999999996</v>
      </c>
      <c r="W21" s="62">
        <f t="shared" si="34"/>
        <v>-30.53</v>
      </c>
      <c r="X21" s="63">
        <f>U18-U21</f>
        <v>-30.53</v>
      </c>
      <c r="Y21" s="139"/>
    </row>
    <row r="22" spans="1:25" s="186" customFormat="1" ht="18" customHeight="1">
      <c r="A22" s="609">
        <v>2271</v>
      </c>
      <c r="B22" s="580" t="s">
        <v>86</v>
      </c>
      <c r="C22" s="575"/>
      <c r="D22" s="178" t="str">
        <f>серпень!D22</f>
        <v>факт. нат.п-ки 2023</v>
      </c>
      <c r="E22" s="179"/>
      <c r="F22" s="180">
        <f t="shared" ref="F22:K24" si="36">F56+F163+F208+F253</f>
        <v>294.8</v>
      </c>
      <c r="G22" s="180">
        <f t="shared" si="36"/>
        <v>235.2</v>
      </c>
      <c r="H22" s="180">
        <f t="shared" si="36"/>
        <v>180.5</v>
      </c>
      <c r="I22" s="180">
        <f t="shared" si="36"/>
        <v>0.5</v>
      </c>
      <c r="J22" s="180">
        <f t="shared" si="36"/>
        <v>0.5</v>
      </c>
      <c r="K22" s="180">
        <f t="shared" si="36"/>
        <v>0.5</v>
      </c>
      <c r="L22" s="181">
        <f t="shared" ref="L22:L23" si="37">SUM(F22:K22)</f>
        <v>712</v>
      </c>
      <c r="M22" s="181">
        <f>L22/6</f>
        <v>118.7</v>
      </c>
      <c r="N22" s="180">
        <f t="shared" ref="N22:S24" si="38">N56+N163+N208+N253</f>
        <v>0.5</v>
      </c>
      <c r="O22" s="180">
        <f t="shared" si="38"/>
        <v>0.5</v>
      </c>
      <c r="P22" s="180">
        <f t="shared" si="38"/>
        <v>0.5</v>
      </c>
      <c r="Q22" s="180">
        <f t="shared" si="38"/>
        <v>0.5</v>
      </c>
      <c r="R22" s="180">
        <f t="shared" si="38"/>
        <v>126.9</v>
      </c>
      <c r="S22" s="180">
        <f t="shared" si="38"/>
        <v>216.6</v>
      </c>
      <c r="T22" s="181">
        <f t="shared" ref="T22:T23" si="39">SUM(N22:S22)</f>
        <v>345.5</v>
      </c>
      <c r="U22" s="182">
        <f>T22+L22</f>
        <v>1057.5</v>
      </c>
      <c r="V22" s="183">
        <f>V56+V163+V208+V253</f>
        <v>0</v>
      </c>
      <c r="W22" s="184"/>
      <c r="X22" s="185"/>
    </row>
    <row r="23" spans="1:25" s="186" customFormat="1" ht="18" customHeight="1">
      <c r="A23" s="610"/>
      <c r="B23" s="576"/>
      <c r="C23" s="577"/>
      <c r="D23" s="178" t="str">
        <f>серпень!D23</f>
        <v>факт. нат.п-ки 2024</v>
      </c>
      <c r="E23" s="179"/>
      <c r="F23" s="180">
        <f t="shared" si="36"/>
        <v>275.7</v>
      </c>
      <c r="G23" s="180">
        <f t="shared" si="36"/>
        <v>192.7</v>
      </c>
      <c r="H23" s="180">
        <f t="shared" si="36"/>
        <v>181.5</v>
      </c>
      <c r="I23" s="180">
        <f t="shared" si="36"/>
        <v>0.5</v>
      </c>
      <c r="J23" s="180">
        <f t="shared" si="36"/>
        <v>0.5</v>
      </c>
      <c r="K23" s="180">
        <f t="shared" si="36"/>
        <v>0.5</v>
      </c>
      <c r="L23" s="181">
        <f t="shared" si="37"/>
        <v>651.4</v>
      </c>
      <c r="M23" s="181">
        <f>L23/6</f>
        <v>108.6</v>
      </c>
      <c r="N23" s="180">
        <f t="shared" si="38"/>
        <v>0.7</v>
      </c>
      <c r="O23" s="180">
        <f t="shared" si="38"/>
        <v>0.7</v>
      </c>
      <c r="P23" s="180">
        <f t="shared" si="38"/>
        <v>0.7</v>
      </c>
      <c r="Q23" s="180">
        <f t="shared" si="38"/>
        <v>0.7</v>
      </c>
      <c r="R23" s="180">
        <f t="shared" si="38"/>
        <v>127.1</v>
      </c>
      <c r="S23" s="180">
        <f t="shared" si="38"/>
        <v>241.1</v>
      </c>
      <c r="T23" s="181">
        <f t="shared" si="39"/>
        <v>371</v>
      </c>
      <c r="U23" s="182">
        <f t="shared" ref="U23:U24" si="40">T23+L23</f>
        <v>1022.4</v>
      </c>
      <c r="V23" s="183">
        <f>V57+V164+V209+V254</f>
        <v>212</v>
      </c>
      <c r="W23" s="184"/>
      <c r="X23" s="185"/>
    </row>
    <row r="24" spans="1:25" s="186" customFormat="1" ht="18" customHeight="1">
      <c r="A24" s="610"/>
      <c r="B24" s="576"/>
      <c r="C24" s="577"/>
      <c r="D24" s="178" t="str">
        <f>серпень!D24</f>
        <v>факт. нат.п-ки 2025</v>
      </c>
      <c r="E24" s="179"/>
      <c r="F24" s="263">
        <f>F58+F165+F210+F255</f>
        <v>161.30000000000001</v>
      </c>
      <c r="G24" s="263">
        <f t="shared" si="36"/>
        <v>261.5</v>
      </c>
      <c r="H24" s="263">
        <f t="shared" si="36"/>
        <v>141.6</v>
      </c>
      <c r="I24" s="263">
        <f t="shared" si="36"/>
        <v>0</v>
      </c>
      <c r="J24" s="263">
        <f t="shared" si="36"/>
        <v>0</v>
      </c>
      <c r="K24" s="263">
        <f t="shared" si="36"/>
        <v>0</v>
      </c>
      <c r="L24" s="181">
        <f t="shared" ref="L24" si="41">SUM(F24:K24)</f>
        <v>564.4</v>
      </c>
      <c r="M24" s="181">
        <f>L24/6</f>
        <v>94.1</v>
      </c>
      <c r="N24" s="263">
        <f>N58+N165+N210+N255</f>
        <v>0</v>
      </c>
      <c r="O24" s="263">
        <f t="shared" si="38"/>
        <v>0</v>
      </c>
      <c r="P24" s="263">
        <f t="shared" si="38"/>
        <v>0</v>
      </c>
      <c r="Q24" s="263">
        <f t="shared" si="38"/>
        <v>0</v>
      </c>
      <c r="R24" s="263">
        <f t="shared" si="38"/>
        <v>81.3</v>
      </c>
      <c r="S24" s="263">
        <f t="shared" si="38"/>
        <v>295.5</v>
      </c>
      <c r="T24" s="181">
        <f t="shared" ref="T24" si="42">SUM(N24:S24)</f>
        <v>376.8</v>
      </c>
      <c r="U24" s="182">
        <f t="shared" si="40"/>
        <v>941.2</v>
      </c>
      <c r="V24" s="183">
        <f>V58+V165+V210+V255</f>
        <v>932.8</v>
      </c>
      <c r="W24" s="184">
        <f>V24-U24</f>
        <v>-8.4</v>
      </c>
      <c r="X24" s="185"/>
    </row>
    <row r="25" spans="1:25" s="190" customFormat="1" ht="18" customHeight="1">
      <c r="A25" s="610"/>
      <c r="B25" s="576"/>
      <c r="C25" s="577"/>
      <c r="D25" s="187" t="str">
        <f>серпень!D25</f>
        <v>тариф, грн.</v>
      </c>
      <c r="E25" s="188"/>
      <c r="F25" s="188">
        <f>F26/F24*1000</f>
        <v>2595.1019999999999</v>
      </c>
      <c r="G25" s="188">
        <f t="shared" ref="G25:W25" si="43">G26/G24*1000</f>
        <v>2769.078</v>
      </c>
      <c r="H25" s="188">
        <f t="shared" si="43"/>
        <v>2775.297</v>
      </c>
      <c r="I25" s="188" t="e">
        <f t="shared" si="43"/>
        <v>#DIV/0!</v>
      </c>
      <c r="J25" s="188" t="e">
        <f t="shared" si="43"/>
        <v>#DIV/0!</v>
      </c>
      <c r="K25" s="188" t="e">
        <f t="shared" si="43"/>
        <v>#DIV/0!</v>
      </c>
      <c r="L25" s="188">
        <f t="shared" si="43"/>
        <v>2720.9180000000001</v>
      </c>
      <c r="M25" s="188">
        <f t="shared" si="43"/>
        <v>2719.9569999999999</v>
      </c>
      <c r="N25" s="188" t="e">
        <f t="shared" si="43"/>
        <v>#DIV/0!</v>
      </c>
      <c r="O25" s="188" t="e">
        <f>O26/O24*1000</f>
        <v>#DIV/0!</v>
      </c>
      <c r="P25" s="188" t="e">
        <f>P26/P24*1000</f>
        <v>#DIV/0!</v>
      </c>
      <c r="Q25" s="188" t="e">
        <f>Q26/Q24*1000</f>
        <v>#DIV/0!</v>
      </c>
      <c r="R25" s="188">
        <f>R26/R24*1000</f>
        <v>2669.114</v>
      </c>
      <c r="S25" s="188">
        <f>S26/S24*1000</f>
        <v>2873.9630000000002</v>
      </c>
      <c r="T25" s="188">
        <f t="shared" si="43"/>
        <v>2829.7640000000001</v>
      </c>
      <c r="U25" s="188">
        <f t="shared" si="43"/>
        <v>2764.4929999999999</v>
      </c>
      <c r="V25" s="188">
        <f t="shared" si="43"/>
        <v>2719.864</v>
      </c>
      <c r="W25" s="189">
        <f t="shared" si="43"/>
        <v>7720.4759999999997</v>
      </c>
      <c r="X25" s="185"/>
    </row>
    <row r="26" spans="1:25" s="196" customFormat="1" ht="18" customHeight="1">
      <c r="A26" s="610"/>
      <c r="B26" s="576"/>
      <c r="C26" s="577"/>
      <c r="D26" s="191" t="str">
        <f>серпень!D26</f>
        <v>сума, тис.грн.</v>
      </c>
      <c r="E26" s="192"/>
      <c r="F26" s="193">
        <f>F60+F167+F212+F257</f>
        <v>418.59</v>
      </c>
      <c r="G26" s="193">
        <f t="shared" ref="G26:K26" si="44">G60+G167+G212+G257</f>
        <v>724.11400000000003</v>
      </c>
      <c r="H26" s="193">
        <f t="shared" si="44"/>
        <v>392.98200000000003</v>
      </c>
      <c r="I26" s="193">
        <f t="shared" si="44"/>
        <v>0</v>
      </c>
      <c r="J26" s="193">
        <f t="shared" si="44"/>
        <v>0</v>
      </c>
      <c r="K26" s="193">
        <f t="shared" si="44"/>
        <v>0</v>
      </c>
      <c r="L26" s="194">
        <f t="shared" ref="L26:L31" si="45">SUM(F26:K26)</f>
        <v>1535.6859999999999</v>
      </c>
      <c r="M26" s="194">
        <f t="shared" ref="M26:M31" si="46">L26/6</f>
        <v>255.94800000000001</v>
      </c>
      <c r="N26" s="193">
        <f t="shared" ref="N26:S26" si="47">N60+N167+N212+N257</f>
        <v>0</v>
      </c>
      <c r="O26" s="193">
        <f t="shared" si="47"/>
        <v>0</v>
      </c>
      <c r="P26" s="193">
        <f t="shared" si="47"/>
        <v>0</v>
      </c>
      <c r="Q26" s="193">
        <f t="shared" si="47"/>
        <v>0</v>
      </c>
      <c r="R26" s="193">
        <f t="shared" si="47"/>
        <v>216.999</v>
      </c>
      <c r="S26" s="193">
        <f t="shared" si="47"/>
        <v>849.25599999999997</v>
      </c>
      <c r="T26" s="194">
        <f>SUM(N26:S26)</f>
        <v>1066.2550000000001</v>
      </c>
      <c r="U26" s="194">
        <f>T26+L26</f>
        <v>2601.9409999999998</v>
      </c>
      <c r="V26" s="171">
        <f>V60+V167+V212+V257</f>
        <v>2537.0889999999999</v>
      </c>
      <c r="W26" s="193">
        <f>W60+W167+W212+W257</f>
        <v>-64.852000000000004</v>
      </c>
      <c r="X26" s="195"/>
    </row>
    <row r="27" spans="1:25" s="196" customFormat="1" ht="18" customHeight="1">
      <c r="A27" s="610"/>
      <c r="B27" s="576"/>
      <c r="C27" s="577"/>
      <c r="D27" s="174" t="str">
        <f>серпень!D27</f>
        <v>абоненська плата, тис.грн.</v>
      </c>
      <c r="E27" s="192"/>
      <c r="F27" s="278">
        <f>F44+F258</f>
        <v>76.242999999999995</v>
      </c>
      <c r="G27" s="278">
        <f t="shared" ref="G27:K27" si="48">G44+G258</f>
        <v>30.027999999999999</v>
      </c>
      <c r="H27" s="278">
        <f t="shared" si="48"/>
        <v>74.63</v>
      </c>
      <c r="I27" s="278">
        <f t="shared" si="48"/>
        <v>74.63</v>
      </c>
      <c r="J27" s="278">
        <f t="shared" si="48"/>
        <v>74.63</v>
      </c>
      <c r="K27" s="278">
        <f t="shared" si="48"/>
        <v>74.63</v>
      </c>
      <c r="L27" s="194">
        <f t="shared" si="45"/>
        <v>404.791</v>
      </c>
      <c r="M27" s="194">
        <f t="shared" si="46"/>
        <v>67.465000000000003</v>
      </c>
      <c r="N27" s="278">
        <f>N44+N258</f>
        <v>46.176000000000002</v>
      </c>
      <c r="O27" s="278">
        <f t="shared" ref="O27:S27" si="49">O44+O258</f>
        <v>74.63</v>
      </c>
      <c r="P27" s="278">
        <f t="shared" si="49"/>
        <v>51.848999999999997</v>
      </c>
      <c r="Q27" s="278">
        <f t="shared" si="49"/>
        <v>51.848999999999997</v>
      </c>
      <c r="R27" s="278">
        <f t="shared" si="49"/>
        <v>51.848999999999997</v>
      </c>
      <c r="S27" s="278">
        <f t="shared" si="49"/>
        <v>51.848999999999997</v>
      </c>
      <c r="T27" s="194">
        <f>SUM(N27:S27)</f>
        <v>328.202</v>
      </c>
      <c r="U27" s="194">
        <f>T27+L27</f>
        <v>732.99300000000005</v>
      </c>
      <c r="V27" s="171">
        <f t="shared" ref="V27" si="50">V44+V258</f>
        <v>666.91300000000001</v>
      </c>
      <c r="W27" s="193">
        <f>W61+W168+W213+W258</f>
        <v>-66.08</v>
      </c>
      <c r="X27" s="195"/>
    </row>
    <row r="28" spans="1:25" s="196" customFormat="1" ht="18" customHeight="1">
      <c r="A28" s="610"/>
      <c r="B28" s="576"/>
      <c r="C28" s="577"/>
      <c r="D28" s="174" t="str">
        <f>серпень!D28</f>
        <v>разом сума тис. грн+абонплата</v>
      </c>
      <c r="E28" s="192"/>
      <c r="F28" s="278">
        <f>F62+F167+F212+F259</f>
        <v>494.83300000000003</v>
      </c>
      <c r="G28" s="278">
        <f t="shared" ref="G28:K28" si="51">G62+G167+G212+G259</f>
        <v>754.14200000000005</v>
      </c>
      <c r="H28" s="278">
        <f t="shared" si="51"/>
        <v>467.61200000000002</v>
      </c>
      <c r="I28" s="278">
        <f t="shared" si="51"/>
        <v>74.63</v>
      </c>
      <c r="J28" s="278">
        <f t="shared" si="51"/>
        <v>74.63</v>
      </c>
      <c r="K28" s="278">
        <f t="shared" si="51"/>
        <v>74.63</v>
      </c>
      <c r="L28" s="194">
        <f t="shared" si="45"/>
        <v>1940.4770000000001</v>
      </c>
      <c r="M28" s="194">
        <f t="shared" si="46"/>
        <v>323.41300000000001</v>
      </c>
      <c r="N28" s="278">
        <f>N62+N167+N212+N259</f>
        <v>46.176000000000002</v>
      </c>
      <c r="O28" s="278">
        <f t="shared" ref="O28:R28" si="52">O62+O167+O212+O259</f>
        <v>74.63</v>
      </c>
      <c r="P28" s="278">
        <f t="shared" si="52"/>
        <v>51.848999999999997</v>
      </c>
      <c r="Q28" s="278">
        <f t="shared" si="52"/>
        <v>51.848999999999997</v>
      </c>
      <c r="R28" s="278">
        <f t="shared" si="52"/>
        <v>268.84800000000001</v>
      </c>
      <c r="S28" s="278">
        <f>S62+S167+S212+S259</f>
        <v>901.10500000000002</v>
      </c>
      <c r="T28" s="194">
        <f t="shared" ref="T28:T29" si="53">SUM(N28:S28)</f>
        <v>1394.4570000000001</v>
      </c>
      <c r="U28" s="194">
        <f t="shared" ref="U28:U29" si="54">T28+L28</f>
        <v>3334.9340000000002</v>
      </c>
      <c r="V28" s="171">
        <f>V45+V259</f>
        <v>3204.002</v>
      </c>
      <c r="W28" s="278">
        <f t="shared" ref="W28" si="55">W26+W27</f>
        <v>-130.93199999999999</v>
      </c>
      <c r="X28" s="195"/>
    </row>
    <row r="29" spans="1:25" s="196" customFormat="1" ht="18" customHeight="1">
      <c r="A29" s="610"/>
      <c r="B29" s="576"/>
      <c r="C29" s="577"/>
      <c r="D29" s="174" t="str">
        <f>серпень!D29</f>
        <v>дотація</v>
      </c>
      <c r="E29" s="192"/>
      <c r="F29" s="193">
        <f t="shared" ref="F29:K31" si="56">F63+F168+F213+F260</f>
        <v>0</v>
      </c>
      <c r="G29" s="193">
        <f t="shared" si="56"/>
        <v>0</v>
      </c>
      <c r="H29" s="193">
        <f t="shared" si="56"/>
        <v>70.325000000000003</v>
      </c>
      <c r="I29" s="193">
        <f t="shared" si="56"/>
        <v>0</v>
      </c>
      <c r="J29" s="193">
        <f t="shared" si="56"/>
        <v>47.076999999999998</v>
      </c>
      <c r="K29" s="193">
        <f t="shared" si="56"/>
        <v>0</v>
      </c>
      <c r="L29" s="194">
        <f t="shared" si="45"/>
        <v>117.402</v>
      </c>
      <c r="M29" s="194">
        <f t="shared" si="46"/>
        <v>19.567</v>
      </c>
      <c r="N29" s="193">
        <f t="shared" ref="N29:S31" si="57">N63+N168+N213+N260</f>
        <v>0</v>
      </c>
      <c r="O29" s="193">
        <f t="shared" si="57"/>
        <v>0</v>
      </c>
      <c r="P29" s="193">
        <f t="shared" si="57"/>
        <v>0</v>
      </c>
      <c r="Q29" s="193">
        <f t="shared" si="57"/>
        <v>0</v>
      </c>
      <c r="R29" s="193">
        <f t="shared" si="57"/>
        <v>0</v>
      </c>
      <c r="S29" s="193">
        <f t="shared" si="57"/>
        <v>0</v>
      </c>
      <c r="T29" s="194">
        <f t="shared" si="53"/>
        <v>0</v>
      </c>
      <c r="U29" s="194">
        <f t="shared" si="54"/>
        <v>117.402</v>
      </c>
      <c r="V29" s="171">
        <f>V63+V168+V213+V260</f>
        <v>117.402</v>
      </c>
      <c r="W29" s="192">
        <f t="shared" ref="W29" si="58">W63+W169+W214+W260</f>
        <v>0</v>
      </c>
      <c r="X29" s="195"/>
      <c r="Y29" s="197"/>
    </row>
    <row r="30" spans="1:25" s="196" customFormat="1" ht="18" customHeight="1">
      <c r="A30" s="610"/>
      <c r="B30" s="576"/>
      <c r="C30" s="577"/>
      <c r="D30" s="174" t="str">
        <f>серпень!D30</f>
        <v>місцевий (план), тис.грн</v>
      </c>
      <c r="E30" s="192"/>
      <c r="F30" s="193">
        <f t="shared" si="56"/>
        <v>0</v>
      </c>
      <c r="G30" s="193">
        <f t="shared" si="56"/>
        <v>494.834</v>
      </c>
      <c r="H30" s="193">
        <f t="shared" si="56"/>
        <v>754.14099999999996</v>
      </c>
      <c r="I30" s="193">
        <f>I64+I169+I214+I261</f>
        <v>397.37700000000001</v>
      </c>
      <c r="J30" s="193">
        <f t="shared" si="56"/>
        <v>74.540000000000006</v>
      </c>
      <c r="K30" s="193">
        <f t="shared" si="56"/>
        <v>27.652999999999999</v>
      </c>
      <c r="L30" s="194">
        <f t="shared" si="45"/>
        <v>1748.5450000000001</v>
      </c>
      <c r="M30" s="194">
        <f t="shared" si="46"/>
        <v>291.42399999999998</v>
      </c>
      <c r="N30" s="193">
        <f t="shared" si="57"/>
        <v>74.53</v>
      </c>
      <c r="O30" s="193">
        <f t="shared" si="57"/>
        <v>46.253</v>
      </c>
      <c r="P30" s="193">
        <f t="shared" si="57"/>
        <v>51.652999999999999</v>
      </c>
      <c r="Q30" s="193">
        <f t="shared" si="57"/>
        <v>51.652999999999999</v>
      </c>
      <c r="R30" s="193">
        <f t="shared" si="57"/>
        <v>51.652999999999999</v>
      </c>
      <c r="S30" s="193">
        <f t="shared" si="57"/>
        <v>1062.3130000000001</v>
      </c>
      <c r="T30" s="194">
        <f>SUM(N30:S30)</f>
        <v>1338.0550000000001</v>
      </c>
      <c r="U30" s="194">
        <f>T30+L30</f>
        <v>3086.6</v>
      </c>
      <c r="V30" s="171">
        <f>V64+V169+V214+V261</f>
        <v>3086.6</v>
      </c>
      <c r="W30" s="192">
        <f>W64+W169+W214</f>
        <v>0</v>
      </c>
      <c r="X30" s="195"/>
      <c r="Y30" s="197"/>
    </row>
    <row r="31" spans="1:25" s="186" customFormat="1" ht="18" customHeight="1">
      <c r="A31" s="610"/>
      <c r="B31" s="576"/>
      <c r="C31" s="577"/>
      <c r="D31" s="178" t="str">
        <f>серпень!D31</f>
        <v>касові нат.п-ки 2025</v>
      </c>
      <c r="E31" s="180">
        <f>E65+E170+E215+E262</f>
        <v>0</v>
      </c>
      <c r="F31" s="179">
        <f>F65+F170+F215+F262</f>
        <v>0</v>
      </c>
      <c r="G31" s="179">
        <f t="shared" si="56"/>
        <v>161.30000000000001</v>
      </c>
      <c r="H31" s="179">
        <f t="shared" si="56"/>
        <v>261.5</v>
      </c>
      <c r="I31" s="179">
        <f t="shared" si="56"/>
        <v>141.6</v>
      </c>
      <c r="J31" s="179">
        <f t="shared" si="56"/>
        <v>0</v>
      </c>
      <c r="K31" s="179">
        <f t="shared" si="56"/>
        <v>0</v>
      </c>
      <c r="L31" s="181">
        <f t="shared" si="45"/>
        <v>564.4</v>
      </c>
      <c r="M31" s="181">
        <f t="shared" si="46"/>
        <v>94.1</v>
      </c>
      <c r="N31" s="179">
        <f>N65+N170+N215+N262</f>
        <v>0</v>
      </c>
      <c r="O31" s="179">
        <f t="shared" si="57"/>
        <v>0</v>
      </c>
      <c r="P31" s="179">
        <f t="shared" si="57"/>
        <v>0</v>
      </c>
      <c r="Q31" s="179">
        <f t="shared" si="57"/>
        <v>0</v>
      </c>
      <c r="R31" s="179">
        <f t="shared" si="57"/>
        <v>0</v>
      </c>
      <c r="S31" s="179">
        <f t="shared" si="57"/>
        <v>376.8</v>
      </c>
      <c r="T31" s="181">
        <f>SUM(N31:S31)</f>
        <v>376.8</v>
      </c>
      <c r="U31" s="181">
        <f>T31+L31</f>
        <v>941.2</v>
      </c>
      <c r="V31" s="183">
        <f t="shared" ref="V31:W31" si="59">V65+V170+V215</f>
        <v>932.8</v>
      </c>
      <c r="W31" s="184">
        <f t="shared" si="59"/>
        <v>-8.4</v>
      </c>
      <c r="X31" s="279">
        <f>U24-U31</f>
        <v>0</v>
      </c>
    </row>
    <row r="32" spans="1:25" s="190" customFormat="1" ht="18" customHeight="1">
      <c r="A32" s="610"/>
      <c r="B32" s="576"/>
      <c r="C32" s="577"/>
      <c r="D32" s="187" t="str">
        <f>серпень!D32</f>
        <v>тариф, грн.</v>
      </c>
      <c r="E32" s="188" t="e">
        <f t="shared" ref="E32:K32" si="60">E33/E31*1000</f>
        <v>#DIV/0!</v>
      </c>
      <c r="F32" s="188" t="e">
        <f t="shared" si="60"/>
        <v>#DIV/0!</v>
      </c>
      <c r="G32" s="188">
        <f t="shared" si="60"/>
        <v>3067.7809999999999</v>
      </c>
      <c r="H32" s="188">
        <f t="shared" si="60"/>
        <v>2883.9079999999999</v>
      </c>
      <c r="I32" s="188">
        <f t="shared" si="60"/>
        <v>3302.3449999999998</v>
      </c>
      <c r="J32" s="188" t="e">
        <f t="shared" si="60"/>
        <v>#DIV/0!</v>
      </c>
      <c r="K32" s="188" t="e">
        <f t="shared" si="60"/>
        <v>#DIV/0!</v>
      </c>
      <c r="L32" s="188">
        <f>L33/L31*1000</f>
        <v>3305.895</v>
      </c>
      <c r="M32" s="188">
        <f>M33/M31*1000</f>
        <v>3304.7289999999998</v>
      </c>
      <c r="N32" s="188" t="e">
        <f t="shared" ref="N32:S32" si="61">N33/N31*1000</f>
        <v>#DIV/0!</v>
      </c>
      <c r="O32" s="188" t="e">
        <f t="shared" si="61"/>
        <v>#DIV/0!</v>
      </c>
      <c r="P32" s="188" t="e">
        <f t="shared" si="61"/>
        <v>#DIV/0!</v>
      </c>
      <c r="Q32" s="188" t="e">
        <f t="shared" si="61"/>
        <v>#DIV/0!</v>
      </c>
      <c r="R32" s="188" t="e">
        <f t="shared" si="61"/>
        <v>#DIV/0!</v>
      </c>
      <c r="S32" s="188">
        <f t="shared" si="61"/>
        <v>3104.971</v>
      </c>
      <c r="T32" s="188">
        <f>T33/T31*1000</f>
        <v>3898.8510000000001</v>
      </c>
      <c r="U32" s="188">
        <f>U33/U31*1000</f>
        <v>3543.279</v>
      </c>
      <c r="V32" s="188">
        <f>V33/V31*1000</f>
        <v>3434.8220000000001</v>
      </c>
      <c r="W32" s="189">
        <f>W33/W31*1000</f>
        <v>15587.143</v>
      </c>
      <c r="X32" s="185"/>
    </row>
    <row r="33" spans="1:25" s="176" customFormat="1" ht="18" customHeight="1">
      <c r="A33" s="610"/>
      <c r="B33" s="576"/>
      <c r="C33" s="577"/>
      <c r="D33" s="198" t="str">
        <f>серпень!D33</f>
        <v>касові видатки, тис.грн.</v>
      </c>
      <c r="E33" s="199">
        <f t="shared" ref="E33" si="62">E67+E172+E217+E264</f>
        <v>0</v>
      </c>
      <c r="F33" s="199">
        <f>F67+F172+F217+F264</f>
        <v>0</v>
      </c>
      <c r="G33" s="199">
        <f t="shared" ref="G33:K33" si="63">G67+G172+G217+G264</f>
        <v>494.83300000000003</v>
      </c>
      <c r="H33" s="199">
        <f t="shared" si="63"/>
        <v>754.14200000000005</v>
      </c>
      <c r="I33" s="199">
        <f t="shared" si="63"/>
        <v>467.61200000000002</v>
      </c>
      <c r="J33" s="199">
        <f t="shared" si="63"/>
        <v>74.63</v>
      </c>
      <c r="K33" s="199">
        <f t="shared" si="63"/>
        <v>74.63</v>
      </c>
      <c r="L33" s="199">
        <f>SUM(F33:K33)</f>
        <v>1865.847</v>
      </c>
      <c r="M33" s="199">
        <f>L33/6</f>
        <v>310.97500000000002</v>
      </c>
      <c r="N33" s="199">
        <f>N67+N172+N217+N264</f>
        <v>74.63</v>
      </c>
      <c r="O33" s="199">
        <f t="shared" ref="O33:S33" si="64">O67+O172+O217+O264</f>
        <v>46.176000000000002</v>
      </c>
      <c r="P33" s="199">
        <f t="shared" si="64"/>
        <v>74.63</v>
      </c>
      <c r="Q33" s="199">
        <f t="shared" si="64"/>
        <v>51.848999999999997</v>
      </c>
      <c r="R33" s="199">
        <f t="shared" si="64"/>
        <v>51.848999999999997</v>
      </c>
      <c r="S33" s="199">
        <f t="shared" si="64"/>
        <v>1169.953</v>
      </c>
      <c r="T33" s="199">
        <f>SUM(N33:S33)</f>
        <v>1469.087</v>
      </c>
      <c r="U33" s="199">
        <f>T33+L33</f>
        <v>3334.9340000000002</v>
      </c>
      <c r="V33" s="175">
        <f>V67+V172+V217+V264</f>
        <v>3204.002</v>
      </c>
      <c r="W33" s="200">
        <f>W67+W172+W217+W264</f>
        <v>-130.93199999999999</v>
      </c>
      <c r="X33" s="176">
        <f>U28-U33</f>
        <v>0</v>
      </c>
    </row>
    <row r="34" spans="1:25" s="176" customFormat="1" ht="18" customHeight="1">
      <c r="A34" s="610"/>
      <c r="B34" s="576"/>
      <c r="C34" s="577"/>
      <c r="D34" s="201" t="str">
        <f>серпень!D34</f>
        <v>дотація</v>
      </c>
      <c r="E34" s="199"/>
      <c r="F34" s="199">
        <f t="shared" ref="F34:K35" si="65">F68+F173+F218+F265</f>
        <v>0</v>
      </c>
      <c r="G34" s="199">
        <f t="shared" si="65"/>
        <v>0</v>
      </c>
      <c r="H34" s="199">
        <f t="shared" si="65"/>
        <v>70.325000000000003</v>
      </c>
      <c r="I34" s="199">
        <f t="shared" si="65"/>
        <v>0</v>
      </c>
      <c r="J34" s="199">
        <f t="shared" si="65"/>
        <v>0</v>
      </c>
      <c r="K34" s="199">
        <f t="shared" si="65"/>
        <v>47.076999999999998</v>
      </c>
      <c r="L34" s="199">
        <f>SUM(F34:K34)</f>
        <v>117.402</v>
      </c>
      <c r="M34" s="199">
        <f>L34/6</f>
        <v>19.567</v>
      </c>
      <c r="N34" s="199">
        <f t="shared" ref="N34:S35" si="66">N68+N173+N218+N265</f>
        <v>0</v>
      </c>
      <c r="O34" s="199">
        <f t="shared" si="66"/>
        <v>0</v>
      </c>
      <c r="P34" s="199">
        <f t="shared" si="66"/>
        <v>0</v>
      </c>
      <c r="Q34" s="199">
        <f t="shared" si="66"/>
        <v>0</v>
      </c>
      <c r="R34" s="199">
        <f t="shared" si="66"/>
        <v>0</v>
      </c>
      <c r="S34" s="199">
        <f t="shared" si="66"/>
        <v>0</v>
      </c>
      <c r="T34" s="199">
        <f>SUM(N34:S34)</f>
        <v>0</v>
      </c>
      <c r="U34" s="199">
        <f>T34+L34</f>
        <v>117.402</v>
      </c>
      <c r="V34" s="175">
        <f>V68+V173+V218+V265</f>
        <v>117.402</v>
      </c>
      <c r="W34" s="200">
        <f>V34-U34</f>
        <v>0</v>
      </c>
      <c r="X34" s="176">
        <f>U29-U34</f>
        <v>0</v>
      </c>
    </row>
    <row r="35" spans="1:25" s="176" customFormat="1" ht="18" customHeight="1">
      <c r="A35" s="610"/>
      <c r="B35" s="576"/>
      <c r="C35" s="577"/>
      <c r="D35" s="201" t="str">
        <f>серпень!D35</f>
        <v xml:space="preserve">місцевий </v>
      </c>
      <c r="E35" s="199"/>
      <c r="F35" s="199">
        <f t="shared" si="65"/>
        <v>0</v>
      </c>
      <c r="G35" s="199">
        <f t="shared" si="65"/>
        <v>494.83300000000003</v>
      </c>
      <c r="H35" s="199">
        <f t="shared" si="65"/>
        <v>683.81700000000001</v>
      </c>
      <c r="I35" s="199">
        <f t="shared" si="65"/>
        <v>467.61200000000002</v>
      </c>
      <c r="J35" s="199">
        <f t="shared" si="65"/>
        <v>74.63</v>
      </c>
      <c r="K35" s="199">
        <f t="shared" si="65"/>
        <v>27.553000000000001</v>
      </c>
      <c r="L35" s="199">
        <f>SUM(F35:K35)</f>
        <v>1748.4449999999999</v>
      </c>
      <c r="M35" s="199">
        <f>L35/6</f>
        <v>291.40800000000002</v>
      </c>
      <c r="N35" s="199">
        <f t="shared" si="66"/>
        <v>74.63</v>
      </c>
      <c r="O35" s="199">
        <f t="shared" si="66"/>
        <v>46.176000000000002</v>
      </c>
      <c r="P35" s="199">
        <f t="shared" si="66"/>
        <v>74.63</v>
      </c>
      <c r="Q35" s="199">
        <f t="shared" si="66"/>
        <v>51.848999999999997</v>
      </c>
      <c r="R35" s="199">
        <f t="shared" si="66"/>
        <v>51.848999999999997</v>
      </c>
      <c r="S35" s="199">
        <f t="shared" si="66"/>
        <v>1169.953</v>
      </c>
      <c r="T35" s="199">
        <f>SUM(N35:S35)</f>
        <v>1469.087</v>
      </c>
      <c r="U35" s="199">
        <f>T35+L35</f>
        <v>3217.5320000000002</v>
      </c>
      <c r="V35" s="175">
        <f>V69+V174+V219+V266</f>
        <v>3086.6</v>
      </c>
      <c r="W35" s="200">
        <f>V35-U35</f>
        <v>-130.93199999999999</v>
      </c>
      <c r="X35" s="176">
        <f>U30-U35</f>
        <v>-130.93199999999999</v>
      </c>
    </row>
    <row r="36" spans="1:25" s="205" customFormat="1" ht="18" customHeight="1">
      <c r="A36" s="610"/>
      <c r="B36" s="576"/>
      <c r="C36" s="577"/>
      <c r="D36" s="202" t="str">
        <f>серпень!D36</f>
        <v>план</v>
      </c>
      <c r="E36" s="203"/>
      <c r="F36" s="203">
        <f t="shared" ref="F36:H36" si="67">F30</f>
        <v>0</v>
      </c>
      <c r="G36" s="203">
        <f t="shared" si="67"/>
        <v>494.834</v>
      </c>
      <c r="H36" s="203">
        <f t="shared" si="67"/>
        <v>754.14099999999996</v>
      </c>
      <c r="I36" s="203">
        <f>I30+I29</f>
        <v>397.37700000000001</v>
      </c>
      <c r="J36" s="203">
        <f t="shared" ref="J36:K36" si="68">J30+J29</f>
        <v>121.617</v>
      </c>
      <c r="K36" s="203">
        <f t="shared" si="68"/>
        <v>27.652999999999999</v>
      </c>
      <c r="L36" s="203">
        <f>SUM(F36:K36)</f>
        <v>1795.6220000000001</v>
      </c>
      <c r="M36" s="203">
        <f>L36/6</f>
        <v>299.27</v>
      </c>
      <c r="N36" s="203">
        <f t="shared" ref="N36:S36" si="69">N30+N29</f>
        <v>74.53</v>
      </c>
      <c r="O36" s="203">
        <f t="shared" si="69"/>
        <v>46.253</v>
      </c>
      <c r="P36" s="203">
        <f t="shared" si="69"/>
        <v>51.652999999999999</v>
      </c>
      <c r="Q36" s="203">
        <f t="shared" si="69"/>
        <v>51.652999999999999</v>
      </c>
      <c r="R36" s="203">
        <f t="shared" si="69"/>
        <v>51.652999999999999</v>
      </c>
      <c r="S36" s="203">
        <f t="shared" si="69"/>
        <v>1062.3130000000001</v>
      </c>
      <c r="T36" s="203">
        <f>SUM(N36:S36)</f>
        <v>1338.0550000000001</v>
      </c>
      <c r="U36" s="203">
        <f>T36+L36</f>
        <v>3133.6770000000001</v>
      </c>
      <c r="V36" s="204">
        <f>V70+V175+V220+V267</f>
        <v>3204.002</v>
      </c>
      <c r="W36" s="203">
        <f>V36-U36</f>
        <v>70.325000000000003</v>
      </c>
    </row>
    <row r="37" spans="1:25" s="205" customFormat="1" ht="18" customHeight="1">
      <c r="A37" s="610"/>
      <c r="B37" s="576"/>
      <c r="C37" s="577"/>
      <c r="D37" s="202" t="str">
        <f>серпень!D37</f>
        <v xml:space="preserve">відхилення </v>
      </c>
      <c r="E37" s="203"/>
      <c r="F37" s="203">
        <f t="shared" ref="F37:K37" si="70">F33-F36</f>
        <v>0</v>
      </c>
      <c r="G37" s="203">
        <f t="shared" si="70"/>
        <v>-1E-3</v>
      </c>
      <c r="H37" s="203">
        <f t="shared" si="70"/>
        <v>1E-3</v>
      </c>
      <c r="I37" s="203">
        <f t="shared" si="70"/>
        <v>70.234999999999999</v>
      </c>
      <c r="J37" s="203">
        <f t="shared" si="70"/>
        <v>-46.987000000000002</v>
      </c>
      <c r="K37" s="203">
        <f t="shared" si="70"/>
        <v>46.976999999999997</v>
      </c>
      <c r="L37" s="203"/>
      <c r="M37" s="203"/>
      <c r="N37" s="203">
        <f t="shared" ref="N37:S37" si="71">N33-N36</f>
        <v>0.1</v>
      </c>
      <c r="O37" s="203">
        <f t="shared" si="71"/>
        <v>-7.6999999999999999E-2</v>
      </c>
      <c r="P37" s="203">
        <f t="shared" si="71"/>
        <v>22.977</v>
      </c>
      <c r="Q37" s="203">
        <f t="shared" si="71"/>
        <v>0.19600000000000001</v>
      </c>
      <c r="R37" s="203">
        <f t="shared" si="71"/>
        <v>0.19600000000000001</v>
      </c>
      <c r="S37" s="203">
        <f t="shared" si="71"/>
        <v>107.64</v>
      </c>
      <c r="T37" s="203"/>
      <c r="U37" s="203"/>
      <c r="V37" s="203"/>
      <c r="W37" s="203"/>
    </row>
    <row r="38" spans="1:25" s="205" customFormat="1" ht="18" customHeight="1">
      <c r="A38" s="610"/>
      <c r="B38" s="576"/>
      <c r="C38" s="577"/>
      <c r="D38" s="202" t="str">
        <f>серпень!D38</f>
        <v>відхилення з наростаючим</v>
      </c>
      <c r="E38" s="203"/>
      <c r="F38" s="203">
        <f>F37</f>
        <v>0</v>
      </c>
      <c r="G38" s="203">
        <f>G37+F38</f>
        <v>-1E-3</v>
      </c>
      <c r="H38" s="203">
        <f>H37+G38</f>
        <v>0</v>
      </c>
      <c r="I38" s="203">
        <f>I37+H38</f>
        <v>70.234999999999999</v>
      </c>
      <c r="J38" s="203">
        <f>J37+I38</f>
        <v>23.248000000000001</v>
      </c>
      <c r="K38" s="203">
        <f>K37+J38</f>
        <v>70.224999999999994</v>
      </c>
      <c r="L38" s="203"/>
      <c r="M38" s="203"/>
      <c r="N38" s="203">
        <f>N37+K38</f>
        <v>70.325000000000003</v>
      </c>
      <c r="O38" s="203">
        <f>O37+N38</f>
        <v>70.248000000000005</v>
      </c>
      <c r="P38" s="203">
        <f>P37+O38</f>
        <v>93.224999999999994</v>
      </c>
      <c r="Q38" s="203">
        <f>Q37+P38</f>
        <v>93.421000000000006</v>
      </c>
      <c r="R38" s="203">
        <f>R37+Q38</f>
        <v>93.617000000000004</v>
      </c>
      <c r="S38" s="203">
        <f>S37+R38</f>
        <v>201.25700000000001</v>
      </c>
      <c r="T38" s="203"/>
      <c r="U38" s="203"/>
      <c r="V38" s="203"/>
      <c r="W38" s="203"/>
    </row>
    <row r="39" spans="1:25" s="206" customFormat="1" ht="18" customHeight="1">
      <c r="A39" s="610"/>
      <c r="B39" s="581" t="s">
        <v>71</v>
      </c>
      <c r="C39" s="581"/>
      <c r="D39" s="178" t="str">
        <f>серпень!D39</f>
        <v>факт. нат.п-ки 2023</v>
      </c>
      <c r="E39" s="179"/>
      <c r="F39" s="180">
        <f t="shared" ref="F39:K40" si="72">F56+F163+F208</f>
        <v>294.8</v>
      </c>
      <c r="G39" s="180">
        <f t="shared" si="72"/>
        <v>235.2</v>
      </c>
      <c r="H39" s="180">
        <f t="shared" si="72"/>
        <v>180.5</v>
      </c>
      <c r="I39" s="180">
        <f t="shared" si="72"/>
        <v>0.5</v>
      </c>
      <c r="J39" s="180">
        <f t="shared" si="72"/>
        <v>0.5</v>
      </c>
      <c r="K39" s="180">
        <f t="shared" si="72"/>
        <v>0.5</v>
      </c>
      <c r="L39" s="181">
        <f>SUM(F39:K39)</f>
        <v>712</v>
      </c>
      <c r="M39" s="181">
        <f>L39/6</f>
        <v>118.7</v>
      </c>
      <c r="N39" s="180">
        <f t="shared" ref="N39:S40" si="73">N56+N163+N208</f>
        <v>0.5</v>
      </c>
      <c r="O39" s="180">
        <f t="shared" si="73"/>
        <v>0.5</v>
      </c>
      <c r="P39" s="180">
        <f t="shared" si="73"/>
        <v>0.5</v>
      </c>
      <c r="Q39" s="180">
        <f t="shared" si="73"/>
        <v>0.5</v>
      </c>
      <c r="R39" s="180">
        <f t="shared" si="73"/>
        <v>126.9</v>
      </c>
      <c r="S39" s="180">
        <f t="shared" si="73"/>
        <v>216.6</v>
      </c>
      <c r="T39" s="181">
        <f>SUM(N39:S39)</f>
        <v>345.5</v>
      </c>
      <c r="U39" s="182">
        <f>T39+L39</f>
        <v>1057.5</v>
      </c>
      <c r="V39" s="183">
        <f>V56+V163</f>
        <v>0</v>
      </c>
      <c r="W39" s="184"/>
    </row>
    <row r="40" spans="1:25" s="206" customFormat="1" ht="18" customHeight="1">
      <c r="A40" s="610"/>
      <c r="B40" s="581"/>
      <c r="C40" s="581"/>
      <c r="D40" s="178" t="str">
        <f>серпень!D40</f>
        <v>факт. нат.п-ки 2024</v>
      </c>
      <c r="E40" s="179"/>
      <c r="F40" s="180">
        <f t="shared" si="72"/>
        <v>275.7</v>
      </c>
      <c r="G40" s="180">
        <f t="shared" si="72"/>
        <v>192.7</v>
      </c>
      <c r="H40" s="180">
        <f t="shared" si="72"/>
        <v>181.5</v>
      </c>
      <c r="I40" s="180">
        <f t="shared" si="72"/>
        <v>0.5</v>
      </c>
      <c r="J40" s="180">
        <f t="shared" si="72"/>
        <v>0.5</v>
      </c>
      <c r="K40" s="180">
        <f t="shared" si="72"/>
        <v>0.5</v>
      </c>
      <c r="L40" s="181">
        <f>SUM(F40:K40)</f>
        <v>651.4</v>
      </c>
      <c r="M40" s="181">
        <f>L40/6</f>
        <v>108.6</v>
      </c>
      <c r="N40" s="180">
        <f t="shared" si="73"/>
        <v>0.7</v>
      </c>
      <c r="O40" s="180">
        <f t="shared" si="73"/>
        <v>0.7</v>
      </c>
      <c r="P40" s="180">
        <f t="shared" si="73"/>
        <v>0.7</v>
      </c>
      <c r="Q40" s="180">
        <f t="shared" si="73"/>
        <v>0.7</v>
      </c>
      <c r="R40" s="180">
        <f t="shared" si="73"/>
        <v>127.1</v>
      </c>
      <c r="S40" s="180">
        <f t="shared" si="73"/>
        <v>241.1</v>
      </c>
      <c r="T40" s="181">
        <f>SUM(N40:S40)</f>
        <v>371</v>
      </c>
      <c r="U40" s="182">
        <f>T40+L40</f>
        <v>1022.4</v>
      </c>
      <c r="V40" s="183">
        <f>V57+V164</f>
        <v>212</v>
      </c>
      <c r="W40" s="184"/>
    </row>
    <row r="41" spans="1:25" s="206" customFormat="1" ht="18" customHeight="1">
      <c r="A41" s="610"/>
      <c r="B41" s="581"/>
      <c r="C41" s="581"/>
      <c r="D41" s="178" t="str">
        <f>серпень!D41</f>
        <v>факт. нат.п-ки 2025</v>
      </c>
      <c r="E41" s="179"/>
      <c r="F41" s="180">
        <f>F90+F135+F165+F210</f>
        <v>161.30000000000001</v>
      </c>
      <c r="G41" s="180">
        <f t="shared" ref="G41:K41" si="74">G90+G135+G165+G210</f>
        <v>261.5</v>
      </c>
      <c r="H41" s="180">
        <f t="shared" si="74"/>
        <v>141.6</v>
      </c>
      <c r="I41" s="180">
        <f t="shared" si="74"/>
        <v>0</v>
      </c>
      <c r="J41" s="180">
        <f t="shared" si="74"/>
        <v>0</v>
      </c>
      <c r="K41" s="180">
        <f t="shared" si="74"/>
        <v>0</v>
      </c>
      <c r="L41" s="181">
        <f>SUM(F41:K41)</f>
        <v>564.4</v>
      </c>
      <c r="M41" s="181">
        <f>L41/6</f>
        <v>94.1</v>
      </c>
      <c r="N41" s="180">
        <f>N90+N135+N165+N210</f>
        <v>0</v>
      </c>
      <c r="O41" s="180">
        <f t="shared" ref="O41:R41" si="75">O90+O135+O165+O210</f>
        <v>0</v>
      </c>
      <c r="P41" s="180">
        <f t="shared" si="75"/>
        <v>0</v>
      </c>
      <c r="Q41" s="180">
        <f t="shared" si="75"/>
        <v>0</v>
      </c>
      <c r="R41" s="180">
        <f t="shared" si="75"/>
        <v>81.3</v>
      </c>
      <c r="S41" s="180">
        <f>S90+S135+S165+S210</f>
        <v>295.5</v>
      </c>
      <c r="T41" s="181">
        <f>SUM(N41:S41)</f>
        <v>376.8</v>
      </c>
      <c r="U41" s="182">
        <f>T41+L41</f>
        <v>941.2</v>
      </c>
      <c r="V41" s="264">
        <f t="shared" ref="V41" si="76">V58+V165+V210</f>
        <v>932.8</v>
      </c>
      <c r="W41" s="184">
        <f>V41-U41</f>
        <v>-8.4</v>
      </c>
    </row>
    <row r="42" spans="1:25" s="206" customFormat="1" ht="18" customHeight="1">
      <c r="A42" s="610"/>
      <c r="B42" s="581"/>
      <c r="C42" s="581"/>
      <c r="D42" s="187" t="str">
        <f>серпень!D42</f>
        <v>тариф, грн.</v>
      </c>
      <c r="E42" s="188"/>
      <c r="F42" s="188">
        <f t="shared" ref="F42:S42" si="77">F43/F41*1000</f>
        <v>2595.1019999999999</v>
      </c>
      <c r="G42" s="188">
        <f t="shared" si="77"/>
        <v>2769.078</v>
      </c>
      <c r="H42" s="188">
        <f t="shared" si="77"/>
        <v>2775.297</v>
      </c>
      <c r="I42" s="188" t="e">
        <f>I43/I41*1000</f>
        <v>#DIV/0!</v>
      </c>
      <c r="J42" s="188" t="e">
        <f>J43/J41*1000</f>
        <v>#DIV/0!</v>
      </c>
      <c r="K42" s="188" t="e">
        <f t="shared" si="77"/>
        <v>#DIV/0!</v>
      </c>
      <c r="L42" s="188">
        <f t="shared" si="77"/>
        <v>2720.9180000000001</v>
      </c>
      <c r="M42" s="188">
        <f t="shared" si="77"/>
        <v>2719.9569999999999</v>
      </c>
      <c r="N42" s="188" t="e">
        <f t="shared" si="77"/>
        <v>#DIV/0!</v>
      </c>
      <c r="O42" s="188" t="e">
        <f t="shared" si="77"/>
        <v>#DIV/0!</v>
      </c>
      <c r="P42" s="188" t="e">
        <f t="shared" si="77"/>
        <v>#DIV/0!</v>
      </c>
      <c r="Q42" s="188" t="e">
        <f t="shared" si="77"/>
        <v>#DIV/0!</v>
      </c>
      <c r="R42" s="188">
        <f t="shared" si="77"/>
        <v>2669.114</v>
      </c>
      <c r="S42" s="188">
        <f t="shared" si="77"/>
        <v>2873.9630000000002</v>
      </c>
      <c r="T42" s="188">
        <f>T43/T41*1000</f>
        <v>2829.7640000000001</v>
      </c>
      <c r="U42" s="188">
        <f>U43/U41*1000</f>
        <v>2764.4929999999999</v>
      </c>
      <c r="V42" s="188">
        <f>V43/V41*1000</f>
        <v>2719.864</v>
      </c>
      <c r="W42" s="189">
        <f>W43/W41*1000</f>
        <v>7720.4759999999997</v>
      </c>
    </row>
    <row r="43" spans="1:25" s="206" customFormat="1" ht="18" customHeight="1">
      <c r="A43" s="610"/>
      <c r="B43" s="581"/>
      <c r="C43" s="581"/>
      <c r="D43" s="191" t="str">
        <f>серпень!D43</f>
        <v>сума, тис.грн.</v>
      </c>
      <c r="E43" s="192"/>
      <c r="F43" s="193">
        <f>F92+F137+F167+F212</f>
        <v>418.59</v>
      </c>
      <c r="G43" s="193">
        <f t="shared" ref="G43:K43" si="78">G92+G137+G167+G212</f>
        <v>724.11400000000003</v>
      </c>
      <c r="H43" s="193">
        <f t="shared" si="78"/>
        <v>392.98200000000003</v>
      </c>
      <c r="I43" s="193">
        <f t="shared" si="78"/>
        <v>0</v>
      </c>
      <c r="J43" s="193">
        <f t="shared" si="78"/>
        <v>0</v>
      </c>
      <c r="K43" s="193">
        <f t="shared" si="78"/>
        <v>0</v>
      </c>
      <c r="L43" s="194">
        <f t="shared" ref="L43:L48" si="79">SUM(F43:K43)</f>
        <v>1535.6859999999999</v>
      </c>
      <c r="M43" s="194">
        <f t="shared" ref="M43:M48" si="80">L43/6</f>
        <v>255.94800000000001</v>
      </c>
      <c r="N43" s="193">
        <f>N92+N137+N167+N212</f>
        <v>0</v>
      </c>
      <c r="O43" s="193">
        <f t="shared" ref="O43:S43" si="81">O92+O137+O167+O212</f>
        <v>0</v>
      </c>
      <c r="P43" s="193">
        <f t="shared" si="81"/>
        <v>0</v>
      </c>
      <c r="Q43" s="193">
        <f t="shared" si="81"/>
        <v>0</v>
      </c>
      <c r="R43" s="193">
        <f t="shared" si="81"/>
        <v>216.999</v>
      </c>
      <c r="S43" s="193">
        <f t="shared" si="81"/>
        <v>849.25599999999997</v>
      </c>
      <c r="T43" s="194">
        <f>SUM(N43:S43)</f>
        <v>1066.2550000000001</v>
      </c>
      <c r="U43" s="194">
        <f>T43+L43</f>
        <v>2601.9409999999998</v>
      </c>
      <c r="V43" s="171">
        <f>V60+V167+V212</f>
        <v>2537.0889999999999</v>
      </c>
      <c r="W43" s="193">
        <f>V43-U43</f>
        <v>-64.852000000000004</v>
      </c>
    </row>
    <row r="44" spans="1:25" s="206" customFormat="1" ht="18" customHeight="1">
      <c r="A44" s="610"/>
      <c r="B44" s="581"/>
      <c r="C44" s="581"/>
      <c r="D44" s="174" t="str">
        <f>серпень!D44</f>
        <v>абоненська плата, тис.грн.</v>
      </c>
      <c r="E44" s="192"/>
      <c r="F44" s="193">
        <f>F77+F107+F122+F152</f>
        <v>76.242999999999995</v>
      </c>
      <c r="G44" s="193">
        <f t="shared" ref="G44:K44" si="82">G77+G107+G122+G152</f>
        <v>30.027999999999999</v>
      </c>
      <c r="H44" s="193">
        <f t="shared" si="82"/>
        <v>74.63</v>
      </c>
      <c r="I44" s="193">
        <f t="shared" si="82"/>
        <v>74.63</v>
      </c>
      <c r="J44" s="193">
        <f t="shared" si="82"/>
        <v>74.63</v>
      </c>
      <c r="K44" s="193">
        <f t="shared" si="82"/>
        <v>74.63</v>
      </c>
      <c r="L44" s="194">
        <f t="shared" si="79"/>
        <v>404.791</v>
      </c>
      <c r="M44" s="194">
        <f t="shared" si="80"/>
        <v>67.465000000000003</v>
      </c>
      <c r="N44" s="193">
        <f>N77+N107+N122+N152</f>
        <v>46.176000000000002</v>
      </c>
      <c r="O44" s="193">
        <f t="shared" ref="O44:S44" si="83">O77+O107+O122+O152</f>
        <v>74.63</v>
      </c>
      <c r="P44" s="193">
        <f t="shared" si="83"/>
        <v>51.848999999999997</v>
      </c>
      <c r="Q44" s="193">
        <f t="shared" si="83"/>
        <v>51.848999999999997</v>
      </c>
      <c r="R44" s="193">
        <f t="shared" si="83"/>
        <v>51.848999999999997</v>
      </c>
      <c r="S44" s="193">
        <f t="shared" si="83"/>
        <v>51.848999999999997</v>
      </c>
      <c r="T44" s="194">
        <f t="shared" ref="T44:T46" si="84">SUM(N44:S44)</f>
        <v>328.202</v>
      </c>
      <c r="U44" s="194">
        <f t="shared" ref="U44:U46" si="85">T44+L44</f>
        <v>732.99300000000005</v>
      </c>
      <c r="V44" s="171">
        <f t="shared" ref="V44:V45" si="86">V61</f>
        <v>666.91300000000001</v>
      </c>
      <c r="W44" s="193">
        <f t="shared" ref="W44:W45" si="87">V44-U44</f>
        <v>-66.08</v>
      </c>
    </row>
    <row r="45" spans="1:25" s="206" customFormat="1" ht="18" customHeight="1">
      <c r="A45" s="610"/>
      <c r="B45" s="581"/>
      <c r="C45" s="581"/>
      <c r="D45" s="174" t="str">
        <f>серпень!D45</f>
        <v>разом сума тис. грн+абонплата</v>
      </c>
      <c r="E45" s="192"/>
      <c r="F45" s="193">
        <f>F43+F44</f>
        <v>494.83300000000003</v>
      </c>
      <c r="G45" s="193">
        <f t="shared" ref="G45:K45" si="88">G43+G44</f>
        <v>754.14200000000005</v>
      </c>
      <c r="H45" s="193">
        <f t="shared" si="88"/>
        <v>467.61200000000002</v>
      </c>
      <c r="I45" s="193">
        <f t="shared" si="88"/>
        <v>74.63</v>
      </c>
      <c r="J45" s="193">
        <f t="shared" si="88"/>
        <v>74.63</v>
      </c>
      <c r="K45" s="193">
        <f t="shared" si="88"/>
        <v>74.63</v>
      </c>
      <c r="L45" s="194">
        <f t="shared" si="79"/>
        <v>1940.4770000000001</v>
      </c>
      <c r="M45" s="194">
        <f t="shared" si="80"/>
        <v>323.41300000000001</v>
      </c>
      <c r="N45" s="193">
        <f t="shared" ref="N45:S45" si="89">N43+N44</f>
        <v>46.176000000000002</v>
      </c>
      <c r="O45" s="193">
        <f t="shared" si="89"/>
        <v>74.63</v>
      </c>
      <c r="P45" s="193">
        <f t="shared" si="89"/>
        <v>51.848999999999997</v>
      </c>
      <c r="Q45" s="193">
        <f t="shared" si="89"/>
        <v>51.848999999999997</v>
      </c>
      <c r="R45" s="193">
        <f t="shared" si="89"/>
        <v>268.84800000000001</v>
      </c>
      <c r="S45" s="193">
        <f t="shared" si="89"/>
        <v>901.10500000000002</v>
      </c>
      <c r="T45" s="194">
        <f t="shared" ref="T45" si="90">SUM(N45:S45)</f>
        <v>1394.4570000000001</v>
      </c>
      <c r="U45" s="194">
        <f t="shared" si="85"/>
        <v>3334.9340000000002</v>
      </c>
      <c r="V45" s="171">
        <f t="shared" si="86"/>
        <v>3204.002</v>
      </c>
      <c r="W45" s="193">
        <f t="shared" si="87"/>
        <v>-130.93199999999999</v>
      </c>
    </row>
    <row r="46" spans="1:25" s="206" customFormat="1" ht="18" customHeight="1">
      <c r="A46" s="610"/>
      <c r="B46" s="581"/>
      <c r="C46" s="581"/>
      <c r="D46" s="174" t="str">
        <f>серпень!D46</f>
        <v>дотація</v>
      </c>
      <c r="E46" s="192"/>
      <c r="F46" s="193">
        <f>F63+F168+F213</f>
        <v>0</v>
      </c>
      <c r="G46" s="193">
        <f t="shared" ref="G46:K47" si="91">G63+G168+G213</f>
        <v>0</v>
      </c>
      <c r="H46" s="193">
        <f t="shared" si="91"/>
        <v>70.325000000000003</v>
      </c>
      <c r="I46" s="193">
        <f t="shared" si="91"/>
        <v>0</v>
      </c>
      <c r="J46" s="193">
        <f t="shared" si="91"/>
        <v>47.076999999999998</v>
      </c>
      <c r="K46" s="193">
        <f t="shared" si="91"/>
        <v>0</v>
      </c>
      <c r="L46" s="194">
        <f t="shared" si="79"/>
        <v>117.402</v>
      </c>
      <c r="M46" s="194">
        <f t="shared" si="80"/>
        <v>19.567</v>
      </c>
      <c r="N46" s="193">
        <f t="shared" ref="N46:S47" si="92">N63+N168+N213</f>
        <v>0</v>
      </c>
      <c r="O46" s="193">
        <f t="shared" si="92"/>
        <v>0</v>
      </c>
      <c r="P46" s="193">
        <f t="shared" si="92"/>
        <v>0</v>
      </c>
      <c r="Q46" s="193">
        <f t="shared" si="92"/>
        <v>0</v>
      </c>
      <c r="R46" s="193">
        <f t="shared" si="92"/>
        <v>0</v>
      </c>
      <c r="S46" s="193">
        <f t="shared" si="92"/>
        <v>0</v>
      </c>
      <c r="T46" s="194">
        <f t="shared" si="84"/>
        <v>0</v>
      </c>
      <c r="U46" s="194">
        <f t="shared" si="85"/>
        <v>117.402</v>
      </c>
      <c r="V46" s="171">
        <f t="shared" ref="V46:V47" si="93">V63+V168+V213</f>
        <v>117.402</v>
      </c>
      <c r="W46" s="192">
        <f>V46-U46</f>
        <v>0</v>
      </c>
    </row>
    <row r="47" spans="1:25" s="206" customFormat="1" ht="18" customHeight="1">
      <c r="A47" s="610"/>
      <c r="B47" s="581"/>
      <c r="C47" s="581"/>
      <c r="D47" s="174" t="str">
        <f>серпень!D47</f>
        <v>місцевий (план), тис.грн</v>
      </c>
      <c r="E47" s="192"/>
      <c r="F47" s="193">
        <f>F64+F169+F214</f>
        <v>0</v>
      </c>
      <c r="G47" s="193">
        <f t="shared" si="91"/>
        <v>494.834</v>
      </c>
      <c r="H47" s="193">
        <f t="shared" si="91"/>
        <v>754.14099999999996</v>
      </c>
      <c r="I47" s="193">
        <f t="shared" si="91"/>
        <v>397.37700000000001</v>
      </c>
      <c r="J47" s="193">
        <f t="shared" si="91"/>
        <v>74.540000000000006</v>
      </c>
      <c r="K47" s="193">
        <f t="shared" si="91"/>
        <v>27.652999999999999</v>
      </c>
      <c r="L47" s="194">
        <f t="shared" si="79"/>
        <v>1748.5450000000001</v>
      </c>
      <c r="M47" s="194">
        <f t="shared" si="80"/>
        <v>291.42399999999998</v>
      </c>
      <c r="N47" s="193">
        <f t="shared" si="92"/>
        <v>74.53</v>
      </c>
      <c r="O47" s="193">
        <f t="shared" si="92"/>
        <v>46.253</v>
      </c>
      <c r="P47" s="193">
        <f t="shared" si="92"/>
        <v>51.652999999999999</v>
      </c>
      <c r="Q47" s="193">
        <f t="shared" si="92"/>
        <v>51.652999999999999</v>
      </c>
      <c r="R47" s="193">
        <f t="shared" si="92"/>
        <v>51.652999999999999</v>
      </c>
      <c r="S47" s="193">
        <f t="shared" si="92"/>
        <v>1062.3130000000001</v>
      </c>
      <c r="T47" s="194">
        <f>SUM(N47:S47)</f>
        <v>1338.0550000000001</v>
      </c>
      <c r="U47" s="194">
        <f>T47+L47</f>
        <v>3086.6</v>
      </c>
      <c r="V47" s="171">
        <f t="shared" si="93"/>
        <v>3086.6</v>
      </c>
      <c r="W47" s="192">
        <f>V47-U47</f>
        <v>0</v>
      </c>
    </row>
    <row r="48" spans="1:25" s="206" customFormat="1" ht="18" customHeight="1">
      <c r="A48" s="610"/>
      <c r="B48" s="581"/>
      <c r="C48" s="581"/>
      <c r="D48" s="178" t="str">
        <f>серпень!D48</f>
        <v>касові нат.п-ки 2025</v>
      </c>
      <c r="E48" s="179">
        <f t="shared" ref="E48" si="94">E65+E170+E215</f>
        <v>0</v>
      </c>
      <c r="F48" s="264">
        <f>F95+F140+F170+F215</f>
        <v>0</v>
      </c>
      <c r="G48" s="264">
        <f t="shared" ref="G48:K48" si="95">G95+G140+G170+G215</f>
        <v>161.30000000000001</v>
      </c>
      <c r="H48" s="264">
        <f t="shared" si="95"/>
        <v>261.5</v>
      </c>
      <c r="I48" s="264">
        <f t="shared" si="95"/>
        <v>141.6</v>
      </c>
      <c r="J48" s="264">
        <f>J95+J140+J170+J215</f>
        <v>0</v>
      </c>
      <c r="K48" s="264">
        <f t="shared" si="95"/>
        <v>0</v>
      </c>
      <c r="L48" s="181">
        <f t="shared" si="79"/>
        <v>564.4</v>
      </c>
      <c r="M48" s="181">
        <f t="shared" si="80"/>
        <v>94.1</v>
      </c>
      <c r="N48" s="264">
        <f>N95+N140+N170+N215</f>
        <v>0</v>
      </c>
      <c r="O48" s="264">
        <f t="shared" ref="O48:S48" si="96">O95+O140+O170+O215</f>
        <v>0</v>
      </c>
      <c r="P48" s="264">
        <f t="shared" si="96"/>
        <v>0</v>
      </c>
      <c r="Q48" s="264">
        <f t="shared" si="96"/>
        <v>0</v>
      </c>
      <c r="R48" s="264">
        <f t="shared" si="96"/>
        <v>0</v>
      </c>
      <c r="S48" s="264">
        <f t="shared" si="96"/>
        <v>376.8</v>
      </c>
      <c r="T48" s="181">
        <f>SUM(N48:S48)</f>
        <v>376.8</v>
      </c>
      <c r="U48" s="181">
        <f>T48+L48</f>
        <v>941.2</v>
      </c>
      <c r="V48" s="260">
        <f t="shared" ref="V48" si="97">V80+V95+V110+V125+V140+V155+V170+V215</f>
        <v>938.75599999999997</v>
      </c>
      <c r="W48" s="184">
        <f>V48-U48</f>
        <v>-2.4</v>
      </c>
      <c r="X48" s="206">
        <f>U41-U48</f>
        <v>0</v>
      </c>
      <c r="Y48" s="176"/>
    </row>
    <row r="49" spans="1:24" s="206" customFormat="1" ht="18" customHeight="1">
      <c r="A49" s="610"/>
      <c r="B49" s="581"/>
      <c r="C49" s="581"/>
      <c r="D49" s="187" t="str">
        <f>серпень!D49</f>
        <v>тариф, грн.</v>
      </c>
      <c r="E49" s="188" t="e">
        <f t="shared" ref="E49:S49" si="98">E50/E48*1000</f>
        <v>#DIV/0!</v>
      </c>
      <c r="F49" s="188" t="e">
        <f t="shared" si="98"/>
        <v>#DIV/0!</v>
      </c>
      <c r="G49" s="188">
        <f t="shared" si="98"/>
        <v>3067.7809999999999</v>
      </c>
      <c r="H49" s="188">
        <f t="shared" si="98"/>
        <v>2883.9079999999999</v>
      </c>
      <c r="I49" s="188">
        <f>I50/I48*1000</f>
        <v>3302.3449999999998</v>
      </c>
      <c r="J49" s="188" t="e">
        <f>J50/J48*1000</f>
        <v>#DIV/0!</v>
      </c>
      <c r="K49" s="188" t="e">
        <f t="shared" si="98"/>
        <v>#DIV/0!</v>
      </c>
      <c r="L49" s="188">
        <f t="shared" si="98"/>
        <v>3305.895</v>
      </c>
      <c r="M49" s="188">
        <f t="shared" si="98"/>
        <v>3304.7289999999998</v>
      </c>
      <c r="N49" s="188" t="e">
        <f t="shared" si="98"/>
        <v>#DIV/0!</v>
      </c>
      <c r="O49" s="188" t="e">
        <f t="shared" si="98"/>
        <v>#DIV/0!</v>
      </c>
      <c r="P49" s="188" t="e">
        <f t="shared" si="98"/>
        <v>#DIV/0!</v>
      </c>
      <c r="Q49" s="188" t="e">
        <f t="shared" si="98"/>
        <v>#DIV/0!</v>
      </c>
      <c r="R49" s="188" t="e">
        <f t="shared" si="98"/>
        <v>#DIV/0!</v>
      </c>
      <c r="S49" s="188">
        <f t="shared" si="98"/>
        <v>3104.971</v>
      </c>
      <c r="T49" s="188">
        <f>T50/T48*1000</f>
        <v>3898.8510000000001</v>
      </c>
      <c r="U49" s="188">
        <f>U50/U48*1000</f>
        <v>3543.279</v>
      </c>
      <c r="V49" s="188">
        <f>V50/V48*1000</f>
        <v>3413.03</v>
      </c>
      <c r="W49" s="189">
        <f>W50/W48*1000</f>
        <v>54555</v>
      </c>
    </row>
    <row r="50" spans="1:24" s="176" customFormat="1" ht="18" customHeight="1">
      <c r="A50" s="610"/>
      <c r="B50" s="581"/>
      <c r="C50" s="581"/>
      <c r="D50" s="198" t="str">
        <f>серпень!D50</f>
        <v>касові видатки, тис.грн.</v>
      </c>
      <c r="E50" s="199">
        <f t="shared" ref="E50" si="99">E67+E172+E217</f>
        <v>0</v>
      </c>
      <c r="F50" s="199">
        <f>F67+F172+F217</f>
        <v>0</v>
      </c>
      <c r="G50" s="199">
        <f t="shared" ref="F50:K52" si="100">G67+G172+G217</f>
        <v>494.83300000000003</v>
      </c>
      <c r="H50" s="199">
        <f t="shared" si="100"/>
        <v>754.14200000000005</v>
      </c>
      <c r="I50" s="199">
        <f t="shared" si="100"/>
        <v>467.61200000000002</v>
      </c>
      <c r="J50" s="199">
        <f t="shared" si="100"/>
        <v>74.63</v>
      </c>
      <c r="K50" s="199">
        <f t="shared" si="100"/>
        <v>74.63</v>
      </c>
      <c r="L50" s="199">
        <f>SUM(F50:K50)</f>
        <v>1865.847</v>
      </c>
      <c r="M50" s="199">
        <f>L50/6</f>
        <v>310.97500000000002</v>
      </c>
      <c r="N50" s="199">
        <f>N67+N172+N217</f>
        <v>74.63</v>
      </c>
      <c r="O50" s="199">
        <f t="shared" ref="O50:S50" si="101">O67+O172+O217</f>
        <v>46.176000000000002</v>
      </c>
      <c r="P50" s="199">
        <f t="shared" si="101"/>
        <v>74.63</v>
      </c>
      <c r="Q50" s="199">
        <f t="shared" si="101"/>
        <v>51.848999999999997</v>
      </c>
      <c r="R50" s="199">
        <f t="shared" si="101"/>
        <v>51.848999999999997</v>
      </c>
      <c r="S50" s="199">
        <f t="shared" si="101"/>
        <v>1169.953</v>
      </c>
      <c r="T50" s="199">
        <f>SUM(N50:S50)</f>
        <v>1469.087</v>
      </c>
      <c r="U50" s="199">
        <f>T50+L50</f>
        <v>3334.9340000000002</v>
      </c>
      <c r="V50" s="175">
        <f>V67+V172+V217</f>
        <v>3204.002</v>
      </c>
      <c r="W50" s="200">
        <f>V50-U50</f>
        <v>-130.93199999999999</v>
      </c>
      <c r="X50" s="176">
        <f>U45-U50</f>
        <v>0</v>
      </c>
    </row>
    <row r="51" spans="1:24" s="176" customFormat="1" ht="18" customHeight="1">
      <c r="A51" s="610"/>
      <c r="B51" s="581"/>
      <c r="C51" s="581"/>
      <c r="D51" s="201" t="str">
        <f>серпень!D51</f>
        <v>дотація</v>
      </c>
      <c r="E51" s="199"/>
      <c r="F51" s="199">
        <f>F68+F173+F218</f>
        <v>0</v>
      </c>
      <c r="G51" s="199">
        <f t="shared" si="100"/>
        <v>0</v>
      </c>
      <c r="H51" s="199">
        <f t="shared" si="100"/>
        <v>70.325000000000003</v>
      </c>
      <c r="I51" s="199">
        <f t="shared" si="100"/>
        <v>0</v>
      </c>
      <c r="J51" s="199">
        <f t="shared" si="100"/>
        <v>0</v>
      </c>
      <c r="K51" s="199">
        <f t="shared" si="100"/>
        <v>47.076999999999998</v>
      </c>
      <c r="L51" s="199">
        <f>SUM(F51:K51)</f>
        <v>117.402</v>
      </c>
      <c r="M51" s="199">
        <f>L51/6</f>
        <v>19.567</v>
      </c>
      <c r="N51" s="199">
        <f t="shared" ref="N51:S52" si="102">N68+N173+N218</f>
        <v>0</v>
      </c>
      <c r="O51" s="199">
        <f t="shared" si="102"/>
        <v>0</v>
      </c>
      <c r="P51" s="199">
        <f t="shared" si="102"/>
        <v>0</v>
      </c>
      <c r="Q51" s="199">
        <f t="shared" si="102"/>
        <v>0</v>
      </c>
      <c r="R51" s="199">
        <f t="shared" si="102"/>
        <v>0</v>
      </c>
      <c r="S51" s="199">
        <f t="shared" si="102"/>
        <v>0</v>
      </c>
      <c r="T51" s="199">
        <f>SUM(N51:S51)</f>
        <v>0</v>
      </c>
      <c r="U51" s="199">
        <f>T51+L51</f>
        <v>117.402</v>
      </c>
      <c r="V51" s="175">
        <f>V68+V173+V218</f>
        <v>117.402</v>
      </c>
      <c r="W51" s="200">
        <f>V51-U51</f>
        <v>0</v>
      </c>
      <c r="X51" s="176">
        <f>U46-U51</f>
        <v>0</v>
      </c>
    </row>
    <row r="52" spans="1:24" s="176" customFormat="1" ht="18" customHeight="1">
      <c r="A52" s="610"/>
      <c r="B52" s="581"/>
      <c r="C52" s="581"/>
      <c r="D52" s="201" t="str">
        <f>серпень!D52</f>
        <v xml:space="preserve">місцевий </v>
      </c>
      <c r="E52" s="199"/>
      <c r="F52" s="199">
        <f t="shared" si="100"/>
        <v>0</v>
      </c>
      <c r="G52" s="199">
        <f t="shared" si="100"/>
        <v>494.83300000000003</v>
      </c>
      <c r="H52" s="199">
        <f t="shared" si="100"/>
        <v>683.81700000000001</v>
      </c>
      <c r="I52" s="199">
        <f>I69+I174+I219</f>
        <v>467.61200000000002</v>
      </c>
      <c r="J52" s="199">
        <f t="shared" si="100"/>
        <v>74.63</v>
      </c>
      <c r="K52" s="199">
        <f t="shared" si="100"/>
        <v>27.553000000000001</v>
      </c>
      <c r="L52" s="199">
        <f>SUM(F52:K52)</f>
        <v>1748.4449999999999</v>
      </c>
      <c r="M52" s="199">
        <f>L52/6</f>
        <v>291.40800000000002</v>
      </c>
      <c r="N52" s="199">
        <f t="shared" si="102"/>
        <v>74.63</v>
      </c>
      <c r="O52" s="199">
        <f t="shared" si="102"/>
        <v>46.176000000000002</v>
      </c>
      <c r="P52" s="199">
        <f t="shared" si="102"/>
        <v>74.63</v>
      </c>
      <c r="Q52" s="199">
        <f t="shared" si="102"/>
        <v>51.848999999999997</v>
      </c>
      <c r="R52" s="199">
        <f t="shared" si="102"/>
        <v>51.848999999999997</v>
      </c>
      <c r="S52" s="199">
        <f t="shared" si="102"/>
        <v>1169.953</v>
      </c>
      <c r="T52" s="199">
        <f>SUM(N52:S52)</f>
        <v>1469.087</v>
      </c>
      <c r="U52" s="199">
        <f>T52+L52</f>
        <v>3217.5320000000002</v>
      </c>
      <c r="V52" s="175">
        <f>V69+V174+V219</f>
        <v>3086.6</v>
      </c>
      <c r="W52" s="200">
        <f>V52-U52</f>
        <v>-130.93199999999999</v>
      </c>
      <c r="X52" s="176">
        <f>U47-U52</f>
        <v>-130.93199999999999</v>
      </c>
    </row>
    <row r="53" spans="1:24" s="205" customFormat="1" ht="18" customHeight="1">
      <c r="A53" s="610"/>
      <c r="B53" s="581"/>
      <c r="C53" s="581"/>
      <c r="D53" s="202" t="str">
        <f>серпень!D53</f>
        <v>план</v>
      </c>
      <c r="E53" s="203"/>
      <c r="F53" s="203">
        <f>F47+F46</f>
        <v>0</v>
      </c>
      <c r="G53" s="203">
        <f t="shared" ref="G53:K53" si="103">G47+G46</f>
        <v>494.834</v>
      </c>
      <c r="H53" s="203">
        <f t="shared" si="103"/>
        <v>824.46600000000001</v>
      </c>
      <c r="I53" s="203">
        <f t="shared" si="103"/>
        <v>397.37700000000001</v>
      </c>
      <c r="J53" s="203">
        <f t="shared" si="103"/>
        <v>121.617</v>
      </c>
      <c r="K53" s="203">
        <f t="shared" si="103"/>
        <v>27.652999999999999</v>
      </c>
      <c r="L53" s="203">
        <f>SUM(F53:K53)</f>
        <v>1865.9469999999999</v>
      </c>
      <c r="M53" s="203">
        <f>L53/6</f>
        <v>310.99099999999999</v>
      </c>
      <c r="N53" s="203">
        <f>N47+N46</f>
        <v>74.53</v>
      </c>
      <c r="O53" s="203">
        <f t="shared" ref="O53:S53" si="104">O47+O46</f>
        <v>46.253</v>
      </c>
      <c r="P53" s="203">
        <f t="shared" si="104"/>
        <v>51.652999999999999</v>
      </c>
      <c r="Q53" s="203">
        <f t="shared" si="104"/>
        <v>51.652999999999999</v>
      </c>
      <c r="R53" s="203">
        <f t="shared" si="104"/>
        <v>51.652999999999999</v>
      </c>
      <c r="S53" s="203">
        <f t="shared" si="104"/>
        <v>1062.3130000000001</v>
      </c>
      <c r="T53" s="203">
        <f>SUM(N53:S53)</f>
        <v>1338.0550000000001</v>
      </c>
      <c r="U53" s="203">
        <f>T53+L53</f>
        <v>3204.002</v>
      </c>
      <c r="V53" s="204">
        <f>V47+V46</f>
        <v>3204.002</v>
      </c>
      <c r="W53" s="203">
        <f>V53-U53</f>
        <v>0</v>
      </c>
    </row>
    <row r="54" spans="1:24" s="205" customFormat="1" ht="18" customHeight="1">
      <c r="A54" s="610"/>
      <c r="B54" s="581"/>
      <c r="C54" s="581"/>
      <c r="D54" s="202" t="str">
        <f>серпень!D54</f>
        <v xml:space="preserve">відхилення </v>
      </c>
      <c r="E54" s="203"/>
      <c r="F54" s="203">
        <f t="shared" ref="F54:K54" si="105">F50-F53</f>
        <v>0</v>
      </c>
      <c r="G54" s="203">
        <f t="shared" si="105"/>
        <v>-1E-3</v>
      </c>
      <c r="H54" s="203">
        <f t="shared" si="105"/>
        <v>-70.323999999999998</v>
      </c>
      <c r="I54" s="203">
        <f t="shared" si="105"/>
        <v>70.234999999999999</v>
      </c>
      <c r="J54" s="203">
        <f t="shared" si="105"/>
        <v>-46.987000000000002</v>
      </c>
      <c r="K54" s="203">
        <f t="shared" si="105"/>
        <v>46.976999999999997</v>
      </c>
      <c r="L54" s="203"/>
      <c r="M54" s="203"/>
      <c r="N54" s="203">
        <f t="shared" ref="N54:S54" si="106">N50-N53</f>
        <v>0.1</v>
      </c>
      <c r="O54" s="203">
        <f t="shared" si="106"/>
        <v>-7.6999999999999999E-2</v>
      </c>
      <c r="P54" s="203">
        <f t="shared" si="106"/>
        <v>22.977</v>
      </c>
      <c r="Q54" s="203">
        <f t="shared" si="106"/>
        <v>0.19600000000000001</v>
      </c>
      <c r="R54" s="203">
        <f t="shared" si="106"/>
        <v>0.19600000000000001</v>
      </c>
      <c r="S54" s="203">
        <f t="shared" si="106"/>
        <v>107.64</v>
      </c>
      <c r="T54" s="203"/>
      <c r="U54" s="203"/>
      <c r="V54" s="203"/>
      <c r="W54" s="203"/>
    </row>
    <row r="55" spans="1:24" s="205" customFormat="1" ht="18" customHeight="1">
      <c r="A55" s="610"/>
      <c r="B55" s="581"/>
      <c r="C55" s="581"/>
      <c r="D55" s="202" t="str">
        <f>серпень!D55</f>
        <v>відхилення з наростаючим</v>
      </c>
      <c r="E55" s="203"/>
      <c r="F55" s="203">
        <f>F54</f>
        <v>0</v>
      </c>
      <c r="G55" s="203">
        <f>G54+F55</f>
        <v>-1E-3</v>
      </c>
      <c r="H55" s="203">
        <f>H54+G55</f>
        <v>-70.325000000000003</v>
      </c>
      <c r="I55" s="203">
        <f>I54+H55</f>
        <v>-0.09</v>
      </c>
      <c r="J55" s="203">
        <f>J54+I55</f>
        <v>-47.076999999999998</v>
      </c>
      <c r="K55" s="203">
        <f>K54+J55</f>
        <v>-0.1</v>
      </c>
      <c r="L55" s="203"/>
      <c r="M55" s="203"/>
      <c r="N55" s="203">
        <f>N54+K55</f>
        <v>0</v>
      </c>
      <c r="O55" s="203">
        <f>O54+N55</f>
        <v>-7.6999999999999999E-2</v>
      </c>
      <c r="P55" s="203">
        <f>P54+O55</f>
        <v>22.9</v>
      </c>
      <c r="Q55" s="203">
        <f>Q54+P55</f>
        <v>23.096</v>
      </c>
      <c r="R55" s="203">
        <f>R54+Q55</f>
        <v>23.292000000000002</v>
      </c>
      <c r="S55" s="203">
        <f>S54+R55</f>
        <v>130.93199999999999</v>
      </c>
      <c r="T55" s="203"/>
      <c r="U55" s="203"/>
      <c r="V55" s="203"/>
      <c r="W55" s="203"/>
    </row>
    <row r="56" spans="1:24" s="209" customFormat="1" ht="18" customHeight="1">
      <c r="A56" s="610"/>
      <c r="B56" s="580" t="s">
        <v>53</v>
      </c>
      <c r="C56" s="575"/>
      <c r="D56" s="178" t="str">
        <f>серпень!D56</f>
        <v>факт. нат.п-ки 2023</v>
      </c>
      <c r="E56" s="179"/>
      <c r="F56" s="180">
        <f t="shared" ref="F56:K57" si="107">F73+F88+F103+F118+F133+F148</f>
        <v>294.8</v>
      </c>
      <c r="G56" s="180">
        <f t="shared" si="107"/>
        <v>235.2</v>
      </c>
      <c r="H56" s="180">
        <f t="shared" si="107"/>
        <v>180.5</v>
      </c>
      <c r="I56" s="180">
        <f t="shared" si="107"/>
        <v>0.5</v>
      </c>
      <c r="J56" s="180">
        <f t="shared" si="107"/>
        <v>0.5</v>
      </c>
      <c r="K56" s="180">
        <f t="shared" si="107"/>
        <v>0.5</v>
      </c>
      <c r="L56" s="207">
        <f>SUM(F56:K56)</f>
        <v>712</v>
      </c>
      <c r="M56" s="207">
        <f>L56/6</f>
        <v>118.7</v>
      </c>
      <c r="N56" s="180">
        <f t="shared" ref="N56:S57" si="108">N73+N88+N103+N118+N133+N148</f>
        <v>0.5</v>
      </c>
      <c r="O56" s="180">
        <f t="shared" si="108"/>
        <v>0.5</v>
      </c>
      <c r="P56" s="180">
        <f t="shared" si="108"/>
        <v>0.5</v>
      </c>
      <c r="Q56" s="180">
        <f t="shared" si="108"/>
        <v>0.5</v>
      </c>
      <c r="R56" s="180">
        <f t="shared" si="108"/>
        <v>126.9</v>
      </c>
      <c r="S56" s="180">
        <f t="shared" si="108"/>
        <v>216.6</v>
      </c>
      <c r="T56" s="207">
        <f>SUM(N56:S56)</f>
        <v>345.5</v>
      </c>
      <c r="U56" s="208">
        <f>T56+L56</f>
        <v>1057.5</v>
      </c>
      <c r="V56" s="183">
        <f>V88+V133</f>
        <v>0</v>
      </c>
      <c r="W56" s="184"/>
    </row>
    <row r="57" spans="1:24" s="209" customFormat="1" ht="18.649999999999999" customHeight="1">
      <c r="A57" s="610"/>
      <c r="B57" s="576"/>
      <c r="C57" s="577"/>
      <c r="D57" s="178" t="str">
        <f>серпень!D57</f>
        <v>факт. нат.п-ки 2024</v>
      </c>
      <c r="E57" s="179"/>
      <c r="F57" s="180">
        <f t="shared" si="107"/>
        <v>275.7</v>
      </c>
      <c r="G57" s="180">
        <f t="shared" si="107"/>
        <v>192.7</v>
      </c>
      <c r="H57" s="180">
        <f t="shared" si="107"/>
        <v>181.5</v>
      </c>
      <c r="I57" s="180">
        <f t="shared" si="107"/>
        <v>0.5</v>
      </c>
      <c r="J57" s="180">
        <f t="shared" si="107"/>
        <v>0.5</v>
      </c>
      <c r="K57" s="180">
        <f t="shared" si="107"/>
        <v>0.5</v>
      </c>
      <c r="L57" s="207">
        <f>SUM(F57:K57)</f>
        <v>651.4</v>
      </c>
      <c r="M57" s="207">
        <f>L57/6</f>
        <v>108.6</v>
      </c>
      <c r="N57" s="179">
        <f t="shared" si="108"/>
        <v>0.7</v>
      </c>
      <c r="O57" s="179">
        <f t="shared" si="108"/>
        <v>0.7</v>
      </c>
      <c r="P57" s="179">
        <f t="shared" si="108"/>
        <v>0.7</v>
      </c>
      <c r="Q57" s="179">
        <f t="shared" si="108"/>
        <v>0.7</v>
      </c>
      <c r="R57" s="179">
        <f t="shared" si="108"/>
        <v>127.1</v>
      </c>
      <c r="S57" s="179">
        <f t="shared" si="108"/>
        <v>241.1</v>
      </c>
      <c r="T57" s="207">
        <f>SUM(N57:S57)</f>
        <v>371</v>
      </c>
      <c r="U57" s="208">
        <f>T57+L57</f>
        <v>1022.4</v>
      </c>
      <c r="V57" s="183">
        <f>V89+V134</f>
        <v>212</v>
      </c>
      <c r="W57" s="184"/>
    </row>
    <row r="58" spans="1:24" s="209" customFormat="1" ht="18" customHeight="1">
      <c r="A58" s="610"/>
      <c r="B58" s="576"/>
      <c r="C58" s="577"/>
      <c r="D58" s="178" t="str">
        <f>серпень!D58</f>
        <v>факт. нат.п-ки 2025</v>
      </c>
      <c r="E58" s="179"/>
      <c r="F58" s="180">
        <f>F90+F135</f>
        <v>161.30000000000001</v>
      </c>
      <c r="G58" s="180">
        <f t="shared" ref="G58:K58" si="109">G90+G135</f>
        <v>261.5</v>
      </c>
      <c r="H58" s="180">
        <f t="shared" si="109"/>
        <v>141.6</v>
      </c>
      <c r="I58" s="180">
        <f t="shared" si="109"/>
        <v>0</v>
      </c>
      <c r="J58" s="180">
        <f t="shared" si="109"/>
        <v>0</v>
      </c>
      <c r="K58" s="180">
        <f t="shared" si="109"/>
        <v>0</v>
      </c>
      <c r="L58" s="207">
        <f>SUM(F58:K58)</f>
        <v>564.4</v>
      </c>
      <c r="M58" s="207">
        <f>L58/6</f>
        <v>94.1</v>
      </c>
      <c r="N58" s="180">
        <f>N90+N135</f>
        <v>0</v>
      </c>
      <c r="O58" s="180">
        <f t="shared" ref="O58:S58" si="110">O90+O135</f>
        <v>0</v>
      </c>
      <c r="P58" s="180">
        <f t="shared" si="110"/>
        <v>0</v>
      </c>
      <c r="Q58" s="180">
        <f t="shared" si="110"/>
        <v>0</v>
      </c>
      <c r="R58" s="180">
        <f t="shared" si="110"/>
        <v>81.3</v>
      </c>
      <c r="S58" s="180">
        <f t="shared" si="110"/>
        <v>295.5</v>
      </c>
      <c r="T58" s="207">
        <f>SUM(N58:S58)</f>
        <v>376.8</v>
      </c>
      <c r="U58" s="208">
        <f>T58+L58</f>
        <v>941.2</v>
      </c>
      <c r="V58" s="233">
        <f t="shared" ref="V58" si="111">V90+V135</f>
        <v>932.8</v>
      </c>
      <c r="W58" s="184">
        <f>V58-U58</f>
        <v>-8.4</v>
      </c>
    </row>
    <row r="59" spans="1:24" s="209" customFormat="1" ht="18" customHeight="1">
      <c r="A59" s="610"/>
      <c r="B59" s="576"/>
      <c r="C59" s="577"/>
      <c r="D59" s="187" t="str">
        <f>серпень!D59</f>
        <v>тариф, грн.</v>
      </c>
      <c r="E59" s="188"/>
      <c r="F59" s="188">
        <f t="shared" ref="F59:S59" si="112">F60/F58*1000</f>
        <v>2595.1019999999999</v>
      </c>
      <c r="G59" s="188">
        <f t="shared" si="112"/>
        <v>2769.078</v>
      </c>
      <c r="H59" s="188">
        <f t="shared" si="112"/>
        <v>2775.297</v>
      </c>
      <c r="I59" s="188" t="e">
        <f>I60/I58*1000</f>
        <v>#DIV/0!</v>
      </c>
      <c r="J59" s="188" t="e">
        <f>J60/J58*1000</f>
        <v>#DIV/0!</v>
      </c>
      <c r="K59" s="188" t="e">
        <f t="shared" si="112"/>
        <v>#DIV/0!</v>
      </c>
      <c r="L59" s="188">
        <f t="shared" si="112"/>
        <v>2720.9180000000001</v>
      </c>
      <c r="M59" s="188">
        <f t="shared" si="112"/>
        <v>2719.9569999999999</v>
      </c>
      <c r="N59" s="188" t="e">
        <f t="shared" si="112"/>
        <v>#DIV/0!</v>
      </c>
      <c r="O59" s="188" t="e">
        <f t="shared" si="112"/>
        <v>#DIV/0!</v>
      </c>
      <c r="P59" s="188" t="e">
        <f t="shared" si="112"/>
        <v>#DIV/0!</v>
      </c>
      <c r="Q59" s="188" t="e">
        <f t="shared" si="112"/>
        <v>#DIV/0!</v>
      </c>
      <c r="R59" s="188">
        <f t="shared" si="112"/>
        <v>2669.114</v>
      </c>
      <c r="S59" s="188">
        <f t="shared" si="112"/>
        <v>2873.9630000000002</v>
      </c>
      <c r="T59" s="188">
        <f>T60/T58*1000</f>
        <v>2829.7640000000001</v>
      </c>
      <c r="U59" s="188">
        <f>U60/U58*1000</f>
        <v>2764.4929999999999</v>
      </c>
      <c r="V59" s="188">
        <f>V60/V58*1000</f>
        <v>2719.864</v>
      </c>
      <c r="W59" s="189">
        <f>W60/W58*1000</f>
        <v>7720.4759999999997</v>
      </c>
    </row>
    <row r="60" spans="1:24" s="209" customFormat="1" ht="18" customHeight="1">
      <c r="A60" s="610"/>
      <c r="B60" s="576"/>
      <c r="C60" s="577"/>
      <c r="D60" s="191" t="str">
        <f>серпень!D60</f>
        <v>сума, тис.грн.</v>
      </c>
      <c r="E60" s="192"/>
      <c r="F60" s="192">
        <f>F92+F137</f>
        <v>418.59</v>
      </c>
      <c r="G60" s="192">
        <f t="shared" ref="G60:K60" si="113">G92+G137</f>
        <v>724.11400000000003</v>
      </c>
      <c r="H60" s="192">
        <f t="shared" si="113"/>
        <v>392.98200000000003</v>
      </c>
      <c r="I60" s="192">
        <f t="shared" si="113"/>
        <v>0</v>
      </c>
      <c r="J60" s="192">
        <f t="shared" si="113"/>
        <v>0</v>
      </c>
      <c r="K60" s="192">
        <f t="shared" si="113"/>
        <v>0</v>
      </c>
      <c r="L60" s="192">
        <f t="shared" ref="L60:L65" si="114">SUM(F60:K60)</f>
        <v>1535.6859999999999</v>
      </c>
      <c r="M60" s="192">
        <f t="shared" ref="M60:M65" si="115">L60/6</f>
        <v>255.94800000000001</v>
      </c>
      <c r="N60" s="192">
        <f>N92+N137</f>
        <v>0</v>
      </c>
      <c r="O60" s="192">
        <f t="shared" ref="O60:S60" si="116">O92+O137</f>
        <v>0</v>
      </c>
      <c r="P60" s="192">
        <f t="shared" si="116"/>
        <v>0</v>
      </c>
      <c r="Q60" s="192">
        <f t="shared" si="116"/>
        <v>0</v>
      </c>
      <c r="R60" s="192">
        <f t="shared" si="116"/>
        <v>216.999</v>
      </c>
      <c r="S60" s="192">
        <f t="shared" si="116"/>
        <v>849.25599999999997</v>
      </c>
      <c r="T60" s="192">
        <f t="shared" ref="T60:T65" si="117">SUM(N60:S60)</f>
        <v>1066.2550000000001</v>
      </c>
      <c r="U60" s="192">
        <f t="shared" ref="U60:U64" si="118">T60+L60</f>
        <v>2601.9409999999998</v>
      </c>
      <c r="V60" s="192">
        <f t="shared" ref="V60" si="119">V92+V137</f>
        <v>2537.0889999999999</v>
      </c>
      <c r="W60" s="193">
        <f>V60-U60</f>
        <v>-64.852000000000004</v>
      </c>
    </row>
    <row r="61" spans="1:24" s="209" customFormat="1" ht="18" customHeight="1">
      <c r="A61" s="610"/>
      <c r="B61" s="576"/>
      <c r="C61" s="577"/>
      <c r="D61" s="174" t="str">
        <f>серпень!D61</f>
        <v>абоненська плата, тис.грн.</v>
      </c>
      <c r="E61" s="192"/>
      <c r="F61" s="192">
        <f>F77+F107+F122+F152</f>
        <v>76.242999999999995</v>
      </c>
      <c r="G61" s="192">
        <f t="shared" ref="G61:K61" si="120">G77+G107+G122+G152</f>
        <v>30.027999999999999</v>
      </c>
      <c r="H61" s="192">
        <f t="shared" si="120"/>
        <v>74.63</v>
      </c>
      <c r="I61" s="192">
        <f t="shared" si="120"/>
        <v>74.63</v>
      </c>
      <c r="J61" s="192">
        <f t="shared" si="120"/>
        <v>74.63</v>
      </c>
      <c r="K61" s="192">
        <f t="shared" si="120"/>
        <v>74.63</v>
      </c>
      <c r="L61" s="192">
        <f t="shared" si="114"/>
        <v>404.791</v>
      </c>
      <c r="M61" s="192">
        <f t="shared" si="115"/>
        <v>67.465000000000003</v>
      </c>
      <c r="N61" s="192">
        <f>N77+N107+N122+N152</f>
        <v>46.176000000000002</v>
      </c>
      <c r="O61" s="192">
        <f t="shared" ref="O61:S61" si="121">O77+O107+O122+O152</f>
        <v>74.63</v>
      </c>
      <c r="P61" s="192">
        <f t="shared" si="121"/>
        <v>51.848999999999997</v>
      </c>
      <c r="Q61" s="192">
        <f t="shared" si="121"/>
        <v>51.848999999999997</v>
      </c>
      <c r="R61" s="192">
        <f t="shared" si="121"/>
        <v>51.848999999999997</v>
      </c>
      <c r="S61" s="192">
        <f t="shared" si="121"/>
        <v>51.848999999999997</v>
      </c>
      <c r="T61" s="192">
        <f t="shared" si="117"/>
        <v>328.202</v>
      </c>
      <c r="U61" s="192">
        <f t="shared" si="118"/>
        <v>732.99300000000005</v>
      </c>
      <c r="V61" s="192">
        <f t="shared" ref="V61" si="122">V77+V107+V122+V152</f>
        <v>666.91300000000001</v>
      </c>
      <c r="W61" s="193">
        <f t="shared" ref="W61:W63" si="123">V61-U61</f>
        <v>-66.08</v>
      </c>
    </row>
    <row r="62" spans="1:24" s="209" customFormat="1" ht="18" customHeight="1">
      <c r="A62" s="610"/>
      <c r="B62" s="576"/>
      <c r="C62" s="577"/>
      <c r="D62" s="174" t="str">
        <f>серпень!D62</f>
        <v>разом сума тис. грн+абонплата</v>
      </c>
      <c r="E62" s="192"/>
      <c r="F62" s="192">
        <f>F60+F61</f>
        <v>494.83300000000003</v>
      </c>
      <c r="G62" s="192">
        <f t="shared" ref="G62:K62" si="124">G60+G61</f>
        <v>754.14200000000005</v>
      </c>
      <c r="H62" s="192">
        <f t="shared" si="124"/>
        <v>467.61200000000002</v>
      </c>
      <c r="I62" s="192">
        <f t="shared" si="124"/>
        <v>74.63</v>
      </c>
      <c r="J62" s="192">
        <f t="shared" si="124"/>
        <v>74.63</v>
      </c>
      <c r="K62" s="192">
        <f t="shared" si="124"/>
        <v>74.63</v>
      </c>
      <c r="L62" s="192">
        <f t="shared" si="114"/>
        <v>1940.4770000000001</v>
      </c>
      <c r="M62" s="192">
        <f t="shared" si="115"/>
        <v>323.41300000000001</v>
      </c>
      <c r="N62" s="192">
        <f t="shared" ref="N62:S62" si="125">N60+N61</f>
        <v>46.176000000000002</v>
      </c>
      <c r="O62" s="192">
        <f t="shared" si="125"/>
        <v>74.63</v>
      </c>
      <c r="P62" s="192">
        <f t="shared" si="125"/>
        <v>51.848999999999997</v>
      </c>
      <c r="Q62" s="192">
        <f t="shared" si="125"/>
        <v>51.848999999999997</v>
      </c>
      <c r="R62" s="192">
        <f t="shared" si="125"/>
        <v>268.84800000000001</v>
      </c>
      <c r="S62" s="192">
        <f t="shared" si="125"/>
        <v>901.10500000000002</v>
      </c>
      <c r="T62" s="192">
        <f t="shared" si="117"/>
        <v>1394.4570000000001</v>
      </c>
      <c r="U62" s="192">
        <f t="shared" si="118"/>
        <v>3334.9340000000002</v>
      </c>
      <c r="V62" s="192">
        <f t="shared" ref="V62" si="126">V60+V61</f>
        <v>3204.002</v>
      </c>
      <c r="W62" s="193">
        <f t="shared" si="123"/>
        <v>-130.93199999999999</v>
      </c>
    </row>
    <row r="63" spans="1:24" s="209" customFormat="1" ht="18" customHeight="1">
      <c r="A63" s="610"/>
      <c r="B63" s="576"/>
      <c r="C63" s="577"/>
      <c r="D63" s="174" t="str">
        <f>серпень!D63</f>
        <v>дотація</v>
      </c>
      <c r="E63" s="210"/>
      <c r="F63" s="192">
        <f t="shared" ref="F63:K64" si="127">F78+F93+F108+F123+F138+F153</f>
        <v>0</v>
      </c>
      <c r="G63" s="192">
        <f t="shared" si="127"/>
        <v>0</v>
      </c>
      <c r="H63" s="192">
        <f t="shared" si="127"/>
        <v>70.325000000000003</v>
      </c>
      <c r="I63" s="192">
        <f t="shared" si="127"/>
        <v>0</v>
      </c>
      <c r="J63" s="192">
        <f t="shared" si="127"/>
        <v>47.076999999999998</v>
      </c>
      <c r="K63" s="192">
        <f t="shared" si="127"/>
        <v>0</v>
      </c>
      <c r="L63" s="192">
        <f t="shared" si="114"/>
        <v>117.402</v>
      </c>
      <c r="M63" s="192">
        <f t="shared" si="115"/>
        <v>19.567</v>
      </c>
      <c r="N63" s="192">
        <f t="shared" ref="N63:S64" si="128">N78+N93+N108+N123+N138+N153</f>
        <v>0</v>
      </c>
      <c r="O63" s="192">
        <f t="shared" si="128"/>
        <v>0</v>
      </c>
      <c r="P63" s="192">
        <f t="shared" si="128"/>
        <v>0</v>
      </c>
      <c r="Q63" s="192">
        <f t="shared" si="128"/>
        <v>0</v>
      </c>
      <c r="R63" s="192">
        <f t="shared" si="128"/>
        <v>0</v>
      </c>
      <c r="S63" s="192">
        <f t="shared" si="128"/>
        <v>0</v>
      </c>
      <c r="T63" s="192">
        <f t="shared" si="117"/>
        <v>0</v>
      </c>
      <c r="U63" s="192">
        <f t="shared" si="118"/>
        <v>117.402</v>
      </c>
      <c r="V63" s="192">
        <f t="shared" ref="V63:V64" si="129">V78+V93+V108+V123+V138+V153</f>
        <v>117.402</v>
      </c>
      <c r="W63" s="211">
        <f t="shared" si="123"/>
        <v>0</v>
      </c>
    </row>
    <row r="64" spans="1:24" s="209" customFormat="1" ht="18" customHeight="1">
      <c r="A64" s="610"/>
      <c r="B64" s="576"/>
      <c r="C64" s="577"/>
      <c r="D64" s="174" t="str">
        <f>серпень!D64</f>
        <v>місцевий (план), тис.грн</v>
      </c>
      <c r="E64" s="210"/>
      <c r="F64" s="192">
        <f>F79+F94+F109+F124+F139+F154</f>
        <v>0</v>
      </c>
      <c r="G64" s="192">
        <f t="shared" si="127"/>
        <v>494.834</v>
      </c>
      <c r="H64" s="192">
        <f t="shared" si="127"/>
        <v>754.14099999999996</v>
      </c>
      <c r="I64" s="192">
        <f t="shared" si="127"/>
        <v>397.37700000000001</v>
      </c>
      <c r="J64" s="192">
        <f t="shared" si="127"/>
        <v>74.540000000000006</v>
      </c>
      <c r="K64" s="192">
        <f t="shared" si="127"/>
        <v>27.652999999999999</v>
      </c>
      <c r="L64" s="192">
        <f t="shared" si="114"/>
        <v>1748.5450000000001</v>
      </c>
      <c r="M64" s="192">
        <f t="shared" si="115"/>
        <v>291.42399999999998</v>
      </c>
      <c r="N64" s="192">
        <f t="shared" si="128"/>
        <v>74.53</v>
      </c>
      <c r="O64" s="192">
        <f t="shared" si="128"/>
        <v>46.253</v>
      </c>
      <c r="P64" s="192">
        <f t="shared" si="128"/>
        <v>51.652999999999999</v>
      </c>
      <c r="Q64" s="192">
        <f t="shared" si="128"/>
        <v>51.652999999999999</v>
      </c>
      <c r="R64" s="192">
        <f t="shared" si="128"/>
        <v>51.652999999999999</v>
      </c>
      <c r="S64" s="192">
        <f t="shared" si="128"/>
        <v>1062.3130000000001</v>
      </c>
      <c r="T64" s="192">
        <f t="shared" si="117"/>
        <v>1338.0550000000001</v>
      </c>
      <c r="U64" s="192">
        <f t="shared" si="118"/>
        <v>3086.6</v>
      </c>
      <c r="V64" s="192">
        <f t="shared" si="129"/>
        <v>3086.6</v>
      </c>
      <c r="W64" s="193">
        <f>V64-U64</f>
        <v>0</v>
      </c>
    </row>
    <row r="65" spans="1:24" s="209" customFormat="1" ht="18" customHeight="1">
      <c r="A65" s="610"/>
      <c r="B65" s="576"/>
      <c r="C65" s="577"/>
      <c r="D65" s="178" t="str">
        <f>серпень!D65</f>
        <v>касові нат.п-ки 2025</v>
      </c>
      <c r="E65" s="260">
        <f>E80+E95+E110+E125+E140+E155</f>
        <v>0</v>
      </c>
      <c r="F65" s="256">
        <f>F140+F95</f>
        <v>0</v>
      </c>
      <c r="G65" s="256">
        <f t="shared" ref="G65:K65" si="130">G140+G95</f>
        <v>161.30000000000001</v>
      </c>
      <c r="H65" s="256">
        <f t="shared" si="130"/>
        <v>261.5</v>
      </c>
      <c r="I65" s="256">
        <f t="shared" si="130"/>
        <v>141.6</v>
      </c>
      <c r="J65" s="256">
        <f t="shared" si="130"/>
        <v>0</v>
      </c>
      <c r="K65" s="256">
        <f t="shared" si="130"/>
        <v>0</v>
      </c>
      <c r="L65" s="207">
        <f t="shared" si="114"/>
        <v>564.4</v>
      </c>
      <c r="M65" s="207">
        <f t="shared" si="115"/>
        <v>94.1</v>
      </c>
      <c r="N65" s="256">
        <f>N140+N95</f>
        <v>0</v>
      </c>
      <c r="O65" s="256">
        <f t="shared" ref="O65:S65" si="131">O140+O95</f>
        <v>0</v>
      </c>
      <c r="P65" s="256">
        <f t="shared" si="131"/>
        <v>0</v>
      </c>
      <c r="Q65" s="256">
        <f t="shared" si="131"/>
        <v>0</v>
      </c>
      <c r="R65" s="256">
        <f t="shared" si="131"/>
        <v>0</v>
      </c>
      <c r="S65" s="256">
        <f t="shared" si="131"/>
        <v>376.8</v>
      </c>
      <c r="T65" s="207">
        <f t="shared" si="117"/>
        <v>376.8</v>
      </c>
      <c r="U65" s="207">
        <f>T65+L65</f>
        <v>941.2</v>
      </c>
      <c r="V65" s="256">
        <f t="shared" ref="V65" si="132">V140+V95</f>
        <v>932.8</v>
      </c>
      <c r="W65" s="184">
        <f>V65-U65</f>
        <v>-8.4</v>
      </c>
      <c r="X65" s="209">
        <f>U58-U65</f>
        <v>0</v>
      </c>
    </row>
    <row r="66" spans="1:24" s="209" customFormat="1" ht="18" customHeight="1">
      <c r="A66" s="610"/>
      <c r="B66" s="576"/>
      <c r="C66" s="577"/>
      <c r="D66" s="187" t="str">
        <f>серпень!D66</f>
        <v>тариф, грн.</v>
      </c>
      <c r="E66" s="188" t="e">
        <f t="shared" ref="E66:S66" si="133">E67/E65*1000</f>
        <v>#DIV/0!</v>
      </c>
      <c r="F66" s="188" t="e">
        <f t="shared" si="133"/>
        <v>#DIV/0!</v>
      </c>
      <c r="G66" s="188">
        <f t="shared" si="133"/>
        <v>3067.7809999999999</v>
      </c>
      <c r="H66" s="188">
        <f t="shared" si="133"/>
        <v>2883.9079999999999</v>
      </c>
      <c r="I66" s="188">
        <f>I67/I65*1000</f>
        <v>3302.3449999999998</v>
      </c>
      <c r="J66" s="188" t="e">
        <f>J67/J65*1000</f>
        <v>#DIV/0!</v>
      </c>
      <c r="K66" s="188" t="e">
        <f t="shared" si="133"/>
        <v>#DIV/0!</v>
      </c>
      <c r="L66" s="188">
        <f t="shared" si="133"/>
        <v>3305.895</v>
      </c>
      <c r="M66" s="188">
        <f t="shared" si="133"/>
        <v>3304.7289999999998</v>
      </c>
      <c r="N66" s="188" t="e">
        <f t="shared" si="133"/>
        <v>#DIV/0!</v>
      </c>
      <c r="O66" s="188" t="e">
        <f t="shared" si="133"/>
        <v>#DIV/0!</v>
      </c>
      <c r="P66" s="188" t="e">
        <f t="shared" si="133"/>
        <v>#DIV/0!</v>
      </c>
      <c r="Q66" s="188" t="e">
        <f t="shared" si="133"/>
        <v>#DIV/0!</v>
      </c>
      <c r="R66" s="188" t="e">
        <f t="shared" si="133"/>
        <v>#DIV/0!</v>
      </c>
      <c r="S66" s="188">
        <f t="shared" si="133"/>
        <v>3104.971</v>
      </c>
      <c r="T66" s="188">
        <f>T67/T65*1000</f>
        <v>3898.8510000000001</v>
      </c>
      <c r="U66" s="188">
        <f>U67/U65*1000</f>
        <v>3543.279</v>
      </c>
      <c r="V66" s="188">
        <f>V67/V65*1000</f>
        <v>3434.8220000000001</v>
      </c>
      <c r="W66" s="189">
        <f>W67/W65*1000</f>
        <v>15587.143</v>
      </c>
    </row>
    <row r="67" spans="1:24" s="213" customFormat="1" ht="18" customHeight="1">
      <c r="A67" s="610"/>
      <c r="B67" s="576"/>
      <c r="C67" s="577"/>
      <c r="D67" s="198" t="str">
        <f>серпень!D67</f>
        <v>касові видатки, тис.грн.</v>
      </c>
      <c r="E67" s="199">
        <f>E82+E97+E112+E127+E142+E157+E279+E294+E309+E324</f>
        <v>0</v>
      </c>
      <c r="F67" s="199">
        <f>F82+F97+F112+F127+F142+F157</f>
        <v>0</v>
      </c>
      <c r="G67" s="199">
        <f t="shared" ref="G67:K67" si="134">G82+G97+G112+G127+G142+G157</f>
        <v>494.83300000000003</v>
      </c>
      <c r="H67" s="199">
        <f t="shared" si="134"/>
        <v>754.14200000000005</v>
      </c>
      <c r="I67" s="199">
        <f t="shared" si="134"/>
        <v>467.61200000000002</v>
      </c>
      <c r="J67" s="199">
        <f t="shared" si="134"/>
        <v>74.63</v>
      </c>
      <c r="K67" s="199">
        <f t="shared" si="134"/>
        <v>74.63</v>
      </c>
      <c r="L67" s="199">
        <f>SUM(F67:K67)</f>
        <v>1865.847</v>
      </c>
      <c r="M67" s="199">
        <f>L67/6</f>
        <v>310.97500000000002</v>
      </c>
      <c r="N67" s="199">
        <f>N82+N97+N112+N127+N142+N157</f>
        <v>74.63</v>
      </c>
      <c r="O67" s="199">
        <f t="shared" ref="O67:S67" si="135">O82+O97+O112+O127+O142+O157</f>
        <v>46.176000000000002</v>
      </c>
      <c r="P67" s="199">
        <f t="shared" si="135"/>
        <v>74.63</v>
      </c>
      <c r="Q67" s="199">
        <f t="shared" si="135"/>
        <v>51.848999999999997</v>
      </c>
      <c r="R67" s="199">
        <f t="shared" si="135"/>
        <v>51.848999999999997</v>
      </c>
      <c r="S67" s="199">
        <f t="shared" si="135"/>
        <v>1169.953</v>
      </c>
      <c r="T67" s="199">
        <f>SUM(N67:S67)</f>
        <v>1469.087</v>
      </c>
      <c r="U67" s="199">
        <f>T67+L67</f>
        <v>3334.9340000000002</v>
      </c>
      <c r="V67" s="175">
        <f t="shared" ref="V67:V68" si="136">V82+V97+V112+V127+V142+V157</f>
        <v>3204.002</v>
      </c>
      <c r="W67" s="175">
        <f>V67-U67</f>
        <v>-130.93199999999999</v>
      </c>
      <c r="X67" s="213">
        <f>U62-U67</f>
        <v>0</v>
      </c>
    </row>
    <row r="68" spans="1:24" s="213" customFormat="1" ht="18" customHeight="1">
      <c r="A68" s="610"/>
      <c r="B68" s="576"/>
      <c r="C68" s="577"/>
      <c r="D68" s="201" t="str">
        <f>серпень!D68</f>
        <v>дотація</v>
      </c>
      <c r="E68" s="212"/>
      <c r="F68" s="199">
        <f t="shared" ref="F68:K69" si="137">F83+F98+F113+F128+F143+F158</f>
        <v>0</v>
      </c>
      <c r="G68" s="199">
        <f t="shared" si="137"/>
        <v>0</v>
      </c>
      <c r="H68" s="199">
        <f t="shared" si="137"/>
        <v>70.325000000000003</v>
      </c>
      <c r="I68" s="199">
        <f t="shared" si="137"/>
        <v>0</v>
      </c>
      <c r="J68" s="199">
        <f t="shared" si="137"/>
        <v>0</v>
      </c>
      <c r="K68" s="199">
        <f t="shared" si="137"/>
        <v>47.076999999999998</v>
      </c>
      <c r="L68" s="199">
        <f>SUM(F68:K68)</f>
        <v>117.402</v>
      </c>
      <c r="M68" s="199">
        <f>L68/6</f>
        <v>19.567</v>
      </c>
      <c r="N68" s="199">
        <f t="shared" ref="N68:S69" si="138">N83+N98+N113+N128+N143+N158</f>
        <v>0</v>
      </c>
      <c r="O68" s="199">
        <f t="shared" si="138"/>
        <v>0</v>
      </c>
      <c r="P68" s="199">
        <f t="shared" si="138"/>
        <v>0</v>
      </c>
      <c r="Q68" s="199">
        <f t="shared" si="138"/>
        <v>0</v>
      </c>
      <c r="R68" s="199">
        <f t="shared" si="138"/>
        <v>0</v>
      </c>
      <c r="S68" s="199">
        <f t="shared" si="138"/>
        <v>0</v>
      </c>
      <c r="T68" s="199">
        <f>SUM(N68:S68)</f>
        <v>0</v>
      </c>
      <c r="U68" s="199">
        <f>T68+L68</f>
        <v>117.402</v>
      </c>
      <c r="V68" s="175">
        <f t="shared" si="136"/>
        <v>117.402</v>
      </c>
      <c r="W68" s="175">
        <f>V68-U68</f>
        <v>0</v>
      </c>
      <c r="X68" s="213">
        <f>U63-U68</f>
        <v>0</v>
      </c>
    </row>
    <row r="69" spans="1:24" s="213" customFormat="1" ht="18" customHeight="1">
      <c r="A69" s="610"/>
      <c r="B69" s="576"/>
      <c r="C69" s="577"/>
      <c r="D69" s="201" t="str">
        <f>серпень!D69</f>
        <v xml:space="preserve">місцевий </v>
      </c>
      <c r="E69" s="212"/>
      <c r="F69" s="199">
        <f t="shared" si="137"/>
        <v>0</v>
      </c>
      <c r="G69" s="199">
        <f t="shared" si="137"/>
        <v>494.83300000000003</v>
      </c>
      <c r="H69" s="199">
        <f t="shared" si="137"/>
        <v>683.81700000000001</v>
      </c>
      <c r="I69" s="199">
        <f t="shared" si="137"/>
        <v>467.61200000000002</v>
      </c>
      <c r="J69" s="199">
        <f t="shared" si="137"/>
        <v>74.63</v>
      </c>
      <c r="K69" s="199">
        <f t="shared" si="137"/>
        <v>27.553000000000001</v>
      </c>
      <c r="L69" s="199">
        <f>SUM(F69:K69)</f>
        <v>1748.4449999999999</v>
      </c>
      <c r="M69" s="199">
        <f>L69/6</f>
        <v>291.40800000000002</v>
      </c>
      <c r="N69" s="199">
        <f t="shared" si="138"/>
        <v>74.63</v>
      </c>
      <c r="O69" s="199">
        <f t="shared" si="138"/>
        <v>46.176000000000002</v>
      </c>
      <c r="P69" s="199">
        <f t="shared" si="138"/>
        <v>74.63</v>
      </c>
      <c r="Q69" s="199">
        <f t="shared" si="138"/>
        <v>51.848999999999997</v>
      </c>
      <c r="R69" s="199">
        <f t="shared" si="138"/>
        <v>51.848999999999997</v>
      </c>
      <c r="S69" s="199">
        <f t="shared" si="138"/>
        <v>1169.953</v>
      </c>
      <c r="T69" s="199">
        <f>SUM(N69:S69)</f>
        <v>1469.087</v>
      </c>
      <c r="U69" s="199">
        <f>T69+L69</f>
        <v>3217.5320000000002</v>
      </c>
      <c r="V69" s="175">
        <f>V84+V99+V114+V129+V144+V159</f>
        <v>3086.6</v>
      </c>
      <c r="W69" s="175">
        <f>V69-U69</f>
        <v>-130.93199999999999</v>
      </c>
      <c r="X69" s="213">
        <f>U64-U69</f>
        <v>-130.93199999999999</v>
      </c>
    </row>
    <row r="70" spans="1:24" s="214" customFormat="1" ht="18" customHeight="1">
      <c r="A70" s="610"/>
      <c r="B70" s="576"/>
      <c r="C70" s="577"/>
      <c r="D70" s="202" t="str">
        <f>серпень!D70</f>
        <v>план</v>
      </c>
      <c r="E70" s="203"/>
      <c r="F70" s="203">
        <f>F64+F63</f>
        <v>0</v>
      </c>
      <c r="G70" s="203">
        <f t="shared" ref="G70:K70" si="139">G64+G63</f>
        <v>494.834</v>
      </c>
      <c r="H70" s="203">
        <f t="shared" si="139"/>
        <v>824.46600000000001</v>
      </c>
      <c r="I70" s="203">
        <f>I64+I63</f>
        <v>397.37700000000001</v>
      </c>
      <c r="J70" s="203">
        <f t="shared" si="139"/>
        <v>121.617</v>
      </c>
      <c r="K70" s="203">
        <f t="shared" si="139"/>
        <v>27.652999999999999</v>
      </c>
      <c r="L70" s="203">
        <f>SUM(F70:K70)</f>
        <v>1865.9469999999999</v>
      </c>
      <c r="M70" s="203">
        <f>L70/6</f>
        <v>310.99099999999999</v>
      </c>
      <c r="N70" s="203">
        <f>N64+N63</f>
        <v>74.53</v>
      </c>
      <c r="O70" s="203">
        <f t="shared" ref="O70:R70" si="140">O64+O63</f>
        <v>46.253</v>
      </c>
      <c r="P70" s="203">
        <f t="shared" si="140"/>
        <v>51.652999999999999</v>
      </c>
      <c r="Q70" s="203">
        <f t="shared" si="140"/>
        <v>51.652999999999999</v>
      </c>
      <c r="R70" s="203">
        <f t="shared" si="140"/>
        <v>51.652999999999999</v>
      </c>
      <c r="S70" s="203">
        <f>S64+S63</f>
        <v>1062.3130000000001</v>
      </c>
      <c r="T70" s="203">
        <f>SUM(N70:S70)</f>
        <v>1338.0550000000001</v>
      </c>
      <c r="U70" s="203">
        <f>T70+L70</f>
        <v>3204.002</v>
      </c>
      <c r="V70" s="204">
        <f>V64+V63</f>
        <v>3204.002</v>
      </c>
      <c r="W70" s="204">
        <f>V70-U70</f>
        <v>0</v>
      </c>
    </row>
    <row r="71" spans="1:24" s="214" customFormat="1" ht="18" customHeight="1">
      <c r="A71" s="610"/>
      <c r="B71" s="576"/>
      <c r="C71" s="577"/>
      <c r="D71" s="202" t="str">
        <f>серпень!D71</f>
        <v xml:space="preserve">відхилення </v>
      </c>
      <c r="E71" s="203"/>
      <c r="F71" s="203">
        <f t="shared" ref="F71:K71" si="141">F67-F70</f>
        <v>0</v>
      </c>
      <c r="G71" s="203">
        <f t="shared" si="141"/>
        <v>-1E-3</v>
      </c>
      <c r="H71" s="203">
        <f t="shared" si="141"/>
        <v>-70.323999999999998</v>
      </c>
      <c r="I71" s="203">
        <f t="shared" si="141"/>
        <v>70.234999999999999</v>
      </c>
      <c r="J71" s="203">
        <f t="shared" si="141"/>
        <v>-46.987000000000002</v>
      </c>
      <c r="K71" s="203">
        <f t="shared" si="141"/>
        <v>46.976999999999997</v>
      </c>
      <c r="L71" s="203"/>
      <c r="M71" s="203"/>
      <c r="N71" s="203">
        <f>N67-N70</f>
        <v>0.1</v>
      </c>
      <c r="O71" s="203">
        <f t="shared" ref="O71:S71" si="142">O67-O70</f>
        <v>-7.6999999999999999E-2</v>
      </c>
      <c r="P71" s="203">
        <f t="shared" si="142"/>
        <v>22.977</v>
      </c>
      <c r="Q71" s="203">
        <f t="shared" si="142"/>
        <v>0.19600000000000001</v>
      </c>
      <c r="R71" s="203">
        <f t="shared" si="142"/>
        <v>0.19600000000000001</v>
      </c>
      <c r="S71" s="203">
        <f t="shared" si="142"/>
        <v>107.64</v>
      </c>
      <c r="T71" s="203"/>
      <c r="U71" s="203"/>
      <c r="V71" s="203"/>
      <c r="W71" s="203"/>
    </row>
    <row r="72" spans="1:24" s="214" customFormat="1" ht="18" customHeight="1">
      <c r="A72" s="610"/>
      <c r="B72" s="578"/>
      <c r="C72" s="579"/>
      <c r="D72" s="202" t="str">
        <f>серпень!D72</f>
        <v>відхилення з наростаючим</v>
      </c>
      <c r="E72" s="203"/>
      <c r="F72" s="203">
        <f>F71</f>
        <v>0</v>
      </c>
      <c r="G72" s="203">
        <f>G71+F72</f>
        <v>-1E-3</v>
      </c>
      <c r="H72" s="203">
        <f>H71+G72</f>
        <v>-70.325000000000003</v>
      </c>
      <c r="I72" s="203">
        <f>I71+H72</f>
        <v>-0.09</v>
      </c>
      <c r="J72" s="203">
        <f>J71+I72</f>
        <v>-47.076999999999998</v>
      </c>
      <c r="K72" s="203">
        <f>K71+J72</f>
        <v>-0.1</v>
      </c>
      <c r="L72" s="203"/>
      <c r="M72" s="203"/>
      <c r="N72" s="203">
        <f>N71+K72</f>
        <v>0</v>
      </c>
      <c r="O72" s="203">
        <f>O71+N72</f>
        <v>-7.6999999999999999E-2</v>
      </c>
      <c r="P72" s="203">
        <f>P71+O72</f>
        <v>22.9</v>
      </c>
      <c r="Q72" s="203">
        <f>Q71+P72</f>
        <v>23.096</v>
      </c>
      <c r="R72" s="203">
        <f>R71+Q72</f>
        <v>23.292000000000002</v>
      </c>
      <c r="S72" s="203">
        <f>S71+R72</f>
        <v>130.93199999999999</v>
      </c>
      <c r="T72" s="203"/>
      <c r="U72" s="203"/>
      <c r="V72" s="203"/>
      <c r="W72" s="203"/>
    </row>
    <row r="73" spans="1:24" s="214" customFormat="1" ht="18" customHeight="1">
      <c r="A73" s="610"/>
      <c r="B73" s="582" t="s">
        <v>54</v>
      </c>
      <c r="C73" s="582" t="s">
        <v>98</v>
      </c>
      <c r="D73" s="178" t="str">
        <f>серпень!D73</f>
        <v>факт. нат.п-ки 2023</v>
      </c>
      <c r="E73" s="179"/>
      <c r="F73" s="399">
        <v>0.49630000000000002</v>
      </c>
      <c r="G73" s="399">
        <v>0.49630000000000002</v>
      </c>
      <c r="H73" s="342">
        <v>0.49630000000000002</v>
      </c>
      <c r="I73" s="342">
        <v>0.49630000000000002</v>
      </c>
      <c r="J73" s="342">
        <v>0.49630000000000002</v>
      </c>
      <c r="K73" s="342">
        <v>0.49630000000000002</v>
      </c>
      <c r="L73" s="400">
        <f>SUM(F73:K73)</f>
        <v>2.9777999999999998</v>
      </c>
      <c r="M73" s="400">
        <f>L73/6</f>
        <v>0.49630000000000002</v>
      </c>
      <c r="N73" s="342">
        <v>0.49479299999999998</v>
      </c>
      <c r="O73" s="342">
        <v>0.49479299999999998</v>
      </c>
      <c r="P73" s="342">
        <v>0.49479299999999998</v>
      </c>
      <c r="Q73" s="342">
        <v>0.49479299999999998</v>
      </c>
      <c r="R73" s="342">
        <v>0.49479299999999998</v>
      </c>
      <c r="S73" s="342">
        <v>0.49479299999999998</v>
      </c>
      <c r="T73" s="400">
        <f>SUM(N73:S73)</f>
        <v>2.9687579999999998</v>
      </c>
      <c r="U73" s="400">
        <f>T73+L73</f>
        <v>5.9465579999999996</v>
      </c>
      <c r="V73" s="342"/>
      <c r="W73" s="399"/>
    </row>
    <row r="74" spans="1:24" s="214" customFormat="1" ht="18" customHeight="1">
      <c r="A74" s="610"/>
      <c r="B74" s="583"/>
      <c r="C74" s="583"/>
      <c r="D74" s="178" t="str">
        <f>серпень!D74</f>
        <v>факт. нат.п-ки 2024</v>
      </c>
      <c r="E74" s="179"/>
      <c r="F74" s="342">
        <v>0.44917299999999999</v>
      </c>
      <c r="G74" s="342">
        <v>0.48156599999999999</v>
      </c>
      <c r="H74" s="342">
        <v>0.48156599999999999</v>
      </c>
      <c r="I74" s="342">
        <v>0.48156599999999999</v>
      </c>
      <c r="J74" s="342">
        <v>0.48156599999999999</v>
      </c>
      <c r="K74" s="342">
        <v>0.48155500000000001</v>
      </c>
      <c r="L74" s="400">
        <f>SUM(F74:K74)</f>
        <v>2.856992</v>
      </c>
      <c r="M74" s="400">
        <f>L74/6</f>
        <v>0.476165</v>
      </c>
      <c r="N74" s="342">
        <v>0.72814500000000004</v>
      </c>
      <c r="O74" s="342">
        <v>0.72814500000000004</v>
      </c>
      <c r="P74" s="342">
        <v>0.72814500000000004</v>
      </c>
      <c r="Q74" s="342">
        <v>0.73263500000000004</v>
      </c>
      <c r="R74" s="342">
        <v>0.73263500000000004</v>
      </c>
      <c r="S74" s="342">
        <v>0.73263500000000004</v>
      </c>
      <c r="T74" s="400">
        <f>SUM(N74:S74)</f>
        <v>4.3823400000000001</v>
      </c>
      <c r="U74" s="400">
        <f>T74+L74</f>
        <v>7.2393320000000001</v>
      </c>
      <c r="V74" s="342"/>
      <c r="W74" s="399"/>
    </row>
    <row r="75" spans="1:24" s="214" customFormat="1" ht="18" customHeight="1">
      <c r="A75" s="610"/>
      <c r="B75" s="583"/>
      <c r="C75" s="583"/>
      <c r="D75" s="178" t="str">
        <f>серпень!D75</f>
        <v>факт. нат.п-ки 2025</v>
      </c>
      <c r="E75" s="179"/>
      <c r="F75" s="342">
        <v>0.73263500000000004</v>
      </c>
      <c r="G75" s="342">
        <v>0.28742899999999999</v>
      </c>
      <c r="H75" s="342">
        <v>0.71442799999999995</v>
      </c>
      <c r="I75" s="342">
        <v>0.71442799999999995</v>
      </c>
      <c r="J75" s="342">
        <v>0.71442799999999995</v>
      </c>
      <c r="K75" s="342">
        <v>0.71442899999999998</v>
      </c>
      <c r="L75" s="400">
        <f>SUM(F75:K75)</f>
        <v>3.877777</v>
      </c>
      <c r="M75" s="400">
        <f>L75/6</f>
        <v>0.64629599999999998</v>
      </c>
      <c r="N75" s="342">
        <v>0.49634499999999998</v>
      </c>
      <c r="O75" s="342">
        <v>0.71442799999999995</v>
      </c>
      <c r="P75" s="342">
        <v>0.49634499999999998</v>
      </c>
      <c r="Q75" s="342">
        <v>0.49634499999999998</v>
      </c>
      <c r="R75" s="342">
        <v>0.49634499999999998</v>
      </c>
      <c r="S75" s="342">
        <v>0.49634499999999998</v>
      </c>
      <c r="T75" s="400">
        <f>SUM(N75:S75)</f>
        <v>3.1961529999999998</v>
      </c>
      <c r="U75" s="400">
        <f>T75+L75</f>
        <v>7.0739299999999998</v>
      </c>
      <c r="V75" s="342">
        <v>5.9561640000000002</v>
      </c>
      <c r="W75" s="399"/>
    </row>
    <row r="76" spans="1:24" s="214" customFormat="1" ht="18" customHeight="1">
      <c r="A76" s="610"/>
      <c r="B76" s="583"/>
      <c r="C76" s="583"/>
      <c r="D76" s="187" t="str">
        <f>серпень!D76</f>
        <v>тариф, грн.</v>
      </c>
      <c r="E76" s="188" t="e">
        <f t="shared" ref="E76:K76" si="143">E77/E75*1000</f>
        <v>#DIV/0!</v>
      </c>
      <c r="F76" s="188">
        <f t="shared" si="143"/>
        <v>104066.827</v>
      </c>
      <c r="G76" s="188">
        <f t="shared" si="143"/>
        <v>104471.01700000001</v>
      </c>
      <c r="H76" s="188">
        <f t="shared" si="143"/>
        <v>104461.19100000001</v>
      </c>
      <c r="I76" s="188">
        <f t="shared" si="143"/>
        <v>104461.19100000001</v>
      </c>
      <c r="J76" s="188">
        <f t="shared" si="143"/>
        <v>104461.19100000001</v>
      </c>
      <c r="K76" s="188">
        <f t="shared" si="143"/>
        <v>104461.045</v>
      </c>
      <c r="L76" s="217">
        <f t="shared" ref="L76:O76" si="144">L77/L75*1000</f>
        <v>104387.38</v>
      </c>
      <c r="M76" s="217">
        <f t="shared" si="144"/>
        <v>104387.15</v>
      </c>
      <c r="N76" s="217">
        <f t="shared" si="144"/>
        <v>93032.06</v>
      </c>
      <c r="O76" s="217">
        <f t="shared" si="144"/>
        <v>104461.19</v>
      </c>
      <c r="P76" s="217">
        <v>104461.02</v>
      </c>
      <c r="Q76" s="217">
        <v>104461.02</v>
      </c>
      <c r="R76" s="217">
        <v>104461.02</v>
      </c>
      <c r="S76" s="217">
        <v>104461.02</v>
      </c>
      <c r="T76" s="217">
        <f>T77/T75*1000</f>
        <v>102686.57</v>
      </c>
      <c r="U76" s="217">
        <f>U77/U75*1000</f>
        <v>103618.92</v>
      </c>
      <c r="V76" s="218">
        <f>V77/V75*1000</f>
        <v>111970.22100000001</v>
      </c>
      <c r="W76" s="219" t="e">
        <f>W77/W75*1000</f>
        <v>#DIV/0!</v>
      </c>
    </row>
    <row r="77" spans="1:24" s="214" customFormat="1" ht="18" customHeight="1">
      <c r="A77" s="610"/>
      <c r="B77" s="583"/>
      <c r="C77" s="583"/>
      <c r="D77" s="191" t="str">
        <f>серпень!D77</f>
        <v>сума, тис.грн.</v>
      </c>
      <c r="E77" s="192"/>
      <c r="F77" s="192">
        <v>76.242999999999995</v>
      </c>
      <c r="G77" s="192">
        <v>30.027999999999999</v>
      </c>
      <c r="H77" s="192">
        <v>74.63</v>
      </c>
      <c r="I77" s="192">
        <v>74.63</v>
      </c>
      <c r="J77" s="192">
        <v>74.63</v>
      </c>
      <c r="K77" s="192">
        <v>74.63</v>
      </c>
      <c r="L77" s="194">
        <f>SUM(F77:K77)</f>
        <v>404.791</v>
      </c>
      <c r="M77" s="194">
        <f>L77/6</f>
        <v>67.465000000000003</v>
      </c>
      <c r="N77" s="192">
        <v>46.176000000000002</v>
      </c>
      <c r="O77" s="192">
        <v>74.63</v>
      </c>
      <c r="P77" s="192">
        <f t="shared" ref="P77" si="145">P75*P76/1000</f>
        <v>51.848999999999997</v>
      </c>
      <c r="Q77" s="192">
        <f t="shared" ref="Q77" si="146">Q75*Q76/1000</f>
        <v>51.848999999999997</v>
      </c>
      <c r="R77" s="192">
        <f t="shared" ref="R77" si="147">R75*R76/1000</f>
        <v>51.848999999999997</v>
      </c>
      <c r="S77" s="192">
        <f t="shared" ref="S77" si="148">S75*S76/1000</f>
        <v>51.848999999999997</v>
      </c>
      <c r="T77" s="194">
        <f>SUM(N77:S77)</f>
        <v>328.202</v>
      </c>
      <c r="U77" s="194">
        <f>T77+L77</f>
        <v>732.99300000000005</v>
      </c>
      <c r="V77" s="171">
        <f>V78+V79</f>
        <v>666.91300000000001</v>
      </c>
      <c r="W77" s="192">
        <f>V77-U77</f>
        <v>-66.08</v>
      </c>
    </row>
    <row r="78" spans="1:24" s="214" customFormat="1" ht="18" customHeight="1">
      <c r="A78" s="610"/>
      <c r="B78" s="583"/>
      <c r="C78" s="583"/>
      <c r="D78" s="174" t="str">
        <f>серпень!D78</f>
        <v>дотація</v>
      </c>
      <c r="E78" s="210"/>
      <c r="F78" s="192"/>
      <c r="G78" s="192"/>
      <c r="H78" s="192"/>
      <c r="I78" s="192"/>
      <c r="J78" s="192">
        <v>47.076999999999998</v>
      </c>
      <c r="K78" s="192"/>
      <c r="L78" s="194">
        <f>SUM(F78:K78)</f>
        <v>47.076999999999998</v>
      </c>
      <c r="M78" s="194">
        <f>L78/6</f>
        <v>7.8460000000000001</v>
      </c>
      <c r="N78" s="192"/>
      <c r="O78" s="192"/>
      <c r="P78" s="192"/>
      <c r="Q78" s="192"/>
      <c r="R78" s="192"/>
      <c r="S78" s="192"/>
      <c r="T78" s="194">
        <f>SUM(N78:S78)</f>
        <v>0</v>
      </c>
      <c r="U78" s="194">
        <f>T78+L78</f>
        <v>47.076999999999998</v>
      </c>
      <c r="V78" s="171">
        <v>47.076999999999998</v>
      </c>
      <c r="W78" s="192">
        <f>V78-U78</f>
        <v>0</v>
      </c>
    </row>
    <row r="79" spans="1:24" s="214" customFormat="1" ht="18" customHeight="1">
      <c r="A79" s="610"/>
      <c r="B79" s="583"/>
      <c r="C79" s="583"/>
      <c r="D79" s="174" t="str">
        <f>серпень!D79</f>
        <v>місцевий (план), тис.грн</v>
      </c>
      <c r="E79" s="210"/>
      <c r="F79" s="192">
        <f>10.756-10.756</f>
        <v>0</v>
      </c>
      <c r="G79" s="192">
        <v>51.652999999999999</v>
      </c>
      <c r="H79" s="192">
        <v>51.652999999999999</v>
      </c>
      <c r="I79" s="192">
        <v>51.652999999999999</v>
      </c>
      <c r="J79" s="192">
        <f>51.653+22.887</f>
        <v>74.540000000000006</v>
      </c>
      <c r="K79" s="192">
        <v>27.652999999999999</v>
      </c>
      <c r="L79" s="194">
        <f>SUM(F79:K79)</f>
        <v>257.15199999999999</v>
      </c>
      <c r="M79" s="194">
        <f>L79/6</f>
        <v>42.859000000000002</v>
      </c>
      <c r="N79" s="192">
        <v>74.53</v>
      </c>
      <c r="O79" s="192">
        <v>46.253</v>
      </c>
      <c r="P79" s="192">
        <v>51.652999999999999</v>
      </c>
      <c r="Q79" s="192">
        <v>51.652999999999999</v>
      </c>
      <c r="R79" s="192">
        <v>51.652999999999999</v>
      </c>
      <c r="S79" s="192">
        <v>86.941999999999993</v>
      </c>
      <c r="T79" s="194">
        <f>SUM(N79:S79)</f>
        <v>362.68400000000003</v>
      </c>
      <c r="U79" s="194">
        <f>T79+L79</f>
        <v>619.83600000000001</v>
      </c>
      <c r="V79" s="194">
        <v>619.83600000000001</v>
      </c>
      <c r="W79" s="192">
        <f>V79-U79</f>
        <v>0</v>
      </c>
    </row>
    <row r="80" spans="1:24" s="214" customFormat="1" ht="18" customHeight="1">
      <c r="A80" s="610"/>
      <c r="B80" s="583"/>
      <c r="C80" s="583"/>
      <c r="D80" s="178" t="str">
        <f>серпень!D80</f>
        <v>касові нат.п-ки 2025</v>
      </c>
      <c r="E80" s="179"/>
      <c r="F80" s="399">
        <v>0</v>
      </c>
      <c r="G80" s="342">
        <v>0.73263500000000004</v>
      </c>
      <c r="H80" s="342">
        <f>30028/104470.838</f>
        <v>0.28742899999999999</v>
      </c>
      <c r="I80" s="342">
        <v>0.71442799999999995</v>
      </c>
      <c r="J80" s="288">
        <v>0.71442799999999995</v>
      </c>
      <c r="K80" s="288">
        <v>0.71442799999999995</v>
      </c>
      <c r="L80" s="340">
        <f>SUM(F80:K80)</f>
        <v>3.163348</v>
      </c>
      <c r="M80" s="340">
        <f>L80/6</f>
        <v>0.52722500000000005</v>
      </c>
      <c r="N80" s="342">
        <v>0.71442899999999998</v>
      </c>
      <c r="O80" s="342">
        <v>0.49634499999999998</v>
      </c>
      <c r="P80" s="342">
        <v>0.71442799999999995</v>
      </c>
      <c r="Q80" s="342">
        <v>0.49634499999999998</v>
      </c>
      <c r="R80" s="342">
        <v>0.49634499999999998</v>
      </c>
      <c r="S80" s="342">
        <f>R75+S75</f>
        <v>0.99268999999999996</v>
      </c>
      <c r="T80" s="400">
        <f>SUM(N80:S80)</f>
        <v>3.9105819999999998</v>
      </c>
      <c r="U80" s="400">
        <f>T80+L80</f>
        <v>7.0739299999999998</v>
      </c>
      <c r="V80" s="288">
        <f>V75</f>
        <v>5.9561640000000002</v>
      </c>
      <c r="W80" s="336">
        <f>V80-U80</f>
        <v>-1.1177999999999999</v>
      </c>
      <c r="X80" s="47">
        <f>U75-U80</f>
        <v>0</v>
      </c>
    </row>
    <row r="81" spans="1:24" s="403" customFormat="1" ht="18" customHeight="1">
      <c r="A81" s="610"/>
      <c r="B81" s="583"/>
      <c r="C81" s="583"/>
      <c r="D81" s="401" t="str">
        <f>серпень!D81</f>
        <v>тариф, грн.</v>
      </c>
      <c r="E81" s="218" t="e">
        <f t="shared" ref="E81:K81" si="149">E82/E80*1000</f>
        <v>#DIV/0!</v>
      </c>
      <c r="F81" s="218" t="e">
        <f t="shared" si="149"/>
        <v>#DIV/0!</v>
      </c>
      <c r="G81" s="218">
        <f t="shared" si="149"/>
        <v>104066.827</v>
      </c>
      <c r="H81" s="218">
        <f t="shared" si="149"/>
        <v>104471.01700000001</v>
      </c>
      <c r="I81" s="218">
        <f t="shared" si="149"/>
        <v>104461.19100000001</v>
      </c>
      <c r="J81" s="218">
        <f t="shared" si="149"/>
        <v>104461.19100000001</v>
      </c>
      <c r="K81" s="218">
        <f t="shared" si="149"/>
        <v>104461.19100000001</v>
      </c>
      <c r="L81" s="218">
        <f>L82/L80*1000</f>
        <v>104370.749</v>
      </c>
      <c r="M81" s="218">
        <f>M82/M80*1000</f>
        <v>104370.999</v>
      </c>
      <c r="N81" s="218">
        <f t="shared" ref="N81:P81" si="150">N82/N80*1000</f>
        <v>104461.045</v>
      </c>
      <c r="O81" s="218">
        <f t="shared" si="150"/>
        <v>93032.063999999998</v>
      </c>
      <c r="P81" s="218">
        <f t="shared" si="150"/>
        <v>104461.19100000001</v>
      </c>
      <c r="Q81" s="218">
        <v>104461.02</v>
      </c>
      <c r="R81" s="218">
        <v>104461.02</v>
      </c>
      <c r="S81" s="218">
        <v>104461.02</v>
      </c>
      <c r="T81" s="218">
        <f>T82/T80*1000</f>
        <v>103010.754</v>
      </c>
      <c r="U81" s="218">
        <f>U82/U80*1000</f>
        <v>103618.92200000001</v>
      </c>
      <c r="V81" s="218">
        <f>V82/V80*1000</f>
        <v>111970.22100000001</v>
      </c>
      <c r="W81" s="219">
        <f>W82/W80*1000</f>
        <v>59116.120999999999</v>
      </c>
      <c r="X81" s="402"/>
    </row>
    <row r="82" spans="1:24" s="214" customFormat="1" ht="18" customHeight="1">
      <c r="A82" s="610"/>
      <c r="B82" s="583"/>
      <c r="C82" s="583"/>
      <c r="D82" s="198" t="str">
        <f>серпень!D82</f>
        <v>касові видатки, тис.грн.</v>
      </c>
      <c r="E82" s="220"/>
      <c r="F82" s="199">
        <v>0</v>
      </c>
      <c r="G82" s="199">
        <v>76.242999999999995</v>
      </c>
      <c r="H82" s="199">
        <v>30.027999999999999</v>
      </c>
      <c r="I82" s="199">
        <v>74.63</v>
      </c>
      <c r="J82" s="199">
        <v>74.63</v>
      </c>
      <c r="K82" s="199">
        <v>74.63</v>
      </c>
      <c r="L82" s="199">
        <f>SUM(F82:K82)</f>
        <v>330.161</v>
      </c>
      <c r="M82" s="199">
        <f>L82/6</f>
        <v>55.027000000000001</v>
      </c>
      <c r="N82" s="199">
        <v>74.63</v>
      </c>
      <c r="O82" s="199">
        <v>46.176000000000002</v>
      </c>
      <c r="P82" s="199">
        <v>74.63</v>
      </c>
      <c r="Q82" s="199">
        <f t="shared" ref="Q82" si="151">Q80*Q81/1000</f>
        <v>51.848999999999997</v>
      </c>
      <c r="R82" s="199">
        <f t="shared" ref="R82" si="152">R80*R81/1000</f>
        <v>51.848999999999997</v>
      </c>
      <c r="S82" s="199">
        <f>S80*S81/1000+0.001</f>
        <v>103.69799999999999</v>
      </c>
      <c r="T82" s="199">
        <f>SUM(N82:S82)</f>
        <v>402.83199999999999</v>
      </c>
      <c r="U82" s="199">
        <f>T82+L82</f>
        <v>732.99300000000005</v>
      </c>
      <c r="V82" s="199">
        <f>V77</f>
        <v>666.91300000000001</v>
      </c>
      <c r="W82" s="221">
        <f>V82-U82</f>
        <v>-66.08</v>
      </c>
      <c r="X82" s="63">
        <f>U77-U82</f>
        <v>0</v>
      </c>
    </row>
    <row r="83" spans="1:24" s="214" customFormat="1" ht="18" customHeight="1">
      <c r="A83" s="610"/>
      <c r="B83" s="583"/>
      <c r="C83" s="583"/>
      <c r="D83" s="201" t="str">
        <f>серпень!D83</f>
        <v>дотація</v>
      </c>
      <c r="E83" s="220"/>
      <c r="F83" s="199"/>
      <c r="G83" s="199"/>
      <c r="H83" s="199"/>
      <c r="I83" s="199"/>
      <c r="J83" s="199"/>
      <c r="K83" s="199">
        <v>47.076999999999998</v>
      </c>
      <c r="L83" s="199">
        <f>SUM(F83:K83)</f>
        <v>47.076999999999998</v>
      </c>
      <c r="M83" s="199">
        <f>L83/6</f>
        <v>7.8460000000000001</v>
      </c>
      <c r="N83" s="199"/>
      <c r="O83" s="199"/>
      <c r="P83" s="199"/>
      <c r="Q83" s="199"/>
      <c r="R83" s="199"/>
      <c r="S83" s="199"/>
      <c r="T83" s="199">
        <f>SUM(N83:S83)</f>
        <v>0</v>
      </c>
      <c r="U83" s="199">
        <f>T83+L83</f>
        <v>47.076999999999998</v>
      </c>
      <c r="V83" s="199">
        <f>V78</f>
        <v>47.076999999999998</v>
      </c>
      <c r="W83" s="221">
        <f>V83-U83</f>
        <v>0</v>
      </c>
      <c r="X83" s="63">
        <f>U78-U83</f>
        <v>0</v>
      </c>
    </row>
    <row r="84" spans="1:24" s="214" customFormat="1" ht="18" customHeight="1">
      <c r="A84" s="610"/>
      <c r="B84" s="583"/>
      <c r="C84" s="583"/>
      <c r="D84" s="201" t="str">
        <f>серпень!D84</f>
        <v xml:space="preserve">місцевий </v>
      </c>
      <c r="E84" s="220"/>
      <c r="F84" s="199">
        <f t="shared" ref="F84:K84" si="153">F82-F83</f>
        <v>0</v>
      </c>
      <c r="G84" s="199">
        <f t="shared" si="153"/>
        <v>76.242999999999995</v>
      </c>
      <c r="H84" s="199">
        <f t="shared" si="153"/>
        <v>30.027999999999999</v>
      </c>
      <c r="I84" s="199">
        <f t="shared" si="153"/>
        <v>74.63</v>
      </c>
      <c r="J84" s="199">
        <f t="shared" si="153"/>
        <v>74.63</v>
      </c>
      <c r="K84" s="199">
        <f t="shared" si="153"/>
        <v>27.553000000000001</v>
      </c>
      <c r="L84" s="199">
        <f>SUM(F84:K84)</f>
        <v>283.084</v>
      </c>
      <c r="M84" s="199">
        <f>L84/6</f>
        <v>47.180999999999997</v>
      </c>
      <c r="N84" s="199">
        <f t="shared" ref="N84:S84" si="154">N82-N83</f>
        <v>74.63</v>
      </c>
      <c r="O84" s="199">
        <f>O82-O83</f>
        <v>46.176000000000002</v>
      </c>
      <c r="P84" s="199">
        <f t="shared" si="154"/>
        <v>74.63</v>
      </c>
      <c r="Q84" s="199">
        <f t="shared" si="154"/>
        <v>51.848999999999997</v>
      </c>
      <c r="R84" s="199">
        <f t="shared" si="154"/>
        <v>51.848999999999997</v>
      </c>
      <c r="S84" s="199">
        <f t="shared" si="154"/>
        <v>103.69799999999999</v>
      </c>
      <c r="T84" s="199">
        <f>SUM(N84:S84)</f>
        <v>402.83199999999999</v>
      </c>
      <c r="U84" s="199">
        <f>T84+L84</f>
        <v>685.91600000000005</v>
      </c>
      <c r="V84" s="199">
        <f>V79</f>
        <v>619.83600000000001</v>
      </c>
      <c r="W84" s="221">
        <f>V84-U84</f>
        <v>-66.08</v>
      </c>
      <c r="X84" s="63">
        <f>U79-U84</f>
        <v>-66.08</v>
      </c>
    </row>
    <row r="85" spans="1:24" s="214" customFormat="1" ht="18" customHeight="1">
      <c r="A85" s="610"/>
      <c r="B85" s="583"/>
      <c r="C85" s="583"/>
      <c r="D85" s="202" t="str">
        <f>серпень!D85</f>
        <v>план</v>
      </c>
      <c r="E85" s="203"/>
      <c r="F85" s="203">
        <f>F78+F79</f>
        <v>0</v>
      </c>
      <c r="G85" s="203">
        <f t="shared" ref="G85:K85" si="155">G78+G79</f>
        <v>51.652999999999999</v>
      </c>
      <c r="H85" s="203">
        <f t="shared" si="155"/>
        <v>51.652999999999999</v>
      </c>
      <c r="I85" s="203">
        <f>I78+I79</f>
        <v>51.652999999999999</v>
      </c>
      <c r="J85" s="203">
        <f t="shared" si="155"/>
        <v>121.617</v>
      </c>
      <c r="K85" s="203">
        <f t="shared" si="155"/>
        <v>27.652999999999999</v>
      </c>
      <c r="L85" s="203">
        <f>SUM(F85:K85)</f>
        <v>304.22899999999998</v>
      </c>
      <c r="M85" s="203">
        <f>L85/6</f>
        <v>50.704999999999998</v>
      </c>
      <c r="N85" s="203">
        <f t="shared" ref="N85:S85" si="156">N79+N78</f>
        <v>74.53</v>
      </c>
      <c r="O85" s="203">
        <f t="shared" si="156"/>
        <v>46.253</v>
      </c>
      <c r="P85" s="203">
        <f t="shared" si="156"/>
        <v>51.652999999999999</v>
      </c>
      <c r="Q85" s="203">
        <f t="shared" si="156"/>
        <v>51.652999999999999</v>
      </c>
      <c r="R85" s="203">
        <f t="shared" si="156"/>
        <v>51.652999999999999</v>
      </c>
      <c r="S85" s="203">
        <f t="shared" si="156"/>
        <v>86.941999999999993</v>
      </c>
      <c r="T85" s="203">
        <f>SUM(N85:S85)</f>
        <v>362.68400000000003</v>
      </c>
      <c r="U85" s="203">
        <f>T85+L85</f>
        <v>666.91300000000001</v>
      </c>
      <c r="V85" s="203">
        <f>V82</f>
        <v>666.91300000000001</v>
      </c>
      <c r="W85" s="203">
        <f>V85-U85</f>
        <v>0</v>
      </c>
    </row>
    <row r="86" spans="1:24" s="214" customFormat="1" ht="18" customHeight="1">
      <c r="A86" s="610"/>
      <c r="B86" s="583"/>
      <c r="C86" s="583"/>
      <c r="D86" s="202" t="str">
        <f>серпень!D86</f>
        <v xml:space="preserve">відхилення </v>
      </c>
      <c r="E86" s="203"/>
      <c r="F86" s="203">
        <f t="shared" ref="F86:K86" si="157">F82-F85</f>
        <v>0</v>
      </c>
      <c r="G86" s="203">
        <f t="shared" si="157"/>
        <v>24.59</v>
      </c>
      <c r="H86" s="203">
        <f t="shared" si="157"/>
        <v>-21.625</v>
      </c>
      <c r="I86" s="203">
        <f t="shared" si="157"/>
        <v>22.977</v>
      </c>
      <c r="J86" s="203">
        <f t="shared" si="157"/>
        <v>-46.987000000000002</v>
      </c>
      <c r="K86" s="203">
        <f t="shared" si="157"/>
        <v>46.976999999999997</v>
      </c>
      <c r="L86" s="203"/>
      <c r="M86" s="203"/>
      <c r="N86" s="203">
        <f t="shared" ref="N86:S86" si="158">N82-N85</f>
        <v>0.1</v>
      </c>
      <c r="O86" s="203">
        <f t="shared" si="158"/>
        <v>-7.6999999999999999E-2</v>
      </c>
      <c r="P86" s="203">
        <f t="shared" si="158"/>
        <v>22.977</v>
      </c>
      <c r="Q86" s="203">
        <f t="shared" si="158"/>
        <v>0.19600000000000001</v>
      </c>
      <c r="R86" s="203">
        <f t="shared" si="158"/>
        <v>0.19600000000000001</v>
      </c>
      <c r="S86" s="203">
        <f t="shared" si="158"/>
        <v>16.756</v>
      </c>
      <c r="T86" s="203"/>
      <c r="U86" s="203"/>
      <c r="V86" s="203"/>
      <c r="W86" s="203"/>
    </row>
    <row r="87" spans="1:24" s="214" customFormat="1" ht="25.2" customHeight="1">
      <c r="A87" s="610"/>
      <c r="B87" s="583"/>
      <c r="C87" s="584"/>
      <c r="D87" s="202" t="str">
        <f>серпень!D87</f>
        <v>відхилення з наростаючим</v>
      </c>
      <c r="E87" s="203"/>
      <c r="F87" s="203">
        <f>F86</f>
        <v>0</v>
      </c>
      <c r="G87" s="203">
        <f>G86+F87</f>
        <v>24.59</v>
      </c>
      <c r="H87" s="203">
        <f>H86+G87</f>
        <v>2.9649999999999999</v>
      </c>
      <c r="I87" s="203">
        <f>I86+H87</f>
        <v>25.942</v>
      </c>
      <c r="J87" s="203">
        <f>J86+I87</f>
        <v>-21.045000000000002</v>
      </c>
      <c r="K87" s="203">
        <f>K86+J87</f>
        <v>25.931999999999999</v>
      </c>
      <c r="L87" s="203"/>
      <c r="M87" s="203"/>
      <c r="N87" s="203">
        <f>N86+K87</f>
        <v>26.032</v>
      </c>
      <c r="O87" s="203">
        <f>O86+N87</f>
        <v>25.954999999999998</v>
      </c>
      <c r="P87" s="203">
        <f>P86+O87</f>
        <v>48.932000000000002</v>
      </c>
      <c r="Q87" s="203">
        <f>Q86+P87</f>
        <v>49.128</v>
      </c>
      <c r="R87" s="203">
        <f>R86+Q87</f>
        <v>49.323999999999998</v>
      </c>
      <c r="S87" s="203">
        <f>S86+R87</f>
        <v>66.08</v>
      </c>
      <c r="T87" s="203"/>
      <c r="U87" s="203"/>
      <c r="V87" s="203"/>
      <c r="W87" s="203"/>
    </row>
    <row r="88" spans="1:24" s="47" customFormat="1" ht="18" customHeight="1">
      <c r="A88" s="610"/>
      <c r="B88" s="583"/>
      <c r="C88" s="582" t="s">
        <v>99</v>
      </c>
      <c r="D88" s="178" t="str">
        <f>серпень!D88</f>
        <v>факт. нат.п-ки 2023</v>
      </c>
      <c r="E88" s="11"/>
      <c r="F88" s="12">
        <v>226.4</v>
      </c>
      <c r="G88" s="12">
        <v>185.3</v>
      </c>
      <c r="H88" s="12">
        <v>145.30000000000001</v>
      </c>
      <c r="I88" s="12">
        <v>0</v>
      </c>
      <c r="J88" s="12">
        <v>0</v>
      </c>
      <c r="K88" s="12">
        <v>0</v>
      </c>
      <c r="L88" s="65">
        <f>SUM(F88:K88)</f>
        <v>557</v>
      </c>
      <c r="M88" s="65">
        <f>L88/6</f>
        <v>92.8</v>
      </c>
      <c r="N88" s="11">
        <v>0</v>
      </c>
      <c r="O88" s="11">
        <v>0</v>
      </c>
      <c r="P88" s="11">
        <v>0</v>
      </c>
      <c r="Q88" s="11">
        <v>0</v>
      </c>
      <c r="R88" s="11">
        <v>102.3</v>
      </c>
      <c r="S88" s="11">
        <v>175.8</v>
      </c>
      <c r="T88" s="65">
        <f>SUM(N88:S88)</f>
        <v>278.10000000000002</v>
      </c>
      <c r="U88" s="65">
        <f>T88+L88</f>
        <v>835.1</v>
      </c>
      <c r="V88" s="46"/>
      <c r="W88" s="38"/>
    </row>
    <row r="89" spans="1:24" s="47" customFormat="1" ht="18" customHeight="1">
      <c r="A89" s="610"/>
      <c r="B89" s="583"/>
      <c r="C89" s="583"/>
      <c r="D89" s="178" t="str">
        <f>серпень!D89</f>
        <v>факт. нат.п-ки 2024</v>
      </c>
      <c r="E89" s="11"/>
      <c r="F89" s="12">
        <v>215.4</v>
      </c>
      <c r="G89" s="12">
        <v>151</v>
      </c>
      <c r="H89" s="12">
        <v>145</v>
      </c>
      <c r="I89" s="12">
        <v>0</v>
      </c>
      <c r="J89" s="12">
        <v>0</v>
      </c>
      <c r="K89" s="12">
        <v>0</v>
      </c>
      <c r="L89" s="65">
        <f>SUM(F89:K89)</f>
        <v>511.4</v>
      </c>
      <c r="M89" s="65">
        <f>L89/6</f>
        <v>85.2</v>
      </c>
      <c r="N89" s="11">
        <v>0</v>
      </c>
      <c r="O89" s="11">
        <v>0</v>
      </c>
      <c r="P89" s="11">
        <v>0</v>
      </c>
      <c r="Q89" s="11">
        <v>0</v>
      </c>
      <c r="R89" s="11">
        <v>102.3</v>
      </c>
      <c r="S89" s="11">
        <v>204.5</v>
      </c>
      <c r="T89" s="65">
        <f>SUM(N89:S89)</f>
        <v>306.8</v>
      </c>
      <c r="U89" s="65">
        <f>T89+L89</f>
        <v>818.2</v>
      </c>
      <c r="V89" s="46"/>
      <c r="W89" s="38"/>
    </row>
    <row r="90" spans="1:24" s="47" customFormat="1" ht="18" customHeight="1">
      <c r="A90" s="610"/>
      <c r="B90" s="583"/>
      <c r="C90" s="583"/>
      <c r="D90" s="178" t="str">
        <f>серпень!D90</f>
        <v>факт. нат.п-ки 2025</v>
      </c>
      <c r="E90" s="11"/>
      <c r="F90" s="12">
        <v>119.4</v>
      </c>
      <c r="G90" s="12">
        <v>201.9</v>
      </c>
      <c r="H90" s="12">
        <v>110</v>
      </c>
      <c r="I90" s="12">
        <v>0</v>
      </c>
      <c r="J90" s="12">
        <v>0</v>
      </c>
      <c r="K90" s="12">
        <v>0</v>
      </c>
      <c r="L90" s="65">
        <f>SUM(F90:K90)</f>
        <v>431.3</v>
      </c>
      <c r="M90" s="65">
        <f>L90/6</f>
        <v>71.900000000000006</v>
      </c>
      <c r="N90" s="11">
        <v>0</v>
      </c>
      <c r="O90" s="11">
        <v>0</v>
      </c>
      <c r="P90" s="11">
        <v>0</v>
      </c>
      <c r="Q90" s="11">
        <v>0</v>
      </c>
      <c r="R90" s="11">
        <v>57.2</v>
      </c>
      <c r="S90" s="11">
        <v>249.9</v>
      </c>
      <c r="T90" s="65">
        <f>SUM(N90:S90)</f>
        <v>307.10000000000002</v>
      </c>
      <c r="U90" s="65">
        <f>T90+L90</f>
        <v>738.4</v>
      </c>
      <c r="V90" s="11">
        <v>726</v>
      </c>
      <c r="W90" s="38">
        <f>U90-V90</f>
        <v>12.4</v>
      </c>
    </row>
    <row r="91" spans="1:24" s="47" customFormat="1" ht="18" customHeight="1">
      <c r="A91" s="610"/>
      <c r="B91" s="583"/>
      <c r="C91" s="583"/>
      <c r="D91" s="187" t="str">
        <f>серпень!D91</f>
        <v>тариф, грн.</v>
      </c>
      <c r="E91" s="49" t="e">
        <f t="shared" ref="E91:K91" si="159">E92/E90*1000</f>
        <v>#DIV/0!</v>
      </c>
      <c r="F91" s="49">
        <f t="shared" si="159"/>
        <v>2925.3519999999999</v>
      </c>
      <c r="G91" s="49">
        <f t="shared" si="159"/>
        <v>3098.098</v>
      </c>
      <c r="H91" s="49">
        <f t="shared" si="159"/>
        <v>3097.355</v>
      </c>
      <c r="I91" s="49" t="e">
        <f t="shared" si="159"/>
        <v>#DIV/0!</v>
      </c>
      <c r="J91" s="49" t="e">
        <f t="shared" si="159"/>
        <v>#DIV/0!</v>
      </c>
      <c r="K91" s="49" t="e">
        <f t="shared" si="159"/>
        <v>#DIV/0!</v>
      </c>
      <c r="L91" s="217">
        <f>L92/L90*1000</f>
        <v>3050.09</v>
      </c>
      <c r="M91" s="217">
        <f>M92/M90*1000</f>
        <v>3049.37</v>
      </c>
      <c r="N91" s="217">
        <v>3096.37</v>
      </c>
      <c r="O91" s="217">
        <v>3096.37</v>
      </c>
      <c r="P91" s="217">
        <v>3096.37</v>
      </c>
      <c r="Q91" s="217">
        <v>3096.37</v>
      </c>
      <c r="R91" s="217">
        <v>3096.37</v>
      </c>
      <c r="S91" s="217">
        <v>3096.37</v>
      </c>
      <c r="T91" s="121">
        <f>T92/T90*1000</f>
        <v>3096.37</v>
      </c>
      <c r="U91" s="121">
        <f>U92/U90*1000</f>
        <v>3069.34</v>
      </c>
      <c r="V91" s="68">
        <f>V92/V90*1000</f>
        <v>2926.299</v>
      </c>
      <c r="W91" s="14">
        <f>W92/W90*1000</f>
        <v>-11443.870999999999</v>
      </c>
    </row>
    <row r="92" spans="1:24" s="47" customFormat="1" ht="18" customHeight="1">
      <c r="A92" s="610"/>
      <c r="B92" s="583"/>
      <c r="C92" s="583"/>
      <c r="D92" s="191" t="str">
        <f>серпень!D92</f>
        <v>сума, тис.грн.</v>
      </c>
      <c r="E92" s="52"/>
      <c r="F92" s="52">
        <v>349.28699999999998</v>
      </c>
      <c r="G92" s="52">
        <v>625.50599999999997</v>
      </c>
      <c r="H92" s="52">
        <v>340.709</v>
      </c>
      <c r="I92" s="52">
        <v>0</v>
      </c>
      <c r="J92" s="52">
        <v>0</v>
      </c>
      <c r="K92" s="52">
        <v>0</v>
      </c>
      <c r="L92" s="69">
        <f>SUM(F92:K92)</f>
        <v>1315.502</v>
      </c>
      <c r="M92" s="69">
        <f>L92/6</f>
        <v>219.25</v>
      </c>
      <c r="N92" s="52">
        <f>N90*N91/1000</f>
        <v>0</v>
      </c>
      <c r="O92" s="52">
        <f t="shared" ref="O92" si="160">O90*O91/1000</f>
        <v>0</v>
      </c>
      <c r="P92" s="52">
        <f t="shared" ref="P92" si="161">P90*P91/1000</f>
        <v>0</v>
      </c>
      <c r="Q92" s="52">
        <f t="shared" ref="Q92" si="162">Q90*Q91/1000</f>
        <v>0</v>
      </c>
      <c r="R92" s="52">
        <f t="shared" ref="R92" si="163">R90*R91/1000</f>
        <v>177.11199999999999</v>
      </c>
      <c r="S92" s="52">
        <f>S90*S91/1000</f>
        <v>773.78300000000002</v>
      </c>
      <c r="T92" s="69">
        <f>SUM(N92:S92)</f>
        <v>950.89499999999998</v>
      </c>
      <c r="U92" s="69">
        <f>T92+L92</f>
        <v>2266.3969999999999</v>
      </c>
      <c r="V92" s="70">
        <f>V93+V94</f>
        <v>2124.4929999999999</v>
      </c>
      <c r="W92" s="53">
        <f>V92-U92</f>
        <v>-141.904</v>
      </c>
    </row>
    <row r="93" spans="1:24" s="47" customFormat="1" ht="18" customHeight="1">
      <c r="A93" s="610"/>
      <c r="B93" s="583"/>
      <c r="C93" s="583"/>
      <c r="D93" s="174" t="str">
        <f>серпень!D93</f>
        <v>дотація</v>
      </c>
      <c r="E93" s="56"/>
      <c r="F93" s="52"/>
      <c r="G93" s="52"/>
      <c r="H93" s="52"/>
      <c r="I93" s="52"/>
      <c r="J93" s="52"/>
      <c r="K93" s="52"/>
      <c r="L93" s="69">
        <f>SUM(F93:K93)</f>
        <v>0</v>
      </c>
      <c r="M93" s="69">
        <f>L93/6</f>
        <v>0</v>
      </c>
      <c r="N93" s="52"/>
      <c r="O93" s="52"/>
      <c r="P93" s="52"/>
      <c r="Q93" s="52"/>
      <c r="R93" s="52"/>
      <c r="S93" s="52"/>
      <c r="T93" s="69">
        <f>SUM(N93:S93)</f>
        <v>0</v>
      </c>
      <c r="U93" s="69">
        <f>T93+L93</f>
        <v>0</v>
      </c>
      <c r="V93" s="70">
        <v>0</v>
      </c>
      <c r="W93" s="53">
        <f>V93-U93</f>
        <v>0</v>
      </c>
    </row>
    <row r="94" spans="1:24" s="47" customFormat="1" ht="18" customHeight="1">
      <c r="A94" s="610"/>
      <c r="B94" s="583"/>
      <c r="C94" s="583"/>
      <c r="D94" s="174" t="str">
        <f>серпень!D94</f>
        <v>місцевий (план), тис.грн</v>
      </c>
      <c r="E94" s="56"/>
      <c r="F94" s="52">
        <f>137.81-137.81</f>
        <v>0</v>
      </c>
      <c r="G94" s="52">
        <f>460.892-116.85</f>
        <v>344.04199999999997</v>
      </c>
      <c r="H94" s="52">
        <f>340.621+293.678</f>
        <v>634.29899999999998</v>
      </c>
      <c r="I94" s="52">
        <f>424.314-138.173</f>
        <v>286.14100000000002</v>
      </c>
      <c r="J94" s="52">
        <v>0</v>
      </c>
      <c r="K94" s="52">
        <v>0</v>
      </c>
      <c r="L94" s="69">
        <f>SUM(F94:K94)</f>
        <v>1264.482</v>
      </c>
      <c r="M94" s="69">
        <f>L94/6</f>
        <v>210.74700000000001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f>167.384+731.282+116.85-293.678+138.173</f>
        <v>860.01099999999997</v>
      </c>
      <c r="T94" s="69">
        <f>SUM(N94:S94)</f>
        <v>860.01099999999997</v>
      </c>
      <c r="U94" s="69">
        <f>T94+L94</f>
        <v>2124.4929999999999</v>
      </c>
      <c r="V94" s="70">
        <v>2124.4929999999999</v>
      </c>
      <c r="W94" s="53">
        <f>V94-U94</f>
        <v>0</v>
      </c>
    </row>
    <row r="95" spans="1:24" s="47" customFormat="1" ht="18" customHeight="1">
      <c r="A95" s="610"/>
      <c r="B95" s="583"/>
      <c r="C95" s="583"/>
      <c r="D95" s="178" t="str">
        <f>серпень!D95</f>
        <v>касові нат.п-ки 2025</v>
      </c>
      <c r="E95" s="11"/>
      <c r="F95" s="12">
        <v>0</v>
      </c>
      <c r="G95" s="12">
        <v>119.4</v>
      </c>
      <c r="H95" s="12">
        <v>201.9</v>
      </c>
      <c r="I95" s="12">
        <v>110</v>
      </c>
      <c r="J95" s="154">
        <v>0</v>
      </c>
      <c r="K95" s="12">
        <v>0</v>
      </c>
      <c r="L95" s="65">
        <f>SUM(F95:K95)</f>
        <v>431.3</v>
      </c>
      <c r="M95" s="65">
        <f>L95/6</f>
        <v>71.900000000000006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f>R90+S90</f>
        <v>307.10000000000002</v>
      </c>
      <c r="T95" s="65">
        <f>SUM(N95:S95)</f>
        <v>307.10000000000002</v>
      </c>
      <c r="U95" s="65">
        <f>T95+L95</f>
        <v>738.4</v>
      </c>
      <c r="V95" s="11">
        <f>V90</f>
        <v>726</v>
      </c>
      <c r="W95" s="38">
        <f>V95-U95</f>
        <v>-12.4</v>
      </c>
      <c r="X95" s="47">
        <f>U90-U95</f>
        <v>0</v>
      </c>
    </row>
    <row r="96" spans="1:24" s="47" customFormat="1" ht="18" customHeight="1">
      <c r="A96" s="610"/>
      <c r="B96" s="583"/>
      <c r="C96" s="583"/>
      <c r="D96" s="187" t="str">
        <f>серпень!D96</f>
        <v>тариф, грн.</v>
      </c>
      <c r="E96" s="49" t="e">
        <f t="shared" ref="E96:K96" si="164">E97/E95*1000</f>
        <v>#DIV/0!</v>
      </c>
      <c r="F96" s="49" t="e">
        <f t="shared" si="164"/>
        <v>#DIV/0!</v>
      </c>
      <c r="G96" s="49">
        <f t="shared" si="164"/>
        <v>2925.3519999999999</v>
      </c>
      <c r="H96" s="49">
        <f t="shared" si="164"/>
        <v>3098.098</v>
      </c>
      <c r="I96" s="49">
        <f t="shared" si="164"/>
        <v>3097.355</v>
      </c>
      <c r="J96" s="49" t="e">
        <f t="shared" si="164"/>
        <v>#DIV/0!</v>
      </c>
      <c r="K96" s="49" t="e">
        <f t="shared" si="164"/>
        <v>#DIV/0!</v>
      </c>
      <c r="L96" s="217">
        <f>L97/L95*1000</f>
        <v>3050.09</v>
      </c>
      <c r="M96" s="217">
        <f>M97/M95*1000</f>
        <v>3049.37</v>
      </c>
      <c r="N96" s="217" t="e">
        <f>N97/N95*1000</f>
        <v>#DIV/0!</v>
      </c>
      <c r="O96" s="217">
        <v>3096.37</v>
      </c>
      <c r="P96" s="217">
        <v>3096.37</v>
      </c>
      <c r="Q96" s="217">
        <v>3096.37</v>
      </c>
      <c r="R96" s="217">
        <v>3096.37</v>
      </c>
      <c r="S96" s="188">
        <v>3096.37</v>
      </c>
      <c r="T96" s="121">
        <f>T97/T95*1000</f>
        <v>3096.37</v>
      </c>
      <c r="U96" s="121">
        <f>U97/U95*1000</f>
        <v>3069.34</v>
      </c>
      <c r="V96" s="68">
        <f>V97/V95*1000</f>
        <v>2926.299</v>
      </c>
      <c r="W96" s="14">
        <f>W97/W95*1000</f>
        <v>11443.870999999999</v>
      </c>
    </row>
    <row r="97" spans="1:24" s="63" customFormat="1" ht="18" customHeight="1">
      <c r="A97" s="610"/>
      <c r="B97" s="583"/>
      <c r="C97" s="583"/>
      <c r="D97" s="198" t="str">
        <f>серпень!D97</f>
        <v>касові видатки, тис.грн.</v>
      </c>
      <c r="E97" s="71"/>
      <c r="F97" s="61">
        <v>0</v>
      </c>
      <c r="G97" s="61">
        <v>349.28699999999998</v>
      </c>
      <c r="H97" s="61">
        <v>625.50599999999997</v>
      </c>
      <c r="I97" s="61">
        <v>340.709</v>
      </c>
      <c r="J97" s="61">
        <v>0</v>
      </c>
      <c r="K97" s="61">
        <v>0</v>
      </c>
      <c r="L97" s="61">
        <f>SUM(F97:K97)</f>
        <v>1315.502</v>
      </c>
      <c r="M97" s="61">
        <f>L97/6</f>
        <v>219.25</v>
      </c>
      <c r="N97" s="61">
        <v>0</v>
      </c>
      <c r="O97" s="61">
        <f t="shared" ref="O97" si="165">O95*O96/1000</f>
        <v>0</v>
      </c>
      <c r="P97" s="61">
        <f t="shared" ref="P97" si="166">P95*P96/1000</f>
        <v>0</v>
      </c>
      <c r="Q97" s="61">
        <f t="shared" ref="Q97" si="167">Q95*Q96/1000</f>
        <v>0</v>
      </c>
      <c r="R97" s="61">
        <f t="shared" ref="R97" si="168">R95*R96/1000</f>
        <v>0</v>
      </c>
      <c r="S97" s="61">
        <f>S95*S96/1000</f>
        <v>950.89499999999998</v>
      </c>
      <c r="T97" s="61">
        <f>SUM(N97:S97)</f>
        <v>950.89499999999998</v>
      </c>
      <c r="U97" s="61">
        <f>T97+L97</f>
        <v>2266.3969999999999</v>
      </c>
      <c r="V97" s="61">
        <f>V92</f>
        <v>2124.4929999999999</v>
      </c>
      <c r="W97" s="72">
        <f>V97-U97</f>
        <v>-141.904</v>
      </c>
      <c r="X97" s="63">
        <f>U92-U97</f>
        <v>0</v>
      </c>
    </row>
    <row r="98" spans="1:24" s="63" customFormat="1" ht="18" customHeight="1">
      <c r="A98" s="610"/>
      <c r="B98" s="583"/>
      <c r="C98" s="583"/>
      <c r="D98" s="201" t="str">
        <f>серпень!D98</f>
        <v>дотація</v>
      </c>
      <c r="E98" s="71"/>
      <c r="F98" s="61">
        <v>0</v>
      </c>
      <c r="G98" s="61">
        <v>0</v>
      </c>
      <c r="H98" s="61">
        <v>0</v>
      </c>
      <c r="I98" s="61">
        <v>0</v>
      </c>
      <c r="J98" s="61">
        <v>0</v>
      </c>
      <c r="K98" s="61">
        <v>0</v>
      </c>
      <c r="L98" s="61">
        <f>SUM(F98:K98)</f>
        <v>0</v>
      </c>
      <c r="M98" s="61">
        <f>L98/6</f>
        <v>0</v>
      </c>
      <c r="N98" s="61">
        <f>N93</f>
        <v>0</v>
      </c>
      <c r="O98" s="61">
        <f t="shared" ref="O98:P98" si="169">O93</f>
        <v>0</v>
      </c>
      <c r="P98" s="61">
        <f t="shared" si="169"/>
        <v>0</v>
      </c>
      <c r="Q98" s="61">
        <f t="shared" ref="Q98:S98" si="170">Q93</f>
        <v>0</v>
      </c>
      <c r="R98" s="61">
        <f t="shared" si="170"/>
        <v>0</v>
      </c>
      <c r="S98" s="61">
        <f t="shared" si="170"/>
        <v>0</v>
      </c>
      <c r="T98" s="61">
        <f>SUM(N98:S98)</f>
        <v>0</v>
      </c>
      <c r="U98" s="61">
        <f>T98+L98</f>
        <v>0</v>
      </c>
      <c r="V98" s="61">
        <f>V93</f>
        <v>0</v>
      </c>
      <c r="W98" s="72">
        <f>V98-U98</f>
        <v>0</v>
      </c>
      <c r="X98" s="63">
        <f>U93-U98</f>
        <v>0</v>
      </c>
    </row>
    <row r="99" spans="1:24" s="63" customFormat="1" ht="18" customHeight="1">
      <c r="A99" s="610"/>
      <c r="B99" s="583"/>
      <c r="C99" s="583"/>
      <c r="D99" s="201" t="str">
        <f>серпень!D99</f>
        <v xml:space="preserve">місцевий </v>
      </c>
      <c r="E99" s="71"/>
      <c r="F99" s="61">
        <f t="shared" ref="F99:K99" si="171">F97-F98</f>
        <v>0</v>
      </c>
      <c r="G99" s="61">
        <f t="shared" si="171"/>
        <v>349.28699999999998</v>
      </c>
      <c r="H99" s="61">
        <f t="shared" si="171"/>
        <v>625.50599999999997</v>
      </c>
      <c r="I99" s="61">
        <f>I97-I98</f>
        <v>340.709</v>
      </c>
      <c r="J99" s="61">
        <f>J97-J98</f>
        <v>0</v>
      </c>
      <c r="K99" s="61">
        <f t="shared" si="171"/>
        <v>0</v>
      </c>
      <c r="L99" s="61">
        <f>SUM(F99:K99)</f>
        <v>1315.502</v>
      </c>
      <c r="M99" s="61">
        <f>L99/6</f>
        <v>219.25</v>
      </c>
      <c r="N99" s="61">
        <f t="shared" ref="N99:S99" si="172">N97-N98</f>
        <v>0</v>
      </c>
      <c r="O99" s="61">
        <f t="shared" si="172"/>
        <v>0</v>
      </c>
      <c r="P99" s="61">
        <f t="shared" si="172"/>
        <v>0</v>
      </c>
      <c r="Q99" s="61">
        <f t="shared" si="172"/>
        <v>0</v>
      </c>
      <c r="R99" s="61">
        <f t="shared" si="172"/>
        <v>0</v>
      </c>
      <c r="S99" s="61">
        <f t="shared" si="172"/>
        <v>950.89499999999998</v>
      </c>
      <c r="T99" s="61">
        <f>SUM(N99:S99)</f>
        <v>950.89499999999998</v>
      </c>
      <c r="U99" s="61">
        <f>T99+L99</f>
        <v>2266.3969999999999</v>
      </c>
      <c r="V99" s="61">
        <f>V94</f>
        <v>2124.4929999999999</v>
      </c>
      <c r="W99" s="72">
        <f>V99-U99</f>
        <v>-141.904</v>
      </c>
      <c r="X99" s="63">
        <f>U94-U99</f>
        <v>-141.904</v>
      </c>
    </row>
    <row r="100" spans="1:24" s="43" customFormat="1" ht="18" customHeight="1">
      <c r="A100" s="610"/>
      <c r="B100" s="583"/>
      <c r="C100" s="583"/>
      <c r="D100" s="202" t="str">
        <f>серпень!D100</f>
        <v>план</v>
      </c>
      <c r="E100" s="42"/>
      <c r="F100" s="42">
        <f>F93+F94</f>
        <v>0</v>
      </c>
      <c r="G100" s="42">
        <f t="shared" ref="G100:K100" si="173">G93+G94</f>
        <v>344.04199999999997</v>
      </c>
      <c r="H100" s="42">
        <f>H93+H94</f>
        <v>634.29899999999998</v>
      </c>
      <c r="I100" s="42">
        <f>I93+I94</f>
        <v>286.14100000000002</v>
      </c>
      <c r="J100" s="42">
        <f t="shared" si="173"/>
        <v>0</v>
      </c>
      <c r="K100" s="42">
        <f t="shared" si="173"/>
        <v>0</v>
      </c>
      <c r="L100" s="42">
        <f>SUM(F100:K100)</f>
        <v>1264.482</v>
      </c>
      <c r="M100" s="42">
        <f>L100/6</f>
        <v>210.74700000000001</v>
      </c>
      <c r="N100" s="42">
        <f t="shared" ref="N100:S100" si="174">N94+N93</f>
        <v>0</v>
      </c>
      <c r="O100" s="42">
        <f t="shared" si="174"/>
        <v>0</v>
      </c>
      <c r="P100" s="42">
        <f t="shared" si="174"/>
        <v>0</v>
      </c>
      <c r="Q100" s="42">
        <f t="shared" si="174"/>
        <v>0</v>
      </c>
      <c r="R100" s="42">
        <f t="shared" si="174"/>
        <v>0</v>
      </c>
      <c r="S100" s="42">
        <f t="shared" si="174"/>
        <v>860.01099999999997</v>
      </c>
      <c r="T100" s="42">
        <f>SUM(N100:S100)</f>
        <v>860.01099999999997</v>
      </c>
      <c r="U100" s="42">
        <f>T100+L100</f>
        <v>2124.4929999999999</v>
      </c>
      <c r="V100" s="42">
        <f>V97</f>
        <v>2124.4929999999999</v>
      </c>
      <c r="W100" s="42">
        <f>V100-U100</f>
        <v>0</v>
      </c>
    </row>
    <row r="101" spans="1:24" s="43" customFormat="1" ht="18" customHeight="1">
      <c r="A101" s="610"/>
      <c r="B101" s="583"/>
      <c r="C101" s="583"/>
      <c r="D101" s="202" t="str">
        <f>серпень!D101</f>
        <v xml:space="preserve">відхилення </v>
      </c>
      <c r="E101" s="42"/>
      <c r="F101" s="42">
        <f t="shared" ref="F101:K101" si="175">F97-F100</f>
        <v>0</v>
      </c>
      <c r="G101" s="42">
        <f t="shared" si="175"/>
        <v>5.2450000000000001</v>
      </c>
      <c r="H101" s="42">
        <f t="shared" si="175"/>
        <v>-8.7929999999999993</v>
      </c>
      <c r="I101" s="42">
        <f t="shared" si="175"/>
        <v>54.567999999999998</v>
      </c>
      <c r="J101" s="42">
        <f t="shared" si="175"/>
        <v>0</v>
      </c>
      <c r="K101" s="42">
        <f t="shared" si="175"/>
        <v>0</v>
      </c>
      <c r="L101" s="42"/>
      <c r="M101" s="42"/>
      <c r="N101" s="42">
        <f t="shared" ref="N101:S101" si="176">N97-N100</f>
        <v>0</v>
      </c>
      <c r="O101" s="42">
        <f t="shared" si="176"/>
        <v>0</v>
      </c>
      <c r="P101" s="42">
        <f t="shared" si="176"/>
        <v>0</v>
      </c>
      <c r="Q101" s="42">
        <f t="shared" si="176"/>
        <v>0</v>
      </c>
      <c r="R101" s="42">
        <f t="shared" si="176"/>
        <v>0</v>
      </c>
      <c r="S101" s="42">
        <f t="shared" si="176"/>
        <v>90.884</v>
      </c>
      <c r="T101" s="42"/>
      <c r="U101" s="42"/>
      <c r="V101" s="42"/>
      <c r="W101" s="42"/>
    </row>
    <row r="102" spans="1:24" s="43" customFormat="1" ht="18" customHeight="1">
      <c r="A102" s="610"/>
      <c r="B102" s="583"/>
      <c r="C102" s="584"/>
      <c r="D102" s="202" t="str">
        <f>серпень!D102</f>
        <v>відхилення з наростаючим</v>
      </c>
      <c r="E102" s="42"/>
      <c r="F102" s="42">
        <f>F101</f>
        <v>0</v>
      </c>
      <c r="G102" s="42">
        <f>G101+F102</f>
        <v>5.2450000000000001</v>
      </c>
      <c r="H102" s="42">
        <f>H101+G102</f>
        <v>-3.548</v>
      </c>
      <c r="I102" s="42">
        <f>I101+H102</f>
        <v>51.02</v>
      </c>
      <c r="J102" s="42">
        <f>J101+I102</f>
        <v>51.02</v>
      </c>
      <c r="K102" s="42">
        <f>K101+J102</f>
        <v>51.02</v>
      </c>
      <c r="L102" s="42"/>
      <c r="M102" s="42"/>
      <c r="N102" s="42">
        <f>N101+K102</f>
        <v>51.02</v>
      </c>
      <c r="O102" s="42">
        <f>O101+N102</f>
        <v>51.02</v>
      </c>
      <c r="P102" s="42">
        <f>P101+O102</f>
        <v>51.02</v>
      </c>
      <c r="Q102" s="42">
        <f>Q101+P102</f>
        <v>51.02</v>
      </c>
      <c r="R102" s="42">
        <f>R101+Q102</f>
        <v>51.02</v>
      </c>
      <c r="S102" s="42">
        <f>S101+R102</f>
        <v>141.904</v>
      </c>
      <c r="T102" s="42"/>
      <c r="U102" s="42"/>
      <c r="V102" s="42"/>
      <c r="W102" s="42"/>
    </row>
    <row r="103" spans="1:24" s="43" customFormat="1" ht="18" hidden="1" customHeight="1">
      <c r="A103" s="610"/>
      <c r="B103" s="583"/>
      <c r="C103" s="582" t="s">
        <v>96</v>
      </c>
      <c r="D103" s="178" t="str">
        <f>серпень!D103</f>
        <v>факт. нат.п-ки 2023</v>
      </c>
      <c r="E103" s="179"/>
      <c r="F103" s="184"/>
      <c r="G103" s="184"/>
      <c r="H103" s="179"/>
      <c r="I103" s="179"/>
      <c r="J103" s="179"/>
      <c r="K103" s="179"/>
      <c r="L103" s="215">
        <f>SUM(F103:K103)</f>
        <v>0</v>
      </c>
      <c r="M103" s="215">
        <f>L103/6</f>
        <v>0</v>
      </c>
      <c r="N103" s="179"/>
      <c r="O103" s="179"/>
      <c r="P103" s="179"/>
      <c r="Q103" s="179"/>
      <c r="R103" s="179"/>
      <c r="S103" s="179"/>
      <c r="T103" s="215">
        <f>SUM(N103:S103)</f>
        <v>0</v>
      </c>
      <c r="U103" s="215">
        <f>T103+L103</f>
        <v>0</v>
      </c>
      <c r="V103" s="179"/>
      <c r="W103" s="184"/>
    </row>
    <row r="104" spans="1:24" s="43" customFormat="1" ht="18" hidden="1" customHeight="1">
      <c r="A104" s="610"/>
      <c r="B104" s="583"/>
      <c r="C104" s="583"/>
      <c r="D104" s="178" t="str">
        <f>серпень!D104</f>
        <v>факт. нат.п-ки 2024</v>
      </c>
      <c r="E104" s="179"/>
      <c r="F104" s="184"/>
      <c r="G104" s="184"/>
      <c r="H104" s="179"/>
      <c r="I104" s="179"/>
      <c r="J104" s="179"/>
      <c r="K104" s="179"/>
      <c r="L104" s="215">
        <f>SUM(F104:K104)</f>
        <v>0</v>
      </c>
      <c r="M104" s="215">
        <f>L104/6</f>
        <v>0</v>
      </c>
      <c r="N104" s="179"/>
      <c r="O104" s="179"/>
      <c r="P104" s="179"/>
      <c r="Q104" s="179"/>
      <c r="R104" s="179"/>
      <c r="S104" s="179"/>
      <c r="T104" s="215">
        <f>SUM(N104:S104)</f>
        <v>0</v>
      </c>
      <c r="U104" s="215">
        <f>T104+L104</f>
        <v>0</v>
      </c>
      <c r="V104" s="179"/>
      <c r="W104" s="184"/>
    </row>
    <row r="105" spans="1:24" s="205" customFormat="1" ht="23.5" hidden="1" customHeight="1">
      <c r="A105" s="610"/>
      <c r="B105" s="583"/>
      <c r="C105" s="583"/>
      <c r="D105" s="178" t="str">
        <f>серпень!D105</f>
        <v>факт. нат.п-ки 2025</v>
      </c>
      <c r="E105" s="179"/>
      <c r="F105" s="184"/>
      <c r="G105" s="184"/>
      <c r="H105" s="179"/>
      <c r="I105" s="216"/>
      <c r="J105" s="179"/>
      <c r="K105" s="179"/>
      <c r="L105" s="215">
        <f>SUM(F105:K105)</f>
        <v>0</v>
      </c>
      <c r="M105" s="215">
        <f>L105/6</f>
        <v>0</v>
      </c>
      <c r="N105" s="179"/>
      <c r="O105" s="179"/>
      <c r="P105" s="179"/>
      <c r="Q105" s="179"/>
      <c r="R105" s="179"/>
      <c r="S105" s="179"/>
      <c r="T105" s="215">
        <f>SUM(N105:S105)</f>
        <v>0</v>
      </c>
      <c r="U105" s="215">
        <f>T105+L105</f>
        <v>0</v>
      </c>
      <c r="V105" s="179"/>
      <c r="W105" s="184">
        <f>U105-V105</f>
        <v>0</v>
      </c>
    </row>
    <row r="106" spans="1:24" s="205" customFormat="1" ht="23.5" hidden="1" customHeight="1">
      <c r="A106" s="610"/>
      <c r="B106" s="583"/>
      <c r="C106" s="583"/>
      <c r="D106" s="187" t="str">
        <f>серпень!D106</f>
        <v>тариф, грн.</v>
      </c>
      <c r="E106" s="188"/>
      <c r="F106" s="188"/>
      <c r="G106" s="188"/>
      <c r="H106" s="188"/>
      <c r="I106" s="188"/>
      <c r="J106" s="188"/>
      <c r="K106" s="188"/>
      <c r="L106" s="217" t="e">
        <f>L107/L105*1000</f>
        <v>#DIV/0!</v>
      </c>
      <c r="M106" s="217" t="e">
        <f>M107/M105*1000</f>
        <v>#DIV/0!</v>
      </c>
      <c r="N106" s="188"/>
      <c r="O106" s="188"/>
      <c r="P106" s="188"/>
      <c r="Q106" s="188"/>
      <c r="R106" s="218"/>
      <c r="S106" s="218"/>
      <c r="T106" s="217" t="e">
        <f>T107/T105*1000</f>
        <v>#DIV/0!</v>
      </c>
      <c r="U106" s="217" t="e">
        <f>U107/U105*1000</f>
        <v>#DIV/0!</v>
      </c>
      <c r="V106" s="218" t="e">
        <f>V107/V105*1000</f>
        <v>#DIV/0!</v>
      </c>
      <c r="W106" s="219" t="e">
        <f>W107/W105*1000</f>
        <v>#DIV/0!</v>
      </c>
    </row>
    <row r="107" spans="1:24" s="205" customFormat="1" ht="23.5" hidden="1" customHeight="1">
      <c r="A107" s="610"/>
      <c r="B107" s="583"/>
      <c r="C107" s="583"/>
      <c r="D107" s="191" t="str">
        <f>серпень!D107</f>
        <v>сума, тис.грн.</v>
      </c>
      <c r="E107" s="192"/>
      <c r="F107" s="192"/>
      <c r="G107" s="192"/>
      <c r="H107" s="192"/>
      <c r="I107" s="192"/>
      <c r="J107" s="192"/>
      <c r="K107" s="192"/>
      <c r="L107" s="194">
        <f>SUM(F107:K107)</f>
        <v>0</v>
      </c>
      <c r="M107" s="194">
        <f>L107/6</f>
        <v>0</v>
      </c>
      <c r="N107" s="192"/>
      <c r="O107" s="192"/>
      <c r="P107" s="192"/>
      <c r="Q107" s="192"/>
      <c r="R107" s="192"/>
      <c r="S107" s="192"/>
      <c r="T107" s="194">
        <f>SUM(N107:S107)</f>
        <v>0</v>
      </c>
      <c r="U107" s="194">
        <f>T107+L107</f>
        <v>0</v>
      </c>
      <c r="V107" s="171">
        <f>V108+V109</f>
        <v>0</v>
      </c>
      <c r="W107" s="192">
        <f>V107-U107</f>
        <v>0</v>
      </c>
    </row>
    <row r="108" spans="1:24" s="205" customFormat="1" ht="23.5" hidden="1" customHeight="1">
      <c r="A108" s="610"/>
      <c r="B108" s="583"/>
      <c r="C108" s="583"/>
      <c r="D108" s="174" t="str">
        <f>серпень!D108</f>
        <v>дотація</v>
      </c>
      <c r="E108" s="210"/>
      <c r="F108" s="192"/>
      <c r="G108" s="192"/>
      <c r="H108" s="192"/>
      <c r="I108" s="192"/>
      <c r="J108" s="192"/>
      <c r="K108" s="192"/>
      <c r="L108" s="194">
        <f>SUM(F108:K108)</f>
        <v>0</v>
      </c>
      <c r="M108" s="194">
        <f>L108/6</f>
        <v>0</v>
      </c>
      <c r="N108" s="192"/>
      <c r="O108" s="192"/>
      <c r="P108" s="192"/>
      <c r="Q108" s="192"/>
      <c r="R108" s="192"/>
      <c r="S108" s="192"/>
      <c r="T108" s="194">
        <f>SUM(N108:S108)</f>
        <v>0</v>
      </c>
      <c r="U108" s="194">
        <f>T108+L108</f>
        <v>0</v>
      </c>
      <c r="V108" s="171"/>
      <c r="W108" s="192">
        <f>V108-U108</f>
        <v>0</v>
      </c>
    </row>
    <row r="109" spans="1:24" s="205" customFormat="1" ht="23.5" hidden="1" customHeight="1">
      <c r="A109" s="610"/>
      <c r="B109" s="583"/>
      <c r="C109" s="583"/>
      <c r="D109" s="174" t="str">
        <f>серпень!D109</f>
        <v>місцевий (план), тис.грн</v>
      </c>
      <c r="E109" s="210"/>
      <c r="F109" s="192"/>
      <c r="G109" s="192"/>
      <c r="H109" s="192"/>
      <c r="I109" s="192"/>
      <c r="J109" s="192"/>
      <c r="K109" s="192"/>
      <c r="L109" s="194">
        <f>SUM(F109:K109)</f>
        <v>0</v>
      </c>
      <c r="M109" s="194">
        <f>L109/6</f>
        <v>0</v>
      </c>
      <c r="N109" s="192"/>
      <c r="O109" s="192"/>
      <c r="P109" s="192"/>
      <c r="Q109" s="192"/>
      <c r="R109" s="192"/>
      <c r="S109" s="192"/>
      <c r="T109" s="194">
        <f>SUM(N109:S109)</f>
        <v>0</v>
      </c>
      <c r="U109" s="194">
        <f>T109+L109</f>
        <v>0</v>
      </c>
      <c r="V109" s="171"/>
      <c r="W109" s="192">
        <f>V109-U109</f>
        <v>0</v>
      </c>
    </row>
    <row r="110" spans="1:24" s="205" customFormat="1" ht="23.5" hidden="1" customHeight="1">
      <c r="A110" s="610"/>
      <c r="B110" s="583"/>
      <c r="C110" s="583"/>
      <c r="D110" s="178" t="str">
        <f>серпень!D110</f>
        <v>касові нат.п-ки 2025</v>
      </c>
      <c r="E110" s="179"/>
      <c r="F110" s="184"/>
      <c r="G110" s="184"/>
      <c r="H110" s="179"/>
      <c r="I110" s="179"/>
      <c r="J110" s="216"/>
      <c r="K110" s="179"/>
      <c r="L110" s="215">
        <f>SUM(F110:K110)</f>
        <v>0</v>
      </c>
      <c r="M110" s="215">
        <f>L110/6</f>
        <v>0</v>
      </c>
      <c r="N110" s="179"/>
      <c r="O110" s="179"/>
      <c r="P110" s="179"/>
      <c r="Q110" s="179"/>
      <c r="R110" s="179"/>
      <c r="S110" s="179"/>
      <c r="T110" s="215">
        <f>SUM(N110:S110)</f>
        <v>0</v>
      </c>
      <c r="U110" s="215">
        <f>T110+L110</f>
        <v>0</v>
      </c>
      <c r="V110" s="179">
        <f>V105</f>
        <v>0</v>
      </c>
      <c r="W110" s="184">
        <f>V110-U110</f>
        <v>0</v>
      </c>
      <c r="X110" s="185">
        <f>U105-U110</f>
        <v>0</v>
      </c>
    </row>
    <row r="111" spans="1:24" s="205" customFormat="1" ht="23.5" hidden="1" customHeight="1">
      <c r="A111" s="610"/>
      <c r="B111" s="583"/>
      <c r="C111" s="583"/>
      <c r="D111" s="187" t="str">
        <f>серпень!D111</f>
        <v>тариф, грн.</v>
      </c>
      <c r="E111" s="188" t="e">
        <f t="shared" ref="E111" si="177">E112/E110*1000</f>
        <v>#DIV/0!</v>
      </c>
      <c r="F111" s="188"/>
      <c r="G111" s="188"/>
      <c r="H111" s="188"/>
      <c r="I111" s="188"/>
      <c r="J111" s="188"/>
      <c r="K111" s="188"/>
      <c r="L111" s="217" t="e">
        <f>L112/L110*1000</f>
        <v>#DIV/0!</v>
      </c>
      <c r="M111" s="217" t="e">
        <f>M112/M110*1000</f>
        <v>#DIV/0!</v>
      </c>
      <c r="N111" s="188"/>
      <c r="O111" s="188"/>
      <c r="P111" s="188"/>
      <c r="Q111" s="188"/>
      <c r="R111" s="188"/>
      <c r="S111" s="218"/>
      <c r="T111" s="217" t="e">
        <f>T112/T110*1000</f>
        <v>#DIV/0!</v>
      </c>
      <c r="U111" s="217" t="e">
        <f>U112/U110*1000</f>
        <v>#DIV/0!</v>
      </c>
      <c r="V111" s="218" t="e">
        <f>V112/V110*1000</f>
        <v>#DIV/0!</v>
      </c>
      <c r="W111" s="219" t="e">
        <f>W112/W110*1000</f>
        <v>#DIV/0!</v>
      </c>
      <c r="X111" s="185"/>
    </row>
    <row r="112" spans="1:24" s="205" customFormat="1" ht="23.5" hidden="1" customHeight="1">
      <c r="A112" s="610"/>
      <c r="B112" s="583"/>
      <c r="C112" s="583"/>
      <c r="D112" s="198" t="str">
        <f>серпень!D112</f>
        <v>касові видатки, тис.грн.</v>
      </c>
      <c r="E112" s="220"/>
      <c r="F112" s="199"/>
      <c r="G112" s="199"/>
      <c r="H112" s="199"/>
      <c r="I112" s="199"/>
      <c r="J112" s="199"/>
      <c r="K112" s="199"/>
      <c r="L112" s="199">
        <f>SUM(F112:K112)</f>
        <v>0</v>
      </c>
      <c r="M112" s="199">
        <f>L112/6</f>
        <v>0</v>
      </c>
      <c r="N112" s="199">
        <v>0</v>
      </c>
      <c r="O112" s="199">
        <v>0</v>
      </c>
      <c r="P112" s="199">
        <v>0</v>
      </c>
      <c r="Q112" s="199">
        <v>0</v>
      </c>
      <c r="R112" s="199">
        <v>0</v>
      </c>
      <c r="S112" s="199">
        <v>0</v>
      </c>
      <c r="T112" s="199">
        <f>SUM(N112:S112)</f>
        <v>0</v>
      </c>
      <c r="U112" s="199">
        <f>T112+L112</f>
        <v>0</v>
      </c>
      <c r="V112" s="199">
        <f>V107</f>
        <v>0</v>
      </c>
      <c r="W112" s="221">
        <f>V112-U112</f>
        <v>0</v>
      </c>
      <c r="X112" s="176">
        <f>U107-U112</f>
        <v>0</v>
      </c>
    </row>
    <row r="113" spans="1:24" s="205" customFormat="1" ht="23.5" hidden="1" customHeight="1">
      <c r="A113" s="610"/>
      <c r="B113" s="583"/>
      <c r="C113" s="583"/>
      <c r="D113" s="201" t="str">
        <f>серпень!D113</f>
        <v>дотація</v>
      </c>
      <c r="E113" s="220"/>
      <c r="F113" s="199">
        <v>0</v>
      </c>
      <c r="G113" s="199">
        <v>0</v>
      </c>
      <c r="H113" s="199">
        <v>0</v>
      </c>
      <c r="I113" s="199">
        <v>0</v>
      </c>
      <c r="J113" s="199">
        <v>0</v>
      </c>
      <c r="K113" s="199">
        <v>0</v>
      </c>
      <c r="L113" s="199">
        <f>SUM(F113:K113)</f>
        <v>0</v>
      </c>
      <c r="M113" s="199">
        <f>L113/6</f>
        <v>0</v>
      </c>
      <c r="N113" s="199">
        <v>0</v>
      </c>
      <c r="O113" s="199">
        <v>0</v>
      </c>
      <c r="P113" s="199">
        <v>0</v>
      </c>
      <c r="Q113" s="199">
        <v>0</v>
      </c>
      <c r="R113" s="199">
        <v>0</v>
      </c>
      <c r="S113" s="199">
        <v>0</v>
      </c>
      <c r="T113" s="199">
        <f>SUM(N113:S113)</f>
        <v>0</v>
      </c>
      <c r="U113" s="199">
        <f>T113+L113</f>
        <v>0</v>
      </c>
      <c r="V113" s="199">
        <f>V108</f>
        <v>0</v>
      </c>
      <c r="W113" s="221">
        <f>V113-U113</f>
        <v>0</v>
      </c>
      <c r="X113" s="176">
        <f>U108-U113</f>
        <v>0</v>
      </c>
    </row>
    <row r="114" spans="1:24" s="205" customFormat="1" ht="23.5" hidden="1" customHeight="1">
      <c r="A114" s="610"/>
      <c r="B114" s="583"/>
      <c r="C114" s="583"/>
      <c r="D114" s="201" t="str">
        <f>серпень!D114</f>
        <v xml:space="preserve">місцевий </v>
      </c>
      <c r="E114" s="220"/>
      <c r="F114" s="199">
        <f t="shared" ref="F114:K114" si="178">F112-F113</f>
        <v>0</v>
      </c>
      <c r="G114" s="199">
        <f t="shared" si="178"/>
        <v>0</v>
      </c>
      <c r="H114" s="199">
        <f t="shared" si="178"/>
        <v>0</v>
      </c>
      <c r="I114" s="199">
        <f t="shared" si="178"/>
        <v>0</v>
      </c>
      <c r="J114" s="199">
        <f t="shared" si="178"/>
        <v>0</v>
      </c>
      <c r="K114" s="199">
        <f t="shared" si="178"/>
        <v>0</v>
      </c>
      <c r="L114" s="199">
        <f>SUM(F114:K114)</f>
        <v>0</v>
      </c>
      <c r="M114" s="199">
        <f>L114/6</f>
        <v>0</v>
      </c>
      <c r="N114" s="199">
        <f t="shared" ref="N114:S114" si="179">N112-N113</f>
        <v>0</v>
      </c>
      <c r="O114" s="199">
        <f t="shared" si="179"/>
        <v>0</v>
      </c>
      <c r="P114" s="199">
        <f t="shared" si="179"/>
        <v>0</v>
      </c>
      <c r="Q114" s="199">
        <f t="shared" si="179"/>
        <v>0</v>
      </c>
      <c r="R114" s="199">
        <f t="shared" si="179"/>
        <v>0</v>
      </c>
      <c r="S114" s="199">
        <f t="shared" si="179"/>
        <v>0</v>
      </c>
      <c r="T114" s="199">
        <f>SUM(N114:S114)</f>
        <v>0</v>
      </c>
      <c r="U114" s="199">
        <f>T114+L114</f>
        <v>0</v>
      </c>
      <c r="V114" s="199">
        <f>V109</f>
        <v>0</v>
      </c>
      <c r="W114" s="221">
        <f>V114-U114</f>
        <v>0</v>
      </c>
      <c r="X114" s="176">
        <f>U109-U114</f>
        <v>0</v>
      </c>
    </row>
    <row r="115" spans="1:24" s="43" customFormat="1" ht="18" hidden="1" customHeight="1">
      <c r="A115" s="610"/>
      <c r="B115" s="583"/>
      <c r="C115" s="583"/>
      <c r="D115" s="202" t="str">
        <f>серпень!D115</f>
        <v>план</v>
      </c>
      <c r="E115" s="203"/>
      <c r="F115" s="203">
        <f t="shared" ref="F115:K115" si="180">F108+F109</f>
        <v>0</v>
      </c>
      <c r="G115" s="203">
        <f t="shared" si="180"/>
        <v>0</v>
      </c>
      <c r="H115" s="203">
        <f t="shared" si="180"/>
        <v>0</v>
      </c>
      <c r="I115" s="203">
        <f t="shared" si="180"/>
        <v>0</v>
      </c>
      <c r="J115" s="203">
        <f t="shared" si="180"/>
        <v>0</v>
      </c>
      <c r="K115" s="203">
        <f t="shared" si="180"/>
        <v>0</v>
      </c>
      <c r="L115" s="203">
        <f>SUM(F115:K115)</f>
        <v>0</v>
      </c>
      <c r="M115" s="203">
        <f>L115/6</f>
        <v>0</v>
      </c>
      <c r="N115" s="203">
        <f t="shared" ref="N115:S115" si="181">N109+N108</f>
        <v>0</v>
      </c>
      <c r="O115" s="203">
        <f t="shared" si="181"/>
        <v>0</v>
      </c>
      <c r="P115" s="203">
        <f t="shared" si="181"/>
        <v>0</v>
      </c>
      <c r="Q115" s="203">
        <f t="shared" si="181"/>
        <v>0</v>
      </c>
      <c r="R115" s="203">
        <f t="shared" si="181"/>
        <v>0</v>
      </c>
      <c r="S115" s="203">
        <f t="shared" si="181"/>
        <v>0</v>
      </c>
      <c r="T115" s="203">
        <f>SUM(N115:S115)</f>
        <v>0</v>
      </c>
      <c r="U115" s="203">
        <f>T115+L115</f>
        <v>0</v>
      </c>
      <c r="V115" s="203">
        <f>V112</f>
        <v>0</v>
      </c>
      <c r="W115" s="203">
        <f>V115-U115</f>
        <v>0</v>
      </c>
    </row>
    <row r="116" spans="1:24" s="43" customFormat="1" ht="18" hidden="1" customHeight="1">
      <c r="A116" s="610"/>
      <c r="B116" s="583"/>
      <c r="C116" s="583"/>
      <c r="D116" s="202" t="str">
        <f>серпень!D116</f>
        <v xml:space="preserve">відхилення </v>
      </c>
      <c r="E116" s="203"/>
      <c r="F116" s="203">
        <f t="shared" ref="F116:K116" si="182">F112-F115</f>
        <v>0</v>
      </c>
      <c r="G116" s="203">
        <f t="shared" si="182"/>
        <v>0</v>
      </c>
      <c r="H116" s="203">
        <f t="shared" si="182"/>
        <v>0</v>
      </c>
      <c r="I116" s="203">
        <f t="shared" si="182"/>
        <v>0</v>
      </c>
      <c r="J116" s="203">
        <f t="shared" si="182"/>
        <v>0</v>
      </c>
      <c r="K116" s="203">
        <f t="shared" si="182"/>
        <v>0</v>
      </c>
      <c r="L116" s="203"/>
      <c r="M116" s="203"/>
      <c r="N116" s="203">
        <f t="shared" ref="N116:S116" si="183">N112-N115</f>
        <v>0</v>
      </c>
      <c r="O116" s="203">
        <f t="shared" si="183"/>
        <v>0</v>
      </c>
      <c r="P116" s="203">
        <f t="shared" si="183"/>
        <v>0</v>
      </c>
      <c r="Q116" s="203">
        <f t="shared" si="183"/>
        <v>0</v>
      </c>
      <c r="R116" s="203">
        <f t="shared" si="183"/>
        <v>0</v>
      </c>
      <c r="S116" s="203">
        <f t="shared" si="183"/>
        <v>0</v>
      </c>
      <c r="T116" s="203"/>
      <c r="U116" s="203"/>
      <c r="V116" s="203"/>
      <c r="W116" s="203"/>
    </row>
    <row r="117" spans="1:24" s="43" customFormat="1" ht="18" hidden="1" customHeight="1">
      <c r="A117" s="610"/>
      <c r="B117" s="583"/>
      <c r="C117" s="584"/>
      <c r="D117" s="202" t="str">
        <f>серпень!D117</f>
        <v>відхилення з наростаючим</v>
      </c>
      <c r="E117" s="203"/>
      <c r="F117" s="203">
        <f>F116</f>
        <v>0</v>
      </c>
      <c r="G117" s="203">
        <f>G116+F117</f>
        <v>0</v>
      </c>
      <c r="H117" s="203">
        <f>H116+G117</f>
        <v>0</v>
      </c>
      <c r="I117" s="203">
        <f>I116+H117</f>
        <v>0</v>
      </c>
      <c r="J117" s="203">
        <f>J116+I117</f>
        <v>0</v>
      </c>
      <c r="K117" s="203">
        <f>K116+J117</f>
        <v>0</v>
      </c>
      <c r="L117" s="203"/>
      <c r="M117" s="203"/>
      <c r="N117" s="203">
        <f>N116+K117</f>
        <v>0</v>
      </c>
      <c r="O117" s="203">
        <f>O116+N117</f>
        <v>0</v>
      </c>
      <c r="P117" s="203">
        <f>P116+O117</f>
        <v>0</v>
      </c>
      <c r="Q117" s="203">
        <f>Q116+P117</f>
        <v>0</v>
      </c>
      <c r="R117" s="203">
        <f>R116+Q117</f>
        <v>0</v>
      </c>
      <c r="S117" s="203">
        <f>S116+R117</f>
        <v>0</v>
      </c>
      <c r="T117" s="203"/>
      <c r="U117" s="203"/>
      <c r="V117" s="203"/>
      <c r="W117" s="203"/>
    </row>
    <row r="118" spans="1:24" s="43" customFormat="1" ht="18" hidden="1" customHeight="1">
      <c r="A118" s="610"/>
      <c r="B118" s="581" t="s">
        <v>57</v>
      </c>
      <c r="C118" s="582" t="s">
        <v>98</v>
      </c>
      <c r="D118" s="178" t="str">
        <f>серпень!D118</f>
        <v>факт. нат.п-ки 2023</v>
      </c>
      <c r="E118" s="179"/>
      <c r="F118" s="184"/>
      <c r="G118" s="184"/>
      <c r="H118" s="179"/>
      <c r="I118" s="179"/>
      <c r="J118" s="179"/>
      <c r="K118" s="179"/>
      <c r="L118" s="215">
        <f>SUM(F118:K118)</f>
        <v>0</v>
      </c>
      <c r="M118" s="215">
        <f>L118/6</f>
        <v>0</v>
      </c>
      <c r="N118" s="179"/>
      <c r="O118" s="179"/>
      <c r="P118" s="179"/>
      <c r="Q118" s="179"/>
      <c r="R118" s="179"/>
      <c r="S118" s="179"/>
      <c r="T118" s="215">
        <f>SUM(N118:S118)</f>
        <v>0</v>
      </c>
      <c r="U118" s="215">
        <f>T118+L118</f>
        <v>0</v>
      </c>
      <c r="V118" s="179"/>
      <c r="W118" s="184"/>
    </row>
    <row r="119" spans="1:24" s="43" customFormat="1" ht="18" hidden="1" customHeight="1">
      <c r="A119" s="610"/>
      <c r="B119" s="581"/>
      <c r="C119" s="583"/>
      <c r="D119" s="178" t="str">
        <f>серпень!D119</f>
        <v>факт. нат.п-ки 2024</v>
      </c>
      <c r="E119" s="179"/>
      <c r="F119" s="184"/>
      <c r="G119" s="184"/>
      <c r="H119" s="179"/>
      <c r="I119" s="179"/>
      <c r="J119" s="179"/>
      <c r="K119" s="179"/>
      <c r="L119" s="215">
        <f>SUM(F119:K119)</f>
        <v>0</v>
      </c>
      <c r="M119" s="215">
        <f>L119/6</f>
        <v>0</v>
      </c>
      <c r="N119" s="179"/>
      <c r="O119" s="179"/>
      <c r="P119" s="179"/>
      <c r="Q119" s="179"/>
      <c r="R119" s="179"/>
      <c r="S119" s="179"/>
      <c r="T119" s="215">
        <f>SUM(N119:S119)</f>
        <v>0</v>
      </c>
      <c r="U119" s="215">
        <f>T119+L119</f>
        <v>0</v>
      </c>
      <c r="V119" s="179"/>
      <c r="W119" s="184"/>
    </row>
    <row r="120" spans="1:24" s="43" customFormat="1" ht="18" hidden="1" customHeight="1">
      <c r="A120" s="610"/>
      <c r="B120" s="581"/>
      <c r="C120" s="583"/>
      <c r="D120" s="178" t="str">
        <f>серпень!D120</f>
        <v>факт. нат.п-ки 2025</v>
      </c>
      <c r="E120" s="179"/>
      <c r="F120" s="184"/>
      <c r="G120" s="184"/>
      <c r="H120" s="179"/>
      <c r="I120" s="216"/>
      <c r="J120" s="179"/>
      <c r="K120" s="179"/>
      <c r="L120" s="215">
        <f>SUM(F120:K120)</f>
        <v>0</v>
      </c>
      <c r="M120" s="215">
        <f>L120/6</f>
        <v>0</v>
      </c>
      <c r="N120" s="179"/>
      <c r="O120" s="179"/>
      <c r="P120" s="179"/>
      <c r="Q120" s="179"/>
      <c r="R120" s="179"/>
      <c r="S120" s="179"/>
      <c r="T120" s="215">
        <f>SUM(N120:S120)</f>
        <v>0</v>
      </c>
      <c r="U120" s="215">
        <f>T120+L120</f>
        <v>0</v>
      </c>
      <c r="V120" s="179"/>
      <c r="W120" s="184">
        <f>U120-V120</f>
        <v>0</v>
      </c>
    </row>
    <row r="121" spans="1:24" s="43" customFormat="1" ht="18" hidden="1" customHeight="1">
      <c r="A121" s="610"/>
      <c r="B121" s="581"/>
      <c r="C121" s="583"/>
      <c r="D121" s="187" t="str">
        <f>серпень!D121</f>
        <v>тариф, грн.</v>
      </c>
      <c r="E121" s="188"/>
      <c r="F121" s="188"/>
      <c r="G121" s="188"/>
      <c r="H121" s="188"/>
      <c r="I121" s="188"/>
      <c r="J121" s="188"/>
      <c r="K121" s="188"/>
      <c r="L121" s="217" t="e">
        <f>L122/L120*1000</f>
        <v>#DIV/0!</v>
      </c>
      <c r="M121" s="217" t="e">
        <f>M122/M120*1000</f>
        <v>#DIV/0!</v>
      </c>
      <c r="N121" s="188"/>
      <c r="O121" s="188"/>
      <c r="P121" s="188"/>
      <c r="Q121" s="188"/>
      <c r="R121" s="188"/>
      <c r="S121" s="188"/>
      <c r="T121" s="217" t="e">
        <f>T122/T120*1000</f>
        <v>#DIV/0!</v>
      </c>
      <c r="U121" s="217" t="e">
        <f>U122/U120*1000</f>
        <v>#DIV/0!</v>
      </c>
      <c r="V121" s="218" t="e">
        <f>V122/V120*1000</f>
        <v>#DIV/0!</v>
      </c>
      <c r="W121" s="219" t="e">
        <f>W122/W120*1000</f>
        <v>#DIV/0!</v>
      </c>
    </row>
    <row r="122" spans="1:24" s="43" customFormat="1" ht="18" hidden="1" customHeight="1">
      <c r="A122" s="610"/>
      <c r="B122" s="581"/>
      <c r="C122" s="583"/>
      <c r="D122" s="191" t="str">
        <f>серпень!D122</f>
        <v>сума, тис.грн.</v>
      </c>
      <c r="E122" s="192"/>
      <c r="F122" s="192"/>
      <c r="G122" s="192"/>
      <c r="H122" s="192"/>
      <c r="I122" s="192"/>
      <c r="J122" s="192"/>
      <c r="K122" s="192"/>
      <c r="L122" s="194">
        <f>SUM(F122:K122)</f>
        <v>0</v>
      </c>
      <c r="M122" s="194">
        <f>L122/6</f>
        <v>0</v>
      </c>
      <c r="N122" s="192"/>
      <c r="O122" s="192"/>
      <c r="P122" s="192"/>
      <c r="Q122" s="192"/>
      <c r="R122" s="192"/>
      <c r="S122" s="192"/>
      <c r="T122" s="194">
        <f>SUM(N122:S122)</f>
        <v>0</v>
      </c>
      <c r="U122" s="194">
        <f>T122+L122</f>
        <v>0</v>
      </c>
      <c r="V122" s="171">
        <f>V123+V124</f>
        <v>0</v>
      </c>
      <c r="W122" s="192">
        <f>V122-U122</f>
        <v>0</v>
      </c>
    </row>
    <row r="123" spans="1:24" s="43" customFormat="1" ht="18" hidden="1" customHeight="1">
      <c r="A123" s="610"/>
      <c r="B123" s="581"/>
      <c r="C123" s="583"/>
      <c r="D123" s="174" t="str">
        <f>серпень!D123</f>
        <v>дотація</v>
      </c>
      <c r="E123" s="210"/>
      <c r="F123" s="192"/>
      <c r="G123" s="192"/>
      <c r="H123" s="192"/>
      <c r="I123" s="192"/>
      <c r="J123" s="192"/>
      <c r="K123" s="192"/>
      <c r="L123" s="194">
        <f>SUM(F123:K123)</f>
        <v>0</v>
      </c>
      <c r="M123" s="194">
        <f>L123/6</f>
        <v>0</v>
      </c>
      <c r="N123" s="192"/>
      <c r="O123" s="192"/>
      <c r="P123" s="192"/>
      <c r="Q123" s="192"/>
      <c r="R123" s="192"/>
      <c r="S123" s="192"/>
      <c r="T123" s="194">
        <f>SUM(N123:S123)</f>
        <v>0</v>
      </c>
      <c r="U123" s="194">
        <f>T123+L123</f>
        <v>0</v>
      </c>
      <c r="V123" s="171"/>
      <c r="W123" s="192">
        <f>V123-U123</f>
        <v>0</v>
      </c>
    </row>
    <row r="124" spans="1:24" s="43" customFormat="1" ht="18" hidden="1" customHeight="1">
      <c r="A124" s="610"/>
      <c r="B124" s="581"/>
      <c r="C124" s="583"/>
      <c r="D124" s="174" t="str">
        <f>серпень!D124</f>
        <v>місцевий (план), тис.грн</v>
      </c>
      <c r="E124" s="210"/>
      <c r="F124" s="192"/>
      <c r="G124" s="192"/>
      <c r="H124" s="192"/>
      <c r="I124" s="192"/>
      <c r="J124" s="192"/>
      <c r="K124" s="192"/>
      <c r="L124" s="194">
        <f>SUM(F124:K124)</f>
        <v>0</v>
      </c>
      <c r="M124" s="194">
        <f>L124/6</f>
        <v>0</v>
      </c>
      <c r="N124" s="192"/>
      <c r="O124" s="192"/>
      <c r="P124" s="192"/>
      <c r="Q124" s="192"/>
      <c r="R124" s="192"/>
      <c r="S124" s="192"/>
      <c r="T124" s="194">
        <f>SUM(N124:S124)</f>
        <v>0</v>
      </c>
      <c r="U124" s="194">
        <f>T124+L124</f>
        <v>0</v>
      </c>
      <c r="V124" s="171"/>
      <c r="W124" s="192">
        <f>V124-U124</f>
        <v>0</v>
      </c>
    </row>
    <row r="125" spans="1:24" s="43" customFormat="1" ht="18" hidden="1" customHeight="1">
      <c r="A125" s="610"/>
      <c r="B125" s="581"/>
      <c r="C125" s="583"/>
      <c r="D125" s="178" t="str">
        <f>серпень!D125</f>
        <v>касові нат.п-ки 2025</v>
      </c>
      <c r="E125" s="179"/>
      <c r="F125" s="184"/>
      <c r="G125" s="184"/>
      <c r="H125" s="179"/>
      <c r="I125" s="179"/>
      <c r="J125" s="216"/>
      <c r="K125" s="179"/>
      <c r="L125" s="215">
        <f>SUM(F125:K125)</f>
        <v>0</v>
      </c>
      <c r="M125" s="215">
        <f>L125/6</f>
        <v>0</v>
      </c>
      <c r="N125" s="179"/>
      <c r="O125" s="179"/>
      <c r="P125" s="179"/>
      <c r="Q125" s="179"/>
      <c r="R125" s="179"/>
      <c r="S125" s="179"/>
      <c r="T125" s="215">
        <f>SUM(N125:S125)</f>
        <v>0</v>
      </c>
      <c r="U125" s="215">
        <f>T125+L125</f>
        <v>0</v>
      </c>
      <c r="V125" s="179">
        <f>V120</f>
        <v>0</v>
      </c>
      <c r="W125" s="184">
        <f>V125-U125</f>
        <v>0</v>
      </c>
    </row>
    <row r="126" spans="1:24" s="43" customFormat="1" ht="18" hidden="1" customHeight="1">
      <c r="A126" s="610"/>
      <c r="B126" s="581"/>
      <c r="C126" s="583"/>
      <c r="D126" s="187" t="str">
        <f>серпень!D126</f>
        <v>тариф, грн.</v>
      </c>
      <c r="E126" s="188" t="e">
        <f t="shared" ref="E126" si="184">E127/E125*1000</f>
        <v>#DIV/0!</v>
      </c>
      <c r="F126" s="188"/>
      <c r="G126" s="188"/>
      <c r="H126" s="188"/>
      <c r="I126" s="188"/>
      <c r="J126" s="188"/>
      <c r="K126" s="188"/>
      <c r="L126" s="217" t="e">
        <f>L127/L125*1000</f>
        <v>#DIV/0!</v>
      </c>
      <c r="M126" s="217" t="e">
        <f>M127/M125*1000</f>
        <v>#DIV/0!</v>
      </c>
      <c r="N126" s="188"/>
      <c r="O126" s="188"/>
      <c r="P126" s="188"/>
      <c r="Q126" s="188"/>
      <c r="R126" s="188"/>
      <c r="S126" s="188"/>
      <c r="T126" s="217" t="e">
        <f>T127/T125*1000</f>
        <v>#DIV/0!</v>
      </c>
      <c r="U126" s="217" t="e">
        <f>U127/U125*1000</f>
        <v>#DIV/0!</v>
      </c>
      <c r="V126" s="218" t="e">
        <f>V127/V125*1000</f>
        <v>#DIV/0!</v>
      </c>
      <c r="W126" s="219" t="e">
        <f>W127/W125*1000</f>
        <v>#DIV/0!</v>
      </c>
    </row>
    <row r="127" spans="1:24" s="43" customFormat="1" ht="18" hidden="1" customHeight="1">
      <c r="A127" s="610"/>
      <c r="B127" s="581"/>
      <c r="C127" s="583"/>
      <c r="D127" s="198" t="str">
        <f>серпень!D127</f>
        <v>касові видатки, тис.грн.</v>
      </c>
      <c r="E127" s="220"/>
      <c r="F127" s="199"/>
      <c r="G127" s="199"/>
      <c r="H127" s="199"/>
      <c r="I127" s="199"/>
      <c r="J127" s="199"/>
      <c r="K127" s="199"/>
      <c r="L127" s="199">
        <f>SUM(F127:K127)</f>
        <v>0</v>
      </c>
      <c r="M127" s="199">
        <f>L127/6</f>
        <v>0</v>
      </c>
      <c r="N127" s="199"/>
      <c r="O127" s="199"/>
      <c r="P127" s="199"/>
      <c r="Q127" s="199"/>
      <c r="R127" s="199"/>
      <c r="S127" s="199"/>
      <c r="T127" s="199">
        <f>SUM(N127:S127)</f>
        <v>0</v>
      </c>
      <c r="U127" s="199">
        <f>T127+L127</f>
        <v>0</v>
      </c>
      <c r="V127" s="199">
        <f>V122</f>
        <v>0</v>
      </c>
      <c r="W127" s="221">
        <f>V127-U127</f>
        <v>0</v>
      </c>
    </row>
    <row r="128" spans="1:24" s="43" customFormat="1" ht="18" hidden="1" customHeight="1">
      <c r="A128" s="610"/>
      <c r="B128" s="581"/>
      <c r="C128" s="583"/>
      <c r="D128" s="201" t="str">
        <f>серпень!D128</f>
        <v>дотація</v>
      </c>
      <c r="E128" s="220"/>
      <c r="F128" s="199"/>
      <c r="G128" s="199"/>
      <c r="H128" s="199"/>
      <c r="I128" s="199"/>
      <c r="J128" s="199"/>
      <c r="K128" s="199"/>
      <c r="L128" s="199">
        <f>SUM(F128:K128)</f>
        <v>0</v>
      </c>
      <c r="M128" s="199">
        <f>L128/6</f>
        <v>0</v>
      </c>
      <c r="N128" s="199"/>
      <c r="O128" s="199"/>
      <c r="P128" s="199"/>
      <c r="Q128" s="199"/>
      <c r="R128" s="199"/>
      <c r="S128" s="199"/>
      <c r="T128" s="199">
        <f>SUM(N128:S128)</f>
        <v>0</v>
      </c>
      <c r="U128" s="199">
        <f>T128+L128</f>
        <v>0</v>
      </c>
      <c r="V128" s="199">
        <f>V123</f>
        <v>0</v>
      </c>
      <c r="W128" s="221">
        <f>V128-U128</f>
        <v>0</v>
      </c>
    </row>
    <row r="129" spans="1:24" s="43" customFormat="1" ht="18" hidden="1" customHeight="1">
      <c r="A129" s="610"/>
      <c r="B129" s="581"/>
      <c r="C129" s="583"/>
      <c r="D129" s="201" t="str">
        <f>серпень!D129</f>
        <v xml:space="preserve">місцевий </v>
      </c>
      <c r="E129" s="220"/>
      <c r="F129" s="199"/>
      <c r="G129" s="199"/>
      <c r="H129" s="199"/>
      <c r="I129" s="199"/>
      <c r="J129" s="199"/>
      <c r="K129" s="199"/>
      <c r="L129" s="199">
        <f>SUM(F129:K129)</f>
        <v>0</v>
      </c>
      <c r="M129" s="199">
        <f>L129/6</f>
        <v>0</v>
      </c>
      <c r="N129" s="199"/>
      <c r="O129" s="199"/>
      <c r="P129" s="199"/>
      <c r="Q129" s="199"/>
      <c r="R129" s="199"/>
      <c r="S129" s="199"/>
      <c r="T129" s="199">
        <f>SUM(N129:S129)</f>
        <v>0</v>
      </c>
      <c r="U129" s="199">
        <f>T129+L129</f>
        <v>0</v>
      </c>
      <c r="V129" s="199">
        <f>V124</f>
        <v>0</v>
      </c>
      <c r="W129" s="221">
        <f>V129-U129</f>
        <v>0</v>
      </c>
    </row>
    <row r="130" spans="1:24" s="43" customFormat="1" ht="18" hidden="1" customHeight="1">
      <c r="A130" s="610"/>
      <c r="B130" s="581"/>
      <c r="C130" s="583"/>
      <c r="D130" s="202" t="str">
        <f>серпень!D130</f>
        <v>план</v>
      </c>
      <c r="E130" s="203"/>
      <c r="F130" s="203">
        <f t="shared" ref="F130:K130" si="185">F123+F124</f>
        <v>0</v>
      </c>
      <c r="G130" s="203">
        <f t="shared" si="185"/>
        <v>0</v>
      </c>
      <c r="H130" s="203">
        <f t="shared" si="185"/>
        <v>0</v>
      </c>
      <c r="I130" s="203">
        <f t="shared" si="185"/>
        <v>0</v>
      </c>
      <c r="J130" s="203">
        <f t="shared" si="185"/>
        <v>0</v>
      </c>
      <c r="K130" s="203">
        <f t="shared" si="185"/>
        <v>0</v>
      </c>
      <c r="L130" s="203">
        <f>SUM(F130:K130)</f>
        <v>0</v>
      </c>
      <c r="M130" s="203">
        <f>L130/6</f>
        <v>0</v>
      </c>
      <c r="N130" s="203">
        <f t="shared" ref="N130:S130" si="186">N124+N123</f>
        <v>0</v>
      </c>
      <c r="O130" s="203">
        <f t="shared" si="186"/>
        <v>0</v>
      </c>
      <c r="P130" s="203">
        <f t="shared" si="186"/>
        <v>0</v>
      </c>
      <c r="Q130" s="203">
        <f t="shared" si="186"/>
        <v>0</v>
      </c>
      <c r="R130" s="203">
        <f t="shared" si="186"/>
        <v>0</v>
      </c>
      <c r="S130" s="203">
        <f t="shared" si="186"/>
        <v>0</v>
      </c>
      <c r="T130" s="203">
        <f>SUM(N130:S130)</f>
        <v>0</v>
      </c>
      <c r="U130" s="203">
        <f>T130+L130</f>
        <v>0</v>
      </c>
      <c r="V130" s="203">
        <f>V127</f>
        <v>0</v>
      </c>
      <c r="W130" s="203">
        <f>V130-U130</f>
        <v>0</v>
      </c>
    </row>
    <row r="131" spans="1:24" s="43" customFormat="1" ht="18" hidden="1" customHeight="1">
      <c r="A131" s="610"/>
      <c r="B131" s="581"/>
      <c r="C131" s="583"/>
      <c r="D131" s="202" t="str">
        <f>серпень!D131</f>
        <v xml:space="preserve">відхилення </v>
      </c>
      <c r="E131" s="203"/>
      <c r="F131" s="203">
        <f t="shared" ref="F131:K131" si="187">F127-F130</f>
        <v>0</v>
      </c>
      <c r="G131" s="203">
        <f t="shared" si="187"/>
        <v>0</v>
      </c>
      <c r="H131" s="203">
        <f t="shared" si="187"/>
        <v>0</v>
      </c>
      <c r="I131" s="203">
        <f t="shared" si="187"/>
        <v>0</v>
      </c>
      <c r="J131" s="203">
        <f t="shared" si="187"/>
        <v>0</v>
      </c>
      <c r="K131" s="203">
        <f t="shared" si="187"/>
        <v>0</v>
      </c>
      <c r="L131" s="203"/>
      <c r="M131" s="203"/>
      <c r="N131" s="203">
        <f t="shared" ref="N131:S131" si="188">N127-N130</f>
        <v>0</v>
      </c>
      <c r="O131" s="203">
        <f t="shared" si="188"/>
        <v>0</v>
      </c>
      <c r="P131" s="203">
        <f t="shared" si="188"/>
        <v>0</v>
      </c>
      <c r="Q131" s="203">
        <f t="shared" si="188"/>
        <v>0</v>
      </c>
      <c r="R131" s="203">
        <f t="shared" si="188"/>
        <v>0</v>
      </c>
      <c r="S131" s="203">
        <f t="shared" si="188"/>
        <v>0</v>
      </c>
      <c r="T131" s="203"/>
      <c r="U131" s="203"/>
      <c r="V131" s="203"/>
      <c r="W131" s="203"/>
    </row>
    <row r="132" spans="1:24" s="43" customFormat="1" ht="27.1" hidden="1" customHeight="1">
      <c r="A132" s="610"/>
      <c r="B132" s="581"/>
      <c r="C132" s="584"/>
      <c r="D132" s="202" t="str">
        <f>серпень!D132</f>
        <v>відхилення з наростаючим</v>
      </c>
      <c r="E132" s="203"/>
      <c r="F132" s="203">
        <f>F131</f>
        <v>0</v>
      </c>
      <c r="G132" s="203">
        <f>G131+F132</f>
        <v>0</v>
      </c>
      <c r="H132" s="203">
        <f>H131+G132</f>
        <v>0</v>
      </c>
      <c r="I132" s="203">
        <f>I131+H132</f>
        <v>0</v>
      </c>
      <c r="J132" s="203">
        <f>J131+I132</f>
        <v>0</v>
      </c>
      <c r="K132" s="203">
        <f>K131+J132</f>
        <v>0</v>
      </c>
      <c r="L132" s="203"/>
      <c r="M132" s="203"/>
      <c r="N132" s="203">
        <f>N131+K132</f>
        <v>0</v>
      </c>
      <c r="O132" s="203">
        <f>O131+N132</f>
        <v>0</v>
      </c>
      <c r="P132" s="203">
        <f>P131+O132</f>
        <v>0</v>
      </c>
      <c r="Q132" s="203">
        <f>Q131+P132</f>
        <v>0</v>
      </c>
      <c r="R132" s="203">
        <f>R131+Q132</f>
        <v>0</v>
      </c>
      <c r="S132" s="203">
        <f>S131+R132</f>
        <v>0</v>
      </c>
      <c r="T132" s="203"/>
      <c r="U132" s="203"/>
      <c r="V132" s="203"/>
      <c r="W132" s="203"/>
    </row>
    <row r="133" spans="1:24" s="47" customFormat="1" ht="18" customHeight="1">
      <c r="A133" s="610"/>
      <c r="B133" s="581"/>
      <c r="C133" s="582" t="s">
        <v>99</v>
      </c>
      <c r="D133" s="178" t="str">
        <f>серпень!D133</f>
        <v>факт. нат.п-ки 2023</v>
      </c>
      <c r="E133" s="11"/>
      <c r="F133" s="12">
        <v>67.900000000000006</v>
      </c>
      <c r="G133" s="12">
        <v>49.4</v>
      </c>
      <c r="H133" s="12">
        <v>34.700000000000003</v>
      </c>
      <c r="I133" s="12">
        <v>0</v>
      </c>
      <c r="J133" s="12">
        <v>0</v>
      </c>
      <c r="K133" s="12">
        <v>0</v>
      </c>
      <c r="L133" s="65">
        <f>SUM(F133:K133)</f>
        <v>152</v>
      </c>
      <c r="M133" s="65">
        <f>L133/6</f>
        <v>25.3</v>
      </c>
      <c r="N133" s="11">
        <v>0</v>
      </c>
      <c r="O133" s="11">
        <v>0</v>
      </c>
      <c r="P133" s="11">
        <v>0</v>
      </c>
      <c r="Q133" s="11">
        <v>0</v>
      </c>
      <c r="R133" s="11">
        <v>24.1</v>
      </c>
      <c r="S133" s="11">
        <v>40.299999999999997</v>
      </c>
      <c r="T133" s="65">
        <f>SUM(N133:S133)</f>
        <v>64.400000000000006</v>
      </c>
      <c r="U133" s="65">
        <f>T133+L133</f>
        <v>216.4</v>
      </c>
      <c r="V133" s="46"/>
      <c r="W133" s="38"/>
    </row>
    <row r="134" spans="1:24" s="47" customFormat="1" ht="18" customHeight="1">
      <c r="A134" s="610"/>
      <c r="B134" s="581"/>
      <c r="C134" s="583"/>
      <c r="D134" s="178" t="str">
        <f>серпень!D134</f>
        <v>факт. нат.п-ки 2024</v>
      </c>
      <c r="E134" s="11"/>
      <c r="F134" s="12">
        <v>59.9</v>
      </c>
      <c r="G134" s="12">
        <v>41.2</v>
      </c>
      <c r="H134" s="12">
        <v>36</v>
      </c>
      <c r="I134" s="12">
        <v>0</v>
      </c>
      <c r="J134" s="12">
        <v>0</v>
      </c>
      <c r="K134" s="12">
        <v>0</v>
      </c>
      <c r="L134" s="65">
        <f>SUM(F134:K134)</f>
        <v>137.1</v>
      </c>
      <c r="M134" s="65">
        <f>L134/6</f>
        <v>22.9</v>
      </c>
      <c r="N134" s="11">
        <v>0</v>
      </c>
      <c r="O134" s="11">
        <v>0</v>
      </c>
      <c r="P134" s="11">
        <v>0</v>
      </c>
      <c r="Q134" s="11">
        <v>0</v>
      </c>
      <c r="R134" s="11">
        <v>24.1</v>
      </c>
      <c r="S134" s="11">
        <v>35.9</v>
      </c>
      <c r="T134" s="65">
        <f>SUM(N134:S134)</f>
        <v>60</v>
      </c>
      <c r="U134" s="65">
        <f>T134+L134</f>
        <v>197.1</v>
      </c>
      <c r="V134" s="11">
        <v>212</v>
      </c>
      <c r="W134" s="38"/>
    </row>
    <row r="135" spans="1:24" s="47" customFormat="1" ht="18" customHeight="1">
      <c r="A135" s="610"/>
      <c r="B135" s="581"/>
      <c r="C135" s="583"/>
      <c r="D135" s="178" t="str">
        <f>серпень!D135</f>
        <v>факт. нат.п-ки 2025</v>
      </c>
      <c r="E135" s="11"/>
      <c r="F135" s="12">
        <v>41.9</v>
      </c>
      <c r="G135" s="12">
        <v>59.6</v>
      </c>
      <c r="H135" s="12">
        <v>31.6</v>
      </c>
      <c r="I135" s="12">
        <v>0</v>
      </c>
      <c r="J135" s="12">
        <v>0</v>
      </c>
      <c r="K135" s="12">
        <v>0</v>
      </c>
      <c r="L135" s="65">
        <f>SUM(F135:K135)</f>
        <v>133.1</v>
      </c>
      <c r="M135" s="65">
        <f>L135/6</f>
        <v>22.2</v>
      </c>
      <c r="N135" s="11">
        <v>0</v>
      </c>
      <c r="O135" s="11">
        <v>0</v>
      </c>
      <c r="P135" s="11">
        <v>0</v>
      </c>
      <c r="Q135" s="11">
        <v>0</v>
      </c>
      <c r="R135" s="11">
        <v>24.1</v>
      </c>
      <c r="S135" s="11">
        <v>45.6</v>
      </c>
      <c r="T135" s="65">
        <f>SUM(N135:S135)</f>
        <v>69.7</v>
      </c>
      <c r="U135" s="65">
        <f>T135+L135</f>
        <v>202.8</v>
      </c>
      <c r="V135" s="11">
        <v>206.8</v>
      </c>
      <c r="W135" s="38">
        <f>V135-U135</f>
        <v>4</v>
      </c>
    </row>
    <row r="136" spans="1:24" s="47" customFormat="1" ht="18" customHeight="1">
      <c r="A136" s="610"/>
      <c r="B136" s="581"/>
      <c r="C136" s="583"/>
      <c r="D136" s="187" t="str">
        <f>серпень!D136</f>
        <v>тариф, грн.</v>
      </c>
      <c r="E136" s="49" t="e">
        <f>E137/E135*1000</f>
        <v>#DIV/0!</v>
      </c>
      <c r="F136" s="49">
        <f t="shared" ref="F136:I136" si="189">F137/F135*1000</f>
        <v>1654.01</v>
      </c>
      <c r="G136" s="49">
        <f t="shared" si="189"/>
        <v>1654.4970000000001</v>
      </c>
      <c r="H136" s="49">
        <f t="shared" si="189"/>
        <v>1654.2090000000001</v>
      </c>
      <c r="I136" s="49" t="e">
        <f t="shared" si="189"/>
        <v>#DIV/0!</v>
      </c>
      <c r="J136" s="49" t="e">
        <f t="shared" ref="J136" si="190">J137/J135*1000</f>
        <v>#DIV/0!</v>
      </c>
      <c r="K136" s="49" t="e">
        <f t="shared" ref="K136" si="191">K137/K135*1000</f>
        <v>#DIV/0!</v>
      </c>
      <c r="L136" s="49">
        <f t="shared" ref="L136" si="192">L137/L135*1000</f>
        <v>1654.2750000000001</v>
      </c>
      <c r="M136" s="121">
        <f>M137/M135*1000</f>
        <v>1653.02</v>
      </c>
      <c r="N136" s="121">
        <v>1655.08</v>
      </c>
      <c r="O136" s="121">
        <v>1655.08</v>
      </c>
      <c r="P136" s="121">
        <v>1655.08</v>
      </c>
      <c r="Q136" s="49">
        <v>1655.08</v>
      </c>
      <c r="R136" s="49">
        <v>1655.08</v>
      </c>
      <c r="S136" s="49">
        <v>1655.08</v>
      </c>
      <c r="T136" s="121">
        <f>T137/T135*1000</f>
        <v>1655.09</v>
      </c>
      <c r="U136" s="121">
        <f>U137/U135*1000</f>
        <v>1654.56</v>
      </c>
      <c r="V136" s="68">
        <f>V137/V135*1000</f>
        <v>1995.145</v>
      </c>
      <c r="W136" s="14">
        <f>W137/W135*1000</f>
        <v>19263</v>
      </c>
    </row>
    <row r="137" spans="1:24" s="47" customFormat="1" ht="18" customHeight="1">
      <c r="A137" s="610"/>
      <c r="B137" s="581"/>
      <c r="C137" s="583"/>
      <c r="D137" s="191" t="str">
        <f>серпень!D137</f>
        <v>сума, тис.грн.</v>
      </c>
      <c r="E137" s="52"/>
      <c r="F137" s="52">
        <v>69.302999999999997</v>
      </c>
      <c r="G137" s="52">
        <v>98.608000000000004</v>
      </c>
      <c r="H137" s="52">
        <v>52.273000000000003</v>
      </c>
      <c r="I137" s="52">
        <v>0</v>
      </c>
      <c r="J137" s="52">
        <v>0</v>
      </c>
      <c r="K137" s="52">
        <v>0</v>
      </c>
      <c r="L137" s="69">
        <f>SUM(F137:K137)</f>
        <v>220.184</v>
      </c>
      <c r="M137" s="69">
        <f>L137/6</f>
        <v>36.697000000000003</v>
      </c>
      <c r="N137" s="52">
        <f>N135*N136/1000</f>
        <v>0</v>
      </c>
      <c r="O137" s="52">
        <f t="shared" ref="O137" si="193">O135*O136/1000</f>
        <v>0</v>
      </c>
      <c r="P137" s="52">
        <f t="shared" ref="P137" si="194">P135*P136/1000</f>
        <v>0</v>
      </c>
      <c r="Q137" s="52">
        <f t="shared" ref="Q137" si="195">Q135*Q136/1000</f>
        <v>0</v>
      </c>
      <c r="R137" s="52">
        <f t="shared" ref="R137" si="196">R135*R136/1000</f>
        <v>39.887</v>
      </c>
      <c r="S137" s="52">
        <f>S135*S136/1000+0.001</f>
        <v>75.472999999999999</v>
      </c>
      <c r="T137" s="69">
        <f>SUM(N137:S137)</f>
        <v>115.36</v>
      </c>
      <c r="U137" s="69">
        <f>T137+L137</f>
        <v>335.54399999999998</v>
      </c>
      <c r="V137" s="70">
        <f>V138+V139</f>
        <v>412.596</v>
      </c>
      <c r="W137" s="53">
        <f>V137-U137</f>
        <v>77.052000000000007</v>
      </c>
    </row>
    <row r="138" spans="1:24" s="47" customFormat="1" ht="18" customHeight="1">
      <c r="A138" s="610"/>
      <c r="B138" s="581"/>
      <c r="C138" s="583"/>
      <c r="D138" s="174" t="str">
        <f>серпень!D138</f>
        <v>дотація</v>
      </c>
      <c r="E138" s="56"/>
      <c r="F138" s="52"/>
      <c r="G138" s="52"/>
      <c r="H138" s="52">
        <v>70.325000000000003</v>
      </c>
      <c r="I138" s="52"/>
      <c r="J138" s="52"/>
      <c r="K138" s="52"/>
      <c r="L138" s="69">
        <f>SUM(F138:K138)</f>
        <v>70.325000000000003</v>
      </c>
      <c r="M138" s="69">
        <f>L138/6</f>
        <v>11.721</v>
      </c>
      <c r="N138" s="52"/>
      <c r="O138" s="52"/>
      <c r="P138" s="52"/>
      <c r="Q138" s="52"/>
      <c r="R138" s="52"/>
      <c r="S138" s="52"/>
      <c r="T138" s="69">
        <f>SUM(N138:S138)</f>
        <v>0</v>
      </c>
      <c r="U138" s="69">
        <f>T138+L138</f>
        <v>70.325000000000003</v>
      </c>
      <c r="V138" s="70">
        <f>42.707+27.618</f>
        <v>70.325000000000003</v>
      </c>
      <c r="W138" s="53">
        <f>V138-U138</f>
        <v>0</v>
      </c>
    </row>
    <row r="139" spans="1:24" s="47" customFormat="1" ht="18" customHeight="1">
      <c r="A139" s="610"/>
      <c r="B139" s="581"/>
      <c r="C139" s="583"/>
      <c r="D139" s="174" t="str">
        <f>серпень!D139</f>
        <v>місцевий (план), тис.грн</v>
      </c>
      <c r="E139" s="56"/>
      <c r="F139" s="52">
        <f>33.598-33.598</f>
        <v>0</v>
      </c>
      <c r="G139" s="52">
        <v>99.138999999999996</v>
      </c>
      <c r="H139" s="52">
        <v>68.188999999999993</v>
      </c>
      <c r="I139" s="52">
        <v>59.582999999999998</v>
      </c>
      <c r="J139" s="52">
        <v>0</v>
      </c>
      <c r="K139" s="52">
        <v>0</v>
      </c>
      <c r="L139" s="69">
        <f>SUM(F139:K139)</f>
        <v>226.911</v>
      </c>
      <c r="M139" s="69">
        <f>L139/6</f>
        <v>37.819000000000003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115.36</v>
      </c>
      <c r="T139" s="69">
        <f>SUM(N139:S139)</f>
        <v>115.36</v>
      </c>
      <c r="U139" s="69">
        <f>T139+L139</f>
        <v>342.27100000000002</v>
      </c>
      <c r="V139" s="70">
        <v>342.27100000000002</v>
      </c>
      <c r="W139" s="53">
        <f>V139-U139</f>
        <v>0</v>
      </c>
    </row>
    <row r="140" spans="1:24" s="47" customFormat="1" ht="18" customHeight="1">
      <c r="A140" s="610"/>
      <c r="B140" s="581"/>
      <c r="C140" s="583"/>
      <c r="D140" s="178" t="str">
        <f>серпень!D140</f>
        <v>касові нат.п-ки 2025</v>
      </c>
      <c r="E140" s="11"/>
      <c r="F140" s="11">
        <v>0</v>
      </c>
      <c r="G140" s="11">
        <v>41.9</v>
      </c>
      <c r="H140" s="11">
        <v>59.6</v>
      </c>
      <c r="I140" s="11">
        <v>31.6</v>
      </c>
      <c r="J140" s="12"/>
      <c r="K140" s="11"/>
      <c r="L140" s="65">
        <f>SUM(F140:K140)</f>
        <v>133.1</v>
      </c>
      <c r="M140" s="65">
        <f>L140/6</f>
        <v>22.2</v>
      </c>
      <c r="N140" s="11"/>
      <c r="O140" s="11"/>
      <c r="P140" s="11"/>
      <c r="Q140" s="11"/>
      <c r="R140" s="11"/>
      <c r="S140" s="11">
        <f>R135+S135</f>
        <v>69.7</v>
      </c>
      <c r="T140" s="65">
        <f>SUM(N140:S140)</f>
        <v>69.7</v>
      </c>
      <c r="U140" s="65">
        <f>T140+L140</f>
        <v>202.8</v>
      </c>
      <c r="V140" s="11">
        <f>V135</f>
        <v>206.8</v>
      </c>
      <c r="W140" s="38">
        <f>V140-U140</f>
        <v>4</v>
      </c>
      <c r="X140" s="47">
        <v>0</v>
      </c>
    </row>
    <row r="141" spans="1:24" s="47" customFormat="1" ht="18" customHeight="1">
      <c r="A141" s="610"/>
      <c r="B141" s="581"/>
      <c r="C141" s="583"/>
      <c r="D141" s="187" t="str">
        <f>серпень!D141</f>
        <v>тариф, грн.</v>
      </c>
      <c r="E141" s="49" t="e">
        <f>E142/E140*1000</f>
        <v>#DIV/0!</v>
      </c>
      <c r="F141" s="49" t="e">
        <f t="shared" ref="F141:K141" si="197">F142/F140*1000</f>
        <v>#DIV/0!</v>
      </c>
      <c r="G141" s="49">
        <f t="shared" si="197"/>
        <v>1654.01</v>
      </c>
      <c r="H141" s="49">
        <f t="shared" si="197"/>
        <v>1654.4970000000001</v>
      </c>
      <c r="I141" s="49">
        <f t="shared" si="197"/>
        <v>1654.2090000000001</v>
      </c>
      <c r="J141" s="49" t="e">
        <f t="shared" si="197"/>
        <v>#DIV/0!</v>
      </c>
      <c r="K141" s="49" t="e">
        <f t="shared" si="197"/>
        <v>#DIV/0!</v>
      </c>
      <c r="L141" s="49">
        <f t="shared" ref="L141" si="198">L142/L140*1000</f>
        <v>1654.2750000000001</v>
      </c>
      <c r="M141" s="121">
        <f>M142/M140*1000</f>
        <v>1653.02</v>
      </c>
      <c r="N141" s="121">
        <v>1655.08</v>
      </c>
      <c r="O141" s="121">
        <v>1655.08</v>
      </c>
      <c r="P141" s="121">
        <v>1655.08</v>
      </c>
      <c r="Q141" s="49">
        <v>1655.08</v>
      </c>
      <c r="R141" s="49">
        <v>1655.08</v>
      </c>
      <c r="S141" s="49">
        <v>1655.08</v>
      </c>
      <c r="T141" s="121">
        <f>T142/T140*1000</f>
        <v>1655.09</v>
      </c>
      <c r="U141" s="121">
        <f>U142/U140*1000</f>
        <v>1654.56</v>
      </c>
      <c r="V141" s="68">
        <f>V142/V140*1000</f>
        <v>1995.145</v>
      </c>
      <c r="W141" s="14">
        <f>W142/W140*1000</f>
        <v>19263</v>
      </c>
    </row>
    <row r="142" spans="1:24" s="63" customFormat="1" ht="18" customHeight="1">
      <c r="A142" s="610"/>
      <c r="B142" s="581"/>
      <c r="C142" s="583"/>
      <c r="D142" s="198" t="str">
        <f>серпень!D142</f>
        <v>касові видатки, тис.грн.</v>
      </c>
      <c r="E142" s="71"/>
      <c r="F142" s="61">
        <v>0</v>
      </c>
      <c r="G142" s="61">
        <v>69.302999999999997</v>
      </c>
      <c r="H142" s="61">
        <v>98.608000000000004</v>
      </c>
      <c r="I142" s="61">
        <v>52.273000000000003</v>
      </c>
      <c r="J142" s="61">
        <v>0</v>
      </c>
      <c r="K142" s="61">
        <v>0</v>
      </c>
      <c r="L142" s="61">
        <f>SUM(F142:K142)</f>
        <v>220.184</v>
      </c>
      <c r="M142" s="61">
        <f>L142/6</f>
        <v>36.697000000000003</v>
      </c>
      <c r="N142" s="61">
        <f>N140*N141/1000</f>
        <v>0</v>
      </c>
      <c r="O142" s="61">
        <f t="shared" ref="O142" si="199">O140*O141/1000</f>
        <v>0</v>
      </c>
      <c r="P142" s="61">
        <f t="shared" ref="P142" si="200">P140*P141/1000</f>
        <v>0</v>
      </c>
      <c r="Q142" s="61">
        <f t="shared" ref="Q142" si="201">Q140*Q141/1000</f>
        <v>0</v>
      </c>
      <c r="R142" s="61">
        <f t="shared" ref="R142" si="202">R140*R141/1000</f>
        <v>0</v>
      </c>
      <c r="S142" s="61">
        <f>S140*S141/1000+0.001</f>
        <v>115.36</v>
      </c>
      <c r="T142" s="61">
        <f>SUM(N142:S142)</f>
        <v>115.36</v>
      </c>
      <c r="U142" s="61">
        <f>T142+L142</f>
        <v>335.54399999999998</v>
      </c>
      <c r="V142" s="61">
        <f>V137</f>
        <v>412.596</v>
      </c>
      <c r="W142" s="72">
        <f>V142-U142</f>
        <v>77.052000000000007</v>
      </c>
      <c r="X142" s="63">
        <f>U137-U142</f>
        <v>0</v>
      </c>
    </row>
    <row r="143" spans="1:24" s="63" customFormat="1" ht="18" customHeight="1">
      <c r="A143" s="610"/>
      <c r="B143" s="581"/>
      <c r="C143" s="583"/>
      <c r="D143" s="201" t="str">
        <f>серпень!D143</f>
        <v>дотація</v>
      </c>
      <c r="E143" s="71"/>
      <c r="F143" s="61">
        <v>0</v>
      </c>
      <c r="G143" s="61">
        <v>0</v>
      </c>
      <c r="H143" s="61">
        <v>70.325000000000003</v>
      </c>
      <c r="I143" s="61"/>
      <c r="J143" s="61">
        <v>0</v>
      </c>
      <c r="K143" s="61">
        <v>0</v>
      </c>
      <c r="L143" s="61">
        <f>SUM(F143:K143)</f>
        <v>70.325000000000003</v>
      </c>
      <c r="M143" s="61">
        <f>L143/6</f>
        <v>11.721</v>
      </c>
      <c r="N143" s="61">
        <v>0</v>
      </c>
      <c r="O143" s="61">
        <v>0</v>
      </c>
      <c r="P143" s="61">
        <v>0</v>
      </c>
      <c r="Q143" s="61">
        <v>0</v>
      </c>
      <c r="R143" s="61">
        <v>0</v>
      </c>
      <c r="S143" s="61">
        <v>0</v>
      </c>
      <c r="T143" s="61">
        <f>SUM(N143:S143)</f>
        <v>0</v>
      </c>
      <c r="U143" s="61">
        <f>T143+L143</f>
        <v>70.325000000000003</v>
      </c>
      <c r="V143" s="61">
        <f>V138</f>
        <v>70.325000000000003</v>
      </c>
      <c r="W143" s="72">
        <f>V143-U143</f>
        <v>0</v>
      </c>
      <c r="X143" s="63">
        <f>U138-U143</f>
        <v>0</v>
      </c>
    </row>
    <row r="144" spans="1:24" s="63" customFormat="1" ht="18" customHeight="1">
      <c r="A144" s="610"/>
      <c r="B144" s="581"/>
      <c r="C144" s="583"/>
      <c r="D144" s="201" t="str">
        <f>серпень!D144</f>
        <v xml:space="preserve">місцевий </v>
      </c>
      <c r="E144" s="71"/>
      <c r="F144" s="61">
        <f t="shared" ref="F144:K144" si="203">F142-F143</f>
        <v>0</v>
      </c>
      <c r="G144" s="61">
        <f t="shared" si="203"/>
        <v>69.302999999999997</v>
      </c>
      <c r="H144" s="61">
        <f t="shared" si="203"/>
        <v>28.283000000000001</v>
      </c>
      <c r="I144" s="61">
        <f t="shared" si="203"/>
        <v>52.273000000000003</v>
      </c>
      <c r="J144" s="61">
        <f t="shared" si="203"/>
        <v>0</v>
      </c>
      <c r="K144" s="61">
        <f t="shared" si="203"/>
        <v>0</v>
      </c>
      <c r="L144" s="61">
        <f>SUM(F144:K144)</f>
        <v>149.85900000000001</v>
      </c>
      <c r="M144" s="61">
        <f>L144/6</f>
        <v>24.977</v>
      </c>
      <c r="N144" s="61">
        <f t="shared" ref="N144:S144" si="204">N142-N143</f>
        <v>0</v>
      </c>
      <c r="O144" s="61">
        <f t="shared" si="204"/>
        <v>0</v>
      </c>
      <c r="P144" s="61">
        <f t="shared" si="204"/>
        <v>0</v>
      </c>
      <c r="Q144" s="61">
        <f t="shared" si="204"/>
        <v>0</v>
      </c>
      <c r="R144" s="61">
        <f t="shared" si="204"/>
        <v>0</v>
      </c>
      <c r="S144" s="61">
        <f t="shared" si="204"/>
        <v>115.36</v>
      </c>
      <c r="T144" s="61">
        <f>SUM(N144:S144)</f>
        <v>115.36</v>
      </c>
      <c r="U144" s="61">
        <f>T144+L144</f>
        <v>265.21899999999999</v>
      </c>
      <c r="V144" s="61">
        <f>V139</f>
        <v>342.27100000000002</v>
      </c>
      <c r="W144" s="72">
        <f>V144-U144</f>
        <v>77.052000000000007</v>
      </c>
      <c r="X144" s="63">
        <f>U139-U144</f>
        <v>77.052000000000007</v>
      </c>
    </row>
    <row r="145" spans="1:24" s="43" customFormat="1" ht="18" customHeight="1">
      <c r="A145" s="610"/>
      <c r="B145" s="581"/>
      <c r="C145" s="583"/>
      <c r="D145" s="202" t="str">
        <f>серпень!D145</f>
        <v>план</v>
      </c>
      <c r="E145" s="42"/>
      <c r="F145" s="42">
        <f>F139+F138</f>
        <v>0</v>
      </c>
      <c r="G145" s="42">
        <f t="shared" ref="G145:K145" si="205">G139+G138</f>
        <v>99.138999999999996</v>
      </c>
      <c r="H145" s="42">
        <f t="shared" si="205"/>
        <v>138.51400000000001</v>
      </c>
      <c r="I145" s="42">
        <f t="shared" si="205"/>
        <v>59.582999999999998</v>
      </c>
      <c r="J145" s="42">
        <f t="shared" si="205"/>
        <v>0</v>
      </c>
      <c r="K145" s="42">
        <f t="shared" si="205"/>
        <v>0</v>
      </c>
      <c r="L145" s="42">
        <f>SUM(F145:K145)</f>
        <v>297.23599999999999</v>
      </c>
      <c r="M145" s="42">
        <f>L145/6</f>
        <v>49.539000000000001</v>
      </c>
      <c r="N145" s="42">
        <f>N139+N138</f>
        <v>0</v>
      </c>
      <c r="O145" s="42">
        <f t="shared" ref="O145:S145" si="206">O139+O138</f>
        <v>0</v>
      </c>
      <c r="P145" s="42">
        <f t="shared" si="206"/>
        <v>0</v>
      </c>
      <c r="Q145" s="42">
        <f t="shared" si="206"/>
        <v>0</v>
      </c>
      <c r="R145" s="42">
        <f t="shared" si="206"/>
        <v>0</v>
      </c>
      <c r="S145" s="42">
        <f t="shared" si="206"/>
        <v>115.36</v>
      </c>
      <c r="T145" s="42">
        <f>SUM(N145:S145)</f>
        <v>115.36</v>
      </c>
      <c r="U145" s="42">
        <f>T145+L145</f>
        <v>412.596</v>
      </c>
      <c r="V145" s="42">
        <f>V142</f>
        <v>412.596</v>
      </c>
      <c r="W145" s="42">
        <f>V145-U145</f>
        <v>0</v>
      </c>
    </row>
    <row r="146" spans="1:24" s="43" customFormat="1" ht="18" customHeight="1">
      <c r="A146" s="610"/>
      <c r="B146" s="581"/>
      <c r="C146" s="583"/>
      <c r="D146" s="202" t="str">
        <f>серпень!D146</f>
        <v xml:space="preserve">відхилення </v>
      </c>
      <c r="E146" s="42"/>
      <c r="F146" s="42">
        <f t="shared" ref="F146:K146" si="207">F142-F145</f>
        <v>0</v>
      </c>
      <c r="G146" s="42">
        <f t="shared" si="207"/>
        <v>-29.835999999999999</v>
      </c>
      <c r="H146" s="42">
        <f t="shared" si="207"/>
        <v>-39.905999999999999</v>
      </c>
      <c r="I146" s="42">
        <f t="shared" si="207"/>
        <v>-7.31</v>
      </c>
      <c r="J146" s="42">
        <f t="shared" si="207"/>
        <v>0</v>
      </c>
      <c r="K146" s="42">
        <f t="shared" si="207"/>
        <v>0</v>
      </c>
      <c r="L146" s="42"/>
      <c r="M146" s="42"/>
      <c r="N146" s="42">
        <f t="shared" ref="N146:S146" si="208">N142-N145</f>
        <v>0</v>
      </c>
      <c r="O146" s="42">
        <f t="shared" si="208"/>
        <v>0</v>
      </c>
      <c r="P146" s="42">
        <f t="shared" si="208"/>
        <v>0</v>
      </c>
      <c r="Q146" s="42">
        <f t="shared" si="208"/>
        <v>0</v>
      </c>
      <c r="R146" s="42">
        <f t="shared" si="208"/>
        <v>0</v>
      </c>
      <c r="S146" s="42">
        <f t="shared" si="208"/>
        <v>0</v>
      </c>
      <c r="T146" s="42"/>
      <c r="U146" s="42"/>
      <c r="V146" s="42"/>
      <c r="W146" s="42"/>
    </row>
    <row r="147" spans="1:24" s="43" customFormat="1" ht="18" customHeight="1">
      <c r="A147" s="610"/>
      <c r="B147" s="581"/>
      <c r="C147" s="584"/>
      <c r="D147" s="202" t="str">
        <f>серпень!D147</f>
        <v>відхилення з наростаючим</v>
      </c>
      <c r="E147" s="42"/>
      <c r="F147" s="42">
        <f>F146</f>
        <v>0</v>
      </c>
      <c r="G147" s="42">
        <f>G146+F147</f>
        <v>-29.835999999999999</v>
      </c>
      <c r="H147" s="42">
        <f>H146+G147</f>
        <v>-69.742000000000004</v>
      </c>
      <c r="I147" s="42">
        <f>I146+H147</f>
        <v>-77.052000000000007</v>
      </c>
      <c r="J147" s="42">
        <f>J146+I147</f>
        <v>-77.052000000000007</v>
      </c>
      <c r="K147" s="42">
        <f>K146+J147</f>
        <v>-77.052000000000007</v>
      </c>
      <c r="L147" s="42"/>
      <c r="M147" s="42"/>
      <c r="N147" s="42">
        <f>N146+K147</f>
        <v>-77.052000000000007</v>
      </c>
      <c r="O147" s="42">
        <f>O146+N147</f>
        <v>-77.052000000000007</v>
      </c>
      <c r="P147" s="42">
        <f>P146+O147</f>
        <v>-77.052000000000007</v>
      </c>
      <c r="Q147" s="42">
        <f>Q146+P147</f>
        <v>-77.052000000000007</v>
      </c>
      <c r="R147" s="42">
        <f>R146+Q147</f>
        <v>-77.052000000000007</v>
      </c>
      <c r="S147" s="42">
        <f>S146+R147</f>
        <v>-77.052000000000007</v>
      </c>
      <c r="T147" s="42"/>
      <c r="U147" s="42"/>
      <c r="V147" s="42"/>
      <c r="W147" s="42"/>
    </row>
    <row r="148" spans="1:24" s="43" customFormat="1" ht="18" hidden="1" customHeight="1">
      <c r="A148" s="610"/>
      <c r="B148" s="581"/>
      <c r="C148" s="582" t="s">
        <v>96</v>
      </c>
      <c r="D148" s="178" t="str">
        <f>серпень!D148</f>
        <v>факт. нат.п-ки 2023</v>
      </c>
      <c r="E148" s="179"/>
      <c r="F148" s="184"/>
      <c r="G148" s="184"/>
      <c r="H148" s="179"/>
      <c r="I148" s="179"/>
      <c r="J148" s="179"/>
      <c r="K148" s="179"/>
      <c r="L148" s="215">
        <f>SUM(F148:K148)</f>
        <v>0</v>
      </c>
      <c r="M148" s="215">
        <f>L148/6</f>
        <v>0</v>
      </c>
      <c r="N148" s="179"/>
      <c r="O148" s="179"/>
      <c r="P148" s="179"/>
      <c r="Q148" s="179"/>
      <c r="R148" s="179"/>
      <c r="S148" s="179"/>
      <c r="T148" s="215">
        <f>SUM(N148:S148)</f>
        <v>0</v>
      </c>
      <c r="U148" s="215">
        <f>T148+L148</f>
        <v>0</v>
      </c>
      <c r="V148" s="179"/>
      <c r="W148" s="184"/>
    </row>
    <row r="149" spans="1:24" s="43" customFormat="1" ht="18" hidden="1" customHeight="1">
      <c r="A149" s="610"/>
      <c r="B149" s="581"/>
      <c r="C149" s="583"/>
      <c r="D149" s="178" t="str">
        <f>серпень!D149</f>
        <v>факт. нат.п-ки 2024</v>
      </c>
      <c r="E149" s="179"/>
      <c r="F149" s="184"/>
      <c r="G149" s="184"/>
      <c r="H149" s="179"/>
      <c r="I149" s="179"/>
      <c r="J149" s="179"/>
      <c r="K149" s="179"/>
      <c r="L149" s="215">
        <f>SUM(F149:K149)</f>
        <v>0</v>
      </c>
      <c r="M149" s="215">
        <f>L149/6</f>
        <v>0</v>
      </c>
      <c r="N149" s="179"/>
      <c r="O149" s="179"/>
      <c r="P149" s="179"/>
      <c r="Q149" s="179"/>
      <c r="R149" s="179"/>
      <c r="S149" s="179"/>
      <c r="T149" s="215">
        <f>SUM(N149:S149)</f>
        <v>0</v>
      </c>
      <c r="U149" s="215">
        <f>T149+L149</f>
        <v>0</v>
      </c>
      <c r="V149" s="179"/>
      <c r="W149" s="184"/>
    </row>
    <row r="150" spans="1:24" s="205" customFormat="1" ht="23.5" hidden="1" customHeight="1">
      <c r="A150" s="610"/>
      <c r="B150" s="581"/>
      <c r="C150" s="583"/>
      <c r="D150" s="178" t="str">
        <f>серпень!D150</f>
        <v>факт. нат.п-ки 2025</v>
      </c>
      <c r="E150" s="179"/>
      <c r="F150" s="184"/>
      <c r="G150" s="184"/>
      <c r="H150" s="179"/>
      <c r="I150" s="216"/>
      <c r="J150" s="179"/>
      <c r="K150" s="179"/>
      <c r="L150" s="215">
        <f>SUM(F150:K150)</f>
        <v>0</v>
      </c>
      <c r="M150" s="215">
        <f>L150/6</f>
        <v>0</v>
      </c>
      <c r="N150" s="179"/>
      <c r="O150" s="179"/>
      <c r="P150" s="179"/>
      <c r="Q150" s="179"/>
      <c r="R150" s="179"/>
      <c r="S150" s="179"/>
      <c r="T150" s="215">
        <f>SUM(N150:S150)</f>
        <v>0</v>
      </c>
      <c r="U150" s="215">
        <f>T150+L150</f>
        <v>0</v>
      </c>
      <c r="V150" s="179"/>
      <c r="W150" s="184">
        <f>U150-V150</f>
        <v>0</v>
      </c>
    </row>
    <row r="151" spans="1:24" s="205" customFormat="1" ht="23.5" hidden="1" customHeight="1">
      <c r="A151" s="610"/>
      <c r="B151" s="581"/>
      <c r="C151" s="583"/>
      <c r="D151" s="187" t="str">
        <f>серпень!D151</f>
        <v>тариф, грн.</v>
      </c>
      <c r="E151" s="188"/>
      <c r="F151" s="188"/>
      <c r="G151" s="188"/>
      <c r="H151" s="188"/>
      <c r="I151" s="188"/>
      <c r="J151" s="188"/>
      <c r="K151" s="188"/>
      <c r="L151" s="217" t="e">
        <f>L152/L150*1000</f>
        <v>#DIV/0!</v>
      </c>
      <c r="M151" s="217" t="e">
        <f>M152/M150*1000</f>
        <v>#DIV/0!</v>
      </c>
      <c r="N151" s="188"/>
      <c r="O151" s="188"/>
      <c r="P151" s="188"/>
      <c r="Q151" s="218"/>
      <c r="R151" s="218"/>
      <c r="S151" s="218"/>
      <c r="T151" s="217" t="e">
        <f>T152/T150*1000</f>
        <v>#DIV/0!</v>
      </c>
      <c r="U151" s="217" t="e">
        <f>U152/U150*1000</f>
        <v>#DIV/0!</v>
      </c>
      <c r="V151" s="218" t="e">
        <f>V152/V150*1000</f>
        <v>#DIV/0!</v>
      </c>
      <c r="W151" s="219" t="e">
        <f>W152/W150*1000</f>
        <v>#DIV/0!</v>
      </c>
    </row>
    <row r="152" spans="1:24" s="205" customFormat="1" ht="23.5" hidden="1" customHeight="1">
      <c r="A152" s="610"/>
      <c r="B152" s="581"/>
      <c r="C152" s="583"/>
      <c r="D152" s="191" t="str">
        <f>серпень!D152</f>
        <v>сума, тис.грн.</v>
      </c>
      <c r="E152" s="192"/>
      <c r="F152" s="192"/>
      <c r="G152" s="192"/>
      <c r="H152" s="192"/>
      <c r="I152" s="192"/>
      <c r="J152" s="192"/>
      <c r="K152" s="192"/>
      <c r="L152" s="194">
        <f>SUM(F152:K152)</f>
        <v>0</v>
      </c>
      <c r="M152" s="194">
        <f>L152/6</f>
        <v>0</v>
      </c>
      <c r="N152" s="192"/>
      <c r="O152" s="192"/>
      <c r="P152" s="192"/>
      <c r="Q152" s="192"/>
      <c r="R152" s="192"/>
      <c r="S152" s="192"/>
      <c r="T152" s="194">
        <f>SUM(N152:S152)</f>
        <v>0</v>
      </c>
      <c r="U152" s="194">
        <f>T152+L152</f>
        <v>0</v>
      </c>
      <c r="V152" s="171">
        <f>V153+V154</f>
        <v>0</v>
      </c>
      <c r="W152" s="192">
        <f>V152-U152</f>
        <v>0</v>
      </c>
    </row>
    <row r="153" spans="1:24" s="205" customFormat="1" ht="23.5" hidden="1" customHeight="1">
      <c r="A153" s="610"/>
      <c r="B153" s="581"/>
      <c r="C153" s="583"/>
      <c r="D153" s="174" t="str">
        <f>серпень!D153</f>
        <v>дотація</v>
      </c>
      <c r="E153" s="210"/>
      <c r="F153" s="192"/>
      <c r="G153" s="192"/>
      <c r="H153" s="192"/>
      <c r="I153" s="192"/>
      <c r="J153" s="192"/>
      <c r="K153" s="192"/>
      <c r="L153" s="194">
        <f>SUM(F153:K153)</f>
        <v>0</v>
      </c>
      <c r="M153" s="194">
        <f>L153/6</f>
        <v>0</v>
      </c>
      <c r="N153" s="192"/>
      <c r="O153" s="192"/>
      <c r="P153" s="192"/>
      <c r="Q153" s="192"/>
      <c r="R153" s="192"/>
      <c r="S153" s="192"/>
      <c r="T153" s="194">
        <f>SUM(N153:S153)</f>
        <v>0</v>
      </c>
      <c r="U153" s="194">
        <f>T153+L153</f>
        <v>0</v>
      </c>
      <c r="V153" s="171"/>
      <c r="W153" s="192">
        <f>V153-U153</f>
        <v>0</v>
      </c>
    </row>
    <row r="154" spans="1:24" s="205" customFormat="1" ht="23.5" hidden="1" customHeight="1">
      <c r="A154" s="610"/>
      <c r="B154" s="581"/>
      <c r="C154" s="583"/>
      <c r="D154" s="174" t="str">
        <f>серпень!D154</f>
        <v>місцевий (план), тис.грн</v>
      </c>
      <c r="E154" s="210"/>
      <c r="F154" s="192"/>
      <c r="G154" s="192"/>
      <c r="H154" s="192"/>
      <c r="I154" s="192"/>
      <c r="J154" s="192"/>
      <c r="K154" s="192"/>
      <c r="L154" s="194">
        <f>SUM(F154:K154)</f>
        <v>0</v>
      </c>
      <c r="M154" s="194">
        <f>L154/6</f>
        <v>0</v>
      </c>
      <c r="N154" s="192"/>
      <c r="O154" s="192"/>
      <c r="P154" s="192"/>
      <c r="Q154" s="192"/>
      <c r="R154" s="192"/>
      <c r="S154" s="192"/>
      <c r="T154" s="194">
        <f>SUM(N154:S154)</f>
        <v>0</v>
      </c>
      <c r="U154" s="194">
        <f>T154+L154</f>
        <v>0</v>
      </c>
      <c r="V154" s="171"/>
      <c r="W154" s="192">
        <f>V154-U154</f>
        <v>0</v>
      </c>
    </row>
    <row r="155" spans="1:24" s="205" customFormat="1" ht="23.5" hidden="1" customHeight="1">
      <c r="A155" s="610"/>
      <c r="B155" s="581"/>
      <c r="C155" s="583"/>
      <c r="D155" s="178" t="str">
        <f>серпень!D155</f>
        <v>касові нат.п-ки 2025</v>
      </c>
      <c r="E155" s="179"/>
      <c r="F155" s="184"/>
      <c r="G155" s="184"/>
      <c r="H155" s="179"/>
      <c r="I155" s="179"/>
      <c r="J155" s="216"/>
      <c r="K155" s="179"/>
      <c r="L155" s="215">
        <f>SUM(F155:K155)</f>
        <v>0</v>
      </c>
      <c r="M155" s="215">
        <f>L155/6</f>
        <v>0</v>
      </c>
      <c r="N155" s="179"/>
      <c r="O155" s="179"/>
      <c r="P155" s="179"/>
      <c r="Q155" s="179"/>
      <c r="R155" s="179"/>
      <c r="S155" s="179"/>
      <c r="T155" s="215">
        <f>SUM(N155:S155)</f>
        <v>0</v>
      </c>
      <c r="U155" s="215">
        <f>T155+L155</f>
        <v>0</v>
      </c>
      <c r="V155" s="179">
        <f>V150</f>
        <v>0</v>
      </c>
      <c r="W155" s="184">
        <f>V155-U155</f>
        <v>0</v>
      </c>
      <c r="X155" s="185">
        <f>U150-U155</f>
        <v>0</v>
      </c>
    </row>
    <row r="156" spans="1:24" s="205" customFormat="1" ht="23.5" hidden="1" customHeight="1">
      <c r="A156" s="610"/>
      <c r="B156" s="581"/>
      <c r="C156" s="583"/>
      <c r="D156" s="187" t="str">
        <f>серпень!D156</f>
        <v>тариф, грн.</v>
      </c>
      <c r="E156" s="188" t="e">
        <f t="shared" ref="E156" si="209">E157/E155*1000</f>
        <v>#DIV/0!</v>
      </c>
      <c r="F156" s="188"/>
      <c r="G156" s="188"/>
      <c r="H156" s="188"/>
      <c r="I156" s="188"/>
      <c r="J156" s="188"/>
      <c r="K156" s="188"/>
      <c r="L156" s="217" t="e">
        <f>L157/L155*1000</f>
        <v>#DIV/0!</v>
      </c>
      <c r="M156" s="217" t="e">
        <f>M157/M155*1000</f>
        <v>#DIV/0!</v>
      </c>
      <c r="N156" s="188"/>
      <c r="O156" s="188"/>
      <c r="P156" s="188"/>
      <c r="Q156" s="188"/>
      <c r="R156" s="218"/>
      <c r="S156" s="218"/>
      <c r="T156" s="217" t="e">
        <f>T157/T155*1000</f>
        <v>#DIV/0!</v>
      </c>
      <c r="U156" s="217" t="e">
        <f>U157/U155*1000</f>
        <v>#DIV/0!</v>
      </c>
      <c r="V156" s="218" t="e">
        <f>V157/V155*1000</f>
        <v>#DIV/0!</v>
      </c>
      <c r="W156" s="219" t="e">
        <f>W157/W155*1000</f>
        <v>#DIV/0!</v>
      </c>
      <c r="X156" s="185"/>
    </row>
    <row r="157" spans="1:24" s="205" customFormat="1" ht="23.5" hidden="1" customHeight="1">
      <c r="A157" s="610"/>
      <c r="B157" s="581"/>
      <c r="C157" s="583"/>
      <c r="D157" s="198" t="str">
        <f>серпень!D157</f>
        <v>касові видатки, тис.грн.</v>
      </c>
      <c r="E157" s="220"/>
      <c r="F157" s="199"/>
      <c r="G157" s="199"/>
      <c r="H157" s="199"/>
      <c r="I157" s="199"/>
      <c r="J157" s="199"/>
      <c r="K157" s="199">
        <v>0</v>
      </c>
      <c r="L157" s="199">
        <f>SUM(F157:K157)</f>
        <v>0</v>
      </c>
      <c r="M157" s="199">
        <f>L157/6</f>
        <v>0</v>
      </c>
      <c r="N157" s="199">
        <v>0</v>
      </c>
      <c r="O157" s="199">
        <v>0</v>
      </c>
      <c r="P157" s="199">
        <v>0</v>
      </c>
      <c r="Q157" s="199">
        <v>0</v>
      </c>
      <c r="R157" s="199">
        <v>0</v>
      </c>
      <c r="S157" s="199">
        <v>0</v>
      </c>
      <c r="T157" s="199">
        <f>SUM(N157:S157)</f>
        <v>0</v>
      </c>
      <c r="U157" s="199">
        <f>T157+L157</f>
        <v>0</v>
      </c>
      <c r="V157" s="199">
        <f>V152</f>
        <v>0</v>
      </c>
      <c r="W157" s="221">
        <f>V157-U157</f>
        <v>0</v>
      </c>
      <c r="X157" s="176">
        <f>U152-U157</f>
        <v>0</v>
      </c>
    </row>
    <row r="158" spans="1:24" s="205" customFormat="1" ht="23.5" hidden="1" customHeight="1">
      <c r="A158" s="610"/>
      <c r="B158" s="581"/>
      <c r="C158" s="583"/>
      <c r="D158" s="201" t="str">
        <f>серпень!D158</f>
        <v>дотація</v>
      </c>
      <c r="E158" s="220"/>
      <c r="F158" s="199">
        <v>0</v>
      </c>
      <c r="G158" s="199">
        <v>0</v>
      </c>
      <c r="H158" s="199">
        <v>0</v>
      </c>
      <c r="I158" s="199">
        <v>0</v>
      </c>
      <c r="J158" s="199">
        <v>0</v>
      </c>
      <c r="K158" s="199">
        <v>0</v>
      </c>
      <c r="L158" s="199">
        <f>SUM(F158:K158)</f>
        <v>0</v>
      </c>
      <c r="M158" s="199">
        <f>L158/6</f>
        <v>0</v>
      </c>
      <c r="N158" s="199">
        <v>0</v>
      </c>
      <c r="O158" s="199">
        <v>0</v>
      </c>
      <c r="P158" s="199">
        <v>0</v>
      </c>
      <c r="Q158" s="199">
        <v>0</v>
      </c>
      <c r="R158" s="199">
        <v>0</v>
      </c>
      <c r="S158" s="199">
        <v>0</v>
      </c>
      <c r="T158" s="199">
        <f>SUM(N158:S158)</f>
        <v>0</v>
      </c>
      <c r="U158" s="199">
        <f>T158+L158</f>
        <v>0</v>
      </c>
      <c r="V158" s="199">
        <f>V153</f>
        <v>0</v>
      </c>
      <c r="W158" s="221">
        <f>V158-U158</f>
        <v>0</v>
      </c>
      <c r="X158" s="176">
        <f>U153-U158</f>
        <v>0</v>
      </c>
    </row>
    <row r="159" spans="1:24" s="205" customFormat="1" ht="23.5" hidden="1" customHeight="1">
      <c r="A159" s="610"/>
      <c r="B159" s="581"/>
      <c r="C159" s="583"/>
      <c r="D159" s="201" t="str">
        <f>серпень!D159</f>
        <v xml:space="preserve">місцевий </v>
      </c>
      <c r="E159" s="220"/>
      <c r="F159" s="199">
        <f t="shared" ref="F159:K159" si="210">F157-F158</f>
        <v>0</v>
      </c>
      <c r="G159" s="199">
        <f t="shared" si="210"/>
        <v>0</v>
      </c>
      <c r="H159" s="199">
        <f t="shared" si="210"/>
        <v>0</v>
      </c>
      <c r="I159" s="199">
        <f t="shared" si="210"/>
        <v>0</v>
      </c>
      <c r="J159" s="199">
        <f t="shared" si="210"/>
        <v>0</v>
      </c>
      <c r="K159" s="199">
        <f t="shared" si="210"/>
        <v>0</v>
      </c>
      <c r="L159" s="199">
        <f>SUM(F159:K159)</f>
        <v>0</v>
      </c>
      <c r="M159" s="199">
        <f>L159/6</f>
        <v>0</v>
      </c>
      <c r="N159" s="199">
        <f t="shared" ref="N159:S159" si="211">N157-N158</f>
        <v>0</v>
      </c>
      <c r="O159" s="199">
        <f t="shared" si="211"/>
        <v>0</v>
      </c>
      <c r="P159" s="199">
        <f t="shared" si="211"/>
        <v>0</v>
      </c>
      <c r="Q159" s="199">
        <f t="shared" si="211"/>
        <v>0</v>
      </c>
      <c r="R159" s="199">
        <f t="shared" si="211"/>
        <v>0</v>
      </c>
      <c r="S159" s="199">
        <f t="shared" si="211"/>
        <v>0</v>
      </c>
      <c r="T159" s="199">
        <f>SUM(N159:S159)</f>
        <v>0</v>
      </c>
      <c r="U159" s="199">
        <f>T159+L159</f>
        <v>0</v>
      </c>
      <c r="V159" s="199">
        <f>V154</f>
        <v>0</v>
      </c>
      <c r="W159" s="221">
        <f>V159-U159</f>
        <v>0</v>
      </c>
      <c r="X159" s="176">
        <f>U154-U159</f>
        <v>0</v>
      </c>
    </row>
    <row r="160" spans="1:24" s="43" customFormat="1" ht="18" hidden="1" customHeight="1">
      <c r="A160" s="610"/>
      <c r="B160" s="581"/>
      <c r="C160" s="583"/>
      <c r="D160" s="202" t="str">
        <f>серпень!D160</f>
        <v>план</v>
      </c>
      <c r="E160" s="203"/>
      <c r="F160" s="203">
        <f t="shared" ref="F160:K160" si="212">F153+F154</f>
        <v>0</v>
      </c>
      <c r="G160" s="203">
        <f t="shared" si="212"/>
        <v>0</v>
      </c>
      <c r="H160" s="203">
        <f t="shared" si="212"/>
        <v>0</v>
      </c>
      <c r="I160" s="203">
        <f t="shared" si="212"/>
        <v>0</v>
      </c>
      <c r="J160" s="203">
        <f t="shared" si="212"/>
        <v>0</v>
      </c>
      <c r="K160" s="203">
        <f t="shared" si="212"/>
        <v>0</v>
      </c>
      <c r="L160" s="203">
        <f>SUM(F160:K160)</f>
        <v>0</v>
      </c>
      <c r="M160" s="203">
        <f>L160/6</f>
        <v>0</v>
      </c>
      <c r="N160" s="203">
        <f t="shared" ref="N160:S160" si="213">N154+N153</f>
        <v>0</v>
      </c>
      <c r="O160" s="203">
        <f t="shared" si="213"/>
        <v>0</v>
      </c>
      <c r="P160" s="203">
        <f t="shared" si="213"/>
        <v>0</v>
      </c>
      <c r="Q160" s="203">
        <f t="shared" si="213"/>
        <v>0</v>
      </c>
      <c r="R160" s="203">
        <f t="shared" si="213"/>
        <v>0</v>
      </c>
      <c r="S160" s="203">
        <f t="shared" si="213"/>
        <v>0</v>
      </c>
      <c r="T160" s="203">
        <f>SUM(N160:S160)</f>
        <v>0</v>
      </c>
      <c r="U160" s="203">
        <f>T160+L160</f>
        <v>0</v>
      </c>
      <c r="V160" s="203">
        <f>V157</f>
        <v>0</v>
      </c>
      <c r="W160" s="203">
        <f>V160-U160</f>
        <v>0</v>
      </c>
    </row>
    <row r="161" spans="1:24" s="43" customFormat="1" ht="18" hidden="1" customHeight="1">
      <c r="A161" s="610"/>
      <c r="B161" s="581"/>
      <c r="C161" s="583"/>
      <c r="D161" s="202" t="str">
        <f>серпень!D161</f>
        <v xml:space="preserve">відхилення </v>
      </c>
      <c r="E161" s="203"/>
      <c r="F161" s="203">
        <f t="shared" ref="F161:K161" si="214">F157-F160</f>
        <v>0</v>
      </c>
      <c r="G161" s="203">
        <f t="shared" si="214"/>
        <v>0</v>
      </c>
      <c r="H161" s="203">
        <f t="shared" si="214"/>
        <v>0</v>
      </c>
      <c r="I161" s="203">
        <f t="shared" si="214"/>
        <v>0</v>
      </c>
      <c r="J161" s="203">
        <f t="shared" si="214"/>
        <v>0</v>
      </c>
      <c r="K161" s="203">
        <f t="shared" si="214"/>
        <v>0</v>
      </c>
      <c r="L161" s="203"/>
      <c r="M161" s="203"/>
      <c r="N161" s="203">
        <f t="shared" ref="N161:S161" si="215">N157-N160</f>
        <v>0</v>
      </c>
      <c r="O161" s="203">
        <f t="shared" si="215"/>
        <v>0</v>
      </c>
      <c r="P161" s="203">
        <f t="shared" si="215"/>
        <v>0</v>
      </c>
      <c r="Q161" s="203">
        <f t="shared" si="215"/>
        <v>0</v>
      </c>
      <c r="R161" s="203">
        <f t="shared" si="215"/>
        <v>0</v>
      </c>
      <c r="S161" s="203">
        <f t="shared" si="215"/>
        <v>0</v>
      </c>
      <c r="T161" s="203"/>
      <c r="U161" s="203"/>
      <c r="V161" s="203"/>
      <c r="W161" s="203"/>
    </row>
    <row r="162" spans="1:24" s="43" customFormat="1" ht="27.1" hidden="1" customHeight="1">
      <c r="A162" s="610"/>
      <c r="B162" s="581"/>
      <c r="C162" s="584"/>
      <c r="D162" s="202" t="str">
        <f>серпень!D162</f>
        <v>відхилення з наростаючим</v>
      </c>
      <c r="E162" s="203"/>
      <c r="F162" s="203">
        <f>F161</f>
        <v>0</v>
      </c>
      <c r="G162" s="203">
        <f>G161+F162</f>
        <v>0</v>
      </c>
      <c r="H162" s="203">
        <f>H161+G162</f>
        <v>0</v>
      </c>
      <c r="I162" s="203">
        <f>I161+H162</f>
        <v>0</v>
      </c>
      <c r="J162" s="203">
        <f>J161+I162</f>
        <v>0</v>
      </c>
      <c r="K162" s="203">
        <f>K161+J162</f>
        <v>0</v>
      </c>
      <c r="L162" s="203"/>
      <c r="M162" s="203"/>
      <c r="N162" s="203">
        <f>N161+K162</f>
        <v>0</v>
      </c>
      <c r="O162" s="203">
        <f>O161+N162</f>
        <v>0</v>
      </c>
      <c r="P162" s="203">
        <f>P161+O162</f>
        <v>0</v>
      </c>
      <c r="Q162" s="203">
        <f>Q161+P162</f>
        <v>0</v>
      </c>
      <c r="R162" s="203">
        <f>R161+Q162</f>
        <v>0</v>
      </c>
      <c r="S162" s="203">
        <f>S161+R162</f>
        <v>0</v>
      </c>
      <c r="T162" s="203"/>
      <c r="U162" s="203"/>
      <c r="V162" s="203"/>
      <c r="W162" s="203"/>
    </row>
    <row r="163" spans="1:24" s="48" customFormat="1" ht="21.8" hidden="1" customHeight="1">
      <c r="A163" s="610"/>
      <c r="B163" s="576" t="s">
        <v>61</v>
      </c>
      <c r="C163" s="577"/>
      <c r="D163" s="178" t="str">
        <f>серпень!D163</f>
        <v>факт. нат.п-ки 2023</v>
      </c>
      <c r="E163" s="11"/>
      <c r="F163" s="12">
        <f t="shared" ref="F163:K165" si="216">F178+F193</f>
        <v>0</v>
      </c>
      <c r="G163" s="12">
        <f t="shared" si="216"/>
        <v>0</v>
      </c>
      <c r="H163" s="12">
        <f t="shared" si="216"/>
        <v>0</v>
      </c>
      <c r="I163" s="12">
        <f t="shared" si="216"/>
        <v>0</v>
      </c>
      <c r="J163" s="12">
        <f t="shared" si="216"/>
        <v>0</v>
      </c>
      <c r="K163" s="12">
        <f t="shared" si="216"/>
        <v>0</v>
      </c>
      <c r="L163" s="44">
        <f>SUM(F163:K163)</f>
        <v>0</v>
      </c>
      <c r="M163" s="44">
        <f>L163/6</f>
        <v>0</v>
      </c>
      <c r="N163" s="12">
        <f t="shared" ref="N163:S165" si="217">N178+N193</f>
        <v>0</v>
      </c>
      <c r="O163" s="12">
        <f t="shared" si="217"/>
        <v>0</v>
      </c>
      <c r="P163" s="12">
        <f t="shared" si="217"/>
        <v>0</v>
      </c>
      <c r="Q163" s="12">
        <f t="shared" si="217"/>
        <v>0</v>
      </c>
      <c r="R163" s="12">
        <f t="shared" si="217"/>
        <v>0</v>
      </c>
      <c r="S163" s="12">
        <f t="shared" si="217"/>
        <v>0</v>
      </c>
      <c r="T163" s="44">
        <f>SUM(N163:S163)</f>
        <v>0</v>
      </c>
      <c r="U163" s="45">
        <f>T163+L163</f>
        <v>0</v>
      </c>
      <c r="V163" s="46">
        <f>V178+V193</f>
        <v>0</v>
      </c>
      <c r="W163" s="38">
        <f>V163-U163</f>
        <v>0</v>
      </c>
      <c r="X163" s="47"/>
    </row>
    <row r="164" spans="1:24" s="48" customFormat="1" ht="21.8" hidden="1" customHeight="1">
      <c r="A164" s="610"/>
      <c r="B164" s="576"/>
      <c r="C164" s="577"/>
      <c r="D164" s="178" t="str">
        <f>серпень!D164</f>
        <v>факт. нат.п-ки 2024</v>
      </c>
      <c r="E164" s="11"/>
      <c r="F164" s="12">
        <f t="shared" si="216"/>
        <v>0</v>
      </c>
      <c r="G164" s="12">
        <f t="shared" si="216"/>
        <v>0</v>
      </c>
      <c r="H164" s="12">
        <f t="shared" si="216"/>
        <v>0</v>
      </c>
      <c r="I164" s="12">
        <f t="shared" si="216"/>
        <v>0</v>
      </c>
      <c r="J164" s="12">
        <f t="shared" si="216"/>
        <v>0</v>
      </c>
      <c r="K164" s="12">
        <f t="shared" si="216"/>
        <v>0</v>
      </c>
      <c r="L164" s="44">
        <f>SUM(F164:K164)</f>
        <v>0</v>
      </c>
      <c r="M164" s="44">
        <f>L164/6</f>
        <v>0</v>
      </c>
      <c r="N164" s="11">
        <f t="shared" si="217"/>
        <v>0</v>
      </c>
      <c r="O164" s="11">
        <f t="shared" si="217"/>
        <v>0</v>
      </c>
      <c r="P164" s="11">
        <f t="shared" si="217"/>
        <v>0</v>
      </c>
      <c r="Q164" s="11">
        <f t="shared" si="217"/>
        <v>0</v>
      </c>
      <c r="R164" s="11">
        <f t="shared" si="217"/>
        <v>0</v>
      </c>
      <c r="S164" s="11">
        <f t="shared" si="217"/>
        <v>0</v>
      </c>
      <c r="T164" s="44">
        <f>SUM(N164:S164)</f>
        <v>0</v>
      </c>
      <c r="U164" s="45">
        <f>T164+L164</f>
        <v>0</v>
      </c>
      <c r="V164" s="46">
        <f>V179+V194</f>
        <v>0</v>
      </c>
      <c r="W164" s="38">
        <f>V164-U164</f>
        <v>0</v>
      </c>
      <c r="X164" s="47"/>
    </row>
    <row r="165" spans="1:24" s="48" customFormat="1" ht="21.8" hidden="1" customHeight="1">
      <c r="A165" s="610"/>
      <c r="B165" s="576"/>
      <c r="C165" s="577"/>
      <c r="D165" s="178" t="str">
        <f>серпень!D165</f>
        <v>факт. нат.п-ки 2025</v>
      </c>
      <c r="E165" s="11"/>
      <c r="F165" s="12">
        <f t="shared" si="216"/>
        <v>0</v>
      </c>
      <c r="G165" s="12">
        <f t="shared" si="216"/>
        <v>0</v>
      </c>
      <c r="H165" s="12">
        <f t="shared" si="216"/>
        <v>0</v>
      </c>
      <c r="I165" s="12">
        <f t="shared" si="216"/>
        <v>0</v>
      </c>
      <c r="J165" s="12">
        <f t="shared" si="216"/>
        <v>0</v>
      </c>
      <c r="K165" s="12">
        <f t="shared" si="216"/>
        <v>0</v>
      </c>
      <c r="L165" s="44">
        <f>SUM(F165:K165)</f>
        <v>0</v>
      </c>
      <c r="M165" s="44">
        <f>L165/6</f>
        <v>0</v>
      </c>
      <c r="N165" s="12">
        <f t="shared" si="217"/>
        <v>0</v>
      </c>
      <c r="O165" s="12">
        <f t="shared" si="217"/>
        <v>0</v>
      </c>
      <c r="P165" s="12">
        <f t="shared" si="217"/>
        <v>0</v>
      </c>
      <c r="Q165" s="12">
        <f t="shared" si="217"/>
        <v>0</v>
      </c>
      <c r="R165" s="12">
        <f t="shared" si="217"/>
        <v>0</v>
      </c>
      <c r="S165" s="12">
        <f t="shared" si="217"/>
        <v>0</v>
      </c>
      <c r="T165" s="44">
        <f>SUM(N165:S165)</f>
        <v>0</v>
      </c>
      <c r="U165" s="45">
        <f>T165+L165</f>
        <v>0</v>
      </c>
      <c r="V165" s="46">
        <f>V180+V195</f>
        <v>0</v>
      </c>
      <c r="W165" s="38">
        <f>V165-U165</f>
        <v>0</v>
      </c>
      <c r="X165" s="47"/>
    </row>
    <row r="166" spans="1:24" s="51" customFormat="1" ht="21.8" hidden="1" customHeight="1">
      <c r="A166" s="610"/>
      <c r="B166" s="576"/>
      <c r="C166" s="577"/>
      <c r="D166" s="187" t="str">
        <f>серпень!D166</f>
        <v>тариф, грн.</v>
      </c>
      <c r="E166" s="49"/>
      <c r="F166" s="49" t="e">
        <f>F167/F165*1000</f>
        <v>#DIV/0!</v>
      </c>
      <c r="G166" s="49" t="e">
        <f>G167/G165*1000</f>
        <v>#DIV/0!</v>
      </c>
      <c r="H166" s="49" t="e">
        <f>H167/H165*1000</f>
        <v>#DIV/0!</v>
      </c>
      <c r="I166" s="49" t="e">
        <f>I167/I165*1000</f>
        <v>#DIV/0!</v>
      </c>
      <c r="J166" s="49" t="e">
        <f>J167/J165*1000</f>
        <v>#DIV/0!</v>
      </c>
      <c r="K166" s="49" t="e">
        <f t="shared" ref="K166:S166" si="218">K167/K165*1000</f>
        <v>#DIV/0!</v>
      </c>
      <c r="L166" s="49" t="e">
        <f t="shared" si="218"/>
        <v>#DIV/0!</v>
      </c>
      <c r="M166" s="49" t="e">
        <f t="shared" si="218"/>
        <v>#DIV/0!</v>
      </c>
      <c r="N166" s="49" t="e">
        <f t="shared" si="218"/>
        <v>#DIV/0!</v>
      </c>
      <c r="O166" s="49" t="e">
        <f t="shared" si="218"/>
        <v>#DIV/0!</v>
      </c>
      <c r="P166" s="49" t="e">
        <f t="shared" si="218"/>
        <v>#DIV/0!</v>
      </c>
      <c r="Q166" s="49" t="e">
        <f t="shared" si="218"/>
        <v>#DIV/0!</v>
      </c>
      <c r="R166" s="49" t="e">
        <f t="shared" si="218"/>
        <v>#DIV/0!</v>
      </c>
      <c r="S166" s="49" t="e">
        <f t="shared" si="218"/>
        <v>#DIV/0!</v>
      </c>
      <c r="T166" s="49" t="e">
        <f>T167/T165*1000</f>
        <v>#DIV/0!</v>
      </c>
      <c r="U166" s="49" t="e">
        <f>U167/U165*1000</f>
        <v>#DIV/0!</v>
      </c>
      <c r="V166" s="49" t="e">
        <f>V167/V165*1000</f>
        <v>#DIV/0!</v>
      </c>
      <c r="W166" s="14" t="e">
        <f>W167/W165*1000</f>
        <v>#DIV/0!</v>
      </c>
      <c r="X166" s="50"/>
    </row>
    <row r="167" spans="1:24" s="55" customFormat="1" ht="21.8" hidden="1" customHeight="1">
      <c r="A167" s="610"/>
      <c r="B167" s="576"/>
      <c r="C167" s="577"/>
      <c r="D167" s="191" t="str">
        <f>серпень!D167</f>
        <v>сума, тис.грн.</v>
      </c>
      <c r="E167" s="52"/>
      <c r="F167" s="52">
        <f t="shared" ref="F167:K170" si="219">F182+F197</f>
        <v>0</v>
      </c>
      <c r="G167" s="52">
        <f t="shared" si="219"/>
        <v>0</v>
      </c>
      <c r="H167" s="52">
        <f t="shared" si="219"/>
        <v>0</v>
      </c>
      <c r="I167" s="52">
        <f t="shared" si="219"/>
        <v>0</v>
      </c>
      <c r="J167" s="52">
        <f t="shared" si="219"/>
        <v>0</v>
      </c>
      <c r="K167" s="52">
        <f t="shared" si="219"/>
        <v>0</v>
      </c>
      <c r="L167" s="52">
        <f>SUM(F167:K167)</f>
        <v>0</v>
      </c>
      <c r="M167" s="52">
        <f>L167/6</f>
        <v>0</v>
      </c>
      <c r="N167" s="52">
        <f t="shared" ref="N167:S170" si="220">N182+N197</f>
        <v>0</v>
      </c>
      <c r="O167" s="52">
        <f t="shared" si="220"/>
        <v>0</v>
      </c>
      <c r="P167" s="52">
        <f t="shared" si="220"/>
        <v>0</v>
      </c>
      <c r="Q167" s="52">
        <f t="shared" si="220"/>
        <v>0</v>
      </c>
      <c r="R167" s="52">
        <f t="shared" si="220"/>
        <v>0</v>
      </c>
      <c r="S167" s="52">
        <f t="shared" si="220"/>
        <v>0</v>
      </c>
      <c r="T167" s="52">
        <f>SUM(N167:S167)</f>
        <v>0</v>
      </c>
      <c r="U167" s="52">
        <f>T167+L167</f>
        <v>0</v>
      </c>
      <c r="V167" s="53">
        <f>V182+V197</f>
        <v>0</v>
      </c>
      <c r="W167" s="53">
        <f>V167-U167</f>
        <v>0</v>
      </c>
      <c r="X167" s="54">
        <f>9891253.845/1000</f>
        <v>9891.2540000000008</v>
      </c>
    </row>
    <row r="168" spans="1:24" s="55" customFormat="1" ht="21.8" hidden="1" customHeight="1">
      <c r="A168" s="610"/>
      <c r="B168" s="576"/>
      <c r="C168" s="577"/>
      <c r="D168" s="174" t="str">
        <f>серпень!D168</f>
        <v>дотація</v>
      </c>
      <c r="E168" s="56"/>
      <c r="F168" s="52">
        <f t="shared" si="219"/>
        <v>0</v>
      </c>
      <c r="G168" s="52">
        <f t="shared" si="219"/>
        <v>0</v>
      </c>
      <c r="H168" s="52">
        <f t="shared" si="219"/>
        <v>0</v>
      </c>
      <c r="I168" s="52">
        <f t="shared" si="219"/>
        <v>0</v>
      </c>
      <c r="J168" s="52">
        <f t="shared" si="219"/>
        <v>0</v>
      </c>
      <c r="K168" s="52">
        <f t="shared" si="219"/>
        <v>0</v>
      </c>
      <c r="L168" s="52">
        <f>SUM(F168:K168)</f>
        <v>0</v>
      </c>
      <c r="M168" s="52">
        <f>L168/6</f>
        <v>0</v>
      </c>
      <c r="N168" s="52">
        <f t="shared" si="220"/>
        <v>0</v>
      </c>
      <c r="O168" s="52">
        <f t="shared" si="220"/>
        <v>0</v>
      </c>
      <c r="P168" s="52">
        <f t="shared" si="220"/>
        <v>0</v>
      </c>
      <c r="Q168" s="52">
        <f t="shared" si="220"/>
        <v>0</v>
      </c>
      <c r="R168" s="52">
        <f t="shared" si="220"/>
        <v>0</v>
      </c>
      <c r="S168" s="52">
        <f t="shared" si="220"/>
        <v>0</v>
      </c>
      <c r="T168" s="52">
        <f>SUM(N168:S168)</f>
        <v>0</v>
      </c>
      <c r="U168" s="52">
        <f>T168+L168</f>
        <v>0</v>
      </c>
      <c r="V168" s="53">
        <f>V183+V198</f>
        <v>0</v>
      </c>
      <c r="W168" s="57">
        <f>V168-U168</f>
        <v>0</v>
      </c>
      <c r="X168" s="58"/>
    </row>
    <row r="169" spans="1:24" s="55" customFormat="1" ht="21.8" hidden="1" customHeight="1">
      <c r="A169" s="610"/>
      <c r="B169" s="576"/>
      <c r="C169" s="577"/>
      <c r="D169" s="174" t="str">
        <f>серпень!D169</f>
        <v>місцевий (план), тис.грн</v>
      </c>
      <c r="E169" s="56"/>
      <c r="F169" s="52">
        <f t="shared" si="219"/>
        <v>0</v>
      </c>
      <c r="G169" s="52">
        <f t="shared" si="219"/>
        <v>0</v>
      </c>
      <c r="H169" s="52">
        <f t="shared" si="219"/>
        <v>0</v>
      </c>
      <c r="I169" s="52">
        <f t="shared" si="219"/>
        <v>0</v>
      </c>
      <c r="J169" s="52">
        <f t="shared" si="219"/>
        <v>0</v>
      </c>
      <c r="K169" s="52">
        <f t="shared" si="219"/>
        <v>0</v>
      </c>
      <c r="L169" s="52">
        <f>SUM(F169:K169)</f>
        <v>0</v>
      </c>
      <c r="M169" s="52">
        <f>L169/6</f>
        <v>0</v>
      </c>
      <c r="N169" s="52">
        <f t="shared" si="220"/>
        <v>0</v>
      </c>
      <c r="O169" s="52">
        <f t="shared" si="220"/>
        <v>0</v>
      </c>
      <c r="P169" s="52">
        <f t="shared" si="220"/>
        <v>0</v>
      </c>
      <c r="Q169" s="52">
        <f t="shared" si="220"/>
        <v>0</v>
      </c>
      <c r="R169" s="52">
        <f t="shared" si="220"/>
        <v>0</v>
      </c>
      <c r="S169" s="52">
        <f t="shared" si="220"/>
        <v>0</v>
      </c>
      <c r="T169" s="52">
        <f>SUM(N169:S169)</f>
        <v>0</v>
      </c>
      <c r="U169" s="52">
        <f>T169+L169</f>
        <v>0</v>
      </c>
      <c r="V169" s="53">
        <f>V184+V199</f>
        <v>0</v>
      </c>
      <c r="W169" s="53">
        <f>V169-U169</f>
        <v>0</v>
      </c>
      <c r="X169" s="58"/>
    </row>
    <row r="170" spans="1:24" s="48" customFormat="1" ht="21.8" hidden="1" customHeight="1">
      <c r="A170" s="610"/>
      <c r="B170" s="576"/>
      <c r="C170" s="577"/>
      <c r="D170" s="178" t="str">
        <f>серпень!D170</f>
        <v>касові нат.п-ки 2025</v>
      </c>
      <c r="E170" s="11">
        <f>E185+E200</f>
        <v>0</v>
      </c>
      <c r="F170" s="11">
        <f t="shared" si="219"/>
        <v>0</v>
      </c>
      <c r="G170" s="11">
        <f t="shared" si="219"/>
        <v>0</v>
      </c>
      <c r="H170" s="11">
        <f t="shared" si="219"/>
        <v>0</v>
      </c>
      <c r="I170" s="11">
        <f t="shared" si="219"/>
        <v>0</v>
      </c>
      <c r="J170" s="11">
        <f t="shared" si="219"/>
        <v>0</v>
      </c>
      <c r="K170" s="11">
        <f t="shared" si="219"/>
        <v>0</v>
      </c>
      <c r="L170" s="44">
        <f>SUM(F170:K170)</f>
        <v>0</v>
      </c>
      <c r="M170" s="44">
        <f>L170/6</f>
        <v>0</v>
      </c>
      <c r="N170" s="11">
        <f t="shared" si="220"/>
        <v>0</v>
      </c>
      <c r="O170" s="11">
        <f t="shared" si="220"/>
        <v>0</v>
      </c>
      <c r="P170" s="11">
        <f t="shared" si="220"/>
        <v>0</v>
      </c>
      <c r="Q170" s="11">
        <f t="shared" si="220"/>
        <v>0</v>
      </c>
      <c r="R170" s="11">
        <f t="shared" si="220"/>
        <v>0</v>
      </c>
      <c r="S170" s="11">
        <f t="shared" si="220"/>
        <v>0</v>
      </c>
      <c r="T170" s="44">
        <f>SUM(N170:S170)</f>
        <v>0</v>
      </c>
      <c r="U170" s="44">
        <f>T170+L170</f>
        <v>0</v>
      </c>
      <c r="V170" s="38">
        <f>V185+V200</f>
        <v>0</v>
      </c>
      <c r="W170" s="38">
        <f>V170-U170</f>
        <v>0</v>
      </c>
      <c r="X170" s="47">
        <f>U165-U170</f>
        <v>0</v>
      </c>
    </row>
    <row r="171" spans="1:24" s="51" customFormat="1" ht="21.8" hidden="1" customHeight="1">
      <c r="A171" s="610"/>
      <c r="B171" s="576"/>
      <c r="C171" s="577"/>
      <c r="D171" s="187" t="str">
        <f>серпень!D171</f>
        <v>тариф, грн.</v>
      </c>
      <c r="E171" s="49" t="e">
        <f t="shared" ref="E171:S171" si="221">E172/E170*1000</f>
        <v>#DIV/0!</v>
      </c>
      <c r="F171" s="49" t="e">
        <f t="shared" si="221"/>
        <v>#DIV/0!</v>
      </c>
      <c r="G171" s="49" t="e">
        <f t="shared" si="221"/>
        <v>#DIV/0!</v>
      </c>
      <c r="H171" s="49" t="e">
        <f t="shared" si="221"/>
        <v>#DIV/0!</v>
      </c>
      <c r="I171" s="49" t="e">
        <f t="shared" si="221"/>
        <v>#DIV/0!</v>
      </c>
      <c r="J171" s="49" t="e">
        <f t="shared" si="221"/>
        <v>#DIV/0!</v>
      </c>
      <c r="K171" s="49" t="e">
        <f t="shared" si="221"/>
        <v>#DIV/0!</v>
      </c>
      <c r="L171" s="49" t="e">
        <f t="shared" si="221"/>
        <v>#DIV/0!</v>
      </c>
      <c r="M171" s="49" t="e">
        <f t="shared" si="221"/>
        <v>#DIV/0!</v>
      </c>
      <c r="N171" s="49" t="e">
        <f t="shared" si="221"/>
        <v>#DIV/0!</v>
      </c>
      <c r="O171" s="49" t="e">
        <f t="shared" si="221"/>
        <v>#DIV/0!</v>
      </c>
      <c r="P171" s="49" t="e">
        <f t="shared" si="221"/>
        <v>#DIV/0!</v>
      </c>
      <c r="Q171" s="49" t="e">
        <f t="shared" si="221"/>
        <v>#DIV/0!</v>
      </c>
      <c r="R171" s="49" t="e">
        <f t="shared" si="221"/>
        <v>#DIV/0!</v>
      </c>
      <c r="S171" s="49" t="e">
        <f t="shared" si="221"/>
        <v>#DIV/0!</v>
      </c>
      <c r="T171" s="49" t="e">
        <f>T172/T170*1000</f>
        <v>#DIV/0!</v>
      </c>
      <c r="U171" s="49" t="e">
        <f>U172/U170*1000</f>
        <v>#DIV/0!</v>
      </c>
      <c r="V171" s="49" t="e">
        <f>V172/V170*1000</f>
        <v>#DIV/0!</v>
      </c>
      <c r="W171" s="14" t="e">
        <f>W172/W170*1000</f>
        <v>#DIV/0!</v>
      </c>
      <c r="X171" s="59"/>
    </row>
    <row r="172" spans="1:24" s="63" customFormat="1" ht="21.8" hidden="1" customHeight="1">
      <c r="A172" s="610"/>
      <c r="B172" s="576"/>
      <c r="C172" s="577"/>
      <c r="D172" s="198" t="str">
        <f>серпень!D172</f>
        <v>касові видатки, тис.грн.</v>
      </c>
      <c r="E172" s="60">
        <f t="shared" ref="E172:K174" si="222">E187+E202</f>
        <v>0</v>
      </c>
      <c r="F172" s="61">
        <f t="shared" si="222"/>
        <v>0</v>
      </c>
      <c r="G172" s="61">
        <f t="shared" si="222"/>
        <v>0</v>
      </c>
      <c r="H172" s="61">
        <f t="shared" si="222"/>
        <v>0</v>
      </c>
      <c r="I172" s="61">
        <f t="shared" si="222"/>
        <v>0</v>
      </c>
      <c r="J172" s="61">
        <f t="shared" si="222"/>
        <v>0</v>
      </c>
      <c r="K172" s="61">
        <f t="shared" si="222"/>
        <v>0</v>
      </c>
      <c r="L172" s="61">
        <f>SUM(F172:K172)</f>
        <v>0</v>
      </c>
      <c r="M172" s="61">
        <f>L172/6</f>
        <v>0</v>
      </c>
      <c r="N172" s="61">
        <f t="shared" ref="N172:S174" si="223">N187+N202</f>
        <v>0</v>
      </c>
      <c r="O172" s="61">
        <f t="shared" si="223"/>
        <v>0</v>
      </c>
      <c r="P172" s="61">
        <f t="shared" si="223"/>
        <v>0</v>
      </c>
      <c r="Q172" s="61">
        <f t="shared" si="223"/>
        <v>0</v>
      </c>
      <c r="R172" s="61">
        <f t="shared" si="223"/>
        <v>0</v>
      </c>
      <c r="S172" s="61">
        <f t="shared" si="223"/>
        <v>0</v>
      </c>
      <c r="T172" s="61">
        <f>SUM(N172:S172)</f>
        <v>0</v>
      </c>
      <c r="U172" s="61">
        <f>T172+L172</f>
        <v>0</v>
      </c>
      <c r="V172" s="62">
        <f>V187+V202</f>
        <v>0</v>
      </c>
      <c r="W172" s="62">
        <f>V172-U172</f>
        <v>0</v>
      </c>
      <c r="X172" s="63">
        <f>U167-U172</f>
        <v>0</v>
      </c>
    </row>
    <row r="173" spans="1:24" s="63" customFormat="1" ht="21.8" hidden="1" customHeight="1">
      <c r="A173" s="610"/>
      <c r="B173" s="576"/>
      <c r="C173" s="577"/>
      <c r="D173" s="201" t="str">
        <f>серпень!D173</f>
        <v>дотація</v>
      </c>
      <c r="E173" s="60"/>
      <c r="F173" s="61">
        <f t="shared" si="222"/>
        <v>0</v>
      </c>
      <c r="G173" s="61">
        <f t="shared" si="222"/>
        <v>0</v>
      </c>
      <c r="H173" s="61">
        <f t="shared" si="222"/>
        <v>0</v>
      </c>
      <c r="I173" s="61">
        <f t="shared" si="222"/>
        <v>0</v>
      </c>
      <c r="J173" s="61">
        <f>J188+J203</f>
        <v>0</v>
      </c>
      <c r="K173" s="61">
        <f t="shared" si="222"/>
        <v>0</v>
      </c>
      <c r="L173" s="61">
        <f>SUM(F173:K173)</f>
        <v>0</v>
      </c>
      <c r="M173" s="61">
        <f>L173/6</f>
        <v>0</v>
      </c>
      <c r="N173" s="61">
        <f t="shared" si="223"/>
        <v>0</v>
      </c>
      <c r="O173" s="61">
        <f t="shared" si="223"/>
        <v>0</v>
      </c>
      <c r="P173" s="61">
        <f t="shared" si="223"/>
        <v>0</v>
      </c>
      <c r="Q173" s="61">
        <f t="shared" si="223"/>
        <v>0</v>
      </c>
      <c r="R173" s="61">
        <f t="shared" si="223"/>
        <v>0</v>
      </c>
      <c r="S173" s="61">
        <f t="shared" si="223"/>
        <v>0</v>
      </c>
      <c r="T173" s="61">
        <f>SUM(N173:S173)</f>
        <v>0</v>
      </c>
      <c r="U173" s="61">
        <f>T173+L173</f>
        <v>0</v>
      </c>
      <c r="V173" s="62">
        <f>V188+V203</f>
        <v>0</v>
      </c>
      <c r="W173" s="62">
        <f>V173-U173</f>
        <v>0</v>
      </c>
      <c r="X173" s="63">
        <f>U168-U173</f>
        <v>0</v>
      </c>
    </row>
    <row r="174" spans="1:24" s="63" customFormat="1" ht="21.8" hidden="1" customHeight="1">
      <c r="A174" s="610"/>
      <c r="B174" s="576"/>
      <c r="C174" s="577"/>
      <c r="D174" s="201" t="str">
        <f>серпень!D174</f>
        <v xml:space="preserve">місцевий </v>
      </c>
      <c r="E174" s="60"/>
      <c r="F174" s="61">
        <f t="shared" si="222"/>
        <v>0</v>
      </c>
      <c r="G174" s="61">
        <f t="shared" si="222"/>
        <v>0</v>
      </c>
      <c r="H174" s="61">
        <f t="shared" si="222"/>
        <v>0</v>
      </c>
      <c r="I174" s="61">
        <f t="shared" si="222"/>
        <v>0</v>
      </c>
      <c r="J174" s="61">
        <f>J189+J204</f>
        <v>0</v>
      </c>
      <c r="K174" s="61">
        <f t="shared" si="222"/>
        <v>0</v>
      </c>
      <c r="L174" s="61">
        <f>SUM(F174:K174)</f>
        <v>0</v>
      </c>
      <c r="M174" s="61">
        <f>L174/6</f>
        <v>0</v>
      </c>
      <c r="N174" s="61">
        <f t="shared" si="223"/>
        <v>0</v>
      </c>
      <c r="O174" s="61">
        <f t="shared" si="223"/>
        <v>0</v>
      </c>
      <c r="P174" s="61">
        <f t="shared" si="223"/>
        <v>0</v>
      </c>
      <c r="Q174" s="61">
        <f t="shared" si="223"/>
        <v>0</v>
      </c>
      <c r="R174" s="61">
        <f t="shared" si="223"/>
        <v>0</v>
      </c>
      <c r="S174" s="61">
        <f t="shared" si="223"/>
        <v>0</v>
      </c>
      <c r="T174" s="61">
        <f>SUM(N174:S174)</f>
        <v>0</v>
      </c>
      <c r="U174" s="61">
        <f>T174+L174</f>
        <v>0</v>
      </c>
      <c r="V174" s="62">
        <f>V189+V204</f>
        <v>0</v>
      </c>
      <c r="W174" s="62">
        <f>V174-U174</f>
        <v>0</v>
      </c>
      <c r="X174" s="63">
        <f>U169-U174</f>
        <v>0</v>
      </c>
    </row>
    <row r="175" spans="1:24" s="43" customFormat="1" ht="21.8" hidden="1" customHeight="1">
      <c r="A175" s="610"/>
      <c r="B175" s="576"/>
      <c r="C175" s="577"/>
      <c r="D175" s="202" t="str">
        <f>серпень!D175</f>
        <v>план</v>
      </c>
      <c r="E175" s="42"/>
      <c r="F175" s="42">
        <f t="shared" ref="F175:K175" si="224">F169</f>
        <v>0</v>
      </c>
      <c r="G175" s="42">
        <f t="shared" si="224"/>
        <v>0</v>
      </c>
      <c r="H175" s="42">
        <f t="shared" si="224"/>
        <v>0</v>
      </c>
      <c r="I175" s="42">
        <f t="shared" si="224"/>
        <v>0</v>
      </c>
      <c r="J175" s="42">
        <f t="shared" si="224"/>
        <v>0</v>
      </c>
      <c r="K175" s="42">
        <f t="shared" si="224"/>
        <v>0</v>
      </c>
      <c r="L175" s="42">
        <f>SUM(F175:K175)</f>
        <v>0</v>
      </c>
      <c r="M175" s="42">
        <f>L175/6</f>
        <v>0</v>
      </c>
      <c r="N175" s="42">
        <f t="shared" ref="N175:S175" si="225">N169+N168</f>
        <v>0</v>
      </c>
      <c r="O175" s="42">
        <f t="shared" si="225"/>
        <v>0</v>
      </c>
      <c r="P175" s="42">
        <f t="shared" si="225"/>
        <v>0</v>
      </c>
      <c r="Q175" s="42">
        <f t="shared" si="225"/>
        <v>0</v>
      </c>
      <c r="R175" s="42">
        <f t="shared" si="225"/>
        <v>0</v>
      </c>
      <c r="S175" s="42">
        <f t="shared" si="225"/>
        <v>0</v>
      </c>
      <c r="T175" s="42">
        <f>SUM(N175:S175)</f>
        <v>0</v>
      </c>
      <c r="U175" s="42">
        <f>T175+L175</f>
        <v>0</v>
      </c>
      <c r="V175" s="64">
        <f>V190+V205</f>
        <v>0</v>
      </c>
      <c r="W175" s="64">
        <f>V175-U175</f>
        <v>0</v>
      </c>
    </row>
    <row r="176" spans="1:24" s="43" customFormat="1" ht="21.8" hidden="1" customHeight="1">
      <c r="A176" s="610"/>
      <c r="B176" s="576"/>
      <c r="C176" s="577"/>
      <c r="D176" s="202" t="str">
        <f>серпень!D176</f>
        <v xml:space="preserve">відхилення </v>
      </c>
      <c r="E176" s="42"/>
      <c r="F176" s="42">
        <f t="shared" ref="F176:K176" si="226">F172-F175</f>
        <v>0</v>
      </c>
      <c r="G176" s="42">
        <f t="shared" si="226"/>
        <v>0</v>
      </c>
      <c r="H176" s="42">
        <f t="shared" si="226"/>
        <v>0</v>
      </c>
      <c r="I176" s="42">
        <f t="shared" si="226"/>
        <v>0</v>
      </c>
      <c r="J176" s="42">
        <f t="shared" si="226"/>
        <v>0</v>
      </c>
      <c r="K176" s="42">
        <f t="shared" si="226"/>
        <v>0</v>
      </c>
      <c r="L176" s="42"/>
      <c r="M176" s="42"/>
      <c r="N176" s="42">
        <f t="shared" ref="N176:S176" si="227">N172-N175</f>
        <v>0</v>
      </c>
      <c r="O176" s="42">
        <f t="shared" si="227"/>
        <v>0</v>
      </c>
      <c r="P176" s="42">
        <f t="shared" si="227"/>
        <v>0</v>
      </c>
      <c r="Q176" s="42">
        <f t="shared" si="227"/>
        <v>0</v>
      </c>
      <c r="R176" s="42">
        <f t="shared" si="227"/>
        <v>0</v>
      </c>
      <c r="S176" s="42">
        <f t="shared" si="227"/>
        <v>0</v>
      </c>
      <c r="T176" s="42"/>
      <c r="U176" s="42"/>
      <c r="V176" s="42"/>
      <c r="W176" s="42"/>
    </row>
    <row r="177" spans="1:24" s="43" customFormat="1" ht="21.8" hidden="1" customHeight="1">
      <c r="A177" s="610"/>
      <c r="B177" s="576"/>
      <c r="C177" s="577"/>
      <c r="D177" s="202" t="str">
        <f>серпень!D177</f>
        <v>відхилення з наростаючим</v>
      </c>
      <c r="E177" s="42"/>
      <c r="F177" s="42">
        <f>F176</f>
        <v>0</v>
      </c>
      <c r="G177" s="42">
        <f>G176+F177</f>
        <v>0</v>
      </c>
      <c r="H177" s="42">
        <f>H176+G177</f>
        <v>0</v>
      </c>
      <c r="I177" s="42">
        <f>I176+H177</f>
        <v>0</v>
      </c>
      <c r="J177" s="42">
        <f>J176+I177</f>
        <v>0</v>
      </c>
      <c r="K177" s="42">
        <f>K176+J177</f>
        <v>0</v>
      </c>
      <c r="L177" s="42"/>
      <c r="M177" s="42"/>
      <c r="N177" s="42">
        <f>N176+K177</f>
        <v>0</v>
      </c>
      <c r="O177" s="42">
        <f>O176+N177</f>
        <v>0</v>
      </c>
      <c r="P177" s="42">
        <f>P176+O177</f>
        <v>0</v>
      </c>
      <c r="Q177" s="42">
        <f>Q176+P177</f>
        <v>0</v>
      </c>
      <c r="R177" s="42">
        <f>R176+Q177</f>
        <v>0</v>
      </c>
      <c r="S177" s="42">
        <f>S176+R177</f>
        <v>0</v>
      </c>
      <c r="T177" s="42"/>
      <c r="U177" s="42"/>
      <c r="V177" s="42"/>
      <c r="W177" s="42"/>
    </row>
    <row r="178" spans="1:24" s="47" customFormat="1" ht="21.8" hidden="1" customHeight="1">
      <c r="A178" s="610"/>
      <c r="B178" s="581" t="s">
        <v>89</v>
      </c>
      <c r="C178" s="581"/>
      <c r="D178" s="178" t="str">
        <f>серпень!D178</f>
        <v>факт. нат.п-ки 2023</v>
      </c>
      <c r="E178" s="11"/>
      <c r="F178" s="12"/>
      <c r="G178" s="12"/>
      <c r="H178" s="12"/>
      <c r="I178" s="12"/>
      <c r="J178" s="12"/>
      <c r="K178" s="12"/>
      <c r="L178" s="65">
        <f>SUM(F178:K178)</f>
        <v>0</v>
      </c>
      <c r="M178" s="65">
        <f>L178/6</f>
        <v>0</v>
      </c>
      <c r="N178" s="12"/>
      <c r="O178" s="12"/>
      <c r="P178" s="12"/>
      <c r="Q178" s="12"/>
      <c r="R178" s="12"/>
      <c r="S178" s="12"/>
      <c r="T178" s="65">
        <f>SUM(N178:S178)</f>
        <v>0</v>
      </c>
      <c r="U178" s="66">
        <f>T178+L178</f>
        <v>0</v>
      </c>
      <c r="V178" s="67"/>
      <c r="W178" s="38">
        <f>V178-U178</f>
        <v>0</v>
      </c>
    </row>
    <row r="179" spans="1:24" s="47" customFormat="1" ht="21.8" hidden="1" customHeight="1">
      <c r="A179" s="610"/>
      <c r="B179" s="581"/>
      <c r="C179" s="581"/>
      <c r="D179" s="178" t="str">
        <f>серпень!D179</f>
        <v>факт. нат.п-ки 2024</v>
      </c>
      <c r="E179" s="11"/>
      <c r="F179" s="12"/>
      <c r="G179" s="12"/>
      <c r="H179" s="12"/>
      <c r="I179" s="12"/>
      <c r="J179" s="12"/>
      <c r="K179" s="12"/>
      <c r="L179" s="65">
        <f>SUM(F179:K179)</f>
        <v>0</v>
      </c>
      <c r="M179" s="65">
        <f>L179/6</f>
        <v>0</v>
      </c>
      <c r="N179" s="11"/>
      <c r="O179" s="11"/>
      <c r="P179" s="11"/>
      <c r="Q179" s="11"/>
      <c r="R179" s="11"/>
      <c r="S179" s="11"/>
      <c r="T179" s="65">
        <f>SUM(N179:S179)</f>
        <v>0</v>
      </c>
      <c r="U179" s="66">
        <f>T179+L179</f>
        <v>0</v>
      </c>
      <c r="V179" s="67"/>
      <c r="W179" s="38">
        <f>V179-U179</f>
        <v>0</v>
      </c>
    </row>
    <row r="180" spans="1:24" s="47" customFormat="1" ht="21.8" hidden="1" customHeight="1">
      <c r="A180" s="610"/>
      <c r="B180" s="581"/>
      <c r="C180" s="581"/>
      <c r="D180" s="178" t="str">
        <f>серпень!D180</f>
        <v>факт. нат.п-ки 2025</v>
      </c>
      <c r="E180" s="11"/>
      <c r="F180" s="12"/>
      <c r="G180" s="12"/>
      <c r="H180" s="12"/>
      <c r="I180" s="12"/>
      <c r="J180" s="12"/>
      <c r="K180" s="12"/>
      <c r="L180" s="65">
        <f>SUM(F180:K180)</f>
        <v>0</v>
      </c>
      <c r="M180" s="65">
        <f>L180/6</f>
        <v>0</v>
      </c>
      <c r="N180" s="12"/>
      <c r="O180" s="12"/>
      <c r="P180" s="12"/>
      <c r="Q180" s="12"/>
      <c r="R180" s="12"/>
      <c r="S180" s="11"/>
      <c r="T180" s="65">
        <f>SUM(N180:S180)</f>
        <v>0</v>
      </c>
      <c r="U180" s="66">
        <f>T180+L180</f>
        <v>0</v>
      </c>
      <c r="V180" s="11"/>
      <c r="W180" s="38">
        <f>V180-U180</f>
        <v>0</v>
      </c>
    </row>
    <row r="181" spans="1:24" s="47" customFormat="1" ht="21.8" hidden="1" customHeight="1">
      <c r="A181" s="610"/>
      <c r="B181" s="581"/>
      <c r="C181" s="581"/>
      <c r="D181" s="187" t="str">
        <f>серпень!D181</f>
        <v>тариф, грн.</v>
      </c>
      <c r="E181" s="49"/>
      <c r="F181" s="49">
        <v>2665.4160000000002</v>
      </c>
      <c r="G181" s="49">
        <v>2665.4160000000002</v>
      </c>
      <c r="H181" s="49">
        <v>2665.4160000000002</v>
      </c>
      <c r="I181" s="49">
        <v>2665.4160000000002</v>
      </c>
      <c r="J181" s="49">
        <v>2665.4160000000002</v>
      </c>
      <c r="K181" s="49">
        <v>2665.4160000000002</v>
      </c>
      <c r="L181" s="49" t="e">
        <f>L182/L180*1000</f>
        <v>#DIV/0!</v>
      </c>
      <c r="M181" s="49" t="e">
        <f>M182/M180*1000</f>
        <v>#DIV/0!</v>
      </c>
      <c r="N181" s="49">
        <v>2665.4160000000002</v>
      </c>
      <c r="O181" s="49">
        <v>2665.4160000000002</v>
      </c>
      <c r="P181" s="49">
        <v>2665.4160000000002</v>
      </c>
      <c r="Q181" s="49">
        <v>2665.4160000000002</v>
      </c>
      <c r="R181" s="49">
        <v>2665.4160000000002</v>
      </c>
      <c r="S181" s="49">
        <v>2665.4160000000002</v>
      </c>
      <c r="T181" s="49" t="e">
        <f>T182/T180*1000</f>
        <v>#DIV/0!</v>
      </c>
      <c r="U181" s="49" t="e">
        <f>U182/U180*1000</f>
        <v>#DIV/0!</v>
      </c>
      <c r="V181" s="68" t="e">
        <f>V182/V180*1000</f>
        <v>#DIV/0!</v>
      </c>
      <c r="W181" s="14" t="e">
        <f>W182/W180*1000</f>
        <v>#DIV/0!</v>
      </c>
    </row>
    <row r="182" spans="1:24" s="47" customFormat="1" ht="21.8" hidden="1" customHeight="1">
      <c r="A182" s="610"/>
      <c r="B182" s="581"/>
      <c r="C182" s="581"/>
      <c r="D182" s="191" t="str">
        <f>серпень!D182</f>
        <v>сума, тис.грн.</v>
      </c>
      <c r="E182" s="52"/>
      <c r="F182" s="52">
        <f t="shared" ref="F182:K182" si="228">F180*F181/1000</f>
        <v>0</v>
      </c>
      <c r="G182" s="52">
        <f t="shared" si="228"/>
        <v>0</v>
      </c>
      <c r="H182" s="52">
        <f t="shared" si="228"/>
        <v>0</v>
      </c>
      <c r="I182" s="52">
        <f t="shared" si="228"/>
        <v>0</v>
      </c>
      <c r="J182" s="52">
        <f t="shared" si="228"/>
        <v>0</v>
      </c>
      <c r="K182" s="52">
        <f t="shared" si="228"/>
        <v>0</v>
      </c>
      <c r="L182" s="69">
        <f>SUM(F182:K182)</f>
        <v>0</v>
      </c>
      <c r="M182" s="69">
        <f>L182/6</f>
        <v>0</v>
      </c>
      <c r="N182" s="52">
        <f t="shared" ref="N182:S182" si="229">N180*N181/1000</f>
        <v>0</v>
      </c>
      <c r="O182" s="52">
        <f t="shared" si="229"/>
        <v>0</v>
      </c>
      <c r="P182" s="52">
        <f t="shared" si="229"/>
        <v>0</v>
      </c>
      <c r="Q182" s="52">
        <f t="shared" si="229"/>
        <v>0</v>
      </c>
      <c r="R182" s="52">
        <f t="shared" si="229"/>
        <v>0</v>
      </c>
      <c r="S182" s="52">
        <f t="shared" si="229"/>
        <v>0</v>
      </c>
      <c r="T182" s="69">
        <f>SUM(N182:S182)</f>
        <v>0</v>
      </c>
      <c r="U182" s="69">
        <f>T182+L182</f>
        <v>0</v>
      </c>
      <c r="V182" s="70">
        <f>V183+V184</f>
        <v>0</v>
      </c>
      <c r="W182" s="53">
        <f>V182-U182</f>
        <v>0</v>
      </c>
    </row>
    <row r="183" spans="1:24" s="47" customFormat="1" ht="21.8" hidden="1" customHeight="1">
      <c r="A183" s="610"/>
      <c r="B183" s="581"/>
      <c r="C183" s="581"/>
      <c r="D183" s="174" t="str">
        <f>серпень!D183</f>
        <v>дотація</v>
      </c>
      <c r="E183" s="56"/>
      <c r="F183" s="52"/>
      <c r="G183" s="52"/>
      <c r="H183" s="52"/>
      <c r="I183" s="52"/>
      <c r="J183" s="52"/>
      <c r="K183" s="52"/>
      <c r="L183" s="69">
        <f>SUM(F183:K183)</f>
        <v>0</v>
      </c>
      <c r="M183" s="69">
        <f>L183/6</f>
        <v>0</v>
      </c>
      <c r="N183" s="52"/>
      <c r="O183" s="52"/>
      <c r="P183" s="52"/>
      <c r="Q183" s="52"/>
      <c r="R183" s="52"/>
      <c r="S183" s="52"/>
      <c r="T183" s="69">
        <f>SUM(N183:S183)</f>
        <v>0</v>
      </c>
      <c r="U183" s="69">
        <f>T183+L183</f>
        <v>0</v>
      </c>
      <c r="V183" s="70"/>
      <c r="W183" s="53">
        <f>V183-U183</f>
        <v>0</v>
      </c>
    </row>
    <row r="184" spans="1:24" s="47" customFormat="1" ht="21.8" hidden="1" customHeight="1">
      <c r="A184" s="610"/>
      <c r="B184" s="581"/>
      <c r="C184" s="581"/>
      <c r="D184" s="174" t="str">
        <f>серпень!D184</f>
        <v>місцевий (план), тис.грн</v>
      </c>
      <c r="E184" s="56"/>
      <c r="F184" s="52"/>
      <c r="G184" s="52"/>
      <c r="H184" s="52"/>
      <c r="I184" s="52"/>
      <c r="J184" s="52"/>
      <c r="K184" s="52"/>
      <c r="L184" s="69">
        <f>SUM(F184:K184)</f>
        <v>0</v>
      </c>
      <c r="M184" s="69">
        <f>L184/6</f>
        <v>0</v>
      </c>
      <c r="N184" s="52"/>
      <c r="O184" s="52"/>
      <c r="P184" s="52"/>
      <c r="Q184" s="52"/>
      <c r="R184" s="52"/>
      <c r="S184" s="52"/>
      <c r="T184" s="69">
        <f>SUM(N184:S184)</f>
        <v>0</v>
      </c>
      <c r="U184" s="69">
        <f>T184+L184</f>
        <v>0</v>
      </c>
      <c r="V184" s="70"/>
      <c r="W184" s="53">
        <f>V184-U184</f>
        <v>0</v>
      </c>
    </row>
    <row r="185" spans="1:24" s="47" customFormat="1" ht="21.8" hidden="1" customHeight="1">
      <c r="A185" s="610"/>
      <c r="B185" s="581"/>
      <c r="C185" s="581"/>
      <c r="D185" s="178" t="str">
        <f>серпень!D185</f>
        <v>касові нат.п-ки 2025</v>
      </c>
      <c r="E185" s="11"/>
      <c r="F185" s="11"/>
      <c r="G185" s="11"/>
      <c r="H185" s="11"/>
      <c r="I185" s="11"/>
      <c r="J185" s="11"/>
      <c r="K185" s="11"/>
      <c r="L185" s="65">
        <f>SUM(F185:K185)</f>
        <v>0</v>
      </c>
      <c r="M185" s="65">
        <f>L185/6</f>
        <v>0</v>
      </c>
      <c r="N185" s="11"/>
      <c r="O185" s="11"/>
      <c r="P185" s="11"/>
      <c r="Q185" s="11"/>
      <c r="R185" s="11"/>
      <c r="S185" s="11">
        <f>S180+R180</f>
        <v>0</v>
      </c>
      <c r="T185" s="65">
        <f>SUM(N185:S185)</f>
        <v>0</v>
      </c>
      <c r="U185" s="65">
        <f>T185+L185</f>
        <v>0</v>
      </c>
      <c r="V185" s="11">
        <f>V180</f>
        <v>0</v>
      </c>
      <c r="W185" s="38">
        <f>V185-U185</f>
        <v>0</v>
      </c>
      <c r="X185" s="47">
        <f>U180-U185</f>
        <v>0</v>
      </c>
    </row>
    <row r="186" spans="1:24" s="47" customFormat="1" ht="21.8" hidden="1" customHeight="1">
      <c r="A186" s="610"/>
      <c r="B186" s="581"/>
      <c r="C186" s="581"/>
      <c r="D186" s="187" t="str">
        <f>серпень!D186</f>
        <v>тариф, грн.</v>
      </c>
      <c r="E186" s="49" t="e">
        <f>E187/E185*1000</f>
        <v>#DIV/0!</v>
      </c>
      <c r="F186" s="49">
        <v>2665.4160000000002</v>
      </c>
      <c r="G186" s="49">
        <v>2665.4160000000002</v>
      </c>
      <c r="H186" s="49">
        <v>2665.4160000000002</v>
      </c>
      <c r="I186" s="49">
        <v>2665.4160000000002</v>
      </c>
      <c r="J186" s="49">
        <v>2665.4160000000002</v>
      </c>
      <c r="K186" s="49">
        <v>2665.4160000000002</v>
      </c>
      <c r="L186" s="49" t="e">
        <f>L187/L185*1000</f>
        <v>#DIV/0!</v>
      </c>
      <c r="M186" s="49" t="e">
        <f>M187/M185*1000</f>
        <v>#DIV/0!</v>
      </c>
      <c r="N186" s="49">
        <v>2665.4160000000002</v>
      </c>
      <c r="O186" s="49">
        <v>2665.4160000000002</v>
      </c>
      <c r="P186" s="49">
        <v>2665.4160000000002</v>
      </c>
      <c r="Q186" s="49">
        <v>2665.4160000000002</v>
      </c>
      <c r="R186" s="49">
        <v>2665.4160000000002</v>
      </c>
      <c r="S186" s="49">
        <v>2665.4160000000002</v>
      </c>
      <c r="T186" s="49" t="e">
        <f>T187/T185*1000</f>
        <v>#DIV/0!</v>
      </c>
      <c r="U186" s="49" t="e">
        <f>U187/U185*1000</f>
        <v>#DIV/0!</v>
      </c>
      <c r="V186" s="68" t="e">
        <f>V187/V185*1000</f>
        <v>#DIV/0!</v>
      </c>
      <c r="W186" s="14" t="e">
        <f>W187/W185*1000</f>
        <v>#DIV/0!</v>
      </c>
    </row>
    <row r="187" spans="1:24" s="63" customFormat="1" ht="21.8" hidden="1" customHeight="1">
      <c r="A187" s="610"/>
      <c r="B187" s="581"/>
      <c r="C187" s="581"/>
      <c r="D187" s="198" t="str">
        <f>серпень!D187</f>
        <v>касові видатки, тис.грн.</v>
      </c>
      <c r="E187" s="71"/>
      <c r="F187" s="61">
        <f t="shared" ref="F187:K187" si="230">F185*F186/1000</f>
        <v>0</v>
      </c>
      <c r="G187" s="61">
        <f t="shared" si="230"/>
        <v>0</v>
      </c>
      <c r="H187" s="61">
        <f t="shared" si="230"/>
        <v>0</v>
      </c>
      <c r="I187" s="61">
        <f t="shared" si="230"/>
        <v>0</v>
      </c>
      <c r="J187" s="61">
        <f t="shared" si="230"/>
        <v>0</v>
      </c>
      <c r="K187" s="61">
        <f t="shared" si="230"/>
        <v>0</v>
      </c>
      <c r="L187" s="61">
        <f>SUM(F187:K187)</f>
        <v>0</v>
      </c>
      <c r="M187" s="61">
        <f>L187/6</f>
        <v>0</v>
      </c>
      <c r="N187" s="61">
        <f t="shared" ref="N187:S187" si="231">N185*N186/1000</f>
        <v>0</v>
      </c>
      <c r="O187" s="61">
        <f t="shared" si="231"/>
        <v>0</v>
      </c>
      <c r="P187" s="61">
        <f t="shared" si="231"/>
        <v>0</v>
      </c>
      <c r="Q187" s="61">
        <f t="shared" si="231"/>
        <v>0</v>
      </c>
      <c r="R187" s="61">
        <f t="shared" si="231"/>
        <v>0</v>
      </c>
      <c r="S187" s="61">
        <f t="shared" si="231"/>
        <v>0</v>
      </c>
      <c r="T187" s="61">
        <f>SUM(N187:S187)</f>
        <v>0</v>
      </c>
      <c r="U187" s="61">
        <f>T187+L187</f>
        <v>0</v>
      </c>
      <c r="V187" s="61">
        <f>V182</f>
        <v>0</v>
      </c>
      <c r="W187" s="72">
        <f>V187-U187</f>
        <v>0</v>
      </c>
      <c r="X187" s="63">
        <f>U182-U187</f>
        <v>0</v>
      </c>
    </row>
    <row r="188" spans="1:24" s="63" customFormat="1" ht="21.8" hidden="1" customHeight="1">
      <c r="A188" s="610"/>
      <c r="B188" s="581"/>
      <c r="C188" s="581"/>
      <c r="D188" s="201" t="str">
        <f>серпень!D188</f>
        <v>дотація</v>
      </c>
      <c r="E188" s="71"/>
      <c r="F188" s="61"/>
      <c r="G188" s="61"/>
      <c r="H188" s="61"/>
      <c r="I188" s="61"/>
      <c r="J188" s="61"/>
      <c r="K188" s="61"/>
      <c r="L188" s="61">
        <f>SUM(F188:K188)</f>
        <v>0</v>
      </c>
      <c r="M188" s="61">
        <f>L188/6</f>
        <v>0</v>
      </c>
      <c r="N188" s="61"/>
      <c r="O188" s="61"/>
      <c r="P188" s="61"/>
      <c r="Q188" s="61"/>
      <c r="R188" s="61"/>
      <c r="S188" s="61"/>
      <c r="T188" s="61">
        <f>SUM(N188:S188)</f>
        <v>0</v>
      </c>
      <c r="U188" s="61">
        <f>T188+L188</f>
        <v>0</v>
      </c>
      <c r="V188" s="61">
        <f>V183</f>
        <v>0</v>
      </c>
      <c r="W188" s="72">
        <f>V188-U188</f>
        <v>0</v>
      </c>
      <c r="X188" s="63">
        <f>U183-U188</f>
        <v>0</v>
      </c>
    </row>
    <row r="189" spans="1:24" s="63" customFormat="1" ht="21.8" hidden="1" customHeight="1">
      <c r="A189" s="610"/>
      <c r="B189" s="581"/>
      <c r="C189" s="581"/>
      <c r="D189" s="201" t="str">
        <f>серпень!D189</f>
        <v xml:space="preserve">місцевий </v>
      </c>
      <c r="E189" s="71"/>
      <c r="F189" s="61">
        <f t="shared" ref="F189:K189" si="232">F187-F188</f>
        <v>0</v>
      </c>
      <c r="G189" s="61">
        <f t="shared" si="232"/>
        <v>0</v>
      </c>
      <c r="H189" s="61">
        <f t="shared" si="232"/>
        <v>0</v>
      </c>
      <c r="I189" s="61">
        <f t="shared" si="232"/>
        <v>0</v>
      </c>
      <c r="J189" s="61">
        <f t="shared" si="232"/>
        <v>0</v>
      </c>
      <c r="K189" s="61">
        <f t="shared" si="232"/>
        <v>0</v>
      </c>
      <c r="L189" s="61">
        <f>SUM(F189:K189)</f>
        <v>0</v>
      </c>
      <c r="M189" s="61">
        <f>L189/6</f>
        <v>0</v>
      </c>
      <c r="N189" s="61">
        <f t="shared" ref="N189:S189" si="233">N187-N188</f>
        <v>0</v>
      </c>
      <c r="O189" s="61">
        <f t="shared" si="233"/>
        <v>0</v>
      </c>
      <c r="P189" s="61">
        <f t="shared" si="233"/>
        <v>0</v>
      </c>
      <c r="Q189" s="61">
        <f t="shared" si="233"/>
        <v>0</v>
      </c>
      <c r="R189" s="61">
        <f t="shared" si="233"/>
        <v>0</v>
      </c>
      <c r="S189" s="61">
        <f t="shared" si="233"/>
        <v>0</v>
      </c>
      <c r="T189" s="61">
        <f>SUM(N189:S189)</f>
        <v>0</v>
      </c>
      <c r="U189" s="61">
        <f>T189+L189</f>
        <v>0</v>
      </c>
      <c r="V189" s="61">
        <f>V184</f>
        <v>0</v>
      </c>
      <c r="W189" s="72">
        <f>V189-U189</f>
        <v>0</v>
      </c>
      <c r="X189" s="63">
        <f>U184-U189</f>
        <v>0</v>
      </c>
    </row>
    <row r="190" spans="1:24" s="43" customFormat="1" ht="21.8" hidden="1" customHeight="1">
      <c r="A190" s="610"/>
      <c r="B190" s="581"/>
      <c r="C190" s="581"/>
      <c r="D190" s="202" t="str">
        <f>серпень!D190</f>
        <v>план</v>
      </c>
      <c r="E190" s="42"/>
      <c r="F190" s="42">
        <f t="shared" ref="F190:K190" si="234">F184</f>
        <v>0</v>
      </c>
      <c r="G190" s="42">
        <f t="shared" si="234"/>
        <v>0</v>
      </c>
      <c r="H190" s="42">
        <f t="shared" si="234"/>
        <v>0</v>
      </c>
      <c r="I190" s="42">
        <f t="shared" si="234"/>
        <v>0</v>
      </c>
      <c r="J190" s="42">
        <f t="shared" si="234"/>
        <v>0</v>
      </c>
      <c r="K190" s="42">
        <f t="shared" si="234"/>
        <v>0</v>
      </c>
      <c r="L190" s="42">
        <f>SUM(F190:K190)</f>
        <v>0</v>
      </c>
      <c r="M190" s="42">
        <f>L190/6</f>
        <v>0</v>
      </c>
      <c r="N190" s="42">
        <f t="shared" ref="N190:S190" si="235">N184+N183</f>
        <v>0</v>
      </c>
      <c r="O190" s="42">
        <f t="shared" si="235"/>
        <v>0</v>
      </c>
      <c r="P190" s="42">
        <f t="shared" si="235"/>
        <v>0</v>
      </c>
      <c r="Q190" s="42">
        <f t="shared" si="235"/>
        <v>0</v>
      </c>
      <c r="R190" s="42">
        <f t="shared" si="235"/>
        <v>0</v>
      </c>
      <c r="S190" s="42">
        <f t="shared" si="235"/>
        <v>0</v>
      </c>
      <c r="T190" s="42">
        <f>SUM(N190:S190)</f>
        <v>0</v>
      </c>
      <c r="U190" s="42">
        <f>T190+L190</f>
        <v>0</v>
      </c>
      <c r="V190" s="42">
        <f>V187</f>
        <v>0</v>
      </c>
      <c r="W190" s="42">
        <f>V190-U190</f>
        <v>0</v>
      </c>
    </row>
    <row r="191" spans="1:24" s="43" customFormat="1" ht="21.8" hidden="1" customHeight="1">
      <c r="A191" s="610"/>
      <c r="B191" s="581"/>
      <c r="C191" s="581"/>
      <c r="D191" s="202" t="str">
        <f>серпень!D191</f>
        <v xml:space="preserve">відхилення </v>
      </c>
      <c r="E191" s="42"/>
      <c r="F191" s="42">
        <f t="shared" ref="F191:K191" si="236">F187-F190</f>
        <v>0</v>
      </c>
      <c r="G191" s="42">
        <f t="shared" si="236"/>
        <v>0</v>
      </c>
      <c r="H191" s="42">
        <f t="shared" si="236"/>
        <v>0</v>
      </c>
      <c r="I191" s="42">
        <f t="shared" si="236"/>
        <v>0</v>
      </c>
      <c r="J191" s="42">
        <f t="shared" si="236"/>
        <v>0</v>
      </c>
      <c r="K191" s="42">
        <f t="shared" si="236"/>
        <v>0</v>
      </c>
      <c r="L191" s="42"/>
      <c r="M191" s="42"/>
      <c r="N191" s="42">
        <f t="shared" ref="N191:S191" si="237">N187-N190</f>
        <v>0</v>
      </c>
      <c r="O191" s="42">
        <f t="shared" si="237"/>
        <v>0</v>
      </c>
      <c r="P191" s="42">
        <f t="shared" si="237"/>
        <v>0</v>
      </c>
      <c r="Q191" s="42">
        <f t="shared" si="237"/>
        <v>0</v>
      </c>
      <c r="R191" s="42">
        <f t="shared" si="237"/>
        <v>0</v>
      </c>
      <c r="S191" s="42">
        <f t="shared" si="237"/>
        <v>0</v>
      </c>
      <c r="T191" s="42"/>
      <c r="U191" s="42"/>
      <c r="V191" s="42"/>
      <c r="W191" s="42"/>
    </row>
    <row r="192" spans="1:24" s="43" customFormat="1" ht="21.8" hidden="1" customHeight="1">
      <c r="A192" s="610"/>
      <c r="B192" s="581"/>
      <c r="C192" s="581"/>
      <c r="D192" s="202" t="str">
        <f>серпень!D192</f>
        <v>відхилення з наростаючим</v>
      </c>
      <c r="E192" s="42"/>
      <c r="F192" s="42">
        <f>F191</f>
        <v>0</v>
      </c>
      <c r="G192" s="42">
        <f>G191+F192</f>
        <v>0</v>
      </c>
      <c r="H192" s="42">
        <f>H191+G192</f>
        <v>0</v>
      </c>
      <c r="I192" s="42">
        <f>I191+H192</f>
        <v>0</v>
      </c>
      <c r="J192" s="42">
        <f>J191+I192</f>
        <v>0</v>
      </c>
      <c r="K192" s="42">
        <f>K191+J192</f>
        <v>0</v>
      </c>
      <c r="L192" s="42"/>
      <c r="M192" s="42"/>
      <c r="N192" s="42">
        <f>N191+K192</f>
        <v>0</v>
      </c>
      <c r="O192" s="42">
        <f>O191+N192</f>
        <v>0</v>
      </c>
      <c r="P192" s="42">
        <f>P191+O192</f>
        <v>0</v>
      </c>
      <c r="Q192" s="42">
        <f>Q191+P192</f>
        <v>0</v>
      </c>
      <c r="R192" s="42">
        <f>R191+Q192</f>
        <v>0</v>
      </c>
      <c r="S192" s="42">
        <f>S191+R192</f>
        <v>0</v>
      </c>
      <c r="T192" s="42"/>
      <c r="U192" s="42"/>
      <c r="V192" s="42"/>
      <c r="W192" s="42"/>
    </row>
    <row r="193" spans="1:24" s="48" customFormat="1" ht="21.8" hidden="1" customHeight="1">
      <c r="A193" s="610"/>
      <c r="B193" s="576" t="s">
        <v>69</v>
      </c>
      <c r="C193" s="577"/>
      <c r="D193" s="178" t="str">
        <f>серпень!D193</f>
        <v>факт. нат.п-ки 2023</v>
      </c>
      <c r="E193" s="11"/>
      <c r="F193" s="12"/>
      <c r="G193" s="12"/>
      <c r="H193" s="12"/>
      <c r="I193" s="12"/>
      <c r="J193" s="12"/>
      <c r="K193" s="12"/>
      <c r="L193" s="65">
        <f>SUM(F193:K193)</f>
        <v>0</v>
      </c>
      <c r="M193" s="65">
        <f>L193/6</f>
        <v>0</v>
      </c>
      <c r="N193" s="12"/>
      <c r="O193" s="12"/>
      <c r="P193" s="12"/>
      <c r="Q193" s="12"/>
      <c r="R193" s="12"/>
      <c r="S193" s="12"/>
      <c r="T193" s="65">
        <f>SUM(N193:S193)</f>
        <v>0</v>
      </c>
      <c r="U193" s="66">
        <f>T193+L193</f>
        <v>0</v>
      </c>
      <c r="V193" s="67"/>
      <c r="W193" s="38">
        <f>V193-U193</f>
        <v>0</v>
      </c>
      <c r="X193" s="47"/>
    </row>
    <row r="194" spans="1:24" s="48" customFormat="1" ht="21.8" hidden="1" customHeight="1">
      <c r="A194" s="610"/>
      <c r="B194" s="576"/>
      <c r="C194" s="577"/>
      <c r="D194" s="178" t="str">
        <f>серпень!D194</f>
        <v>факт. нат.п-ки 2024</v>
      </c>
      <c r="E194" s="11"/>
      <c r="F194" s="12"/>
      <c r="G194" s="12"/>
      <c r="H194" s="12"/>
      <c r="I194" s="12"/>
      <c r="J194" s="12"/>
      <c r="K194" s="12"/>
      <c r="L194" s="65">
        <f>SUM(F194:K194)</f>
        <v>0</v>
      </c>
      <c r="M194" s="65">
        <f>L194/6</f>
        <v>0</v>
      </c>
      <c r="N194" s="11"/>
      <c r="O194" s="11"/>
      <c r="P194" s="11"/>
      <c r="Q194" s="11"/>
      <c r="R194" s="11"/>
      <c r="S194" s="11"/>
      <c r="T194" s="65">
        <f>SUM(N194:S194)</f>
        <v>0</v>
      </c>
      <c r="U194" s="66">
        <f>T194+L194</f>
        <v>0</v>
      </c>
      <c r="V194" s="67"/>
      <c r="W194" s="38">
        <f>V194-U194</f>
        <v>0</v>
      </c>
      <c r="X194" s="47"/>
    </row>
    <row r="195" spans="1:24" s="48" customFormat="1" ht="21.8" hidden="1" customHeight="1">
      <c r="A195" s="610"/>
      <c r="B195" s="576"/>
      <c r="C195" s="577"/>
      <c r="D195" s="178" t="str">
        <f>серпень!D195</f>
        <v>факт. нат.п-ки 2025</v>
      </c>
      <c r="E195" s="11"/>
      <c r="F195" s="12"/>
      <c r="G195" s="12"/>
      <c r="H195" s="12"/>
      <c r="I195" s="12"/>
      <c r="J195" s="12"/>
      <c r="K195" s="12"/>
      <c r="L195" s="65">
        <f>SUM(F195:K195)</f>
        <v>0</v>
      </c>
      <c r="M195" s="65">
        <f>L195/6</f>
        <v>0</v>
      </c>
      <c r="N195" s="12"/>
      <c r="O195" s="12"/>
      <c r="P195" s="12"/>
      <c r="Q195" s="12"/>
      <c r="R195" s="12"/>
      <c r="S195" s="11"/>
      <c r="T195" s="65">
        <f>SUM(N195:S195)</f>
        <v>0</v>
      </c>
      <c r="U195" s="66">
        <f>T195+L195</f>
        <v>0</v>
      </c>
      <c r="V195" s="11"/>
      <c r="W195" s="38">
        <f>V195-U195</f>
        <v>0</v>
      </c>
      <c r="X195" s="47"/>
    </row>
    <row r="196" spans="1:24" s="51" customFormat="1" ht="21.8" hidden="1" customHeight="1">
      <c r="A196" s="610"/>
      <c r="B196" s="576"/>
      <c r="C196" s="577"/>
      <c r="D196" s="187" t="str">
        <f>серпень!D196</f>
        <v>тариф, грн.</v>
      </c>
      <c r="E196" s="49"/>
      <c r="F196" s="49">
        <v>1441.6559999999999</v>
      </c>
      <c r="G196" s="49">
        <v>1441.6559999999999</v>
      </c>
      <c r="H196" s="49">
        <v>1441.6559999999999</v>
      </c>
      <c r="I196" s="49">
        <v>1441.6559999999999</v>
      </c>
      <c r="J196" s="49">
        <v>1441.6559999999999</v>
      </c>
      <c r="K196" s="49">
        <v>1441.6559999999999</v>
      </c>
      <c r="L196" s="49" t="e">
        <f>L197/L195*1000</f>
        <v>#DIV/0!</v>
      </c>
      <c r="M196" s="49" t="e">
        <f>M197/M195*1000</f>
        <v>#DIV/0!</v>
      </c>
      <c r="N196" s="49">
        <v>1441.6559999999999</v>
      </c>
      <c r="O196" s="49">
        <v>1441.6559999999999</v>
      </c>
      <c r="P196" s="49">
        <v>1441.6559999999999</v>
      </c>
      <c r="Q196" s="49">
        <v>1441.6559999999999</v>
      </c>
      <c r="R196" s="49">
        <v>1441.6559999999999</v>
      </c>
      <c r="S196" s="49">
        <v>1441.6559999999999</v>
      </c>
      <c r="T196" s="49" t="e">
        <f>T197/T195*1000</f>
        <v>#DIV/0!</v>
      </c>
      <c r="U196" s="49" t="e">
        <f>U197/U195*1000</f>
        <v>#DIV/0!</v>
      </c>
      <c r="V196" s="68" t="e">
        <f>V197/V195*1000</f>
        <v>#DIV/0!</v>
      </c>
      <c r="W196" s="14" t="e">
        <f>W197/W195*1000</f>
        <v>#DIV/0!</v>
      </c>
      <c r="X196" s="59"/>
    </row>
    <row r="197" spans="1:24" s="55" customFormat="1" ht="21.8" hidden="1" customHeight="1">
      <c r="A197" s="610"/>
      <c r="B197" s="576"/>
      <c r="C197" s="577"/>
      <c r="D197" s="191" t="str">
        <f>серпень!D197</f>
        <v>сума, тис.грн.</v>
      </c>
      <c r="E197" s="52"/>
      <c r="F197" s="52">
        <f t="shared" ref="F197:K197" si="238">F195*F196/1000</f>
        <v>0</v>
      </c>
      <c r="G197" s="52">
        <f t="shared" si="238"/>
        <v>0</v>
      </c>
      <c r="H197" s="52">
        <f t="shared" si="238"/>
        <v>0</v>
      </c>
      <c r="I197" s="52">
        <f t="shared" si="238"/>
        <v>0</v>
      </c>
      <c r="J197" s="52">
        <f t="shared" si="238"/>
        <v>0</v>
      </c>
      <c r="K197" s="52">
        <f t="shared" si="238"/>
        <v>0</v>
      </c>
      <c r="L197" s="69">
        <f>SUM(F197:K197)</f>
        <v>0</v>
      </c>
      <c r="M197" s="69">
        <f>L197/6</f>
        <v>0</v>
      </c>
      <c r="N197" s="52">
        <f t="shared" ref="N197:S197" si="239">N195*N196/1000</f>
        <v>0</v>
      </c>
      <c r="O197" s="52">
        <f t="shared" si="239"/>
        <v>0</v>
      </c>
      <c r="P197" s="52">
        <f t="shared" si="239"/>
        <v>0</v>
      </c>
      <c r="Q197" s="52">
        <f t="shared" si="239"/>
        <v>0</v>
      </c>
      <c r="R197" s="52">
        <f t="shared" si="239"/>
        <v>0</v>
      </c>
      <c r="S197" s="52">
        <f t="shared" si="239"/>
        <v>0</v>
      </c>
      <c r="T197" s="69">
        <f>SUM(N197:S197)</f>
        <v>0</v>
      </c>
      <c r="U197" s="69">
        <f>T197+L197</f>
        <v>0</v>
      </c>
      <c r="V197" s="70">
        <f>V198+V199</f>
        <v>0</v>
      </c>
      <c r="W197" s="53">
        <f>V197-U197</f>
        <v>0</v>
      </c>
      <c r="X197" s="54">
        <f>2726951.723/1000</f>
        <v>2726.9520000000002</v>
      </c>
    </row>
    <row r="198" spans="1:24" s="55" customFormat="1" ht="21.8" hidden="1" customHeight="1">
      <c r="A198" s="610"/>
      <c r="B198" s="576"/>
      <c r="C198" s="577"/>
      <c r="D198" s="174" t="str">
        <f>серпень!D198</f>
        <v>дотація</v>
      </c>
      <c r="E198" s="56"/>
      <c r="F198" s="52"/>
      <c r="G198" s="52"/>
      <c r="H198" s="52"/>
      <c r="I198" s="52"/>
      <c r="J198" s="52"/>
      <c r="K198" s="52"/>
      <c r="L198" s="69">
        <f>SUM(F198:K198)</f>
        <v>0</v>
      </c>
      <c r="M198" s="69">
        <f>L198/6</f>
        <v>0</v>
      </c>
      <c r="N198" s="52"/>
      <c r="O198" s="52"/>
      <c r="P198" s="52"/>
      <c r="Q198" s="52"/>
      <c r="R198" s="52"/>
      <c r="S198" s="52"/>
      <c r="T198" s="69">
        <f>SUM(N198:S198)</f>
        <v>0</v>
      </c>
      <c r="U198" s="69">
        <f>T198+L198</f>
        <v>0</v>
      </c>
      <c r="V198" s="70">
        <v>0</v>
      </c>
      <c r="W198" s="53">
        <f>V198-U198</f>
        <v>0</v>
      </c>
      <c r="X198" s="58"/>
    </row>
    <row r="199" spans="1:24" s="55" customFormat="1" ht="21.8" hidden="1" customHeight="1">
      <c r="A199" s="610"/>
      <c r="B199" s="576"/>
      <c r="C199" s="577"/>
      <c r="D199" s="174" t="str">
        <f>серпень!D199</f>
        <v>місцевий (план), тис.грн</v>
      </c>
      <c r="E199" s="56"/>
      <c r="F199" s="52"/>
      <c r="G199" s="52"/>
      <c r="H199" s="52"/>
      <c r="I199" s="52"/>
      <c r="J199" s="52"/>
      <c r="K199" s="52"/>
      <c r="L199" s="69">
        <f>SUM(F199:K199)</f>
        <v>0</v>
      </c>
      <c r="M199" s="69">
        <f>L199/6</f>
        <v>0</v>
      </c>
      <c r="N199" s="52"/>
      <c r="O199" s="52"/>
      <c r="P199" s="52"/>
      <c r="Q199" s="52"/>
      <c r="R199" s="52"/>
      <c r="S199" s="52"/>
      <c r="T199" s="69">
        <f>SUM(N199:S199)</f>
        <v>0</v>
      </c>
      <c r="U199" s="69">
        <f>T199+L199</f>
        <v>0</v>
      </c>
      <c r="V199" s="70"/>
      <c r="W199" s="53">
        <f>V199-U199</f>
        <v>0</v>
      </c>
      <c r="X199" s="58"/>
    </row>
    <row r="200" spans="1:24" s="48" customFormat="1" ht="21.8" hidden="1" customHeight="1">
      <c r="A200" s="610"/>
      <c r="B200" s="576"/>
      <c r="C200" s="577"/>
      <c r="D200" s="178" t="str">
        <f>серпень!D200</f>
        <v>касові нат.п-ки 2025</v>
      </c>
      <c r="E200" s="11"/>
      <c r="F200" s="11"/>
      <c r="G200" s="11"/>
      <c r="H200" s="11"/>
      <c r="I200" s="11"/>
      <c r="J200" s="11"/>
      <c r="K200" s="11"/>
      <c r="L200" s="65">
        <f>SUM(F200:K200)</f>
        <v>0</v>
      </c>
      <c r="M200" s="65">
        <f>L200/6</f>
        <v>0</v>
      </c>
      <c r="N200" s="11"/>
      <c r="O200" s="11"/>
      <c r="P200" s="11"/>
      <c r="Q200" s="11"/>
      <c r="R200" s="11"/>
      <c r="S200" s="11">
        <f>S195+R195</f>
        <v>0</v>
      </c>
      <c r="T200" s="65">
        <f>SUM(N200:S200)</f>
        <v>0</v>
      </c>
      <c r="U200" s="65">
        <f>T200+L200</f>
        <v>0</v>
      </c>
      <c r="V200" s="11">
        <f>V195</f>
        <v>0</v>
      </c>
      <c r="W200" s="38">
        <f>V200-U200</f>
        <v>0</v>
      </c>
      <c r="X200" s="47">
        <f>U195-U200</f>
        <v>0</v>
      </c>
    </row>
    <row r="201" spans="1:24" s="51" customFormat="1" ht="21.8" hidden="1" customHeight="1">
      <c r="A201" s="610"/>
      <c r="B201" s="576"/>
      <c r="C201" s="577"/>
      <c r="D201" s="187" t="str">
        <f>серпень!D201</f>
        <v>тариф, грн.</v>
      </c>
      <c r="E201" s="49" t="e">
        <f>E202/E200*1000</f>
        <v>#DIV/0!</v>
      </c>
      <c r="F201" s="49">
        <v>1441.6559999999999</v>
      </c>
      <c r="G201" s="49">
        <v>1441.6559999999999</v>
      </c>
      <c r="H201" s="49">
        <v>1441.6559999999999</v>
      </c>
      <c r="I201" s="49">
        <v>1441.6559999999999</v>
      </c>
      <c r="J201" s="49">
        <v>1441.6559999999999</v>
      </c>
      <c r="K201" s="49">
        <v>1441.6559999999999</v>
      </c>
      <c r="L201" s="49" t="e">
        <f>L202/L200*1000</f>
        <v>#DIV/0!</v>
      </c>
      <c r="M201" s="49" t="e">
        <f>M202/M200*1000</f>
        <v>#DIV/0!</v>
      </c>
      <c r="N201" s="49">
        <v>1441.6559999999999</v>
      </c>
      <c r="O201" s="49">
        <v>1441.6559999999999</v>
      </c>
      <c r="P201" s="49">
        <v>1441.6559999999999</v>
      </c>
      <c r="Q201" s="49">
        <v>1441.6559999999999</v>
      </c>
      <c r="R201" s="49">
        <v>1441.6559999999999</v>
      </c>
      <c r="S201" s="49">
        <v>1441.6559999999999</v>
      </c>
      <c r="T201" s="49" t="e">
        <f>T202/T200*1000</f>
        <v>#DIV/0!</v>
      </c>
      <c r="U201" s="49" t="e">
        <f>U202/U200*1000</f>
        <v>#DIV/0!</v>
      </c>
      <c r="V201" s="68" t="e">
        <f>V202/V200*1000</f>
        <v>#DIV/0!</v>
      </c>
      <c r="W201" s="14" t="e">
        <f>W202/W200*1000</f>
        <v>#DIV/0!</v>
      </c>
      <c r="X201" s="59"/>
    </row>
    <row r="202" spans="1:24" s="63" customFormat="1" ht="21.8" hidden="1" customHeight="1">
      <c r="A202" s="610"/>
      <c r="B202" s="576"/>
      <c r="C202" s="577"/>
      <c r="D202" s="198" t="str">
        <f>серпень!D202</f>
        <v>касові видатки, тис.грн.</v>
      </c>
      <c r="E202" s="71"/>
      <c r="F202" s="61">
        <f t="shared" ref="F202:K202" si="240">F200*F201/1000</f>
        <v>0</v>
      </c>
      <c r="G202" s="61">
        <f t="shared" si="240"/>
        <v>0</v>
      </c>
      <c r="H202" s="61">
        <f t="shared" si="240"/>
        <v>0</v>
      </c>
      <c r="I202" s="61">
        <f t="shared" si="240"/>
        <v>0</v>
      </c>
      <c r="J202" s="61">
        <f t="shared" si="240"/>
        <v>0</v>
      </c>
      <c r="K202" s="61">
        <f t="shared" si="240"/>
        <v>0</v>
      </c>
      <c r="L202" s="61">
        <f>SUM(F202:K202)</f>
        <v>0</v>
      </c>
      <c r="M202" s="61">
        <f>L202/6</f>
        <v>0</v>
      </c>
      <c r="N202" s="61">
        <f t="shared" ref="N202:S202" si="241">N200*N201/1000</f>
        <v>0</v>
      </c>
      <c r="O202" s="61">
        <f t="shared" si="241"/>
        <v>0</v>
      </c>
      <c r="P202" s="61">
        <f t="shared" si="241"/>
        <v>0</v>
      </c>
      <c r="Q202" s="61">
        <f t="shared" si="241"/>
        <v>0</v>
      </c>
      <c r="R202" s="61">
        <f t="shared" si="241"/>
        <v>0</v>
      </c>
      <c r="S202" s="61">
        <f t="shared" si="241"/>
        <v>0</v>
      </c>
      <c r="T202" s="61">
        <f>SUM(N202:S202)</f>
        <v>0</v>
      </c>
      <c r="U202" s="61">
        <f>T202+L202</f>
        <v>0</v>
      </c>
      <c r="V202" s="61">
        <f>V197</f>
        <v>0</v>
      </c>
      <c r="W202" s="72">
        <f>V202-U202</f>
        <v>0</v>
      </c>
      <c r="X202" s="63">
        <f>U197-U202</f>
        <v>0</v>
      </c>
    </row>
    <row r="203" spans="1:24" s="63" customFormat="1" ht="21.8" hidden="1" customHeight="1">
      <c r="A203" s="610"/>
      <c r="B203" s="576"/>
      <c r="C203" s="577"/>
      <c r="D203" s="201" t="str">
        <f>серпень!D203</f>
        <v>дотація</v>
      </c>
      <c r="E203" s="71"/>
      <c r="F203" s="61"/>
      <c r="G203" s="61"/>
      <c r="H203" s="61"/>
      <c r="I203" s="61"/>
      <c r="J203" s="61"/>
      <c r="K203" s="61"/>
      <c r="L203" s="61">
        <f>SUM(F203:K203)</f>
        <v>0</v>
      </c>
      <c r="M203" s="61">
        <f>L203/6</f>
        <v>0</v>
      </c>
      <c r="N203" s="61"/>
      <c r="O203" s="61"/>
      <c r="P203" s="61"/>
      <c r="Q203" s="61"/>
      <c r="R203" s="61"/>
      <c r="S203" s="61"/>
      <c r="T203" s="61">
        <f>SUM(N203:S203)</f>
        <v>0</v>
      </c>
      <c r="U203" s="61">
        <f>T203+L203</f>
        <v>0</v>
      </c>
      <c r="V203" s="61">
        <f>V198</f>
        <v>0</v>
      </c>
      <c r="W203" s="72">
        <f>V203-U203</f>
        <v>0</v>
      </c>
      <c r="X203" s="63">
        <f>U198-U203</f>
        <v>0</v>
      </c>
    </row>
    <row r="204" spans="1:24" s="63" customFormat="1" ht="21.8" hidden="1" customHeight="1">
      <c r="A204" s="610"/>
      <c r="B204" s="576"/>
      <c r="C204" s="577"/>
      <c r="D204" s="201" t="str">
        <f>серпень!D204</f>
        <v xml:space="preserve">місцевий </v>
      </c>
      <c r="E204" s="71"/>
      <c r="F204" s="61">
        <f t="shared" ref="F204:K204" si="242">F202-F203</f>
        <v>0</v>
      </c>
      <c r="G204" s="61">
        <f t="shared" si="242"/>
        <v>0</v>
      </c>
      <c r="H204" s="61">
        <f t="shared" si="242"/>
        <v>0</v>
      </c>
      <c r="I204" s="61">
        <f t="shared" si="242"/>
        <v>0</v>
      </c>
      <c r="J204" s="61">
        <f t="shared" si="242"/>
        <v>0</v>
      </c>
      <c r="K204" s="61">
        <f t="shared" si="242"/>
        <v>0</v>
      </c>
      <c r="L204" s="61">
        <f>SUM(F204:K204)</f>
        <v>0</v>
      </c>
      <c r="M204" s="61">
        <f>L204/6</f>
        <v>0</v>
      </c>
      <c r="N204" s="61">
        <f t="shared" ref="N204:S204" si="243">N202-N203</f>
        <v>0</v>
      </c>
      <c r="O204" s="61">
        <f t="shared" si="243"/>
        <v>0</v>
      </c>
      <c r="P204" s="61">
        <f t="shared" si="243"/>
        <v>0</v>
      </c>
      <c r="Q204" s="61">
        <f t="shared" si="243"/>
        <v>0</v>
      </c>
      <c r="R204" s="61">
        <f t="shared" si="243"/>
        <v>0</v>
      </c>
      <c r="S204" s="61">
        <f t="shared" si="243"/>
        <v>0</v>
      </c>
      <c r="T204" s="61">
        <f>SUM(N204:S204)</f>
        <v>0</v>
      </c>
      <c r="U204" s="61">
        <f>T204+L204</f>
        <v>0</v>
      </c>
      <c r="V204" s="61">
        <f>V199</f>
        <v>0</v>
      </c>
      <c r="W204" s="72">
        <f>V204-U204</f>
        <v>0</v>
      </c>
      <c r="X204" s="63">
        <f>U199-U204</f>
        <v>0</v>
      </c>
    </row>
    <row r="205" spans="1:24" s="43" customFormat="1" ht="21.8" hidden="1" customHeight="1">
      <c r="A205" s="610"/>
      <c r="B205" s="576"/>
      <c r="C205" s="577"/>
      <c r="D205" s="202" t="str">
        <f>серпень!D205</f>
        <v>план</v>
      </c>
      <c r="E205" s="42"/>
      <c r="F205" s="42">
        <f t="shared" ref="F205:K205" si="244">F199</f>
        <v>0</v>
      </c>
      <c r="G205" s="42">
        <f t="shared" si="244"/>
        <v>0</v>
      </c>
      <c r="H205" s="42">
        <f t="shared" si="244"/>
        <v>0</v>
      </c>
      <c r="I205" s="42">
        <f t="shared" si="244"/>
        <v>0</v>
      </c>
      <c r="J205" s="42">
        <f t="shared" si="244"/>
        <v>0</v>
      </c>
      <c r="K205" s="42">
        <f t="shared" si="244"/>
        <v>0</v>
      </c>
      <c r="L205" s="42">
        <f>SUM(F205:K205)</f>
        <v>0</v>
      </c>
      <c r="M205" s="42">
        <f>L205/6</f>
        <v>0</v>
      </c>
      <c r="N205" s="42">
        <f t="shared" ref="N205:S205" si="245">N199+N198</f>
        <v>0</v>
      </c>
      <c r="O205" s="42">
        <f t="shared" si="245"/>
        <v>0</v>
      </c>
      <c r="P205" s="42">
        <f t="shared" si="245"/>
        <v>0</v>
      </c>
      <c r="Q205" s="42">
        <f t="shared" si="245"/>
        <v>0</v>
      </c>
      <c r="R205" s="42">
        <f t="shared" si="245"/>
        <v>0</v>
      </c>
      <c r="S205" s="42">
        <f t="shared" si="245"/>
        <v>0</v>
      </c>
      <c r="T205" s="42">
        <f>SUM(N205:S205)</f>
        <v>0</v>
      </c>
      <c r="U205" s="42">
        <f>T205+L205</f>
        <v>0</v>
      </c>
      <c r="V205" s="42">
        <f>V202</f>
        <v>0</v>
      </c>
      <c r="W205" s="42">
        <f>V205-U205</f>
        <v>0</v>
      </c>
    </row>
    <row r="206" spans="1:24" s="43" customFormat="1" ht="21.8" hidden="1" customHeight="1">
      <c r="A206" s="610"/>
      <c r="B206" s="576"/>
      <c r="C206" s="577"/>
      <c r="D206" s="202" t="str">
        <f>серпень!D206</f>
        <v xml:space="preserve">відхилення </v>
      </c>
      <c r="E206" s="42"/>
      <c r="F206" s="42">
        <f t="shared" ref="F206:K206" si="246">F202-F205</f>
        <v>0</v>
      </c>
      <c r="G206" s="42">
        <f t="shared" si="246"/>
        <v>0</v>
      </c>
      <c r="H206" s="42">
        <f t="shared" si="246"/>
        <v>0</v>
      </c>
      <c r="I206" s="42">
        <f t="shared" si="246"/>
        <v>0</v>
      </c>
      <c r="J206" s="42">
        <f t="shared" si="246"/>
        <v>0</v>
      </c>
      <c r="K206" s="42">
        <f t="shared" si="246"/>
        <v>0</v>
      </c>
      <c r="L206" s="42"/>
      <c r="M206" s="42"/>
      <c r="N206" s="42">
        <f t="shared" ref="N206:S206" si="247">N202-N205</f>
        <v>0</v>
      </c>
      <c r="O206" s="42">
        <f t="shared" si="247"/>
        <v>0</v>
      </c>
      <c r="P206" s="42">
        <f t="shared" si="247"/>
        <v>0</v>
      </c>
      <c r="Q206" s="42">
        <f t="shared" si="247"/>
        <v>0</v>
      </c>
      <c r="R206" s="42">
        <f t="shared" si="247"/>
        <v>0</v>
      </c>
      <c r="S206" s="42">
        <f t="shared" si="247"/>
        <v>0</v>
      </c>
      <c r="T206" s="42"/>
      <c r="U206" s="42"/>
      <c r="V206" s="42"/>
      <c r="W206" s="42"/>
    </row>
    <row r="207" spans="1:24" s="43" customFormat="1" ht="21.8" hidden="1" customHeight="1">
      <c r="A207" s="611"/>
      <c r="B207" s="578"/>
      <c r="C207" s="579"/>
      <c r="D207" s="202" t="str">
        <f>серпень!D207</f>
        <v>відхилення з наростаючим</v>
      </c>
      <c r="E207" s="42"/>
      <c r="F207" s="42">
        <f>F206</f>
        <v>0</v>
      </c>
      <c r="G207" s="42">
        <f>G206+F207</f>
        <v>0</v>
      </c>
      <c r="H207" s="42">
        <f>H206+G207</f>
        <v>0</v>
      </c>
      <c r="I207" s="42">
        <f>I206+H207</f>
        <v>0</v>
      </c>
      <c r="J207" s="42">
        <f>J206+I207</f>
        <v>0</v>
      </c>
      <c r="K207" s="42">
        <f>K206+J207</f>
        <v>0</v>
      </c>
      <c r="L207" s="42"/>
      <c r="M207" s="42"/>
      <c r="N207" s="42">
        <f>N206+K207</f>
        <v>0</v>
      </c>
      <c r="O207" s="42">
        <f>O206+N207</f>
        <v>0</v>
      </c>
      <c r="P207" s="42">
        <f>P206+O207</f>
        <v>0</v>
      </c>
      <c r="Q207" s="42">
        <f>Q206+P207</f>
        <v>0</v>
      </c>
      <c r="R207" s="42">
        <f>R206+Q207</f>
        <v>0</v>
      </c>
      <c r="S207" s="42">
        <f>S206+R207</f>
        <v>0</v>
      </c>
      <c r="T207" s="42"/>
      <c r="U207" s="42"/>
      <c r="V207" s="42"/>
      <c r="W207" s="42"/>
    </row>
    <row r="208" spans="1:24" s="47" customFormat="1" ht="21.8" hidden="1" customHeight="1">
      <c r="A208" s="609"/>
      <c r="B208" s="580" t="s">
        <v>92</v>
      </c>
      <c r="C208" s="575"/>
      <c r="D208" s="178" t="str">
        <f>серпень!D208</f>
        <v>факт. нат.п-ки 2023</v>
      </c>
      <c r="E208" s="11"/>
      <c r="F208" s="12">
        <f t="shared" ref="F208:K210" si="248">F223+F238</f>
        <v>0</v>
      </c>
      <c r="G208" s="12">
        <f t="shared" si="248"/>
        <v>0</v>
      </c>
      <c r="H208" s="12">
        <f t="shared" si="248"/>
        <v>0</v>
      </c>
      <c r="I208" s="12">
        <f t="shared" si="248"/>
        <v>0</v>
      </c>
      <c r="J208" s="12">
        <f t="shared" si="248"/>
        <v>0</v>
      </c>
      <c r="K208" s="12">
        <f t="shared" si="248"/>
        <v>0</v>
      </c>
      <c r="L208" s="44">
        <f>SUM(F208:K208)</f>
        <v>0</v>
      </c>
      <c r="M208" s="44">
        <f>L208/6</f>
        <v>0</v>
      </c>
      <c r="N208" s="12">
        <f t="shared" ref="N208:S210" si="249">N223+N238</f>
        <v>0</v>
      </c>
      <c r="O208" s="12">
        <f t="shared" si="249"/>
        <v>0</v>
      </c>
      <c r="P208" s="12">
        <f t="shared" si="249"/>
        <v>0</v>
      </c>
      <c r="Q208" s="12">
        <f t="shared" si="249"/>
        <v>0</v>
      </c>
      <c r="R208" s="12">
        <f t="shared" si="249"/>
        <v>0</v>
      </c>
      <c r="S208" s="12">
        <f t="shared" si="249"/>
        <v>0</v>
      </c>
      <c r="T208" s="44">
        <f>SUM(N208:S208)</f>
        <v>0</v>
      </c>
      <c r="U208" s="45">
        <f>T208+L208</f>
        <v>0</v>
      </c>
      <c r="V208" s="46">
        <f>V223+V238</f>
        <v>0</v>
      </c>
      <c r="W208" s="38">
        <f>V208-U208</f>
        <v>0</v>
      </c>
    </row>
    <row r="209" spans="1:24" s="47" customFormat="1" ht="21.8" hidden="1" customHeight="1">
      <c r="A209" s="610"/>
      <c r="B209" s="576"/>
      <c r="C209" s="577"/>
      <c r="D209" s="178" t="str">
        <f>серпень!D209</f>
        <v>факт. нат.п-ки 2024</v>
      </c>
      <c r="E209" s="11"/>
      <c r="F209" s="12">
        <f t="shared" si="248"/>
        <v>0</v>
      </c>
      <c r="G209" s="12">
        <f t="shared" si="248"/>
        <v>0</v>
      </c>
      <c r="H209" s="12">
        <f t="shared" si="248"/>
        <v>0</v>
      </c>
      <c r="I209" s="12">
        <f t="shared" si="248"/>
        <v>0</v>
      </c>
      <c r="J209" s="12">
        <f>J224+J239</f>
        <v>0</v>
      </c>
      <c r="K209" s="12">
        <f t="shared" si="248"/>
        <v>0</v>
      </c>
      <c r="L209" s="44">
        <f>SUM(F209:K209)</f>
        <v>0</v>
      </c>
      <c r="M209" s="44">
        <f>L209/6</f>
        <v>0</v>
      </c>
      <c r="N209" s="11">
        <f t="shared" si="249"/>
        <v>0</v>
      </c>
      <c r="O209" s="11">
        <f t="shared" si="249"/>
        <v>0</v>
      </c>
      <c r="P209" s="11">
        <f t="shared" si="249"/>
        <v>0</v>
      </c>
      <c r="Q209" s="11">
        <f t="shared" si="249"/>
        <v>0</v>
      </c>
      <c r="R209" s="11">
        <f t="shared" si="249"/>
        <v>0</v>
      </c>
      <c r="S209" s="11">
        <f t="shared" si="249"/>
        <v>0</v>
      </c>
      <c r="T209" s="44">
        <f>SUM(N209:S209)</f>
        <v>0</v>
      </c>
      <c r="U209" s="45">
        <f>T209+L209</f>
        <v>0</v>
      </c>
      <c r="V209" s="46">
        <f>V224+V239</f>
        <v>0</v>
      </c>
      <c r="W209" s="38">
        <f>V209-U209</f>
        <v>0</v>
      </c>
    </row>
    <row r="210" spans="1:24" s="47" customFormat="1" ht="21.8" hidden="1" customHeight="1">
      <c r="A210" s="610"/>
      <c r="B210" s="576"/>
      <c r="C210" s="577"/>
      <c r="D210" s="178" t="str">
        <f>серпень!D210</f>
        <v>факт. нат.п-ки 2025</v>
      </c>
      <c r="E210" s="11"/>
      <c r="F210" s="12">
        <f t="shared" si="248"/>
        <v>0</v>
      </c>
      <c r="G210" s="12">
        <f t="shared" si="248"/>
        <v>0</v>
      </c>
      <c r="H210" s="12">
        <f t="shared" si="248"/>
        <v>0</v>
      </c>
      <c r="I210" s="12">
        <f t="shared" si="248"/>
        <v>0</v>
      </c>
      <c r="J210" s="12">
        <f>J225+J240</f>
        <v>0</v>
      </c>
      <c r="K210" s="12">
        <f t="shared" si="248"/>
        <v>0</v>
      </c>
      <c r="L210" s="44">
        <f>SUM(F210:K210)</f>
        <v>0</v>
      </c>
      <c r="M210" s="44">
        <f>L210/6</f>
        <v>0</v>
      </c>
      <c r="N210" s="12">
        <f t="shared" si="249"/>
        <v>0</v>
      </c>
      <c r="O210" s="12">
        <f t="shared" si="249"/>
        <v>0</v>
      </c>
      <c r="P210" s="12">
        <f t="shared" si="249"/>
        <v>0</v>
      </c>
      <c r="Q210" s="12">
        <f t="shared" si="249"/>
        <v>0</v>
      </c>
      <c r="R210" s="12">
        <f t="shared" si="249"/>
        <v>0</v>
      </c>
      <c r="S210" s="12">
        <f t="shared" si="249"/>
        <v>0</v>
      </c>
      <c r="T210" s="44">
        <f>SUM(N210:S210)</f>
        <v>0</v>
      </c>
      <c r="U210" s="45">
        <f>T210+L210</f>
        <v>0</v>
      </c>
      <c r="V210" s="46">
        <f>V225+V240</f>
        <v>0</v>
      </c>
      <c r="W210" s="38">
        <f>V210-U210</f>
        <v>0</v>
      </c>
    </row>
    <row r="211" spans="1:24" s="47" customFormat="1" ht="21.8" hidden="1" customHeight="1">
      <c r="A211" s="610"/>
      <c r="B211" s="576"/>
      <c r="C211" s="577"/>
      <c r="D211" s="187" t="str">
        <f>серпень!D211</f>
        <v>тариф, грн.</v>
      </c>
      <c r="E211" s="49"/>
      <c r="F211" s="49" t="e">
        <f>F212/F210*1000</f>
        <v>#DIV/0!</v>
      </c>
      <c r="G211" s="49" t="e">
        <f>G212/G210*1000</f>
        <v>#DIV/0!</v>
      </c>
      <c r="H211" s="49" t="e">
        <f>H212/H210*1000</f>
        <v>#DIV/0!</v>
      </c>
      <c r="I211" s="49" t="e">
        <f>I212/I210*1000</f>
        <v>#DIV/0!</v>
      </c>
      <c r="J211" s="49" t="e">
        <f>J212/J210*1000</f>
        <v>#DIV/0!</v>
      </c>
      <c r="K211" s="49" t="e">
        <f t="shared" ref="K211:S211" si="250">K212/K210*1000</f>
        <v>#DIV/0!</v>
      </c>
      <c r="L211" s="49" t="e">
        <f t="shared" si="250"/>
        <v>#DIV/0!</v>
      </c>
      <c r="M211" s="49" t="e">
        <f t="shared" si="250"/>
        <v>#DIV/0!</v>
      </c>
      <c r="N211" s="49" t="e">
        <f t="shared" si="250"/>
        <v>#DIV/0!</v>
      </c>
      <c r="O211" s="49" t="e">
        <f t="shared" si="250"/>
        <v>#DIV/0!</v>
      </c>
      <c r="P211" s="49" t="e">
        <f t="shared" si="250"/>
        <v>#DIV/0!</v>
      </c>
      <c r="Q211" s="49" t="e">
        <f t="shared" si="250"/>
        <v>#DIV/0!</v>
      </c>
      <c r="R211" s="49" t="e">
        <f t="shared" si="250"/>
        <v>#DIV/0!</v>
      </c>
      <c r="S211" s="49" t="e">
        <f t="shared" si="250"/>
        <v>#DIV/0!</v>
      </c>
      <c r="T211" s="49" t="e">
        <f>T212/T210*1000</f>
        <v>#DIV/0!</v>
      </c>
      <c r="U211" s="49" t="e">
        <f>U212/U210*1000</f>
        <v>#DIV/0!</v>
      </c>
      <c r="V211" s="49" t="e">
        <f>V212/V210*1000</f>
        <v>#DIV/0!</v>
      </c>
      <c r="W211" s="14" t="e">
        <f>W212/W210*1000</f>
        <v>#DIV/0!</v>
      </c>
    </row>
    <row r="212" spans="1:24" s="47" customFormat="1" ht="21.8" hidden="1" customHeight="1">
      <c r="A212" s="610"/>
      <c r="B212" s="576"/>
      <c r="C212" s="577"/>
      <c r="D212" s="191" t="str">
        <f>серпень!D212</f>
        <v>сума, тис.грн.</v>
      </c>
      <c r="E212" s="52"/>
      <c r="F212" s="52">
        <f t="shared" ref="F212:K215" si="251">F227+F242</f>
        <v>0</v>
      </c>
      <c r="G212" s="52">
        <f t="shared" si="251"/>
        <v>0</v>
      </c>
      <c r="H212" s="52">
        <f t="shared" si="251"/>
        <v>0</v>
      </c>
      <c r="I212" s="52">
        <f t="shared" si="251"/>
        <v>0</v>
      </c>
      <c r="J212" s="52">
        <f t="shared" si="251"/>
        <v>0</v>
      </c>
      <c r="K212" s="52">
        <f t="shared" si="251"/>
        <v>0</v>
      </c>
      <c r="L212" s="52">
        <f>SUM(F212:K212)</f>
        <v>0</v>
      </c>
      <c r="M212" s="52">
        <f>L212/6</f>
        <v>0</v>
      </c>
      <c r="N212" s="52">
        <f t="shared" ref="N212:S215" si="252">N227+N242</f>
        <v>0</v>
      </c>
      <c r="O212" s="52">
        <f t="shared" si="252"/>
        <v>0</v>
      </c>
      <c r="P212" s="52">
        <f t="shared" si="252"/>
        <v>0</v>
      </c>
      <c r="Q212" s="52">
        <f t="shared" si="252"/>
        <v>0</v>
      </c>
      <c r="R212" s="52">
        <f t="shared" si="252"/>
        <v>0</v>
      </c>
      <c r="S212" s="52">
        <f t="shared" si="252"/>
        <v>0</v>
      </c>
      <c r="T212" s="52">
        <f>SUM(N212:S212)</f>
        <v>0</v>
      </c>
      <c r="U212" s="52">
        <f>T212+L212</f>
        <v>0</v>
      </c>
      <c r="V212" s="53">
        <f>V227+V242</f>
        <v>0</v>
      </c>
      <c r="W212" s="53">
        <f>V212-U212</f>
        <v>0</v>
      </c>
    </row>
    <row r="213" spans="1:24" s="47" customFormat="1" ht="21.8" hidden="1" customHeight="1">
      <c r="A213" s="610"/>
      <c r="B213" s="576"/>
      <c r="C213" s="577"/>
      <c r="D213" s="174" t="str">
        <f>серпень!D213</f>
        <v>дотація</v>
      </c>
      <c r="E213" s="56"/>
      <c r="F213" s="52">
        <f t="shared" si="251"/>
        <v>0</v>
      </c>
      <c r="G213" s="52">
        <f t="shared" si="251"/>
        <v>0</v>
      </c>
      <c r="H213" s="52">
        <f t="shared" si="251"/>
        <v>0</v>
      </c>
      <c r="I213" s="52">
        <f t="shared" si="251"/>
        <v>0</v>
      </c>
      <c r="J213" s="52">
        <f>J228+J243</f>
        <v>0</v>
      </c>
      <c r="K213" s="52">
        <f t="shared" si="251"/>
        <v>0</v>
      </c>
      <c r="L213" s="52">
        <f>SUM(F213:K213)</f>
        <v>0</v>
      </c>
      <c r="M213" s="52">
        <f>L213/6</f>
        <v>0</v>
      </c>
      <c r="N213" s="52">
        <f t="shared" si="252"/>
        <v>0</v>
      </c>
      <c r="O213" s="52">
        <f t="shared" si="252"/>
        <v>0</v>
      </c>
      <c r="P213" s="52">
        <f t="shared" si="252"/>
        <v>0</v>
      </c>
      <c r="Q213" s="52">
        <f t="shared" si="252"/>
        <v>0</v>
      </c>
      <c r="R213" s="52">
        <f t="shared" si="252"/>
        <v>0</v>
      </c>
      <c r="S213" s="52">
        <f t="shared" si="252"/>
        <v>0</v>
      </c>
      <c r="T213" s="52">
        <f>SUM(N213:S213)</f>
        <v>0</v>
      </c>
      <c r="U213" s="52">
        <f>T213+L213</f>
        <v>0</v>
      </c>
      <c r="V213" s="53">
        <f>V228+V243</f>
        <v>0</v>
      </c>
      <c r="W213" s="57">
        <f>V213-U213</f>
        <v>0</v>
      </c>
    </row>
    <row r="214" spans="1:24" s="47" customFormat="1" ht="21.8" hidden="1" customHeight="1">
      <c r="A214" s="610"/>
      <c r="B214" s="576"/>
      <c r="C214" s="577"/>
      <c r="D214" s="174" t="str">
        <f>серпень!D214</f>
        <v>місцевий (план), тис.грн</v>
      </c>
      <c r="E214" s="56"/>
      <c r="F214" s="52">
        <f t="shared" si="251"/>
        <v>0</v>
      </c>
      <c r="G214" s="52">
        <f t="shared" si="251"/>
        <v>0</v>
      </c>
      <c r="H214" s="52">
        <f t="shared" si="251"/>
        <v>0</v>
      </c>
      <c r="I214" s="52">
        <f t="shared" si="251"/>
        <v>0</v>
      </c>
      <c r="J214" s="52">
        <f>J229+J244</f>
        <v>0</v>
      </c>
      <c r="K214" s="52">
        <f t="shared" si="251"/>
        <v>0</v>
      </c>
      <c r="L214" s="52">
        <f>SUM(F214:K214)</f>
        <v>0</v>
      </c>
      <c r="M214" s="52">
        <f>L214/6</f>
        <v>0</v>
      </c>
      <c r="N214" s="52">
        <f t="shared" si="252"/>
        <v>0</v>
      </c>
      <c r="O214" s="52">
        <f t="shared" si="252"/>
        <v>0</v>
      </c>
      <c r="P214" s="52">
        <f t="shared" si="252"/>
        <v>0</v>
      </c>
      <c r="Q214" s="52">
        <f t="shared" si="252"/>
        <v>0</v>
      </c>
      <c r="R214" s="52">
        <f t="shared" si="252"/>
        <v>0</v>
      </c>
      <c r="S214" s="52">
        <f t="shared" si="252"/>
        <v>0</v>
      </c>
      <c r="T214" s="52">
        <f>SUM(N214:S214)</f>
        <v>0</v>
      </c>
      <c r="U214" s="52">
        <f>T214+L214</f>
        <v>0</v>
      </c>
      <c r="V214" s="53">
        <f>V229+V244</f>
        <v>0</v>
      </c>
      <c r="W214" s="53">
        <f>V214-U214</f>
        <v>0</v>
      </c>
    </row>
    <row r="215" spans="1:24" s="47" customFormat="1" ht="21.8" hidden="1" customHeight="1">
      <c r="A215" s="610"/>
      <c r="B215" s="576"/>
      <c r="C215" s="577"/>
      <c r="D215" s="178" t="str">
        <f>серпень!D215</f>
        <v>касові нат.п-ки 2025</v>
      </c>
      <c r="E215" s="11">
        <f>E230+E245</f>
        <v>0</v>
      </c>
      <c r="F215" s="11">
        <f t="shared" si="251"/>
        <v>0</v>
      </c>
      <c r="G215" s="11">
        <f t="shared" si="251"/>
        <v>0</v>
      </c>
      <c r="H215" s="11">
        <f t="shared" si="251"/>
        <v>0</v>
      </c>
      <c r="I215" s="11">
        <f t="shared" si="251"/>
        <v>0</v>
      </c>
      <c r="J215" s="11">
        <f>J230+J245</f>
        <v>0</v>
      </c>
      <c r="K215" s="11">
        <f t="shared" si="251"/>
        <v>0</v>
      </c>
      <c r="L215" s="44">
        <f>SUM(F215:K215)</f>
        <v>0</v>
      </c>
      <c r="M215" s="44">
        <f>L215/6</f>
        <v>0</v>
      </c>
      <c r="N215" s="11">
        <f t="shared" si="252"/>
        <v>0</v>
      </c>
      <c r="O215" s="11">
        <f t="shared" si="252"/>
        <v>0</v>
      </c>
      <c r="P215" s="11">
        <f t="shared" si="252"/>
        <v>0</v>
      </c>
      <c r="Q215" s="11">
        <f t="shared" si="252"/>
        <v>0</v>
      </c>
      <c r="R215" s="11">
        <f t="shared" si="252"/>
        <v>0</v>
      </c>
      <c r="S215" s="11">
        <f t="shared" si="252"/>
        <v>0</v>
      </c>
      <c r="T215" s="44">
        <f>SUM(N215:S215)</f>
        <v>0</v>
      </c>
      <c r="U215" s="44">
        <f>T215+L215</f>
        <v>0</v>
      </c>
      <c r="V215" s="38">
        <f>V230+V245</f>
        <v>0</v>
      </c>
      <c r="W215" s="38">
        <f>V215-U215</f>
        <v>0</v>
      </c>
      <c r="X215" s="47">
        <f>U210-U215</f>
        <v>0</v>
      </c>
    </row>
    <row r="216" spans="1:24" s="47" customFormat="1" ht="21.8" hidden="1" customHeight="1">
      <c r="A216" s="610"/>
      <c r="B216" s="576"/>
      <c r="C216" s="577"/>
      <c r="D216" s="187" t="str">
        <f>серпень!D216</f>
        <v>тариф, грн.</v>
      </c>
      <c r="E216" s="49" t="e">
        <f t="shared" ref="E216:S216" si="253">E217/E215*1000</f>
        <v>#DIV/0!</v>
      </c>
      <c r="F216" s="49" t="e">
        <f t="shared" si="253"/>
        <v>#DIV/0!</v>
      </c>
      <c r="G216" s="49" t="e">
        <f t="shared" si="253"/>
        <v>#DIV/0!</v>
      </c>
      <c r="H216" s="49" t="e">
        <f t="shared" si="253"/>
        <v>#DIV/0!</v>
      </c>
      <c r="I216" s="49" t="e">
        <f t="shared" si="253"/>
        <v>#DIV/0!</v>
      </c>
      <c r="J216" s="49" t="e">
        <f t="shared" si="253"/>
        <v>#DIV/0!</v>
      </c>
      <c r="K216" s="49" t="e">
        <f t="shared" si="253"/>
        <v>#DIV/0!</v>
      </c>
      <c r="L216" s="49" t="e">
        <f t="shared" si="253"/>
        <v>#DIV/0!</v>
      </c>
      <c r="M216" s="49" t="e">
        <f t="shared" si="253"/>
        <v>#DIV/0!</v>
      </c>
      <c r="N216" s="49" t="e">
        <f t="shared" si="253"/>
        <v>#DIV/0!</v>
      </c>
      <c r="O216" s="49" t="e">
        <f t="shared" si="253"/>
        <v>#DIV/0!</v>
      </c>
      <c r="P216" s="49" t="e">
        <f t="shared" si="253"/>
        <v>#DIV/0!</v>
      </c>
      <c r="Q216" s="49" t="e">
        <f t="shared" si="253"/>
        <v>#DIV/0!</v>
      </c>
      <c r="R216" s="49" t="e">
        <f t="shared" si="253"/>
        <v>#DIV/0!</v>
      </c>
      <c r="S216" s="49" t="e">
        <f t="shared" si="253"/>
        <v>#DIV/0!</v>
      </c>
      <c r="T216" s="49" t="e">
        <f>T217/T215*1000</f>
        <v>#DIV/0!</v>
      </c>
      <c r="U216" s="49" t="e">
        <f>U217/U215*1000</f>
        <v>#DIV/0!</v>
      </c>
      <c r="V216" s="49" t="e">
        <f>V217/V215*1000</f>
        <v>#DIV/0!</v>
      </c>
      <c r="W216" s="14" t="e">
        <f>W217/W215*1000</f>
        <v>#DIV/0!</v>
      </c>
    </row>
    <row r="217" spans="1:24" s="63" customFormat="1" ht="21.8" hidden="1" customHeight="1">
      <c r="A217" s="610"/>
      <c r="B217" s="576"/>
      <c r="C217" s="577"/>
      <c r="D217" s="198" t="str">
        <f>серпень!D217</f>
        <v>касові видатки, тис.грн.</v>
      </c>
      <c r="E217" s="60">
        <f t="shared" ref="E217:K219" si="254">E232+E247</f>
        <v>0</v>
      </c>
      <c r="F217" s="61">
        <f t="shared" si="254"/>
        <v>0</v>
      </c>
      <c r="G217" s="61">
        <f t="shared" si="254"/>
        <v>0</v>
      </c>
      <c r="H217" s="61">
        <f t="shared" si="254"/>
        <v>0</v>
      </c>
      <c r="I217" s="61">
        <f t="shared" si="254"/>
        <v>0</v>
      </c>
      <c r="J217" s="61">
        <f t="shared" si="254"/>
        <v>0</v>
      </c>
      <c r="K217" s="61">
        <f t="shared" si="254"/>
        <v>0</v>
      </c>
      <c r="L217" s="61">
        <f>SUM(F217:K217)</f>
        <v>0</v>
      </c>
      <c r="M217" s="61">
        <f>L217/6</f>
        <v>0</v>
      </c>
      <c r="N217" s="61">
        <f t="shared" ref="N217:S219" si="255">N232+N247</f>
        <v>0</v>
      </c>
      <c r="O217" s="61">
        <f t="shared" si="255"/>
        <v>0</v>
      </c>
      <c r="P217" s="61">
        <f t="shared" si="255"/>
        <v>0</v>
      </c>
      <c r="Q217" s="61">
        <f t="shared" si="255"/>
        <v>0</v>
      </c>
      <c r="R217" s="61">
        <f t="shared" si="255"/>
        <v>0</v>
      </c>
      <c r="S217" s="61">
        <f t="shared" si="255"/>
        <v>0</v>
      </c>
      <c r="T217" s="61">
        <f>SUM(N217:S217)</f>
        <v>0</v>
      </c>
      <c r="U217" s="61">
        <f>T217+L217</f>
        <v>0</v>
      </c>
      <c r="V217" s="62">
        <f>V232+V247</f>
        <v>0</v>
      </c>
      <c r="W217" s="62">
        <f>V217-U217</f>
        <v>0</v>
      </c>
      <c r="X217" s="63">
        <f>U212-U217</f>
        <v>0</v>
      </c>
    </row>
    <row r="218" spans="1:24" s="63" customFormat="1" ht="21.8" hidden="1" customHeight="1">
      <c r="A218" s="610"/>
      <c r="B218" s="576"/>
      <c r="C218" s="577"/>
      <c r="D218" s="201" t="str">
        <f>серпень!D218</f>
        <v>дотація</v>
      </c>
      <c r="E218" s="60"/>
      <c r="F218" s="61">
        <f t="shared" si="254"/>
        <v>0</v>
      </c>
      <c r="G218" s="61">
        <f t="shared" si="254"/>
        <v>0</v>
      </c>
      <c r="H218" s="61">
        <f t="shared" si="254"/>
        <v>0</v>
      </c>
      <c r="I218" s="61">
        <f t="shared" si="254"/>
        <v>0</v>
      </c>
      <c r="J218" s="61">
        <f>J233+J248</f>
        <v>0</v>
      </c>
      <c r="K218" s="61">
        <f t="shared" si="254"/>
        <v>0</v>
      </c>
      <c r="L218" s="61">
        <f>SUM(F218:K218)</f>
        <v>0</v>
      </c>
      <c r="M218" s="61">
        <f>L218/6</f>
        <v>0</v>
      </c>
      <c r="N218" s="61">
        <f t="shared" si="255"/>
        <v>0</v>
      </c>
      <c r="O218" s="61">
        <f t="shared" si="255"/>
        <v>0</v>
      </c>
      <c r="P218" s="61">
        <f t="shared" si="255"/>
        <v>0</v>
      </c>
      <c r="Q218" s="61">
        <f t="shared" si="255"/>
        <v>0</v>
      </c>
      <c r="R218" s="61">
        <f t="shared" si="255"/>
        <v>0</v>
      </c>
      <c r="S218" s="61">
        <f t="shared" si="255"/>
        <v>0</v>
      </c>
      <c r="T218" s="61">
        <f>SUM(N218:S218)</f>
        <v>0</v>
      </c>
      <c r="U218" s="61">
        <f>T218+L218</f>
        <v>0</v>
      </c>
      <c r="V218" s="62">
        <f>V233+V248</f>
        <v>0</v>
      </c>
      <c r="W218" s="62">
        <f>V218-U218</f>
        <v>0</v>
      </c>
      <c r="X218" s="63">
        <f>U213-U218</f>
        <v>0</v>
      </c>
    </row>
    <row r="219" spans="1:24" s="63" customFormat="1" ht="21.8" hidden="1" customHeight="1">
      <c r="A219" s="610"/>
      <c r="B219" s="576"/>
      <c r="C219" s="577"/>
      <c r="D219" s="201" t="str">
        <f>серпень!D219</f>
        <v xml:space="preserve">місцевий </v>
      </c>
      <c r="E219" s="60"/>
      <c r="F219" s="61">
        <f t="shared" si="254"/>
        <v>0</v>
      </c>
      <c r="G219" s="61">
        <f t="shared" si="254"/>
        <v>0</v>
      </c>
      <c r="H219" s="61">
        <f t="shared" si="254"/>
        <v>0</v>
      </c>
      <c r="I219" s="61">
        <f t="shared" si="254"/>
        <v>0</v>
      </c>
      <c r="J219" s="61">
        <f>J234+J249</f>
        <v>0</v>
      </c>
      <c r="K219" s="61">
        <f t="shared" si="254"/>
        <v>0</v>
      </c>
      <c r="L219" s="61">
        <f>SUM(F219:K219)</f>
        <v>0</v>
      </c>
      <c r="M219" s="61">
        <f>L219/6</f>
        <v>0</v>
      </c>
      <c r="N219" s="61">
        <f t="shared" si="255"/>
        <v>0</v>
      </c>
      <c r="O219" s="61">
        <f t="shared" si="255"/>
        <v>0</v>
      </c>
      <c r="P219" s="61">
        <f t="shared" si="255"/>
        <v>0</v>
      </c>
      <c r="Q219" s="61">
        <f t="shared" si="255"/>
        <v>0</v>
      </c>
      <c r="R219" s="61">
        <f t="shared" si="255"/>
        <v>0</v>
      </c>
      <c r="S219" s="61">
        <f t="shared" si="255"/>
        <v>0</v>
      </c>
      <c r="T219" s="61">
        <f>SUM(N219:S219)</f>
        <v>0</v>
      </c>
      <c r="U219" s="61">
        <f>T219+L219</f>
        <v>0</v>
      </c>
      <c r="V219" s="62">
        <f>V234+V249</f>
        <v>0</v>
      </c>
      <c r="W219" s="62">
        <f>V219-U219</f>
        <v>0</v>
      </c>
      <c r="X219" s="63">
        <f>U214-U219</f>
        <v>0</v>
      </c>
    </row>
    <row r="220" spans="1:24" s="43" customFormat="1" ht="21.8" hidden="1" customHeight="1">
      <c r="A220" s="610"/>
      <c r="B220" s="576"/>
      <c r="C220" s="577"/>
      <c r="D220" s="202" t="str">
        <f>серпень!D220</f>
        <v>план</v>
      </c>
      <c r="E220" s="42"/>
      <c r="F220" s="42">
        <f t="shared" ref="F220:K220" si="256">F214</f>
        <v>0</v>
      </c>
      <c r="G220" s="42">
        <f t="shared" si="256"/>
        <v>0</v>
      </c>
      <c r="H220" s="42">
        <f t="shared" si="256"/>
        <v>0</v>
      </c>
      <c r="I220" s="42">
        <f t="shared" si="256"/>
        <v>0</v>
      </c>
      <c r="J220" s="42">
        <f t="shared" si="256"/>
        <v>0</v>
      </c>
      <c r="K220" s="42">
        <f t="shared" si="256"/>
        <v>0</v>
      </c>
      <c r="L220" s="42">
        <f>SUM(F220:K220)</f>
        <v>0</v>
      </c>
      <c r="M220" s="42">
        <f>L220/6</f>
        <v>0</v>
      </c>
      <c r="N220" s="42">
        <f t="shared" ref="N220:S220" si="257">N214+N213</f>
        <v>0</v>
      </c>
      <c r="O220" s="42">
        <f t="shared" si="257"/>
        <v>0</v>
      </c>
      <c r="P220" s="42">
        <f t="shared" si="257"/>
        <v>0</v>
      </c>
      <c r="Q220" s="42">
        <f t="shared" si="257"/>
        <v>0</v>
      </c>
      <c r="R220" s="42">
        <f t="shared" si="257"/>
        <v>0</v>
      </c>
      <c r="S220" s="42">
        <f t="shared" si="257"/>
        <v>0</v>
      </c>
      <c r="T220" s="42">
        <f>SUM(N220:S220)</f>
        <v>0</v>
      </c>
      <c r="U220" s="42">
        <f>T220+L220</f>
        <v>0</v>
      </c>
      <c r="V220" s="64">
        <f>V235+V250</f>
        <v>0</v>
      </c>
      <c r="W220" s="64">
        <f>V220-U220</f>
        <v>0</v>
      </c>
    </row>
    <row r="221" spans="1:24" s="43" customFormat="1" ht="21.8" hidden="1" customHeight="1">
      <c r="A221" s="610"/>
      <c r="B221" s="576"/>
      <c r="C221" s="577"/>
      <c r="D221" s="202" t="str">
        <f>серпень!D221</f>
        <v xml:space="preserve">відхилення </v>
      </c>
      <c r="E221" s="42"/>
      <c r="F221" s="42">
        <f t="shared" ref="F221:K221" si="258">F217-F220</f>
        <v>0</v>
      </c>
      <c r="G221" s="42">
        <f t="shared" si="258"/>
        <v>0</v>
      </c>
      <c r="H221" s="42">
        <f t="shared" si="258"/>
        <v>0</v>
      </c>
      <c r="I221" s="42">
        <f t="shared" si="258"/>
        <v>0</v>
      </c>
      <c r="J221" s="42">
        <f t="shared" si="258"/>
        <v>0</v>
      </c>
      <c r="K221" s="42">
        <f t="shared" si="258"/>
        <v>0</v>
      </c>
      <c r="L221" s="42"/>
      <c r="M221" s="42"/>
      <c r="N221" s="42">
        <f t="shared" ref="N221:S221" si="259">N217-N220</f>
        <v>0</v>
      </c>
      <c r="O221" s="42">
        <f t="shared" si="259"/>
        <v>0</v>
      </c>
      <c r="P221" s="42">
        <f t="shared" si="259"/>
        <v>0</v>
      </c>
      <c r="Q221" s="42">
        <f t="shared" si="259"/>
        <v>0</v>
      </c>
      <c r="R221" s="42">
        <f t="shared" si="259"/>
        <v>0</v>
      </c>
      <c r="S221" s="42">
        <f t="shared" si="259"/>
        <v>0</v>
      </c>
      <c r="T221" s="42"/>
      <c r="U221" s="42"/>
      <c r="V221" s="42"/>
      <c r="W221" s="42"/>
    </row>
    <row r="222" spans="1:24" s="43" customFormat="1" ht="21.8" hidden="1" customHeight="1">
      <c r="A222" s="610"/>
      <c r="B222" s="576"/>
      <c r="C222" s="577"/>
      <c r="D222" s="202" t="str">
        <f>серпень!D222</f>
        <v>відхилення з наростаючим</v>
      </c>
      <c r="E222" s="42"/>
      <c r="F222" s="42">
        <f>F221</f>
        <v>0</v>
      </c>
      <c r="G222" s="42">
        <f>G221+F222</f>
        <v>0</v>
      </c>
      <c r="H222" s="42">
        <f>H221+G222</f>
        <v>0</v>
      </c>
      <c r="I222" s="42">
        <f>I221+H222</f>
        <v>0</v>
      </c>
      <c r="J222" s="42">
        <f>J221+I222</f>
        <v>0</v>
      </c>
      <c r="K222" s="42">
        <f>K221+J222</f>
        <v>0</v>
      </c>
      <c r="L222" s="42"/>
      <c r="M222" s="42"/>
      <c r="N222" s="42">
        <f>N221+K222</f>
        <v>0</v>
      </c>
      <c r="O222" s="42">
        <f>O221+N222</f>
        <v>0</v>
      </c>
      <c r="P222" s="42">
        <f>P221+O222</f>
        <v>0</v>
      </c>
      <c r="Q222" s="42">
        <f>Q221+P222</f>
        <v>0</v>
      </c>
      <c r="R222" s="42">
        <f>R221+Q222</f>
        <v>0</v>
      </c>
      <c r="S222" s="42">
        <f>S221+R222</f>
        <v>0</v>
      </c>
      <c r="T222" s="42"/>
      <c r="U222" s="42"/>
      <c r="V222" s="42"/>
      <c r="W222" s="42"/>
    </row>
    <row r="223" spans="1:24" s="48" customFormat="1" ht="21.8" hidden="1" customHeight="1">
      <c r="A223" s="610"/>
      <c r="B223" s="581" t="s">
        <v>91</v>
      </c>
      <c r="C223" s="581"/>
      <c r="D223" s="178" t="str">
        <f>серпень!D223</f>
        <v>факт. нат.п-ки 2023</v>
      </c>
      <c r="E223" s="11"/>
      <c r="F223" s="12"/>
      <c r="G223" s="12"/>
      <c r="H223" s="12"/>
      <c r="I223" s="12"/>
      <c r="J223" s="12"/>
      <c r="K223" s="12"/>
      <c r="L223" s="65">
        <f>SUM(F223:K223)</f>
        <v>0</v>
      </c>
      <c r="M223" s="65">
        <f>L223/6</f>
        <v>0</v>
      </c>
      <c r="N223" s="12"/>
      <c r="O223" s="12"/>
      <c r="P223" s="12"/>
      <c r="Q223" s="12"/>
      <c r="R223" s="12"/>
      <c r="S223" s="12"/>
      <c r="T223" s="65">
        <f>SUM(N223:S223)</f>
        <v>0</v>
      </c>
      <c r="U223" s="66">
        <f>T223+L223</f>
        <v>0</v>
      </c>
      <c r="V223" s="67"/>
      <c r="W223" s="38">
        <f>V223-U223</f>
        <v>0</v>
      </c>
      <c r="X223" s="47"/>
    </row>
    <row r="224" spans="1:24" s="48" customFormat="1" ht="21.8" hidden="1" customHeight="1">
      <c r="A224" s="610"/>
      <c r="B224" s="581"/>
      <c r="C224" s="581"/>
      <c r="D224" s="178" t="str">
        <f>серпень!D224</f>
        <v>факт. нат.п-ки 2024</v>
      </c>
      <c r="E224" s="11"/>
      <c r="F224" s="12"/>
      <c r="G224" s="12"/>
      <c r="H224" s="12"/>
      <c r="I224" s="12"/>
      <c r="J224" s="12"/>
      <c r="K224" s="12"/>
      <c r="L224" s="65">
        <f>SUM(F224:K224)</f>
        <v>0</v>
      </c>
      <c r="M224" s="65">
        <f>L224/6</f>
        <v>0</v>
      </c>
      <c r="N224" s="11"/>
      <c r="O224" s="11"/>
      <c r="P224" s="11"/>
      <c r="Q224" s="11"/>
      <c r="R224" s="11"/>
      <c r="S224" s="11"/>
      <c r="T224" s="65">
        <f>SUM(N224:S224)</f>
        <v>0</v>
      </c>
      <c r="U224" s="66">
        <f>T224+L224</f>
        <v>0</v>
      </c>
      <c r="V224" s="67"/>
      <c r="W224" s="38">
        <f>V224-U224</f>
        <v>0</v>
      </c>
      <c r="X224" s="47"/>
    </row>
    <row r="225" spans="1:24" s="48" customFormat="1" ht="21.8" hidden="1" customHeight="1">
      <c r="A225" s="610"/>
      <c r="B225" s="581"/>
      <c r="C225" s="581"/>
      <c r="D225" s="178" t="str">
        <f>серпень!D225</f>
        <v>факт. нат.п-ки 2025</v>
      </c>
      <c r="E225" s="11"/>
      <c r="F225" s="12"/>
      <c r="G225" s="12"/>
      <c r="H225" s="12"/>
      <c r="I225" s="12"/>
      <c r="J225" s="12"/>
      <c r="K225" s="12"/>
      <c r="L225" s="65">
        <f>SUM(F225:K225)</f>
        <v>0</v>
      </c>
      <c r="M225" s="65">
        <f>L225/6</f>
        <v>0</v>
      </c>
      <c r="N225" s="12"/>
      <c r="O225" s="12"/>
      <c r="P225" s="12"/>
      <c r="Q225" s="12"/>
      <c r="R225" s="12"/>
      <c r="S225" s="11"/>
      <c r="T225" s="65">
        <f>SUM(N225:S225)</f>
        <v>0</v>
      </c>
      <c r="U225" s="66">
        <f>T225+L225</f>
        <v>0</v>
      </c>
      <c r="V225" s="11"/>
      <c r="W225" s="38">
        <f>V225-U225</f>
        <v>0</v>
      </c>
      <c r="X225" s="47"/>
    </row>
    <row r="226" spans="1:24" s="51" customFormat="1" ht="21.8" hidden="1" customHeight="1">
      <c r="A226" s="610"/>
      <c r="B226" s="581"/>
      <c r="C226" s="581"/>
      <c r="D226" s="187" t="str">
        <f>серпень!D226</f>
        <v>тариф, грн.</v>
      </c>
      <c r="E226" s="49"/>
      <c r="F226" s="49">
        <v>3501.96</v>
      </c>
      <c r="G226" s="49">
        <v>3501.96</v>
      </c>
      <c r="H226" s="49">
        <v>3501.96</v>
      </c>
      <c r="I226" s="49">
        <v>3501.96</v>
      </c>
      <c r="J226" s="49">
        <v>3501.96</v>
      </c>
      <c r="K226" s="49">
        <v>3501.96</v>
      </c>
      <c r="L226" s="49" t="e">
        <f>L227/L225*1000</f>
        <v>#DIV/0!</v>
      </c>
      <c r="M226" s="49" t="e">
        <f>M227/M225*1000</f>
        <v>#DIV/0!</v>
      </c>
      <c r="N226" s="49">
        <v>3501.96</v>
      </c>
      <c r="O226" s="49">
        <v>3501.96</v>
      </c>
      <c r="P226" s="49">
        <v>3501.96</v>
      </c>
      <c r="Q226" s="49">
        <v>3501.96</v>
      </c>
      <c r="R226" s="49">
        <v>3501.96</v>
      </c>
      <c r="S226" s="49">
        <v>3501.96</v>
      </c>
      <c r="T226" s="49" t="e">
        <f>T227/T225*1000</f>
        <v>#DIV/0!</v>
      </c>
      <c r="U226" s="49" t="e">
        <f>U227/U225*1000</f>
        <v>#DIV/0!</v>
      </c>
      <c r="V226" s="68" t="e">
        <f>V227/V225*1000</f>
        <v>#DIV/0!</v>
      </c>
      <c r="W226" s="14" t="e">
        <f>W227/W225*1000</f>
        <v>#DIV/0!</v>
      </c>
      <c r="X226" s="59"/>
    </row>
    <row r="227" spans="1:24" s="55" customFormat="1" ht="21.8" hidden="1" customHeight="1">
      <c r="A227" s="610"/>
      <c r="B227" s="581"/>
      <c r="C227" s="581"/>
      <c r="D227" s="191" t="str">
        <f>серпень!D227</f>
        <v>сума, тис.грн.</v>
      </c>
      <c r="E227" s="52"/>
      <c r="F227" s="52">
        <f t="shared" ref="F227:K227" si="260">F225*F226/1000</f>
        <v>0</v>
      </c>
      <c r="G227" s="52">
        <f t="shared" si="260"/>
        <v>0</v>
      </c>
      <c r="H227" s="52">
        <f t="shared" si="260"/>
        <v>0</v>
      </c>
      <c r="I227" s="52">
        <f t="shared" si="260"/>
        <v>0</v>
      </c>
      <c r="J227" s="52">
        <f t="shared" si="260"/>
        <v>0</v>
      </c>
      <c r="K227" s="52">
        <f t="shared" si="260"/>
        <v>0</v>
      </c>
      <c r="L227" s="69">
        <f>SUM(F227:K227)</f>
        <v>0</v>
      </c>
      <c r="M227" s="69">
        <f>L227/6</f>
        <v>0</v>
      </c>
      <c r="N227" s="52">
        <f t="shared" ref="N227:S227" si="261">N225*N226/1000</f>
        <v>0</v>
      </c>
      <c r="O227" s="52">
        <f t="shared" si="261"/>
        <v>0</v>
      </c>
      <c r="P227" s="52">
        <f t="shared" si="261"/>
        <v>0</v>
      </c>
      <c r="Q227" s="52">
        <f t="shared" si="261"/>
        <v>0</v>
      </c>
      <c r="R227" s="52">
        <f t="shared" si="261"/>
        <v>0</v>
      </c>
      <c r="S227" s="52">
        <f t="shared" si="261"/>
        <v>0</v>
      </c>
      <c r="T227" s="69">
        <f>SUM(N227:S227)</f>
        <v>0</v>
      </c>
      <c r="U227" s="69">
        <f>T227+L227</f>
        <v>0</v>
      </c>
      <c r="V227" s="70">
        <f>V228+V229</f>
        <v>0</v>
      </c>
      <c r="W227" s="53">
        <f>V227-U227</f>
        <v>0</v>
      </c>
      <c r="X227" s="54">
        <f>2726951.723/1000</f>
        <v>2726.9520000000002</v>
      </c>
    </row>
    <row r="228" spans="1:24" s="55" customFormat="1" ht="21.8" hidden="1" customHeight="1">
      <c r="A228" s="610"/>
      <c r="B228" s="581"/>
      <c r="C228" s="581"/>
      <c r="D228" s="174" t="str">
        <f>серпень!D228</f>
        <v>дотація</v>
      </c>
      <c r="E228" s="56"/>
      <c r="F228" s="52"/>
      <c r="G228" s="52"/>
      <c r="H228" s="52"/>
      <c r="I228" s="52"/>
      <c r="J228" s="52"/>
      <c r="K228" s="52"/>
      <c r="L228" s="69">
        <f>SUM(F228:K228)</f>
        <v>0</v>
      </c>
      <c r="M228" s="69">
        <f>L228/6</f>
        <v>0</v>
      </c>
      <c r="N228" s="52"/>
      <c r="O228" s="52"/>
      <c r="P228" s="52"/>
      <c r="Q228" s="52"/>
      <c r="R228" s="52"/>
      <c r="S228" s="52"/>
      <c r="T228" s="69">
        <f>SUM(N228:S228)</f>
        <v>0</v>
      </c>
      <c r="U228" s="69">
        <f>T228+L228</f>
        <v>0</v>
      </c>
      <c r="V228" s="70">
        <v>0</v>
      </c>
      <c r="W228" s="53">
        <f>V228-U228</f>
        <v>0</v>
      </c>
      <c r="X228" s="58"/>
    </row>
    <row r="229" spans="1:24" s="55" customFormat="1" ht="21.8" hidden="1" customHeight="1">
      <c r="A229" s="610"/>
      <c r="B229" s="581"/>
      <c r="C229" s="581"/>
      <c r="D229" s="174" t="str">
        <f>серпень!D229</f>
        <v>місцевий (план), тис.грн</v>
      </c>
      <c r="E229" s="56"/>
      <c r="F229" s="52"/>
      <c r="G229" s="52"/>
      <c r="H229" s="52"/>
      <c r="I229" s="52"/>
      <c r="J229" s="52"/>
      <c r="K229" s="52"/>
      <c r="L229" s="69">
        <f>SUM(F229:K229)</f>
        <v>0</v>
      </c>
      <c r="M229" s="69">
        <f>L229/6</f>
        <v>0</v>
      </c>
      <c r="N229" s="52"/>
      <c r="O229" s="52"/>
      <c r="P229" s="52"/>
      <c r="Q229" s="52"/>
      <c r="R229" s="52"/>
      <c r="S229" s="52"/>
      <c r="T229" s="69">
        <f>SUM(N229:S229)</f>
        <v>0</v>
      </c>
      <c r="U229" s="69">
        <f>T229+L229</f>
        <v>0</v>
      </c>
      <c r="V229" s="70"/>
      <c r="W229" s="53">
        <f>V229-U229</f>
        <v>0</v>
      </c>
      <c r="X229" s="58"/>
    </row>
    <row r="230" spans="1:24" s="48" customFormat="1" ht="21.8" hidden="1" customHeight="1">
      <c r="A230" s="610"/>
      <c r="B230" s="581"/>
      <c r="C230" s="581"/>
      <c r="D230" s="178" t="str">
        <f>серпень!D230</f>
        <v>касові нат.п-ки 2025</v>
      </c>
      <c r="E230" s="11"/>
      <c r="F230" s="11"/>
      <c r="G230" s="11"/>
      <c r="H230" s="11"/>
      <c r="I230" s="11"/>
      <c r="J230" s="11"/>
      <c r="K230" s="11"/>
      <c r="L230" s="65">
        <f>SUM(F230:K230)</f>
        <v>0</v>
      </c>
      <c r="M230" s="65">
        <f>L230/6</f>
        <v>0</v>
      </c>
      <c r="N230" s="11"/>
      <c r="O230" s="11"/>
      <c r="P230" s="11"/>
      <c r="Q230" s="11"/>
      <c r="R230" s="11"/>
      <c r="S230" s="11">
        <f>S225+R225</f>
        <v>0</v>
      </c>
      <c r="T230" s="65">
        <f>SUM(N230:S230)</f>
        <v>0</v>
      </c>
      <c r="U230" s="65">
        <f>T230+L230</f>
        <v>0</v>
      </c>
      <c r="V230" s="11">
        <f>V225</f>
        <v>0</v>
      </c>
      <c r="W230" s="38">
        <f>V230-U230</f>
        <v>0</v>
      </c>
      <c r="X230" s="47">
        <f>U225-U230</f>
        <v>0</v>
      </c>
    </row>
    <row r="231" spans="1:24" s="51" customFormat="1" ht="21.8" hidden="1" customHeight="1">
      <c r="A231" s="610"/>
      <c r="B231" s="581"/>
      <c r="C231" s="581"/>
      <c r="D231" s="187" t="str">
        <f>серпень!D231</f>
        <v>тариф, грн.</v>
      </c>
      <c r="E231" s="49" t="e">
        <f>E232/E230*1000</f>
        <v>#DIV/0!</v>
      </c>
      <c r="F231" s="49">
        <v>3501.96</v>
      </c>
      <c r="G231" s="49">
        <v>3501.96</v>
      </c>
      <c r="H231" s="49">
        <v>3501.96</v>
      </c>
      <c r="I231" s="49">
        <v>3501.96</v>
      </c>
      <c r="J231" s="49">
        <v>3501.96</v>
      </c>
      <c r="K231" s="49">
        <v>3501.96</v>
      </c>
      <c r="L231" s="49" t="e">
        <f>L232/L230*1000</f>
        <v>#DIV/0!</v>
      </c>
      <c r="M231" s="49" t="e">
        <f>M232/M230*1000</f>
        <v>#DIV/0!</v>
      </c>
      <c r="N231" s="49">
        <v>3501.96</v>
      </c>
      <c r="O231" s="49">
        <v>3501.96</v>
      </c>
      <c r="P231" s="49">
        <v>3501.96</v>
      </c>
      <c r="Q231" s="49">
        <v>3501.96</v>
      </c>
      <c r="R231" s="49">
        <v>3501.96</v>
      </c>
      <c r="S231" s="49">
        <v>3501.96</v>
      </c>
      <c r="T231" s="49" t="e">
        <f>T232/T230*1000</f>
        <v>#DIV/0!</v>
      </c>
      <c r="U231" s="49" t="e">
        <f>U232/U230*1000</f>
        <v>#DIV/0!</v>
      </c>
      <c r="V231" s="68" t="e">
        <f>V232/V230*1000</f>
        <v>#DIV/0!</v>
      </c>
      <c r="W231" s="14" t="e">
        <f>W232/W230*1000</f>
        <v>#DIV/0!</v>
      </c>
      <c r="X231" s="59"/>
    </row>
    <row r="232" spans="1:24" s="63" customFormat="1" ht="21.8" hidden="1" customHeight="1">
      <c r="A232" s="610"/>
      <c r="B232" s="581"/>
      <c r="C232" s="581"/>
      <c r="D232" s="198" t="str">
        <f>серпень!D232</f>
        <v>касові видатки, тис.грн.</v>
      </c>
      <c r="E232" s="71"/>
      <c r="F232" s="61">
        <f t="shared" ref="F232:K232" si="262">F230*F231/1000</f>
        <v>0</v>
      </c>
      <c r="G232" s="61">
        <f t="shared" si="262"/>
        <v>0</v>
      </c>
      <c r="H232" s="61">
        <f t="shared" si="262"/>
        <v>0</v>
      </c>
      <c r="I232" s="61">
        <f t="shared" si="262"/>
        <v>0</v>
      </c>
      <c r="J232" s="61">
        <f t="shared" si="262"/>
        <v>0</v>
      </c>
      <c r="K232" s="61">
        <f t="shared" si="262"/>
        <v>0</v>
      </c>
      <c r="L232" s="61">
        <f>SUM(F232:K232)</f>
        <v>0</v>
      </c>
      <c r="M232" s="61">
        <f>L232/6</f>
        <v>0</v>
      </c>
      <c r="N232" s="61">
        <f t="shared" ref="N232:S232" si="263">N230*N231/1000</f>
        <v>0</v>
      </c>
      <c r="O232" s="61">
        <f t="shared" si="263"/>
        <v>0</v>
      </c>
      <c r="P232" s="61">
        <f t="shared" si="263"/>
        <v>0</v>
      </c>
      <c r="Q232" s="61">
        <f t="shared" si="263"/>
        <v>0</v>
      </c>
      <c r="R232" s="61">
        <f t="shared" si="263"/>
        <v>0</v>
      </c>
      <c r="S232" s="61">
        <f t="shared" si="263"/>
        <v>0</v>
      </c>
      <c r="T232" s="61">
        <f>SUM(N232:S232)</f>
        <v>0</v>
      </c>
      <c r="U232" s="61">
        <f>T232+L232</f>
        <v>0</v>
      </c>
      <c r="V232" s="61">
        <f>V227</f>
        <v>0</v>
      </c>
      <c r="W232" s="72">
        <f>V232-U232</f>
        <v>0</v>
      </c>
      <c r="X232" s="63">
        <f>U227-U232</f>
        <v>0</v>
      </c>
    </row>
    <row r="233" spans="1:24" s="63" customFormat="1" ht="21.8" hidden="1" customHeight="1">
      <c r="A233" s="610"/>
      <c r="B233" s="581"/>
      <c r="C233" s="581"/>
      <c r="D233" s="201" t="str">
        <f>серпень!D233</f>
        <v>дотація</v>
      </c>
      <c r="E233" s="71"/>
      <c r="F233" s="61"/>
      <c r="G233" s="61"/>
      <c r="H233" s="61"/>
      <c r="I233" s="61"/>
      <c r="J233" s="61"/>
      <c r="K233" s="61"/>
      <c r="L233" s="61">
        <f>SUM(F233:K233)</f>
        <v>0</v>
      </c>
      <c r="M233" s="61">
        <f>L233/6</f>
        <v>0</v>
      </c>
      <c r="N233" s="61"/>
      <c r="O233" s="61"/>
      <c r="P233" s="61"/>
      <c r="Q233" s="61"/>
      <c r="R233" s="61"/>
      <c r="S233" s="61"/>
      <c r="T233" s="61">
        <f>SUM(N233:S233)</f>
        <v>0</v>
      </c>
      <c r="U233" s="61">
        <f>T233+L233</f>
        <v>0</v>
      </c>
      <c r="V233" s="61">
        <f>V228</f>
        <v>0</v>
      </c>
      <c r="W233" s="72">
        <f>V233-U233</f>
        <v>0</v>
      </c>
      <c r="X233" s="63">
        <f>U228-U233</f>
        <v>0</v>
      </c>
    </row>
    <row r="234" spans="1:24" s="63" customFormat="1" ht="21.8" hidden="1" customHeight="1">
      <c r="A234" s="610"/>
      <c r="B234" s="581"/>
      <c r="C234" s="581"/>
      <c r="D234" s="201" t="str">
        <f>серпень!D234</f>
        <v xml:space="preserve">місцевий </v>
      </c>
      <c r="E234" s="71"/>
      <c r="F234" s="61">
        <f t="shared" ref="F234:K234" si="264">F232-F233</f>
        <v>0</v>
      </c>
      <c r="G234" s="61">
        <f t="shared" si="264"/>
        <v>0</v>
      </c>
      <c r="H234" s="61">
        <f t="shared" si="264"/>
        <v>0</v>
      </c>
      <c r="I234" s="61">
        <f t="shared" si="264"/>
        <v>0</v>
      </c>
      <c r="J234" s="61">
        <f t="shared" si="264"/>
        <v>0</v>
      </c>
      <c r="K234" s="61">
        <f t="shared" si="264"/>
        <v>0</v>
      </c>
      <c r="L234" s="61">
        <f>SUM(F234:K234)</f>
        <v>0</v>
      </c>
      <c r="M234" s="61">
        <f>L234/6</f>
        <v>0</v>
      </c>
      <c r="N234" s="61">
        <f t="shared" ref="N234:S234" si="265">N232-N233</f>
        <v>0</v>
      </c>
      <c r="O234" s="61">
        <f t="shared" si="265"/>
        <v>0</v>
      </c>
      <c r="P234" s="61">
        <f t="shared" si="265"/>
        <v>0</v>
      </c>
      <c r="Q234" s="61">
        <f t="shared" si="265"/>
        <v>0</v>
      </c>
      <c r="R234" s="61">
        <f t="shared" si="265"/>
        <v>0</v>
      </c>
      <c r="S234" s="61">
        <f t="shared" si="265"/>
        <v>0</v>
      </c>
      <c r="T234" s="61">
        <f>SUM(N234:S234)</f>
        <v>0</v>
      </c>
      <c r="U234" s="61">
        <f>T234+L234</f>
        <v>0</v>
      </c>
      <c r="V234" s="61">
        <f>V229</f>
        <v>0</v>
      </c>
      <c r="W234" s="72">
        <f>V234-U234</f>
        <v>0</v>
      </c>
      <c r="X234" s="63">
        <f>U229-U234</f>
        <v>0</v>
      </c>
    </row>
    <row r="235" spans="1:24" s="43" customFormat="1" ht="21.8" hidden="1" customHeight="1">
      <c r="A235" s="610"/>
      <c r="B235" s="581"/>
      <c r="C235" s="581"/>
      <c r="D235" s="202" t="str">
        <f>серпень!D235</f>
        <v>план</v>
      </c>
      <c r="E235" s="42"/>
      <c r="F235" s="42">
        <f t="shared" ref="F235:K235" si="266">F229</f>
        <v>0</v>
      </c>
      <c r="G235" s="42">
        <f t="shared" si="266"/>
        <v>0</v>
      </c>
      <c r="H235" s="42">
        <f t="shared" si="266"/>
        <v>0</v>
      </c>
      <c r="I235" s="42">
        <f t="shared" si="266"/>
        <v>0</v>
      </c>
      <c r="J235" s="42">
        <f t="shared" si="266"/>
        <v>0</v>
      </c>
      <c r="K235" s="42">
        <f t="shared" si="266"/>
        <v>0</v>
      </c>
      <c r="L235" s="42">
        <f>SUM(F235:K235)</f>
        <v>0</v>
      </c>
      <c r="M235" s="42">
        <f>L235/6</f>
        <v>0</v>
      </c>
      <c r="N235" s="42">
        <f t="shared" ref="N235:S235" si="267">N229+N228</f>
        <v>0</v>
      </c>
      <c r="O235" s="42">
        <f t="shared" si="267"/>
        <v>0</v>
      </c>
      <c r="P235" s="42">
        <f t="shared" si="267"/>
        <v>0</v>
      </c>
      <c r="Q235" s="42">
        <f t="shared" si="267"/>
        <v>0</v>
      </c>
      <c r="R235" s="42">
        <f t="shared" si="267"/>
        <v>0</v>
      </c>
      <c r="S235" s="42">
        <f t="shared" si="267"/>
        <v>0</v>
      </c>
      <c r="T235" s="42">
        <f>SUM(N235:S235)</f>
        <v>0</v>
      </c>
      <c r="U235" s="42">
        <f>T235+L235</f>
        <v>0</v>
      </c>
      <c r="V235" s="42">
        <f>V232</f>
        <v>0</v>
      </c>
      <c r="W235" s="42">
        <f>V235-U235</f>
        <v>0</v>
      </c>
    </row>
    <row r="236" spans="1:24" s="43" customFormat="1" ht="21.8" hidden="1" customHeight="1">
      <c r="A236" s="610"/>
      <c r="B236" s="581"/>
      <c r="C236" s="581"/>
      <c r="D236" s="202" t="str">
        <f>серпень!D236</f>
        <v xml:space="preserve">відхилення </v>
      </c>
      <c r="E236" s="42"/>
      <c r="F236" s="42">
        <f t="shared" ref="F236:K236" si="268">F232-F235</f>
        <v>0</v>
      </c>
      <c r="G236" s="42">
        <f t="shared" si="268"/>
        <v>0</v>
      </c>
      <c r="H236" s="42">
        <f t="shared" si="268"/>
        <v>0</v>
      </c>
      <c r="I236" s="42">
        <f t="shared" si="268"/>
        <v>0</v>
      </c>
      <c r="J236" s="42">
        <f t="shared" si="268"/>
        <v>0</v>
      </c>
      <c r="K236" s="42">
        <f t="shared" si="268"/>
        <v>0</v>
      </c>
      <c r="L236" s="42"/>
      <c r="M236" s="42"/>
      <c r="N236" s="42">
        <f t="shared" ref="N236:S236" si="269">N232-N235</f>
        <v>0</v>
      </c>
      <c r="O236" s="42">
        <f t="shared" si="269"/>
        <v>0</v>
      </c>
      <c r="P236" s="42">
        <f t="shared" si="269"/>
        <v>0</v>
      </c>
      <c r="Q236" s="42">
        <f t="shared" si="269"/>
        <v>0</v>
      </c>
      <c r="R236" s="42">
        <f t="shared" si="269"/>
        <v>0</v>
      </c>
      <c r="S236" s="42">
        <f t="shared" si="269"/>
        <v>0</v>
      </c>
      <c r="T236" s="42"/>
      <c r="U236" s="42"/>
      <c r="V236" s="42"/>
      <c r="W236" s="42"/>
    </row>
    <row r="237" spans="1:24" s="43" customFormat="1" ht="21.8" hidden="1" customHeight="1">
      <c r="A237" s="610"/>
      <c r="B237" s="581"/>
      <c r="C237" s="581"/>
      <c r="D237" s="202" t="str">
        <f>серпень!D237</f>
        <v>відхилення з наростаючим</v>
      </c>
      <c r="E237" s="42"/>
      <c r="F237" s="42">
        <f>F236</f>
        <v>0</v>
      </c>
      <c r="G237" s="42">
        <f>G236+F237</f>
        <v>0</v>
      </c>
      <c r="H237" s="42">
        <f>H236+G237</f>
        <v>0</v>
      </c>
      <c r="I237" s="42">
        <f>I236+H237</f>
        <v>0</v>
      </c>
      <c r="J237" s="42">
        <f>J236+I237</f>
        <v>0</v>
      </c>
      <c r="K237" s="42">
        <f>K236+J237</f>
        <v>0</v>
      </c>
      <c r="L237" s="42"/>
      <c r="M237" s="42"/>
      <c r="N237" s="42">
        <f>N236+K237</f>
        <v>0</v>
      </c>
      <c r="O237" s="42">
        <f>O236+N237</f>
        <v>0</v>
      </c>
      <c r="P237" s="42">
        <f>P236+O237</f>
        <v>0</v>
      </c>
      <c r="Q237" s="42">
        <f>Q236+P237</f>
        <v>0</v>
      </c>
      <c r="R237" s="42">
        <f>R236+Q237</f>
        <v>0</v>
      </c>
      <c r="S237" s="42">
        <f>S236+R237</f>
        <v>0</v>
      </c>
      <c r="T237" s="42"/>
      <c r="U237" s="42"/>
      <c r="V237" s="42"/>
      <c r="W237" s="42"/>
    </row>
    <row r="238" spans="1:24" s="48" customFormat="1" ht="21.8" hidden="1" customHeight="1">
      <c r="A238" s="610"/>
      <c r="B238" s="576" t="s">
        <v>56</v>
      </c>
      <c r="C238" s="577"/>
      <c r="D238" s="178" t="str">
        <f>серпень!D238</f>
        <v>факт. нат.п-ки 2023</v>
      </c>
      <c r="E238" s="11"/>
      <c r="F238" s="12"/>
      <c r="G238" s="12"/>
      <c r="H238" s="12"/>
      <c r="I238" s="12"/>
      <c r="J238" s="12"/>
      <c r="K238" s="12"/>
      <c r="L238" s="65">
        <f>SUM(F238:K238)</f>
        <v>0</v>
      </c>
      <c r="M238" s="65">
        <f>L238/6</f>
        <v>0</v>
      </c>
      <c r="N238" s="12"/>
      <c r="O238" s="12"/>
      <c r="P238" s="12"/>
      <c r="Q238" s="12"/>
      <c r="R238" s="12"/>
      <c r="S238" s="12"/>
      <c r="T238" s="65">
        <f>SUM(N238:S238)</f>
        <v>0</v>
      </c>
      <c r="U238" s="66">
        <f>T238+L238</f>
        <v>0</v>
      </c>
      <c r="V238" s="67"/>
      <c r="W238" s="38">
        <f>V238-U238</f>
        <v>0</v>
      </c>
      <c r="X238" s="47"/>
    </row>
    <row r="239" spans="1:24" s="48" customFormat="1" ht="21.8" hidden="1" customHeight="1">
      <c r="A239" s="610"/>
      <c r="B239" s="576"/>
      <c r="C239" s="577"/>
      <c r="D239" s="178" t="str">
        <f>серпень!D239</f>
        <v>факт. нат.п-ки 2024</v>
      </c>
      <c r="E239" s="11"/>
      <c r="F239" s="12"/>
      <c r="G239" s="12"/>
      <c r="H239" s="12"/>
      <c r="I239" s="12"/>
      <c r="J239" s="12"/>
      <c r="K239" s="12"/>
      <c r="L239" s="65">
        <f>SUM(F239:K239)</f>
        <v>0</v>
      </c>
      <c r="M239" s="65">
        <f>L239/6</f>
        <v>0</v>
      </c>
      <c r="N239" s="11"/>
      <c r="O239" s="11"/>
      <c r="P239" s="11"/>
      <c r="Q239" s="11"/>
      <c r="R239" s="11"/>
      <c r="S239" s="11"/>
      <c r="T239" s="65">
        <f>SUM(N239:S239)</f>
        <v>0</v>
      </c>
      <c r="U239" s="66">
        <f>T239+L239</f>
        <v>0</v>
      </c>
      <c r="V239" s="67"/>
      <c r="W239" s="38">
        <f>V239-U239</f>
        <v>0</v>
      </c>
      <c r="X239" s="47"/>
    </row>
    <row r="240" spans="1:24" s="48" customFormat="1" ht="21.8" hidden="1" customHeight="1">
      <c r="A240" s="610"/>
      <c r="B240" s="576"/>
      <c r="C240" s="577"/>
      <c r="D240" s="178" t="str">
        <f>серпень!D240</f>
        <v>факт. нат.п-ки 2025</v>
      </c>
      <c r="E240" s="11"/>
      <c r="F240" s="12"/>
      <c r="G240" s="12"/>
      <c r="H240" s="12"/>
      <c r="I240" s="12"/>
      <c r="J240" s="12"/>
      <c r="K240" s="12"/>
      <c r="L240" s="65">
        <f>SUM(F240:K240)</f>
        <v>0</v>
      </c>
      <c r="M240" s="65">
        <f>L240/6</f>
        <v>0</v>
      </c>
      <c r="N240" s="12"/>
      <c r="O240" s="12"/>
      <c r="P240" s="12"/>
      <c r="Q240" s="12"/>
      <c r="R240" s="12"/>
      <c r="S240" s="11"/>
      <c r="T240" s="65">
        <f>SUM(N240:S240)</f>
        <v>0</v>
      </c>
      <c r="U240" s="66">
        <f>T240+L240</f>
        <v>0</v>
      </c>
      <c r="V240" s="11"/>
      <c r="W240" s="38">
        <f>V240-U240</f>
        <v>0</v>
      </c>
      <c r="X240" s="47"/>
    </row>
    <row r="241" spans="1:24" s="51" customFormat="1" ht="21.8" hidden="1" customHeight="1">
      <c r="A241" s="610"/>
      <c r="B241" s="576"/>
      <c r="C241" s="577"/>
      <c r="D241" s="187" t="str">
        <f>серпень!D241</f>
        <v>тариф, грн.</v>
      </c>
      <c r="E241" s="49"/>
      <c r="F241" s="49">
        <v>1655.08</v>
      </c>
      <c r="G241" s="49">
        <v>1655.08</v>
      </c>
      <c r="H241" s="49">
        <v>1655.08</v>
      </c>
      <c r="I241" s="49">
        <v>1655.08</v>
      </c>
      <c r="J241" s="49">
        <v>1655.08</v>
      </c>
      <c r="K241" s="49">
        <v>1655.08</v>
      </c>
      <c r="L241" s="49" t="e">
        <f>L242/L240*1000</f>
        <v>#DIV/0!</v>
      </c>
      <c r="M241" s="49" t="e">
        <f>M242/M240*1000</f>
        <v>#DIV/0!</v>
      </c>
      <c r="N241" s="49">
        <v>1655.08</v>
      </c>
      <c r="O241" s="49">
        <v>1655.08</v>
      </c>
      <c r="P241" s="49">
        <v>1655.08</v>
      </c>
      <c r="Q241" s="49">
        <v>1655.08</v>
      </c>
      <c r="R241" s="49">
        <v>1655.08</v>
      </c>
      <c r="S241" s="49">
        <v>1655.08</v>
      </c>
      <c r="T241" s="49" t="e">
        <f>T242/T240*1000</f>
        <v>#DIV/0!</v>
      </c>
      <c r="U241" s="49" t="e">
        <f>U242/U240*1000</f>
        <v>#DIV/0!</v>
      </c>
      <c r="V241" s="68" t="e">
        <f>V242/V240*1000</f>
        <v>#DIV/0!</v>
      </c>
      <c r="W241" s="14" t="e">
        <f>W242/W240*1000</f>
        <v>#DIV/0!</v>
      </c>
      <c r="X241" s="59"/>
    </row>
    <row r="242" spans="1:24" s="55" customFormat="1" ht="21.8" hidden="1" customHeight="1">
      <c r="A242" s="610"/>
      <c r="B242" s="576"/>
      <c r="C242" s="577"/>
      <c r="D242" s="191" t="str">
        <f>серпень!D242</f>
        <v>сума, тис.грн.</v>
      </c>
      <c r="E242" s="52"/>
      <c r="F242" s="52">
        <f t="shared" ref="F242:K242" si="270">F240*F241/1000</f>
        <v>0</v>
      </c>
      <c r="G242" s="52">
        <f t="shared" si="270"/>
        <v>0</v>
      </c>
      <c r="H242" s="52">
        <f t="shared" si="270"/>
        <v>0</v>
      </c>
      <c r="I242" s="52">
        <f t="shared" si="270"/>
        <v>0</v>
      </c>
      <c r="J242" s="52">
        <f t="shared" si="270"/>
        <v>0</v>
      </c>
      <c r="K242" s="52">
        <f t="shared" si="270"/>
        <v>0</v>
      </c>
      <c r="L242" s="69">
        <f>SUM(F242:K242)</f>
        <v>0</v>
      </c>
      <c r="M242" s="69">
        <f>L242/6</f>
        <v>0</v>
      </c>
      <c r="N242" s="52">
        <f t="shared" ref="N242:S242" si="271">N240*N241/1000</f>
        <v>0</v>
      </c>
      <c r="O242" s="52">
        <f t="shared" si="271"/>
        <v>0</v>
      </c>
      <c r="P242" s="52">
        <f t="shared" si="271"/>
        <v>0</v>
      </c>
      <c r="Q242" s="52">
        <f t="shared" si="271"/>
        <v>0</v>
      </c>
      <c r="R242" s="52">
        <f t="shared" si="271"/>
        <v>0</v>
      </c>
      <c r="S242" s="52">
        <f t="shared" si="271"/>
        <v>0</v>
      </c>
      <c r="T242" s="69">
        <f>SUM(N242:S242)</f>
        <v>0</v>
      </c>
      <c r="U242" s="69">
        <f>T242+L242</f>
        <v>0</v>
      </c>
      <c r="V242" s="70">
        <f>V243+V244</f>
        <v>0</v>
      </c>
      <c r="W242" s="53">
        <f>V242-U242</f>
        <v>0</v>
      </c>
      <c r="X242" s="54">
        <f>2726951.723/1000</f>
        <v>2726.9520000000002</v>
      </c>
    </row>
    <row r="243" spans="1:24" s="55" customFormat="1" ht="21.8" hidden="1" customHeight="1">
      <c r="A243" s="610"/>
      <c r="B243" s="576"/>
      <c r="C243" s="577"/>
      <c r="D243" s="174" t="str">
        <f>серпень!D243</f>
        <v>дотація</v>
      </c>
      <c r="E243" s="56"/>
      <c r="F243" s="52"/>
      <c r="G243" s="52"/>
      <c r="H243" s="52"/>
      <c r="I243" s="52"/>
      <c r="J243" s="52"/>
      <c r="K243" s="52"/>
      <c r="L243" s="69">
        <f>SUM(F243:K243)</f>
        <v>0</v>
      </c>
      <c r="M243" s="69">
        <f>L243/6</f>
        <v>0</v>
      </c>
      <c r="N243" s="52"/>
      <c r="O243" s="52"/>
      <c r="P243" s="52"/>
      <c r="Q243" s="52"/>
      <c r="R243" s="52"/>
      <c r="S243" s="52"/>
      <c r="T243" s="69">
        <f>SUM(N243:S243)</f>
        <v>0</v>
      </c>
      <c r="U243" s="69">
        <f>T243+L243</f>
        <v>0</v>
      </c>
      <c r="V243" s="70">
        <v>0</v>
      </c>
      <c r="W243" s="53">
        <f>V243-U243</f>
        <v>0</v>
      </c>
      <c r="X243" s="58"/>
    </row>
    <row r="244" spans="1:24" s="55" customFormat="1" ht="21.8" hidden="1" customHeight="1">
      <c r="A244" s="610"/>
      <c r="B244" s="576"/>
      <c r="C244" s="577"/>
      <c r="D244" s="174" t="str">
        <f>серпень!D244</f>
        <v>місцевий (план), тис.грн</v>
      </c>
      <c r="E244" s="56"/>
      <c r="F244" s="52"/>
      <c r="G244" s="52"/>
      <c r="H244" s="52"/>
      <c r="I244" s="52"/>
      <c r="J244" s="52"/>
      <c r="K244" s="52"/>
      <c r="L244" s="69">
        <f>SUM(F244:K244)</f>
        <v>0</v>
      </c>
      <c r="M244" s="69">
        <f>L244/6</f>
        <v>0</v>
      </c>
      <c r="N244" s="52"/>
      <c r="O244" s="52"/>
      <c r="P244" s="52"/>
      <c r="Q244" s="52"/>
      <c r="R244" s="52"/>
      <c r="S244" s="52"/>
      <c r="T244" s="69">
        <f>SUM(N244:S244)</f>
        <v>0</v>
      </c>
      <c r="U244" s="69">
        <f>T244+L244</f>
        <v>0</v>
      </c>
      <c r="V244" s="70"/>
      <c r="W244" s="53">
        <f>V244-U244</f>
        <v>0</v>
      </c>
      <c r="X244" s="58"/>
    </row>
    <row r="245" spans="1:24" s="48" customFormat="1" ht="21.8" hidden="1" customHeight="1">
      <c r="A245" s="610"/>
      <c r="B245" s="576"/>
      <c r="C245" s="577"/>
      <c r="D245" s="178" t="str">
        <f>серпень!D245</f>
        <v>касові нат.п-ки 2025</v>
      </c>
      <c r="E245" s="11"/>
      <c r="F245" s="11"/>
      <c r="G245" s="11"/>
      <c r="H245" s="11"/>
      <c r="I245" s="11"/>
      <c r="J245" s="11"/>
      <c r="K245" s="11"/>
      <c r="L245" s="65">
        <f>SUM(F245:K245)</f>
        <v>0</v>
      </c>
      <c r="M245" s="65">
        <f>L245/6</f>
        <v>0</v>
      </c>
      <c r="N245" s="11"/>
      <c r="O245" s="11"/>
      <c r="P245" s="11"/>
      <c r="Q245" s="11"/>
      <c r="R245" s="11"/>
      <c r="S245" s="11">
        <f>S240+R240</f>
        <v>0</v>
      </c>
      <c r="T245" s="65">
        <f>SUM(N245:S245)</f>
        <v>0</v>
      </c>
      <c r="U245" s="65">
        <f>T245+L245</f>
        <v>0</v>
      </c>
      <c r="V245" s="11">
        <f>V240</f>
        <v>0</v>
      </c>
      <c r="W245" s="38">
        <f>V245-U245</f>
        <v>0</v>
      </c>
      <c r="X245" s="47">
        <f>U240-U245</f>
        <v>0</v>
      </c>
    </row>
    <row r="246" spans="1:24" s="51" customFormat="1" ht="21.8" hidden="1" customHeight="1">
      <c r="A246" s="610"/>
      <c r="B246" s="576"/>
      <c r="C246" s="577"/>
      <c r="D246" s="187" t="str">
        <f>серпень!D246</f>
        <v>тариф, грн.</v>
      </c>
      <c r="E246" s="49" t="e">
        <f>E247/E245*1000</f>
        <v>#DIV/0!</v>
      </c>
      <c r="F246" s="49">
        <v>1655.08</v>
      </c>
      <c r="G246" s="49">
        <v>1655.08</v>
      </c>
      <c r="H246" s="49">
        <v>1655.08</v>
      </c>
      <c r="I246" s="49">
        <v>1655.08</v>
      </c>
      <c r="J246" s="49">
        <v>1655.08</v>
      </c>
      <c r="K246" s="49">
        <v>1655.08</v>
      </c>
      <c r="L246" s="49" t="e">
        <f>L247/L245*1000</f>
        <v>#DIV/0!</v>
      </c>
      <c r="M246" s="49" t="e">
        <f>M247/M245*1000</f>
        <v>#DIV/0!</v>
      </c>
      <c r="N246" s="49">
        <v>1655.08</v>
      </c>
      <c r="O246" s="49">
        <v>1655.08</v>
      </c>
      <c r="P246" s="49">
        <v>1655.08</v>
      </c>
      <c r="Q246" s="49">
        <v>1655.08</v>
      </c>
      <c r="R246" s="49">
        <v>1655.08</v>
      </c>
      <c r="S246" s="49">
        <v>1655.08</v>
      </c>
      <c r="T246" s="49" t="e">
        <f>T247/T245*1000</f>
        <v>#DIV/0!</v>
      </c>
      <c r="U246" s="49" t="e">
        <f>U247/U245*1000</f>
        <v>#DIV/0!</v>
      </c>
      <c r="V246" s="68" t="e">
        <f>V247/V245*1000</f>
        <v>#DIV/0!</v>
      </c>
      <c r="W246" s="14" t="e">
        <f>W247/W245*1000</f>
        <v>#DIV/0!</v>
      </c>
      <c r="X246" s="59"/>
    </row>
    <row r="247" spans="1:24" s="63" customFormat="1" ht="21.8" hidden="1" customHeight="1">
      <c r="A247" s="610"/>
      <c r="B247" s="576"/>
      <c r="C247" s="577"/>
      <c r="D247" s="198" t="str">
        <f>серпень!D247</f>
        <v>касові видатки, тис.грн.</v>
      </c>
      <c r="E247" s="71"/>
      <c r="F247" s="61">
        <f t="shared" ref="F247:K247" si="272">F245*F246/1000</f>
        <v>0</v>
      </c>
      <c r="G247" s="61">
        <f t="shared" si="272"/>
        <v>0</v>
      </c>
      <c r="H247" s="61">
        <f t="shared" si="272"/>
        <v>0</v>
      </c>
      <c r="I247" s="61">
        <f t="shared" si="272"/>
        <v>0</v>
      </c>
      <c r="J247" s="61">
        <f t="shared" si="272"/>
        <v>0</v>
      </c>
      <c r="K247" s="61">
        <f t="shared" si="272"/>
        <v>0</v>
      </c>
      <c r="L247" s="61">
        <f>SUM(F247:K247)</f>
        <v>0</v>
      </c>
      <c r="M247" s="61">
        <f>L247/6</f>
        <v>0</v>
      </c>
      <c r="N247" s="61">
        <f t="shared" ref="N247:S247" si="273">N245*N246/1000</f>
        <v>0</v>
      </c>
      <c r="O247" s="61">
        <f t="shared" si="273"/>
        <v>0</v>
      </c>
      <c r="P247" s="61">
        <f t="shared" si="273"/>
        <v>0</v>
      </c>
      <c r="Q247" s="61">
        <f t="shared" si="273"/>
        <v>0</v>
      </c>
      <c r="R247" s="61">
        <f t="shared" si="273"/>
        <v>0</v>
      </c>
      <c r="S247" s="61">
        <f t="shared" si="273"/>
        <v>0</v>
      </c>
      <c r="T247" s="61">
        <f>SUM(N247:S247)</f>
        <v>0</v>
      </c>
      <c r="U247" s="61">
        <f>T247+L247</f>
        <v>0</v>
      </c>
      <c r="V247" s="61">
        <f>V242</f>
        <v>0</v>
      </c>
      <c r="W247" s="72">
        <f>V247-U247</f>
        <v>0</v>
      </c>
      <c r="X247" s="63">
        <f>U242-U247</f>
        <v>0</v>
      </c>
    </row>
    <row r="248" spans="1:24" s="63" customFormat="1" ht="21.8" hidden="1" customHeight="1">
      <c r="A248" s="610"/>
      <c r="B248" s="576"/>
      <c r="C248" s="577"/>
      <c r="D248" s="201" t="str">
        <f>серпень!D248</f>
        <v>дотація</v>
      </c>
      <c r="E248" s="71"/>
      <c r="F248" s="61"/>
      <c r="G248" s="61"/>
      <c r="H248" s="61"/>
      <c r="I248" s="61"/>
      <c r="J248" s="61"/>
      <c r="K248" s="61"/>
      <c r="L248" s="61">
        <f>SUM(F248:K248)</f>
        <v>0</v>
      </c>
      <c r="M248" s="61">
        <f>L248/6</f>
        <v>0</v>
      </c>
      <c r="N248" s="61"/>
      <c r="O248" s="61"/>
      <c r="P248" s="61"/>
      <c r="Q248" s="61"/>
      <c r="R248" s="61"/>
      <c r="S248" s="61"/>
      <c r="T248" s="61">
        <f>SUM(N248:S248)</f>
        <v>0</v>
      </c>
      <c r="U248" s="61">
        <f>T248+L248</f>
        <v>0</v>
      </c>
      <c r="V248" s="61">
        <f>V243</f>
        <v>0</v>
      </c>
      <c r="W248" s="72">
        <f>V248-U248</f>
        <v>0</v>
      </c>
      <c r="X248" s="63">
        <f>U243-U248</f>
        <v>0</v>
      </c>
    </row>
    <row r="249" spans="1:24" s="63" customFormat="1" ht="21.8" hidden="1" customHeight="1">
      <c r="A249" s="610"/>
      <c r="B249" s="576"/>
      <c r="C249" s="577"/>
      <c r="D249" s="201" t="str">
        <f>серпень!D249</f>
        <v xml:space="preserve">місцевий </v>
      </c>
      <c r="E249" s="71"/>
      <c r="F249" s="61">
        <f t="shared" ref="F249:K249" si="274">F247-F248</f>
        <v>0</v>
      </c>
      <c r="G249" s="61">
        <f t="shared" si="274"/>
        <v>0</v>
      </c>
      <c r="H249" s="61">
        <f t="shared" si="274"/>
        <v>0</v>
      </c>
      <c r="I249" s="61">
        <f t="shared" si="274"/>
        <v>0</v>
      </c>
      <c r="J249" s="61">
        <f t="shared" si="274"/>
        <v>0</v>
      </c>
      <c r="K249" s="61">
        <f t="shared" si="274"/>
        <v>0</v>
      </c>
      <c r="L249" s="61">
        <f>SUM(F249:K249)</f>
        <v>0</v>
      </c>
      <c r="M249" s="61">
        <f>L249/6</f>
        <v>0</v>
      </c>
      <c r="N249" s="61">
        <f t="shared" ref="N249:S249" si="275">N247-N248</f>
        <v>0</v>
      </c>
      <c r="O249" s="61">
        <f t="shared" si="275"/>
        <v>0</v>
      </c>
      <c r="P249" s="61">
        <f t="shared" si="275"/>
        <v>0</v>
      </c>
      <c r="Q249" s="61">
        <f t="shared" si="275"/>
        <v>0</v>
      </c>
      <c r="R249" s="61">
        <f t="shared" si="275"/>
        <v>0</v>
      </c>
      <c r="S249" s="61">
        <f t="shared" si="275"/>
        <v>0</v>
      </c>
      <c r="T249" s="61">
        <f>SUM(N249:S249)</f>
        <v>0</v>
      </c>
      <c r="U249" s="61">
        <f>T249+L249</f>
        <v>0</v>
      </c>
      <c r="V249" s="61">
        <f>V244</f>
        <v>0</v>
      </c>
      <c r="W249" s="72">
        <f>V249-U249</f>
        <v>0</v>
      </c>
      <c r="X249" s="63">
        <f>U244-U249</f>
        <v>0</v>
      </c>
    </row>
    <row r="250" spans="1:24" s="43" customFormat="1" ht="21.8" hidden="1" customHeight="1">
      <c r="A250" s="610"/>
      <c r="B250" s="576"/>
      <c r="C250" s="577"/>
      <c r="D250" s="202" t="str">
        <f>серпень!D250</f>
        <v>план</v>
      </c>
      <c r="E250" s="42"/>
      <c r="F250" s="42">
        <f t="shared" ref="F250:K250" si="276">F244</f>
        <v>0</v>
      </c>
      <c r="G250" s="42">
        <f t="shared" si="276"/>
        <v>0</v>
      </c>
      <c r="H250" s="42">
        <f t="shared" si="276"/>
        <v>0</v>
      </c>
      <c r="I250" s="42">
        <f t="shared" si="276"/>
        <v>0</v>
      </c>
      <c r="J250" s="42">
        <f t="shared" si="276"/>
        <v>0</v>
      </c>
      <c r="K250" s="42">
        <f t="shared" si="276"/>
        <v>0</v>
      </c>
      <c r="L250" s="42">
        <f>SUM(F250:K250)</f>
        <v>0</v>
      </c>
      <c r="M250" s="42">
        <f>L250/6</f>
        <v>0</v>
      </c>
      <c r="N250" s="42">
        <f t="shared" ref="N250:S250" si="277">N244+N243</f>
        <v>0</v>
      </c>
      <c r="O250" s="42">
        <f t="shared" si="277"/>
        <v>0</v>
      </c>
      <c r="P250" s="42">
        <f t="shared" si="277"/>
        <v>0</v>
      </c>
      <c r="Q250" s="42">
        <f t="shared" si="277"/>
        <v>0</v>
      </c>
      <c r="R250" s="42">
        <f t="shared" si="277"/>
        <v>0</v>
      </c>
      <c r="S250" s="42">
        <f t="shared" si="277"/>
        <v>0</v>
      </c>
      <c r="T250" s="42">
        <f>SUM(N250:S250)</f>
        <v>0</v>
      </c>
      <c r="U250" s="42">
        <f>T250+L250</f>
        <v>0</v>
      </c>
      <c r="V250" s="42">
        <f>V247</f>
        <v>0</v>
      </c>
      <c r="W250" s="42">
        <f>V250-U250</f>
        <v>0</v>
      </c>
    </row>
    <row r="251" spans="1:24" s="43" customFormat="1" ht="21.8" hidden="1" customHeight="1">
      <c r="A251" s="610"/>
      <c r="B251" s="576"/>
      <c r="C251" s="577"/>
      <c r="D251" s="202" t="str">
        <f>серпень!D251</f>
        <v xml:space="preserve">відхилення </v>
      </c>
      <c r="E251" s="42"/>
      <c r="F251" s="42">
        <f t="shared" ref="F251:K251" si="278">F247-F250</f>
        <v>0</v>
      </c>
      <c r="G251" s="42">
        <f t="shared" si="278"/>
        <v>0</v>
      </c>
      <c r="H251" s="42">
        <f t="shared" si="278"/>
        <v>0</v>
      </c>
      <c r="I251" s="42">
        <f t="shared" si="278"/>
        <v>0</v>
      </c>
      <c r="J251" s="42">
        <f t="shared" si="278"/>
        <v>0</v>
      </c>
      <c r="K251" s="42">
        <f t="shared" si="278"/>
        <v>0</v>
      </c>
      <c r="L251" s="42"/>
      <c r="M251" s="42"/>
      <c r="N251" s="42">
        <f t="shared" ref="N251:S251" si="279">N247-N250</f>
        <v>0</v>
      </c>
      <c r="O251" s="42">
        <f t="shared" si="279"/>
        <v>0</v>
      </c>
      <c r="P251" s="42">
        <f t="shared" si="279"/>
        <v>0</v>
      </c>
      <c r="Q251" s="42">
        <f t="shared" si="279"/>
        <v>0</v>
      </c>
      <c r="R251" s="42">
        <f t="shared" si="279"/>
        <v>0</v>
      </c>
      <c r="S251" s="42">
        <f t="shared" si="279"/>
        <v>0</v>
      </c>
      <c r="T251" s="42"/>
      <c r="U251" s="42"/>
      <c r="V251" s="42"/>
      <c r="W251" s="42"/>
    </row>
    <row r="252" spans="1:24" s="43" customFormat="1" ht="21.8" hidden="1" customHeight="1">
      <c r="A252" s="611"/>
      <c r="B252" s="578"/>
      <c r="C252" s="579"/>
      <c r="D252" s="202" t="str">
        <f>серпень!D252</f>
        <v>відхилення з наростаючим</v>
      </c>
      <c r="E252" s="42"/>
      <c r="F252" s="42">
        <f>F251</f>
        <v>0</v>
      </c>
      <c r="G252" s="42">
        <f>G251+F252</f>
        <v>0</v>
      </c>
      <c r="H252" s="42">
        <f>H251+G252</f>
        <v>0</v>
      </c>
      <c r="I252" s="42">
        <f>I251+H252</f>
        <v>0</v>
      </c>
      <c r="J252" s="42">
        <f>J251+I252</f>
        <v>0</v>
      </c>
      <c r="K252" s="42">
        <f>K251+J252</f>
        <v>0</v>
      </c>
      <c r="L252" s="42"/>
      <c r="M252" s="42"/>
      <c r="N252" s="42">
        <f>N251+K252</f>
        <v>0</v>
      </c>
      <c r="O252" s="42">
        <f>O251+N252</f>
        <v>0</v>
      </c>
      <c r="P252" s="42">
        <f>P251+O252</f>
        <v>0</v>
      </c>
      <c r="Q252" s="42">
        <f>Q251+P252</f>
        <v>0</v>
      </c>
      <c r="R252" s="42">
        <f>R251+Q252</f>
        <v>0</v>
      </c>
      <c r="S252" s="42">
        <f>S251+R252</f>
        <v>0</v>
      </c>
      <c r="T252" s="42"/>
      <c r="U252" s="42"/>
      <c r="V252" s="42"/>
      <c r="W252" s="42"/>
    </row>
    <row r="253" spans="1:24" s="186" customFormat="1" ht="18" hidden="1" customHeight="1">
      <c r="A253" s="609" t="s">
        <v>58</v>
      </c>
      <c r="B253" s="659" t="s">
        <v>62</v>
      </c>
      <c r="C253" s="660"/>
      <c r="D253" s="178" t="str">
        <f>серпень!D253</f>
        <v>факт. нат.п-ки 2023</v>
      </c>
      <c r="E253" s="179"/>
      <c r="F253" s="180">
        <f t="shared" ref="F253:K255" si="280">F270+F300</f>
        <v>0</v>
      </c>
      <c r="G253" s="180">
        <f t="shared" si="280"/>
        <v>0</v>
      </c>
      <c r="H253" s="180">
        <f t="shared" si="280"/>
        <v>0</v>
      </c>
      <c r="I253" s="180">
        <f t="shared" si="280"/>
        <v>0</v>
      </c>
      <c r="J253" s="180">
        <f t="shared" si="280"/>
        <v>0</v>
      </c>
      <c r="K253" s="180">
        <f t="shared" si="280"/>
        <v>0</v>
      </c>
      <c r="L253" s="207">
        <f>SUM(F253:K253)</f>
        <v>0</v>
      </c>
      <c r="M253" s="207">
        <f>L253/6</f>
        <v>0</v>
      </c>
      <c r="N253" s="180">
        <f t="shared" ref="N253:S255" si="281">N270+N300</f>
        <v>0</v>
      </c>
      <c r="O253" s="180">
        <f t="shared" si="281"/>
        <v>0</v>
      </c>
      <c r="P253" s="180">
        <f t="shared" si="281"/>
        <v>0</v>
      </c>
      <c r="Q253" s="180">
        <f t="shared" si="281"/>
        <v>0</v>
      </c>
      <c r="R253" s="180">
        <f t="shared" si="281"/>
        <v>0</v>
      </c>
      <c r="S253" s="180">
        <f t="shared" si="281"/>
        <v>0</v>
      </c>
      <c r="T253" s="207">
        <f>SUM(N253:S253)</f>
        <v>0</v>
      </c>
      <c r="U253" s="222">
        <f>T253+L253</f>
        <v>0</v>
      </c>
      <c r="V253" s="183">
        <f>V270+V300</f>
        <v>0</v>
      </c>
      <c r="W253" s="184"/>
      <c r="X253" s="185"/>
    </row>
    <row r="254" spans="1:24" s="186" customFormat="1" ht="18" hidden="1" customHeight="1">
      <c r="A254" s="610"/>
      <c r="B254" s="661"/>
      <c r="C254" s="662"/>
      <c r="D254" s="178" t="str">
        <f>серпень!D254</f>
        <v>факт. нат.п-ки 2024</v>
      </c>
      <c r="E254" s="179"/>
      <c r="F254" s="180">
        <f t="shared" si="280"/>
        <v>0</v>
      </c>
      <c r="G254" s="180">
        <f t="shared" si="280"/>
        <v>0</v>
      </c>
      <c r="H254" s="180">
        <f t="shared" si="280"/>
        <v>0</v>
      </c>
      <c r="I254" s="180">
        <f t="shared" si="280"/>
        <v>0</v>
      </c>
      <c r="J254" s="180">
        <f t="shared" si="280"/>
        <v>0</v>
      </c>
      <c r="K254" s="180">
        <f t="shared" si="280"/>
        <v>0</v>
      </c>
      <c r="L254" s="207">
        <f>SUM(F254:K254)</f>
        <v>0</v>
      </c>
      <c r="M254" s="207">
        <f>L254/6</f>
        <v>0</v>
      </c>
      <c r="N254" s="179">
        <f t="shared" si="281"/>
        <v>0</v>
      </c>
      <c r="O254" s="179">
        <f t="shared" si="281"/>
        <v>0</v>
      </c>
      <c r="P254" s="179">
        <f t="shared" si="281"/>
        <v>0</v>
      </c>
      <c r="Q254" s="179">
        <f t="shared" si="281"/>
        <v>0</v>
      </c>
      <c r="R254" s="179">
        <f t="shared" si="281"/>
        <v>0</v>
      </c>
      <c r="S254" s="179">
        <f t="shared" si="281"/>
        <v>0</v>
      </c>
      <c r="T254" s="207">
        <f>SUM(N254:S254)</f>
        <v>0</v>
      </c>
      <c r="U254" s="222">
        <f>T254+L254</f>
        <v>0</v>
      </c>
      <c r="V254" s="183">
        <f>V271+V301</f>
        <v>0</v>
      </c>
      <c r="W254" s="184"/>
      <c r="X254" s="185"/>
    </row>
    <row r="255" spans="1:24" s="186" customFormat="1" ht="18" hidden="1" customHeight="1">
      <c r="A255" s="610"/>
      <c r="B255" s="661"/>
      <c r="C255" s="662"/>
      <c r="D255" s="178" t="str">
        <f>серпень!D255</f>
        <v>факт. нат.п-ки 2025</v>
      </c>
      <c r="E255" s="179"/>
      <c r="F255" s="180">
        <f>F272+F302</f>
        <v>0</v>
      </c>
      <c r="G255" s="180">
        <f t="shared" si="280"/>
        <v>0</v>
      </c>
      <c r="H255" s="180">
        <f t="shared" si="280"/>
        <v>0</v>
      </c>
      <c r="I255" s="180">
        <f t="shared" si="280"/>
        <v>0</v>
      </c>
      <c r="J255" s="180">
        <f t="shared" si="280"/>
        <v>0</v>
      </c>
      <c r="K255" s="180">
        <f t="shared" si="280"/>
        <v>0</v>
      </c>
      <c r="L255" s="207">
        <f>SUM(F255:K255)</f>
        <v>0</v>
      </c>
      <c r="M255" s="207">
        <f>L255/6</f>
        <v>0</v>
      </c>
      <c r="N255" s="180">
        <f>N272+N302</f>
        <v>0</v>
      </c>
      <c r="O255" s="180">
        <f t="shared" si="281"/>
        <v>0</v>
      </c>
      <c r="P255" s="180">
        <f t="shared" si="281"/>
        <v>0</v>
      </c>
      <c r="Q255" s="180">
        <f t="shared" si="281"/>
        <v>0</v>
      </c>
      <c r="R255" s="180">
        <f t="shared" si="281"/>
        <v>0</v>
      </c>
      <c r="S255" s="180">
        <f t="shared" si="281"/>
        <v>0</v>
      </c>
      <c r="T255" s="207">
        <f>SUM(N255:S255)</f>
        <v>0</v>
      </c>
      <c r="U255" s="222">
        <f>T255+L255</f>
        <v>0</v>
      </c>
      <c r="V255" s="183">
        <f>V272+V287+V302+V317</f>
        <v>0</v>
      </c>
      <c r="W255" s="184">
        <f>V255-U255</f>
        <v>0</v>
      </c>
      <c r="X255" s="185"/>
    </row>
    <row r="256" spans="1:24" s="190" customFormat="1" ht="18" hidden="1" customHeight="1">
      <c r="A256" s="610"/>
      <c r="B256" s="661"/>
      <c r="C256" s="662"/>
      <c r="D256" s="187" t="str">
        <f>серпень!D256</f>
        <v>тариф, грн.</v>
      </c>
      <c r="E256" s="188"/>
      <c r="F256" s="188" t="e">
        <f>F257/F255*1000</f>
        <v>#DIV/0!</v>
      </c>
      <c r="G256" s="188" t="e">
        <f>G257/G255*1000</f>
        <v>#DIV/0!</v>
      </c>
      <c r="H256" s="188" t="e">
        <f>H257/H255*1000</f>
        <v>#DIV/0!</v>
      </c>
      <c r="I256" s="188" t="e">
        <f>I257/I255*1000</f>
        <v>#DIV/0!</v>
      </c>
      <c r="J256" s="188" t="e">
        <f>J257/J255*1000</f>
        <v>#DIV/0!</v>
      </c>
      <c r="K256" s="188" t="e">
        <f t="shared" ref="K256:S256" si="282">K257/K255*1000</f>
        <v>#DIV/0!</v>
      </c>
      <c r="L256" s="188" t="e">
        <f t="shared" si="282"/>
        <v>#DIV/0!</v>
      </c>
      <c r="M256" s="188" t="e">
        <f t="shared" si="282"/>
        <v>#DIV/0!</v>
      </c>
      <c r="N256" s="188" t="e">
        <f t="shared" si="282"/>
        <v>#DIV/0!</v>
      </c>
      <c r="O256" s="188" t="e">
        <f t="shared" si="282"/>
        <v>#DIV/0!</v>
      </c>
      <c r="P256" s="188" t="e">
        <f t="shared" si="282"/>
        <v>#DIV/0!</v>
      </c>
      <c r="Q256" s="188" t="e">
        <f t="shared" si="282"/>
        <v>#DIV/0!</v>
      </c>
      <c r="R256" s="188" t="e">
        <f t="shared" si="282"/>
        <v>#DIV/0!</v>
      </c>
      <c r="S256" s="188" t="e">
        <f t="shared" si="282"/>
        <v>#DIV/0!</v>
      </c>
      <c r="T256" s="188" t="e">
        <f>T257/T255*1000</f>
        <v>#DIV/0!</v>
      </c>
      <c r="U256" s="188" t="e">
        <f>U257/U255*1000</f>
        <v>#DIV/0!</v>
      </c>
      <c r="V256" s="188" t="e">
        <f>V257/V255*1000</f>
        <v>#DIV/0!</v>
      </c>
      <c r="W256" s="189" t="e">
        <f>W257/W255*1000</f>
        <v>#DIV/0!</v>
      </c>
      <c r="X256" s="225"/>
    </row>
    <row r="257" spans="1:28" s="228" customFormat="1" ht="18" hidden="1" customHeight="1">
      <c r="A257" s="610"/>
      <c r="B257" s="661"/>
      <c r="C257" s="662"/>
      <c r="D257" s="191" t="str">
        <f>серпень!D257</f>
        <v>сума, тис.грн.</v>
      </c>
      <c r="E257" s="192"/>
      <c r="F257" s="192">
        <f>F274+F304</f>
        <v>0</v>
      </c>
      <c r="G257" s="192">
        <f t="shared" ref="G257:K257" si="283">G274+G304</f>
        <v>0</v>
      </c>
      <c r="H257" s="192">
        <f t="shared" si="283"/>
        <v>0</v>
      </c>
      <c r="I257" s="192">
        <f t="shared" si="283"/>
        <v>0</v>
      </c>
      <c r="J257" s="192">
        <f t="shared" si="283"/>
        <v>0</v>
      </c>
      <c r="K257" s="192">
        <f t="shared" si="283"/>
        <v>0</v>
      </c>
      <c r="L257" s="192">
        <f t="shared" ref="L257:L262" si="284">SUM(F257:K257)</f>
        <v>0</v>
      </c>
      <c r="M257" s="192">
        <f t="shared" ref="M257:M262" si="285">L257/6</f>
        <v>0</v>
      </c>
      <c r="N257" s="192">
        <f>N274+N304</f>
        <v>0</v>
      </c>
      <c r="O257" s="192">
        <f t="shared" ref="O257:P257" si="286">O274+O304</f>
        <v>0</v>
      </c>
      <c r="P257" s="192">
        <f t="shared" si="286"/>
        <v>0</v>
      </c>
      <c r="Q257" s="192">
        <f t="shared" ref="Q257:S257" si="287">Q274+Q304</f>
        <v>0</v>
      </c>
      <c r="R257" s="192">
        <f t="shared" si="287"/>
        <v>0</v>
      </c>
      <c r="S257" s="192">
        <f t="shared" si="287"/>
        <v>0</v>
      </c>
      <c r="T257" s="192">
        <f t="shared" ref="T257:T262" si="288">SUM(N257:S257)</f>
        <v>0</v>
      </c>
      <c r="U257" s="192">
        <f t="shared" ref="U257:U262" si="289">T257+L257</f>
        <v>0</v>
      </c>
      <c r="V257" s="193">
        <f>V274+V289+V304+V319</f>
        <v>0</v>
      </c>
      <c r="W257" s="193">
        <f t="shared" ref="W257:W262" si="290">V257-U257</f>
        <v>0</v>
      </c>
      <c r="X257" s="209"/>
      <c r="Y257" s="209"/>
      <c r="Z257" s="209"/>
      <c r="AA257" s="209"/>
      <c r="AB257" s="209"/>
    </row>
    <row r="258" spans="1:28" s="228" customFormat="1" ht="18" hidden="1" customHeight="1">
      <c r="A258" s="610"/>
      <c r="B258" s="661"/>
      <c r="C258" s="662"/>
      <c r="D258" s="174" t="str">
        <f>серпень!D258</f>
        <v>абоненська плата, тис.грн.</v>
      </c>
      <c r="E258" s="192"/>
      <c r="F258" s="192">
        <f>F289+F319</f>
        <v>0</v>
      </c>
      <c r="G258" s="192">
        <f t="shared" ref="G258:K258" si="291">G289+G319</f>
        <v>0</v>
      </c>
      <c r="H258" s="192">
        <f t="shared" si="291"/>
        <v>0</v>
      </c>
      <c r="I258" s="192">
        <f t="shared" si="291"/>
        <v>0</v>
      </c>
      <c r="J258" s="192">
        <f t="shared" si="291"/>
        <v>0</v>
      </c>
      <c r="K258" s="192">
        <f t="shared" si="291"/>
        <v>0</v>
      </c>
      <c r="L258" s="192">
        <f t="shared" si="284"/>
        <v>0</v>
      </c>
      <c r="M258" s="192">
        <f t="shared" si="285"/>
        <v>0</v>
      </c>
      <c r="N258" s="192">
        <f>N289+N319</f>
        <v>0</v>
      </c>
      <c r="O258" s="192">
        <f t="shared" ref="O258:P258" si="292">O289+O319</f>
        <v>0</v>
      </c>
      <c r="P258" s="192">
        <f t="shared" si="292"/>
        <v>0</v>
      </c>
      <c r="Q258" s="192">
        <f t="shared" ref="Q258:S258" si="293">Q289+Q319</f>
        <v>0</v>
      </c>
      <c r="R258" s="192">
        <f t="shared" si="293"/>
        <v>0</v>
      </c>
      <c r="S258" s="192">
        <f t="shared" si="293"/>
        <v>0</v>
      </c>
      <c r="T258" s="192">
        <f t="shared" si="288"/>
        <v>0</v>
      </c>
      <c r="U258" s="192">
        <f t="shared" si="289"/>
        <v>0</v>
      </c>
      <c r="V258" s="193">
        <f>V289+V319</f>
        <v>0</v>
      </c>
      <c r="W258" s="193">
        <f t="shared" si="290"/>
        <v>0</v>
      </c>
      <c r="X258" s="209"/>
      <c r="Y258" s="209"/>
      <c r="Z258" s="209"/>
      <c r="AA258" s="209"/>
      <c r="AB258" s="209"/>
    </row>
    <row r="259" spans="1:28" s="228" customFormat="1" ht="18" hidden="1" customHeight="1">
      <c r="A259" s="610"/>
      <c r="B259" s="661"/>
      <c r="C259" s="662"/>
      <c r="D259" s="174" t="str">
        <f>серпень!D259</f>
        <v>разом сума тис. грн+абонплата</v>
      </c>
      <c r="E259" s="192"/>
      <c r="F259" s="192">
        <f>F257+F258</f>
        <v>0</v>
      </c>
      <c r="G259" s="192">
        <f t="shared" ref="G259:K259" si="294">G257+G258</f>
        <v>0</v>
      </c>
      <c r="H259" s="192">
        <f t="shared" si="294"/>
        <v>0</v>
      </c>
      <c r="I259" s="192">
        <f t="shared" si="294"/>
        <v>0</v>
      </c>
      <c r="J259" s="192">
        <f t="shared" si="294"/>
        <v>0</v>
      </c>
      <c r="K259" s="192">
        <f t="shared" si="294"/>
        <v>0</v>
      </c>
      <c r="L259" s="192">
        <f t="shared" si="284"/>
        <v>0</v>
      </c>
      <c r="M259" s="192">
        <f t="shared" si="285"/>
        <v>0</v>
      </c>
      <c r="N259" s="192">
        <f>N257+N258</f>
        <v>0</v>
      </c>
      <c r="O259" s="192">
        <f t="shared" ref="O259:P259" si="295">O257+O258</f>
        <v>0</v>
      </c>
      <c r="P259" s="192">
        <f t="shared" si="295"/>
        <v>0</v>
      </c>
      <c r="Q259" s="192">
        <f t="shared" ref="Q259:S259" si="296">Q257+Q258</f>
        <v>0</v>
      </c>
      <c r="R259" s="192">
        <f t="shared" si="296"/>
        <v>0</v>
      </c>
      <c r="S259" s="192">
        <f t="shared" si="296"/>
        <v>0</v>
      </c>
      <c r="T259" s="192">
        <f t="shared" si="288"/>
        <v>0</v>
      </c>
      <c r="U259" s="192">
        <f t="shared" si="289"/>
        <v>0</v>
      </c>
      <c r="V259" s="193">
        <f>V290+V320</f>
        <v>0</v>
      </c>
      <c r="W259" s="193">
        <f t="shared" si="290"/>
        <v>0</v>
      </c>
      <c r="X259" s="209"/>
      <c r="Y259" s="209"/>
      <c r="Z259" s="209"/>
      <c r="AA259" s="209"/>
      <c r="AB259" s="209"/>
    </row>
    <row r="260" spans="1:28" s="228" customFormat="1" ht="18" hidden="1" customHeight="1">
      <c r="A260" s="610"/>
      <c r="B260" s="661"/>
      <c r="C260" s="662"/>
      <c r="D260" s="174" t="str">
        <f>серпень!D260</f>
        <v>дотація</v>
      </c>
      <c r="E260" s="210"/>
      <c r="F260" s="192">
        <f t="shared" ref="F260:K261" si="297">F275+F290+F305+F320</f>
        <v>0</v>
      </c>
      <c r="G260" s="192">
        <f t="shared" si="297"/>
        <v>0</v>
      </c>
      <c r="H260" s="192">
        <f t="shared" si="297"/>
        <v>0</v>
      </c>
      <c r="I260" s="192">
        <f t="shared" si="297"/>
        <v>0</v>
      </c>
      <c r="J260" s="192">
        <f t="shared" si="297"/>
        <v>0</v>
      </c>
      <c r="K260" s="192">
        <f t="shared" si="297"/>
        <v>0</v>
      </c>
      <c r="L260" s="192">
        <f t="shared" si="284"/>
        <v>0</v>
      </c>
      <c r="M260" s="192">
        <f t="shared" si="285"/>
        <v>0</v>
      </c>
      <c r="N260" s="192">
        <f t="shared" ref="N260:S262" si="298">N275+N290+N305+N320</f>
        <v>0</v>
      </c>
      <c r="O260" s="192">
        <f t="shared" si="298"/>
        <v>0</v>
      </c>
      <c r="P260" s="192">
        <f t="shared" si="298"/>
        <v>0</v>
      </c>
      <c r="Q260" s="192">
        <f t="shared" si="298"/>
        <v>0</v>
      </c>
      <c r="R260" s="192">
        <f t="shared" si="298"/>
        <v>0</v>
      </c>
      <c r="S260" s="192">
        <f t="shared" si="298"/>
        <v>0</v>
      </c>
      <c r="T260" s="192">
        <f t="shared" si="288"/>
        <v>0</v>
      </c>
      <c r="U260" s="192">
        <f t="shared" si="289"/>
        <v>0</v>
      </c>
      <c r="V260" s="193">
        <f t="shared" ref="V260:V262" si="299">V275+V290+V305+V320</f>
        <v>0</v>
      </c>
      <c r="W260" s="211">
        <f t="shared" si="290"/>
        <v>0</v>
      </c>
      <c r="X260" s="209"/>
      <c r="Y260" s="209"/>
      <c r="Z260" s="209"/>
      <c r="AA260" s="209"/>
      <c r="AB260" s="209"/>
    </row>
    <row r="261" spans="1:28" s="228" customFormat="1" ht="18" hidden="1" customHeight="1">
      <c r="A261" s="610"/>
      <c r="B261" s="661"/>
      <c r="C261" s="662"/>
      <c r="D261" s="174" t="str">
        <f>серпень!D261</f>
        <v>місцевий (план), тис.грн</v>
      </c>
      <c r="E261" s="210"/>
      <c r="F261" s="192">
        <f t="shared" si="297"/>
        <v>0</v>
      </c>
      <c r="G261" s="192">
        <f t="shared" si="297"/>
        <v>0</v>
      </c>
      <c r="H261" s="192">
        <f t="shared" si="297"/>
        <v>0</v>
      </c>
      <c r="I261" s="192">
        <f t="shared" si="297"/>
        <v>0</v>
      </c>
      <c r="J261" s="192">
        <f t="shared" si="297"/>
        <v>0</v>
      </c>
      <c r="K261" s="192">
        <f t="shared" si="297"/>
        <v>0</v>
      </c>
      <c r="L261" s="192">
        <f t="shared" si="284"/>
        <v>0</v>
      </c>
      <c r="M261" s="192">
        <f t="shared" si="285"/>
        <v>0</v>
      </c>
      <c r="N261" s="192">
        <f t="shared" si="298"/>
        <v>0</v>
      </c>
      <c r="O261" s="192">
        <f t="shared" si="298"/>
        <v>0</v>
      </c>
      <c r="P261" s="192">
        <f t="shared" si="298"/>
        <v>0</v>
      </c>
      <c r="Q261" s="192">
        <f t="shared" si="298"/>
        <v>0</v>
      </c>
      <c r="R261" s="192">
        <f t="shared" si="298"/>
        <v>0</v>
      </c>
      <c r="S261" s="192">
        <f t="shared" si="298"/>
        <v>0</v>
      </c>
      <c r="T261" s="192">
        <f t="shared" si="288"/>
        <v>0</v>
      </c>
      <c r="U261" s="192">
        <f t="shared" si="289"/>
        <v>0</v>
      </c>
      <c r="V261" s="193">
        <f t="shared" si="299"/>
        <v>0</v>
      </c>
      <c r="W261" s="193">
        <f t="shared" si="290"/>
        <v>0</v>
      </c>
      <c r="X261" s="209"/>
      <c r="Y261" s="209"/>
      <c r="Z261" s="209"/>
      <c r="AA261" s="209"/>
      <c r="AB261" s="209"/>
    </row>
    <row r="262" spans="1:28" s="186" customFormat="1" ht="18" hidden="1" customHeight="1">
      <c r="A262" s="610"/>
      <c r="B262" s="661"/>
      <c r="C262" s="662"/>
      <c r="D262" s="178" t="str">
        <f>серпень!D262</f>
        <v>касові нат.п-ки 2025</v>
      </c>
      <c r="E262" s="179">
        <f>E277+E307</f>
        <v>0</v>
      </c>
      <c r="F262" s="179">
        <f>F277+F307</f>
        <v>0</v>
      </c>
      <c r="G262" s="179">
        <f t="shared" ref="G262:K262" si="300">G277+G307</f>
        <v>0</v>
      </c>
      <c r="H262" s="179">
        <f t="shared" si="300"/>
        <v>0</v>
      </c>
      <c r="I262" s="179">
        <f t="shared" si="300"/>
        <v>0</v>
      </c>
      <c r="J262" s="179">
        <f t="shared" si="300"/>
        <v>0</v>
      </c>
      <c r="K262" s="179">
        <f t="shared" si="300"/>
        <v>0</v>
      </c>
      <c r="L262" s="207">
        <f t="shared" si="284"/>
        <v>0</v>
      </c>
      <c r="M262" s="207">
        <f t="shared" si="285"/>
        <v>0</v>
      </c>
      <c r="N262" s="179">
        <f t="shared" si="298"/>
        <v>0</v>
      </c>
      <c r="O262" s="179">
        <f t="shared" si="298"/>
        <v>0</v>
      </c>
      <c r="P262" s="179">
        <f t="shared" si="298"/>
        <v>0</v>
      </c>
      <c r="Q262" s="179">
        <f t="shared" si="298"/>
        <v>0</v>
      </c>
      <c r="R262" s="179">
        <f t="shared" si="298"/>
        <v>0</v>
      </c>
      <c r="S262" s="179">
        <f t="shared" si="298"/>
        <v>0</v>
      </c>
      <c r="T262" s="207">
        <f t="shared" si="288"/>
        <v>0</v>
      </c>
      <c r="U262" s="207">
        <f t="shared" si="289"/>
        <v>0</v>
      </c>
      <c r="V262" s="184">
        <f t="shared" si="299"/>
        <v>0</v>
      </c>
      <c r="W262" s="184">
        <f t="shared" si="290"/>
        <v>0</v>
      </c>
      <c r="X262" s="185">
        <f>U255-U262</f>
        <v>0</v>
      </c>
    </row>
    <row r="263" spans="1:28" s="190" customFormat="1" ht="18" hidden="1" customHeight="1">
      <c r="A263" s="610"/>
      <c r="B263" s="661"/>
      <c r="C263" s="662"/>
      <c r="D263" s="187" t="str">
        <f>серпень!D263</f>
        <v>тариф, грн.</v>
      </c>
      <c r="E263" s="188" t="e">
        <f t="shared" ref="E263:S263" si="301">E264/E262*1000</f>
        <v>#DIV/0!</v>
      </c>
      <c r="F263" s="188" t="e">
        <f t="shared" si="301"/>
        <v>#DIV/0!</v>
      </c>
      <c r="G263" s="188" t="e">
        <f t="shared" si="301"/>
        <v>#DIV/0!</v>
      </c>
      <c r="H263" s="188" t="e">
        <f t="shared" si="301"/>
        <v>#DIV/0!</v>
      </c>
      <c r="I263" s="188" t="e">
        <f t="shared" si="301"/>
        <v>#DIV/0!</v>
      </c>
      <c r="J263" s="188" t="e">
        <f t="shared" si="301"/>
        <v>#DIV/0!</v>
      </c>
      <c r="K263" s="188" t="e">
        <f t="shared" si="301"/>
        <v>#DIV/0!</v>
      </c>
      <c r="L263" s="188" t="e">
        <f t="shared" si="301"/>
        <v>#DIV/0!</v>
      </c>
      <c r="M263" s="188" t="e">
        <f t="shared" si="301"/>
        <v>#DIV/0!</v>
      </c>
      <c r="N263" s="188" t="e">
        <f t="shared" si="301"/>
        <v>#DIV/0!</v>
      </c>
      <c r="O263" s="188" t="e">
        <f t="shared" si="301"/>
        <v>#DIV/0!</v>
      </c>
      <c r="P263" s="188" t="e">
        <f t="shared" si="301"/>
        <v>#DIV/0!</v>
      </c>
      <c r="Q263" s="188" t="e">
        <f t="shared" si="301"/>
        <v>#DIV/0!</v>
      </c>
      <c r="R263" s="188" t="e">
        <f t="shared" si="301"/>
        <v>#DIV/0!</v>
      </c>
      <c r="S263" s="188" t="e">
        <f t="shared" si="301"/>
        <v>#DIV/0!</v>
      </c>
      <c r="T263" s="188" t="e">
        <f>T264/T262*1000</f>
        <v>#DIV/0!</v>
      </c>
      <c r="U263" s="188" t="e">
        <f>U264/U262*1000</f>
        <v>#DIV/0!</v>
      </c>
      <c r="V263" s="188" t="e">
        <f>V264/V262*1000</f>
        <v>#DIV/0!</v>
      </c>
      <c r="W263" s="189" t="e">
        <f>W264/W262*1000</f>
        <v>#DIV/0!</v>
      </c>
      <c r="X263" s="225"/>
    </row>
    <row r="264" spans="1:28" s="213" customFormat="1" ht="18" hidden="1" customHeight="1">
      <c r="A264" s="610"/>
      <c r="B264" s="661"/>
      <c r="C264" s="662"/>
      <c r="D264" s="198" t="str">
        <f>серпень!D264</f>
        <v>касові видатки, тис.грн.</v>
      </c>
      <c r="E264" s="212">
        <f>E279+E309</f>
        <v>0</v>
      </c>
      <c r="F264" s="199">
        <f>F279+F294+F309+F324</f>
        <v>0</v>
      </c>
      <c r="G264" s="199">
        <f t="shared" ref="G264:K264" si="302">G279+G294+G309+G324</f>
        <v>0</v>
      </c>
      <c r="H264" s="199">
        <f t="shared" si="302"/>
        <v>0</v>
      </c>
      <c r="I264" s="199">
        <f t="shared" si="302"/>
        <v>0</v>
      </c>
      <c r="J264" s="199">
        <f t="shared" si="302"/>
        <v>0</v>
      </c>
      <c r="K264" s="199">
        <f t="shared" si="302"/>
        <v>0</v>
      </c>
      <c r="L264" s="199">
        <f>SUM(F264:K264)</f>
        <v>0</v>
      </c>
      <c r="M264" s="199">
        <f>L264/6</f>
        <v>0</v>
      </c>
      <c r="N264" s="199">
        <f t="shared" ref="N264:S266" si="303">N279+N294+N309+N324</f>
        <v>0</v>
      </c>
      <c r="O264" s="199">
        <f t="shared" si="303"/>
        <v>0</v>
      </c>
      <c r="P264" s="199">
        <f t="shared" si="303"/>
        <v>0</v>
      </c>
      <c r="Q264" s="199">
        <f t="shared" si="303"/>
        <v>0</v>
      </c>
      <c r="R264" s="199">
        <f t="shared" si="303"/>
        <v>0</v>
      </c>
      <c r="S264" s="199">
        <f t="shared" si="303"/>
        <v>0</v>
      </c>
      <c r="T264" s="199">
        <f>SUM(N264:S264)</f>
        <v>0</v>
      </c>
      <c r="U264" s="199">
        <f>T264+L264</f>
        <v>0</v>
      </c>
      <c r="V264" s="175">
        <f t="shared" ref="V264:V267" si="304">V279+V294+V309+V324</f>
        <v>0</v>
      </c>
      <c r="W264" s="175">
        <f>V264-U264</f>
        <v>0</v>
      </c>
      <c r="X264" s="176">
        <f>U259-U264</f>
        <v>0</v>
      </c>
    </row>
    <row r="265" spans="1:28" s="213" customFormat="1" ht="18" hidden="1" customHeight="1">
      <c r="A265" s="610"/>
      <c r="B265" s="661"/>
      <c r="C265" s="662"/>
      <c r="D265" s="201" t="str">
        <f>серпень!D265</f>
        <v>дотація</v>
      </c>
      <c r="E265" s="212"/>
      <c r="F265" s="199">
        <f t="shared" ref="F265:K266" si="305">F280+F295+F310+F325</f>
        <v>0</v>
      </c>
      <c r="G265" s="199">
        <f t="shared" si="305"/>
        <v>0</v>
      </c>
      <c r="H265" s="199">
        <f t="shared" si="305"/>
        <v>0</v>
      </c>
      <c r="I265" s="199">
        <f t="shared" si="305"/>
        <v>0</v>
      </c>
      <c r="J265" s="199">
        <f t="shared" si="305"/>
        <v>0</v>
      </c>
      <c r="K265" s="199">
        <f t="shared" si="305"/>
        <v>0</v>
      </c>
      <c r="L265" s="199">
        <f>SUM(F265:K265)</f>
        <v>0</v>
      </c>
      <c r="M265" s="199">
        <f>L265/6</f>
        <v>0</v>
      </c>
      <c r="N265" s="199">
        <f t="shared" si="303"/>
        <v>0</v>
      </c>
      <c r="O265" s="199">
        <f t="shared" si="303"/>
        <v>0</v>
      </c>
      <c r="P265" s="199">
        <f t="shared" si="303"/>
        <v>0</v>
      </c>
      <c r="Q265" s="199">
        <f t="shared" si="303"/>
        <v>0</v>
      </c>
      <c r="R265" s="199">
        <f t="shared" si="303"/>
        <v>0</v>
      </c>
      <c r="S265" s="199">
        <f t="shared" si="303"/>
        <v>0</v>
      </c>
      <c r="T265" s="199">
        <f>SUM(N265:S265)</f>
        <v>0</v>
      </c>
      <c r="U265" s="199">
        <f>T265+L265</f>
        <v>0</v>
      </c>
      <c r="V265" s="175">
        <f t="shared" si="304"/>
        <v>0</v>
      </c>
      <c r="W265" s="175">
        <f>V265-U265</f>
        <v>0</v>
      </c>
      <c r="X265" s="176">
        <f>U260-U265</f>
        <v>0</v>
      </c>
    </row>
    <row r="266" spans="1:28" s="213" customFormat="1" ht="18" hidden="1" customHeight="1">
      <c r="A266" s="610"/>
      <c r="B266" s="661"/>
      <c r="C266" s="662"/>
      <c r="D266" s="201" t="str">
        <f>серпень!D266</f>
        <v xml:space="preserve">місцевий </v>
      </c>
      <c r="E266" s="212"/>
      <c r="F266" s="199">
        <f t="shared" si="305"/>
        <v>0</v>
      </c>
      <c r="G266" s="199">
        <f t="shared" si="305"/>
        <v>0</v>
      </c>
      <c r="H266" s="199">
        <f t="shared" si="305"/>
        <v>0</v>
      </c>
      <c r="I266" s="199">
        <f t="shared" si="305"/>
        <v>0</v>
      </c>
      <c r="J266" s="199">
        <f t="shared" si="305"/>
        <v>0</v>
      </c>
      <c r="K266" s="199">
        <f t="shared" si="305"/>
        <v>0</v>
      </c>
      <c r="L266" s="199">
        <f>SUM(F266:K266)</f>
        <v>0</v>
      </c>
      <c r="M266" s="199">
        <f>L266/6</f>
        <v>0</v>
      </c>
      <c r="N266" s="199">
        <f t="shared" si="303"/>
        <v>0</v>
      </c>
      <c r="O266" s="199">
        <f t="shared" si="303"/>
        <v>0</v>
      </c>
      <c r="P266" s="199">
        <f t="shared" si="303"/>
        <v>0</v>
      </c>
      <c r="Q266" s="199">
        <f t="shared" si="303"/>
        <v>0</v>
      </c>
      <c r="R266" s="199">
        <f t="shared" si="303"/>
        <v>0</v>
      </c>
      <c r="S266" s="199">
        <f t="shared" si="303"/>
        <v>0</v>
      </c>
      <c r="T266" s="199">
        <f>SUM(N266:S266)</f>
        <v>0</v>
      </c>
      <c r="U266" s="199">
        <f>T266+L266</f>
        <v>0</v>
      </c>
      <c r="V266" s="175">
        <f t="shared" si="304"/>
        <v>0</v>
      </c>
      <c r="W266" s="175">
        <f>V266-U266</f>
        <v>0</v>
      </c>
      <c r="X266" s="176">
        <f>U261-U266</f>
        <v>0</v>
      </c>
    </row>
    <row r="267" spans="1:28" s="205" customFormat="1" ht="18" hidden="1" customHeight="1">
      <c r="A267" s="610"/>
      <c r="B267" s="661"/>
      <c r="C267" s="662"/>
      <c r="D267" s="202" t="str">
        <f>серпень!D267</f>
        <v>план</v>
      </c>
      <c r="E267" s="203"/>
      <c r="F267" s="203">
        <f>F261</f>
        <v>0</v>
      </c>
      <c r="G267" s="203">
        <f t="shared" ref="G267:K267" si="306">G261</f>
        <v>0</v>
      </c>
      <c r="H267" s="203">
        <f t="shared" si="306"/>
        <v>0</v>
      </c>
      <c r="I267" s="203">
        <f t="shared" si="306"/>
        <v>0</v>
      </c>
      <c r="J267" s="203">
        <f t="shared" si="306"/>
        <v>0</v>
      </c>
      <c r="K267" s="203">
        <f t="shared" si="306"/>
        <v>0</v>
      </c>
      <c r="L267" s="203">
        <f>SUM(F267:K267)</f>
        <v>0</v>
      </c>
      <c r="M267" s="203">
        <f>L267/6</f>
        <v>0</v>
      </c>
      <c r="N267" s="203">
        <f t="shared" ref="N267:S267" si="307">N261+N260</f>
        <v>0</v>
      </c>
      <c r="O267" s="203">
        <f t="shared" si="307"/>
        <v>0</v>
      </c>
      <c r="P267" s="203">
        <f t="shared" si="307"/>
        <v>0</v>
      </c>
      <c r="Q267" s="203">
        <f t="shared" si="307"/>
        <v>0</v>
      </c>
      <c r="R267" s="203">
        <f t="shared" si="307"/>
        <v>0</v>
      </c>
      <c r="S267" s="203">
        <f t="shared" si="307"/>
        <v>0</v>
      </c>
      <c r="T267" s="203">
        <f>SUM(N267:S267)</f>
        <v>0</v>
      </c>
      <c r="U267" s="203">
        <f>T267+L267</f>
        <v>0</v>
      </c>
      <c r="V267" s="204">
        <f t="shared" si="304"/>
        <v>0</v>
      </c>
      <c r="W267" s="204">
        <f>V267-U267</f>
        <v>0</v>
      </c>
    </row>
    <row r="268" spans="1:28" s="205" customFormat="1" ht="18" hidden="1" customHeight="1">
      <c r="A268" s="610"/>
      <c r="B268" s="661"/>
      <c r="C268" s="662"/>
      <c r="D268" s="202" t="str">
        <f>серпень!D268</f>
        <v xml:space="preserve">відхилення </v>
      </c>
      <c r="E268" s="203"/>
      <c r="F268" s="203">
        <f t="shared" ref="F268:K268" si="308">F264-F267</f>
        <v>0</v>
      </c>
      <c r="G268" s="203">
        <f t="shared" si="308"/>
        <v>0</v>
      </c>
      <c r="H268" s="203">
        <f t="shared" si="308"/>
        <v>0</v>
      </c>
      <c r="I268" s="203">
        <f t="shared" si="308"/>
        <v>0</v>
      </c>
      <c r="J268" s="203">
        <f t="shared" si="308"/>
        <v>0</v>
      </c>
      <c r="K268" s="203">
        <f t="shared" si="308"/>
        <v>0</v>
      </c>
      <c r="L268" s="203"/>
      <c r="M268" s="203"/>
      <c r="N268" s="203">
        <f t="shared" ref="N268:S268" si="309">N264-N267</f>
        <v>0</v>
      </c>
      <c r="O268" s="203">
        <f t="shared" si="309"/>
        <v>0</v>
      </c>
      <c r="P268" s="203">
        <f t="shared" si="309"/>
        <v>0</v>
      </c>
      <c r="Q268" s="203">
        <f t="shared" si="309"/>
        <v>0</v>
      </c>
      <c r="R268" s="203">
        <f t="shared" si="309"/>
        <v>0</v>
      </c>
      <c r="S268" s="203">
        <f t="shared" si="309"/>
        <v>0</v>
      </c>
      <c r="T268" s="203"/>
      <c r="U268" s="203"/>
      <c r="V268" s="203"/>
      <c r="W268" s="203"/>
    </row>
    <row r="269" spans="1:28" s="205" customFormat="1" ht="18" hidden="1" customHeight="1">
      <c r="A269" s="610"/>
      <c r="B269" s="663"/>
      <c r="C269" s="664"/>
      <c r="D269" s="202" t="str">
        <f>серпень!D269</f>
        <v>відхилення з наростаючим</v>
      </c>
      <c r="E269" s="203"/>
      <c r="F269" s="203">
        <f>F268</f>
        <v>0</v>
      </c>
      <c r="G269" s="203">
        <f>G268+F269</f>
        <v>0</v>
      </c>
      <c r="H269" s="203">
        <f>H268+G269</f>
        <v>0</v>
      </c>
      <c r="I269" s="203">
        <f>I268+H269</f>
        <v>0</v>
      </c>
      <c r="J269" s="203">
        <f>J268+I269</f>
        <v>0</v>
      </c>
      <c r="K269" s="203">
        <f>K268+J269</f>
        <v>0</v>
      </c>
      <c r="L269" s="203"/>
      <c r="M269" s="203"/>
      <c r="N269" s="203">
        <f>N268+K269</f>
        <v>0</v>
      </c>
      <c r="O269" s="203">
        <f>O268+N269</f>
        <v>0</v>
      </c>
      <c r="P269" s="203">
        <f>P268+O269</f>
        <v>0</v>
      </c>
      <c r="Q269" s="203">
        <f>Q268+P269</f>
        <v>0</v>
      </c>
      <c r="R269" s="203">
        <f>R268+Q269</f>
        <v>0</v>
      </c>
      <c r="S269" s="203">
        <f>S268+R269</f>
        <v>0</v>
      </c>
      <c r="T269" s="203"/>
      <c r="U269" s="203"/>
      <c r="V269" s="203"/>
      <c r="W269" s="203"/>
    </row>
    <row r="270" spans="1:28" s="48" customFormat="1" ht="18" hidden="1" customHeight="1">
      <c r="A270" s="610"/>
      <c r="B270" s="582" t="s">
        <v>60</v>
      </c>
      <c r="C270" s="582" t="s">
        <v>97</v>
      </c>
      <c r="D270" s="178" t="str">
        <f>серпень!D270</f>
        <v>факт. нат.п-ки 2023</v>
      </c>
      <c r="E270" s="11"/>
      <c r="F270" s="12"/>
      <c r="G270" s="12"/>
      <c r="H270" s="12"/>
      <c r="I270" s="12"/>
      <c r="J270" s="12"/>
      <c r="K270" s="12"/>
      <c r="L270" s="65">
        <f>SUM(F270:K270)</f>
        <v>0</v>
      </c>
      <c r="M270" s="65">
        <f>L270/6</f>
        <v>0</v>
      </c>
      <c r="N270" s="12"/>
      <c r="O270" s="12"/>
      <c r="P270" s="12"/>
      <c r="Q270" s="12"/>
      <c r="R270" s="12"/>
      <c r="S270" s="12"/>
      <c r="T270" s="65">
        <f>SUM(N270:S270)</f>
        <v>0</v>
      </c>
      <c r="U270" s="66">
        <f>T270+L270</f>
        <v>0</v>
      </c>
      <c r="V270" s="67"/>
      <c r="W270" s="38">
        <f>V270-U270</f>
        <v>0</v>
      </c>
      <c r="X270" s="47"/>
    </row>
    <row r="271" spans="1:28" s="48" customFormat="1" ht="18" hidden="1" customHeight="1">
      <c r="A271" s="610"/>
      <c r="B271" s="583"/>
      <c r="C271" s="583"/>
      <c r="D271" s="178" t="str">
        <f>серпень!D271</f>
        <v>факт. нат.п-ки 2024</v>
      </c>
      <c r="E271" s="11"/>
      <c r="F271" s="12"/>
      <c r="G271" s="12"/>
      <c r="H271" s="12"/>
      <c r="I271" s="12"/>
      <c r="J271" s="12"/>
      <c r="K271" s="12"/>
      <c r="L271" s="65">
        <f>SUM(F271:K271)</f>
        <v>0</v>
      </c>
      <c r="M271" s="65">
        <f>L271/6</f>
        <v>0</v>
      </c>
      <c r="N271" s="11"/>
      <c r="O271" s="11"/>
      <c r="P271" s="11"/>
      <c r="Q271" s="11"/>
      <c r="R271" s="11"/>
      <c r="S271" s="11"/>
      <c r="T271" s="65">
        <f>SUM(N271:S271)</f>
        <v>0</v>
      </c>
      <c r="U271" s="66">
        <f>T271+L271</f>
        <v>0</v>
      </c>
      <c r="V271" s="67"/>
      <c r="W271" s="38">
        <f>V271-U271</f>
        <v>0</v>
      </c>
      <c r="X271" s="47"/>
    </row>
    <row r="272" spans="1:28" s="48" customFormat="1" ht="18" hidden="1" customHeight="1">
      <c r="A272" s="610"/>
      <c r="B272" s="583"/>
      <c r="C272" s="583"/>
      <c r="D272" s="178" t="str">
        <f>серпень!D272</f>
        <v>факт. нат.п-ки 2025</v>
      </c>
      <c r="E272" s="11"/>
      <c r="F272" s="12"/>
      <c r="G272" s="12"/>
      <c r="H272" s="12"/>
      <c r="I272" s="12"/>
      <c r="J272" s="12"/>
      <c r="K272" s="12"/>
      <c r="L272" s="65">
        <f>SUM(F272:K272)</f>
        <v>0</v>
      </c>
      <c r="M272" s="65">
        <f>L272/6</f>
        <v>0</v>
      </c>
      <c r="N272" s="12"/>
      <c r="O272" s="12"/>
      <c r="P272" s="12"/>
      <c r="Q272" s="12"/>
      <c r="R272" s="12"/>
      <c r="S272" s="11"/>
      <c r="T272" s="65">
        <f>SUM(N272:S272)</f>
        <v>0</v>
      </c>
      <c r="U272" s="66">
        <f>T272+L272</f>
        <v>0</v>
      </c>
      <c r="V272" s="11"/>
      <c r="W272" s="38">
        <f>V272-U272</f>
        <v>0</v>
      </c>
      <c r="X272" s="47"/>
    </row>
    <row r="273" spans="1:24" s="51" customFormat="1" ht="18" hidden="1" customHeight="1">
      <c r="A273" s="610"/>
      <c r="B273" s="583"/>
      <c r="C273" s="583"/>
      <c r="D273" s="187" t="str">
        <f>серпень!D273</f>
        <v>тариф, грн.</v>
      </c>
      <c r="E273" s="49"/>
      <c r="F273" s="49"/>
      <c r="G273" s="49"/>
      <c r="H273" s="49"/>
      <c r="I273" s="49"/>
      <c r="J273" s="49"/>
      <c r="K273" s="49"/>
      <c r="L273" s="49" t="e">
        <f>L274/L272*1000</f>
        <v>#DIV/0!</v>
      </c>
      <c r="M273" s="49" t="e">
        <f>M274/M272*1000</f>
        <v>#DIV/0!</v>
      </c>
      <c r="N273" s="49"/>
      <c r="O273" s="49"/>
      <c r="P273" s="49"/>
      <c r="Q273" s="49"/>
      <c r="R273" s="49"/>
      <c r="S273" s="49"/>
      <c r="T273" s="49" t="e">
        <f>T274/T272*1000</f>
        <v>#DIV/0!</v>
      </c>
      <c r="U273" s="49" t="e">
        <f>U274/U272*1000</f>
        <v>#DIV/0!</v>
      </c>
      <c r="V273" s="68" t="e">
        <f>V274/V272*1000</f>
        <v>#DIV/0!</v>
      </c>
      <c r="W273" s="14" t="e">
        <f>W274/W272*1000</f>
        <v>#DIV/0!</v>
      </c>
      <c r="X273" s="50"/>
    </row>
    <row r="274" spans="1:24" s="55" customFormat="1" ht="18" hidden="1" customHeight="1">
      <c r="A274" s="610"/>
      <c r="B274" s="583"/>
      <c r="C274" s="583"/>
      <c r="D274" s="191" t="str">
        <f>серпень!D274</f>
        <v>сума, тис.грн.</v>
      </c>
      <c r="E274" s="52"/>
      <c r="F274" s="52">
        <f t="shared" ref="F274:K274" si="310">F272*F273/1000</f>
        <v>0</v>
      </c>
      <c r="G274" s="52">
        <f t="shared" si="310"/>
        <v>0</v>
      </c>
      <c r="H274" s="52">
        <f t="shared" si="310"/>
        <v>0</v>
      </c>
      <c r="I274" s="52">
        <f t="shared" si="310"/>
        <v>0</v>
      </c>
      <c r="J274" s="52">
        <f t="shared" si="310"/>
        <v>0</v>
      </c>
      <c r="K274" s="52">
        <f t="shared" si="310"/>
        <v>0</v>
      </c>
      <c r="L274" s="69">
        <f>SUM(F274:K274)</f>
        <v>0</v>
      </c>
      <c r="M274" s="69">
        <f>L274/6</f>
        <v>0</v>
      </c>
      <c r="N274" s="52">
        <f t="shared" ref="N274:S274" si="311">N272*N273/1000</f>
        <v>0</v>
      </c>
      <c r="O274" s="52">
        <f t="shared" si="311"/>
        <v>0</v>
      </c>
      <c r="P274" s="52">
        <f t="shared" si="311"/>
        <v>0</v>
      </c>
      <c r="Q274" s="52">
        <f t="shared" si="311"/>
        <v>0</v>
      </c>
      <c r="R274" s="52">
        <f t="shared" si="311"/>
        <v>0</v>
      </c>
      <c r="S274" s="52">
        <f t="shared" si="311"/>
        <v>0</v>
      </c>
      <c r="T274" s="69">
        <f>SUM(N274:S274)</f>
        <v>0</v>
      </c>
      <c r="U274" s="69">
        <f>T274+L274</f>
        <v>0</v>
      </c>
      <c r="V274" s="70">
        <f>V275+V276</f>
        <v>0</v>
      </c>
      <c r="W274" s="53">
        <f>V274-U274</f>
        <v>0</v>
      </c>
      <c r="X274" s="54">
        <f>9891253.845/1000</f>
        <v>9891.2540000000008</v>
      </c>
    </row>
    <row r="275" spans="1:24" s="55" customFormat="1" ht="18" hidden="1" customHeight="1">
      <c r="A275" s="610"/>
      <c r="B275" s="583"/>
      <c r="C275" s="583"/>
      <c r="D275" s="174" t="str">
        <f>серпень!D275</f>
        <v>абоненська плата, тис.грн.</v>
      </c>
      <c r="E275" s="56"/>
      <c r="F275" s="52"/>
      <c r="G275" s="52"/>
      <c r="H275" s="52"/>
      <c r="I275" s="52"/>
      <c r="J275" s="52"/>
      <c r="K275" s="52"/>
      <c r="L275" s="69">
        <f>SUM(F275:K275)</f>
        <v>0</v>
      </c>
      <c r="M275" s="69">
        <f>L275/6</f>
        <v>0</v>
      </c>
      <c r="N275" s="52"/>
      <c r="O275" s="52"/>
      <c r="P275" s="52"/>
      <c r="Q275" s="52"/>
      <c r="R275" s="52"/>
      <c r="S275" s="52"/>
      <c r="T275" s="69">
        <f>SUM(N275:S275)</f>
        <v>0</v>
      </c>
      <c r="U275" s="69">
        <f>T275+L275</f>
        <v>0</v>
      </c>
      <c r="V275" s="70"/>
      <c r="W275" s="53">
        <f>V275-U275</f>
        <v>0</v>
      </c>
      <c r="X275" s="58"/>
    </row>
    <row r="276" spans="1:24" s="55" customFormat="1" ht="18" hidden="1" customHeight="1">
      <c r="A276" s="610"/>
      <c r="B276" s="583"/>
      <c r="C276" s="583"/>
      <c r="D276" s="174" t="str">
        <f>серпень!D276</f>
        <v>разом сума тис. грн+абонплата</v>
      </c>
      <c r="E276" s="56"/>
      <c r="F276" s="52"/>
      <c r="G276" s="52"/>
      <c r="H276" s="52"/>
      <c r="I276" s="52"/>
      <c r="J276" s="52"/>
      <c r="K276" s="52"/>
      <c r="L276" s="69">
        <f>SUM(F276:K276)</f>
        <v>0</v>
      </c>
      <c r="M276" s="69">
        <f>L276/6</f>
        <v>0</v>
      </c>
      <c r="N276" s="52"/>
      <c r="O276" s="52"/>
      <c r="P276" s="52"/>
      <c r="Q276" s="52"/>
      <c r="R276" s="52"/>
      <c r="S276" s="52"/>
      <c r="T276" s="69">
        <f>SUM(N276:S276)</f>
        <v>0</v>
      </c>
      <c r="U276" s="69">
        <f>T276+L276</f>
        <v>0</v>
      </c>
      <c r="V276" s="70"/>
      <c r="W276" s="53">
        <f>V276-U276</f>
        <v>0</v>
      </c>
      <c r="X276" s="58"/>
    </row>
    <row r="277" spans="1:24" s="48" customFormat="1" ht="18" hidden="1" customHeight="1">
      <c r="A277" s="610"/>
      <c r="B277" s="583"/>
      <c r="C277" s="583"/>
      <c r="D277" s="178" t="str">
        <f>серпень!D277</f>
        <v>дотація</v>
      </c>
      <c r="E277" s="11"/>
      <c r="F277" s="11"/>
      <c r="G277" s="11"/>
      <c r="H277" s="11"/>
      <c r="I277" s="11"/>
      <c r="J277" s="11"/>
      <c r="K277" s="11"/>
      <c r="L277" s="65">
        <f>SUM(F277:K277)</f>
        <v>0</v>
      </c>
      <c r="M277" s="65">
        <f>L277/6</f>
        <v>0</v>
      </c>
      <c r="N277" s="11"/>
      <c r="O277" s="11"/>
      <c r="P277" s="11"/>
      <c r="Q277" s="11"/>
      <c r="R277" s="11"/>
      <c r="S277" s="11">
        <f>S272+R272</f>
        <v>0</v>
      </c>
      <c r="T277" s="65">
        <f>SUM(N277:S277)</f>
        <v>0</v>
      </c>
      <c r="U277" s="65">
        <f>T277+L277</f>
        <v>0</v>
      </c>
      <c r="V277" s="11">
        <f>V272</f>
        <v>0</v>
      </c>
      <c r="W277" s="38">
        <f>V277-U277</f>
        <v>0</v>
      </c>
      <c r="X277" s="47">
        <f>U272-U277</f>
        <v>0</v>
      </c>
    </row>
    <row r="278" spans="1:24" s="51" customFormat="1" ht="18" hidden="1" customHeight="1">
      <c r="A278" s="610"/>
      <c r="B278" s="583"/>
      <c r="C278" s="583"/>
      <c r="D278" s="187" t="str">
        <f>серпень!D278</f>
        <v>місцевий (план), тис.грн</v>
      </c>
      <c r="E278" s="49" t="e">
        <f>E279/E277*1000</f>
        <v>#DIV/0!</v>
      </c>
      <c r="F278" s="49"/>
      <c r="G278" s="49"/>
      <c r="H278" s="49"/>
      <c r="I278" s="49"/>
      <c r="J278" s="49"/>
      <c r="K278" s="49"/>
      <c r="L278" s="49" t="e">
        <f>L279/L277*1000</f>
        <v>#DIV/0!</v>
      </c>
      <c r="M278" s="49" t="e">
        <f>M279/M277*1000</f>
        <v>#DIV/0!</v>
      </c>
      <c r="N278" s="49"/>
      <c r="O278" s="49"/>
      <c r="P278" s="49"/>
      <c r="Q278" s="49"/>
      <c r="R278" s="49"/>
      <c r="S278" s="49"/>
      <c r="T278" s="49" t="e">
        <f>T279/T277*1000</f>
        <v>#DIV/0!</v>
      </c>
      <c r="U278" s="49" t="e">
        <f>U279/U277*1000</f>
        <v>#DIV/0!</v>
      </c>
      <c r="V278" s="68" t="e">
        <f>V279/V277*1000</f>
        <v>#DIV/0!</v>
      </c>
      <c r="W278" s="14" t="e">
        <f>W279/W277*1000</f>
        <v>#DIV/0!</v>
      </c>
      <c r="X278" s="59"/>
    </row>
    <row r="279" spans="1:24" s="63" customFormat="1" ht="17.7" hidden="1" customHeight="1">
      <c r="A279" s="610"/>
      <c r="B279" s="583"/>
      <c r="C279" s="583"/>
      <c r="D279" s="198" t="str">
        <f>серпень!D279</f>
        <v>касові нат.п-ки 2025</v>
      </c>
      <c r="E279" s="71"/>
      <c r="F279" s="61">
        <f t="shared" ref="F279:K279" si="312">F277*F278/1000</f>
        <v>0</v>
      </c>
      <c r="G279" s="61">
        <f t="shared" si="312"/>
        <v>0</v>
      </c>
      <c r="H279" s="61">
        <f t="shared" si="312"/>
        <v>0</v>
      </c>
      <c r="I279" s="61">
        <f t="shared" si="312"/>
        <v>0</v>
      </c>
      <c r="J279" s="61">
        <f t="shared" si="312"/>
        <v>0</v>
      </c>
      <c r="K279" s="61">
        <f t="shared" si="312"/>
        <v>0</v>
      </c>
      <c r="L279" s="61">
        <f>SUM(F279:K279)</f>
        <v>0</v>
      </c>
      <c r="M279" s="61">
        <f>L279/6</f>
        <v>0</v>
      </c>
      <c r="N279" s="61">
        <f t="shared" ref="N279:S279" si="313">N277*N278/1000</f>
        <v>0</v>
      </c>
      <c r="O279" s="61">
        <f t="shared" si="313"/>
        <v>0</v>
      </c>
      <c r="P279" s="61">
        <f t="shared" si="313"/>
        <v>0</v>
      </c>
      <c r="Q279" s="61">
        <f t="shared" si="313"/>
        <v>0</v>
      </c>
      <c r="R279" s="61">
        <f t="shared" si="313"/>
        <v>0</v>
      </c>
      <c r="S279" s="61">
        <f t="shared" si="313"/>
        <v>0</v>
      </c>
      <c r="T279" s="61">
        <f>SUM(N279:S279)</f>
        <v>0</v>
      </c>
      <c r="U279" s="61">
        <f>T279+L279</f>
        <v>0</v>
      </c>
      <c r="V279" s="61">
        <f>V274</f>
        <v>0</v>
      </c>
      <c r="W279" s="72">
        <f>V279-U279</f>
        <v>0</v>
      </c>
      <c r="X279" s="63">
        <f>U274-U279</f>
        <v>0</v>
      </c>
    </row>
    <row r="280" spans="1:24" s="63" customFormat="1" ht="18" hidden="1" customHeight="1">
      <c r="A280" s="610"/>
      <c r="B280" s="583"/>
      <c r="C280" s="583"/>
      <c r="D280" s="201" t="str">
        <f>серпень!D280</f>
        <v>тариф, грн.</v>
      </c>
      <c r="E280" s="71"/>
      <c r="F280" s="61"/>
      <c r="G280" s="61"/>
      <c r="H280" s="61"/>
      <c r="I280" s="61"/>
      <c r="J280" s="61"/>
      <c r="K280" s="61"/>
      <c r="L280" s="61">
        <f>SUM(F280:K280)</f>
        <v>0</v>
      </c>
      <c r="M280" s="61">
        <f>L280/6</f>
        <v>0</v>
      </c>
      <c r="N280" s="61"/>
      <c r="O280" s="61"/>
      <c r="P280" s="61"/>
      <c r="Q280" s="61"/>
      <c r="R280" s="61"/>
      <c r="S280" s="61"/>
      <c r="T280" s="61">
        <f>SUM(N280:S280)</f>
        <v>0</v>
      </c>
      <c r="U280" s="61">
        <f>T280+L280</f>
        <v>0</v>
      </c>
      <c r="V280" s="61">
        <f>V275</f>
        <v>0</v>
      </c>
      <c r="W280" s="72">
        <f>V280-U280</f>
        <v>0</v>
      </c>
      <c r="X280" s="63">
        <f>U275-U280</f>
        <v>0</v>
      </c>
    </row>
    <row r="281" spans="1:24" s="63" customFormat="1" ht="18" hidden="1" customHeight="1">
      <c r="A281" s="610"/>
      <c r="B281" s="583"/>
      <c r="C281" s="583"/>
      <c r="D281" s="201" t="str">
        <f>серпень!D281</f>
        <v>касові видатки, тис.грн.</v>
      </c>
      <c r="E281" s="71"/>
      <c r="F281" s="61">
        <f t="shared" ref="F281:K281" si="314">F279-F280</f>
        <v>0</v>
      </c>
      <c r="G281" s="61">
        <f t="shared" si="314"/>
        <v>0</v>
      </c>
      <c r="H281" s="61">
        <f t="shared" si="314"/>
        <v>0</v>
      </c>
      <c r="I281" s="61">
        <f t="shared" si="314"/>
        <v>0</v>
      </c>
      <c r="J281" s="61">
        <f t="shared" si="314"/>
        <v>0</v>
      </c>
      <c r="K281" s="61">
        <f t="shared" si="314"/>
        <v>0</v>
      </c>
      <c r="L281" s="61">
        <f>SUM(F281:K281)</f>
        <v>0</v>
      </c>
      <c r="M281" s="61">
        <f>L281/6</f>
        <v>0</v>
      </c>
      <c r="N281" s="61">
        <f t="shared" ref="N281:S281" si="315">N279-N280</f>
        <v>0</v>
      </c>
      <c r="O281" s="61">
        <f t="shared" si="315"/>
        <v>0</v>
      </c>
      <c r="P281" s="61">
        <f t="shared" si="315"/>
        <v>0</v>
      </c>
      <c r="Q281" s="61">
        <f t="shared" si="315"/>
        <v>0</v>
      </c>
      <c r="R281" s="61">
        <f t="shared" si="315"/>
        <v>0</v>
      </c>
      <c r="S281" s="61">
        <f t="shared" si="315"/>
        <v>0</v>
      </c>
      <c r="T281" s="61">
        <f>SUM(N281:S281)</f>
        <v>0</v>
      </c>
      <c r="U281" s="61">
        <f>T281+L281</f>
        <v>0</v>
      </c>
      <c r="V281" s="61">
        <f>V276</f>
        <v>0</v>
      </c>
      <c r="W281" s="72">
        <f>V281-U281</f>
        <v>0</v>
      </c>
      <c r="X281" s="63">
        <f>U276-U281</f>
        <v>0</v>
      </c>
    </row>
    <row r="282" spans="1:24" s="43" customFormat="1" ht="18" hidden="1" customHeight="1">
      <c r="A282" s="610"/>
      <c r="B282" s="583"/>
      <c r="C282" s="583"/>
      <c r="D282" s="202" t="str">
        <f>серпень!D282</f>
        <v>дотація</v>
      </c>
      <c r="E282" s="42"/>
      <c r="F282" s="42">
        <f t="shared" ref="F282:K282" si="316">F276</f>
        <v>0</v>
      </c>
      <c r="G282" s="42">
        <f t="shared" si="316"/>
        <v>0</v>
      </c>
      <c r="H282" s="42">
        <f t="shared" si="316"/>
        <v>0</v>
      </c>
      <c r="I282" s="42">
        <f t="shared" si="316"/>
        <v>0</v>
      </c>
      <c r="J282" s="42">
        <f t="shared" si="316"/>
        <v>0</v>
      </c>
      <c r="K282" s="42">
        <f t="shared" si="316"/>
        <v>0</v>
      </c>
      <c r="L282" s="42">
        <f>SUM(F282:K282)</f>
        <v>0</v>
      </c>
      <c r="M282" s="42">
        <f>L282/6</f>
        <v>0</v>
      </c>
      <c r="N282" s="42">
        <f t="shared" ref="N282:S282" si="317">N276+N275</f>
        <v>0</v>
      </c>
      <c r="O282" s="42">
        <f t="shared" si="317"/>
        <v>0</v>
      </c>
      <c r="P282" s="42">
        <f t="shared" si="317"/>
        <v>0</v>
      </c>
      <c r="Q282" s="42">
        <f t="shared" si="317"/>
        <v>0</v>
      </c>
      <c r="R282" s="42">
        <f t="shared" si="317"/>
        <v>0</v>
      </c>
      <c r="S282" s="42">
        <f t="shared" si="317"/>
        <v>0</v>
      </c>
      <c r="T282" s="42">
        <f>SUM(N282:S282)</f>
        <v>0</v>
      </c>
      <c r="U282" s="42">
        <f>T282+L282</f>
        <v>0</v>
      </c>
      <c r="V282" s="42">
        <f>V279</f>
        <v>0</v>
      </c>
      <c r="W282" s="42">
        <f>V282-U282</f>
        <v>0</v>
      </c>
    </row>
    <row r="283" spans="1:24" s="43" customFormat="1" ht="18" hidden="1" customHeight="1">
      <c r="A283" s="610"/>
      <c r="B283" s="583"/>
      <c r="C283" s="583"/>
      <c r="D283" s="202" t="str">
        <f>серпень!D283</f>
        <v xml:space="preserve">місцевий </v>
      </c>
      <c r="E283" s="42"/>
      <c r="F283" s="42">
        <f t="shared" ref="F283:K283" si="318">F279-F282</f>
        <v>0</v>
      </c>
      <c r="G283" s="42">
        <f t="shared" si="318"/>
        <v>0</v>
      </c>
      <c r="H283" s="42">
        <f t="shared" si="318"/>
        <v>0</v>
      </c>
      <c r="I283" s="42">
        <f t="shared" si="318"/>
        <v>0</v>
      </c>
      <c r="J283" s="42">
        <f t="shared" si="318"/>
        <v>0</v>
      </c>
      <c r="K283" s="42">
        <f t="shared" si="318"/>
        <v>0</v>
      </c>
      <c r="L283" s="42"/>
      <c r="M283" s="42"/>
      <c r="N283" s="42">
        <f t="shared" ref="N283:S283" si="319">N279-N282</f>
        <v>0</v>
      </c>
      <c r="O283" s="42">
        <f t="shared" si="319"/>
        <v>0</v>
      </c>
      <c r="P283" s="42">
        <f t="shared" si="319"/>
        <v>0</v>
      </c>
      <c r="Q283" s="42">
        <f t="shared" si="319"/>
        <v>0</v>
      </c>
      <c r="R283" s="42">
        <f t="shared" si="319"/>
        <v>0</v>
      </c>
      <c r="S283" s="42">
        <f t="shared" si="319"/>
        <v>0</v>
      </c>
      <c r="T283" s="42"/>
      <c r="U283" s="42"/>
      <c r="V283" s="42"/>
      <c r="W283" s="42"/>
    </row>
    <row r="284" spans="1:24" s="43" customFormat="1" ht="18" hidden="1" customHeight="1">
      <c r="A284" s="610"/>
      <c r="B284" s="583"/>
      <c r="C284" s="584"/>
      <c r="D284" s="202" t="str">
        <f>серпень!D284</f>
        <v>план</v>
      </c>
      <c r="E284" s="42"/>
      <c r="F284" s="42">
        <f>F283</f>
        <v>0</v>
      </c>
      <c r="G284" s="42">
        <f>G283+F284</f>
        <v>0</v>
      </c>
      <c r="H284" s="42">
        <f>H283+G284</f>
        <v>0</v>
      </c>
      <c r="I284" s="42">
        <f>I283+H284</f>
        <v>0</v>
      </c>
      <c r="J284" s="42">
        <f>J283+I284</f>
        <v>0</v>
      </c>
      <c r="K284" s="42">
        <f>K283+J284</f>
        <v>0</v>
      </c>
      <c r="L284" s="42"/>
      <c r="M284" s="42"/>
      <c r="N284" s="42">
        <f>N283+K284</f>
        <v>0</v>
      </c>
      <c r="O284" s="42">
        <f>O283+N284</f>
        <v>0</v>
      </c>
      <c r="P284" s="42">
        <f>P283+O284</f>
        <v>0</v>
      </c>
      <c r="Q284" s="42">
        <f>Q283+P284</f>
        <v>0</v>
      </c>
      <c r="R284" s="42">
        <f>R283+Q284</f>
        <v>0</v>
      </c>
      <c r="S284" s="42">
        <f>S283+R284</f>
        <v>0</v>
      </c>
      <c r="T284" s="42"/>
      <c r="U284" s="42"/>
      <c r="V284" s="42"/>
      <c r="W284" s="42"/>
    </row>
    <row r="285" spans="1:24" s="43" customFormat="1" ht="18" hidden="1" customHeight="1">
      <c r="A285" s="610"/>
      <c r="B285" s="583"/>
      <c r="C285" s="582" t="s">
        <v>96</v>
      </c>
      <c r="D285" s="178" t="s">
        <v>93</v>
      </c>
      <c r="E285" s="179"/>
      <c r="F285" s="180"/>
      <c r="G285" s="180"/>
      <c r="H285" s="180"/>
      <c r="I285" s="180"/>
      <c r="J285" s="180"/>
      <c r="K285" s="180"/>
      <c r="L285" s="215">
        <f>SUM(F285:K285)</f>
        <v>0</v>
      </c>
      <c r="M285" s="215">
        <f>L285/6</f>
        <v>0</v>
      </c>
      <c r="N285" s="180"/>
      <c r="O285" s="180"/>
      <c r="P285" s="180"/>
      <c r="Q285" s="180"/>
      <c r="R285" s="180"/>
      <c r="S285" s="180"/>
      <c r="T285" s="215">
        <f>SUM(N285:S285)</f>
        <v>0</v>
      </c>
      <c r="U285" s="226">
        <f>T285+L285</f>
        <v>0</v>
      </c>
      <c r="V285" s="227"/>
      <c r="W285" s="184">
        <f>V285-U285</f>
        <v>0</v>
      </c>
    </row>
    <row r="286" spans="1:24" s="43" customFormat="1" ht="18" hidden="1" customHeight="1">
      <c r="A286" s="610"/>
      <c r="B286" s="583"/>
      <c r="C286" s="583"/>
      <c r="D286" s="178" t="s">
        <v>95</v>
      </c>
      <c r="E286" s="179"/>
      <c r="F286" s="180"/>
      <c r="G286" s="180"/>
      <c r="H286" s="180"/>
      <c r="I286" s="180"/>
      <c r="J286" s="180"/>
      <c r="K286" s="180"/>
      <c r="L286" s="215">
        <f>SUM(F286:K286)</f>
        <v>0</v>
      </c>
      <c r="M286" s="215">
        <f>L286/6</f>
        <v>0</v>
      </c>
      <c r="N286" s="179"/>
      <c r="O286" s="179"/>
      <c r="P286" s="179"/>
      <c r="Q286" s="179"/>
      <c r="R286" s="179"/>
      <c r="S286" s="179"/>
      <c r="T286" s="215">
        <f>SUM(N286:S286)</f>
        <v>0</v>
      </c>
      <c r="U286" s="226">
        <f>T286+L286</f>
        <v>0</v>
      </c>
      <c r="V286" s="227"/>
      <c r="W286" s="184">
        <f>V286-U286</f>
        <v>0</v>
      </c>
    </row>
    <row r="287" spans="1:24" s="43" customFormat="1" ht="18" hidden="1" customHeight="1">
      <c r="A287" s="610"/>
      <c r="B287" s="583"/>
      <c r="C287" s="583"/>
      <c r="D287" s="178" t="s">
        <v>105</v>
      </c>
      <c r="E287" s="179"/>
      <c r="F287" s="180"/>
      <c r="G287" s="180"/>
      <c r="H287" s="180"/>
      <c r="I287" s="180"/>
      <c r="J287" s="180"/>
      <c r="K287" s="180"/>
      <c r="L287" s="215">
        <f>SUM(F287:K287)</f>
        <v>0</v>
      </c>
      <c r="M287" s="215">
        <f>L287/6</f>
        <v>0</v>
      </c>
      <c r="N287" s="180"/>
      <c r="O287" s="180"/>
      <c r="P287" s="180"/>
      <c r="Q287" s="180"/>
      <c r="R287" s="180"/>
      <c r="S287" s="179"/>
      <c r="T287" s="215">
        <f>SUM(N287:S287)</f>
        <v>0</v>
      </c>
      <c r="U287" s="226">
        <f>T287+L287</f>
        <v>0</v>
      </c>
      <c r="V287" s="179"/>
      <c r="W287" s="184">
        <f>V287-U287</f>
        <v>0</v>
      </c>
    </row>
    <row r="288" spans="1:24" s="43" customFormat="1" ht="18" hidden="1" customHeight="1">
      <c r="A288" s="610"/>
      <c r="B288" s="583"/>
      <c r="C288" s="583"/>
      <c r="D288" s="187" t="s">
        <v>27</v>
      </c>
      <c r="E288" s="188"/>
      <c r="F288" s="188">
        <v>173.45</v>
      </c>
      <c r="G288" s="188">
        <v>173.45</v>
      </c>
      <c r="H288" s="188">
        <v>173.45</v>
      </c>
      <c r="I288" s="188">
        <v>173.45</v>
      </c>
      <c r="J288" s="188">
        <v>173.45</v>
      </c>
      <c r="K288" s="188">
        <v>173.45</v>
      </c>
      <c r="L288" s="188" t="e">
        <f>L289/L287*1000</f>
        <v>#DIV/0!</v>
      </c>
      <c r="M288" s="188" t="e">
        <f>M289/M287*1000</f>
        <v>#DIV/0!</v>
      </c>
      <c r="N288" s="188">
        <v>173.45</v>
      </c>
      <c r="O288" s="188">
        <v>173.45</v>
      </c>
      <c r="P288" s="188">
        <v>173.45</v>
      </c>
      <c r="Q288" s="188">
        <v>173.45</v>
      </c>
      <c r="R288" s="188">
        <v>173.45</v>
      </c>
      <c r="S288" s="188">
        <v>173.45</v>
      </c>
      <c r="T288" s="188" t="e">
        <f>T289/T287*1000</f>
        <v>#DIV/0!</v>
      </c>
      <c r="U288" s="188" t="e">
        <f>U289/U287*1000</f>
        <v>#DIV/0!</v>
      </c>
      <c r="V288" s="218" t="e">
        <f>V289/V287*1000</f>
        <v>#DIV/0!</v>
      </c>
      <c r="W288" s="189" t="e">
        <f>W289/W287*1000</f>
        <v>#DIV/0!</v>
      </c>
    </row>
    <row r="289" spans="1:23" s="43" customFormat="1" ht="18" hidden="1" customHeight="1">
      <c r="A289" s="610"/>
      <c r="B289" s="583"/>
      <c r="C289" s="583"/>
      <c r="D289" s="191" t="s">
        <v>0</v>
      </c>
      <c r="E289" s="192"/>
      <c r="F289" s="192">
        <f t="shared" ref="F289:K289" si="320">F287*F288/1000</f>
        <v>0</v>
      </c>
      <c r="G289" s="192">
        <f t="shared" si="320"/>
        <v>0</v>
      </c>
      <c r="H289" s="192">
        <f t="shared" si="320"/>
        <v>0</v>
      </c>
      <c r="I289" s="192">
        <f t="shared" si="320"/>
        <v>0</v>
      </c>
      <c r="J289" s="192">
        <f t="shared" si="320"/>
        <v>0</v>
      </c>
      <c r="K289" s="192">
        <f t="shared" si="320"/>
        <v>0</v>
      </c>
      <c r="L289" s="194">
        <f>SUM(F289:K289)</f>
        <v>0</v>
      </c>
      <c r="M289" s="194">
        <f>L289/6</f>
        <v>0</v>
      </c>
      <c r="N289" s="192">
        <f t="shared" ref="N289:S289" si="321">N287*N288/1000</f>
        <v>0</v>
      </c>
      <c r="O289" s="192">
        <f t="shared" si="321"/>
        <v>0</v>
      </c>
      <c r="P289" s="192">
        <f t="shared" si="321"/>
        <v>0</v>
      </c>
      <c r="Q289" s="192">
        <f t="shared" si="321"/>
        <v>0</v>
      </c>
      <c r="R289" s="192">
        <f t="shared" si="321"/>
        <v>0</v>
      </c>
      <c r="S289" s="192">
        <f t="shared" si="321"/>
        <v>0</v>
      </c>
      <c r="T289" s="194">
        <f>SUM(N289:S289)</f>
        <v>0</v>
      </c>
      <c r="U289" s="194">
        <f>T289+L289</f>
        <v>0</v>
      </c>
      <c r="V289" s="171">
        <f>V290+V291</f>
        <v>0</v>
      </c>
      <c r="W289" s="193">
        <f>V289-U289</f>
        <v>0</v>
      </c>
    </row>
    <row r="290" spans="1:23" s="43" customFormat="1" ht="18" hidden="1" customHeight="1">
      <c r="A290" s="610"/>
      <c r="B290" s="583"/>
      <c r="C290" s="583"/>
      <c r="D290" s="174" t="s">
        <v>55</v>
      </c>
      <c r="E290" s="210"/>
      <c r="F290" s="192"/>
      <c r="G290" s="192"/>
      <c r="H290" s="192"/>
      <c r="I290" s="192"/>
      <c r="J290" s="192"/>
      <c r="K290" s="192"/>
      <c r="L290" s="194">
        <f>SUM(F290:K290)</f>
        <v>0</v>
      </c>
      <c r="M290" s="194">
        <f>L290/6</f>
        <v>0</v>
      </c>
      <c r="N290" s="192"/>
      <c r="O290" s="192"/>
      <c r="P290" s="192"/>
      <c r="Q290" s="192"/>
      <c r="R290" s="192"/>
      <c r="S290" s="192"/>
      <c r="T290" s="194">
        <f>SUM(N290:S290)</f>
        <v>0</v>
      </c>
      <c r="U290" s="194">
        <f>T290+L290</f>
        <v>0</v>
      </c>
      <c r="V290" s="171"/>
      <c r="W290" s="193">
        <f>V290-U290</f>
        <v>0</v>
      </c>
    </row>
    <row r="291" spans="1:23" s="43" customFormat="1" ht="18" hidden="1" customHeight="1">
      <c r="A291" s="610"/>
      <c r="B291" s="583"/>
      <c r="C291" s="583"/>
      <c r="D291" s="174" t="s">
        <v>28</v>
      </c>
      <c r="E291" s="210"/>
      <c r="F291" s="192"/>
      <c r="G291" s="192"/>
      <c r="H291" s="192"/>
      <c r="I291" s="192"/>
      <c r="J291" s="192"/>
      <c r="K291" s="192"/>
      <c r="L291" s="194">
        <f>SUM(F291:K291)</f>
        <v>0</v>
      </c>
      <c r="M291" s="194">
        <f>L291/6</f>
        <v>0</v>
      </c>
      <c r="N291" s="192"/>
      <c r="O291" s="192"/>
      <c r="P291" s="192"/>
      <c r="Q291" s="192"/>
      <c r="R291" s="192"/>
      <c r="S291" s="192"/>
      <c r="T291" s="194">
        <f>SUM(N291:S291)</f>
        <v>0</v>
      </c>
      <c r="U291" s="194">
        <f>T291+L291</f>
        <v>0</v>
      </c>
      <c r="V291" s="171"/>
      <c r="W291" s="193">
        <f>V291-U291</f>
        <v>0</v>
      </c>
    </row>
    <row r="292" spans="1:23" s="43" customFormat="1" ht="18" hidden="1" customHeight="1">
      <c r="A292" s="610"/>
      <c r="B292" s="583"/>
      <c r="C292" s="583"/>
      <c r="D292" s="178" t="s">
        <v>106</v>
      </c>
      <c r="E292" s="179"/>
      <c r="F292" s="179"/>
      <c r="G292" s="179"/>
      <c r="H292" s="179"/>
      <c r="I292" s="179"/>
      <c r="J292" s="179"/>
      <c r="K292" s="179"/>
      <c r="L292" s="215">
        <f>SUM(F292:K292)</f>
        <v>0</v>
      </c>
      <c r="M292" s="215">
        <f>L292/6</f>
        <v>0</v>
      </c>
      <c r="N292" s="179"/>
      <c r="O292" s="179"/>
      <c r="P292" s="179"/>
      <c r="Q292" s="179"/>
      <c r="R292" s="179"/>
      <c r="S292" s="179">
        <f>S287+R287</f>
        <v>0</v>
      </c>
      <c r="T292" s="215">
        <f>SUM(N292:S292)</f>
        <v>0</v>
      </c>
      <c r="U292" s="215">
        <f>T292+L292</f>
        <v>0</v>
      </c>
      <c r="V292" s="179">
        <f>V287</f>
        <v>0</v>
      </c>
      <c r="W292" s="184">
        <f>V292-U292</f>
        <v>0</v>
      </c>
    </row>
    <row r="293" spans="1:23" s="43" customFormat="1" ht="18" hidden="1" customHeight="1">
      <c r="A293" s="610"/>
      <c r="B293" s="583"/>
      <c r="C293" s="583"/>
      <c r="D293" s="187" t="s">
        <v>27</v>
      </c>
      <c r="E293" s="188" t="e">
        <f>E294/E292*1000</f>
        <v>#DIV/0!</v>
      </c>
      <c r="F293" s="188">
        <v>173.45</v>
      </c>
      <c r="G293" s="188">
        <v>173.45</v>
      </c>
      <c r="H293" s="188">
        <v>173.45</v>
      </c>
      <c r="I293" s="188">
        <v>173.45</v>
      </c>
      <c r="J293" s="188">
        <v>173.45</v>
      </c>
      <c r="K293" s="188">
        <v>173.45</v>
      </c>
      <c r="L293" s="188" t="e">
        <f>L294/L292*1000</f>
        <v>#DIV/0!</v>
      </c>
      <c r="M293" s="188" t="e">
        <f>M294/M292*1000</f>
        <v>#DIV/0!</v>
      </c>
      <c r="N293" s="188">
        <v>173.45</v>
      </c>
      <c r="O293" s="188">
        <v>173.45</v>
      </c>
      <c r="P293" s="188">
        <v>173.45</v>
      </c>
      <c r="Q293" s="188">
        <v>173.45</v>
      </c>
      <c r="R293" s="188">
        <v>173.45</v>
      </c>
      <c r="S293" s="188">
        <v>173.45</v>
      </c>
      <c r="T293" s="188" t="e">
        <f>T294/T292*1000</f>
        <v>#DIV/0!</v>
      </c>
      <c r="U293" s="188" t="e">
        <f>U294/U292*1000</f>
        <v>#DIV/0!</v>
      </c>
      <c r="V293" s="218" t="e">
        <f>V294/V292*1000</f>
        <v>#DIV/0!</v>
      </c>
      <c r="W293" s="189" t="e">
        <f>W294/W292*1000</f>
        <v>#DIV/0!</v>
      </c>
    </row>
    <row r="294" spans="1:23" s="43" customFormat="1" ht="18" hidden="1" customHeight="1">
      <c r="A294" s="610"/>
      <c r="B294" s="583"/>
      <c r="C294" s="583"/>
      <c r="D294" s="198" t="s">
        <v>25</v>
      </c>
      <c r="E294" s="220"/>
      <c r="F294" s="199">
        <f t="shared" ref="F294:K294" si="322">F292*F293/1000</f>
        <v>0</v>
      </c>
      <c r="G294" s="199">
        <f t="shared" si="322"/>
        <v>0</v>
      </c>
      <c r="H294" s="199">
        <f t="shared" si="322"/>
        <v>0</v>
      </c>
      <c r="I294" s="199">
        <f t="shared" si="322"/>
        <v>0</v>
      </c>
      <c r="J294" s="199">
        <f t="shared" si="322"/>
        <v>0</v>
      </c>
      <c r="K294" s="199">
        <f t="shared" si="322"/>
        <v>0</v>
      </c>
      <c r="L294" s="199">
        <f>SUM(F294:K294)</f>
        <v>0</v>
      </c>
      <c r="M294" s="199">
        <f>L294/6</f>
        <v>0</v>
      </c>
      <c r="N294" s="199">
        <f t="shared" ref="N294:S294" si="323">N292*N293/1000</f>
        <v>0</v>
      </c>
      <c r="O294" s="199">
        <f t="shared" si="323"/>
        <v>0</v>
      </c>
      <c r="P294" s="199">
        <f t="shared" si="323"/>
        <v>0</v>
      </c>
      <c r="Q294" s="199">
        <f t="shared" si="323"/>
        <v>0</v>
      </c>
      <c r="R294" s="199">
        <f t="shared" si="323"/>
        <v>0</v>
      </c>
      <c r="S294" s="199">
        <f t="shared" si="323"/>
        <v>0</v>
      </c>
      <c r="T294" s="199">
        <f>SUM(N294:S294)</f>
        <v>0</v>
      </c>
      <c r="U294" s="199">
        <f>T294+L294</f>
        <v>0</v>
      </c>
      <c r="V294" s="199">
        <f>V289</f>
        <v>0</v>
      </c>
      <c r="W294" s="221">
        <f>V294-U294</f>
        <v>0</v>
      </c>
    </row>
    <row r="295" spans="1:23" s="43" customFormat="1" ht="18" hidden="1" customHeight="1">
      <c r="A295" s="610"/>
      <c r="B295" s="583"/>
      <c r="C295" s="583"/>
      <c r="D295" s="201" t="s">
        <v>55</v>
      </c>
      <c r="E295" s="220"/>
      <c r="F295" s="199"/>
      <c r="G295" s="199"/>
      <c r="H295" s="199"/>
      <c r="I295" s="199"/>
      <c r="J295" s="199"/>
      <c r="K295" s="199"/>
      <c r="L295" s="199">
        <f>SUM(F295:K295)</f>
        <v>0</v>
      </c>
      <c r="M295" s="199">
        <f>L295/6</f>
        <v>0</v>
      </c>
      <c r="N295" s="199"/>
      <c r="O295" s="199"/>
      <c r="P295" s="199"/>
      <c r="Q295" s="199"/>
      <c r="R295" s="199"/>
      <c r="S295" s="199"/>
      <c r="T295" s="199">
        <f>SUM(N295:S295)</f>
        <v>0</v>
      </c>
      <c r="U295" s="199">
        <f>T295+L295</f>
        <v>0</v>
      </c>
      <c r="V295" s="199">
        <f>V290</f>
        <v>0</v>
      </c>
      <c r="W295" s="221">
        <f>V295-U295</f>
        <v>0</v>
      </c>
    </row>
    <row r="296" spans="1:23" s="43" customFormat="1" ht="18" hidden="1" customHeight="1">
      <c r="A296" s="610"/>
      <c r="B296" s="583"/>
      <c r="C296" s="583"/>
      <c r="D296" s="201" t="s">
        <v>24</v>
      </c>
      <c r="E296" s="220"/>
      <c r="F296" s="199">
        <f t="shared" ref="F296:K296" si="324">F294-F295</f>
        <v>0</v>
      </c>
      <c r="G296" s="199">
        <f t="shared" si="324"/>
        <v>0</v>
      </c>
      <c r="H296" s="199">
        <f t="shared" si="324"/>
        <v>0</v>
      </c>
      <c r="I296" s="199">
        <f t="shared" si="324"/>
        <v>0</v>
      </c>
      <c r="J296" s="199">
        <f t="shared" si="324"/>
        <v>0</v>
      </c>
      <c r="K296" s="199">
        <f t="shared" si="324"/>
        <v>0</v>
      </c>
      <c r="L296" s="199">
        <f>SUM(F296:K296)</f>
        <v>0</v>
      </c>
      <c r="M296" s="199">
        <f>L296/6</f>
        <v>0</v>
      </c>
      <c r="N296" s="199">
        <f t="shared" ref="N296:S296" si="325">N294-N295</f>
        <v>0</v>
      </c>
      <c r="O296" s="199">
        <f t="shared" si="325"/>
        <v>0</v>
      </c>
      <c r="P296" s="199">
        <f t="shared" si="325"/>
        <v>0</v>
      </c>
      <c r="Q296" s="199">
        <f t="shared" si="325"/>
        <v>0</v>
      </c>
      <c r="R296" s="199">
        <f t="shared" si="325"/>
        <v>0</v>
      </c>
      <c r="S296" s="199">
        <f t="shared" si="325"/>
        <v>0</v>
      </c>
      <c r="T296" s="199">
        <f>SUM(N296:S296)</f>
        <v>0</v>
      </c>
      <c r="U296" s="199">
        <f>T296+L296</f>
        <v>0</v>
      </c>
      <c r="V296" s="199">
        <f>V291</f>
        <v>0</v>
      </c>
      <c r="W296" s="221">
        <f>V296-U296</f>
        <v>0</v>
      </c>
    </row>
    <row r="297" spans="1:23" s="43" customFormat="1" ht="18" hidden="1" customHeight="1">
      <c r="A297" s="610"/>
      <c r="B297" s="583"/>
      <c r="C297" s="583"/>
      <c r="D297" s="202" t="s">
        <v>29</v>
      </c>
      <c r="E297" s="203"/>
      <c r="F297" s="203">
        <f t="shared" ref="F297:K297" si="326">F291</f>
        <v>0</v>
      </c>
      <c r="G297" s="203">
        <f t="shared" si="326"/>
        <v>0</v>
      </c>
      <c r="H297" s="203">
        <f t="shared" si="326"/>
        <v>0</v>
      </c>
      <c r="I297" s="203">
        <f t="shared" si="326"/>
        <v>0</v>
      </c>
      <c r="J297" s="203">
        <f t="shared" si="326"/>
        <v>0</v>
      </c>
      <c r="K297" s="203">
        <f t="shared" si="326"/>
        <v>0</v>
      </c>
      <c r="L297" s="203">
        <f>SUM(F297:K297)</f>
        <v>0</v>
      </c>
      <c r="M297" s="203">
        <f>L297/6</f>
        <v>0</v>
      </c>
      <c r="N297" s="203">
        <f t="shared" ref="N297:S297" si="327">N291+N290</f>
        <v>0</v>
      </c>
      <c r="O297" s="203">
        <f t="shared" si="327"/>
        <v>0</v>
      </c>
      <c r="P297" s="203">
        <f t="shared" si="327"/>
        <v>0</v>
      </c>
      <c r="Q297" s="203">
        <f t="shared" si="327"/>
        <v>0</v>
      </c>
      <c r="R297" s="203">
        <f t="shared" si="327"/>
        <v>0</v>
      </c>
      <c r="S297" s="203">
        <f t="shared" si="327"/>
        <v>0</v>
      </c>
      <c r="T297" s="203">
        <f>SUM(N297:S297)</f>
        <v>0</v>
      </c>
      <c r="U297" s="203">
        <f>T297+L297</f>
        <v>0</v>
      </c>
      <c r="V297" s="203">
        <f>V294</f>
        <v>0</v>
      </c>
      <c r="W297" s="203">
        <f>V297-U297</f>
        <v>0</v>
      </c>
    </row>
    <row r="298" spans="1:23" s="43" customFormat="1" ht="18" hidden="1" customHeight="1">
      <c r="A298" s="610"/>
      <c r="B298" s="583"/>
      <c r="C298" s="583"/>
      <c r="D298" s="202" t="s">
        <v>30</v>
      </c>
      <c r="E298" s="203"/>
      <c r="F298" s="203">
        <f t="shared" ref="F298:K298" si="328">F294-F297</f>
        <v>0</v>
      </c>
      <c r="G298" s="203">
        <f t="shared" si="328"/>
        <v>0</v>
      </c>
      <c r="H298" s="203">
        <f t="shared" si="328"/>
        <v>0</v>
      </c>
      <c r="I298" s="203">
        <f t="shared" si="328"/>
        <v>0</v>
      </c>
      <c r="J298" s="203">
        <f t="shared" si="328"/>
        <v>0</v>
      </c>
      <c r="K298" s="203">
        <f t="shared" si="328"/>
        <v>0</v>
      </c>
      <c r="L298" s="203"/>
      <c r="M298" s="203"/>
      <c r="N298" s="203">
        <f t="shared" ref="N298:S298" si="329">N294-N297</f>
        <v>0</v>
      </c>
      <c r="O298" s="203">
        <f t="shared" si="329"/>
        <v>0</v>
      </c>
      <c r="P298" s="203">
        <f t="shared" si="329"/>
        <v>0</v>
      </c>
      <c r="Q298" s="203">
        <f t="shared" si="329"/>
        <v>0</v>
      </c>
      <c r="R298" s="203">
        <f t="shared" si="329"/>
        <v>0</v>
      </c>
      <c r="S298" s="203">
        <f t="shared" si="329"/>
        <v>0</v>
      </c>
      <c r="T298" s="203"/>
      <c r="U298" s="203"/>
      <c r="V298" s="203"/>
      <c r="W298" s="203"/>
    </row>
    <row r="299" spans="1:23" s="43" customFormat="1" ht="18" hidden="1" customHeight="1">
      <c r="A299" s="610"/>
      <c r="B299" s="583"/>
      <c r="C299" s="584"/>
      <c r="D299" s="202" t="s">
        <v>31</v>
      </c>
      <c r="E299" s="203"/>
      <c r="F299" s="203">
        <f>F298</f>
        <v>0</v>
      </c>
      <c r="G299" s="203">
        <f>G298+F299</f>
        <v>0</v>
      </c>
      <c r="H299" s="203">
        <f>H298+G299</f>
        <v>0</v>
      </c>
      <c r="I299" s="203">
        <f>I298+H299</f>
        <v>0</v>
      </c>
      <c r="J299" s="203">
        <f>J298+I299</f>
        <v>0</v>
      </c>
      <c r="K299" s="203">
        <f>K298+J299</f>
        <v>0</v>
      </c>
      <c r="L299" s="203"/>
      <c r="M299" s="203"/>
      <c r="N299" s="203">
        <f>N298+K299</f>
        <v>0</v>
      </c>
      <c r="O299" s="203">
        <f>O298+N299</f>
        <v>0</v>
      </c>
      <c r="P299" s="203">
        <f>P298+O299</f>
        <v>0</v>
      </c>
      <c r="Q299" s="203">
        <f>Q298+P299</f>
        <v>0</v>
      </c>
      <c r="R299" s="203">
        <f>R298+Q299</f>
        <v>0</v>
      </c>
      <c r="S299" s="203">
        <f>S298+R299</f>
        <v>0</v>
      </c>
      <c r="T299" s="203"/>
      <c r="U299" s="203"/>
      <c r="V299" s="203"/>
      <c r="W299" s="203"/>
    </row>
    <row r="300" spans="1:23" s="47" customFormat="1" ht="18" hidden="1" customHeight="1">
      <c r="A300" s="610"/>
      <c r="B300" s="581" t="s">
        <v>59</v>
      </c>
      <c r="C300" s="582" t="s">
        <v>97</v>
      </c>
      <c r="D300" s="178" t="s">
        <v>93</v>
      </c>
      <c r="E300" s="11"/>
      <c r="F300" s="12"/>
      <c r="G300" s="12"/>
      <c r="H300" s="12"/>
      <c r="I300" s="12"/>
      <c r="J300" s="12"/>
      <c r="K300" s="12"/>
      <c r="L300" s="65">
        <f>SUM(F300:K300)</f>
        <v>0</v>
      </c>
      <c r="M300" s="65">
        <f>L300/6</f>
        <v>0</v>
      </c>
      <c r="N300" s="12"/>
      <c r="O300" s="12"/>
      <c r="P300" s="12"/>
      <c r="Q300" s="12"/>
      <c r="R300" s="12"/>
      <c r="S300" s="12"/>
      <c r="T300" s="65">
        <f>SUM(N300:S300)</f>
        <v>0</v>
      </c>
      <c r="U300" s="66">
        <f>T300+L300</f>
        <v>0</v>
      </c>
      <c r="V300" s="67"/>
      <c r="W300" s="38">
        <f>V300-U300</f>
        <v>0</v>
      </c>
    </row>
    <row r="301" spans="1:23" s="47" customFormat="1" ht="18" hidden="1" customHeight="1">
      <c r="A301" s="610"/>
      <c r="B301" s="581"/>
      <c r="C301" s="583"/>
      <c r="D301" s="178" t="s">
        <v>95</v>
      </c>
      <c r="E301" s="11"/>
      <c r="F301" s="12"/>
      <c r="G301" s="12"/>
      <c r="H301" s="12"/>
      <c r="I301" s="12"/>
      <c r="J301" s="12"/>
      <c r="K301" s="12"/>
      <c r="L301" s="65">
        <f>SUM(F301:K301)</f>
        <v>0</v>
      </c>
      <c r="M301" s="65">
        <f>L301/6</f>
        <v>0</v>
      </c>
      <c r="N301" s="11"/>
      <c r="O301" s="11"/>
      <c r="P301" s="11"/>
      <c r="Q301" s="11"/>
      <c r="R301" s="11"/>
      <c r="S301" s="11"/>
      <c r="T301" s="65">
        <f>SUM(N301:S301)</f>
        <v>0</v>
      </c>
      <c r="U301" s="66">
        <f>T301+L301</f>
        <v>0</v>
      </c>
      <c r="V301" s="67"/>
      <c r="W301" s="38">
        <f>V301-U301</f>
        <v>0</v>
      </c>
    </row>
    <row r="302" spans="1:23" s="47" customFormat="1" ht="18" hidden="1" customHeight="1">
      <c r="A302" s="610"/>
      <c r="B302" s="581"/>
      <c r="C302" s="583"/>
      <c r="D302" s="178" t="s">
        <v>105</v>
      </c>
      <c r="E302" s="11"/>
      <c r="F302" s="12"/>
      <c r="G302" s="12"/>
      <c r="H302" s="12"/>
      <c r="I302" s="12"/>
      <c r="J302" s="12"/>
      <c r="K302" s="12"/>
      <c r="L302" s="65">
        <f>SUM(F302:K302)</f>
        <v>0</v>
      </c>
      <c r="M302" s="65">
        <f>L302/6</f>
        <v>0</v>
      </c>
      <c r="N302" s="12"/>
      <c r="O302" s="12"/>
      <c r="P302" s="12"/>
      <c r="Q302" s="12"/>
      <c r="R302" s="12"/>
      <c r="S302" s="11"/>
      <c r="T302" s="65">
        <f>SUM(N302:S302)</f>
        <v>0</v>
      </c>
      <c r="U302" s="66">
        <f>T302+L302</f>
        <v>0</v>
      </c>
      <c r="V302" s="11"/>
      <c r="W302" s="38">
        <f>V302-U302</f>
        <v>0</v>
      </c>
    </row>
    <row r="303" spans="1:23" s="47" customFormat="1" ht="18" hidden="1" customHeight="1">
      <c r="A303" s="610"/>
      <c r="B303" s="581"/>
      <c r="C303" s="583"/>
      <c r="D303" s="187" t="s">
        <v>27</v>
      </c>
      <c r="E303" s="49"/>
      <c r="F303" s="49"/>
      <c r="G303" s="49"/>
      <c r="H303" s="49"/>
      <c r="I303" s="49"/>
      <c r="J303" s="49"/>
      <c r="K303" s="49"/>
      <c r="L303" s="49" t="e">
        <f>L304/L302*1000</f>
        <v>#DIV/0!</v>
      </c>
      <c r="M303" s="49" t="e">
        <f>M304/M302*1000</f>
        <v>#DIV/0!</v>
      </c>
      <c r="N303" s="49"/>
      <c r="O303" s="49"/>
      <c r="P303" s="49"/>
      <c r="Q303" s="49"/>
      <c r="R303" s="49"/>
      <c r="S303" s="49"/>
      <c r="T303" s="49" t="e">
        <f>T304/T302*1000</f>
        <v>#DIV/0!</v>
      </c>
      <c r="U303" s="49" t="e">
        <f>U304/U302*1000</f>
        <v>#DIV/0!</v>
      </c>
      <c r="V303" s="68" t="e">
        <f>V304/V302*1000</f>
        <v>#DIV/0!</v>
      </c>
      <c r="W303" s="14" t="e">
        <f>W304/W302*1000</f>
        <v>#DIV/0!</v>
      </c>
    </row>
    <row r="304" spans="1:23" s="47" customFormat="1" ht="18" hidden="1" customHeight="1">
      <c r="A304" s="610"/>
      <c r="B304" s="581"/>
      <c r="C304" s="583"/>
      <c r="D304" s="191" t="s">
        <v>0</v>
      </c>
      <c r="E304" s="52"/>
      <c r="F304" s="52">
        <f t="shared" ref="F304:K304" si="330">F302*F303/1000</f>
        <v>0</v>
      </c>
      <c r="G304" s="52">
        <f t="shared" si="330"/>
        <v>0</v>
      </c>
      <c r="H304" s="52">
        <f t="shared" si="330"/>
        <v>0</v>
      </c>
      <c r="I304" s="52">
        <f t="shared" si="330"/>
        <v>0</v>
      </c>
      <c r="J304" s="52">
        <f t="shared" si="330"/>
        <v>0</v>
      </c>
      <c r="K304" s="52">
        <f t="shared" si="330"/>
        <v>0</v>
      </c>
      <c r="L304" s="69">
        <f>SUM(F304:K304)</f>
        <v>0</v>
      </c>
      <c r="M304" s="69">
        <f>L304/6</f>
        <v>0</v>
      </c>
      <c r="N304" s="52">
        <f t="shared" ref="N304:S304" si="331">N302*N303/1000</f>
        <v>0</v>
      </c>
      <c r="O304" s="52">
        <f t="shared" si="331"/>
        <v>0</v>
      </c>
      <c r="P304" s="52">
        <f t="shared" si="331"/>
        <v>0</v>
      </c>
      <c r="Q304" s="52">
        <f t="shared" si="331"/>
        <v>0</v>
      </c>
      <c r="R304" s="52">
        <f t="shared" si="331"/>
        <v>0</v>
      </c>
      <c r="S304" s="52">
        <f t="shared" si="331"/>
        <v>0</v>
      </c>
      <c r="T304" s="69">
        <f>SUM(N304:S304)</f>
        <v>0</v>
      </c>
      <c r="U304" s="69">
        <f>T304+L304</f>
        <v>0</v>
      </c>
      <c r="V304" s="70">
        <f>V305+V306</f>
        <v>0</v>
      </c>
      <c r="W304" s="53">
        <f>V304-U304</f>
        <v>0</v>
      </c>
    </row>
    <row r="305" spans="1:24" s="47" customFormat="1" ht="18" hidden="1" customHeight="1">
      <c r="A305" s="610"/>
      <c r="B305" s="581"/>
      <c r="C305" s="583"/>
      <c r="D305" s="174" t="s">
        <v>55</v>
      </c>
      <c r="E305" s="56"/>
      <c r="F305" s="52"/>
      <c r="G305" s="52"/>
      <c r="H305" s="52"/>
      <c r="I305" s="52"/>
      <c r="J305" s="52"/>
      <c r="K305" s="52"/>
      <c r="L305" s="69">
        <f>SUM(F305:K305)</f>
        <v>0</v>
      </c>
      <c r="M305" s="69">
        <f>L305/6</f>
        <v>0</v>
      </c>
      <c r="N305" s="52"/>
      <c r="O305" s="52"/>
      <c r="P305" s="52"/>
      <c r="Q305" s="52"/>
      <c r="R305" s="52"/>
      <c r="S305" s="52"/>
      <c r="T305" s="69">
        <f>SUM(N305:S305)</f>
        <v>0</v>
      </c>
      <c r="U305" s="69">
        <f>T305+L305</f>
        <v>0</v>
      </c>
      <c r="V305" s="70"/>
      <c r="W305" s="53">
        <f>V305-U305</f>
        <v>0</v>
      </c>
    </row>
    <row r="306" spans="1:24" s="47" customFormat="1" ht="18" hidden="1" customHeight="1">
      <c r="A306" s="610"/>
      <c r="B306" s="581"/>
      <c r="C306" s="583"/>
      <c r="D306" s="174" t="s">
        <v>28</v>
      </c>
      <c r="E306" s="56"/>
      <c r="F306" s="52"/>
      <c r="G306" s="52"/>
      <c r="H306" s="52"/>
      <c r="I306" s="52"/>
      <c r="J306" s="52"/>
      <c r="K306" s="52"/>
      <c r="L306" s="69">
        <f>SUM(F306:K306)</f>
        <v>0</v>
      </c>
      <c r="M306" s="69">
        <f>L306/6</f>
        <v>0</v>
      </c>
      <c r="N306" s="52"/>
      <c r="O306" s="52"/>
      <c r="P306" s="52"/>
      <c r="Q306" s="52"/>
      <c r="R306" s="52"/>
      <c r="S306" s="52"/>
      <c r="T306" s="69">
        <f>SUM(N306:S306)</f>
        <v>0</v>
      </c>
      <c r="U306" s="69">
        <f>T306+L306</f>
        <v>0</v>
      </c>
      <c r="V306" s="70"/>
      <c r="W306" s="53">
        <f>V306-U306</f>
        <v>0</v>
      </c>
    </row>
    <row r="307" spans="1:24" s="47" customFormat="1" ht="18" hidden="1" customHeight="1">
      <c r="A307" s="610"/>
      <c r="B307" s="581"/>
      <c r="C307" s="583"/>
      <c r="D307" s="178" t="s">
        <v>106</v>
      </c>
      <c r="E307" s="11"/>
      <c r="F307" s="11"/>
      <c r="G307" s="11"/>
      <c r="H307" s="11"/>
      <c r="I307" s="11"/>
      <c r="J307" s="11"/>
      <c r="K307" s="11"/>
      <c r="L307" s="65">
        <f>SUM(F307:K307)</f>
        <v>0</v>
      </c>
      <c r="M307" s="65">
        <f>L307/6</f>
        <v>0</v>
      </c>
      <c r="N307" s="11"/>
      <c r="O307" s="11"/>
      <c r="P307" s="11"/>
      <c r="Q307" s="11"/>
      <c r="R307" s="11"/>
      <c r="S307" s="11">
        <f>S302+R302</f>
        <v>0</v>
      </c>
      <c r="T307" s="65">
        <f>SUM(N307:S307)</f>
        <v>0</v>
      </c>
      <c r="U307" s="65">
        <f>T307+L307</f>
        <v>0</v>
      </c>
      <c r="V307" s="11">
        <f>V302</f>
        <v>0</v>
      </c>
      <c r="W307" s="38">
        <f>V307-U307</f>
        <v>0</v>
      </c>
      <c r="X307" s="47">
        <f>U302-U307</f>
        <v>0</v>
      </c>
    </row>
    <row r="308" spans="1:24" s="47" customFormat="1" ht="18" hidden="1" customHeight="1">
      <c r="A308" s="610"/>
      <c r="B308" s="581"/>
      <c r="C308" s="583"/>
      <c r="D308" s="187" t="s">
        <v>27</v>
      </c>
      <c r="E308" s="49" t="e">
        <f>E309/E307*1000</f>
        <v>#DIV/0!</v>
      </c>
      <c r="F308" s="49"/>
      <c r="G308" s="49"/>
      <c r="H308" s="49"/>
      <c r="I308" s="49"/>
      <c r="J308" s="49"/>
      <c r="K308" s="49"/>
      <c r="L308" s="49" t="e">
        <f>L309/L307*1000</f>
        <v>#DIV/0!</v>
      </c>
      <c r="M308" s="49" t="e">
        <f>M309/M307*1000</f>
        <v>#DIV/0!</v>
      </c>
      <c r="N308" s="49"/>
      <c r="O308" s="49"/>
      <c r="P308" s="49"/>
      <c r="Q308" s="49"/>
      <c r="R308" s="49"/>
      <c r="S308" s="49"/>
      <c r="T308" s="49" t="e">
        <f>T309/T307*1000</f>
        <v>#DIV/0!</v>
      </c>
      <c r="U308" s="49" t="e">
        <f>U309/U307*1000</f>
        <v>#DIV/0!</v>
      </c>
      <c r="V308" s="68" t="e">
        <f>V309/V307*1000</f>
        <v>#DIV/0!</v>
      </c>
      <c r="W308" s="14" t="e">
        <f>W309/W307*1000</f>
        <v>#DIV/0!</v>
      </c>
    </row>
    <row r="309" spans="1:24" s="63" customFormat="1" ht="18" hidden="1" customHeight="1">
      <c r="A309" s="610"/>
      <c r="B309" s="581"/>
      <c r="C309" s="583"/>
      <c r="D309" s="198" t="s">
        <v>25</v>
      </c>
      <c r="E309" s="71"/>
      <c r="F309" s="61">
        <f t="shared" ref="F309:K309" si="332">F307*F308/1000</f>
        <v>0</v>
      </c>
      <c r="G309" s="61">
        <f t="shared" si="332"/>
        <v>0</v>
      </c>
      <c r="H309" s="61">
        <f t="shared" si="332"/>
        <v>0</v>
      </c>
      <c r="I309" s="61">
        <f t="shared" si="332"/>
        <v>0</v>
      </c>
      <c r="J309" s="61">
        <f t="shared" si="332"/>
        <v>0</v>
      </c>
      <c r="K309" s="61">
        <f t="shared" si="332"/>
        <v>0</v>
      </c>
      <c r="L309" s="61">
        <f>SUM(F309:K309)</f>
        <v>0</v>
      </c>
      <c r="M309" s="61">
        <f>L309/6</f>
        <v>0</v>
      </c>
      <c r="N309" s="61">
        <f t="shared" ref="N309:S309" si="333">N307*N308/1000</f>
        <v>0</v>
      </c>
      <c r="O309" s="61">
        <f t="shared" si="333"/>
        <v>0</v>
      </c>
      <c r="P309" s="61">
        <f t="shared" si="333"/>
        <v>0</v>
      </c>
      <c r="Q309" s="61">
        <f t="shared" si="333"/>
        <v>0</v>
      </c>
      <c r="R309" s="61">
        <f t="shared" si="333"/>
        <v>0</v>
      </c>
      <c r="S309" s="61">
        <f t="shared" si="333"/>
        <v>0</v>
      </c>
      <c r="T309" s="61">
        <f>SUM(N309:S309)</f>
        <v>0</v>
      </c>
      <c r="U309" s="61">
        <f>T309+L309</f>
        <v>0</v>
      </c>
      <c r="V309" s="61">
        <f>V304</f>
        <v>0</v>
      </c>
      <c r="W309" s="72">
        <f>V309-U309</f>
        <v>0</v>
      </c>
      <c r="X309" s="63">
        <f>U304-U309</f>
        <v>0</v>
      </c>
    </row>
    <row r="310" spans="1:24" s="63" customFormat="1" ht="18" hidden="1" customHeight="1">
      <c r="A310" s="610"/>
      <c r="B310" s="581"/>
      <c r="C310" s="583"/>
      <c r="D310" s="201" t="s">
        <v>55</v>
      </c>
      <c r="E310" s="71"/>
      <c r="F310" s="61"/>
      <c r="G310" s="61"/>
      <c r="H310" s="61"/>
      <c r="I310" s="61"/>
      <c r="J310" s="61"/>
      <c r="K310" s="61"/>
      <c r="L310" s="61">
        <f>SUM(F310:K310)</f>
        <v>0</v>
      </c>
      <c r="M310" s="61">
        <f>L310/6</f>
        <v>0</v>
      </c>
      <c r="N310" s="61"/>
      <c r="O310" s="61"/>
      <c r="P310" s="61"/>
      <c r="Q310" s="61"/>
      <c r="R310" s="61"/>
      <c r="S310" s="61"/>
      <c r="T310" s="61">
        <f>SUM(N310:S310)</f>
        <v>0</v>
      </c>
      <c r="U310" s="61">
        <f>T310+L310</f>
        <v>0</v>
      </c>
      <c r="V310" s="61">
        <f>V305</f>
        <v>0</v>
      </c>
      <c r="W310" s="72">
        <f>V310-U310</f>
        <v>0</v>
      </c>
      <c r="X310" s="63">
        <f>U305-U310</f>
        <v>0</v>
      </c>
    </row>
    <row r="311" spans="1:24" s="63" customFormat="1" ht="18" hidden="1" customHeight="1">
      <c r="A311" s="610"/>
      <c r="B311" s="581"/>
      <c r="C311" s="583"/>
      <c r="D311" s="201" t="s">
        <v>24</v>
      </c>
      <c r="E311" s="71"/>
      <c r="F311" s="61">
        <f t="shared" ref="F311:K311" si="334">F309-F310</f>
        <v>0</v>
      </c>
      <c r="G311" s="61">
        <f t="shared" si="334"/>
        <v>0</v>
      </c>
      <c r="H311" s="61">
        <f t="shared" si="334"/>
        <v>0</v>
      </c>
      <c r="I311" s="61">
        <f t="shared" si="334"/>
        <v>0</v>
      </c>
      <c r="J311" s="61">
        <f t="shared" si="334"/>
        <v>0</v>
      </c>
      <c r="K311" s="61">
        <f t="shared" si="334"/>
        <v>0</v>
      </c>
      <c r="L311" s="61">
        <f>SUM(F311:K311)</f>
        <v>0</v>
      </c>
      <c r="M311" s="61">
        <f>L311/6</f>
        <v>0</v>
      </c>
      <c r="N311" s="61">
        <f t="shared" ref="N311:S311" si="335">N309-N310</f>
        <v>0</v>
      </c>
      <c r="O311" s="61">
        <f t="shared" si="335"/>
        <v>0</v>
      </c>
      <c r="P311" s="61">
        <f t="shared" si="335"/>
        <v>0</v>
      </c>
      <c r="Q311" s="61">
        <f t="shared" si="335"/>
        <v>0</v>
      </c>
      <c r="R311" s="61">
        <f t="shared" si="335"/>
        <v>0</v>
      </c>
      <c r="S311" s="61">
        <f t="shared" si="335"/>
        <v>0</v>
      </c>
      <c r="T311" s="61">
        <f>SUM(N311:S311)</f>
        <v>0</v>
      </c>
      <c r="U311" s="61">
        <f>T311+L311</f>
        <v>0</v>
      </c>
      <c r="V311" s="61">
        <f>V306</f>
        <v>0</v>
      </c>
      <c r="W311" s="72">
        <f>V311-U311</f>
        <v>0</v>
      </c>
      <c r="X311" s="63">
        <f>U306-U311</f>
        <v>0</v>
      </c>
    </row>
    <row r="312" spans="1:24" s="43" customFormat="1" ht="18" hidden="1" customHeight="1">
      <c r="A312" s="610"/>
      <c r="B312" s="581"/>
      <c r="C312" s="583"/>
      <c r="D312" s="202" t="s">
        <v>29</v>
      </c>
      <c r="E312" s="42"/>
      <c r="F312" s="42">
        <f t="shared" ref="F312:K312" si="336">F306</f>
        <v>0</v>
      </c>
      <c r="G312" s="42">
        <f t="shared" si="336"/>
        <v>0</v>
      </c>
      <c r="H312" s="42">
        <f t="shared" si="336"/>
        <v>0</v>
      </c>
      <c r="I312" s="42">
        <f t="shared" si="336"/>
        <v>0</v>
      </c>
      <c r="J312" s="42">
        <f t="shared" si="336"/>
        <v>0</v>
      </c>
      <c r="K312" s="42">
        <f t="shared" si="336"/>
        <v>0</v>
      </c>
      <c r="L312" s="42">
        <f>SUM(F312:K312)</f>
        <v>0</v>
      </c>
      <c r="M312" s="42">
        <f>L312/6</f>
        <v>0</v>
      </c>
      <c r="N312" s="42">
        <f t="shared" ref="N312:S312" si="337">N306+N305</f>
        <v>0</v>
      </c>
      <c r="O312" s="42">
        <f t="shared" si="337"/>
        <v>0</v>
      </c>
      <c r="P312" s="42">
        <f t="shared" si="337"/>
        <v>0</v>
      </c>
      <c r="Q312" s="42">
        <f t="shared" si="337"/>
        <v>0</v>
      </c>
      <c r="R312" s="42">
        <f t="shared" si="337"/>
        <v>0</v>
      </c>
      <c r="S312" s="42">
        <f t="shared" si="337"/>
        <v>0</v>
      </c>
      <c r="T312" s="42">
        <f>SUM(N312:S312)</f>
        <v>0</v>
      </c>
      <c r="U312" s="42">
        <f>T312+L312</f>
        <v>0</v>
      </c>
      <c r="V312" s="42">
        <f>V309</f>
        <v>0</v>
      </c>
      <c r="W312" s="42">
        <f>V312-U312</f>
        <v>0</v>
      </c>
    </row>
    <row r="313" spans="1:24" s="43" customFormat="1" ht="18" hidden="1" customHeight="1">
      <c r="A313" s="610"/>
      <c r="B313" s="581"/>
      <c r="C313" s="583"/>
      <c r="D313" s="202" t="s">
        <v>30</v>
      </c>
      <c r="E313" s="42"/>
      <c r="F313" s="42">
        <f t="shared" ref="F313:K313" si="338">F309-F312</f>
        <v>0</v>
      </c>
      <c r="G313" s="42">
        <f t="shared" si="338"/>
        <v>0</v>
      </c>
      <c r="H313" s="42">
        <f t="shared" si="338"/>
        <v>0</v>
      </c>
      <c r="I313" s="42">
        <f t="shared" si="338"/>
        <v>0</v>
      </c>
      <c r="J313" s="42">
        <f t="shared" si="338"/>
        <v>0</v>
      </c>
      <c r="K313" s="42">
        <f t="shared" si="338"/>
        <v>0</v>
      </c>
      <c r="L313" s="42"/>
      <c r="M313" s="42"/>
      <c r="N313" s="42">
        <f t="shared" ref="N313:S313" si="339">N309-N312</f>
        <v>0</v>
      </c>
      <c r="O313" s="42">
        <f t="shared" si="339"/>
        <v>0</v>
      </c>
      <c r="P313" s="42">
        <f t="shared" si="339"/>
        <v>0</v>
      </c>
      <c r="Q313" s="42">
        <f t="shared" si="339"/>
        <v>0</v>
      </c>
      <c r="R313" s="42">
        <f t="shared" si="339"/>
        <v>0</v>
      </c>
      <c r="S313" s="42">
        <f t="shared" si="339"/>
        <v>0</v>
      </c>
      <c r="T313" s="42"/>
      <c r="U313" s="42"/>
      <c r="V313" s="42"/>
      <c r="W313" s="42"/>
    </row>
    <row r="314" spans="1:24" s="43" customFormat="1" ht="18" hidden="1" customHeight="1">
      <c r="A314" s="610"/>
      <c r="B314" s="581"/>
      <c r="C314" s="584"/>
      <c r="D314" s="202" t="s">
        <v>31</v>
      </c>
      <c r="E314" s="42"/>
      <c r="F314" s="42">
        <f>F313</f>
        <v>0</v>
      </c>
      <c r="G314" s="42">
        <f>G313+F314</f>
        <v>0</v>
      </c>
      <c r="H314" s="42">
        <f>H313+G314</f>
        <v>0</v>
      </c>
      <c r="I314" s="42">
        <f>I313+H314</f>
        <v>0</v>
      </c>
      <c r="J314" s="42">
        <f>J313+I314</f>
        <v>0</v>
      </c>
      <c r="K314" s="42">
        <f>K313+J314</f>
        <v>0</v>
      </c>
      <c r="L314" s="42"/>
      <c r="M314" s="42"/>
      <c r="N314" s="42">
        <f>N313+K314</f>
        <v>0</v>
      </c>
      <c r="O314" s="42">
        <f>O313+N314</f>
        <v>0</v>
      </c>
      <c r="P314" s="42">
        <f>P313+O314</f>
        <v>0</v>
      </c>
      <c r="Q314" s="42">
        <f>Q313+P314</f>
        <v>0</v>
      </c>
      <c r="R314" s="42">
        <f>R313+Q314</f>
        <v>0</v>
      </c>
      <c r="S314" s="42">
        <f>S313+R314</f>
        <v>0</v>
      </c>
      <c r="T314" s="42"/>
      <c r="U314" s="42"/>
      <c r="V314" s="42"/>
      <c r="W314" s="42"/>
    </row>
    <row r="315" spans="1:24" s="43" customFormat="1" ht="18" hidden="1" customHeight="1">
      <c r="A315" s="610"/>
      <c r="B315" s="581"/>
      <c r="C315" s="582" t="s">
        <v>96</v>
      </c>
      <c r="D315" s="178" t="s">
        <v>93</v>
      </c>
      <c r="E315" s="179"/>
      <c r="F315" s="180"/>
      <c r="G315" s="180"/>
      <c r="H315" s="180"/>
      <c r="I315" s="180"/>
      <c r="J315" s="180"/>
      <c r="K315" s="180"/>
      <c r="L315" s="215">
        <f>SUM(F315:K315)</f>
        <v>0</v>
      </c>
      <c r="M315" s="215">
        <f>L315/6</f>
        <v>0</v>
      </c>
      <c r="N315" s="180"/>
      <c r="O315" s="180"/>
      <c r="P315" s="180"/>
      <c r="Q315" s="180"/>
      <c r="R315" s="180"/>
      <c r="S315" s="180"/>
      <c r="T315" s="215">
        <f>SUM(N315:S315)</f>
        <v>0</v>
      </c>
      <c r="U315" s="226">
        <f>T315+L315</f>
        <v>0</v>
      </c>
      <c r="V315" s="227"/>
      <c r="W315" s="184">
        <f>V315-U315</f>
        <v>0</v>
      </c>
    </row>
    <row r="316" spans="1:24" s="43" customFormat="1" ht="18" hidden="1" customHeight="1">
      <c r="A316" s="610"/>
      <c r="B316" s="581"/>
      <c r="C316" s="583"/>
      <c r="D316" s="178" t="s">
        <v>95</v>
      </c>
      <c r="E316" s="179"/>
      <c r="F316" s="180"/>
      <c r="G316" s="180"/>
      <c r="H316" s="180"/>
      <c r="I316" s="180"/>
      <c r="J316" s="180"/>
      <c r="K316" s="180"/>
      <c r="L316" s="215">
        <f>SUM(F316:K316)</f>
        <v>0</v>
      </c>
      <c r="M316" s="215">
        <f>L316/6</f>
        <v>0</v>
      </c>
      <c r="N316" s="179"/>
      <c r="O316" s="179"/>
      <c r="P316" s="179"/>
      <c r="Q316" s="179"/>
      <c r="R316" s="179"/>
      <c r="S316" s="179"/>
      <c r="T316" s="215">
        <f>SUM(N316:S316)</f>
        <v>0</v>
      </c>
      <c r="U316" s="226">
        <f>T316+L316</f>
        <v>0</v>
      </c>
      <c r="V316" s="227"/>
      <c r="W316" s="184">
        <f>V316-U316</f>
        <v>0</v>
      </c>
    </row>
    <row r="317" spans="1:24" s="43" customFormat="1" ht="18" hidden="1" customHeight="1">
      <c r="A317" s="610"/>
      <c r="B317" s="581"/>
      <c r="C317" s="583"/>
      <c r="D317" s="178" t="s">
        <v>105</v>
      </c>
      <c r="E317" s="179"/>
      <c r="F317" s="180"/>
      <c r="G317" s="180"/>
      <c r="H317" s="180"/>
      <c r="I317" s="180"/>
      <c r="J317" s="180"/>
      <c r="K317" s="180"/>
      <c r="L317" s="215">
        <f>SUM(F317:K317)</f>
        <v>0</v>
      </c>
      <c r="M317" s="215">
        <f>L317/6</f>
        <v>0</v>
      </c>
      <c r="N317" s="180"/>
      <c r="O317" s="180"/>
      <c r="P317" s="180"/>
      <c r="Q317" s="180"/>
      <c r="R317" s="180"/>
      <c r="S317" s="179"/>
      <c r="T317" s="215">
        <f>SUM(N317:S317)</f>
        <v>0</v>
      </c>
      <c r="U317" s="226">
        <f>T317+L317</f>
        <v>0</v>
      </c>
      <c r="V317" s="179"/>
      <c r="W317" s="184">
        <f>V317-U317</f>
        <v>0</v>
      </c>
    </row>
    <row r="318" spans="1:24" s="43" customFormat="1" ht="18" hidden="1" customHeight="1">
      <c r="A318" s="610"/>
      <c r="B318" s="581"/>
      <c r="C318" s="583"/>
      <c r="D318" s="187" t="s">
        <v>27</v>
      </c>
      <c r="E318" s="188"/>
      <c r="F318" s="188"/>
      <c r="G318" s="188"/>
      <c r="H318" s="188"/>
      <c r="I318" s="188"/>
      <c r="J318" s="188"/>
      <c r="K318" s="188"/>
      <c r="L318" s="188" t="e">
        <f>L319/L317*1000</f>
        <v>#DIV/0!</v>
      </c>
      <c r="M318" s="188" t="e">
        <f>M319/M317*1000</f>
        <v>#DIV/0!</v>
      </c>
      <c r="N318" s="188"/>
      <c r="O318" s="188"/>
      <c r="P318" s="188"/>
      <c r="Q318" s="188"/>
      <c r="R318" s="188"/>
      <c r="S318" s="188"/>
      <c r="T318" s="188" t="e">
        <f>T319/T317*1000</f>
        <v>#DIV/0!</v>
      </c>
      <c r="U318" s="188" t="e">
        <f>U319/U317*1000</f>
        <v>#DIV/0!</v>
      </c>
      <c r="V318" s="218" t="e">
        <f>V319/V317*1000</f>
        <v>#DIV/0!</v>
      </c>
      <c r="W318" s="189" t="e">
        <f>W319/W317*1000</f>
        <v>#DIV/0!</v>
      </c>
    </row>
    <row r="319" spans="1:24" s="43" customFormat="1" ht="18" hidden="1" customHeight="1">
      <c r="A319" s="610"/>
      <c r="B319" s="581"/>
      <c r="C319" s="583"/>
      <c r="D319" s="191" t="s">
        <v>0</v>
      </c>
      <c r="E319" s="192"/>
      <c r="F319" s="192">
        <f t="shared" ref="F319:K319" si="340">F317*F318/1000</f>
        <v>0</v>
      </c>
      <c r="G319" s="192">
        <f t="shared" si="340"/>
        <v>0</v>
      </c>
      <c r="H319" s="192">
        <f t="shared" si="340"/>
        <v>0</v>
      </c>
      <c r="I319" s="192">
        <f t="shared" si="340"/>
        <v>0</v>
      </c>
      <c r="J319" s="192">
        <f t="shared" si="340"/>
        <v>0</v>
      </c>
      <c r="K319" s="192">
        <f t="shared" si="340"/>
        <v>0</v>
      </c>
      <c r="L319" s="194">
        <f>SUM(F319:K319)</f>
        <v>0</v>
      </c>
      <c r="M319" s="194">
        <f>L319/6</f>
        <v>0</v>
      </c>
      <c r="N319" s="192">
        <f t="shared" ref="N319:S319" si="341">N317*N318/1000</f>
        <v>0</v>
      </c>
      <c r="O319" s="192">
        <f t="shared" si="341"/>
        <v>0</v>
      </c>
      <c r="P319" s="192">
        <f t="shared" si="341"/>
        <v>0</v>
      </c>
      <c r="Q319" s="192">
        <f t="shared" si="341"/>
        <v>0</v>
      </c>
      <c r="R319" s="192">
        <f t="shared" si="341"/>
        <v>0</v>
      </c>
      <c r="S319" s="192">
        <f t="shared" si="341"/>
        <v>0</v>
      </c>
      <c r="T319" s="194">
        <f>SUM(N319:S319)</f>
        <v>0</v>
      </c>
      <c r="U319" s="194">
        <f>T319+L319</f>
        <v>0</v>
      </c>
      <c r="V319" s="171">
        <f>V320+V321</f>
        <v>0</v>
      </c>
      <c r="W319" s="193">
        <f>V319-U319</f>
        <v>0</v>
      </c>
    </row>
    <row r="320" spans="1:24" s="43" customFormat="1" ht="18" hidden="1" customHeight="1">
      <c r="A320" s="610"/>
      <c r="B320" s="581"/>
      <c r="C320" s="583"/>
      <c r="D320" s="174" t="s">
        <v>55</v>
      </c>
      <c r="E320" s="210"/>
      <c r="F320" s="192"/>
      <c r="G320" s="192"/>
      <c r="H320" s="192"/>
      <c r="I320" s="192"/>
      <c r="J320" s="192"/>
      <c r="K320" s="192"/>
      <c r="L320" s="194">
        <f>SUM(F320:K320)</f>
        <v>0</v>
      </c>
      <c r="M320" s="194">
        <f>L320/6</f>
        <v>0</v>
      </c>
      <c r="N320" s="192"/>
      <c r="O320" s="192"/>
      <c r="P320" s="192"/>
      <c r="Q320" s="192"/>
      <c r="R320" s="192"/>
      <c r="S320" s="192"/>
      <c r="T320" s="194">
        <f>SUM(N320:S320)</f>
        <v>0</v>
      </c>
      <c r="U320" s="194">
        <f>T320+L320</f>
        <v>0</v>
      </c>
      <c r="V320" s="171"/>
      <c r="W320" s="193">
        <f>V320-U320</f>
        <v>0</v>
      </c>
    </row>
    <row r="321" spans="1:24" s="43" customFormat="1" ht="18" hidden="1" customHeight="1">
      <c r="A321" s="610"/>
      <c r="B321" s="581"/>
      <c r="C321" s="583"/>
      <c r="D321" s="174" t="s">
        <v>28</v>
      </c>
      <c r="E321" s="210"/>
      <c r="F321" s="192"/>
      <c r="G321" s="192"/>
      <c r="H321" s="192"/>
      <c r="I321" s="192"/>
      <c r="J321" s="192"/>
      <c r="K321" s="192"/>
      <c r="L321" s="194">
        <f>SUM(F321:K321)</f>
        <v>0</v>
      </c>
      <c r="M321" s="194">
        <f>L321/6</f>
        <v>0</v>
      </c>
      <c r="N321" s="192"/>
      <c r="O321" s="192"/>
      <c r="P321" s="192"/>
      <c r="Q321" s="192"/>
      <c r="R321" s="192"/>
      <c r="S321" s="192"/>
      <c r="T321" s="194">
        <f>SUM(N321:S321)</f>
        <v>0</v>
      </c>
      <c r="U321" s="194">
        <f>T321+L321</f>
        <v>0</v>
      </c>
      <c r="V321" s="171"/>
      <c r="W321" s="193">
        <f>V321-U321</f>
        <v>0</v>
      </c>
    </row>
    <row r="322" spans="1:24" s="43" customFormat="1" ht="18" hidden="1" customHeight="1">
      <c r="A322" s="610"/>
      <c r="B322" s="581"/>
      <c r="C322" s="583"/>
      <c r="D322" s="178" t="s">
        <v>106</v>
      </c>
      <c r="E322" s="179"/>
      <c r="F322" s="179"/>
      <c r="G322" s="179"/>
      <c r="H322" s="179"/>
      <c r="I322" s="179"/>
      <c r="J322" s="179"/>
      <c r="K322" s="179"/>
      <c r="L322" s="215">
        <f>SUM(F322:K322)</f>
        <v>0</v>
      </c>
      <c r="M322" s="215">
        <f>L322/6</f>
        <v>0</v>
      </c>
      <c r="N322" s="179"/>
      <c r="O322" s="179"/>
      <c r="P322" s="179"/>
      <c r="Q322" s="179"/>
      <c r="R322" s="179"/>
      <c r="S322" s="179"/>
      <c r="T322" s="215">
        <f>SUM(N322:S322)</f>
        <v>0</v>
      </c>
      <c r="U322" s="215">
        <f>T322+L322</f>
        <v>0</v>
      </c>
      <c r="V322" s="179">
        <f>V317</f>
        <v>0</v>
      </c>
      <c r="W322" s="184">
        <f>V322-U322</f>
        <v>0</v>
      </c>
    </row>
    <row r="323" spans="1:24" s="43" customFormat="1" ht="18" hidden="1" customHeight="1">
      <c r="A323" s="610"/>
      <c r="B323" s="581"/>
      <c r="C323" s="583"/>
      <c r="D323" s="187" t="s">
        <v>27</v>
      </c>
      <c r="E323" s="188" t="e">
        <f>E324/E322*1000</f>
        <v>#DIV/0!</v>
      </c>
      <c r="F323" s="188"/>
      <c r="G323" s="188"/>
      <c r="H323" s="188"/>
      <c r="I323" s="188"/>
      <c r="J323" s="188"/>
      <c r="K323" s="188"/>
      <c r="L323" s="188" t="e">
        <f>L324/L322*1000</f>
        <v>#DIV/0!</v>
      </c>
      <c r="M323" s="188" t="e">
        <f>M324/M322*1000</f>
        <v>#DIV/0!</v>
      </c>
      <c r="N323" s="188"/>
      <c r="O323" s="188"/>
      <c r="P323" s="188"/>
      <c r="Q323" s="188"/>
      <c r="R323" s="188"/>
      <c r="S323" s="188"/>
      <c r="T323" s="188" t="e">
        <f>T324/T322*1000</f>
        <v>#DIV/0!</v>
      </c>
      <c r="U323" s="188" t="e">
        <f>U324/U322*1000</f>
        <v>#DIV/0!</v>
      </c>
      <c r="V323" s="218" t="e">
        <f>V324/V322*1000</f>
        <v>#DIV/0!</v>
      </c>
      <c r="W323" s="189" t="e">
        <f>W324/W322*1000</f>
        <v>#DIV/0!</v>
      </c>
    </row>
    <row r="324" spans="1:24" s="43" customFormat="1" ht="18" hidden="1" customHeight="1">
      <c r="A324" s="610"/>
      <c r="B324" s="581"/>
      <c r="C324" s="583"/>
      <c r="D324" s="198" t="s">
        <v>25</v>
      </c>
      <c r="E324" s="220"/>
      <c r="F324" s="199">
        <f t="shared" ref="F324:K324" si="342">F322*F323/1000</f>
        <v>0</v>
      </c>
      <c r="G324" s="199">
        <f t="shared" si="342"/>
        <v>0</v>
      </c>
      <c r="H324" s="199">
        <f t="shared" si="342"/>
        <v>0</v>
      </c>
      <c r="I324" s="199">
        <f t="shared" si="342"/>
        <v>0</v>
      </c>
      <c r="J324" s="199">
        <f t="shared" si="342"/>
        <v>0</v>
      </c>
      <c r="K324" s="199">
        <f t="shared" si="342"/>
        <v>0</v>
      </c>
      <c r="L324" s="199">
        <f>SUM(F324:K324)</f>
        <v>0</v>
      </c>
      <c r="M324" s="199">
        <f>L324/6</f>
        <v>0</v>
      </c>
      <c r="N324" s="199">
        <f t="shared" ref="N324:S324" si="343">N322*N323/1000</f>
        <v>0</v>
      </c>
      <c r="O324" s="199">
        <f t="shared" si="343"/>
        <v>0</v>
      </c>
      <c r="P324" s="199">
        <f t="shared" si="343"/>
        <v>0</v>
      </c>
      <c r="Q324" s="199">
        <f t="shared" si="343"/>
        <v>0</v>
      </c>
      <c r="R324" s="199">
        <f t="shared" si="343"/>
        <v>0</v>
      </c>
      <c r="S324" s="199">
        <f t="shared" si="343"/>
        <v>0</v>
      </c>
      <c r="T324" s="199">
        <f>SUM(N324:S324)</f>
        <v>0</v>
      </c>
      <c r="U324" s="199">
        <f>T324+L324</f>
        <v>0</v>
      </c>
      <c r="V324" s="199">
        <f>V319</f>
        <v>0</v>
      </c>
      <c r="W324" s="221">
        <f>V324-U324</f>
        <v>0</v>
      </c>
    </row>
    <row r="325" spans="1:24" s="43" customFormat="1" ht="18" hidden="1" customHeight="1">
      <c r="A325" s="610"/>
      <c r="B325" s="581"/>
      <c r="C325" s="583"/>
      <c r="D325" s="201" t="s">
        <v>55</v>
      </c>
      <c r="E325" s="220"/>
      <c r="F325" s="199"/>
      <c r="G325" s="199"/>
      <c r="H325" s="199"/>
      <c r="I325" s="199"/>
      <c r="J325" s="199"/>
      <c r="K325" s="199"/>
      <c r="L325" s="199">
        <f>SUM(F325:K325)</f>
        <v>0</v>
      </c>
      <c r="M325" s="199">
        <f>L325/6</f>
        <v>0</v>
      </c>
      <c r="N325" s="199"/>
      <c r="O325" s="199"/>
      <c r="P325" s="199"/>
      <c r="Q325" s="199"/>
      <c r="R325" s="199"/>
      <c r="S325" s="199"/>
      <c r="T325" s="199">
        <f>SUM(N325:S325)</f>
        <v>0</v>
      </c>
      <c r="U325" s="199">
        <f>T325+L325</f>
        <v>0</v>
      </c>
      <c r="V325" s="199">
        <f>V320</f>
        <v>0</v>
      </c>
      <c r="W325" s="221">
        <f>V325-U325</f>
        <v>0</v>
      </c>
    </row>
    <row r="326" spans="1:24" s="43" customFormat="1" ht="18" hidden="1" customHeight="1">
      <c r="A326" s="610"/>
      <c r="B326" s="581"/>
      <c r="C326" s="583"/>
      <c r="D326" s="201" t="s">
        <v>24</v>
      </c>
      <c r="E326" s="220"/>
      <c r="F326" s="199">
        <f t="shared" ref="F326:K326" si="344">F324-F325</f>
        <v>0</v>
      </c>
      <c r="G326" s="199">
        <f t="shared" si="344"/>
        <v>0</v>
      </c>
      <c r="H326" s="199">
        <f t="shared" si="344"/>
        <v>0</v>
      </c>
      <c r="I326" s="199">
        <f t="shared" si="344"/>
        <v>0</v>
      </c>
      <c r="J326" s="199">
        <f t="shared" si="344"/>
        <v>0</v>
      </c>
      <c r="K326" s="199">
        <f t="shared" si="344"/>
        <v>0</v>
      </c>
      <c r="L326" s="199">
        <f>SUM(F326:K326)</f>
        <v>0</v>
      </c>
      <c r="M326" s="199">
        <f>L326/6</f>
        <v>0</v>
      </c>
      <c r="N326" s="199">
        <f t="shared" ref="N326:S326" si="345">N324-N325</f>
        <v>0</v>
      </c>
      <c r="O326" s="199">
        <f t="shared" si="345"/>
        <v>0</v>
      </c>
      <c r="P326" s="199">
        <f t="shared" si="345"/>
        <v>0</v>
      </c>
      <c r="Q326" s="199">
        <f t="shared" si="345"/>
        <v>0</v>
      </c>
      <c r="R326" s="199">
        <f t="shared" si="345"/>
        <v>0</v>
      </c>
      <c r="S326" s="199">
        <f t="shared" si="345"/>
        <v>0</v>
      </c>
      <c r="T326" s="199">
        <f>SUM(N326:S326)</f>
        <v>0</v>
      </c>
      <c r="U326" s="199">
        <f>T326+L326</f>
        <v>0</v>
      </c>
      <c r="V326" s="199">
        <f>V321</f>
        <v>0</v>
      </c>
      <c r="W326" s="221">
        <f>V326-U326</f>
        <v>0</v>
      </c>
    </row>
    <row r="327" spans="1:24" s="43" customFormat="1" ht="18" hidden="1" customHeight="1">
      <c r="A327" s="610"/>
      <c r="B327" s="581"/>
      <c r="C327" s="583"/>
      <c r="D327" s="202" t="s">
        <v>29</v>
      </c>
      <c r="E327" s="203"/>
      <c r="F327" s="203">
        <f t="shared" ref="F327:K327" si="346">F321</f>
        <v>0</v>
      </c>
      <c r="G327" s="203">
        <f t="shared" si="346"/>
        <v>0</v>
      </c>
      <c r="H327" s="203">
        <f t="shared" si="346"/>
        <v>0</v>
      </c>
      <c r="I327" s="203">
        <f t="shared" si="346"/>
        <v>0</v>
      </c>
      <c r="J327" s="203">
        <f t="shared" si="346"/>
        <v>0</v>
      </c>
      <c r="K327" s="203">
        <f t="shared" si="346"/>
        <v>0</v>
      </c>
      <c r="L327" s="203">
        <f>SUM(F327:K327)</f>
        <v>0</v>
      </c>
      <c r="M327" s="203">
        <f>L327/6</f>
        <v>0</v>
      </c>
      <c r="N327" s="203">
        <f t="shared" ref="N327:S327" si="347">N321+N320</f>
        <v>0</v>
      </c>
      <c r="O327" s="203">
        <f t="shared" si="347"/>
        <v>0</v>
      </c>
      <c r="P327" s="203">
        <f t="shared" si="347"/>
        <v>0</v>
      </c>
      <c r="Q327" s="203">
        <f t="shared" si="347"/>
        <v>0</v>
      </c>
      <c r="R327" s="203">
        <f t="shared" si="347"/>
        <v>0</v>
      </c>
      <c r="S327" s="203">
        <f t="shared" si="347"/>
        <v>0</v>
      </c>
      <c r="T327" s="203">
        <f>SUM(N327:S327)</f>
        <v>0</v>
      </c>
      <c r="U327" s="203">
        <f>T327+L327</f>
        <v>0</v>
      </c>
      <c r="V327" s="203">
        <f>V324</f>
        <v>0</v>
      </c>
      <c r="W327" s="203">
        <f>V327-U327</f>
        <v>0</v>
      </c>
    </row>
    <row r="328" spans="1:24" s="43" customFormat="1" ht="18" hidden="1" customHeight="1">
      <c r="A328" s="610"/>
      <c r="B328" s="581"/>
      <c r="C328" s="583"/>
      <c r="D328" s="202" t="s">
        <v>30</v>
      </c>
      <c r="E328" s="203"/>
      <c r="F328" s="203">
        <f t="shared" ref="F328:K328" si="348">F324-F327</f>
        <v>0</v>
      </c>
      <c r="G328" s="203">
        <f t="shared" si="348"/>
        <v>0</v>
      </c>
      <c r="H328" s="203">
        <f t="shared" si="348"/>
        <v>0</v>
      </c>
      <c r="I328" s="203">
        <f t="shared" si="348"/>
        <v>0</v>
      </c>
      <c r="J328" s="203">
        <f t="shared" si="348"/>
        <v>0</v>
      </c>
      <c r="K328" s="203">
        <f t="shared" si="348"/>
        <v>0</v>
      </c>
      <c r="L328" s="203"/>
      <c r="M328" s="203"/>
      <c r="N328" s="203">
        <f t="shared" ref="N328:S328" si="349">N324-N327</f>
        <v>0</v>
      </c>
      <c r="O328" s="203">
        <f t="shared" si="349"/>
        <v>0</v>
      </c>
      <c r="P328" s="203">
        <f t="shared" si="349"/>
        <v>0</v>
      </c>
      <c r="Q328" s="203">
        <f t="shared" si="349"/>
        <v>0</v>
      </c>
      <c r="R328" s="203">
        <f t="shared" si="349"/>
        <v>0</v>
      </c>
      <c r="S328" s="203">
        <f t="shared" si="349"/>
        <v>0</v>
      </c>
      <c r="T328" s="203"/>
      <c r="U328" s="203"/>
      <c r="V328" s="203"/>
      <c r="W328" s="203"/>
    </row>
    <row r="329" spans="1:24" s="43" customFormat="1" ht="18" hidden="1" customHeight="1">
      <c r="A329" s="611"/>
      <c r="B329" s="581"/>
      <c r="C329" s="584"/>
      <c r="D329" s="202" t="s">
        <v>31</v>
      </c>
      <c r="E329" s="203"/>
      <c r="F329" s="203">
        <f>F328</f>
        <v>0</v>
      </c>
      <c r="G329" s="203">
        <f>G328+F329</f>
        <v>0</v>
      </c>
      <c r="H329" s="203">
        <f>H328+G329</f>
        <v>0</v>
      </c>
      <c r="I329" s="203">
        <f>I328+H329</f>
        <v>0</v>
      </c>
      <c r="J329" s="203">
        <f>J328+I329</f>
        <v>0</v>
      </c>
      <c r="K329" s="203">
        <f>K328+J329</f>
        <v>0</v>
      </c>
      <c r="L329" s="203"/>
      <c r="M329" s="203"/>
      <c r="N329" s="203">
        <f>N328+K329</f>
        <v>0</v>
      </c>
      <c r="O329" s="203">
        <f>O328+N329</f>
        <v>0</v>
      </c>
      <c r="P329" s="203">
        <f>P328+O329</f>
        <v>0</v>
      </c>
      <c r="Q329" s="203">
        <f>Q328+P329</f>
        <v>0</v>
      </c>
      <c r="R329" s="203">
        <f>R328+Q329</f>
        <v>0</v>
      </c>
      <c r="S329" s="203">
        <f>S328+R329</f>
        <v>0</v>
      </c>
      <c r="T329" s="203"/>
      <c r="U329" s="203"/>
      <c r="V329" s="203"/>
      <c r="W329" s="203"/>
    </row>
    <row r="330" spans="1:24" s="48" customFormat="1" ht="23.35" customHeight="1">
      <c r="A330" s="591">
        <v>2272</v>
      </c>
      <c r="B330" s="659" t="s">
        <v>34</v>
      </c>
      <c r="C330" s="660"/>
      <c r="D330" s="178" t="str">
        <f>серпень!D253</f>
        <v>факт. нат.п-ки 2023</v>
      </c>
      <c r="E330" s="11"/>
      <c r="F330" s="12">
        <f t="shared" ref="F330:K332" si="350">F347+F409</f>
        <v>393</v>
      </c>
      <c r="G330" s="12">
        <f t="shared" si="350"/>
        <v>486</v>
      </c>
      <c r="H330" s="12">
        <f t="shared" si="350"/>
        <v>707</v>
      </c>
      <c r="I330" s="12">
        <f t="shared" si="350"/>
        <v>836</v>
      </c>
      <c r="J330" s="12">
        <f t="shared" si="350"/>
        <v>705</v>
      </c>
      <c r="K330" s="12">
        <f t="shared" si="350"/>
        <v>460</v>
      </c>
      <c r="L330" s="65">
        <f>SUM(F330:K330)</f>
        <v>3587</v>
      </c>
      <c r="M330" s="65">
        <f>L330/6</f>
        <v>597.79999999999995</v>
      </c>
      <c r="N330" s="12">
        <f t="shared" ref="N330:S332" si="351">N347+N409</f>
        <v>502.2</v>
      </c>
      <c r="O330" s="12">
        <f t="shared" si="351"/>
        <v>577.4</v>
      </c>
      <c r="P330" s="11">
        <f t="shared" si="351"/>
        <v>698</v>
      </c>
      <c r="Q330" s="12">
        <f t="shared" si="351"/>
        <v>423</v>
      </c>
      <c r="R330" s="12">
        <f t="shared" si="351"/>
        <v>458</v>
      </c>
      <c r="S330" s="12">
        <f t="shared" si="351"/>
        <v>666</v>
      </c>
      <c r="T330" s="65">
        <f>SUM(N330:S330)</f>
        <v>3324.6</v>
      </c>
      <c r="U330" s="65">
        <f>T330+L330</f>
        <v>6911.6</v>
      </c>
      <c r="V330" s="75">
        <f>V347+V409</f>
        <v>0</v>
      </c>
      <c r="W330" s="38"/>
      <c r="X330" s="47"/>
    </row>
    <row r="331" spans="1:24" s="48" customFormat="1" ht="23.35" customHeight="1">
      <c r="A331" s="592"/>
      <c r="B331" s="661"/>
      <c r="C331" s="662"/>
      <c r="D331" s="178" t="str">
        <f>серпень!D254</f>
        <v>факт. нат.п-ки 2024</v>
      </c>
      <c r="E331" s="11"/>
      <c r="F331" s="12">
        <f t="shared" si="350"/>
        <v>735</v>
      </c>
      <c r="G331" s="12">
        <f t="shared" si="350"/>
        <v>649</v>
      </c>
      <c r="H331" s="12">
        <f t="shared" si="350"/>
        <v>578</v>
      </c>
      <c r="I331" s="12">
        <f t="shared" si="350"/>
        <v>532</v>
      </c>
      <c r="J331" s="12">
        <f t="shared" si="350"/>
        <v>598</v>
      </c>
      <c r="K331" s="12">
        <f t="shared" si="350"/>
        <v>1008.8</v>
      </c>
      <c r="L331" s="65">
        <f>SUM(F331:K331)</f>
        <v>4100.8</v>
      </c>
      <c r="M331" s="65">
        <f>L331/6</f>
        <v>683.5</v>
      </c>
      <c r="N331" s="12">
        <f t="shared" si="351"/>
        <v>1008</v>
      </c>
      <c r="O331" s="12">
        <f t="shared" si="351"/>
        <v>730.6</v>
      </c>
      <c r="P331" s="11">
        <f t="shared" si="351"/>
        <v>548.4</v>
      </c>
      <c r="Q331" s="12">
        <f t="shared" si="351"/>
        <v>407</v>
      </c>
      <c r="R331" s="12">
        <f t="shared" si="351"/>
        <v>458</v>
      </c>
      <c r="S331" s="12">
        <f t="shared" si="351"/>
        <v>666</v>
      </c>
      <c r="T331" s="65">
        <f>SUM(N331:S331)</f>
        <v>3818</v>
      </c>
      <c r="U331" s="65">
        <f>T331+L331</f>
        <v>7918.8</v>
      </c>
      <c r="V331" s="75">
        <f>V348+V410</f>
        <v>7016.4</v>
      </c>
      <c r="W331" s="38"/>
      <c r="X331" s="47"/>
    </row>
    <row r="332" spans="1:24" s="48" customFormat="1" ht="23.35" customHeight="1">
      <c r="A332" s="592"/>
      <c r="B332" s="661"/>
      <c r="C332" s="662"/>
      <c r="D332" s="178" t="str">
        <f>серпень!D255</f>
        <v>факт. нат.п-ки 2025</v>
      </c>
      <c r="E332" s="11"/>
      <c r="F332" s="12">
        <f t="shared" si="350"/>
        <v>760.7</v>
      </c>
      <c r="G332" s="12">
        <f t="shared" si="350"/>
        <v>653.70000000000005</v>
      </c>
      <c r="H332" s="12">
        <f t="shared" si="350"/>
        <v>560</v>
      </c>
      <c r="I332" s="12">
        <f t="shared" si="350"/>
        <v>627.79999999999995</v>
      </c>
      <c r="J332" s="12">
        <f t="shared" si="350"/>
        <v>572.79999999999995</v>
      </c>
      <c r="K332" s="12">
        <f t="shared" si="350"/>
        <v>782.7</v>
      </c>
      <c r="L332" s="122">
        <f>SUM(F332:K332)</f>
        <v>3957.7</v>
      </c>
      <c r="M332" s="65">
        <f>L332/6</f>
        <v>659.6</v>
      </c>
      <c r="N332" s="12">
        <f t="shared" si="351"/>
        <v>916.4</v>
      </c>
      <c r="O332" s="12">
        <f t="shared" si="351"/>
        <v>730.6</v>
      </c>
      <c r="P332" s="12">
        <f t="shared" si="351"/>
        <v>503.4</v>
      </c>
      <c r="Q332" s="12">
        <f t="shared" si="351"/>
        <v>407</v>
      </c>
      <c r="R332" s="12">
        <f t="shared" si="351"/>
        <v>458</v>
      </c>
      <c r="S332" s="12">
        <f t="shared" si="351"/>
        <v>609.79999999999995</v>
      </c>
      <c r="T332" s="65">
        <f>SUM(N332:S332)</f>
        <v>3625.2</v>
      </c>
      <c r="U332" s="118">
        <f>T332+L332</f>
        <v>7582.9</v>
      </c>
      <c r="V332" s="75">
        <f>V349+V411</f>
        <v>7725.9</v>
      </c>
      <c r="W332" s="38">
        <f>V332-U332</f>
        <v>143</v>
      </c>
      <c r="X332" s="47"/>
    </row>
    <row r="333" spans="1:24" s="51" customFormat="1" ht="23.35" customHeight="1">
      <c r="A333" s="592"/>
      <c r="B333" s="661"/>
      <c r="C333" s="662"/>
      <c r="D333" s="187" t="str">
        <f>серпень!D256</f>
        <v>тариф, грн.</v>
      </c>
      <c r="E333" s="49"/>
      <c r="F333" s="49">
        <f t="shared" ref="F333:S333" si="352">F334/F332*1000</f>
        <v>15.772</v>
      </c>
      <c r="G333" s="49">
        <f t="shared" si="352"/>
        <v>17.734000000000002</v>
      </c>
      <c r="H333" s="49">
        <f t="shared" si="352"/>
        <v>17.821000000000002</v>
      </c>
      <c r="I333" s="49">
        <f t="shared" si="352"/>
        <v>18.393000000000001</v>
      </c>
      <c r="J333" s="49">
        <f t="shared" si="352"/>
        <v>19.173999999999999</v>
      </c>
      <c r="K333" s="49">
        <f t="shared" si="352"/>
        <v>16.396999999999998</v>
      </c>
      <c r="L333" s="49">
        <f t="shared" si="352"/>
        <v>17.417999999999999</v>
      </c>
      <c r="M333" s="49">
        <f t="shared" si="352"/>
        <v>17.417999999999999</v>
      </c>
      <c r="N333" s="49">
        <f t="shared" si="352"/>
        <v>15.589</v>
      </c>
      <c r="O333" s="49">
        <f t="shared" si="352"/>
        <v>17.725000000000001</v>
      </c>
      <c r="P333" s="49">
        <f t="shared" si="352"/>
        <v>18.513999999999999</v>
      </c>
      <c r="Q333" s="49">
        <f t="shared" si="352"/>
        <v>17.422999999999998</v>
      </c>
      <c r="R333" s="49">
        <f t="shared" si="352"/>
        <v>16.876000000000001</v>
      </c>
      <c r="S333" s="49">
        <f t="shared" si="352"/>
        <v>15.827999999999999</v>
      </c>
      <c r="T333" s="49">
        <f>T334/T332*1000</f>
        <v>16.834</v>
      </c>
      <c r="U333" s="49">
        <f>U334/U332*1000</f>
        <v>17.138999999999999</v>
      </c>
      <c r="V333" s="49">
        <f>V334/V332*1000</f>
        <v>16.87</v>
      </c>
      <c r="W333" s="14">
        <f>W334/W332*1000</f>
        <v>2.629</v>
      </c>
      <c r="X333" s="59"/>
    </row>
    <row r="334" spans="1:24" s="113" customFormat="1" ht="18" customHeight="1">
      <c r="A334" s="670"/>
      <c r="B334" s="661"/>
      <c r="C334" s="662"/>
      <c r="D334" s="191" t="str">
        <f>серпень!D257</f>
        <v>сума, тис.грн.</v>
      </c>
      <c r="E334" s="52"/>
      <c r="F334" s="52">
        <f t="shared" ref="F334:K335" si="353">F351+F413</f>
        <v>11.997999999999999</v>
      </c>
      <c r="G334" s="52">
        <f t="shared" si="353"/>
        <v>11.593</v>
      </c>
      <c r="H334" s="52">
        <f t="shared" si="353"/>
        <v>9.98</v>
      </c>
      <c r="I334" s="52">
        <f t="shared" si="353"/>
        <v>11.547000000000001</v>
      </c>
      <c r="J334" s="52">
        <f t="shared" si="353"/>
        <v>10.983000000000001</v>
      </c>
      <c r="K334" s="52">
        <f t="shared" si="353"/>
        <v>12.834</v>
      </c>
      <c r="L334" s="69">
        <f>SUM(F334:K334)</f>
        <v>68.935000000000002</v>
      </c>
      <c r="M334" s="69">
        <f>L334/6</f>
        <v>11.489000000000001</v>
      </c>
      <c r="N334" s="52">
        <f t="shared" ref="N334:S335" si="354">N351+N413</f>
        <v>14.286</v>
      </c>
      <c r="O334" s="52">
        <f t="shared" si="354"/>
        <v>12.95</v>
      </c>
      <c r="P334" s="52">
        <f t="shared" si="354"/>
        <v>9.32</v>
      </c>
      <c r="Q334" s="52">
        <f t="shared" si="354"/>
        <v>7.0910000000000002</v>
      </c>
      <c r="R334" s="52">
        <f t="shared" si="354"/>
        <v>7.7290000000000001</v>
      </c>
      <c r="S334" s="52">
        <f t="shared" si="354"/>
        <v>9.6519999999999992</v>
      </c>
      <c r="T334" s="69">
        <f t="shared" ref="T334:T339" si="355">SUM(N334:S334)</f>
        <v>61.027999999999999</v>
      </c>
      <c r="U334" s="69">
        <f t="shared" ref="U334:U339" si="356">T334+L334</f>
        <v>129.96299999999999</v>
      </c>
      <c r="V334" s="69">
        <f>V351+V413</f>
        <v>130.339</v>
      </c>
      <c r="W334" s="52">
        <f>V334-U334</f>
        <v>0.376</v>
      </c>
    </row>
    <row r="335" spans="1:24" s="113" customFormat="1" ht="18" customHeight="1">
      <c r="A335" s="670"/>
      <c r="B335" s="661"/>
      <c r="C335" s="662"/>
      <c r="D335" s="174" t="str">
        <f>серпень!D258</f>
        <v>абоненська плата, тис.грн.</v>
      </c>
      <c r="E335" s="52"/>
      <c r="F335" s="52">
        <f>F352+F414</f>
        <v>0</v>
      </c>
      <c r="G335" s="52">
        <f t="shared" si="353"/>
        <v>0</v>
      </c>
      <c r="H335" s="52">
        <f t="shared" si="353"/>
        <v>0</v>
      </c>
      <c r="I335" s="52">
        <f t="shared" si="353"/>
        <v>0</v>
      </c>
      <c r="J335" s="52">
        <f t="shared" si="353"/>
        <v>0</v>
      </c>
      <c r="K335" s="52">
        <f t="shared" si="353"/>
        <v>0</v>
      </c>
      <c r="L335" s="69">
        <f t="shared" ref="L335:L337" si="357">SUM(F335:K335)</f>
        <v>0</v>
      </c>
      <c r="M335" s="69">
        <f t="shared" ref="M335:M337" si="358">L335/6</f>
        <v>0</v>
      </c>
      <c r="N335" s="52">
        <f t="shared" si="354"/>
        <v>0</v>
      </c>
      <c r="O335" s="52">
        <f t="shared" si="354"/>
        <v>0</v>
      </c>
      <c r="P335" s="52">
        <f t="shared" si="354"/>
        <v>0</v>
      </c>
      <c r="Q335" s="52">
        <f t="shared" si="354"/>
        <v>0</v>
      </c>
      <c r="R335" s="52">
        <f t="shared" si="354"/>
        <v>0</v>
      </c>
      <c r="S335" s="52">
        <f t="shared" si="354"/>
        <v>0</v>
      </c>
      <c r="T335" s="69">
        <f t="shared" si="355"/>
        <v>0</v>
      </c>
      <c r="U335" s="69">
        <f t="shared" si="356"/>
        <v>0</v>
      </c>
      <c r="V335" s="69">
        <f t="shared" ref="V335:V337" si="359">V352+V414</f>
        <v>0</v>
      </c>
      <c r="W335" s="52">
        <f t="shared" ref="W335:W337" si="360">V335-U335</f>
        <v>0</v>
      </c>
    </row>
    <row r="336" spans="1:24" s="113" customFormat="1" ht="18" customHeight="1">
      <c r="A336" s="670"/>
      <c r="B336" s="661"/>
      <c r="C336" s="662"/>
      <c r="D336" s="174" t="str">
        <f>серпень!D259</f>
        <v>разом сума тис. грн+абонплата</v>
      </c>
      <c r="E336" s="52"/>
      <c r="F336" s="52">
        <f>F334+F335</f>
        <v>11.997999999999999</v>
      </c>
      <c r="G336" s="52">
        <f t="shared" ref="G336:K336" si="361">G334+G335</f>
        <v>11.593</v>
      </c>
      <c r="H336" s="52">
        <f t="shared" si="361"/>
        <v>9.98</v>
      </c>
      <c r="I336" s="52">
        <f t="shared" si="361"/>
        <v>11.547000000000001</v>
      </c>
      <c r="J336" s="52">
        <f t="shared" si="361"/>
        <v>10.983000000000001</v>
      </c>
      <c r="K336" s="52">
        <f t="shared" si="361"/>
        <v>12.834</v>
      </c>
      <c r="L336" s="69">
        <f t="shared" si="357"/>
        <v>68.935000000000002</v>
      </c>
      <c r="M336" s="69">
        <f t="shared" si="358"/>
        <v>11.489000000000001</v>
      </c>
      <c r="N336" s="52">
        <f>N334+N335</f>
        <v>14.286</v>
      </c>
      <c r="O336" s="52">
        <f t="shared" ref="O336:S336" si="362">O334+O335</f>
        <v>12.95</v>
      </c>
      <c r="P336" s="52">
        <f t="shared" si="362"/>
        <v>9.32</v>
      </c>
      <c r="Q336" s="52">
        <f t="shared" si="362"/>
        <v>7.0910000000000002</v>
      </c>
      <c r="R336" s="52">
        <f t="shared" si="362"/>
        <v>7.7290000000000001</v>
      </c>
      <c r="S336" s="52">
        <f t="shared" si="362"/>
        <v>9.6519999999999992</v>
      </c>
      <c r="T336" s="69">
        <f t="shared" si="355"/>
        <v>61.027999999999999</v>
      </c>
      <c r="U336" s="69">
        <f t="shared" si="356"/>
        <v>129.96299999999999</v>
      </c>
      <c r="V336" s="69">
        <f t="shared" si="359"/>
        <v>130.339</v>
      </c>
      <c r="W336" s="52">
        <f t="shared" si="360"/>
        <v>0.376</v>
      </c>
    </row>
    <row r="337" spans="1:26" s="113" customFormat="1" ht="18" customHeight="1">
      <c r="A337" s="670"/>
      <c r="B337" s="661"/>
      <c r="C337" s="662"/>
      <c r="D337" s="174" t="str">
        <f>серпень!D260</f>
        <v>дотація</v>
      </c>
      <c r="E337" s="52"/>
      <c r="F337" s="52">
        <f t="shared" ref="F337:K339" si="363">F354+F416</f>
        <v>0</v>
      </c>
      <c r="G337" s="52">
        <f t="shared" si="363"/>
        <v>0</v>
      </c>
      <c r="H337" s="52">
        <f t="shared" si="363"/>
        <v>0</v>
      </c>
      <c r="I337" s="52">
        <f t="shared" si="363"/>
        <v>0</v>
      </c>
      <c r="J337" s="52">
        <f t="shared" si="363"/>
        <v>0</v>
      </c>
      <c r="K337" s="52">
        <f t="shared" si="363"/>
        <v>0</v>
      </c>
      <c r="L337" s="69">
        <f t="shared" si="357"/>
        <v>0</v>
      </c>
      <c r="M337" s="69">
        <f t="shared" si="358"/>
        <v>0</v>
      </c>
      <c r="N337" s="52">
        <f t="shared" ref="N337:S339" si="364">N354+N416</f>
        <v>0</v>
      </c>
      <c r="O337" s="52">
        <f t="shared" si="364"/>
        <v>0</v>
      </c>
      <c r="P337" s="52">
        <f t="shared" si="364"/>
        <v>0</v>
      </c>
      <c r="Q337" s="52">
        <f t="shared" si="364"/>
        <v>0</v>
      </c>
      <c r="R337" s="52">
        <f t="shared" si="364"/>
        <v>0</v>
      </c>
      <c r="S337" s="52">
        <f t="shared" si="364"/>
        <v>0</v>
      </c>
      <c r="T337" s="69">
        <f t="shared" si="355"/>
        <v>0</v>
      </c>
      <c r="U337" s="69">
        <f t="shared" si="356"/>
        <v>0</v>
      </c>
      <c r="V337" s="69">
        <f t="shared" si="359"/>
        <v>0</v>
      </c>
      <c r="W337" s="52">
        <f t="shared" si="360"/>
        <v>0</v>
      </c>
    </row>
    <row r="338" spans="1:26" s="113" customFormat="1" ht="18" customHeight="1">
      <c r="A338" s="670"/>
      <c r="B338" s="661"/>
      <c r="C338" s="662"/>
      <c r="D338" s="174" t="str">
        <f>серпень!D261</f>
        <v>місцевий (план), тис.грн</v>
      </c>
      <c r="E338" s="52"/>
      <c r="F338" s="52">
        <f t="shared" si="363"/>
        <v>11.997999999999999</v>
      </c>
      <c r="G338" s="52">
        <f t="shared" si="363"/>
        <v>11.593</v>
      </c>
      <c r="H338" s="52">
        <f t="shared" si="363"/>
        <v>9.98</v>
      </c>
      <c r="I338" s="52">
        <f t="shared" si="363"/>
        <v>11.547000000000001</v>
      </c>
      <c r="J338" s="52">
        <f t="shared" si="363"/>
        <v>10.983000000000001</v>
      </c>
      <c r="K338" s="52">
        <f t="shared" si="363"/>
        <v>12.834</v>
      </c>
      <c r="L338" s="69">
        <f>SUM(F338:K338)</f>
        <v>68.935000000000002</v>
      </c>
      <c r="M338" s="69">
        <f>L338/6</f>
        <v>11.489000000000001</v>
      </c>
      <c r="N338" s="52">
        <f t="shared" si="364"/>
        <v>16.401</v>
      </c>
      <c r="O338" s="52">
        <f t="shared" si="364"/>
        <v>12.409000000000001</v>
      </c>
      <c r="P338" s="52">
        <f t="shared" si="364"/>
        <v>8.8650000000000002</v>
      </c>
      <c r="Q338" s="52">
        <f t="shared" si="364"/>
        <v>6.8150000000000004</v>
      </c>
      <c r="R338" s="52">
        <f t="shared" si="364"/>
        <v>7.4710000000000001</v>
      </c>
      <c r="S338" s="52">
        <f t="shared" si="364"/>
        <v>9.4429999999999996</v>
      </c>
      <c r="T338" s="69">
        <f t="shared" si="355"/>
        <v>61.404000000000003</v>
      </c>
      <c r="U338" s="69">
        <f t="shared" si="356"/>
        <v>130.339</v>
      </c>
      <c r="V338" s="69">
        <f>V355+V417</f>
        <v>130.339</v>
      </c>
      <c r="W338" s="52">
        <f>V338-U338</f>
        <v>0</v>
      </c>
    </row>
    <row r="339" spans="1:26" s="48" customFormat="1" ht="23.35" customHeight="1">
      <c r="A339" s="592"/>
      <c r="B339" s="661"/>
      <c r="C339" s="662"/>
      <c r="D339" s="178" t="str">
        <f>серпень!D262</f>
        <v>касові нат.п-ки 2025</v>
      </c>
      <c r="E339" s="11">
        <f>E371</f>
        <v>0</v>
      </c>
      <c r="F339" s="11">
        <f t="shared" si="363"/>
        <v>760.7</v>
      </c>
      <c r="G339" s="11">
        <f t="shared" si="363"/>
        <v>653.70000000000005</v>
      </c>
      <c r="H339" s="11">
        <f t="shared" si="363"/>
        <v>560</v>
      </c>
      <c r="I339" s="11">
        <f t="shared" si="363"/>
        <v>627.79999999999995</v>
      </c>
      <c r="J339" s="11">
        <f t="shared" si="363"/>
        <v>572.79999999999995</v>
      </c>
      <c r="K339" s="11">
        <f t="shared" si="363"/>
        <v>782.7</v>
      </c>
      <c r="L339" s="123">
        <f>SUM(F339:K339)</f>
        <v>3957.7</v>
      </c>
      <c r="M339" s="65">
        <f>L339/6</f>
        <v>659.6</v>
      </c>
      <c r="N339" s="11">
        <f t="shared" si="364"/>
        <v>916.4</v>
      </c>
      <c r="O339" s="11">
        <f t="shared" si="364"/>
        <v>0</v>
      </c>
      <c r="P339" s="11">
        <f t="shared" si="364"/>
        <v>1234</v>
      </c>
      <c r="Q339" s="11">
        <f t="shared" si="364"/>
        <v>407</v>
      </c>
      <c r="R339" s="11">
        <f t="shared" si="364"/>
        <v>458</v>
      </c>
      <c r="S339" s="11">
        <f t="shared" si="364"/>
        <v>609.79999999999995</v>
      </c>
      <c r="T339" s="65">
        <f t="shared" si="355"/>
        <v>3625.2</v>
      </c>
      <c r="U339" s="65">
        <f t="shared" si="356"/>
        <v>7582.9</v>
      </c>
      <c r="V339" s="124">
        <f>V356+V418</f>
        <v>7725.9</v>
      </c>
      <c r="W339" s="124">
        <f>V339-U339</f>
        <v>143</v>
      </c>
      <c r="X339" s="47">
        <f>U332-U339</f>
        <v>0</v>
      </c>
    </row>
    <row r="340" spans="1:26" s="51" customFormat="1" ht="23.35" customHeight="1">
      <c r="A340" s="592"/>
      <c r="B340" s="661"/>
      <c r="C340" s="662"/>
      <c r="D340" s="187" t="str">
        <f>серпень!D263</f>
        <v>тариф, грн.</v>
      </c>
      <c r="E340" s="49" t="e">
        <f t="shared" ref="E340:S340" si="365">E341/E339*1000</f>
        <v>#DIV/0!</v>
      </c>
      <c r="F340" s="49">
        <f t="shared" si="365"/>
        <v>15.772</v>
      </c>
      <c r="G340" s="49">
        <f t="shared" si="365"/>
        <v>17.734000000000002</v>
      </c>
      <c r="H340" s="49">
        <f t="shared" si="365"/>
        <v>17.821000000000002</v>
      </c>
      <c r="I340" s="49">
        <f t="shared" si="365"/>
        <v>18.393000000000001</v>
      </c>
      <c r="J340" s="49">
        <f t="shared" si="365"/>
        <v>19.173999999999999</v>
      </c>
      <c r="K340" s="49">
        <f t="shared" si="365"/>
        <v>16.396999999999998</v>
      </c>
      <c r="L340" s="49">
        <f t="shared" si="365"/>
        <v>17.417999999999999</v>
      </c>
      <c r="M340" s="49">
        <f t="shared" si="365"/>
        <v>17.417999999999999</v>
      </c>
      <c r="N340" s="49">
        <f t="shared" si="365"/>
        <v>15.589</v>
      </c>
      <c r="O340" s="49" t="e">
        <f t="shared" si="365"/>
        <v>#DIV/0!</v>
      </c>
      <c r="P340" s="49">
        <f t="shared" si="365"/>
        <v>18.047000000000001</v>
      </c>
      <c r="Q340" s="49">
        <f t="shared" si="365"/>
        <v>17.422999999999998</v>
      </c>
      <c r="R340" s="49">
        <f t="shared" si="365"/>
        <v>16.876000000000001</v>
      </c>
      <c r="S340" s="49">
        <f t="shared" si="365"/>
        <v>15.827999999999999</v>
      </c>
      <c r="T340" s="49">
        <f>T341/T339*1000</f>
        <v>16.834</v>
      </c>
      <c r="U340" s="49">
        <f>U341/U339*1000</f>
        <v>17.138999999999999</v>
      </c>
      <c r="V340" s="49">
        <f>V341/V339*1000</f>
        <v>16.87</v>
      </c>
      <c r="W340" s="14">
        <f>W341/W339*1000</f>
        <v>2.629</v>
      </c>
      <c r="X340" s="47"/>
    </row>
    <row r="341" spans="1:26" s="74" customFormat="1" ht="23.35" customHeight="1">
      <c r="A341" s="592"/>
      <c r="B341" s="661"/>
      <c r="C341" s="662"/>
      <c r="D341" s="198" t="str">
        <f>серпень!D264</f>
        <v>касові видатки, тис.грн.</v>
      </c>
      <c r="E341" s="71">
        <f t="shared" ref="E341:K343" si="366">E358+E420</f>
        <v>0</v>
      </c>
      <c r="F341" s="61">
        <f>F358+F420</f>
        <v>11.997999999999999</v>
      </c>
      <c r="G341" s="61">
        <f>G358+G420</f>
        <v>11.593</v>
      </c>
      <c r="H341" s="61">
        <f t="shared" si="366"/>
        <v>9.98</v>
      </c>
      <c r="I341" s="61">
        <f t="shared" si="366"/>
        <v>11.547000000000001</v>
      </c>
      <c r="J341" s="61">
        <f t="shared" si="366"/>
        <v>10.983000000000001</v>
      </c>
      <c r="K341" s="61">
        <f t="shared" si="366"/>
        <v>12.834</v>
      </c>
      <c r="L341" s="61">
        <f>SUM(F341:K341)</f>
        <v>68.935000000000002</v>
      </c>
      <c r="M341" s="61">
        <f>L341/6</f>
        <v>11.489000000000001</v>
      </c>
      <c r="N341" s="61">
        <f t="shared" ref="N341:S343" si="367">N358+N420</f>
        <v>14.286</v>
      </c>
      <c r="O341" s="61">
        <f t="shared" si="367"/>
        <v>0</v>
      </c>
      <c r="P341" s="61">
        <f t="shared" si="367"/>
        <v>22.27</v>
      </c>
      <c r="Q341" s="61">
        <f t="shared" si="367"/>
        <v>7.0910000000000002</v>
      </c>
      <c r="R341" s="61">
        <f t="shared" si="367"/>
        <v>7.7290000000000001</v>
      </c>
      <c r="S341" s="61">
        <f t="shared" si="367"/>
        <v>9.6519999999999992</v>
      </c>
      <c r="T341" s="61">
        <f>SUM(N341:S341)</f>
        <v>61.027999999999999</v>
      </c>
      <c r="U341" s="61">
        <f>T341+L341</f>
        <v>129.96299999999999</v>
      </c>
      <c r="V341" s="61">
        <f>V358+V420</f>
        <v>130.339</v>
      </c>
      <c r="W341" s="72">
        <f>V341-U341</f>
        <v>0.376</v>
      </c>
      <c r="X341" s="63">
        <f>U334-U341</f>
        <v>0</v>
      </c>
    </row>
    <row r="342" spans="1:26" s="74" customFormat="1" ht="23.35" customHeight="1">
      <c r="A342" s="592"/>
      <c r="B342" s="661"/>
      <c r="C342" s="662"/>
      <c r="D342" s="201" t="str">
        <f>серпень!D265</f>
        <v>дотація</v>
      </c>
      <c r="E342" s="71"/>
      <c r="F342" s="61">
        <f t="shared" si="366"/>
        <v>0</v>
      </c>
      <c r="G342" s="61">
        <f t="shared" si="366"/>
        <v>0</v>
      </c>
      <c r="H342" s="61">
        <f t="shared" si="366"/>
        <v>0</v>
      </c>
      <c r="I342" s="61">
        <f t="shared" si="366"/>
        <v>0</v>
      </c>
      <c r="J342" s="61">
        <f t="shared" si="366"/>
        <v>0</v>
      </c>
      <c r="K342" s="61">
        <f t="shared" si="366"/>
        <v>0</v>
      </c>
      <c r="L342" s="61">
        <f>SUM(F342:K342)</f>
        <v>0</v>
      </c>
      <c r="M342" s="61">
        <f>L342/6</f>
        <v>0</v>
      </c>
      <c r="N342" s="61">
        <f t="shared" si="367"/>
        <v>0</v>
      </c>
      <c r="O342" s="61">
        <f t="shared" si="367"/>
        <v>0</v>
      </c>
      <c r="P342" s="61">
        <f t="shared" si="367"/>
        <v>0</v>
      </c>
      <c r="Q342" s="61">
        <f t="shared" si="367"/>
        <v>0</v>
      </c>
      <c r="R342" s="61">
        <f t="shared" si="367"/>
        <v>0</v>
      </c>
      <c r="S342" s="61">
        <f t="shared" si="367"/>
        <v>0</v>
      </c>
      <c r="T342" s="61">
        <f>SUM(N342:S342)</f>
        <v>0</v>
      </c>
      <c r="U342" s="61">
        <f>T342+L342</f>
        <v>0</v>
      </c>
      <c r="V342" s="61">
        <f>V359+V421</f>
        <v>0</v>
      </c>
      <c r="W342" s="72">
        <f>V342-U342</f>
        <v>0</v>
      </c>
      <c r="X342" s="63">
        <f>U337-U342</f>
        <v>0</v>
      </c>
    </row>
    <row r="343" spans="1:26" s="74" customFormat="1" ht="23.35" customHeight="1">
      <c r="A343" s="592"/>
      <c r="B343" s="661"/>
      <c r="C343" s="662"/>
      <c r="D343" s="201" t="str">
        <f>серпень!D266</f>
        <v xml:space="preserve">місцевий </v>
      </c>
      <c r="E343" s="61"/>
      <c r="F343" s="61">
        <f t="shared" si="366"/>
        <v>11.997999999999999</v>
      </c>
      <c r="G343" s="61">
        <f t="shared" si="366"/>
        <v>11.593</v>
      </c>
      <c r="H343" s="61">
        <f t="shared" si="366"/>
        <v>9.98</v>
      </c>
      <c r="I343" s="61">
        <f t="shared" si="366"/>
        <v>11.547000000000001</v>
      </c>
      <c r="J343" s="61">
        <f t="shared" si="366"/>
        <v>10.983000000000001</v>
      </c>
      <c r="K343" s="61">
        <f t="shared" si="366"/>
        <v>12.834</v>
      </c>
      <c r="L343" s="61">
        <f>SUM(F343:K343)</f>
        <v>68.935000000000002</v>
      </c>
      <c r="M343" s="61">
        <f>L343/6</f>
        <v>11.489000000000001</v>
      </c>
      <c r="N343" s="61">
        <f t="shared" si="367"/>
        <v>14.286</v>
      </c>
      <c r="O343" s="61">
        <f t="shared" si="367"/>
        <v>0</v>
      </c>
      <c r="P343" s="61">
        <f t="shared" si="367"/>
        <v>22.27</v>
      </c>
      <c r="Q343" s="61">
        <f t="shared" si="367"/>
        <v>7.0910000000000002</v>
      </c>
      <c r="R343" s="61">
        <f t="shared" si="367"/>
        <v>7.7290000000000001</v>
      </c>
      <c r="S343" s="61">
        <f t="shared" si="367"/>
        <v>9.6519999999999992</v>
      </c>
      <c r="T343" s="61">
        <f>SUM(N343:S343)</f>
        <v>61.027999999999999</v>
      </c>
      <c r="U343" s="61">
        <f>T343+L343</f>
        <v>129.96299999999999</v>
      </c>
      <c r="V343" s="61">
        <f>V360+V422</f>
        <v>130.339</v>
      </c>
      <c r="W343" s="72">
        <f>V343-U343</f>
        <v>0.376</v>
      </c>
      <c r="X343" s="63">
        <f>U338-U343</f>
        <v>0.376</v>
      </c>
      <c r="Z343" s="74">
        <f>13.767+105.86261</f>
        <v>119.63</v>
      </c>
    </row>
    <row r="344" spans="1:26" s="43" customFormat="1" ht="23.35" customHeight="1">
      <c r="A344" s="592"/>
      <c r="B344" s="661"/>
      <c r="C344" s="662"/>
      <c r="D344" s="202" t="str">
        <f>серпень!D267</f>
        <v>план</v>
      </c>
      <c r="E344" s="42"/>
      <c r="F344" s="42">
        <f>F338+F337</f>
        <v>11.997999999999999</v>
      </c>
      <c r="G344" s="42">
        <f t="shared" ref="G344:K344" si="368">G338+G337</f>
        <v>11.593</v>
      </c>
      <c r="H344" s="42">
        <f t="shared" si="368"/>
        <v>9.98</v>
      </c>
      <c r="I344" s="42">
        <f t="shared" si="368"/>
        <v>11.547000000000001</v>
      </c>
      <c r="J344" s="42">
        <f t="shared" si="368"/>
        <v>10.983000000000001</v>
      </c>
      <c r="K344" s="42">
        <f t="shared" si="368"/>
        <v>12.834</v>
      </c>
      <c r="L344" s="42">
        <f>SUM(F344:K344)</f>
        <v>68.935000000000002</v>
      </c>
      <c r="M344" s="42">
        <f>L344/6</f>
        <v>11.489000000000001</v>
      </c>
      <c r="N344" s="42">
        <f>N338+N337</f>
        <v>16.401</v>
      </c>
      <c r="O344" s="42">
        <f t="shared" ref="O344:S344" si="369">O338+O337</f>
        <v>12.409000000000001</v>
      </c>
      <c r="P344" s="42">
        <f t="shared" si="369"/>
        <v>8.8650000000000002</v>
      </c>
      <c r="Q344" s="42">
        <f t="shared" si="369"/>
        <v>6.8150000000000004</v>
      </c>
      <c r="R344" s="42">
        <f t="shared" si="369"/>
        <v>7.4710000000000001</v>
      </c>
      <c r="S344" s="42">
        <f t="shared" si="369"/>
        <v>9.4429999999999996</v>
      </c>
      <c r="T344" s="42">
        <f>SUM(N344:S344)</f>
        <v>61.404000000000003</v>
      </c>
      <c r="U344" s="42">
        <f>T344+L344</f>
        <v>130.339</v>
      </c>
      <c r="V344" s="42">
        <f>V338+V337</f>
        <v>130.339</v>
      </c>
      <c r="W344" s="42">
        <f>V344-U344</f>
        <v>0</v>
      </c>
    </row>
    <row r="345" spans="1:26" s="43" customFormat="1" ht="23.35" customHeight="1">
      <c r="A345" s="592"/>
      <c r="B345" s="661"/>
      <c r="C345" s="662"/>
      <c r="D345" s="202" t="str">
        <f>серпень!D268</f>
        <v xml:space="preserve">відхилення </v>
      </c>
      <c r="E345" s="42"/>
      <c r="F345" s="42">
        <f t="shared" ref="F345:K345" si="370">F341-F344</f>
        <v>0</v>
      </c>
      <c r="G345" s="42">
        <f t="shared" si="370"/>
        <v>0</v>
      </c>
      <c r="H345" s="42">
        <f t="shared" si="370"/>
        <v>0</v>
      </c>
      <c r="I345" s="42">
        <f t="shared" si="370"/>
        <v>0</v>
      </c>
      <c r="J345" s="42">
        <f t="shared" si="370"/>
        <v>0</v>
      </c>
      <c r="K345" s="42">
        <f t="shared" si="370"/>
        <v>0</v>
      </c>
      <c r="L345" s="42"/>
      <c r="M345" s="42"/>
      <c r="N345" s="42">
        <f t="shared" ref="N345:S345" si="371">N341-N344</f>
        <v>-2.1150000000000002</v>
      </c>
      <c r="O345" s="42">
        <f t="shared" si="371"/>
        <v>-12.409000000000001</v>
      </c>
      <c r="P345" s="42">
        <f t="shared" si="371"/>
        <v>13.404999999999999</v>
      </c>
      <c r="Q345" s="42">
        <f t="shared" si="371"/>
        <v>0.27600000000000002</v>
      </c>
      <c r="R345" s="42">
        <f t="shared" si="371"/>
        <v>0.25800000000000001</v>
      </c>
      <c r="S345" s="42">
        <f t="shared" si="371"/>
        <v>0.20899999999999999</v>
      </c>
      <c r="T345" s="42"/>
      <c r="U345" s="42"/>
      <c r="V345" s="42"/>
      <c r="W345" s="42"/>
    </row>
    <row r="346" spans="1:26" s="43" customFormat="1" ht="23.35" customHeight="1">
      <c r="A346" s="593"/>
      <c r="B346" s="663"/>
      <c r="C346" s="664"/>
      <c r="D346" s="202" t="str">
        <f>серпень!D269</f>
        <v>відхилення з наростаючим</v>
      </c>
      <c r="E346" s="42"/>
      <c r="F346" s="42">
        <f>F345</f>
        <v>0</v>
      </c>
      <c r="G346" s="42">
        <f>G345+F346</f>
        <v>0</v>
      </c>
      <c r="H346" s="42">
        <f>H345+G346</f>
        <v>0</v>
      </c>
      <c r="I346" s="42">
        <f>I345+H346</f>
        <v>0</v>
      </c>
      <c r="J346" s="42">
        <f>J345+I346</f>
        <v>0</v>
      </c>
      <c r="K346" s="42">
        <f>K345+J346</f>
        <v>0</v>
      </c>
      <c r="L346" s="42"/>
      <c r="M346" s="42"/>
      <c r="N346" s="42">
        <f>N345+K346</f>
        <v>-2.1150000000000002</v>
      </c>
      <c r="O346" s="42">
        <f>O345+N346</f>
        <v>-14.523999999999999</v>
      </c>
      <c r="P346" s="42">
        <f>P345+O346</f>
        <v>-1.119</v>
      </c>
      <c r="Q346" s="42">
        <f>Q345+P346</f>
        <v>-0.84299999999999997</v>
      </c>
      <c r="R346" s="42">
        <f>R345+Q346</f>
        <v>-0.58499999999999996</v>
      </c>
      <c r="S346" s="42">
        <f>S345+R346</f>
        <v>-0.376</v>
      </c>
      <c r="T346" s="42"/>
      <c r="U346" s="42"/>
      <c r="V346" s="42"/>
      <c r="W346" s="42"/>
    </row>
    <row r="347" spans="1:26" s="186" customFormat="1" ht="18" customHeight="1">
      <c r="A347" s="595" t="s">
        <v>35</v>
      </c>
      <c r="B347" s="665" t="s">
        <v>36</v>
      </c>
      <c r="C347" s="665"/>
      <c r="D347" s="178" t="str">
        <f>серпень!D270</f>
        <v>факт. нат.п-ки 2023</v>
      </c>
      <c r="E347" s="179"/>
      <c r="F347" s="180">
        <f t="shared" ref="F347:K349" si="372">F364+F379+F394</f>
        <v>42</v>
      </c>
      <c r="G347" s="180">
        <f t="shared" si="372"/>
        <v>92</v>
      </c>
      <c r="H347" s="180">
        <f t="shared" si="372"/>
        <v>154</v>
      </c>
      <c r="I347" s="180">
        <f t="shared" si="372"/>
        <v>128</v>
      </c>
      <c r="J347" s="180">
        <f t="shared" si="372"/>
        <v>118</v>
      </c>
      <c r="K347" s="180">
        <f t="shared" si="372"/>
        <v>160</v>
      </c>
      <c r="L347" s="215">
        <f>SUM(F347:K347)</f>
        <v>694</v>
      </c>
      <c r="M347" s="215">
        <f>L347/6</f>
        <v>115.7</v>
      </c>
      <c r="N347" s="180">
        <f t="shared" ref="N347:S349" si="373">N364+N379+N394</f>
        <v>164</v>
      </c>
      <c r="O347" s="180">
        <f t="shared" si="373"/>
        <v>120</v>
      </c>
      <c r="P347" s="180">
        <f t="shared" si="373"/>
        <v>182</v>
      </c>
      <c r="Q347" s="180">
        <f t="shared" si="373"/>
        <v>166</v>
      </c>
      <c r="R347" s="180">
        <f t="shared" si="373"/>
        <v>182.9</v>
      </c>
      <c r="S347" s="180">
        <f t="shared" si="373"/>
        <v>180</v>
      </c>
      <c r="T347" s="215">
        <f>SUM(N347:S347)</f>
        <v>994.9</v>
      </c>
      <c r="U347" s="215">
        <f>T347+L347</f>
        <v>1688.9</v>
      </c>
      <c r="V347" s="233">
        <f>V364+V394</f>
        <v>0</v>
      </c>
      <c r="W347" s="184"/>
      <c r="X347" s="185"/>
    </row>
    <row r="348" spans="1:26" s="186" customFormat="1" ht="18" customHeight="1">
      <c r="A348" s="595"/>
      <c r="B348" s="665"/>
      <c r="C348" s="665"/>
      <c r="D348" s="178" t="str">
        <f>серпень!D271</f>
        <v>факт. нат.п-ки 2024</v>
      </c>
      <c r="E348" s="179"/>
      <c r="F348" s="180">
        <f t="shared" si="372"/>
        <v>166</v>
      </c>
      <c r="G348" s="180">
        <f t="shared" si="372"/>
        <v>252</v>
      </c>
      <c r="H348" s="180">
        <f t="shared" si="372"/>
        <v>188</v>
      </c>
      <c r="I348" s="180">
        <f t="shared" si="372"/>
        <v>244</v>
      </c>
      <c r="J348" s="180">
        <f t="shared" si="372"/>
        <v>264</v>
      </c>
      <c r="K348" s="180">
        <f t="shared" si="372"/>
        <v>370.8</v>
      </c>
      <c r="L348" s="215">
        <f>SUM(F348:K348)</f>
        <v>1484.8</v>
      </c>
      <c r="M348" s="215">
        <f>L348/6</f>
        <v>247.5</v>
      </c>
      <c r="N348" s="180">
        <f t="shared" si="373"/>
        <v>222</v>
      </c>
      <c r="O348" s="180">
        <f t="shared" si="373"/>
        <v>216</v>
      </c>
      <c r="P348" s="180">
        <f t="shared" si="373"/>
        <v>227</v>
      </c>
      <c r="Q348" s="180">
        <f t="shared" si="373"/>
        <v>110</v>
      </c>
      <c r="R348" s="180">
        <f t="shared" si="373"/>
        <v>102.9</v>
      </c>
      <c r="S348" s="180">
        <f t="shared" si="373"/>
        <v>140</v>
      </c>
      <c r="T348" s="215">
        <f>SUM(N348:S348)</f>
        <v>1017.9</v>
      </c>
      <c r="U348" s="215">
        <f>T348+L348</f>
        <v>2502.6999999999998</v>
      </c>
      <c r="V348" s="233">
        <f>V365+V395</f>
        <v>1481.2</v>
      </c>
      <c r="W348" s="184"/>
      <c r="X348" s="185"/>
    </row>
    <row r="349" spans="1:26" s="186" customFormat="1" ht="18" customHeight="1">
      <c r="A349" s="595"/>
      <c r="B349" s="665"/>
      <c r="C349" s="665"/>
      <c r="D349" s="178" t="str">
        <f>серпень!D272</f>
        <v>факт. нат.п-ки 2025</v>
      </c>
      <c r="E349" s="179"/>
      <c r="F349" s="180">
        <f>F366+F381+F396</f>
        <v>112.7</v>
      </c>
      <c r="G349" s="180">
        <f t="shared" si="372"/>
        <v>207.7</v>
      </c>
      <c r="H349" s="180">
        <f t="shared" si="372"/>
        <v>170</v>
      </c>
      <c r="I349" s="180">
        <f t="shared" si="372"/>
        <v>220.7</v>
      </c>
      <c r="J349" s="180">
        <f t="shared" si="372"/>
        <v>238.8</v>
      </c>
      <c r="K349" s="180">
        <f t="shared" si="372"/>
        <v>144.69999999999999</v>
      </c>
      <c r="L349" s="234">
        <f>SUM(F349:K349)</f>
        <v>1094.5999999999999</v>
      </c>
      <c r="M349" s="215">
        <f>L349/6</f>
        <v>182.4</v>
      </c>
      <c r="N349" s="180">
        <f t="shared" si="373"/>
        <v>107.5</v>
      </c>
      <c r="O349" s="180">
        <f t="shared" si="373"/>
        <v>216</v>
      </c>
      <c r="P349" s="180">
        <f t="shared" si="373"/>
        <v>182</v>
      </c>
      <c r="Q349" s="180">
        <f t="shared" si="373"/>
        <v>110</v>
      </c>
      <c r="R349" s="180">
        <f t="shared" si="373"/>
        <v>102.9</v>
      </c>
      <c r="S349" s="180">
        <f t="shared" si="373"/>
        <v>83.8</v>
      </c>
      <c r="T349" s="215">
        <f>SUM(N349:S349)</f>
        <v>802.2</v>
      </c>
      <c r="U349" s="215">
        <f>T349+L349</f>
        <v>1896.8</v>
      </c>
      <c r="V349" s="233">
        <f>V366+V381+V396</f>
        <v>2190.6999999999998</v>
      </c>
      <c r="W349" s="184">
        <f>V349-U349</f>
        <v>293.89999999999998</v>
      </c>
      <c r="X349" s="185"/>
    </row>
    <row r="350" spans="1:26" s="190" customFormat="1" ht="18" customHeight="1">
      <c r="A350" s="595"/>
      <c r="B350" s="665"/>
      <c r="C350" s="665"/>
      <c r="D350" s="187" t="str">
        <f>серпень!D273</f>
        <v>тариф, грн.</v>
      </c>
      <c r="E350" s="188"/>
      <c r="F350" s="188">
        <f t="shared" ref="F350:S350" si="374">F351/F349*1000</f>
        <v>24.907</v>
      </c>
      <c r="G350" s="188">
        <f t="shared" si="374"/>
        <v>25.359000000000002</v>
      </c>
      <c r="H350" s="188">
        <f t="shared" si="374"/>
        <v>26.164999999999999</v>
      </c>
      <c r="I350" s="188">
        <f t="shared" si="374"/>
        <v>26.158000000000001</v>
      </c>
      <c r="J350" s="188">
        <f t="shared" si="374"/>
        <v>26.155999999999999</v>
      </c>
      <c r="K350" s="188">
        <f t="shared" si="374"/>
        <v>26.158000000000001</v>
      </c>
      <c r="L350" s="188">
        <f t="shared" si="374"/>
        <v>25.878</v>
      </c>
      <c r="M350" s="188">
        <f t="shared" si="374"/>
        <v>25.882999999999999</v>
      </c>
      <c r="N350" s="188">
        <f t="shared" si="374"/>
        <v>26.167000000000002</v>
      </c>
      <c r="O350" s="188">
        <f t="shared" si="374"/>
        <v>26.161999999999999</v>
      </c>
      <c r="P350" s="188">
        <f t="shared" si="374"/>
        <v>26.158999999999999</v>
      </c>
      <c r="Q350" s="188">
        <f t="shared" si="374"/>
        <v>26.164000000000001</v>
      </c>
      <c r="R350" s="188">
        <f t="shared" si="374"/>
        <v>26.161000000000001</v>
      </c>
      <c r="S350" s="188">
        <f t="shared" si="374"/>
        <v>26.158000000000001</v>
      </c>
      <c r="T350" s="188">
        <f>T351/T349*1000</f>
        <v>26.161999999999999</v>
      </c>
      <c r="U350" s="188">
        <f>U351/U349*1000</f>
        <v>25.998000000000001</v>
      </c>
      <c r="V350" s="188">
        <f>V351/V349*1000</f>
        <v>23.658000000000001</v>
      </c>
      <c r="W350" s="189">
        <f>W351/W349*1000</f>
        <v>8.5570000000000004</v>
      </c>
      <c r="X350" s="225"/>
    </row>
    <row r="351" spans="1:26" s="172" customFormat="1" ht="18" customHeight="1">
      <c r="A351" s="671"/>
      <c r="B351" s="665"/>
      <c r="C351" s="665"/>
      <c r="D351" s="191" t="str">
        <f>серпень!D274</f>
        <v>сума, тис.грн.</v>
      </c>
      <c r="E351" s="192"/>
      <c r="F351" s="192">
        <f t="shared" ref="F351:K351" si="375">F368+F383+F398</f>
        <v>2.8069999999999999</v>
      </c>
      <c r="G351" s="192">
        <f t="shared" si="375"/>
        <v>5.2670000000000003</v>
      </c>
      <c r="H351" s="192">
        <f t="shared" si="375"/>
        <v>4.4480000000000004</v>
      </c>
      <c r="I351" s="192">
        <f t="shared" si="375"/>
        <v>5.7729999999999997</v>
      </c>
      <c r="J351" s="192">
        <f t="shared" si="375"/>
        <v>6.2460000000000004</v>
      </c>
      <c r="K351" s="192">
        <f t="shared" si="375"/>
        <v>3.7850000000000001</v>
      </c>
      <c r="L351" s="194">
        <f t="shared" ref="L351:L356" si="376">SUM(F351:K351)</f>
        <v>28.326000000000001</v>
      </c>
      <c r="M351" s="194">
        <f t="shared" ref="M351:M356" si="377">L351/6</f>
        <v>4.7210000000000001</v>
      </c>
      <c r="N351" s="192">
        <f t="shared" ref="N351:S351" si="378">N368+N383+N398</f>
        <v>2.8130000000000002</v>
      </c>
      <c r="O351" s="192">
        <f t="shared" si="378"/>
        <v>5.6509999999999998</v>
      </c>
      <c r="P351" s="192">
        <f t="shared" si="378"/>
        <v>4.7610000000000001</v>
      </c>
      <c r="Q351" s="192">
        <f t="shared" si="378"/>
        <v>2.8780000000000001</v>
      </c>
      <c r="R351" s="192">
        <f t="shared" si="378"/>
        <v>2.6920000000000002</v>
      </c>
      <c r="S351" s="192">
        <f t="shared" si="378"/>
        <v>2.1920000000000002</v>
      </c>
      <c r="T351" s="194">
        <f t="shared" ref="T351:T356" si="379">SUM(N351:S351)</f>
        <v>20.986999999999998</v>
      </c>
      <c r="U351" s="194">
        <f t="shared" ref="U351:U356" si="380">T351+L351</f>
        <v>49.313000000000002</v>
      </c>
      <c r="V351" s="192">
        <f>V368+V383+V398</f>
        <v>51.828000000000003</v>
      </c>
      <c r="W351" s="192">
        <f>V351-U351</f>
        <v>2.5150000000000001</v>
      </c>
    </row>
    <row r="352" spans="1:26" s="172" customFormat="1" ht="18" customHeight="1">
      <c r="A352" s="671"/>
      <c r="B352" s="665"/>
      <c r="C352" s="665"/>
      <c r="D352" s="174" t="str">
        <f>серпень!D275</f>
        <v>абоненська плата, тис.грн.</v>
      </c>
      <c r="E352" s="192"/>
      <c r="F352" s="192">
        <f>F383</f>
        <v>0</v>
      </c>
      <c r="G352" s="192">
        <f t="shared" ref="G352:K352" si="381">G383</f>
        <v>0</v>
      </c>
      <c r="H352" s="192">
        <f t="shared" si="381"/>
        <v>0</v>
      </c>
      <c r="I352" s="192">
        <f t="shared" si="381"/>
        <v>0</v>
      </c>
      <c r="J352" s="192">
        <f t="shared" si="381"/>
        <v>0</v>
      </c>
      <c r="K352" s="192">
        <f t="shared" si="381"/>
        <v>0</v>
      </c>
      <c r="L352" s="194">
        <f t="shared" si="376"/>
        <v>0</v>
      </c>
      <c r="M352" s="194">
        <f t="shared" si="377"/>
        <v>0</v>
      </c>
      <c r="N352" s="192">
        <f>N383</f>
        <v>0</v>
      </c>
      <c r="O352" s="192">
        <f t="shared" ref="O352:S352" si="382">O383</f>
        <v>0</v>
      </c>
      <c r="P352" s="192">
        <f t="shared" si="382"/>
        <v>0</v>
      </c>
      <c r="Q352" s="192">
        <f t="shared" si="382"/>
        <v>0</v>
      </c>
      <c r="R352" s="192">
        <f t="shared" si="382"/>
        <v>0</v>
      </c>
      <c r="S352" s="192">
        <f t="shared" si="382"/>
        <v>0</v>
      </c>
      <c r="T352" s="194">
        <f t="shared" si="379"/>
        <v>0</v>
      </c>
      <c r="U352" s="194">
        <f t="shared" si="380"/>
        <v>0</v>
      </c>
      <c r="V352" s="192">
        <f t="shared" ref="V352" si="383">V383</f>
        <v>0</v>
      </c>
      <c r="W352" s="192">
        <f t="shared" ref="W352:W353" si="384">V352-U352</f>
        <v>0</v>
      </c>
    </row>
    <row r="353" spans="1:28" s="172" customFormat="1" ht="18" customHeight="1">
      <c r="A353" s="671"/>
      <c r="B353" s="665"/>
      <c r="C353" s="665"/>
      <c r="D353" s="174" t="str">
        <f>серпень!D276</f>
        <v>разом сума тис. грн+абонплата</v>
      </c>
      <c r="E353" s="192"/>
      <c r="F353" s="192">
        <f>F351+F352</f>
        <v>2.8069999999999999</v>
      </c>
      <c r="G353" s="192">
        <f t="shared" ref="G353:K353" si="385">G351+G352</f>
        <v>5.2670000000000003</v>
      </c>
      <c r="H353" s="192">
        <f t="shared" si="385"/>
        <v>4.4480000000000004</v>
      </c>
      <c r="I353" s="192">
        <f t="shared" si="385"/>
        <v>5.7729999999999997</v>
      </c>
      <c r="J353" s="192">
        <f t="shared" si="385"/>
        <v>6.2460000000000004</v>
      </c>
      <c r="K353" s="192">
        <f t="shared" si="385"/>
        <v>3.7850000000000001</v>
      </c>
      <c r="L353" s="194">
        <f t="shared" si="376"/>
        <v>28.326000000000001</v>
      </c>
      <c r="M353" s="194">
        <f t="shared" si="377"/>
        <v>4.7210000000000001</v>
      </c>
      <c r="N353" s="192">
        <f>N351+N352</f>
        <v>2.8130000000000002</v>
      </c>
      <c r="O353" s="192">
        <f t="shared" ref="O353:S353" si="386">O351+O352</f>
        <v>5.6509999999999998</v>
      </c>
      <c r="P353" s="192">
        <f t="shared" si="386"/>
        <v>4.7610000000000001</v>
      </c>
      <c r="Q353" s="192">
        <f t="shared" si="386"/>
        <v>2.8780000000000001</v>
      </c>
      <c r="R353" s="192">
        <f t="shared" si="386"/>
        <v>2.6920000000000002</v>
      </c>
      <c r="S353" s="192">
        <f t="shared" si="386"/>
        <v>2.1920000000000002</v>
      </c>
      <c r="T353" s="194">
        <f t="shared" si="379"/>
        <v>20.986999999999998</v>
      </c>
      <c r="U353" s="194">
        <f t="shared" si="380"/>
        <v>49.313000000000002</v>
      </c>
      <c r="V353" s="192">
        <f t="shared" ref="V353" si="387">V351+V352</f>
        <v>51.828000000000003</v>
      </c>
      <c r="W353" s="192">
        <f t="shared" si="384"/>
        <v>2.5150000000000001</v>
      </c>
    </row>
    <row r="354" spans="1:28" s="172" customFormat="1" ht="18" customHeight="1">
      <c r="A354" s="671"/>
      <c r="B354" s="665"/>
      <c r="C354" s="665"/>
      <c r="D354" s="174" t="str">
        <f>серпень!D277</f>
        <v>дотація</v>
      </c>
      <c r="E354" s="192"/>
      <c r="F354" s="192">
        <f t="shared" ref="F354:K356" si="388">F369+F384+F399</f>
        <v>0</v>
      </c>
      <c r="G354" s="192">
        <f t="shared" si="388"/>
        <v>0</v>
      </c>
      <c r="H354" s="192">
        <f t="shared" si="388"/>
        <v>0</v>
      </c>
      <c r="I354" s="192">
        <f t="shared" si="388"/>
        <v>0</v>
      </c>
      <c r="J354" s="192">
        <f t="shared" si="388"/>
        <v>0</v>
      </c>
      <c r="K354" s="192">
        <f t="shared" si="388"/>
        <v>0</v>
      </c>
      <c r="L354" s="194">
        <f t="shared" si="376"/>
        <v>0</v>
      </c>
      <c r="M354" s="194">
        <f t="shared" si="377"/>
        <v>0</v>
      </c>
      <c r="N354" s="192">
        <f t="shared" ref="N354:S356" si="389">N369+N384+N399</f>
        <v>0</v>
      </c>
      <c r="O354" s="192">
        <f t="shared" si="389"/>
        <v>0</v>
      </c>
      <c r="P354" s="192">
        <f t="shared" si="389"/>
        <v>0</v>
      </c>
      <c r="Q354" s="192">
        <f t="shared" si="389"/>
        <v>0</v>
      </c>
      <c r="R354" s="192">
        <f t="shared" si="389"/>
        <v>0</v>
      </c>
      <c r="S354" s="192">
        <f t="shared" si="389"/>
        <v>0</v>
      </c>
      <c r="T354" s="194">
        <f t="shared" si="379"/>
        <v>0</v>
      </c>
      <c r="U354" s="194">
        <f t="shared" si="380"/>
        <v>0</v>
      </c>
      <c r="V354" s="192">
        <f t="shared" ref="V354:V355" si="390">V369+V384+V399</f>
        <v>0</v>
      </c>
      <c r="W354" s="192">
        <f>V354-U354</f>
        <v>0</v>
      </c>
    </row>
    <row r="355" spans="1:28" s="172" customFormat="1" ht="18" customHeight="1">
      <c r="A355" s="671"/>
      <c r="B355" s="665"/>
      <c r="C355" s="665"/>
      <c r="D355" s="174" t="str">
        <f>серпень!D278</f>
        <v>місцевий (план), тис.грн</v>
      </c>
      <c r="E355" s="192"/>
      <c r="F355" s="192">
        <f t="shared" si="388"/>
        <v>3.927</v>
      </c>
      <c r="G355" s="192">
        <f>G370+G385+G400</f>
        <v>5.9619999999999997</v>
      </c>
      <c r="H355" s="192">
        <f t="shared" si="388"/>
        <v>4.4480000000000004</v>
      </c>
      <c r="I355" s="192">
        <f t="shared" si="388"/>
        <v>5.7729999999999997</v>
      </c>
      <c r="J355" s="192">
        <f t="shared" si="388"/>
        <v>6.2460000000000004</v>
      </c>
      <c r="K355" s="192">
        <f t="shared" si="388"/>
        <v>3.7850000000000001</v>
      </c>
      <c r="L355" s="194">
        <f t="shared" si="376"/>
        <v>30.140999999999998</v>
      </c>
      <c r="M355" s="194">
        <f t="shared" si="377"/>
        <v>5.024</v>
      </c>
      <c r="N355" s="192">
        <f t="shared" si="389"/>
        <v>5.2519999999999998</v>
      </c>
      <c r="O355" s="192">
        <f t="shared" si="389"/>
        <v>5.1100000000000003</v>
      </c>
      <c r="P355" s="192">
        <f t="shared" si="389"/>
        <v>4.306</v>
      </c>
      <c r="Q355" s="192">
        <f t="shared" si="389"/>
        <v>2.6019999999999999</v>
      </c>
      <c r="R355" s="192">
        <f t="shared" si="389"/>
        <v>2.4340000000000002</v>
      </c>
      <c r="S355" s="192">
        <f t="shared" si="389"/>
        <v>1.9830000000000001</v>
      </c>
      <c r="T355" s="194">
        <f t="shared" si="379"/>
        <v>21.687000000000001</v>
      </c>
      <c r="U355" s="194">
        <f t="shared" si="380"/>
        <v>51.828000000000003</v>
      </c>
      <c r="V355" s="192">
        <f t="shared" si="390"/>
        <v>51.828000000000003</v>
      </c>
      <c r="W355" s="192">
        <f>V355-U355</f>
        <v>0</v>
      </c>
    </row>
    <row r="356" spans="1:28" s="186" customFormat="1" ht="18" customHeight="1">
      <c r="A356" s="595"/>
      <c r="B356" s="665"/>
      <c r="C356" s="665"/>
      <c r="D356" s="178" t="str">
        <f>серпень!D279</f>
        <v>касові нат.п-ки 2025</v>
      </c>
      <c r="E356" s="179">
        <f>E371</f>
        <v>0</v>
      </c>
      <c r="F356" s="179">
        <f t="shared" si="388"/>
        <v>112.7</v>
      </c>
      <c r="G356" s="179">
        <f t="shared" si="388"/>
        <v>207.7</v>
      </c>
      <c r="H356" s="179">
        <f t="shared" si="388"/>
        <v>170</v>
      </c>
      <c r="I356" s="179">
        <f t="shared" si="388"/>
        <v>220.7</v>
      </c>
      <c r="J356" s="179">
        <f t="shared" si="388"/>
        <v>238.8</v>
      </c>
      <c r="K356" s="179">
        <f t="shared" si="388"/>
        <v>144.69999999999999</v>
      </c>
      <c r="L356" s="215">
        <f t="shared" si="376"/>
        <v>1094.5999999999999</v>
      </c>
      <c r="M356" s="215">
        <f t="shared" si="377"/>
        <v>182.4</v>
      </c>
      <c r="N356" s="179">
        <f t="shared" si="389"/>
        <v>107.5</v>
      </c>
      <c r="O356" s="179">
        <f t="shared" si="389"/>
        <v>0</v>
      </c>
      <c r="P356" s="179">
        <f t="shared" si="389"/>
        <v>398</v>
      </c>
      <c r="Q356" s="179">
        <f t="shared" si="389"/>
        <v>110</v>
      </c>
      <c r="R356" s="179">
        <f t="shared" si="389"/>
        <v>102.9</v>
      </c>
      <c r="S356" s="179">
        <f t="shared" si="389"/>
        <v>83.8</v>
      </c>
      <c r="T356" s="215">
        <f t="shared" si="379"/>
        <v>802.2</v>
      </c>
      <c r="U356" s="215">
        <f t="shared" si="380"/>
        <v>1896.8</v>
      </c>
      <c r="V356" s="179">
        <f>V371+V401</f>
        <v>2190.6999999999998</v>
      </c>
      <c r="W356" s="184">
        <f>V356-U356</f>
        <v>293.89999999999998</v>
      </c>
      <c r="X356" s="185">
        <f>U349-U356</f>
        <v>0</v>
      </c>
    </row>
    <row r="357" spans="1:28" s="190" customFormat="1" ht="18" customHeight="1">
      <c r="A357" s="595"/>
      <c r="B357" s="665"/>
      <c r="C357" s="665"/>
      <c r="D357" s="187" t="str">
        <f>серпень!D280</f>
        <v>тариф, грн.</v>
      </c>
      <c r="E357" s="188" t="e">
        <f t="shared" ref="E357:S357" si="391">E358/E356*1000</f>
        <v>#DIV/0!</v>
      </c>
      <c r="F357" s="188">
        <f t="shared" si="391"/>
        <v>24.907</v>
      </c>
      <c r="G357" s="188">
        <f t="shared" si="391"/>
        <v>25.359000000000002</v>
      </c>
      <c r="H357" s="188">
        <f t="shared" si="391"/>
        <v>26.164999999999999</v>
      </c>
      <c r="I357" s="188">
        <f t="shared" si="391"/>
        <v>26.158000000000001</v>
      </c>
      <c r="J357" s="188">
        <f t="shared" si="391"/>
        <v>26.155999999999999</v>
      </c>
      <c r="K357" s="188">
        <f t="shared" si="391"/>
        <v>26.158000000000001</v>
      </c>
      <c r="L357" s="188">
        <f t="shared" si="391"/>
        <v>25.878</v>
      </c>
      <c r="M357" s="188">
        <f t="shared" si="391"/>
        <v>25.882999999999999</v>
      </c>
      <c r="N357" s="188">
        <f t="shared" si="391"/>
        <v>26.167000000000002</v>
      </c>
      <c r="O357" s="188" t="e">
        <f t="shared" si="391"/>
        <v>#DIV/0!</v>
      </c>
      <c r="P357" s="188">
        <f t="shared" si="391"/>
        <v>26.161000000000001</v>
      </c>
      <c r="Q357" s="188">
        <f t="shared" si="391"/>
        <v>26.164000000000001</v>
      </c>
      <c r="R357" s="188">
        <f t="shared" si="391"/>
        <v>26.161000000000001</v>
      </c>
      <c r="S357" s="188">
        <f t="shared" si="391"/>
        <v>26.158000000000001</v>
      </c>
      <c r="T357" s="188">
        <f>T358/T356*1000</f>
        <v>26.161999999999999</v>
      </c>
      <c r="U357" s="188">
        <f>U358/U356*1000</f>
        <v>25.998000000000001</v>
      </c>
      <c r="V357" s="188">
        <f>V358/V356*1000</f>
        <v>23.658000000000001</v>
      </c>
      <c r="W357" s="189">
        <f>W358/W356*1000</f>
        <v>8.5570000000000004</v>
      </c>
      <c r="X357" s="225"/>
    </row>
    <row r="358" spans="1:28" s="213" customFormat="1" ht="18" customHeight="1">
      <c r="A358" s="595"/>
      <c r="B358" s="665"/>
      <c r="C358" s="665"/>
      <c r="D358" s="198" t="str">
        <f>серпень!D281</f>
        <v>касові видатки, тис.грн.</v>
      </c>
      <c r="E358" s="220">
        <f>E373+E403</f>
        <v>0</v>
      </c>
      <c r="F358" s="199">
        <f t="shared" ref="F358:K360" si="392">F373+F388+F403</f>
        <v>2.8069999999999999</v>
      </c>
      <c r="G358" s="199">
        <f t="shared" si="392"/>
        <v>5.2670000000000003</v>
      </c>
      <c r="H358" s="199">
        <f t="shared" si="392"/>
        <v>4.4480000000000004</v>
      </c>
      <c r="I358" s="199">
        <f t="shared" si="392"/>
        <v>5.7729999999999997</v>
      </c>
      <c r="J358" s="199">
        <f t="shared" si="392"/>
        <v>6.2460000000000004</v>
      </c>
      <c r="K358" s="199">
        <f t="shared" si="392"/>
        <v>3.7850000000000001</v>
      </c>
      <c r="L358" s="199">
        <f>SUM(F358:K358)</f>
        <v>28.326000000000001</v>
      </c>
      <c r="M358" s="199">
        <f>L358/6</f>
        <v>4.7210000000000001</v>
      </c>
      <c r="N358" s="199">
        <f t="shared" ref="N358:S360" si="393">N373+N388+N403</f>
        <v>2.8130000000000002</v>
      </c>
      <c r="O358" s="199">
        <f t="shared" si="393"/>
        <v>0</v>
      </c>
      <c r="P358" s="199">
        <f t="shared" si="393"/>
        <v>10.412000000000001</v>
      </c>
      <c r="Q358" s="199">
        <f t="shared" si="393"/>
        <v>2.8780000000000001</v>
      </c>
      <c r="R358" s="199">
        <f t="shared" si="393"/>
        <v>2.6920000000000002</v>
      </c>
      <c r="S358" s="199">
        <f t="shared" si="393"/>
        <v>2.1920000000000002</v>
      </c>
      <c r="T358" s="199">
        <f>SUM(N358:S358)</f>
        <v>20.986999999999998</v>
      </c>
      <c r="U358" s="199">
        <f>T358+L358</f>
        <v>49.313000000000002</v>
      </c>
      <c r="V358" s="199">
        <f>V373+V403</f>
        <v>51.828000000000003</v>
      </c>
      <c r="W358" s="221">
        <f>V358-U358</f>
        <v>2.5150000000000001</v>
      </c>
      <c r="X358" s="176">
        <f>U351-U358</f>
        <v>0</v>
      </c>
    </row>
    <row r="359" spans="1:28" s="213" customFormat="1" ht="18" customHeight="1">
      <c r="A359" s="595"/>
      <c r="B359" s="665"/>
      <c r="C359" s="665"/>
      <c r="D359" s="201" t="str">
        <f>серпень!D282</f>
        <v>дотація</v>
      </c>
      <c r="E359" s="220"/>
      <c r="F359" s="199">
        <f t="shared" si="392"/>
        <v>0</v>
      </c>
      <c r="G359" s="199">
        <f t="shared" si="392"/>
        <v>0</v>
      </c>
      <c r="H359" s="199">
        <f t="shared" si="392"/>
        <v>0</v>
      </c>
      <c r="I359" s="199">
        <f t="shared" si="392"/>
        <v>0</v>
      </c>
      <c r="J359" s="199">
        <f t="shared" si="392"/>
        <v>0</v>
      </c>
      <c r="K359" s="199">
        <f t="shared" si="392"/>
        <v>0</v>
      </c>
      <c r="L359" s="199">
        <f>SUM(F359:K359)</f>
        <v>0</v>
      </c>
      <c r="M359" s="199">
        <f>L359/6</f>
        <v>0</v>
      </c>
      <c r="N359" s="199">
        <f t="shared" si="393"/>
        <v>0</v>
      </c>
      <c r="O359" s="199">
        <f t="shared" si="393"/>
        <v>0</v>
      </c>
      <c r="P359" s="199">
        <f t="shared" si="393"/>
        <v>0</v>
      </c>
      <c r="Q359" s="199">
        <f t="shared" si="393"/>
        <v>0</v>
      </c>
      <c r="R359" s="199">
        <f t="shared" si="393"/>
        <v>0</v>
      </c>
      <c r="S359" s="199">
        <f t="shared" si="393"/>
        <v>0</v>
      </c>
      <c r="T359" s="199">
        <f>SUM(N359:S359)</f>
        <v>0</v>
      </c>
      <c r="U359" s="199">
        <f>T359+L359</f>
        <v>0</v>
      </c>
      <c r="V359" s="199">
        <f>V374+V404</f>
        <v>0</v>
      </c>
      <c r="W359" s="221">
        <f>V359-U359</f>
        <v>0</v>
      </c>
      <c r="X359" s="176">
        <f>U354-U359</f>
        <v>0</v>
      </c>
    </row>
    <row r="360" spans="1:28" s="213" customFormat="1" ht="18" customHeight="1">
      <c r="A360" s="595"/>
      <c r="B360" s="665"/>
      <c r="C360" s="665"/>
      <c r="D360" s="201" t="str">
        <f>серпень!D283</f>
        <v xml:space="preserve">місцевий </v>
      </c>
      <c r="E360" s="220"/>
      <c r="F360" s="199">
        <f t="shared" si="392"/>
        <v>2.8069999999999999</v>
      </c>
      <c r="G360" s="199">
        <f t="shared" si="392"/>
        <v>5.2670000000000003</v>
      </c>
      <c r="H360" s="199">
        <f t="shared" si="392"/>
        <v>4.4480000000000004</v>
      </c>
      <c r="I360" s="199">
        <f t="shared" si="392"/>
        <v>5.7729999999999997</v>
      </c>
      <c r="J360" s="199">
        <f t="shared" si="392"/>
        <v>6.2460000000000004</v>
      </c>
      <c r="K360" s="199">
        <f t="shared" si="392"/>
        <v>3.7850000000000001</v>
      </c>
      <c r="L360" s="199">
        <f>SUM(F360:K360)</f>
        <v>28.326000000000001</v>
      </c>
      <c r="M360" s="199">
        <f>L360/6</f>
        <v>4.7210000000000001</v>
      </c>
      <c r="N360" s="199">
        <f t="shared" si="393"/>
        <v>2.8130000000000002</v>
      </c>
      <c r="O360" s="199">
        <f t="shared" si="393"/>
        <v>0</v>
      </c>
      <c r="P360" s="199">
        <f t="shared" si="393"/>
        <v>10.412000000000001</v>
      </c>
      <c r="Q360" s="199">
        <f t="shared" si="393"/>
        <v>2.8780000000000001</v>
      </c>
      <c r="R360" s="199">
        <f t="shared" si="393"/>
        <v>2.6920000000000002</v>
      </c>
      <c r="S360" s="199">
        <f t="shared" si="393"/>
        <v>2.1920000000000002</v>
      </c>
      <c r="T360" s="199">
        <f>SUM(N360:S360)</f>
        <v>20.986999999999998</v>
      </c>
      <c r="U360" s="199">
        <f>T360+L360</f>
        <v>49.313000000000002</v>
      </c>
      <c r="V360" s="199">
        <f>V375+V405</f>
        <v>51.828000000000003</v>
      </c>
      <c r="W360" s="221">
        <f>V360-U360</f>
        <v>2.5150000000000001</v>
      </c>
      <c r="X360" s="176">
        <f>U355-U360</f>
        <v>2.5150000000000001</v>
      </c>
    </row>
    <row r="361" spans="1:28" s="205" customFormat="1" ht="18" customHeight="1">
      <c r="A361" s="595"/>
      <c r="B361" s="665"/>
      <c r="C361" s="665"/>
      <c r="D361" s="202" t="str">
        <f>серпень!D284</f>
        <v>план</v>
      </c>
      <c r="E361" s="203"/>
      <c r="F361" s="203">
        <f>F355+F354</f>
        <v>3.927</v>
      </c>
      <c r="G361" s="203">
        <f t="shared" ref="G361:K361" si="394">G355+G354</f>
        <v>5.9619999999999997</v>
      </c>
      <c r="H361" s="203">
        <f t="shared" si="394"/>
        <v>4.4480000000000004</v>
      </c>
      <c r="I361" s="203">
        <f t="shared" si="394"/>
        <v>5.7729999999999997</v>
      </c>
      <c r="J361" s="203">
        <f t="shared" si="394"/>
        <v>6.2460000000000004</v>
      </c>
      <c r="K361" s="203">
        <f t="shared" si="394"/>
        <v>3.7850000000000001</v>
      </c>
      <c r="L361" s="203">
        <f>SUM(F361:K361)</f>
        <v>30.140999999999998</v>
      </c>
      <c r="M361" s="203">
        <f>L361/6</f>
        <v>5.024</v>
      </c>
      <c r="N361" s="203">
        <f>N355+N354</f>
        <v>5.2519999999999998</v>
      </c>
      <c r="O361" s="203">
        <f t="shared" ref="O361:S361" si="395">O355+O354</f>
        <v>5.1100000000000003</v>
      </c>
      <c r="P361" s="203">
        <f t="shared" si="395"/>
        <v>4.306</v>
      </c>
      <c r="Q361" s="203">
        <f t="shared" si="395"/>
        <v>2.6019999999999999</v>
      </c>
      <c r="R361" s="203">
        <f t="shared" si="395"/>
        <v>2.4340000000000002</v>
      </c>
      <c r="S361" s="203">
        <f t="shared" si="395"/>
        <v>1.9830000000000001</v>
      </c>
      <c r="T361" s="203">
        <f>SUM(N361:S361)</f>
        <v>21.687000000000001</v>
      </c>
      <c r="U361" s="203">
        <f>T361+L361</f>
        <v>51.828000000000003</v>
      </c>
      <c r="V361" s="203">
        <f>V355+V354</f>
        <v>51.828000000000003</v>
      </c>
      <c r="W361" s="203">
        <f>V361-U361</f>
        <v>0</v>
      </c>
    </row>
    <row r="362" spans="1:28" s="205" customFormat="1" ht="18" customHeight="1">
      <c r="A362" s="595"/>
      <c r="B362" s="665"/>
      <c r="C362" s="665"/>
      <c r="D362" s="202" t="str">
        <f>серпень!D285</f>
        <v xml:space="preserve">відхилення </v>
      </c>
      <c r="E362" s="203"/>
      <c r="F362" s="203">
        <f t="shared" ref="F362:K362" si="396">F358-F361</f>
        <v>-1.1200000000000001</v>
      </c>
      <c r="G362" s="203">
        <f t="shared" si="396"/>
        <v>-0.69499999999999995</v>
      </c>
      <c r="H362" s="203">
        <f t="shared" si="396"/>
        <v>0</v>
      </c>
      <c r="I362" s="203">
        <f t="shared" si="396"/>
        <v>0</v>
      </c>
      <c r="J362" s="203">
        <f t="shared" si="396"/>
        <v>0</v>
      </c>
      <c r="K362" s="203">
        <f t="shared" si="396"/>
        <v>0</v>
      </c>
      <c r="L362" s="203"/>
      <c r="M362" s="203"/>
      <c r="N362" s="203">
        <f t="shared" ref="N362:S362" si="397">N358-N361</f>
        <v>-2.4390000000000001</v>
      </c>
      <c r="O362" s="203">
        <f t="shared" si="397"/>
        <v>-5.1100000000000003</v>
      </c>
      <c r="P362" s="203">
        <f t="shared" si="397"/>
        <v>6.1059999999999999</v>
      </c>
      <c r="Q362" s="203">
        <f t="shared" si="397"/>
        <v>0.27600000000000002</v>
      </c>
      <c r="R362" s="203">
        <f t="shared" si="397"/>
        <v>0.25800000000000001</v>
      </c>
      <c r="S362" s="203">
        <f t="shared" si="397"/>
        <v>0.20899999999999999</v>
      </c>
      <c r="T362" s="203"/>
      <c r="U362" s="203"/>
      <c r="V362" s="203"/>
      <c r="W362" s="203"/>
    </row>
    <row r="363" spans="1:28" s="205" customFormat="1" ht="23.5" customHeight="1">
      <c r="A363" s="595"/>
      <c r="B363" s="665"/>
      <c r="C363" s="665"/>
      <c r="D363" s="202" t="str">
        <f>серпень!D286</f>
        <v>відхилення з наростаючим</v>
      </c>
      <c r="E363" s="203"/>
      <c r="F363" s="203">
        <f>F362</f>
        <v>-1.1200000000000001</v>
      </c>
      <c r="G363" s="203">
        <f>G362+F363</f>
        <v>-1.8149999999999999</v>
      </c>
      <c r="H363" s="203">
        <f>H362+G363</f>
        <v>-1.8149999999999999</v>
      </c>
      <c r="I363" s="203">
        <f>I362+H363</f>
        <v>-1.8149999999999999</v>
      </c>
      <c r="J363" s="203">
        <f>J362+I363</f>
        <v>-1.8149999999999999</v>
      </c>
      <c r="K363" s="203">
        <f>K362+J363</f>
        <v>-1.8149999999999999</v>
      </c>
      <c r="L363" s="203"/>
      <c r="M363" s="203"/>
      <c r="N363" s="203">
        <f>N362+K363</f>
        <v>-4.2539999999999996</v>
      </c>
      <c r="O363" s="203">
        <f>O362+N363</f>
        <v>-9.3640000000000008</v>
      </c>
      <c r="P363" s="203">
        <f>P362+O363</f>
        <v>-3.258</v>
      </c>
      <c r="Q363" s="203">
        <f>Q362+P363</f>
        <v>-2.9820000000000002</v>
      </c>
      <c r="R363" s="203">
        <f>R362+Q363</f>
        <v>-2.7240000000000002</v>
      </c>
      <c r="S363" s="203">
        <f>S362+R363</f>
        <v>-2.5150000000000001</v>
      </c>
      <c r="T363" s="203"/>
      <c r="U363" s="203"/>
      <c r="V363" s="203"/>
      <c r="W363" s="203"/>
    </row>
    <row r="364" spans="1:28" s="10" customFormat="1" ht="18" customHeight="1">
      <c r="A364" s="595"/>
      <c r="B364" s="580" t="s">
        <v>37</v>
      </c>
      <c r="C364" s="575"/>
      <c r="D364" s="178" t="str">
        <f>серпень!D287</f>
        <v>факт. нат.п-ки 2023</v>
      </c>
      <c r="E364" s="11"/>
      <c r="F364" s="12">
        <v>42</v>
      </c>
      <c r="G364" s="12">
        <v>92</v>
      </c>
      <c r="H364" s="12">
        <v>154</v>
      </c>
      <c r="I364" s="12">
        <v>128</v>
      </c>
      <c r="J364" s="12">
        <v>118</v>
      </c>
      <c r="K364" s="12">
        <v>160</v>
      </c>
      <c r="L364" s="65">
        <f>SUM(F364:K364)</f>
        <v>694</v>
      </c>
      <c r="M364" s="65">
        <f>L364/6</f>
        <v>115.7</v>
      </c>
      <c r="N364" s="11">
        <v>164</v>
      </c>
      <c r="O364" s="11">
        <v>120</v>
      </c>
      <c r="P364" s="11">
        <v>182</v>
      </c>
      <c r="Q364" s="11">
        <v>166</v>
      </c>
      <c r="R364" s="11">
        <v>182.9</v>
      </c>
      <c r="S364" s="11">
        <v>180</v>
      </c>
      <c r="T364" s="65">
        <f>SUM(N364:S364)</f>
        <v>994.9</v>
      </c>
      <c r="U364" s="65">
        <f>T364+L364</f>
        <v>1688.9</v>
      </c>
      <c r="V364" s="67"/>
      <c r="W364" s="38"/>
      <c r="X364" s="36"/>
    </row>
    <row r="365" spans="1:28" s="48" customFormat="1" ht="18" customHeight="1">
      <c r="A365" s="595"/>
      <c r="B365" s="576"/>
      <c r="C365" s="577"/>
      <c r="D365" s="178" t="str">
        <f>серпень!D288</f>
        <v>факт. нат.п-ки 2024</v>
      </c>
      <c r="E365" s="11"/>
      <c r="F365" s="12">
        <v>166</v>
      </c>
      <c r="G365" s="12">
        <v>252</v>
      </c>
      <c r="H365" s="12">
        <v>188</v>
      </c>
      <c r="I365" s="12">
        <v>244</v>
      </c>
      <c r="J365" s="12">
        <v>264</v>
      </c>
      <c r="K365" s="12">
        <v>370.8</v>
      </c>
      <c r="L365" s="65">
        <f>SUM(F365:K365)</f>
        <v>1484.8</v>
      </c>
      <c r="M365" s="65">
        <f>L365/6</f>
        <v>247.5</v>
      </c>
      <c r="N365" s="11">
        <v>222</v>
      </c>
      <c r="O365" s="11">
        <v>216</v>
      </c>
      <c r="P365" s="11">
        <v>227</v>
      </c>
      <c r="Q365" s="11">
        <v>110</v>
      </c>
      <c r="R365" s="11">
        <v>102.9</v>
      </c>
      <c r="S365" s="11">
        <v>140</v>
      </c>
      <c r="T365" s="65">
        <f>SUM(N365:S365)</f>
        <v>1017.9</v>
      </c>
      <c r="U365" s="65">
        <f>T365+L365</f>
        <v>2502.6999999999998</v>
      </c>
      <c r="V365" s="11">
        <v>1481.2</v>
      </c>
      <c r="W365" s="38"/>
      <c r="X365" s="47"/>
    </row>
    <row r="366" spans="1:28" s="10" customFormat="1" ht="18" customHeight="1">
      <c r="A366" s="595"/>
      <c r="B366" s="576"/>
      <c r="C366" s="577"/>
      <c r="D366" s="178" t="str">
        <f>серпень!D289</f>
        <v>факт. нат.п-ки 2025</v>
      </c>
      <c r="E366" s="11"/>
      <c r="F366" s="12">
        <v>112.7</v>
      </c>
      <c r="G366" s="12">
        <v>207.7</v>
      </c>
      <c r="H366" s="12">
        <v>170</v>
      </c>
      <c r="I366" s="12">
        <v>220.7</v>
      </c>
      <c r="J366" s="12">
        <v>238.8</v>
      </c>
      <c r="K366" s="12">
        <v>144.69999999999999</v>
      </c>
      <c r="L366" s="65">
        <f>SUM(F366:K366)</f>
        <v>1094.5999999999999</v>
      </c>
      <c r="M366" s="65">
        <f>L366/6</f>
        <v>182.4</v>
      </c>
      <c r="N366" s="11">
        <v>107.5</v>
      </c>
      <c r="O366" s="11">
        <v>216</v>
      </c>
      <c r="P366" s="11">
        <v>182</v>
      </c>
      <c r="Q366" s="11">
        <f>110</f>
        <v>110</v>
      </c>
      <c r="R366" s="11">
        <f>182.9-80</f>
        <v>102.9</v>
      </c>
      <c r="S366" s="11">
        <v>83.8</v>
      </c>
      <c r="T366" s="65">
        <f>SUM(N366:S366)</f>
        <v>802.2</v>
      </c>
      <c r="U366" s="65">
        <f>T366+L366</f>
        <v>1896.8</v>
      </c>
      <c r="V366" s="11">
        <v>2190.6999999999998</v>
      </c>
      <c r="W366" s="38">
        <f>V366-U366</f>
        <v>293.89999999999998</v>
      </c>
      <c r="X366" s="36"/>
      <c r="Y366" s="3"/>
      <c r="Z366" s="3"/>
      <c r="AA366" s="3"/>
      <c r="AB366" s="3"/>
    </row>
    <row r="367" spans="1:28" s="114" customFormat="1" ht="18" customHeight="1">
      <c r="A367" s="595"/>
      <c r="B367" s="576"/>
      <c r="C367" s="577"/>
      <c r="D367" s="187" t="str">
        <f>серпень!D290</f>
        <v>тариф, грн.</v>
      </c>
      <c r="E367" s="49" t="e">
        <f t="shared" ref="E367:K367" si="398">E368/E366*1000</f>
        <v>#DIV/0!</v>
      </c>
      <c r="F367" s="49">
        <f t="shared" si="398"/>
        <v>24.907</v>
      </c>
      <c r="G367" s="49">
        <f t="shared" si="398"/>
        <v>25.359000000000002</v>
      </c>
      <c r="H367" s="49">
        <f t="shared" si="398"/>
        <v>26.164999999999999</v>
      </c>
      <c r="I367" s="49">
        <f t="shared" si="398"/>
        <v>26.158000000000001</v>
      </c>
      <c r="J367" s="49">
        <f t="shared" si="398"/>
        <v>26.155999999999999</v>
      </c>
      <c r="K367" s="49">
        <f t="shared" si="398"/>
        <v>26.158000000000001</v>
      </c>
      <c r="L367" s="68">
        <f>L368/L366*1000</f>
        <v>25.878</v>
      </c>
      <c r="M367" s="68">
        <f>M368/M366*1000</f>
        <v>25.882999999999999</v>
      </c>
      <c r="N367" s="68">
        <f t="shared" ref="N367:O367" si="399">N368/N366*1000</f>
        <v>26.167000000000002</v>
      </c>
      <c r="O367" s="68">
        <f t="shared" si="399"/>
        <v>26.161999999999999</v>
      </c>
      <c r="P367" s="68">
        <v>26.16</v>
      </c>
      <c r="Q367" s="68">
        <v>26.16</v>
      </c>
      <c r="R367" s="68">
        <v>26.16</v>
      </c>
      <c r="S367" s="68">
        <v>26.16</v>
      </c>
      <c r="T367" s="68">
        <f>T368/T366*1000</f>
        <v>26.161999999999999</v>
      </c>
      <c r="U367" s="68">
        <f>U368/U366*1000</f>
        <v>25.998000000000001</v>
      </c>
      <c r="V367" s="68">
        <f>V368/V366*1000</f>
        <v>23.658000000000001</v>
      </c>
      <c r="W367" s="14">
        <f>W368/W366*1000</f>
        <v>8.5570000000000004</v>
      </c>
      <c r="X367" s="36"/>
      <c r="Y367" s="3"/>
      <c r="Z367" s="3"/>
      <c r="AA367" s="3"/>
      <c r="AB367" s="3"/>
    </row>
    <row r="368" spans="1:28" s="114" customFormat="1" ht="18" customHeight="1">
      <c r="A368" s="595"/>
      <c r="B368" s="576"/>
      <c r="C368" s="577"/>
      <c r="D368" s="191" t="str">
        <f>серпень!D291</f>
        <v>сума, тис.грн.</v>
      </c>
      <c r="E368" s="52"/>
      <c r="F368" s="52">
        <v>2.8069999999999999</v>
      </c>
      <c r="G368" s="52">
        <v>5.2670000000000003</v>
      </c>
      <c r="H368" s="52">
        <v>4.4480000000000004</v>
      </c>
      <c r="I368" s="52">
        <v>5.7729999999999997</v>
      </c>
      <c r="J368" s="52">
        <v>6.2460000000000004</v>
      </c>
      <c r="K368" s="52">
        <v>3.7850000000000001</v>
      </c>
      <c r="L368" s="69">
        <f>SUM(F368:K368)</f>
        <v>28.326000000000001</v>
      </c>
      <c r="M368" s="69">
        <f>L368/6</f>
        <v>4.7210000000000001</v>
      </c>
      <c r="N368" s="52">
        <v>2.8130000000000002</v>
      </c>
      <c r="O368" s="52">
        <v>5.6509999999999998</v>
      </c>
      <c r="P368" s="52">
        <f t="shared" ref="P368" si="400">P366*P367/1000</f>
        <v>4.7610000000000001</v>
      </c>
      <c r="Q368" s="52">
        <f t="shared" ref="Q368" si="401">Q366*Q367/1000</f>
        <v>2.8780000000000001</v>
      </c>
      <c r="R368" s="52">
        <f t="shared" ref="R368" si="402">R366*R367/1000</f>
        <v>2.6920000000000002</v>
      </c>
      <c r="S368" s="52">
        <f t="shared" ref="S368" si="403">S366*S367/1000</f>
        <v>2.1920000000000002</v>
      </c>
      <c r="T368" s="69">
        <f>SUM(N368:S368)</f>
        <v>20.986999999999998</v>
      </c>
      <c r="U368" s="69">
        <f>T368+L368</f>
        <v>49.313000000000002</v>
      </c>
      <c r="V368" s="70">
        <f>V370+V369</f>
        <v>51.828000000000003</v>
      </c>
      <c r="W368" s="53">
        <f>V368-U368</f>
        <v>2.5150000000000001</v>
      </c>
      <c r="X368" s="113"/>
    </row>
    <row r="369" spans="1:28" s="114" customFormat="1" ht="18" customHeight="1">
      <c r="A369" s="595"/>
      <c r="B369" s="576"/>
      <c r="C369" s="577"/>
      <c r="D369" s="174" t="str">
        <f>серпень!D292</f>
        <v>дотація</v>
      </c>
      <c r="E369" s="56"/>
      <c r="F369" s="52"/>
      <c r="G369" s="52"/>
      <c r="H369" s="52"/>
      <c r="I369" s="52"/>
      <c r="J369" s="52"/>
      <c r="K369" s="52"/>
      <c r="L369" s="69">
        <f>SUM(F369:K369)</f>
        <v>0</v>
      </c>
      <c r="M369" s="69">
        <f>L369/6</f>
        <v>0</v>
      </c>
      <c r="N369" s="52"/>
      <c r="O369" s="52"/>
      <c r="P369" s="52"/>
      <c r="Q369" s="52"/>
      <c r="R369" s="52"/>
      <c r="S369" s="52"/>
      <c r="T369" s="69">
        <f>SUM(N369:S369)</f>
        <v>0</v>
      </c>
      <c r="U369" s="69">
        <f>T369+L369</f>
        <v>0</v>
      </c>
      <c r="V369" s="70"/>
      <c r="W369" s="53">
        <f>V369-U369</f>
        <v>0</v>
      </c>
      <c r="X369" s="113"/>
    </row>
    <row r="370" spans="1:28" s="114" customFormat="1" ht="18" customHeight="1">
      <c r="A370" s="595"/>
      <c r="B370" s="576"/>
      <c r="C370" s="577"/>
      <c r="D370" s="174" t="str">
        <f>серпень!D293</f>
        <v>місцевий (план), тис.грн</v>
      </c>
      <c r="E370" s="56"/>
      <c r="F370" s="52">
        <v>3.927</v>
      </c>
      <c r="G370" s="52">
        <v>5.9619999999999997</v>
      </c>
      <c r="H370" s="52">
        <v>4.4480000000000004</v>
      </c>
      <c r="I370" s="52">
        <v>5.7729999999999997</v>
      </c>
      <c r="J370" s="52">
        <v>6.2460000000000004</v>
      </c>
      <c r="K370" s="52">
        <v>3.7850000000000001</v>
      </c>
      <c r="L370" s="69">
        <f>SUM(F370:K370)</f>
        <v>30.140999999999998</v>
      </c>
      <c r="M370" s="69">
        <f>L370/6</f>
        <v>5.024</v>
      </c>
      <c r="N370" s="52">
        <v>5.2519999999999998</v>
      </c>
      <c r="O370" s="52">
        <v>5.1100000000000003</v>
      </c>
      <c r="P370" s="52">
        <v>4.306</v>
      </c>
      <c r="Q370" s="52">
        <v>2.6019999999999999</v>
      </c>
      <c r="R370" s="52">
        <v>2.4340000000000002</v>
      </c>
      <c r="S370" s="52">
        <v>1.9830000000000001</v>
      </c>
      <c r="T370" s="69">
        <f>SUM(N370:S370)</f>
        <v>21.687000000000001</v>
      </c>
      <c r="U370" s="69">
        <f>T370+L370</f>
        <v>51.828000000000003</v>
      </c>
      <c r="V370" s="70">
        <v>51.828000000000003</v>
      </c>
      <c r="W370" s="53">
        <f>V370-U370</f>
        <v>0</v>
      </c>
      <c r="X370" s="113"/>
    </row>
    <row r="371" spans="1:28" s="3" customFormat="1" ht="18" customHeight="1">
      <c r="A371" s="595"/>
      <c r="B371" s="576"/>
      <c r="C371" s="577"/>
      <c r="D371" s="178" t="str">
        <f>серпень!D294</f>
        <v>касові нат.п-ки 2025</v>
      </c>
      <c r="E371" s="11"/>
      <c r="F371" s="12">
        <v>112.7</v>
      </c>
      <c r="G371" s="12">
        <v>207.7</v>
      </c>
      <c r="H371" s="12">
        <v>170</v>
      </c>
      <c r="I371" s="12">
        <f>5773/26.16</f>
        <v>220.7</v>
      </c>
      <c r="J371" s="12">
        <v>238.8</v>
      </c>
      <c r="K371" s="12">
        <v>144.69999999999999</v>
      </c>
      <c r="L371" s="65">
        <f>SUM(F371:K371)</f>
        <v>1094.5999999999999</v>
      </c>
      <c r="M371" s="65">
        <f>L371/6</f>
        <v>182.4</v>
      </c>
      <c r="N371" s="11">
        <v>107.5</v>
      </c>
      <c r="O371" s="11"/>
      <c r="P371" s="11">
        <f>182+216</f>
        <v>398</v>
      </c>
      <c r="Q371" s="11">
        <v>110</v>
      </c>
      <c r="R371" s="11">
        <v>102.9</v>
      </c>
      <c r="S371" s="11">
        <v>83.8</v>
      </c>
      <c r="T371" s="65">
        <f>SUM(N371:S371)</f>
        <v>802.2</v>
      </c>
      <c r="U371" s="65">
        <f>T371+L371</f>
        <v>1896.8</v>
      </c>
      <c r="V371" s="11">
        <f>V366</f>
        <v>2190.6999999999998</v>
      </c>
      <c r="W371" s="38">
        <f>V371-U371</f>
        <v>293.89999999999998</v>
      </c>
      <c r="X371" s="47">
        <f>U366-U371</f>
        <v>0</v>
      </c>
    </row>
    <row r="372" spans="1:28" s="73" customFormat="1" ht="18" customHeight="1">
      <c r="A372" s="595"/>
      <c r="B372" s="576"/>
      <c r="C372" s="577"/>
      <c r="D372" s="187" t="str">
        <f>серпень!D295</f>
        <v>тариф, грн.</v>
      </c>
      <c r="E372" s="49" t="e">
        <f t="shared" ref="E372:K372" si="404">E373/E371*1000</f>
        <v>#DIV/0!</v>
      </c>
      <c r="F372" s="49">
        <f t="shared" si="404"/>
        <v>24.907</v>
      </c>
      <c r="G372" s="49">
        <f t="shared" si="404"/>
        <v>25.359000000000002</v>
      </c>
      <c r="H372" s="49">
        <f t="shared" si="404"/>
        <v>26.164999999999999</v>
      </c>
      <c r="I372" s="49">
        <f t="shared" si="404"/>
        <v>26.158000000000001</v>
      </c>
      <c r="J372" s="49">
        <f t="shared" si="404"/>
        <v>26.155999999999999</v>
      </c>
      <c r="K372" s="49">
        <f t="shared" si="404"/>
        <v>26.158000000000001</v>
      </c>
      <c r="L372" s="68">
        <f>L373/L371*1000</f>
        <v>25.878</v>
      </c>
      <c r="M372" s="68">
        <f>M373/M371*1000</f>
        <v>25.882999999999999</v>
      </c>
      <c r="N372" s="68">
        <f t="shared" ref="N372:P372" si="405">N373/N371*1000</f>
        <v>26.167000000000002</v>
      </c>
      <c r="O372" s="68" t="e">
        <f t="shared" si="405"/>
        <v>#DIV/0!</v>
      </c>
      <c r="P372" s="68">
        <f t="shared" si="405"/>
        <v>26.161000000000001</v>
      </c>
      <c r="Q372" s="68">
        <v>26.16</v>
      </c>
      <c r="R372" s="68">
        <v>26.16</v>
      </c>
      <c r="S372" s="68">
        <v>26.16</v>
      </c>
      <c r="T372" s="68">
        <f>T373/T371*1000</f>
        <v>26.161999999999999</v>
      </c>
      <c r="U372" s="68">
        <f>U373/U371*1000</f>
        <v>25.998000000000001</v>
      </c>
      <c r="V372" s="68">
        <f>V373/V371*1000</f>
        <v>23.658000000000001</v>
      </c>
      <c r="W372" s="14">
        <f>W373/W371*1000</f>
        <v>8.5570000000000004</v>
      </c>
      <c r="X372" s="59"/>
      <c r="Y372" s="36"/>
      <c r="Z372" s="36"/>
      <c r="AA372" s="36"/>
      <c r="AB372" s="36"/>
    </row>
    <row r="373" spans="1:28" s="126" customFormat="1" ht="24.45" customHeight="1">
      <c r="A373" s="595"/>
      <c r="B373" s="576"/>
      <c r="C373" s="577"/>
      <c r="D373" s="198" t="str">
        <f>серпень!D296</f>
        <v>касові видатки, тис.грн.</v>
      </c>
      <c r="E373" s="71"/>
      <c r="F373" s="61">
        <v>2.8069999999999999</v>
      </c>
      <c r="G373" s="61">
        <v>5.2670000000000003</v>
      </c>
      <c r="H373" s="61">
        <v>4.4480000000000004</v>
      </c>
      <c r="I373" s="61">
        <v>5.7729999999999997</v>
      </c>
      <c r="J373" s="61">
        <v>6.2460000000000004</v>
      </c>
      <c r="K373" s="61">
        <v>3.7850000000000001</v>
      </c>
      <c r="L373" s="61">
        <f>SUM(F373:K373)</f>
        <v>28.326000000000001</v>
      </c>
      <c r="M373" s="61">
        <f>L373/6</f>
        <v>4.7210000000000001</v>
      </c>
      <c r="N373" s="61">
        <v>2.8130000000000002</v>
      </c>
      <c r="O373" s="61">
        <v>0</v>
      </c>
      <c r="P373" s="61">
        <f>5.651+4.761</f>
        <v>10.412000000000001</v>
      </c>
      <c r="Q373" s="61">
        <f t="shared" ref="Q373" si="406">Q371*Q372/1000</f>
        <v>2.8780000000000001</v>
      </c>
      <c r="R373" s="61">
        <f t="shared" ref="R373" si="407">R371*R372/1000</f>
        <v>2.6920000000000002</v>
      </c>
      <c r="S373" s="61">
        <f t="shared" ref="S373" si="408">S371*S372/1000</f>
        <v>2.1920000000000002</v>
      </c>
      <c r="T373" s="61">
        <f>SUM(N373:S373)</f>
        <v>20.986999999999998</v>
      </c>
      <c r="U373" s="61">
        <f>T373+L373</f>
        <v>49.313000000000002</v>
      </c>
      <c r="V373" s="61">
        <f>V368</f>
        <v>51.828000000000003</v>
      </c>
      <c r="W373" s="72">
        <f>V373-U373</f>
        <v>2.5150000000000001</v>
      </c>
      <c r="X373" s="63">
        <f>U368-U373</f>
        <v>0</v>
      </c>
    </row>
    <row r="374" spans="1:28" s="126" customFormat="1" ht="18" customHeight="1">
      <c r="A374" s="595"/>
      <c r="B374" s="576"/>
      <c r="C374" s="577"/>
      <c r="D374" s="201" t="str">
        <f>серпень!D297</f>
        <v>дотація</v>
      </c>
      <c r="E374" s="71"/>
      <c r="F374" s="61"/>
      <c r="G374" s="61"/>
      <c r="H374" s="61"/>
      <c r="I374" s="61"/>
      <c r="J374" s="61"/>
      <c r="K374" s="61"/>
      <c r="L374" s="61">
        <f>SUM(F374:K374)</f>
        <v>0</v>
      </c>
      <c r="M374" s="61">
        <f>L374/6</f>
        <v>0</v>
      </c>
      <c r="N374" s="61"/>
      <c r="O374" s="61"/>
      <c r="P374" s="61"/>
      <c r="Q374" s="61"/>
      <c r="R374" s="61"/>
      <c r="S374" s="61"/>
      <c r="T374" s="61">
        <f>SUM(N374:S374)</f>
        <v>0</v>
      </c>
      <c r="U374" s="61">
        <f>T374+L374</f>
        <v>0</v>
      </c>
      <c r="V374" s="61">
        <f>V369</f>
        <v>0</v>
      </c>
      <c r="W374" s="72">
        <f>V374-U374</f>
        <v>0</v>
      </c>
      <c r="X374" s="63">
        <f>U369-U374</f>
        <v>0</v>
      </c>
    </row>
    <row r="375" spans="1:28" s="126" customFormat="1" ht="18" customHeight="1">
      <c r="A375" s="595"/>
      <c r="B375" s="576"/>
      <c r="C375" s="577"/>
      <c r="D375" s="201" t="str">
        <f>серпень!D298</f>
        <v xml:space="preserve">місцевий </v>
      </c>
      <c r="E375" s="71"/>
      <c r="F375" s="61">
        <f t="shared" ref="F375:K375" si="409">F373-F374</f>
        <v>2.8069999999999999</v>
      </c>
      <c r="G375" s="61">
        <f t="shared" si="409"/>
        <v>5.2670000000000003</v>
      </c>
      <c r="H375" s="61">
        <f t="shared" si="409"/>
        <v>4.4480000000000004</v>
      </c>
      <c r="I375" s="61">
        <f t="shared" si="409"/>
        <v>5.7729999999999997</v>
      </c>
      <c r="J375" s="61">
        <f t="shared" si="409"/>
        <v>6.2460000000000004</v>
      </c>
      <c r="K375" s="61">
        <f t="shared" si="409"/>
        <v>3.7850000000000001</v>
      </c>
      <c r="L375" s="61">
        <f>SUM(F375:K375)</f>
        <v>28.326000000000001</v>
      </c>
      <c r="M375" s="61">
        <f>L375/6</f>
        <v>4.7210000000000001</v>
      </c>
      <c r="N375" s="61">
        <f t="shared" ref="N375:S375" si="410">N373-N374</f>
        <v>2.8130000000000002</v>
      </c>
      <c r="O375" s="61">
        <f t="shared" si="410"/>
        <v>0</v>
      </c>
      <c r="P375" s="61">
        <f t="shared" si="410"/>
        <v>10.412000000000001</v>
      </c>
      <c r="Q375" s="61">
        <f t="shared" si="410"/>
        <v>2.8780000000000001</v>
      </c>
      <c r="R375" s="61">
        <f t="shared" si="410"/>
        <v>2.6920000000000002</v>
      </c>
      <c r="S375" s="61">
        <f t="shared" si="410"/>
        <v>2.1920000000000002</v>
      </c>
      <c r="T375" s="61">
        <f>SUM(N375:S375)</f>
        <v>20.986999999999998</v>
      </c>
      <c r="U375" s="61">
        <f>T375+L375</f>
        <v>49.313000000000002</v>
      </c>
      <c r="V375" s="61">
        <f>V370</f>
        <v>51.828000000000003</v>
      </c>
      <c r="W375" s="72">
        <f>V375-U375</f>
        <v>2.5150000000000001</v>
      </c>
      <c r="X375" s="63">
        <f>U370-U375</f>
        <v>2.5150000000000001</v>
      </c>
    </row>
    <row r="376" spans="1:28" s="43" customFormat="1" ht="18" customHeight="1">
      <c r="A376" s="595"/>
      <c r="B376" s="576"/>
      <c r="C376" s="577"/>
      <c r="D376" s="202" t="str">
        <f>серпень!D299</f>
        <v>план</v>
      </c>
      <c r="E376" s="42"/>
      <c r="F376" s="42">
        <f t="shared" ref="F376:K376" si="411">F369+F370</f>
        <v>3.927</v>
      </c>
      <c r="G376" s="42">
        <f t="shared" si="411"/>
        <v>5.9619999999999997</v>
      </c>
      <c r="H376" s="42">
        <f t="shared" si="411"/>
        <v>4.4480000000000004</v>
      </c>
      <c r="I376" s="42">
        <f t="shared" si="411"/>
        <v>5.7729999999999997</v>
      </c>
      <c r="J376" s="42">
        <f t="shared" si="411"/>
        <v>6.2460000000000004</v>
      </c>
      <c r="K376" s="42">
        <f t="shared" si="411"/>
        <v>3.7850000000000001</v>
      </c>
      <c r="L376" s="42">
        <f>SUM(F376:K376)</f>
        <v>30.140999999999998</v>
      </c>
      <c r="M376" s="42">
        <f>L376/6</f>
        <v>5.024</v>
      </c>
      <c r="N376" s="42">
        <f t="shared" ref="N376:S376" si="412">N370+N369</f>
        <v>5.2519999999999998</v>
      </c>
      <c r="O376" s="42">
        <f t="shared" si="412"/>
        <v>5.1100000000000003</v>
      </c>
      <c r="P376" s="42">
        <f t="shared" si="412"/>
        <v>4.306</v>
      </c>
      <c r="Q376" s="42">
        <f t="shared" si="412"/>
        <v>2.6019999999999999</v>
      </c>
      <c r="R376" s="42">
        <f t="shared" si="412"/>
        <v>2.4340000000000002</v>
      </c>
      <c r="S376" s="42">
        <f t="shared" si="412"/>
        <v>1.9830000000000001</v>
      </c>
      <c r="T376" s="42">
        <f>SUM(N376:S376)</f>
        <v>21.687000000000001</v>
      </c>
      <c r="U376" s="42">
        <f>T376+L376</f>
        <v>51.828000000000003</v>
      </c>
      <c r="V376" s="42">
        <f>V373</f>
        <v>51.828000000000003</v>
      </c>
      <c r="W376" s="42">
        <f>V376-U376</f>
        <v>0</v>
      </c>
    </row>
    <row r="377" spans="1:28" s="43" customFormat="1" ht="18" customHeight="1">
      <c r="A377" s="595"/>
      <c r="B377" s="576"/>
      <c r="C377" s="577"/>
      <c r="D377" s="202" t="str">
        <f>серпень!D300</f>
        <v xml:space="preserve">відхилення </v>
      </c>
      <c r="E377" s="42"/>
      <c r="F377" s="42">
        <f t="shared" ref="F377:K377" si="413">F373-F376</f>
        <v>-1.1200000000000001</v>
      </c>
      <c r="G377" s="42">
        <f t="shared" si="413"/>
        <v>-0.69499999999999995</v>
      </c>
      <c r="H377" s="42">
        <f t="shared" si="413"/>
        <v>0</v>
      </c>
      <c r="I377" s="42">
        <f t="shared" si="413"/>
        <v>0</v>
      </c>
      <c r="J377" s="42">
        <f t="shared" si="413"/>
        <v>0</v>
      </c>
      <c r="K377" s="42">
        <f t="shared" si="413"/>
        <v>0</v>
      </c>
      <c r="L377" s="42"/>
      <c r="M377" s="42"/>
      <c r="N377" s="42">
        <f t="shared" ref="N377:S377" si="414">N373-N376</f>
        <v>-2.4390000000000001</v>
      </c>
      <c r="O377" s="42">
        <f t="shared" si="414"/>
        <v>-5.1100000000000003</v>
      </c>
      <c r="P377" s="42">
        <f t="shared" si="414"/>
        <v>6.1059999999999999</v>
      </c>
      <c r="Q377" s="42">
        <f t="shared" si="414"/>
        <v>0.27600000000000002</v>
      </c>
      <c r="R377" s="42">
        <f t="shared" si="414"/>
        <v>0.25800000000000001</v>
      </c>
      <c r="S377" s="42">
        <f t="shared" si="414"/>
        <v>0.20899999999999999</v>
      </c>
      <c r="T377" s="42"/>
      <c r="U377" s="42"/>
      <c r="V377" s="42"/>
      <c r="W377" s="42"/>
    </row>
    <row r="378" spans="1:28" s="43" customFormat="1" ht="18" customHeight="1">
      <c r="A378" s="595"/>
      <c r="B378" s="576"/>
      <c r="C378" s="577"/>
      <c r="D378" s="202" t="str">
        <f>серпень!D301</f>
        <v>відхилення з наростаючим</v>
      </c>
      <c r="E378" s="42"/>
      <c r="F378" s="42">
        <f>F377</f>
        <v>-1.1200000000000001</v>
      </c>
      <c r="G378" s="42">
        <f>G377+F378</f>
        <v>-1.8149999999999999</v>
      </c>
      <c r="H378" s="42">
        <f>H377+G378</f>
        <v>-1.8149999999999999</v>
      </c>
      <c r="I378" s="42">
        <f>I377+H378</f>
        <v>-1.8149999999999999</v>
      </c>
      <c r="J378" s="42">
        <f>J377+I378</f>
        <v>-1.8149999999999999</v>
      </c>
      <c r="K378" s="42">
        <f>K377+J378</f>
        <v>-1.8149999999999999</v>
      </c>
      <c r="L378" s="42"/>
      <c r="M378" s="42"/>
      <c r="N378" s="42">
        <f>N377+K378</f>
        <v>-4.2539999999999996</v>
      </c>
      <c r="O378" s="42">
        <f>O377+N378</f>
        <v>-9.3640000000000008</v>
      </c>
      <c r="P378" s="42">
        <f>P377+O378</f>
        <v>-3.258</v>
      </c>
      <c r="Q378" s="42">
        <f>Q377+P378</f>
        <v>-2.9820000000000002</v>
      </c>
      <c r="R378" s="42">
        <f>R377+Q378</f>
        <v>-2.7240000000000002</v>
      </c>
      <c r="S378" s="42">
        <f>S377+R378</f>
        <v>-2.5150000000000001</v>
      </c>
      <c r="T378" s="42"/>
      <c r="U378" s="42"/>
      <c r="V378" s="42"/>
      <c r="W378" s="42"/>
    </row>
    <row r="379" spans="1:28" s="43" customFormat="1" ht="18" hidden="1" customHeight="1">
      <c r="A379" s="595"/>
      <c r="B379" s="580" t="s">
        <v>96</v>
      </c>
      <c r="C379" s="575"/>
      <c r="D379" s="178" t="str">
        <f>серпень!D302</f>
        <v>факт. нат.п-ки 2023</v>
      </c>
      <c r="E379" s="179"/>
      <c r="F379" s="180"/>
      <c r="G379" s="180"/>
      <c r="H379" s="180"/>
      <c r="I379" s="180"/>
      <c r="J379" s="180"/>
      <c r="K379" s="180"/>
      <c r="L379" s="215">
        <f>SUM(F379:K379)</f>
        <v>0</v>
      </c>
      <c r="M379" s="215">
        <f>L379/6</f>
        <v>0</v>
      </c>
      <c r="N379" s="180"/>
      <c r="O379" s="180"/>
      <c r="P379" s="180"/>
      <c r="Q379" s="180"/>
      <c r="R379" s="180"/>
      <c r="S379" s="180"/>
      <c r="T379" s="215">
        <f>SUM(N379:S379)</f>
        <v>0</v>
      </c>
      <c r="U379" s="226">
        <f>T379+L379</f>
        <v>0</v>
      </c>
      <c r="V379" s="227"/>
      <c r="W379" s="184">
        <f>V379-U379</f>
        <v>0</v>
      </c>
    </row>
    <row r="380" spans="1:28" s="43" customFormat="1" ht="18" hidden="1" customHeight="1">
      <c r="A380" s="595"/>
      <c r="B380" s="576"/>
      <c r="C380" s="577"/>
      <c r="D380" s="178" t="str">
        <f>серпень!D303</f>
        <v>факт. нат.п-ки 2024</v>
      </c>
      <c r="E380" s="179"/>
      <c r="F380" s="180"/>
      <c r="G380" s="180"/>
      <c r="H380" s="180"/>
      <c r="I380" s="180"/>
      <c r="J380" s="180"/>
      <c r="K380" s="180"/>
      <c r="L380" s="215">
        <f>SUM(F380:K380)</f>
        <v>0</v>
      </c>
      <c r="M380" s="215">
        <f>L380/6</f>
        <v>0</v>
      </c>
      <c r="N380" s="179"/>
      <c r="O380" s="179"/>
      <c r="P380" s="179"/>
      <c r="Q380" s="179"/>
      <c r="R380" s="179"/>
      <c r="S380" s="179"/>
      <c r="T380" s="215">
        <f>SUM(N380:S380)</f>
        <v>0</v>
      </c>
      <c r="U380" s="226">
        <f>T380+L380</f>
        <v>0</v>
      </c>
      <c r="V380" s="227"/>
      <c r="W380" s="184">
        <f>V380-U380</f>
        <v>0</v>
      </c>
    </row>
    <row r="381" spans="1:28" s="43" customFormat="1" ht="18" hidden="1" customHeight="1">
      <c r="A381" s="595"/>
      <c r="B381" s="576"/>
      <c r="C381" s="577"/>
      <c r="D381" s="178" t="str">
        <f>серпень!D304</f>
        <v>факт. нат.п-ки 2025</v>
      </c>
      <c r="E381" s="179"/>
      <c r="F381" s="180"/>
      <c r="G381" s="180"/>
      <c r="H381" s="180"/>
      <c r="I381" s="180"/>
      <c r="J381" s="180"/>
      <c r="K381" s="180"/>
      <c r="L381" s="215">
        <f>SUM(F381:K381)</f>
        <v>0</v>
      </c>
      <c r="M381" s="215">
        <f>L381/6</f>
        <v>0</v>
      </c>
      <c r="N381" s="180"/>
      <c r="O381" s="180"/>
      <c r="P381" s="180"/>
      <c r="Q381" s="180"/>
      <c r="R381" s="180"/>
      <c r="S381" s="179"/>
      <c r="T381" s="215">
        <f>SUM(N381:S381)</f>
        <v>0</v>
      </c>
      <c r="U381" s="226">
        <f>T381+L381</f>
        <v>0</v>
      </c>
      <c r="V381" s="179"/>
      <c r="W381" s="184">
        <f>V381-U381</f>
        <v>0</v>
      </c>
    </row>
    <row r="382" spans="1:28" s="43" customFormat="1" ht="18" hidden="1" customHeight="1">
      <c r="A382" s="595"/>
      <c r="B382" s="576"/>
      <c r="C382" s="577"/>
      <c r="D382" s="187" t="str">
        <f>серпень!D305</f>
        <v>тариф, грн.</v>
      </c>
      <c r="E382" s="188"/>
      <c r="F382" s="188"/>
      <c r="G382" s="188"/>
      <c r="H382" s="188"/>
      <c r="I382" s="188"/>
      <c r="J382" s="188"/>
      <c r="K382" s="188"/>
      <c r="L382" s="188" t="e">
        <f>L383/L381*1000</f>
        <v>#DIV/0!</v>
      </c>
      <c r="M382" s="188" t="e">
        <f>M383/M381*1000</f>
        <v>#DIV/0!</v>
      </c>
      <c r="N382" s="188"/>
      <c r="O382" s="188"/>
      <c r="P382" s="188"/>
      <c r="Q382" s="188"/>
      <c r="R382" s="188"/>
      <c r="S382" s="188"/>
      <c r="T382" s="188" t="e">
        <f>T383/T381*1000</f>
        <v>#DIV/0!</v>
      </c>
      <c r="U382" s="188" t="e">
        <f>U383/U381*1000</f>
        <v>#DIV/0!</v>
      </c>
      <c r="V382" s="218" t="e">
        <f>V383/V381*1000</f>
        <v>#DIV/0!</v>
      </c>
      <c r="W382" s="189" t="e">
        <f>W383/W381*1000</f>
        <v>#DIV/0!</v>
      </c>
    </row>
    <row r="383" spans="1:28" s="43" customFormat="1" ht="18" hidden="1" customHeight="1">
      <c r="A383" s="595"/>
      <c r="B383" s="576"/>
      <c r="C383" s="577"/>
      <c r="D383" s="191" t="str">
        <f>серпень!D306</f>
        <v>сума, тис.грн.</v>
      </c>
      <c r="E383" s="192"/>
      <c r="F383" s="192">
        <f t="shared" ref="F383:K383" si="415">F381*F382/1000</f>
        <v>0</v>
      </c>
      <c r="G383" s="192">
        <f t="shared" si="415"/>
        <v>0</v>
      </c>
      <c r="H383" s="192">
        <f t="shared" si="415"/>
        <v>0</v>
      </c>
      <c r="I383" s="192">
        <f t="shared" si="415"/>
        <v>0</v>
      </c>
      <c r="J383" s="192">
        <f t="shared" si="415"/>
        <v>0</v>
      </c>
      <c r="K383" s="192">
        <f t="shared" si="415"/>
        <v>0</v>
      </c>
      <c r="L383" s="194">
        <f>SUM(F383:K383)</f>
        <v>0</v>
      </c>
      <c r="M383" s="194">
        <f>L383/6</f>
        <v>0</v>
      </c>
      <c r="N383" s="192">
        <f t="shared" ref="N383:S383" si="416">N381*N382/1000</f>
        <v>0</v>
      </c>
      <c r="O383" s="192">
        <f t="shared" si="416"/>
        <v>0</v>
      </c>
      <c r="P383" s="192">
        <f t="shared" si="416"/>
        <v>0</v>
      </c>
      <c r="Q383" s="192">
        <f t="shared" si="416"/>
        <v>0</v>
      </c>
      <c r="R383" s="192">
        <f t="shared" si="416"/>
        <v>0</v>
      </c>
      <c r="S383" s="192">
        <f t="shared" si="416"/>
        <v>0</v>
      </c>
      <c r="T383" s="194">
        <f>SUM(N383:S383)</f>
        <v>0</v>
      </c>
      <c r="U383" s="194">
        <f>T383+L383</f>
        <v>0</v>
      </c>
      <c r="V383" s="171">
        <f>V384+V385</f>
        <v>0</v>
      </c>
      <c r="W383" s="193">
        <f>V383-U383</f>
        <v>0</v>
      </c>
    </row>
    <row r="384" spans="1:28" s="43" customFormat="1" ht="18" hidden="1" customHeight="1">
      <c r="A384" s="595"/>
      <c r="B384" s="576"/>
      <c r="C384" s="577"/>
      <c r="D384" s="174" t="str">
        <f>серпень!D307</f>
        <v>дотація</v>
      </c>
      <c r="E384" s="210"/>
      <c r="F384" s="192"/>
      <c r="G384" s="192"/>
      <c r="H384" s="192"/>
      <c r="I384" s="192"/>
      <c r="J384" s="192"/>
      <c r="K384" s="192"/>
      <c r="L384" s="194">
        <f>SUM(F384:K384)</f>
        <v>0</v>
      </c>
      <c r="M384" s="194">
        <f>L384/6</f>
        <v>0</v>
      </c>
      <c r="N384" s="192"/>
      <c r="O384" s="192"/>
      <c r="P384" s="192"/>
      <c r="Q384" s="192"/>
      <c r="R384" s="192"/>
      <c r="S384" s="192"/>
      <c r="T384" s="194">
        <f>SUM(N384:S384)</f>
        <v>0</v>
      </c>
      <c r="U384" s="194">
        <f>T384+L384</f>
        <v>0</v>
      </c>
      <c r="V384" s="171"/>
      <c r="W384" s="193">
        <f>V384-U384</f>
        <v>0</v>
      </c>
    </row>
    <row r="385" spans="1:28" s="43" customFormat="1" ht="18" hidden="1" customHeight="1">
      <c r="A385" s="595"/>
      <c r="B385" s="576"/>
      <c r="C385" s="577"/>
      <c r="D385" s="174" t="str">
        <f>серпень!D308</f>
        <v>місцевий (план), тис.грн</v>
      </c>
      <c r="E385" s="210"/>
      <c r="F385" s="192"/>
      <c r="G385" s="192"/>
      <c r="H385" s="192"/>
      <c r="I385" s="192"/>
      <c r="J385" s="192"/>
      <c r="K385" s="192"/>
      <c r="L385" s="194">
        <f>SUM(F385:K385)</f>
        <v>0</v>
      </c>
      <c r="M385" s="194">
        <f>L385/6</f>
        <v>0</v>
      </c>
      <c r="N385" s="192"/>
      <c r="O385" s="192"/>
      <c r="P385" s="192"/>
      <c r="Q385" s="192"/>
      <c r="R385" s="192"/>
      <c r="S385" s="192"/>
      <c r="T385" s="194">
        <f>SUM(N385:S385)</f>
        <v>0</v>
      </c>
      <c r="U385" s="194">
        <f>T385+L385</f>
        <v>0</v>
      </c>
      <c r="V385" s="171"/>
      <c r="W385" s="193">
        <f>V385-U385</f>
        <v>0</v>
      </c>
    </row>
    <row r="386" spans="1:28" s="43" customFormat="1" ht="18" hidden="1" customHeight="1">
      <c r="A386" s="595"/>
      <c r="B386" s="576"/>
      <c r="C386" s="577"/>
      <c r="D386" s="178" t="str">
        <f>серпень!D309</f>
        <v>касові нат.п-ки 2025</v>
      </c>
      <c r="E386" s="179"/>
      <c r="F386" s="179"/>
      <c r="G386" s="179"/>
      <c r="H386" s="179"/>
      <c r="I386" s="179"/>
      <c r="J386" s="179"/>
      <c r="K386" s="179"/>
      <c r="L386" s="215">
        <f>SUM(F386:K386)</f>
        <v>0</v>
      </c>
      <c r="M386" s="215">
        <f>L386/6</f>
        <v>0</v>
      </c>
      <c r="N386" s="179"/>
      <c r="O386" s="179"/>
      <c r="P386" s="179"/>
      <c r="Q386" s="179"/>
      <c r="R386" s="179"/>
      <c r="S386" s="179">
        <f>S381+R381</f>
        <v>0</v>
      </c>
      <c r="T386" s="215">
        <f>SUM(N386:S386)</f>
        <v>0</v>
      </c>
      <c r="U386" s="215">
        <f>T386+L386</f>
        <v>0</v>
      </c>
      <c r="V386" s="179">
        <f>V381</f>
        <v>0</v>
      </c>
      <c r="W386" s="184">
        <f>V386-U386</f>
        <v>0</v>
      </c>
    </row>
    <row r="387" spans="1:28" s="43" customFormat="1" ht="18" hidden="1" customHeight="1">
      <c r="A387" s="595"/>
      <c r="B387" s="576"/>
      <c r="C387" s="577"/>
      <c r="D387" s="187" t="str">
        <f>серпень!D310</f>
        <v>тариф, грн.</v>
      </c>
      <c r="E387" s="188" t="e">
        <f>E388/E386*1000</f>
        <v>#DIV/0!</v>
      </c>
      <c r="F387" s="188"/>
      <c r="G387" s="188"/>
      <c r="H387" s="188"/>
      <c r="I387" s="188"/>
      <c r="J387" s="188"/>
      <c r="K387" s="188"/>
      <c r="L387" s="188" t="e">
        <f>L388/L386*1000</f>
        <v>#DIV/0!</v>
      </c>
      <c r="M387" s="188" t="e">
        <f>M388/M386*1000</f>
        <v>#DIV/0!</v>
      </c>
      <c r="N387" s="188"/>
      <c r="O387" s="188"/>
      <c r="P387" s="188"/>
      <c r="Q387" s="188"/>
      <c r="R387" s="188"/>
      <c r="S387" s="188"/>
      <c r="T387" s="188" t="e">
        <f>T388/T386*1000</f>
        <v>#DIV/0!</v>
      </c>
      <c r="U387" s="188" t="e">
        <f>U388/U386*1000</f>
        <v>#DIV/0!</v>
      </c>
      <c r="V387" s="218" t="e">
        <f>V388/V386*1000</f>
        <v>#DIV/0!</v>
      </c>
      <c r="W387" s="189" t="e">
        <f>W388/W386*1000</f>
        <v>#DIV/0!</v>
      </c>
    </row>
    <row r="388" spans="1:28" s="43" customFormat="1" ht="18" hidden="1" customHeight="1">
      <c r="A388" s="595"/>
      <c r="B388" s="576"/>
      <c r="C388" s="577"/>
      <c r="D388" s="198" t="str">
        <f>серпень!D311</f>
        <v>касові видатки, тис.грн.</v>
      </c>
      <c r="E388" s="220"/>
      <c r="F388" s="199">
        <f t="shared" ref="F388:K388" si="417">F386*F387/1000</f>
        <v>0</v>
      </c>
      <c r="G388" s="199">
        <f t="shared" si="417"/>
        <v>0</v>
      </c>
      <c r="H388" s="199">
        <f t="shared" si="417"/>
        <v>0</v>
      </c>
      <c r="I388" s="199">
        <f t="shared" si="417"/>
        <v>0</v>
      </c>
      <c r="J388" s="199">
        <f t="shared" si="417"/>
        <v>0</v>
      </c>
      <c r="K388" s="199">
        <f t="shared" si="417"/>
        <v>0</v>
      </c>
      <c r="L388" s="199">
        <f>SUM(F388:K388)</f>
        <v>0</v>
      </c>
      <c r="M388" s="199">
        <f>L388/6</f>
        <v>0</v>
      </c>
      <c r="N388" s="199">
        <f t="shared" ref="N388:S388" si="418">N386*N387/1000</f>
        <v>0</v>
      </c>
      <c r="O388" s="199">
        <f t="shared" si="418"/>
        <v>0</v>
      </c>
      <c r="P388" s="199">
        <f t="shared" si="418"/>
        <v>0</v>
      </c>
      <c r="Q388" s="199">
        <f t="shared" si="418"/>
        <v>0</v>
      </c>
      <c r="R388" s="199">
        <f t="shared" si="418"/>
        <v>0</v>
      </c>
      <c r="S388" s="199">
        <f t="shared" si="418"/>
        <v>0</v>
      </c>
      <c r="T388" s="199">
        <f>SUM(N388:S388)</f>
        <v>0</v>
      </c>
      <c r="U388" s="199">
        <f>T388+L388</f>
        <v>0</v>
      </c>
      <c r="V388" s="199">
        <f>V383</f>
        <v>0</v>
      </c>
      <c r="W388" s="221">
        <f>V388-U388</f>
        <v>0</v>
      </c>
    </row>
    <row r="389" spans="1:28" s="43" customFormat="1" ht="18" hidden="1" customHeight="1">
      <c r="A389" s="595"/>
      <c r="B389" s="576"/>
      <c r="C389" s="577"/>
      <c r="D389" s="201" t="str">
        <f>серпень!D312</f>
        <v>дотація</v>
      </c>
      <c r="E389" s="220"/>
      <c r="F389" s="199"/>
      <c r="G389" s="199"/>
      <c r="H389" s="199"/>
      <c r="I389" s="199"/>
      <c r="J389" s="199"/>
      <c r="K389" s="199"/>
      <c r="L389" s="199">
        <f>SUM(F389:K389)</f>
        <v>0</v>
      </c>
      <c r="M389" s="199">
        <f>L389/6</f>
        <v>0</v>
      </c>
      <c r="N389" s="199"/>
      <c r="O389" s="199"/>
      <c r="P389" s="199"/>
      <c r="Q389" s="199"/>
      <c r="R389" s="199"/>
      <c r="S389" s="199"/>
      <c r="T389" s="199">
        <f>SUM(N389:S389)</f>
        <v>0</v>
      </c>
      <c r="U389" s="199">
        <f>T389+L389</f>
        <v>0</v>
      </c>
      <c r="V389" s="199">
        <f>V384</f>
        <v>0</v>
      </c>
      <c r="W389" s="221">
        <f>V389-U389</f>
        <v>0</v>
      </c>
    </row>
    <row r="390" spans="1:28" s="43" customFormat="1" ht="18" hidden="1" customHeight="1">
      <c r="A390" s="595"/>
      <c r="B390" s="576"/>
      <c r="C390" s="577"/>
      <c r="D390" s="201" t="str">
        <f>серпень!D313</f>
        <v xml:space="preserve">місцевий </v>
      </c>
      <c r="E390" s="220"/>
      <c r="F390" s="199">
        <f t="shared" ref="F390:K390" si="419">F388-F389</f>
        <v>0</v>
      </c>
      <c r="G390" s="199">
        <f t="shared" si="419"/>
        <v>0</v>
      </c>
      <c r="H390" s="199">
        <f t="shared" si="419"/>
        <v>0</v>
      </c>
      <c r="I390" s="199">
        <f t="shared" si="419"/>
        <v>0</v>
      </c>
      <c r="J390" s="199">
        <f t="shared" si="419"/>
        <v>0</v>
      </c>
      <c r="K390" s="199">
        <f t="shared" si="419"/>
        <v>0</v>
      </c>
      <c r="L390" s="199">
        <f>SUM(F390:K390)</f>
        <v>0</v>
      </c>
      <c r="M390" s="199">
        <f>L390/6</f>
        <v>0</v>
      </c>
      <c r="N390" s="199">
        <f t="shared" ref="N390:S390" si="420">N388-N389</f>
        <v>0</v>
      </c>
      <c r="O390" s="199">
        <f t="shared" si="420"/>
        <v>0</v>
      </c>
      <c r="P390" s="199">
        <f t="shared" si="420"/>
        <v>0</v>
      </c>
      <c r="Q390" s="199">
        <f t="shared" si="420"/>
        <v>0</v>
      </c>
      <c r="R390" s="199">
        <f t="shared" si="420"/>
        <v>0</v>
      </c>
      <c r="S390" s="199">
        <f t="shared" si="420"/>
        <v>0</v>
      </c>
      <c r="T390" s="199">
        <f>SUM(N390:S390)</f>
        <v>0</v>
      </c>
      <c r="U390" s="199">
        <f>T390+L390</f>
        <v>0</v>
      </c>
      <c r="V390" s="199">
        <f>V385</f>
        <v>0</v>
      </c>
      <c r="W390" s="221">
        <f>V390-U390</f>
        <v>0</v>
      </c>
    </row>
    <row r="391" spans="1:28" s="43" customFormat="1" ht="18" hidden="1" customHeight="1">
      <c r="A391" s="595"/>
      <c r="B391" s="576"/>
      <c r="C391" s="577"/>
      <c r="D391" s="202" t="str">
        <f>серпень!D314</f>
        <v>план</v>
      </c>
      <c r="E391" s="203"/>
      <c r="F391" s="203">
        <f t="shared" ref="F391:K391" si="421">F385</f>
        <v>0</v>
      </c>
      <c r="G391" s="203">
        <f t="shared" si="421"/>
        <v>0</v>
      </c>
      <c r="H391" s="203">
        <f t="shared" si="421"/>
        <v>0</v>
      </c>
      <c r="I391" s="203">
        <f t="shared" si="421"/>
        <v>0</v>
      </c>
      <c r="J391" s="203">
        <f t="shared" si="421"/>
        <v>0</v>
      </c>
      <c r="K391" s="203">
        <f t="shared" si="421"/>
        <v>0</v>
      </c>
      <c r="L391" s="203">
        <f>SUM(F391:K391)</f>
        <v>0</v>
      </c>
      <c r="M391" s="203">
        <f>L391/6</f>
        <v>0</v>
      </c>
      <c r="N391" s="203">
        <f t="shared" ref="N391:S391" si="422">N385+N384</f>
        <v>0</v>
      </c>
      <c r="O391" s="203">
        <f t="shared" si="422"/>
        <v>0</v>
      </c>
      <c r="P391" s="203">
        <f t="shared" si="422"/>
        <v>0</v>
      </c>
      <c r="Q391" s="203">
        <f t="shared" si="422"/>
        <v>0</v>
      </c>
      <c r="R391" s="203">
        <f t="shared" si="422"/>
        <v>0</v>
      </c>
      <c r="S391" s="203">
        <f t="shared" si="422"/>
        <v>0</v>
      </c>
      <c r="T391" s="203">
        <f>SUM(N391:S391)</f>
        <v>0</v>
      </c>
      <c r="U391" s="203">
        <f>T391+L391</f>
        <v>0</v>
      </c>
      <c r="V391" s="203">
        <f>V388</f>
        <v>0</v>
      </c>
      <c r="W391" s="203">
        <f>V391-U391</f>
        <v>0</v>
      </c>
    </row>
    <row r="392" spans="1:28" s="43" customFormat="1" ht="18" hidden="1" customHeight="1">
      <c r="A392" s="595"/>
      <c r="B392" s="576"/>
      <c r="C392" s="577"/>
      <c r="D392" s="202" t="str">
        <f>серпень!D315</f>
        <v xml:space="preserve">відхилення </v>
      </c>
      <c r="E392" s="203"/>
      <c r="F392" s="203">
        <f t="shared" ref="F392:K392" si="423">F388-F391</f>
        <v>0</v>
      </c>
      <c r="G392" s="203">
        <f t="shared" si="423"/>
        <v>0</v>
      </c>
      <c r="H392" s="203">
        <f t="shared" si="423"/>
        <v>0</v>
      </c>
      <c r="I392" s="203">
        <f t="shared" si="423"/>
        <v>0</v>
      </c>
      <c r="J392" s="203">
        <f t="shared" si="423"/>
        <v>0</v>
      </c>
      <c r="K392" s="203">
        <f t="shared" si="423"/>
        <v>0</v>
      </c>
      <c r="L392" s="203"/>
      <c r="M392" s="203"/>
      <c r="N392" s="203">
        <f t="shared" ref="N392:S392" si="424">N388-N391</f>
        <v>0</v>
      </c>
      <c r="O392" s="203">
        <f t="shared" si="424"/>
        <v>0</v>
      </c>
      <c r="P392" s="203">
        <f t="shared" si="424"/>
        <v>0</v>
      </c>
      <c r="Q392" s="203">
        <f t="shared" si="424"/>
        <v>0</v>
      </c>
      <c r="R392" s="203">
        <f t="shared" si="424"/>
        <v>0</v>
      </c>
      <c r="S392" s="203">
        <f t="shared" si="424"/>
        <v>0</v>
      </c>
      <c r="T392" s="203"/>
      <c r="U392" s="203"/>
      <c r="V392" s="203"/>
      <c r="W392" s="203"/>
    </row>
    <row r="393" spans="1:28" s="43" customFormat="1" ht="18" hidden="1" customHeight="1">
      <c r="A393" s="595"/>
      <c r="B393" s="578"/>
      <c r="C393" s="579"/>
      <c r="D393" s="202" t="str">
        <f>серпень!D316</f>
        <v>відхилення з наростаючим</v>
      </c>
      <c r="E393" s="203"/>
      <c r="F393" s="203">
        <f>F392</f>
        <v>0</v>
      </c>
      <c r="G393" s="203">
        <f>G392+F393</f>
        <v>0</v>
      </c>
      <c r="H393" s="203">
        <f>H392+G393</f>
        <v>0</v>
      </c>
      <c r="I393" s="203">
        <f>I392+H393</f>
        <v>0</v>
      </c>
      <c r="J393" s="203">
        <f>J392+I393</f>
        <v>0</v>
      </c>
      <c r="K393" s="203">
        <f>K392+J393</f>
        <v>0</v>
      </c>
      <c r="L393" s="203"/>
      <c r="M393" s="203"/>
      <c r="N393" s="203">
        <f>N392+K393</f>
        <v>0</v>
      </c>
      <c r="O393" s="203">
        <f>O392+N393</f>
        <v>0</v>
      </c>
      <c r="P393" s="203">
        <f>P392+O393</f>
        <v>0</v>
      </c>
      <c r="Q393" s="203">
        <f>Q392+P393</f>
        <v>0</v>
      </c>
      <c r="R393" s="203">
        <f>R392+Q393</f>
        <v>0</v>
      </c>
      <c r="S393" s="203">
        <f>S392+R393</f>
        <v>0</v>
      </c>
      <c r="T393" s="203"/>
      <c r="U393" s="203"/>
      <c r="V393" s="203"/>
      <c r="W393" s="203"/>
    </row>
    <row r="394" spans="1:28" s="10" customFormat="1" ht="21.8" hidden="1" customHeight="1">
      <c r="A394" s="595"/>
      <c r="B394" s="580" t="s">
        <v>38</v>
      </c>
      <c r="C394" s="575"/>
      <c r="D394" s="178" t="str">
        <f>серпень!D317</f>
        <v>факт. нат.п-ки 2023</v>
      </c>
      <c r="E394" s="11"/>
      <c r="F394" s="12"/>
      <c r="G394" s="12"/>
      <c r="H394" s="12"/>
      <c r="I394" s="12"/>
      <c r="J394" s="12"/>
      <c r="K394" s="12"/>
      <c r="L394" s="65">
        <f>SUM(F394:K394)</f>
        <v>0</v>
      </c>
      <c r="M394" s="65">
        <f>L394/6</f>
        <v>0</v>
      </c>
      <c r="N394" s="12"/>
      <c r="O394" s="12"/>
      <c r="P394" s="12"/>
      <c r="Q394" s="12"/>
      <c r="R394" s="12"/>
      <c r="S394" s="12"/>
      <c r="T394" s="65">
        <f>SUM(N394:S394)</f>
        <v>0</v>
      </c>
      <c r="U394" s="118">
        <f>T394+L394</f>
        <v>0</v>
      </c>
      <c r="V394" s="67"/>
      <c r="W394" s="38">
        <f>V394-U394</f>
        <v>0</v>
      </c>
      <c r="X394" s="36"/>
      <c r="Y394" s="3"/>
      <c r="Z394" s="3"/>
      <c r="AA394" s="3"/>
      <c r="AB394" s="3"/>
    </row>
    <row r="395" spans="1:28" s="48" customFormat="1" ht="21.8" hidden="1" customHeight="1">
      <c r="A395" s="595"/>
      <c r="B395" s="576"/>
      <c r="C395" s="577"/>
      <c r="D395" s="178" t="str">
        <f>серпень!D318</f>
        <v>факт. нат.п-ки 2024</v>
      </c>
      <c r="E395" s="11"/>
      <c r="F395" s="12"/>
      <c r="G395" s="12"/>
      <c r="H395" s="12"/>
      <c r="I395" s="12"/>
      <c r="J395" s="12"/>
      <c r="K395" s="12"/>
      <c r="L395" s="65">
        <f>SUM(F395:K395)</f>
        <v>0</v>
      </c>
      <c r="M395" s="65">
        <f>L395/6</f>
        <v>0</v>
      </c>
      <c r="N395" s="11"/>
      <c r="O395" s="11"/>
      <c r="P395" s="11"/>
      <c r="Q395" s="11"/>
      <c r="R395" s="11"/>
      <c r="S395" s="11"/>
      <c r="T395" s="65">
        <f>SUM(N395:S395)</f>
        <v>0</v>
      </c>
      <c r="U395" s="118">
        <f>T395+L395</f>
        <v>0</v>
      </c>
      <c r="V395" s="67"/>
      <c r="W395" s="38">
        <f>V395-U395</f>
        <v>0</v>
      </c>
      <c r="X395" s="47"/>
    </row>
    <row r="396" spans="1:28" s="10" customFormat="1" ht="21.8" hidden="1" customHeight="1">
      <c r="A396" s="595"/>
      <c r="B396" s="576"/>
      <c r="C396" s="577"/>
      <c r="D396" s="178" t="str">
        <f>серпень!D319</f>
        <v>факт. нат.п-ки 2025</v>
      </c>
      <c r="E396" s="11"/>
      <c r="F396" s="12"/>
      <c r="G396" s="12"/>
      <c r="H396" s="12"/>
      <c r="I396" s="12"/>
      <c r="J396" s="12"/>
      <c r="K396" s="12"/>
      <c r="L396" s="65">
        <f>SUM(F396:K396)</f>
        <v>0</v>
      </c>
      <c r="M396" s="65">
        <f>L396/6</f>
        <v>0</v>
      </c>
      <c r="N396" s="12"/>
      <c r="O396" s="12"/>
      <c r="P396" s="12"/>
      <c r="Q396" s="12"/>
      <c r="R396" s="12"/>
      <c r="S396" s="11"/>
      <c r="T396" s="65">
        <f>SUM(N396:S396)</f>
        <v>0</v>
      </c>
      <c r="U396" s="118">
        <f>T396+L396</f>
        <v>0</v>
      </c>
      <c r="V396" s="11"/>
      <c r="W396" s="38">
        <f>V396-U396</f>
        <v>0</v>
      </c>
      <c r="X396" s="36"/>
      <c r="Y396" s="3"/>
      <c r="Z396" s="3"/>
      <c r="AA396" s="3"/>
      <c r="AB396" s="3"/>
    </row>
    <row r="397" spans="1:28" s="114" customFormat="1" ht="21.8" hidden="1" customHeight="1">
      <c r="A397" s="595"/>
      <c r="B397" s="576"/>
      <c r="C397" s="577"/>
      <c r="D397" s="187" t="str">
        <f>серпень!D320</f>
        <v>тариф, грн.</v>
      </c>
      <c r="E397" s="49"/>
      <c r="F397" s="49">
        <v>10.56</v>
      </c>
      <c r="G397" s="49">
        <v>10.56</v>
      </c>
      <c r="H397" s="49">
        <v>10.56</v>
      </c>
      <c r="I397" s="49">
        <v>10.56</v>
      </c>
      <c r="J397" s="49">
        <v>10.56</v>
      </c>
      <c r="K397" s="49">
        <v>10.56</v>
      </c>
      <c r="L397" s="49" t="e">
        <f>L398/L396*1000</f>
        <v>#DIV/0!</v>
      </c>
      <c r="M397" s="49" t="e">
        <f>M398/M396*1000</f>
        <v>#DIV/0!</v>
      </c>
      <c r="N397" s="49">
        <v>10.56</v>
      </c>
      <c r="O397" s="49">
        <v>10.56</v>
      </c>
      <c r="P397" s="49">
        <v>10.56</v>
      </c>
      <c r="Q397" s="49">
        <v>10.56</v>
      </c>
      <c r="R397" s="49">
        <v>10.56</v>
      </c>
      <c r="S397" s="49">
        <v>10.56</v>
      </c>
      <c r="T397" s="49" t="e">
        <f>T398/T396*1000</f>
        <v>#DIV/0!</v>
      </c>
      <c r="U397" s="49" t="e">
        <f>U398/U396*1000</f>
        <v>#DIV/0!</v>
      </c>
      <c r="V397" s="68" t="e">
        <f>V398/V396*1000</f>
        <v>#DIV/0!</v>
      </c>
      <c r="W397" s="14" t="e">
        <f>W398/W396*1000</f>
        <v>#DIV/0!</v>
      </c>
      <c r="X397" s="47"/>
      <c r="Y397" s="3"/>
      <c r="Z397" s="3"/>
      <c r="AA397" s="3"/>
      <c r="AB397" s="3"/>
    </row>
    <row r="398" spans="1:28" s="114" customFormat="1" ht="21.8" hidden="1" customHeight="1">
      <c r="A398" s="595"/>
      <c r="B398" s="576"/>
      <c r="C398" s="577"/>
      <c r="D398" s="191" t="str">
        <f>серпень!D321</f>
        <v>сума, тис.грн.</v>
      </c>
      <c r="E398" s="52"/>
      <c r="F398" s="52">
        <f t="shared" ref="F398:K398" si="425">F396*F397/1000</f>
        <v>0</v>
      </c>
      <c r="G398" s="52">
        <f t="shared" si="425"/>
        <v>0</v>
      </c>
      <c r="H398" s="52">
        <f t="shared" si="425"/>
        <v>0</v>
      </c>
      <c r="I398" s="52">
        <f t="shared" si="425"/>
        <v>0</v>
      </c>
      <c r="J398" s="52">
        <f t="shared" si="425"/>
        <v>0</v>
      </c>
      <c r="K398" s="52">
        <f t="shared" si="425"/>
        <v>0</v>
      </c>
      <c r="L398" s="69">
        <f>SUM(F398:K398)</f>
        <v>0</v>
      </c>
      <c r="M398" s="69">
        <f>L398/6</f>
        <v>0</v>
      </c>
      <c r="N398" s="52">
        <f t="shared" ref="N398:S398" si="426">N396*N397/1000</f>
        <v>0</v>
      </c>
      <c r="O398" s="52">
        <f t="shared" si="426"/>
        <v>0</v>
      </c>
      <c r="P398" s="52">
        <f t="shared" si="426"/>
        <v>0</v>
      </c>
      <c r="Q398" s="52">
        <f t="shared" si="426"/>
        <v>0</v>
      </c>
      <c r="R398" s="52">
        <f t="shared" si="426"/>
        <v>0</v>
      </c>
      <c r="S398" s="52">
        <f t="shared" si="426"/>
        <v>0</v>
      </c>
      <c r="T398" s="69">
        <f>SUM(N398:S398)</f>
        <v>0</v>
      </c>
      <c r="U398" s="69">
        <f>T398+L398</f>
        <v>0</v>
      </c>
      <c r="V398" s="70">
        <f>V399+V400</f>
        <v>0</v>
      </c>
      <c r="W398" s="53">
        <f>V398-U398</f>
        <v>0</v>
      </c>
      <c r="X398" s="113"/>
    </row>
    <row r="399" spans="1:28" s="114" customFormat="1" ht="21.8" hidden="1" customHeight="1">
      <c r="A399" s="595"/>
      <c r="B399" s="576"/>
      <c r="C399" s="577"/>
      <c r="D399" s="174" t="str">
        <f>серпень!D322</f>
        <v>дотація</v>
      </c>
      <c r="E399" s="56"/>
      <c r="F399" s="52"/>
      <c r="G399" s="52"/>
      <c r="H399" s="52"/>
      <c r="I399" s="52"/>
      <c r="J399" s="52"/>
      <c r="K399" s="52"/>
      <c r="L399" s="69">
        <f>SUM(F399:K399)</f>
        <v>0</v>
      </c>
      <c r="M399" s="69">
        <f>L399/6</f>
        <v>0</v>
      </c>
      <c r="N399" s="52"/>
      <c r="O399" s="52"/>
      <c r="P399" s="52"/>
      <c r="Q399" s="52"/>
      <c r="R399" s="52"/>
      <c r="S399" s="52"/>
      <c r="T399" s="69">
        <f>SUM(N399:S399)</f>
        <v>0</v>
      </c>
      <c r="U399" s="69">
        <f>T399+L399</f>
        <v>0</v>
      </c>
      <c r="V399" s="70">
        <v>0</v>
      </c>
      <c r="W399" s="53">
        <f>V399-U399</f>
        <v>0</v>
      </c>
      <c r="X399" s="113"/>
    </row>
    <row r="400" spans="1:28" s="114" customFormat="1" ht="21.8" hidden="1" customHeight="1">
      <c r="A400" s="595"/>
      <c r="B400" s="576"/>
      <c r="C400" s="577"/>
      <c r="D400" s="174" t="str">
        <f>серпень!D323</f>
        <v>місцевий (план), тис.грн</v>
      </c>
      <c r="E400" s="56"/>
      <c r="F400" s="52"/>
      <c r="G400" s="52"/>
      <c r="H400" s="52"/>
      <c r="I400" s="52"/>
      <c r="J400" s="52"/>
      <c r="K400" s="52"/>
      <c r="L400" s="69">
        <f>SUM(F400:K400)</f>
        <v>0</v>
      </c>
      <c r="M400" s="69">
        <f>L400/6</f>
        <v>0</v>
      </c>
      <c r="N400" s="52"/>
      <c r="O400" s="52"/>
      <c r="P400" s="52"/>
      <c r="Q400" s="52"/>
      <c r="R400" s="52"/>
      <c r="S400" s="52"/>
      <c r="T400" s="69">
        <f>SUM(N400:S400)</f>
        <v>0</v>
      </c>
      <c r="U400" s="69">
        <f>T400+L400</f>
        <v>0</v>
      </c>
      <c r="V400" s="70"/>
      <c r="W400" s="53">
        <f>V400-U400</f>
        <v>0</v>
      </c>
      <c r="X400" s="113"/>
    </row>
    <row r="401" spans="1:28" s="3" customFormat="1" ht="21.8" hidden="1" customHeight="1">
      <c r="A401" s="595"/>
      <c r="B401" s="576"/>
      <c r="C401" s="577"/>
      <c r="D401" s="178" t="str">
        <f>серпень!D324</f>
        <v>касові нат.п-ки 2025</v>
      </c>
      <c r="E401" s="11"/>
      <c r="F401" s="11"/>
      <c r="G401" s="11"/>
      <c r="H401" s="11"/>
      <c r="I401" s="11"/>
      <c r="J401" s="11"/>
      <c r="K401" s="11"/>
      <c r="L401" s="65">
        <f>SUM(F401:K401)</f>
        <v>0</v>
      </c>
      <c r="M401" s="65">
        <f>L401/6</f>
        <v>0</v>
      </c>
      <c r="N401" s="11"/>
      <c r="O401" s="11"/>
      <c r="P401" s="11"/>
      <c r="Q401" s="11"/>
      <c r="R401" s="11"/>
      <c r="S401" s="11">
        <f>S396+R396</f>
        <v>0</v>
      </c>
      <c r="T401" s="65">
        <f>SUM(N401:S401)</f>
        <v>0</v>
      </c>
      <c r="U401" s="65">
        <f>T401+L401</f>
        <v>0</v>
      </c>
      <c r="V401" s="11">
        <f>V396</f>
        <v>0</v>
      </c>
      <c r="W401" s="38">
        <f>V401-U401</f>
        <v>0</v>
      </c>
      <c r="X401" s="47">
        <f>U396-U401</f>
        <v>0</v>
      </c>
    </row>
    <row r="402" spans="1:28" s="73" customFormat="1" ht="21.8" hidden="1" customHeight="1">
      <c r="A402" s="595"/>
      <c r="B402" s="576"/>
      <c r="C402" s="577"/>
      <c r="D402" s="187" t="str">
        <f>серпень!D325</f>
        <v>тариф, грн.</v>
      </c>
      <c r="E402" s="49" t="e">
        <f>E403/E401*1000</f>
        <v>#DIV/0!</v>
      </c>
      <c r="F402" s="49">
        <v>10.56</v>
      </c>
      <c r="G402" s="49">
        <v>10.56</v>
      </c>
      <c r="H402" s="49">
        <v>10.56</v>
      </c>
      <c r="I402" s="49">
        <v>10.56</v>
      </c>
      <c r="J402" s="49">
        <v>10.56</v>
      </c>
      <c r="K402" s="49">
        <v>10.56</v>
      </c>
      <c r="L402" s="49" t="e">
        <f>L403/L401*1000</f>
        <v>#DIV/0!</v>
      </c>
      <c r="M402" s="49" t="e">
        <f>M403/M401*1000</f>
        <v>#DIV/0!</v>
      </c>
      <c r="N402" s="49">
        <v>10.56</v>
      </c>
      <c r="O402" s="49">
        <v>10.56</v>
      </c>
      <c r="P402" s="49">
        <v>10.56</v>
      </c>
      <c r="Q402" s="49">
        <v>10.56</v>
      </c>
      <c r="R402" s="49">
        <v>10.56</v>
      </c>
      <c r="S402" s="49">
        <v>10.56</v>
      </c>
      <c r="T402" s="49" t="e">
        <f>T403/T401*1000</f>
        <v>#DIV/0!</v>
      </c>
      <c r="U402" s="49" t="e">
        <f>U403/U401*1000</f>
        <v>#DIV/0!</v>
      </c>
      <c r="V402" s="68" t="e">
        <f>V403/V401*1000</f>
        <v>#DIV/0!</v>
      </c>
      <c r="W402" s="14" t="e">
        <f>W403/W401*1000</f>
        <v>#DIV/0!</v>
      </c>
      <c r="X402" s="59"/>
      <c r="Y402" s="36"/>
      <c r="Z402" s="36"/>
      <c r="AA402" s="36"/>
      <c r="AB402" s="36"/>
    </row>
    <row r="403" spans="1:28" s="126" customFormat="1" ht="21.8" hidden="1" customHeight="1">
      <c r="A403" s="595"/>
      <c r="B403" s="576"/>
      <c r="C403" s="577"/>
      <c r="D403" s="198" t="str">
        <f>серпень!D326</f>
        <v>касові видатки, тис.грн.</v>
      </c>
      <c r="E403" s="71"/>
      <c r="F403" s="61">
        <f t="shared" ref="F403:K403" si="427">F401*F402/1000</f>
        <v>0</v>
      </c>
      <c r="G403" s="61">
        <f t="shared" si="427"/>
        <v>0</v>
      </c>
      <c r="H403" s="61">
        <f t="shared" si="427"/>
        <v>0</v>
      </c>
      <c r="I403" s="61">
        <f t="shared" si="427"/>
        <v>0</v>
      </c>
      <c r="J403" s="61">
        <f t="shared" si="427"/>
        <v>0</v>
      </c>
      <c r="K403" s="61">
        <f t="shared" si="427"/>
        <v>0</v>
      </c>
      <c r="L403" s="61">
        <f>SUM(F403:K403)</f>
        <v>0</v>
      </c>
      <c r="M403" s="61">
        <f>L403/6</f>
        <v>0</v>
      </c>
      <c r="N403" s="61">
        <f t="shared" ref="N403:S403" si="428">N401*N402/1000</f>
        <v>0</v>
      </c>
      <c r="O403" s="61">
        <f t="shared" si="428"/>
        <v>0</v>
      </c>
      <c r="P403" s="61">
        <f t="shared" si="428"/>
        <v>0</v>
      </c>
      <c r="Q403" s="61">
        <f t="shared" si="428"/>
        <v>0</v>
      </c>
      <c r="R403" s="61">
        <f t="shared" si="428"/>
        <v>0</v>
      </c>
      <c r="S403" s="61">
        <f t="shared" si="428"/>
        <v>0</v>
      </c>
      <c r="T403" s="61">
        <f>SUM(N403:S403)</f>
        <v>0</v>
      </c>
      <c r="U403" s="61">
        <f>T403+L403</f>
        <v>0</v>
      </c>
      <c r="V403" s="61">
        <f>V398</f>
        <v>0</v>
      </c>
      <c r="W403" s="72">
        <f>V403-U403</f>
        <v>0</v>
      </c>
      <c r="X403" s="63">
        <f>U398-U403</f>
        <v>0</v>
      </c>
    </row>
    <row r="404" spans="1:28" s="126" customFormat="1" ht="21.8" hidden="1" customHeight="1">
      <c r="A404" s="595"/>
      <c r="B404" s="576"/>
      <c r="C404" s="577"/>
      <c r="D404" s="201" t="str">
        <f>серпень!D327</f>
        <v>дотація</v>
      </c>
      <c r="E404" s="71"/>
      <c r="F404" s="61"/>
      <c r="G404" s="61"/>
      <c r="H404" s="61"/>
      <c r="I404" s="61"/>
      <c r="J404" s="61"/>
      <c r="K404" s="61"/>
      <c r="L404" s="61">
        <f>SUM(F404:K404)</f>
        <v>0</v>
      </c>
      <c r="M404" s="61">
        <f>L404/6</f>
        <v>0</v>
      </c>
      <c r="N404" s="61"/>
      <c r="O404" s="61"/>
      <c r="P404" s="61"/>
      <c r="Q404" s="61"/>
      <c r="R404" s="61"/>
      <c r="S404" s="61"/>
      <c r="T404" s="61">
        <f>SUM(N404:S404)</f>
        <v>0</v>
      </c>
      <c r="U404" s="61">
        <f>T404+L404</f>
        <v>0</v>
      </c>
      <c r="V404" s="61">
        <f>V399</f>
        <v>0</v>
      </c>
      <c r="W404" s="72">
        <f>V404-U404</f>
        <v>0</v>
      </c>
      <c r="X404" s="63">
        <f>U399-U404</f>
        <v>0</v>
      </c>
    </row>
    <row r="405" spans="1:28" s="126" customFormat="1" ht="21.8" hidden="1" customHeight="1">
      <c r="A405" s="595"/>
      <c r="B405" s="576"/>
      <c r="C405" s="577"/>
      <c r="D405" s="201" t="str">
        <f>серпень!D328</f>
        <v xml:space="preserve">місцевий </v>
      </c>
      <c r="E405" s="71"/>
      <c r="F405" s="61">
        <f t="shared" ref="F405:K405" si="429">F403-F404</f>
        <v>0</v>
      </c>
      <c r="G405" s="61">
        <f t="shared" si="429"/>
        <v>0</v>
      </c>
      <c r="H405" s="61">
        <f t="shared" si="429"/>
        <v>0</v>
      </c>
      <c r="I405" s="61">
        <f t="shared" si="429"/>
        <v>0</v>
      </c>
      <c r="J405" s="61">
        <f t="shared" si="429"/>
        <v>0</v>
      </c>
      <c r="K405" s="61">
        <f t="shared" si="429"/>
        <v>0</v>
      </c>
      <c r="L405" s="61">
        <f>SUM(F405:K405)</f>
        <v>0</v>
      </c>
      <c r="M405" s="61">
        <f>L405/6</f>
        <v>0</v>
      </c>
      <c r="N405" s="61">
        <f t="shared" ref="N405:S405" si="430">N403-N404</f>
        <v>0</v>
      </c>
      <c r="O405" s="61">
        <f t="shared" si="430"/>
        <v>0</v>
      </c>
      <c r="P405" s="61">
        <f t="shared" si="430"/>
        <v>0</v>
      </c>
      <c r="Q405" s="61">
        <f t="shared" si="430"/>
        <v>0</v>
      </c>
      <c r="R405" s="61">
        <f t="shared" si="430"/>
        <v>0</v>
      </c>
      <c r="S405" s="61">
        <f t="shared" si="430"/>
        <v>0</v>
      </c>
      <c r="T405" s="61">
        <f>SUM(N405:S405)</f>
        <v>0</v>
      </c>
      <c r="U405" s="61">
        <f>T405+L405</f>
        <v>0</v>
      </c>
      <c r="V405" s="61">
        <f>V400</f>
        <v>0</v>
      </c>
      <c r="W405" s="72">
        <f>V405-U405</f>
        <v>0</v>
      </c>
      <c r="X405" s="63">
        <f>U400-U405</f>
        <v>0</v>
      </c>
    </row>
    <row r="406" spans="1:28" s="43" customFormat="1" ht="21.8" hidden="1" customHeight="1">
      <c r="A406" s="595"/>
      <c r="B406" s="576"/>
      <c r="C406" s="577"/>
      <c r="D406" s="202" t="str">
        <f>серпень!D329</f>
        <v>план</v>
      </c>
      <c r="E406" s="42"/>
      <c r="F406" s="42">
        <f t="shared" ref="F406:K406" si="431">F400</f>
        <v>0</v>
      </c>
      <c r="G406" s="42">
        <f t="shared" si="431"/>
        <v>0</v>
      </c>
      <c r="H406" s="42">
        <f t="shared" si="431"/>
        <v>0</v>
      </c>
      <c r="I406" s="42">
        <f t="shared" si="431"/>
        <v>0</v>
      </c>
      <c r="J406" s="42">
        <f t="shared" si="431"/>
        <v>0</v>
      </c>
      <c r="K406" s="42">
        <f t="shared" si="431"/>
        <v>0</v>
      </c>
      <c r="L406" s="42">
        <f>SUM(F406:K406)</f>
        <v>0</v>
      </c>
      <c r="M406" s="42">
        <f>L406/6</f>
        <v>0</v>
      </c>
      <c r="N406" s="42">
        <f t="shared" ref="N406:S406" si="432">N400+N399</f>
        <v>0</v>
      </c>
      <c r="O406" s="42">
        <f t="shared" si="432"/>
        <v>0</v>
      </c>
      <c r="P406" s="42">
        <f t="shared" si="432"/>
        <v>0</v>
      </c>
      <c r="Q406" s="42">
        <f t="shared" si="432"/>
        <v>0</v>
      </c>
      <c r="R406" s="42">
        <f t="shared" si="432"/>
        <v>0</v>
      </c>
      <c r="S406" s="42">
        <f t="shared" si="432"/>
        <v>0</v>
      </c>
      <c r="T406" s="42">
        <f>SUM(N406:S406)</f>
        <v>0</v>
      </c>
      <c r="U406" s="42">
        <f>T406+L406</f>
        <v>0</v>
      </c>
      <c r="V406" s="42">
        <f>V403</f>
        <v>0</v>
      </c>
      <c r="W406" s="42">
        <f>V406-U406</f>
        <v>0</v>
      </c>
    </row>
    <row r="407" spans="1:28" s="43" customFormat="1" ht="21.8" hidden="1" customHeight="1">
      <c r="A407" s="595"/>
      <c r="B407" s="576"/>
      <c r="C407" s="577"/>
      <c r="D407" s="202" t="str">
        <f>серпень!D330</f>
        <v xml:space="preserve">відхилення </v>
      </c>
      <c r="E407" s="42"/>
      <c r="F407" s="42">
        <f t="shared" ref="F407:K407" si="433">F403-F406</f>
        <v>0</v>
      </c>
      <c r="G407" s="42">
        <f t="shared" si="433"/>
        <v>0</v>
      </c>
      <c r="H407" s="42">
        <f t="shared" si="433"/>
        <v>0</v>
      </c>
      <c r="I407" s="42">
        <f t="shared" si="433"/>
        <v>0</v>
      </c>
      <c r="J407" s="42">
        <f t="shared" si="433"/>
        <v>0</v>
      </c>
      <c r="K407" s="42">
        <f t="shared" si="433"/>
        <v>0</v>
      </c>
      <c r="L407" s="42"/>
      <c r="M407" s="42"/>
      <c r="N407" s="42">
        <f t="shared" ref="N407:S407" si="434">N403-N406</f>
        <v>0</v>
      </c>
      <c r="O407" s="42">
        <f t="shared" si="434"/>
        <v>0</v>
      </c>
      <c r="P407" s="42">
        <f t="shared" si="434"/>
        <v>0</v>
      </c>
      <c r="Q407" s="42">
        <f t="shared" si="434"/>
        <v>0</v>
      </c>
      <c r="R407" s="42">
        <f t="shared" si="434"/>
        <v>0</v>
      </c>
      <c r="S407" s="42">
        <f t="shared" si="434"/>
        <v>0</v>
      </c>
      <c r="T407" s="42"/>
      <c r="U407" s="42"/>
      <c r="V407" s="42"/>
      <c r="W407" s="42"/>
    </row>
    <row r="408" spans="1:28" s="43" customFormat="1" ht="21.8" hidden="1" customHeight="1">
      <c r="A408" s="596"/>
      <c r="B408" s="578"/>
      <c r="C408" s="579"/>
      <c r="D408" s="202" t="str">
        <f>серпень!D331</f>
        <v>відхилення з наростаючим</v>
      </c>
      <c r="E408" s="42"/>
      <c r="F408" s="42">
        <f>F407</f>
        <v>0</v>
      </c>
      <c r="G408" s="42">
        <f>G407+F408</f>
        <v>0</v>
      </c>
      <c r="H408" s="42">
        <f>H407+G408</f>
        <v>0</v>
      </c>
      <c r="I408" s="42">
        <f>I407+H408</f>
        <v>0</v>
      </c>
      <c r="J408" s="42">
        <f>J407+I408</f>
        <v>0</v>
      </c>
      <c r="K408" s="42">
        <f>K407+J408</f>
        <v>0</v>
      </c>
      <c r="L408" s="42"/>
      <c r="M408" s="42"/>
      <c r="N408" s="42">
        <f>N407+K408</f>
        <v>0</v>
      </c>
      <c r="O408" s="42">
        <f>O407+N408</f>
        <v>0</v>
      </c>
      <c r="P408" s="42">
        <f>P407+O408</f>
        <v>0</v>
      </c>
      <c r="Q408" s="42">
        <f>Q407+P408</f>
        <v>0</v>
      </c>
      <c r="R408" s="42">
        <f>R407+Q408</f>
        <v>0</v>
      </c>
      <c r="S408" s="42">
        <f>S407+R408</f>
        <v>0</v>
      </c>
      <c r="T408" s="42"/>
      <c r="U408" s="42"/>
      <c r="V408" s="42"/>
      <c r="W408" s="42"/>
    </row>
    <row r="409" spans="1:28" s="157" customFormat="1" ht="18" customHeight="1">
      <c r="A409" s="582" t="s">
        <v>39</v>
      </c>
      <c r="B409" s="655" t="s">
        <v>40</v>
      </c>
      <c r="C409" s="656"/>
      <c r="D409" s="178" t="str">
        <f>серпень!D332</f>
        <v>факт. нат.п-ки 2023</v>
      </c>
      <c r="E409" s="179"/>
      <c r="F409" s="180">
        <f t="shared" ref="F409:K409" si="435">F426+F441+F456</f>
        <v>351</v>
      </c>
      <c r="G409" s="180">
        <f t="shared" si="435"/>
        <v>394</v>
      </c>
      <c r="H409" s="180">
        <f t="shared" si="435"/>
        <v>553</v>
      </c>
      <c r="I409" s="180">
        <f t="shared" si="435"/>
        <v>708</v>
      </c>
      <c r="J409" s="180">
        <f t="shared" si="435"/>
        <v>587</v>
      </c>
      <c r="K409" s="180">
        <f t="shared" si="435"/>
        <v>300</v>
      </c>
      <c r="L409" s="215">
        <f>SUM(F409:K409)</f>
        <v>2893</v>
      </c>
      <c r="M409" s="215">
        <f>L409/6</f>
        <v>482.2</v>
      </c>
      <c r="N409" s="180">
        <f t="shared" ref="N409:S409" si="436">N426+N441+N456</f>
        <v>338.2</v>
      </c>
      <c r="O409" s="180">
        <f t="shared" si="436"/>
        <v>457.4</v>
      </c>
      <c r="P409" s="180">
        <f t="shared" si="436"/>
        <v>516</v>
      </c>
      <c r="Q409" s="180">
        <f t="shared" si="436"/>
        <v>257</v>
      </c>
      <c r="R409" s="180">
        <f t="shared" si="436"/>
        <v>275.10000000000002</v>
      </c>
      <c r="S409" s="180">
        <f t="shared" si="436"/>
        <v>486</v>
      </c>
      <c r="T409" s="215">
        <f>SUM(N409:S409)</f>
        <v>2329.6999999999998</v>
      </c>
      <c r="U409" s="215">
        <f>T409+L409</f>
        <v>5222.7</v>
      </c>
      <c r="V409" s="233">
        <f>V426+V456</f>
        <v>0</v>
      </c>
      <c r="W409" s="184"/>
      <c r="X409" s="209"/>
    </row>
    <row r="410" spans="1:28" s="157" customFormat="1" ht="18" customHeight="1">
      <c r="A410" s="583"/>
      <c r="B410" s="657"/>
      <c r="C410" s="658"/>
      <c r="D410" s="178" t="str">
        <f>серпень!D333</f>
        <v>факт. нат.п-ки 2024</v>
      </c>
      <c r="E410" s="179"/>
      <c r="F410" s="180">
        <f t="shared" ref="F410:K410" si="437">F427+F442+F457</f>
        <v>569</v>
      </c>
      <c r="G410" s="180">
        <f t="shared" si="437"/>
        <v>397</v>
      </c>
      <c r="H410" s="180">
        <f t="shared" si="437"/>
        <v>390</v>
      </c>
      <c r="I410" s="180">
        <f t="shared" si="437"/>
        <v>288</v>
      </c>
      <c r="J410" s="180">
        <f t="shared" si="437"/>
        <v>334</v>
      </c>
      <c r="K410" s="180">
        <f t="shared" si="437"/>
        <v>638</v>
      </c>
      <c r="L410" s="215">
        <f>SUM(F410:K410)</f>
        <v>2616</v>
      </c>
      <c r="M410" s="215">
        <f>L410/6</f>
        <v>436</v>
      </c>
      <c r="N410" s="180">
        <f t="shared" ref="N410:S410" si="438">N427+N442+N457</f>
        <v>786</v>
      </c>
      <c r="O410" s="180">
        <f t="shared" si="438"/>
        <v>514.6</v>
      </c>
      <c r="P410" s="180">
        <f t="shared" si="438"/>
        <v>321.39999999999998</v>
      </c>
      <c r="Q410" s="180">
        <f t="shared" si="438"/>
        <v>297</v>
      </c>
      <c r="R410" s="180">
        <f t="shared" si="438"/>
        <v>355.1</v>
      </c>
      <c r="S410" s="180">
        <f t="shared" si="438"/>
        <v>526</v>
      </c>
      <c r="T410" s="215">
        <f>SUM(N410:S410)</f>
        <v>2800.1</v>
      </c>
      <c r="U410" s="215">
        <f>T410+L410</f>
        <v>5416.1</v>
      </c>
      <c r="V410" s="233">
        <f>V427+V457</f>
        <v>5535.2</v>
      </c>
      <c r="W410" s="184"/>
      <c r="X410" s="209"/>
    </row>
    <row r="411" spans="1:28" s="157" customFormat="1" ht="18" customHeight="1">
      <c r="A411" s="583"/>
      <c r="B411" s="657"/>
      <c r="C411" s="658"/>
      <c r="D411" s="178" t="str">
        <f>серпень!D334</f>
        <v>факт. нат.п-ки 2025</v>
      </c>
      <c r="E411" s="179"/>
      <c r="F411" s="180">
        <f>F428+F443+F458</f>
        <v>648</v>
      </c>
      <c r="G411" s="180">
        <f t="shared" ref="G411:K411" si="439">G428+G443+G458</f>
        <v>446</v>
      </c>
      <c r="H411" s="180">
        <f t="shared" si="439"/>
        <v>390</v>
      </c>
      <c r="I411" s="180">
        <f t="shared" si="439"/>
        <v>407.1</v>
      </c>
      <c r="J411" s="180">
        <f t="shared" si="439"/>
        <v>334</v>
      </c>
      <c r="K411" s="180">
        <f t="shared" si="439"/>
        <v>638</v>
      </c>
      <c r="L411" s="234">
        <f>SUM(F411:K411)</f>
        <v>2863.1</v>
      </c>
      <c r="M411" s="215">
        <f>L411/6</f>
        <v>477.2</v>
      </c>
      <c r="N411" s="180">
        <f t="shared" ref="N411:S411" si="440">N428+N443+N458</f>
        <v>808.9</v>
      </c>
      <c r="O411" s="180">
        <f t="shared" si="440"/>
        <v>514.6</v>
      </c>
      <c r="P411" s="180">
        <f t="shared" si="440"/>
        <v>321.39999999999998</v>
      </c>
      <c r="Q411" s="180">
        <f t="shared" si="440"/>
        <v>297</v>
      </c>
      <c r="R411" s="180">
        <f t="shared" si="440"/>
        <v>355.1</v>
      </c>
      <c r="S411" s="180">
        <f t="shared" si="440"/>
        <v>526</v>
      </c>
      <c r="T411" s="215">
        <f>SUM(N411:S411)</f>
        <v>2823</v>
      </c>
      <c r="U411" s="215">
        <f>T411+L411</f>
        <v>5686.1</v>
      </c>
      <c r="V411" s="233">
        <f>V428+V443+V458</f>
        <v>5535.2</v>
      </c>
      <c r="W411" s="184">
        <f>V411-U411</f>
        <v>-150.9</v>
      </c>
      <c r="X411" s="209"/>
    </row>
    <row r="412" spans="1:28" s="241" customFormat="1" ht="18" customHeight="1">
      <c r="A412" s="583"/>
      <c r="B412" s="657"/>
      <c r="C412" s="658"/>
      <c r="D412" s="187" t="str">
        <f>серпень!D335</f>
        <v>тариф, грн.</v>
      </c>
      <c r="E412" s="188"/>
      <c r="F412" s="188">
        <f t="shared" ref="F412:S412" si="441">F413/F411*1000</f>
        <v>14.183999999999999</v>
      </c>
      <c r="G412" s="188">
        <f t="shared" si="441"/>
        <v>14.183999999999999</v>
      </c>
      <c r="H412" s="188">
        <f t="shared" si="441"/>
        <v>14.185</v>
      </c>
      <c r="I412" s="188">
        <f t="shared" si="441"/>
        <v>14.183</v>
      </c>
      <c r="J412" s="188">
        <f t="shared" si="441"/>
        <v>14.183</v>
      </c>
      <c r="K412" s="188">
        <f t="shared" si="441"/>
        <v>14.183</v>
      </c>
      <c r="L412" s="188">
        <f t="shared" si="441"/>
        <v>14.183999999999999</v>
      </c>
      <c r="M412" s="188">
        <f t="shared" si="441"/>
        <v>14.183</v>
      </c>
      <c r="N412" s="188">
        <f t="shared" si="441"/>
        <v>14.183</v>
      </c>
      <c r="O412" s="188">
        <f t="shared" si="441"/>
        <v>14.183999999999999</v>
      </c>
      <c r="P412" s="188">
        <f t="shared" si="441"/>
        <v>14.185</v>
      </c>
      <c r="Q412" s="188">
        <f t="shared" si="441"/>
        <v>14.185</v>
      </c>
      <c r="R412" s="188">
        <f t="shared" si="441"/>
        <v>14.185</v>
      </c>
      <c r="S412" s="188">
        <f t="shared" si="441"/>
        <v>14.183</v>
      </c>
      <c r="T412" s="188">
        <f>T413/T411*1000</f>
        <v>14.183999999999999</v>
      </c>
      <c r="U412" s="188">
        <f>U413/U411*1000</f>
        <v>14.183999999999999</v>
      </c>
      <c r="V412" s="188">
        <f>V413/V411*1000</f>
        <v>14.183999999999999</v>
      </c>
      <c r="W412" s="189">
        <f>W413/W411*1000</f>
        <v>14.175000000000001</v>
      </c>
      <c r="X412" s="240"/>
    </row>
    <row r="413" spans="1:28" s="172" customFormat="1" ht="18" customHeight="1">
      <c r="A413" s="583"/>
      <c r="B413" s="657"/>
      <c r="C413" s="658"/>
      <c r="D413" s="191" t="str">
        <f>серпень!D336</f>
        <v>сума, тис.грн.</v>
      </c>
      <c r="E413" s="192"/>
      <c r="F413" s="192">
        <f t="shared" ref="F413:K413" si="442">F430+F445+F460</f>
        <v>9.1910000000000007</v>
      </c>
      <c r="G413" s="192">
        <f t="shared" si="442"/>
        <v>6.3259999999999996</v>
      </c>
      <c r="H413" s="192">
        <f t="shared" si="442"/>
        <v>5.532</v>
      </c>
      <c r="I413" s="192">
        <f t="shared" si="442"/>
        <v>5.774</v>
      </c>
      <c r="J413" s="192">
        <f t="shared" si="442"/>
        <v>4.7370000000000001</v>
      </c>
      <c r="K413" s="192">
        <f t="shared" si="442"/>
        <v>9.0489999999999995</v>
      </c>
      <c r="L413" s="194">
        <f t="shared" ref="L413:L418" si="443">SUM(F413:K413)</f>
        <v>40.609000000000002</v>
      </c>
      <c r="M413" s="194">
        <f t="shared" ref="M413:M418" si="444">L413/6</f>
        <v>6.7679999999999998</v>
      </c>
      <c r="N413" s="192">
        <f t="shared" ref="N413:S413" si="445">N430+N445+N460</f>
        <v>11.473000000000001</v>
      </c>
      <c r="O413" s="192">
        <f t="shared" si="445"/>
        <v>7.2990000000000004</v>
      </c>
      <c r="P413" s="192">
        <f t="shared" si="445"/>
        <v>4.5590000000000002</v>
      </c>
      <c r="Q413" s="192">
        <f t="shared" si="445"/>
        <v>4.2130000000000001</v>
      </c>
      <c r="R413" s="192">
        <f t="shared" si="445"/>
        <v>5.0369999999999999</v>
      </c>
      <c r="S413" s="192">
        <f t="shared" si="445"/>
        <v>7.46</v>
      </c>
      <c r="T413" s="194">
        <f t="shared" ref="T413:T418" si="446">SUM(N413:S413)</f>
        <v>40.040999999999997</v>
      </c>
      <c r="U413" s="194">
        <f t="shared" ref="U413:U418" si="447">T413+L413</f>
        <v>80.650000000000006</v>
      </c>
      <c r="V413" s="192">
        <f t="shared" ref="V413" si="448">V430+V445+V460</f>
        <v>78.510999999999996</v>
      </c>
      <c r="W413" s="192">
        <f>V413-U413</f>
        <v>-2.1389999999999998</v>
      </c>
    </row>
    <row r="414" spans="1:28" s="172" customFormat="1" ht="18" customHeight="1">
      <c r="A414" s="583"/>
      <c r="B414" s="657"/>
      <c r="C414" s="658"/>
      <c r="D414" s="174" t="str">
        <f>серпень!D337</f>
        <v>абоненська плата, тис.грн.</v>
      </c>
      <c r="E414" s="192"/>
      <c r="F414" s="192">
        <f>F445</f>
        <v>0</v>
      </c>
      <c r="G414" s="192">
        <f t="shared" ref="G414:K414" si="449">G445</f>
        <v>0</v>
      </c>
      <c r="H414" s="192">
        <f t="shared" si="449"/>
        <v>0</v>
      </c>
      <c r="I414" s="192">
        <f t="shared" si="449"/>
        <v>0</v>
      </c>
      <c r="J414" s="192">
        <f t="shared" si="449"/>
        <v>0</v>
      </c>
      <c r="K414" s="192">
        <f t="shared" si="449"/>
        <v>0</v>
      </c>
      <c r="L414" s="194">
        <f t="shared" si="443"/>
        <v>0</v>
      </c>
      <c r="M414" s="194">
        <f t="shared" si="444"/>
        <v>0</v>
      </c>
      <c r="N414" s="192">
        <f>N445</f>
        <v>0</v>
      </c>
      <c r="O414" s="192">
        <f t="shared" ref="O414:S414" si="450">O445</f>
        <v>0</v>
      </c>
      <c r="P414" s="192">
        <f t="shared" si="450"/>
        <v>0</v>
      </c>
      <c r="Q414" s="192">
        <f t="shared" si="450"/>
        <v>0</v>
      </c>
      <c r="R414" s="192">
        <f t="shared" si="450"/>
        <v>0</v>
      </c>
      <c r="S414" s="192">
        <f t="shared" si="450"/>
        <v>0</v>
      </c>
      <c r="T414" s="194">
        <f t="shared" si="446"/>
        <v>0</v>
      </c>
      <c r="U414" s="194">
        <f t="shared" si="447"/>
        <v>0</v>
      </c>
      <c r="V414" s="192">
        <f t="shared" ref="V414" si="451">V445</f>
        <v>0</v>
      </c>
      <c r="W414" s="192">
        <f t="shared" ref="W414:W415" si="452">V414-U414</f>
        <v>0</v>
      </c>
    </row>
    <row r="415" spans="1:28" s="172" customFormat="1" ht="18" customHeight="1">
      <c r="A415" s="583"/>
      <c r="B415" s="657"/>
      <c r="C415" s="658"/>
      <c r="D415" s="174" t="str">
        <f>серпень!D338</f>
        <v>разом сума тис. грн+абонплата</v>
      </c>
      <c r="E415" s="192"/>
      <c r="F415" s="192">
        <f>F413+F414</f>
        <v>9.1910000000000007</v>
      </c>
      <c r="G415" s="192">
        <f t="shared" ref="G415:K415" si="453">G413+G414</f>
        <v>6.3259999999999996</v>
      </c>
      <c r="H415" s="192">
        <f t="shared" si="453"/>
        <v>5.532</v>
      </c>
      <c r="I415" s="192">
        <f t="shared" si="453"/>
        <v>5.774</v>
      </c>
      <c r="J415" s="192">
        <f t="shared" si="453"/>
        <v>4.7370000000000001</v>
      </c>
      <c r="K415" s="192">
        <f t="shared" si="453"/>
        <v>9.0489999999999995</v>
      </c>
      <c r="L415" s="194">
        <f t="shared" si="443"/>
        <v>40.609000000000002</v>
      </c>
      <c r="M415" s="194">
        <f t="shared" si="444"/>
        <v>6.7679999999999998</v>
      </c>
      <c r="N415" s="192">
        <f>N413+N414</f>
        <v>11.473000000000001</v>
      </c>
      <c r="O415" s="192">
        <f t="shared" ref="O415:S415" si="454">O413+O414</f>
        <v>7.2990000000000004</v>
      </c>
      <c r="P415" s="192">
        <f t="shared" si="454"/>
        <v>4.5590000000000002</v>
      </c>
      <c r="Q415" s="192">
        <f t="shared" si="454"/>
        <v>4.2130000000000001</v>
      </c>
      <c r="R415" s="192">
        <f t="shared" si="454"/>
        <v>5.0369999999999999</v>
      </c>
      <c r="S415" s="192">
        <f t="shared" si="454"/>
        <v>7.46</v>
      </c>
      <c r="T415" s="194">
        <f t="shared" si="446"/>
        <v>40.040999999999997</v>
      </c>
      <c r="U415" s="194">
        <f t="shared" si="447"/>
        <v>80.650000000000006</v>
      </c>
      <c r="V415" s="192">
        <f t="shared" ref="V415" si="455">V413+V414</f>
        <v>78.510999999999996</v>
      </c>
      <c r="W415" s="192">
        <f t="shared" si="452"/>
        <v>-2.1389999999999998</v>
      </c>
    </row>
    <row r="416" spans="1:28" s="172" customFormat="1" ht="18" customHeight="1">
      <c r="A416" s="583"/>
      <c r="B416" s="657"/>
      <c r="C416" s="658"/>
      <c r="D416" s="174" t="str">
        <f>серпень!D339</f>
        <v>дотація</v>
      </c>
      <c r="E416" s="192"/>
      <c r="F416" s="192">
        <f t="shared" ref="F416:K416" si="456">F431+F446+F461</f>
        <v>0</v>
      </c>
      <c r="G416" s="192">
        <f t="shared" si="456"/>
        <v>0</v>
      </c>
      <c r="H416" s="192">
        <f t="shared" si="456"/>
        <v>0</v>
      </c>
      <c r="I416" s="192">
        <f t="shared" si="456"/>
        <v>0</v>
      </c>
      <c r="J416" s="192">
        <f t="shared" si="456"/>
        <v>0</v>
      </c>
      <c r="K416" s="192">
        <f t="shared" si="456"/>
        <v>0</v>
      </c>
      <c r="L416" s="194">
        <f t="shared" si="443"/>
        <v>0</v>
      </c>
      <c r="M416" s="194">
        <f t="shared" si="444"/>
        <v>0</v>
      </c>
      <c r="N416" s="192">
        <f t="shared" ref="N416:S416" si="457">N431+N446+N461</f>
        <v>0</v>
      </c>
      <c r="O416" s="192">
        <f t="shared" si="457"/>
        <v>0</v>
      </c>
      <c r="P416" s="192">
        <f t="shared" si="457"/>
        <v>0</v>
      </c>
      <c r="Q416" s="192">
        <f t="shared" si="457"/>
        <v>0</v>
      </c>
      <c r="R416" s="192">
        <f t="shared" si="457"/>
        <v>0</v>
      </c>
      <c r="S416" s="192">
        <f t="shared" si="457"/>
        <v>0</v>
      </c>
      <c r="T416" s="194">
        <f t="shared" si="446"/>
        <v>0</v>
      </c>
      <c r="U416" s="194">
        <f t="shared" si="447"/>
        <v>0</v>
      </c>
      <c r="V416" s="192">
        <f t="shared" ref="V416:V417" si="458">V431+V446+V461</f>
        <v>0</v>
      </c>
      <c r="W416" s="192">
        <f>V416-U416</f>
        <v>0</v>
      </c>
    </row>
    <row r="417" spans="1:28" s="172" customFormat="1" ht="18" customHeight="1">
      <c r="A417" s="583"/>
      <c r="B417" s="657"/>
      <c r="C417" s="658"/>
      <c r="D417" s="174" t="str">
        <f>серпень!D340</f>
        <v>місцевий (план), тис.грн</v>
      </c>
      <c r="E417" s="192"/>
      <c r="F417" s="192">
        <f t="shared" ref="F417:K417" si="459">F432+F447+F462</f>
        <v>8.0709999999999997</v>
      </c>
      <c r="G417" s="192">
        <f t="shared" si="459"/>
        <v>5.6310000000000002</v>
      </c>
      <c r="H417" s="192">
        <f t="shared" si="459"/>
        <v>5.532</v>
      </c>
      <c r="I417" s="192">
        <f t="shared" si="459"/>
        <v>5.774</v>
      </c>
      <c r="J417" s="192">
        <f t="shared" si="459"/>
        <v>4.7370000000000001</v>
      </c>
      <c r="K417" s="192">
        <f t="shared" si="459"/>
        <v>9.0489999999999995</v>
      </c>
      <c r="L417" s="194">
        <f t="shared" si="443"/>
        <v>38.793999999999997</v>
      </c>
      <c r="M417" s="194">
        <f t="shared" si="444"/>
        <v>6.4660000000000002</v>
      </c>
      <c r="N417" s="192">
        <f t="shared" ref="N417:S417" si="460">N432+N447+N462</f>
        <v>11.148999999999999</v>
      </c>
      <c r="O417" s="192">
        <f t="shared" si="460"/>
        <v>7.2990000000000004</v>
      </c>
      <c r="P417" s="192">
        <f t="shared" si="460"/>
        <v>4.5590000000000002</v>
      </c>
      <c r="Q417" s="192">
        <f t="shared" si="460"/>
        <v>4.2130000000000001</v>
      </c>
      <c r="R417" s="192">
        <f t="shared" si="460"/>
        <v>5.0369999999999999</v>
      </c>
      <c r="S417" s="192">
        <f t="shared" si="460"/>
        <v>7.46</v>
      </c>
      <c r="T417" s="194">
        <f t="shared" si="446"/>
        <v>39.716999999999999</v>
      </c>
      <c r="U417" s="194">
        <f t="shared" si="447"/>
        <v>78.510999999999996</v>
      </c>
      <c r="V417" s="192">
        <f t="shared" si="458"/>
        <v>78.510999999999996</v>
      </c>
      <c r="W417" s="192">
        <f>V417-U417</f>
        <v>0</v>
      </c>
    </row>
    <row r="418" spans="1:28" s="157" customFormat="1" ht="18" customHeight="1">
      <c r="A418" s="583"/>
      <c r="B418" s="657"/>
      <c r="C418" s="658"/>
      <c r="D418" s="178" t="str">
        <f>серпень!D341</f>
        <v>касові нат.п-ки 2025</v>
      </c>
      <c r="E418" s="179">
        <f>E433</f>
        <v>0</v>
      </c>
      <c r="F418" s="179">
        <f t="shared" ref="F418:K418" si="461">F433+F448+F463</f>
        <v>648</v>
      </c>
      <c r="G418" s="179">
        <f t="shared" si="461"/>
        <v>446</v>
      </c>
      <c r="H418" s="179">
        <f t="shared" si="461"/>
        <v>390</v>
      </c>
      <c r="I418" s="179">
        <f t="shared" si="461"/>
        <v>407.1</v>
      </c>
      <c r="J418" s="179">
        <f t="shared" si="461"/>
        <v>334</v>
      </c>
      <c r="K418" s="179">
        <f t="shared" si="461"/>
        <v>638</v>
      </c>
      <c r="L418" s="215">
        <f t="shared" si="443"/>
        <v>2863.1</v>
      </c>
      <c r="M418" s="215">
        <f t="shared" si="444"/>
        <v>477.2</v>
      </c>
      <c r="N418" s="179">
        <f t="shared" ref="N418:S418" si="462">N433+N448+N463</f>
        <v>808.9</v>
      </c>
      <c r="O418" s="179">
        <f t="shared" si="462"/>
        <v>0</v>
      </c>
      <c r="P418" s="179">
        <f t="shared" si="462"/>
        <v>836</v>
      </c>
      <c r="Q418" s="179">
        <f t="shared" si="462"/>
        <v>297</v>
      </c>
      <c r="R418" s="179">
        <f t="shared" si="462"/>
        <v>355.1</v>
      </c>
      <c r="S418" s="179">
        <f t="shared" si="462"/>
        <v>526</v>
      </c>
      <c r="T418" s="215">
        <f t="shared" si="446"/>
        <v>2823</v>
      </c>
      <c r="U418" s="215">
        <f t="shared" si="447"/>
        <v>5686.1</v>
      </c>
      <c r="V418" s="179">
        <f>V433+V463</f>
        <v>5535.2</v>
      </c>
      <c r="W418" s="184">
        <f>V418-U418</f>
        <v>-150.9</v>
      </c>
      <c r="X418" s="209">
        <f>U411-U418</f>
        <v>0</v>
      </c>
    </row>
    <row r="419" spans="1:28" s="241" customFormat="1" ht="18" customHeight="1">
      <c r="A419" s="583"/>
      <c r="B419" s="657"/>
      <c r="C419" s="658"/>
      <c r="D419" s="187" t="str">
        <f>серпень!D342</f>
        <v>тариф, грн.</v>
      </c>
      <c r="E419" s="188" t="e">
        <f t="shared" ref="E419:S419" si="463">E420/E418*1000</f>
        <v>#DIV/0!</v>
      </c>
      <c r="F419" s="188">
        <f t="shared" si="463"/>
        <v>14.183999999999999</v>
      </c>
      <c r="G419" s="188">
        <f t="shared" si="463"/>
        <v>14.183999999999999</v>
      </c>
      <c r="H419" s="188">
        <f t="shared" si="463"/>
        <v>14.185</v>
      </c>
      <c r="I419" s="188">
        <f t="shared" si="463"/>
        <v>14.183</v>
      </c>
      <c r="J419" s="188">
        <f t="shared" si="463"/>
        <v>14.183</v>
      </c>
      <c r="K419" s="188">
        <f t="shared" si="463"/>
        <v>14.183</v>
      </c>
      <c r="L419" s="188">
        <f t="shared" si="463"/>
        <v>14.183999999999999</v>
      </c>
      <c r="M419" s="188">
        <f t="shared" si="463"/>
        <v>14.183</v>
      </c>
      <c r="N419" s="188">
        <f t="shared" si="463"/>
        <v>14.183</v>
      </c>
      <c r="O419" s="188" t="e">
        <f t="shared" si="463"/>
        <v>#DIV/0!</v>
      </c>
      <c r="P419" s="188">
        <f t="shared" si="463"/>
        <v>14.183999999999999</v>
      </c>
      <c r="Q419" s="188">
        <f t="shared" si="463"/>
        <v>14.185</v>
      </c>
      <c r="R419" s="188">
        <f t="shared" si="463"/>
        <v>14.185</v>
      </c>
      <c r="S419" s="188">
        <f t="shared" si="463"/>
        <v>14.183</v>
      </c>
      <c r="T419" s="188">
        <f>T420/T418*1000</f>
        <v>14.183999999999999</v>
      </c>
      <c r="U419" s="188">
        <f>U420/U418*1000</f>
        <v>14.183999999999999</v>
      </c>
      <c r="V419" s="188">
        <f>V420/V418*1000</f>
        <v>14.183999999999999</v>
      </c>
      <c r="W419" s="189">
        <f>W420/W418*1000</f>
        <v>14.175000000000001</v>
      </c>
      <c r="X419" s="240"/>
    </row>
    <row r="420" spans="1:28" s="213" customFormat="1" ht="18" customHeight="1">
      <c r="A420" s="583"/>
      <c r="B420" s="657"/>
      <c r="C420" s="658"/>
      <c r="D420" s="198" t="str">
        <f>серпень!D343</f>
        <v>касові видатки, тис.грн.</v>
      </c>
      <c r="E420" s="220">
        <f>E435+E465</f>
        <v>0</v>
      </c>
      <c r="F420" s="199">
        <f t="shared" ref="F420:K420" si="464">F435+F450+F465</f>
        <v>9.1910000000000007</v>
      </c>
      <c r="G420" s="199">
        <f t="shared" si="464"/>
        <v>6.3259999999999996</v>
      </c>
      <c r="H420" s="199">
        <f t="shared" si="464"/>
        <v>5.532</v>
      </c>
      <c r="I420" s="199">
        <f t="shared" si="464"/>
        <v>5.774</v>
      </c>
      <c r="J420" s="199">
        <f t="shared" si="464"/>
        <v>4.7370000000000001</v>
      </c>
      <c r="K420" s="199">
        <f t="shared" si="464"/>
        <v>9.0489999999999995</v>
      </c>
      <c r="L420" s="199">
        <f>SUM(F420:K420)</f>
        <v>40.609000000000002</v>
      </c>
      <c r="M420" s="199">
        <f>L420/6</f>
        <v>6.7679999999999998</v>
      </c>
      <c r="N420" s="199">
        <f t="shared" ref="N420:S420" si="465">N435+N450+N465</f>
        <v>11.473000000000001</v>
      </c>
      <c r="O420" s="199">
        <f t="shared" si="465"/>
        <v>0</v>
      </c>
      <c r="P420" s="199">
        <f t="shared" si="465"/>
        <v>11.858000000000001</v>
      </c>
      <c r="Q420" s="199">
        <f t="shared" si="465"/>
        <v>4.2130000000000001</v>
      </c>
      <c r="R420" s="199">
        <f t="shared" si="465"/>
        <v>5.0369999999999999</v>
      </c>
      <c r="S420" s="199">
        <f t="shared" si="465"/>
        <v>7.46</v>
      </c>
      <c r="T420" s="199">
        <f>SUM(N420:S420)</f>
        <v>40.040999999999997</v>
      </c>
      <c r="U420" s="199">
        <f>T420+L420</f>
        <v>80.650000000000006</v>
      </c>
      <c r="V420" s="199">
        <f>V435+V465</f>
        <v>78.510999999999996</v>
      </c>
      <c r="W420" s="221">
        <f>V420-U420</f>
        <v>-2.1389999999999998</v>
      </c>
      <c r="X420" s="213">
        <f>U413-U420</f>
        <v>0</v>
      </c>
    </row>
    <row r="421" spans="1:28" s="213" customFormat="1" ht="18" customHeight="1">
      <c r="A421" s="583"/>
      <c r="B421" s="657"/>
      <c r="C421" s="658"/>
      <c r="D421" s="201" t="str">
        <f>серпень!D344</f>
        <v>дотація</v>
      </c>
      <c r="E421" s="220"/>
      <c r="F421" s="199">
        <f t="shared" ref="F421:K421" si="466">F436+F451+F466</f>
        <v>0</v>
      </c>
      <c r="G421" s="199">
        <f t="shared" si="466"/>
        <v>0</v>
      </c>
      <c r="H421" s="199">
        <f t="shared" si="466"/>
        <v>0</v>
      </c>
      <c r="I421" s="199">
        <f t="shared" si="466"/>
        <v>0</v>
      </c>
      <c r="J421" s="199">
        <f t="shared" si="466"/>
        <v>0</v>
      </c>
      <c r="K421" s="199">
        <f t="shared" si="466"/>
        <v>0</v>
      </c>
      <c r="L421" s="199">
        <f>SUM(F421:K421)</f>
        <v>0</v>
      </c>
      <c r="M421" s="199">
        <f>L421/6</f>
        <v>0</v>
      </c>
      <c r="N421" s="199">
        <f t="shared" ref="N421:S421" si="467">N436+N451+N466</f>
        <v>0</v>
      </c>
      <c r="O421" s="199">
        <f t="shared" si="467"/>
        <v>0</v>
      </c>
      <c r="P421" s="199">
        <f t="shared" si="467"/>
        <v>0</v>
      </c>
      <c r="Q421" s="199">
        <f t="shared" si="467"/>
        <v>0</v>
      </c>
      <c r="R421" s="199">
        <f t="shared" si="467"/>
        <v>0</v>
      </c>
      <c r="S421" s="199">
        <f t="shared" si="467"/>
        <v>0</v>
      </c>
      <c r="T421" s="199">
        <f>SUM(N421:S421)</f>
        <v>0</v>
      </c>
      <c r="U421" s="199">
        <f>T421+L421</f>
        <v>0</v>
      </c>
      <c r="V421" s="199">
        <f>V436+V466</f>
        <v>0</v>
      </c>
      <c r="W421" s="221">
        <f>V421-U421</f>
        <v>0</v>
      </c>
      <c r="X421" s="213">
        <f>U416-U421</f>
        <v>0</v>
      </c>
    </row>
    <row r="422" spans="1:28" s="213" customFormat="1" ht="18" customHeight="1">
      <c r="A422" s="583"/>
      <c r="B422" s="657"/>
      <c r="C422" s="658"/>
      <c r="D422" s="201" t="str">
        <f>серпень!D345</f>
        <v xml:space="preserve">місцевий </v>
      </c>
      <c r="E422" s="220"/>
      <c r="F422" s="199">
        <f t="shared" ref="F422:K422" si="468">F437+F452+F467</f>
        <v>9.1910000000000007</v>
      </c>
      <c r="G422" s="199">
        <f t="shared" si="468"/>
        <v>6.3259999999999996</v>
      </c>
      <c r="H422" s="199">
        <f t="shared" si="468"/>
        <v>5.532</v>
      </c>
      <c r="I422" s="199">
        <f t="shared" si="468"/>
        <v>5.774</v>
      </c>
      <c r="J422" s="199">
        <f t="shared" si="468"/>
        <v>4.7370000000000001</v>
      </c>
      <c r="K422" s="199">
        <f t="shared" si="468"/>
        <v>9.0489999999999995</v>
      </c>
      <c r="L422" s="199">
        <f>SUM(F422:K422)</f>
        <v>40.609000000000002</v>
      </c>
      <c r="M422" s="199">
        <f>L422/6</f>
        <v>6.7679999999999998</v>
      </c>
      <c r="N422" s="199">
        <f t="shared" ref="N422:S422" si="469">N437+N452+N467</f>
        <v>11.473000000000001</v>
      </c>
      <c r="O422" s="199">
        <f t="shared" si="469"/>
        <v>0</v>
      </c>
      <c r="P422" s="199">
        <f t="shared" si="469"/>
        <v>11.858000000000001</v>
      </c>
      <c r="Q422" s="199">
        <f t="shared" si="469"/>
        <v>4.2130000000000001</v>
      </c>
      <c r="R422" s="199">
        <f t="shared" si="469"/>
        <v>5.0369999999999999</v>
      </c>
      <c r="S422" s="199">
        <f t="shared" si="469"/>
        <v>7.46</v>
      </c>
      <c r="T422" s="199">
        <f>SUM(N422:S422)</f>
        <v>40.040999999999997</v>
      </c>
      <c r="U422" s="199">
        <f>T422+L422</f>
        <v>80.650000000000006</v>
      </c>
      <c r="V422" s="199">
        <f>V437+V467</f>
        <v>78.510999999999996</v>
      </c>
      <c r="W422" s="221">
        <f>V422-U422</f>
        <v>-2.1389999999999998</v>
      </c>
      <c r="X422" s="213">
        <f>U417-U422</f>
        <v>-2.1389999999999998</v>
      </c>
    </row>
    <row r="423" spans="1:28" s="214" customFormat="1" ht="18" customHeight="1">
      <c r="A423" s="583"/>
      <c r="B423" s="657"/>
      <c r="C423" s="658"/>
      <c r="D423" s="202" t="str">
        <f>серпень!D346</f>
        <v>план</v>
      </c>
      <c r="E423" s="203"/>
      <c r="F423" s="203">
        <f>F417+F416</f>
        <v>8.0709999999999997</v>
      </c>
      <c r="G423" s="203">
        <f t="shared" ref="G423:K423" si="470">G417+G416</f>
        <v>5.6310000000000002</v>
      </c>
      <c r="H423" s="203">
        <f t="shared" si="470"/>
        <v>5.532</v>
      </c>
      <c r="I423" s="203">
        <f t="shared" si="470"/>
        <v>5.774</v>
      </c>
      <c r="J423" s="203">
        <f t="shared" si="470"/>
        <v>4.7370000000000001</v>
      </c>
      <c r="K423" s="203">
        <f t="shared" si="470"/>
        <v>9.0489999999999995</v>
      </c>
      <c r="L423" s="203">
        <f>SUM(F423:K423)</f>
        <v>38.793999999999997</v>
      </c>
      <c r="M423" s="203">
        <f>L423/6</f>
        <v>6.4660000000000002</v>
      </c>
      <c r="N423" s="203">
        <f>N417+N416</f>
        <v>11.148999999999999</v>
      </c>
      <c r="O423" s="203">
        <f t="shared" ref="O423:S423" si="471">O417+O416</f>
        <v>7.2990000000000004</v>
      </c>
      <c r="P423" s="203">
        <f t="shared" si="471"/>
        <v>4.5590000000000002</v>
      </c>
      <c r="Q423" s="203">
        <f t="shared" si="471"/>
        <v>4.2130000000000001</v>
      </c>
      <c r="R423" s="203">
        <f t="shared" si="471"/>
        <v>5.0369999999999999</v>
      </c>
      <c r="S423" s="203">
        <f t="shared" si="471"/>
        <v>7.46</v>
      </c>
      <c r="T423" s="203">
        <f>SUM(N423:S423)</f>
        <v>39.716999999999999</v>
      </c>
      <c r="U423" s="203">
        <f>T423+L423</f>
        <v>78.510999999999996</v>
      </c>
      <c r="V423" s="203">
        <f>V417+V416</f>
        <v>78.510999999999996</v>
      </c>
      <c r="W423" s="203">
        <f>V423-U423</f>
        <v>0</v>
      </c>
    </row>
    <row r="424" spans="1:28" s="214" customFormat="1" ht="18" customHeight="1">
      <c r="A424" s="583"/>
      <c r="B424" s="657"/>
      <c r="C424" s="658"/>
      <c r="D424" s="202" t="str">
        <f>серпень!D347</f>
        <v xml:space="preserve">відхилення </v>
      </c>
      <c r="E424" s="203"/>
      <c r="F424" s="203">
        <f t="shared" ref="F424:K424" si="472">F420-F423</f>
        <v>1.1200000000000001</v>
      </c>
      <c r="G424" s="203">
        <f t="shared" si="472"/>
        <v>0.69499999999999995</v>
      </c>
      <c r="H424" s="203">
        <f t="shared" si="472"/>
        <v>0</v>
      </c>
      <c r="I424" s="203">
        <f t="shared" si="472"/>
        <v>0</v>
      </c>
      <c r="J424" s="203">
        <f t="shared" si="472"/>
        <v>0</v>
      </c>
      <c r="K424" s="203">
        <f t="shared" si="472"/>
        <v>0</v>
      </c>
      <c r="L424" s="203"/>
      <c r="M424" s="203"/>
      <c r="N424" s="203">
        <f t="shared" ref="N424:S424" si="473">N420-N423</f>
        <v>0.32400000000000001</v>
      </c>
      <c r="O424" s="203">
        <f t="shared" si="473"/>
        <v>-7.2990000000000004</v>
      </c>
      <c r="P424" s="203">
        <f t="shared" si="473"/>
        <v>7.2990000000000004</v>
      </c>
      <c r="Q424" s="203">
        <f t="shared" si="473"/>
        <v>0</v>
      </c>
      <c r="R424" s="203">
        <f t="shared" si="473"/>
        <v>0</v>
      </c>
      <c r="S424" s="203">
        <f t="shared" si="473"/>
        <v>0</v>
      </c>
      <c r="T424" s="203"/>
      <c r="U424" s="203"/>
      <c r="V424" s="203"/>
      <c r="W424" s="203"/>
    </row>
    <row r="425" spans="1:28" s="214" customFormat="1" ht="18" customHeight="1">
      <c r="A425" s="583"/>
      <c r="B425" s="657"/>
      <c r="C425" s="658"/>
      <c r="D425" s="202" t="str">
        <f>серпень!D348</f>
        <v>відхилення з наростаючим</v>
      </c>
      <c r="E425" s="203"/>
      <c r="F425" s="203">
        <f>F424</f>
        <v>1.1200000000000001</v>
      </c>
      <c r="G425" s="203">
        <f>G424+F425</f>
        <v>1.8149999999999999</v>
      </c>
      <c r="H425" s="203">
        <f>H424+G425</f>
        <v>1.8149999999999999</v>
      </c>
      <c r="I425" s="203">
        <f>I424+H425</f>
        <v>1.8149999999999999</v>
      </c>
      <c r="J425" s="203">
        <f>J424+I425</f>
        <v>1.8149999999999999</v>
      </c>
      <c r="K425" s="203">
        <f>K424+J425</f>
        <v>1.8149999999999999</v>
      </c>
      <c r="L425" s="203"/>
      <c r="M425" s="203"/>
      <c r="N425" s="203">
        <f>N424+K425</f>
        <v>2.1389999999999998</v>
      </c>
      <c r="O425" s="203">
        <f>O424+N425</f>
        <v>-5.16</v>
      </c>
      <c r="P425" s="203">
        <f>P424+O425</f>
        <v>2.1389999999999998</v>
      </c>
      <c r="Q425" s="203">
        <f>Q424+P425</f>
        <v>2.1389999999999998</v>
      </c>
      <c r="R425" s="203">
        <f>R424+Q425</f>
        <v>2.1389999999999998</v>
      </c>
      <c r="S425" s="203">
        <f>S424+R425</f>
        <v>2.1389999999999998</v>
      </c>
      <c r="T425" s="203"/>
      <c r="U425" s="203"/>
      <c r="V425" s="203"/>
      <c r="W425" s="203"/>
    </row>
    <row r="426" spans="1:28" s="10" customFormat="1" ht="18" customHeight="1">
      <c r="A426" s="583"/>
      <c r="B426" s="581" t="s">
        <v>37</v>
      </c>
      <c r="C426" s="581"/>
      <c r="D426" s="178" t="str">
        <f>серпень!D349</f>
        <v>факт. нат.п-ки 2023</v>
      </c>
      <c r="E426" s="11"/>
      <c r="F426" s="12">
        <v>351</v>
      </c>
      <c r="G426" s="12">
        <v>394</v>
      </c>
      <c r="H426" s="12">
        <v>553</v>
      </c>
      <c r="I426" s="12">
        <v>708</v>
      </c>
      <c r="J426" s="12">
        <v>587</v>
      </c>
      <c r="K426" s="12">
        <v>300</v>
      </c>
      <c r="L426" s="65">
        <f>SUM(F426:K426)</f>
        <v>2893</v>
      </c>
      <c r="M426" s="65">
        <f>L426/6</f>
        <v>482.2</v>
      </c>
      <c r="N426" s="83">
        <v>338.2</v>
      </c>
      <c r="O426" s="83">
        <v>457.4</v>
      </c>
      <c r="P426" s="83">
        <v>516</v>
      </c>
      <c r="Q426" s="83">
        <v>257</v>
      </c>
      <c r="R426" s="83">
        <v>275.10000000000002</v>
      </c>
      <c r="S426" s="83">
        <v>486</v>
      </c>
      <c r="T426" s="65">
        <f>SUM(N426:S426)</f>
        <v>2329.6999999999998</v>
      </c>
      <c r="U426" s="65">
        <f>T426+L426</f>
        <v>5222.7</v>
      </c>
      <c r="V426" s="67"/>
      <c r="W426" s="38"/>
      <c r="X426" s="36"/>
    </row>
    <row r="427" spans="1:28" s="48" customFormat="1" ht="18" customHeight="1">
      <c r="A427" s="583"/>
      <c r="B427" s="581"/>
      <c r="C427" s="581"/>
      <c r="D427" s="178" t="str">
        <f>серпень!D350</f>
        <v>факт. нат.п-ки 2024</v>
      </c>
      <c r="E427" s="11"/>
      <c r="F427" s="12">
        <v>569</v>
      </c>
      <c r="G427" s="12">
        <v>397</v>
      </c>
      <c r="H427" s="12">
        <v>390</v>
      </c>
      <c r="I427" s="12">
        <v>288</v>
      </c>
      <c r="J427" s="12">
        <v>334</v>
      </c>
      <c r="K427" s="12">
        <v>638</v>
      </c>
      <c r="L427" s="65">
        <f>SUM(F427:K427)</f>
        <v>2616</v>
      </c>
      <c r="M427" s="65">
        <f>L427/6</f>
        <v>436</v>
      </c>
      <c r="N427" s="83">
        <v>786</v>
      </c>
      <c r="O427" s="83">
        <v>514.6</v>
      </c>
      <c r="P427" s="83">
        <v>321.39999999999998</v>
      </c>
      <c r="Q427" s="83">
        <v>297</v>
      </c>
      <c r="R427" s="83">
        <v>355.1</v>
      </c>
      <c r="S427" s="83">
        <v>526</v>
      </c>
      <c r="T427" s="65">
        <f>SUM(N427:S427)</f>
        <v>2800.1</v>
      </c>
      <c r="U427" s="65">
        <f>T427+L427</f>
        <v>5416.1</v>
      </c>
      <c r="V427" s="11">
        <v>5535.2</v>
      </c>
      <c r="W427" s="38"/>
      <c r="X427" s="47"/>
    </row>
    <row r="428" spans="1:28" s="10" customFormat="1" ht="18" customHeight="1">
      <c r="A428" s="583"/>
      <c r="B428" s="581"/>
      <c r="C428" s="581"/>
      <c r="D428" s="178" t="str">
        <f>серпень!D351</f>
        <v>факт. нат.п-ки 2025</v>
      </c>
      <c r="E428" s="11"/>
      <c r="F428" s="12">
        <v>648</v>
      </c>
      <c r="G428" s="12">
        <v>446</v>
      </c>
      <c r="H428" s="12">
        <v>390</v>
      </c>
      <c r="I428" s="12">
        <v>407.1</v>
      </c>
      <c r="J428" s="12">
        <v>334</v>
      </c>
      <c r="K428" s="12">
        <v>638</v>
      </c>
      <c r="L428" s="65">
        <f>SUM(F428:K428)</f>
        <v>2863.1</v>
      </c>
      <c r="M428" s="65">
        <f>L428/6</f>
        <v>477.2</v>
      </c>
      <c r="N428" s="83">
        <v>808.9</v>
      </c>
      <c r="O428" s="83">
        <v>514.6</v>
      </c>
      <c r="P428" s="83">
        <v>321.39999999999998</v>
      </c>
      <c r="Q428" s="83">
        <v>297</v>
      </c>
      <c r="R428" s="83">
        <f>275.1+80</f>
        <v>355.1</v>
      </c>
      <c r="S428" s="83">
        <f>486+40</f>
        <v>526</v>
      </c>
      <c r="T428" s="65">
        <f>SUM(N428:S428)</f>
        <v>2823</v>
      </c>
      <c r="U428" s="65">
        <f>T428+L428</f>
        <v>5686.1</v>
      </c>
      <c r="V428" s="11">
        <v>5535.2</v>
      </c>
      <c r="W428" s="38">
        <f>V428-U428</f>
        <v>-150.9</v>
      </c>
      <c r="X428" s="36"/>
      <c r="Y428" s="3"/>
      <c r="Z428" s="3"/>
      <c r="AA428" s="3"/>
      <c r="AB428" s="3"/>
    </row>
    <row r="429" spans="1:28" s="114" customFormat="1" ht="18" customHeight="1">
      <c r="A429" s="583"/>
      <c r="B429" s="581"/>
      <c r="C429" s="581"/>
      <c r="D429" s="187" t="str">
        <f>серпень!D352</f>
        <v>тариф, грн.</v>
      </c>
      <c r="E429" s="49" t="e">
        <f t="shared" ref="E429:K429" si="474">E430/E428*1000</f>
        <v>#DIV/0!</v>
      </c>
      <c r="F429" s="49">
        <f t="shared" si="474"/>
        <v>14.183999999999999</v>
      </c>
      <c r="G429" s="49">
        <f t="shared" si="474"/>
        <v>14.183999999999999</v>
      </c>
      <c r="H429" s="49">
        <f t="shared" si="474"/>
        <v>14.185</v>
      </c>
      <c r="I429" s="49">
        <f t="shared" si="474"/>
        <v>14.183</v>
      </c>
      <c r="J429" s="49">
        <f t="shared" si="474"/>
        <v>14.183</v>
      </c>
      <c r="K429" s="49">
        <f t="shared" si="474"/>
        <v>14.183</v>
      </c>
      <c r="L429" s="68">
        <f>L430/L428*1000</f>
        <v>14.183999999999999</v>
      </c>
      <c r="M429" s="68">
        <f>M430/M428*1000</f>
        <v>14.183</v>
      </c>
      <c r="N429" s="68">
        <f t="shared" ref="N429:O429" si="475">N430/N428*1000</f>
        <v>14.183</v>
      </c>
      <c r="O429" s="68">
        <f t="shared" si="475"/>
        <v>14.183999999999999</v>
      </c>
      <c r="P429" s="68">
        <v>14.183999999999999</v>
      </c>
      <c r="Q429" s="68">
        <v>14.183999999999999</v>
      </c>
      <c r="R429" s="49">
        <v>14.183999999999999</v>
      </c>
      <c r="S429" s="49">
        <v>14.183999999999999</v>
      </c>
      <c r="T429" s="68">
        <f>T430/T428*1000</f>
        <v>14.183999999999999</v>
      </c>
      <c r="U429" s="68">
        <f>U430/U428*1000</f>
        <v>14.183999999999999</v>
      </c>
      <c r="V429" s="68">
        <f>V430/V428*1000</f>
        <v>14.183999999999999</v>
      </c>
      <c r="W429" s="14">
        <f>W430/W428*1000</f>
        <v>14.175000000000001</v>
      </c>
      <c r="X429" s="36"/>
      <c r="Y429" s="3"/>
      <c r="Z429" s="3"/>
      <c r="AA429" s="3"/>
      <c r="AB429" s="3"/>
    </row>
    <row r="430" spans="1:28" s="114" customFormat="1" ht="18" customHeight="1">
      <c r="A430" s="583"/>
      <c r="B430" s="581"/>
      <c r="C430" s="581"/>
      <c r="D430" s="191" t="str">
        <f>серпень!D353</f>
        <v>сума, тис.грн.</v>
      </c>
      <c r="E430" s="52"/>
      <c r="F430" s="52">
        <v>9.1910000000000007</v>
      </c>
      <c r="G430" s="52">
        <v>6.3259999999999996</v>
      </c>
      <c r="H430" s="52">
        <v>5.532</v>
      </c>
      <c r="I430" s="52">
        <v>5.774</v>
      </c>
      <c r="J430" s="52">
        <v>4.7370000000000001</v>
      </c>
      <c r="K430" s="52">
        <v>9.0489999999999995</v>
      </c>
      <c r="L430" s="69">
        <f>SUM(F430:K430)</f>
        <v>40.609000000000002</v>
      </c>
      <c r="M430" s="69">
        <f>L430/6</f>
        <v>6.7679999999999998</v>
      </c>
      <c r="N430" s="52">
        <v>11.473000000000001</v>
      </c>
      <c r="O430" s="52">
        <v>7.2990000000000004</v>
      </c>
      <c r="P430" s="52">
        <f t="shared" ref="P430" si="476">P428*P429/1000</f>
        <v>4.5590000000000002</v>
      </c>
      <c r="Q430" s="52">
        <f t="shared" ref="Q430" si="477">Q428*Q429/1000</f>
        <v>4.2130000000000001</v>
      </c>
      <c r="R430" s="52">
        <f t="shared" ref="R430" si="478">R428*R429/1000</f>
        <v>5.0369999999999999</v>
      </c>
      <c r="S430" s="52">
        <f>S428*S429/1000-0.001</f>
        <v>7.46</v>
      </c>
      <c r="T430" s="69">
        <f>SUM(N430:S430)</f>
        <v>40.040999999999997</v>
      </c>
      <c r="U430" s="69">
        <f>T430+L430</f>
        <v>80.650000000000006</v>
      </c>
      <c r="V430" s="70">
        <f>V432+V431</f>
        <v>78.510999999999996</v>
      </c>
      <c r="W430" s="53">
        <f>V430-U430</f>
        <v>-2.1389999999999998</v>
      </c>
      <c r="X430" s="113"/>
    </row>
    <row r="431" spans="1:28" s="114" customFormat="1" ht="18" customHeight="1">
      <c r="A431" s="583"/>
      <c r="B431" s="581"/>
      <c r="C431" s="581"/>
      <c r="D431" s="174" t="str">
        <f>серпень!D354</f>
        <v>дотація</v>
      </c>
      <c r="E431" s="56"/>
      <c r="F431" s="52"/>
      <c r="G431" s="52"/>
      <c r="H431" s="52"/>
      <c r="I431" s="52"/>
      <c r="J431" s="52"/>
      <c r="K431" s="52"/>
      <c r="L431" s="69">
        <f>SUM(F431:K431)</f>
        <v>0</v>
      </c>
      <c r="M431" s="69">
        <f>L431/6</f>
        <v>0</v>
      </c>
      <c r="N431" s="52"/>
      <c r="O431" s="52"/>
      <c r="P431" s="52"/>
      <c r="Q431" s="52"/>
      <c r="R431" s="52"/>
      <c r="S431" s="52"/>
      <c r="T431" s="69">
        <f>SUM(N431:S431)</f>
        <v>0</v>
      </c>
      <c r="U431" s="69">
        <f>T431+L431</f>
        <v>0</v>
      </c>
      <c r="V431" s="70"/>
      <c r="W431" s="53">
        <f>V431-U431</f>
        <v>0</v>
      </c>
      <c r="X431" s="113"/>
    </row>
    <row r="432" spans="1:28" s="114" customFormat="1" ht="18" customHeight="1">
      <c r="A432" s="583"/>
      <c r="B432" s="581"/>
      <c r="C432" s="581"/>
      <c r="D432" s="174" t="str">
        <f>серпень!D355</f>
        <v>місцевий (план), тис.грн</v>
      </c>
      <c r="E432" s="56"/>
      <c r="F432" s="52">
        <v>8.0709999999999997</v>
      </c>
      <c r="G432" s="52">
        <v>5.6310000000000002</v>
      </c>
      <c r="H432" s="52">
        <v>5.532</v>
      </c>
      <c r="I432" s="52">
        <v>5.774</v>
      </c>
      <c r="J432" s="52">
        <v>4.7370000000000001</v>
      </c>
      <c r="K432" s="52">
        <v>9.0489999999999995</v>
      </c>
      <c r="L432" s="69">
        <f>SUM(F432:K432)</f>
        <v>38.793999999999997</v>
      </c>
      <c r="M432" s="69">
        <f>L432/6</f>
        <v>6.4660000000000002</v>
      </c>
      <c r="N432" s="52">
        <v>11.148999999999999</v>
      </c>
      <c r="O432" s="52">
        <v>7.2990000000000004</v>
      </c>
      <c r="P432" s="52">
        <v>4.5590000000000002</v>
      </c>
      <c r="Q432" s="52">
        <v>4.2130000000000001</v>
      </c>
      <c r="R432" s="52">
        <v>5.0369999999999999</v>
      </c>
      <c r="S432" s="52">
        <v>7.46</v>
      </c>
      <c r="T432" s="69">
        <f>SUM(N432:S432)</f>
        <v>39.716999999999999</v>
      </c>
      <c r="U432" s="69">
        <f>T432+L432</f>
        <v>78.510999999999996</v>
      </c>
      <c r="V432" s="70">
        <v>78.510999999999996</v>
      </c>
      <c r="W432" s="53">
        <f>V432-U432</f>
        <v>0</v>
      </c>
      <c r="X432" s="113"/>
    </row>
    <row r="433" spans="1:28" s="3" customFormat="1" ht="18" customHeight="1">
      <c r="A433" s="583"/>
      <c r="B433" s="581"/>
      <c r="C433" s="581"/>
      <c r="D433" s="178" t="str">
        <f>серпень!D356</f>
        <v>касові нат.п-ки 2025</v>
      </c>
      <c r="E433" s="11"/>
      <c r="F433" s="12">
        <v>648</v>
      </c>
      <c r="G433" s="12">
        <v>446</v>
      </c>
      <c r="H433" s="12">
        <v>390</v>
      </c>
      <c r="I433" s="12">
        <v>407.1</v>
      </c>
      <c r="J433" s="12">
        <v>334</v>
      </c>
      <c r="K433" s="12">
        <v>638</v>
      </c>
      <c r="L433" s="65">
        <f>SUM(F433:K433)</f>
        <v>2863.1</v>
      </c>
      <c r="M433" s="65">
        <f>L433/6</f>
        <v>477.2</v>
      </c>
      <c r="N433" s="83">
        <v>808.9</v>
      </c>
      <c r="O433" s="83">
        <v>0</v>
      </c>
      <c r="P433" s="83">
        <f>321.4+514.6</f>
        <v>836</v>
      </c>
      <c r="Q433" s="83">
        <v>297</v>
      </c>
      <c r="R433" s="83">
        <v>355.1</v>
      </c>
      <c r="S433" s="83">
        <v>526</v>
      </c>
      <c r="T433" s="65">
        <f>SUM(N433:S433)</f>
        <v>2823</v>
      </c>
      <c r="U433" s="65">
        <f>T433+L433</f>
        <v>5686.1</v>
      </c>
      <c r="V433" s="11">
        <f>V428</f>
        <v>5535.2</v>
      </c>
      <c r="W433" s="38">
        <f>V433-U433</f>
        <v>-150.9</v>
      </c>
      <c r="X433" s="47">
        <f>U428-U433</f>
        <v>0</v>
      </c>
    </row>
    <row r="434" spans="1:28" s="73" customFormat="1" ht="18" customHeight="1">
      <c r="A434" s="583"/>
      <c r="B434" s="581"/>
      <c r="C434" s="581"/>
      <c r="D434" s="187" t="str">
        <f>серпень!D357</f>
        <v>тариф, грн.</v>
      </c>
      <c r="E434" s="49" t="e">
        <f t="shared" ref="E434:K434" si="479">E435/E433*1000</f>
        <v>#DIV/0!</v>
      </c>
      <c r="F434" s="49">
        <f t="shared" si="479"/>
        <v>14.183999999999999</v>
      </c>
      <c r="G434" s="49">
        <f t="shared" si="479"/>
        <v>14.183999999999999</v>
      </c>
      <c r="H434" s="49">
        <f t="shared" si="479"/>
        <v>14.185</v>
      </c>
      <c r="I434" s="49">
        <f t="shared" si="479"/>
        <v>14.183</v>
      </c>
      <c r="J434" s="49">
        <f t="shared" si="479"/>
        <v>14.183</v>
      </c>
      <c r="K434" s="49">
        <f t="shared" si="479"/>
        <v>14.183</v>
      </c>
      <c r="L434" s="68">
        <f>L435/L433*1000</f>
        <v>14.183999999999999</v>
      </c>
      <c r="M434" s="68">
        <f>M435/M433*1000</f>
        <v>14.183</v>
      </c>
      <c r="N434" s="68">
        <f t="shared" ref="N434:O434" si="480">N435/N433*1000</f>
        <v>14.183</v>
      </c>
      <c r="O434" s="68" t="e">
        <f t="shared" si="480"/>
        <v>#DIV/0!</v>
      </c>
      <c r="P434" s="68">
        <v>14.183999999999999</v>
      </c>
      <c r="Q434" s="68">
        <v>14.183999999999999</v>
      </c>
      <c r="R434" s="68">
        <v>14.183999999999999</v>
      </c>
      <c r="S434" s="68">
        <v>14.183999999999999</v>
      </c>
      <c r="T434" s="68">
        <f>T435/T433*1000</f>
        <v>14.183999999999999</v>
      </c>
      <c r="U434" s="68">
        <f>U435/U433*1000</f>
        <v>14.183999999999999</v>
      </c>
      <c r="V434" s="68">
        <f>V435/V433*1000</f>
        <v>14.183999999999999</v>
      </c>
      <c r="W434" s="14">
        <f>W435/W433*1000</f>
        <v>14.175000000000001</v>
      </c>
      <c r="X434" s="59"/>
      <c r="Y434" s="36"/>
      <c r="Z434" s="36"/>
      <c r="AA434" s="36"/>
      <c r="AB434" s="36"/>
    </row>
    <row r="435" spans="1:28" s="126" customFormat="1" ht="18" customHeight="1">
      <c r="A435" s="583"/>
      <c r="B435" s="581"/>
      <c r="C435" s="581"/>
      <c r="D435" s="198" t="str">
        <f>серпень!D358</f>
        <v>касові видатки, тис.грн.</v>
      </c>
      <c r="E435" s="71"/>
      <c r="F435" s="61">
        <v>9.1910000000000007</v>
      </c>
      <c r="G435" s="61">
        <v>6.3259999999999996</v>
      </c>
      <c r="H435" s="61">
        <v>5.532</v>
      </c>
      <c r="I435" s="61">
        <v>5.774</v>
      </c>
      <c r="J435" s="61">
        <v>4.7370000000000001</v>
      </c>
      <c r="K435" s="61">
        <v>9.0489999999999995</v>
      </c>
      <c r="L435" s="61">
        <f>SUM(F435:K435)</f>
        <v>40.609000000000002</v>
      </c>
      <c r="M435" s="61">
        <f>L435/6</f>
        <v>6.7679999999999998</v>
      </c>
      <c r="N435" s="61">
        <v>11.473000000000001</v>
      </c>
      <c r="O435" s="61">
        <v>0</v>
      </c>
      <c r="P435" s="61">
        <f t="shared" ref="P435" si="481">P433*P434/1000</f>
        <v>11.858000000000001</v>
      </c>
      <c r="Q435" s="61">
        <f t="shared" ref="Q435" si="482">Q433*Q434/1000</f>
        <v>4.2130000000000001</v>
      </c>
      <c r="R435" s="61">
        <f t="shared" ref="R435" si="483">R433*R434/1000</f>
        <v>5.0369999999999999</v>
      </c>
      <c r="S435" s="61">
        <f>S433*S434/1000-0.001</f>
        <v>7.46</v>
      </c>
      <c r="T435" s="61">
        <f>SUM(N435:S435)</f>
        <v>40.040999999999997</v>
      </c>
      <c r="U435" s="61">
        <f>T435+L435</f>
        <v>80.650000000000006</v>
      </c>
      <c r="V435" s="61">
        <f>V430</f>
        <v>78.510999999999996</v>
      </c>
      <c r="W435" s="72">
        <f>V435-U435</f>
        <v>-2.1389999999999998</v>
      </c>
      <c r="X435" s="63">
        <f>U430-U435</f>
        <v>0</v>
      </c>
    </row>
    <row r="436" spans="1:28" s="126" customFormat="1" ht="18" customHeight="1">
      <c r="A436" s="583"/>
      <c r="B436" s="581"/>
      <c r="C436" s="581"/>
      <c r="D436" s="201" t="str">
        <f>серпень!D359</f>
        <v>дотація</v>
      </c>
      <c r="E436" s="71"/>
      <c r="F436" s="61"/>
      <c r="G436" s="61"/>
      <c r="H436" s="61"/>
      <c r="I436" s="61"/>
      <c r="J436" s="61"/>
      <c r="K436" s="61"/>
      <c r="L436" s="61">
        <f>SUM(F436:K436)</f>
        <v>0</v>
      </c>
      <c r="M436" s="61">
        <f>L436/6</f>
        <v>0</v>
      </c>
      <c r="N436" s="61"/>
      <c r="O436" s="61"/>
      <c r="P436" s="61"/>
      <c r="Q436" s="61"/>
      <c r="R436" s="61"/>
      <c r="S436" s="61"/>
      <c r="T436" s="61">
        <f>SUM(N436:S436)</f>
        <v>0</v>
      </c>
      <c r="U436" s="61">
        <f>T436+L436</f>
        <v>0</v>
      </c>
      <c r="V436" s="61">
        <f>V431</f>
        <v>0</v>
      </c>
      <c r="W436" s="72">
        <f>V436-U436</f>
        <v>0</v>
      </c>
      <c r="X436" s="63">
        <f>U431-U436</f>
        <v>0</v>
      </c>
    </row>
    <row r="437" spans="1:28" s="126" customFormat="1" ht="18" customHeight="1">
      <c r="A437" s="583"/>
      <c r="B437" s="581"/>
      <c r="C437" s="581"/>
      <c r="D437" s="201" t="str">
        <f>серпень!D360</f>
        <v xml:space="preserve">місцевий </v>
      </c>
      <c r="E437" s="71"/>
      <c r="F437" s="61">
        <f t="shared" ref="F437:K437" si="484">F435-F436</f>
        <v>9.1910000000000007</v>
      </c>
      <c r="G437" s="61">
        <f t="shared" si="484"/>
        <v>6.3259999999999996</v>
      </c>
      <c r="H437" s="61">
        <f t="shared" si="484"/>
        <v>5.532</v>
      </c>
      <c r="I437" s="61">
        <f t="shared" si="484"/>
        <v>5.774</v>
      </c>
      <c r="J437" s="61">
        <f t="shared" si="484"/>
        <v>4.7370000000000001</v>
      </c>
      <c r="K437" s="61">
        <f t="shared" si="484"/>
        <v>9.0489999999999995</v>
      </c>
      <c r="L437" s="61">
        <f>SUM(F437:K437)</f>
        <v>40.609000000000002</v>
      </c>
      <c r="M437" s="61">
        <f>L437/6</f>
        <v>6.7679999999999998</v>
      </c>
      <c r="N437" s="61">
        <f t="shared" ref="N437:S437" si="485">N435-N436</f>
        <v>11.473000000000001</v>
      </c>
      <c r="O437" s="61">
        <f t="shared" si="485"/>
        <v>0</v>
      </c>
      <c r="P437" s="61">
        <f t="shared" si="485"/>
        <v>11.858000000000001</v>
      </c>
      <c r="Q437" s="61">
        <f t="shared" si="485"/>
        <v>4.2130000000000001</v>
      </c>
      <c r="R437" s="61">
        <f t="shared" si="485"/>
        <v>5.0369999999999999</v>
      </c>
      <c r="S437" s="61">
        <f t="shared" si="485"/>
        <v>7.46</v>
      </c>
      <c r="T437" s="61">
        <f>SUM(N437:S437)</f>
        <v>40.040999999999997</v>
      </c>
      <c r="U437" s="61">
        <f>T437+L437</f>
        <v>80.650000000000006</v>
      </c>
      <c r="V437" s="61">
        <f>V432</f>
        <v>78.510999999999996</v>
      </c>
      <c r="W437" s="72">
        <f>V437-U437</f>
        <v>-2.1389999999999998</v>
      </c>
      <c r="X437" s="63">
        <f>U432-U437</f>
        <v>-2.1389999999999998</v>
      </c>
    </row>
    <row r="438" spans="1:28" s="43" customFormat="1" ht="18" customHeight="1">
      <c r="A438" s="583"/>
      <c r="B438" s="581"/>
      <c r="C438" s="581"/>
      <c r="D438" s="202" t="str">
        <f>серпень!D361</f>
        <v>план</v>
      </c>
      <c r="E438" s="42"/>
      <c r="F438" s="42">
        <f t="shared" ref="F438:K438" si="486">F431+F432</f>
        <v>8.0709999999999997</v>
      </c>
      <c r="G438" s="42">
        <f t="shared" si="486"/>
        <v>5.6310000000000002</v>
      </c>
      <c r="H438" s="42">
        <f t="shared" si="486"/>
        <v>5.532</v>
      </c>
      <c r="I438" s="42">
        <f t="shared" si="486"/>
        <v>5.774</v>
      </c>
      <c r="J438" s="42">
        <f t="shared" si="486"/>
        <v>4.7370000000000001</v>
      </c>
      <c r="K438" s="42">
        <f t="shared" si="486"/>
        <v>9.0489999999999995</v>
      </c>
      <c r="L438" s="42">
        <f>SUM(F438:K438)</f>
        <v>38.793999999999997</v>
      </c>
      <c r="M438" s="42">
        <f>L438/6</f>
        <v>6.4660000000000002</v>
      </c>
      <c r="N438" s="42">
        <f t="shared" ref="N438:S438" si="487">N431+N432</f>
        <v>11.148999999999999</v>
      </c>
      <c r="O438" s="42">
        <f t="shared" si="487"/>
        <v>7.2990000000000004</v>
      </c>
      <c r="P438" s="42">
        <f t="shared" si="487"/>
        <v>4.5590000000000002</v>
      </c>
      <c r="Q438" s="42">
        <f t="shared" si="487"/>
        <v>4.2130000000000001</v>
      </c>
      <c r="R438" s="42">
        <f t="shared" si="487"/>
        <v>5.0369999999999999</v>
      </c>
      <c r="S438" s="42">
        <f t="shared" si="487"/>
        <v>7.46</v>
      </c>
      <c r="T438" s="42">
        <f>SUM(N438:S438)</f>
        <v>39.716999999999999</v>
      </c>
      <c r="U438" s="42">
        <f>T438+L438</f>
        <v>78.510999999999996</v>
      </c>
      <c r="V438" s="42">
        <f>V435</f>
        <v>78.510999999999996</v>
      </c>
      <c r="W438" s="42">
        <f>V438-U438</f>
        <v>0</v>
      </c>
    </row>
    <row r="439" spans="1:28" s="43" customFormat="1" ht="18" customHeight="1">
      <c r="A439" s="583"/>
      <c r="B439" s="581"/>
      <c r="C439" s="581"/>
      <c r="D439" s="202" t="str">
        <f>серпень!D362</f>
        <v xml:space="preserve">відхилення </v>
      </c>
      <c r="E439" s="42"/>
      <c r="F439" s="42">
        <f t="shared" ref="F439:K439" si="488">F435-F438</f>
        <v>1.1200000000000001</v>
      </c>
      <c r="G439" s="42">
        <f t="shared" si="488"/>
        <v>0.69499999999999995</v>
      </c>
      <c r="H439" s="42">
        <f t="shared" si="488"/>
        <v>0</v>
      </c>
      <c r="I439" s="42">
        <f t="shared" si="488"/>
        <v>0</v>
      </c>
      <c r="J439" s="42">
        <f t="shared" si="488"/>
        <v>0</v>
      </c>
      <c r="K439" s="42">
        <f t="shared" si="488"/>
        <v>0</v>
      </c>
      <c r="L439" s="42"/>
      <c r="M439" s="42"/>
      <c r="N439" s="42">
        <f t="shared" ref="N439:S439" si="489">N435-N438</f>
        <v>0.32400000000000001</v>
      </c>
      <c r="O439" s="42">
        <f t="shared" si="489"/>
        <v>-7.2990000000000004</v>
      </c>
      <c r="P439" s="42">
        <f t="shared" si="489"/>
        <v>7.2990000000000004</v>
      </c>
      <c r="Q439" s="42">
        <f t="shared" si="489"/>
        <v>0</v>
      </c>
      <c r="R439" s="42">
        <f t="shared" si="489"/>
        <v>0</v>
      </c>
      <c r="S439" s="42">
        <f t="shared" si="489"/>
        <v>0</v>
      </c>
      <c r="T439" s="42"/>
      <c r="U439" s="42"/>
      <c r="V439" s="42"/>
      <c r="W439" s="42"/>
    </row>
    <row r="440" spans="1:28" s="43" customFormat="1" ht="18" customHeight="1">
      <c r="A440" s="583"/>
      <c r="B440" s="581"/>
      <c r="C440" s="581"/>
      <c r="D440" s="202" t="str">
        <f>серпень!D363</f>
        <v>відхилення з наростаючим</v>
      </c>
      <c r="E440" s="42"/>
      <c r="F440" s="42">
        <f>F439</f>
        <v>1.1200000000000001</v>
      </c>
      <c r="G440" s="42">
        <f>G439+F440</f>
        <v>1.8149999999999999</v>
      </c>
      <c r="H440" s="42">
        <f>H439+G440</f>
        <v>1.8149999999999999</v>
      </c>
      <c r="I440" s="42">
        <f>I439+H440</f>
        <v>1.8149999999999999</v>
      </c>
      <c r="J440" s="42">
        <f>J439+I440</f>
        <v>1.8149999999999999</v>
      </c>
      <c r="K440" s="42">
        <f>K439+J440</f>
        <v>1.8149999999999999</v>
      </c>
      <c r="L440" s="42"/>
      <c r="M440" s="42"/>
      <c r="N440" s="42">
        <f>N439+K440</f>
        <v>2.1389999999999998</v>
      </c>
      <c r="O440" s="42">
        <f>O439+N440</f>
        <v>-5.16</v>
      </c>
      <c r="P440" s="42">
        <f>P439+O440</f>
        <v>2.1389999999999998</v>
      </c>
      <c r="Q440" s="42">
        <f>Q439+P440</f>
        <v>2.1389999999999998</v>
      </c>
      <c r="R440" s="42">
        <f>R439+Q440</f>
        <v>2.1389999999999998</v>
      </c>
      <c r="S440" s="42">
        <f>S439+R440</f>
        <v>2.1389999999999998</v>
      </c>
      <c r="T440" s="42"/>
      <c r="U440" s="42"/>
      <c r="V440" s="42"/>
      <c r="W440" s="42"/>
    </row>
    <row r="441" spans="1:28" s="43" customFormat="1" ht="18" hidden="1" customHeight="1">
      <c r="A441" s="583"/>
      <c r="B441" s="580" t="s">
        <v>96</v>
      </c>
      <c r="C441" s="575"/>
      <c r="D441" s="178" t="str">
        <f>серпень!D364</f>
        <v>факт. нат.п-ки 2023</v>
      </c>
      <c r="E441" s="179"/>
      <c r="F441" s="180"/>
      <c r="G441" s="180"/>
      <c r="H441" s="180"/>
      <c r="I441" s="180"/>
      <c r="J441" s="180"/>
      <c r="K441" s="180"/>
      <c r="L441" s="215">
        <f>SUM(F441:K441)</f>
        <v>0</v>
      </c>
      <c r="M441" s="215">
        <f>L441/6</f>
        <v>0</v>
      </c>
      <c r="N441" s="180"/>
      <c r="O441" s="180"/>
      <c r="P441" s="180"/>
      <c r="Q441" s="180"/>
      <c r="R441" s="180"/>
      <c r="S441" s="180"/>
      <c r="T441" s="215">
        <f>SUM(N441:S441)</f>
        <v>0</v>
      </c>
      <c r="U441" s="226">
        <f>T441+L441</f>
        <v>0</v>
      </c>
      <c r="V441" s="227"/>
      <c r="W441" s="184">
        <f>V441-U441</f>
        <v>0</v>
      </c>
    </row>
    <row r="442" spans="1:28" s="43" customFormat="1" ht="18" hidden="1" customHeight="1">
      <c r="A442" s="583"/>
      <c r="B442" s="576"/>
      <c r="C442" s="577"/>
      <c r="D442" s="178" t="str">
        <f>серпень!D365</f>
        <v>факт. нат.п-ки 2024</v>
      </c>
      <c r="E442" s="179"/>
      <c r="F442" s="180"/>
      <c r="G442" s="180"/>
      <c r="H442" s="180"/>
      <c r="I442" s="180"/>
      <c r="J442" s="180"/>
      <c r="K442" s="180"/>
      <c r="L442" s="215">
        <f>SUM(F442:K442)</f>
        <v>0</v>
      </c>
      <c r="M442" s="215">
        <f>L442/6</f>
        <v>0</v>
      </c>
      <c r="N442" s="179"/>
      <c r="O442" s="179"/>
      <c r="P442" s="179"/>
      <c r="Q442" s="179"/>
      <c r="R442" s="179"/>
      <c r="S442" s="179"/>
      <c r="T442" s="215">
        <f>SUM(N442:S442)</f>
        <v>0</v>
      </c>
      <c r="U442" s="226">
        <f>T442+L442</f>
        <v>0</v>
      </c>
      <c r="V442" s="227"/>
      <c r="W442" s="184">
        <f>V442-U442</f>
        <v>0</v>
      </c>
    </row>
    <row r="443" spans="1:28" s="43" customFormat="1" ht="18" hidden="1" customHeight="1">
      <c r="A443" s="583"/>
      <c r="B443" s="576"/>
      <c r="C443" s="577"/>
      <c r="D443" s="178" t="str">
        <f>серпень!D366</f>
        <v>факт. нат.п-ки 2025</v>
      </c>
      <c r="E443" s="179"/>
      <c r="F443" s="180"/>
      <c r="G443" s="180"/>
      <c r="H443" s="180"/>
      <c r="I443" s="180"/>
      <c r="J443" s="180"/>
      <c r="K443" s="180"/>
      <c r="L443" s="215">
        <f>SUM(F443:K443)</f>
        <v>0</v>
      </c>
      <c r="M443" s="215">
        <f>L443/6</f>
        <v>0</v>
      </c>
      <c r="N443" s="180"/>
      <c r="O443" s="180"/>
      <c r="P443" s="180"/>
      <c r="Q443" s="180"/>
      <c r="R443" s="180"/>
      <c r="S443" s="179"/>
      <c r="T443" s="215">
        <f>SUM(N443:S443)</f>
        <v>0</v>
      </c>
      <c r="U443" s="226">
        <f>T443+L443</f>
        <v>0</v>
      </c>
      <c r="V443" s="179"/>
      <c r="W443" s="184">
        <f>V443-U443</f>
        <v>0</v>
      </c>
    </row>
    <row r="444" spans="1:28" s="43" customFormat="1" ht="18" hidden="1" customHeight="1">
      <c r="A444" s="583"/>
      <c r="B444" s="576"/>
      <c r="C444" s="577"/>
      <c r="D444" s="187" t="str">
        <f>серпень!D367</f>
        <v>тариф, грн.</v>
      </c>
      <c r="E444" s="188"/>
      <c r="F444" s="188"/>
      <c r="G444" s="188"/>
      <c r="H444" s="188"/>
      <c r="I444" s="188"/>
      <c r="J444" s="188"/>
      <c r="K444" s="188"/>
      <c r="L444" s="188" t="e">
        <f>L445/L443*1000</f>
        <v>#DIV/0!</v>
      </c>
      <c r="M444" s="188" t="e">
        <f>M445/M443*1000</f>
        <v>#DIV/0!</v>
      </c>
      <c r="N444" s="188"/>
      <c r="O444" s="188"/>
      <c r="P444" s="188"/>
      <c r="Q444" s="188"/>
      <c r="R444" s="188"/>
      <c r="S444" s="188"/>
      <c r="T444" s="188" t="e">
        <f>T445/T443*1000</f>
        <v>#DIV/0!</v>
      </c>
      <c r="U444" s="188" t="e">
        <f>U445/U443*1000</f>
        <v>#DIV/0!</v>
      </c>
      <c r="V444" s="218" t="e">
        <f>V445/V443*1000</f>
        <v>#DIV/0!</v>
      </c>
      <c r="W444" s="189" t="e">
        <f>W445/W443*1000</f>
        <v>#DIV/0!</v>
      </c>
    </row>
    <row r="445" spans="1:28" s="43" customFormat="1" ht="18" hidden="1" customHeight="1">
      <c r="A445" s="583"/>
      <c r="B445" s="576"/>
      <c r="C445" s="577"/>
      <c r="D445" s="191" t="str">
        <f>серпень!D368</f>
        <v>сума, тис.грн.</v>
      </c>
      <c r="E445" s="192"/>
      <c r="F445" s="192">
        <f t="shared" ref="F445:K445" si="490">F443*F444/1000</f>
        <v>0</v>
      </c>
      <c r="G445" s="192">
        <f t="shared" si="490"/>
        <v>0</v>
      </c>
      <c r="H445" s="192">
        <f t="shared" si="490"/>
        <v>0</v>
      </c>
      <c r="I445" s="192">
        <f t="shared" si="490"/>
        <v>0</v>
      </c>
      <c r="J445" s="192">
        <f t="shared" si="490"/>
        <v>0</v>
      </c>
      <c r="K445" s="192">
        <f t="shared" si="490"/>
        <v>0</v>
      </c>
      <c r="L445" s="194">
        <f>SUM(F445:K445)</f>
        <v>0</v>
      </c>
      <c r="M445" s="194">
        <f>L445/6</f>
        <v>0</v>
      </c>
      <c r="N445" s="192">
        <f t="shared" ref="N445:S445" si="491">N443*N444/1000</f>
        <v>0</v>
      </c>
      <c r="O445" s="192">
        <f t="shared" si="491"/>
        <v>0</v>
      </c>
      <c r="P445" s="192">
        <f t="shared" si="491"/>
        <v>0</v>
      </c>
      <c r="Q445" s="192">
        <f t="shared" si="491"/>
        <v>0</v>
      </c>
      <c r="R445" s="192">
        <f t="shared" si="491"/>
        <v>0</v>
      </c>
      <c r="S445" s="192">
        <f t="shared" si="491"/>
        <v>0</v>
      </c>
      <c r="T445" s="194">
        <f>SUM(N445:S445)</f>
        <v>0</v>
      </c>
      <c r="U445" s="194">
        <f>T445+L445</f>
        <v>0</v>
      </c>
      <c r="V445" s="171">
        <f>V446+V447</f>
        <v>0</v>
      </c>
      <c r="W445" s="193">
        <f>V445-U445</f>
        <v>0</v>
      </c>
    </row>
    <row r="446" spans="1:28" s="43" customFormat="1" ht="18" hidden="1" customHeight="1">
      <c r="A446" s="583"/>
      <c r="B446" s="576"/>
      <c r="C446" s="577"/>
      <c r="D446" s="174" t="str">
        <f>серпень!D369</f>
        <v>дотація</v>
      </c>
      <c r="E446" s="210"/>
      <c r="F446" s="192"/>
      <c r="G446" s="192"/>
      <c r="H446" s="192"/>
      <c r="I446" s="192"/>
      <c r="J446" s="192"/>
      <c r="K446" s="192"/>
      <c r="L446" s="194">
        <f>SUM(F446:K446)</f>
        <v>0</v>
      </c>
      <c r="M446" s="194">
        <f>L446/6</f>
        <v>0</v>
      </c>
      <c r="N446" s="192"/>
      <c r="O446" s="192"/>
      <c r="P446" s="192"/>
      <c r="Q446" s="192"/>
      <c r="R446" s="192"/>
      <c r="S446" s="192"/>
      <c r="T446" s="194">
        <f>SUM(N446:S446)</f>
        <v>0</v>
      </c>
      <c r="U446" s="194">
        <f>T446+L446</f>
        <v>0</v>
      </c>
      <c r="V446" s="171"/>
      <c r="W446" s="193">
        <f>V446-U446</f>
        <v>0</v>
      </c>
    </row>
    <row r="447" spans="1:28" s="43" customFormat="1" ht="18" hidden="1" customHeight="1">
      <c r="A447" s="583"/>
      <c r="B447" s="576"/>
      <c r="C447" s="577"/>
      <c r="D447" s="174" t="str">
        <f>серпень!D370</f>
        <v>місцевий (план), тис.грн</v>
      </c>
      <c r="E447" s="210"/>
      <c r="F447" s="192"/>
      <c r="G447" s="192"/>
      <c r="H447" s="192"/>
      <c r="I447" s="192"/>
      <c r="J447" s="192"/>
      <c r="K447" s="192"/>
      <c r="L447" s="194">
        <f>SUM(F447:K447)</f>
        <v>0</v>
      </c>
      <c r="M447" s="194">
        <f>L447/6</f>
        <v>0</v>
      </c>
      <c r="N447" s="192"/>
      <c r="O447" s="192"/>
      <c r="P447" s="192"/>
      <c r="Q447" s="192"/>
      <c r="R447" s="192"/>
      <c r="S447" s="192"/>
      <c r="T447" s="194">
        <f>SUM(N447:S447)</f>
        <v>0</v>
      </c>
      <c r="U447" s="194">
        <f>T447+L447</f>
        <v>0</v>
      </c>
      <c r="V447" s="171"/>
      <c r="W447" s="193">
        <f>V447-U447</f>
        <v>0</v>
      </c>
    </row>
    <row r="448" spans="1:28" s="43" customFormat="1" ht="18" hidden="1" customHeight="1">
      <c r="A448" s="583"/>
      <c r="B448" s="576"/>
      <c r="C448" s="577"/>
      <c r="D448" s="178" t="str">
        <f>серпень!D371</f>
        <v>касові нат.п-ки 2025</v>
      </c>
      <c r="E448" s="179"/>
      <c r="F448" s="179"/>
      <c r="G448" s="179"/>
      <c r="H448" s="179"/>
      <c r="I448" s="179"/>
      <c r="J448" s="179"/>
      <c r="K448" s="179"/>
      <c r="L448" s="215">
        <f>SUM(F448:K448)</f>
        <v>0</v>
      </c>
      <c r="M448" s="215">
        <f>L448/6</f>
        <v>0</v>
      </c>
      <c r="N448" s="179"/>
      <c r="O448" s="179"/>
      <c r="P448" s="179"/>
      <c r="Q448" s="179"/>
      <c r="R448" s="179"/>
      <c r="S448" s="179">
        <f>S443+R443</f>
        <v>0</v>
      </c>
      <c r="T448" s="215">
        <f>SUM(N448:S448)</f>
        <v>0</v>
      </c>
      <c r="U448" s="215">
        <f>T448+L448</f>
        <v>0</v>
      </c>
      <c r="V448" s="179">
        <f>V443</f>
        <v>0</v>
      </c>
      <c r="W448" s="184">
        <f>V448-U448</f>
        <v>0</v>
      </c>
    </row>
    <row r="449" spans="1:28" s="43" customFormat="1" ht="18" hidden="1" customHeight="1">
      <c r="A449" s="583"/>
      <c r="B449" s="576"/>
      <c r="C449" s="577"/>
      <c r="D449" s="187" t="str">
        <f>серпень!D372</f>
        <v>тариф, грн.</v>
      </c>
      <c r="E449" s="188" t="e">
        <f>E450/E448*1000</f>
        <v>#DIV/0!</v>
      </c>
      <c r="F449" s="188"/>
      <c r="G449" s="188"/>
      <c r="H449" s="188"/>
      <c r="I449" s="188"/>
      <c r="J449" s="188"/>
      <c r="K449" s="188"/>
      <c r="L449" s="188" t="e">
        <f>L450/L448*1000</f>
        <v>#DIV/0!</v>
      </c>
      <c r="M449" s="188" t="e">
        <f>M450/M448*1000</f>
        <v>#DIV/0!</v>
      </c>
      <c r="N449" s="188"/>
      <c r="O449" s="188"/>
      <c r="P449" s="188"/>
      <c r="Q449" s="188"/>
      <c r="R449" s="188"/>
      <c r="S449" s="188"/>
      <c r="T449" s="188" t="e">
        <f>T450/T448*1000</f>
        <v>#DIV/0!</v>
      </c>
      <c r="U449" s="188" t="e">
        <f>U450/U448*1000</f>
        <v>#DIV/0!</v>
      </c>
      <c r="V449" s="218" t="e">
        <f>V450/V448*1000</f>
        <v>#DIV/0!</v>
      </c>
      <c r="W449" s="189" t="e">
        <f>W450/W448*1000</f>
        <v>#DIV/0!</v>
      </c>
    </row>
    <row r="450" spans="1:28" s="43" customFormat="1" ht="18" hidden="1" customHeight="1">
      <c r="A450" s="583"/>
      <c r="B450" s="576"/>
      <c r="C450" s="577"/>
      <c r="D450" s="198" t="str">
        <f>серпень!D373</f>
        <v>касові видатки, тис.грн.</v>
      </c>
      <c r="E450" s="220"/>
      <c r="F450" s="199">
        <f t="shared" ref="F450:K450" si="492">F448*F449/1000</f>
        <v>0</v>
      </c>
      <c r="G450" s="199">
        <f t="shared" si="492"/>
        <v>0</v>
      </c>
      <c r="H450" s="199">
        <f t="shared" si="492"/>
        <v>0</v>
      </c>
      <c r="I450" s="199">
        <f t="shared" si="492"/>
        <v>0</v>
      </c>
      <c r="J450" s="199">
        <f t="shared" si="492"/>
        <v>0</v>
      </c>
      <c r="K450" s="199">
        <f t="shared" si="492"/>
        <v>0</v>
      </c>
      <c r="L450" s="199">
        <f>SUM(F450:K450)</f>
        <v>0</v>
      </c>
      <c r="M450" s="199">
        <f>L450/6</f>
        <v>0</v>
      </c>
      <c r="N450" s="199">
        <f t="shared" ref="N450:S450" si="493">N448*N449/1000</f>
        <v>0</v>
      </c>
      <c r="O450" s="199">
        <f t="shared" si="493"/>
        <v>0</v>
      </c>
      <c r="P450" s="199">
        <f t="shared" si="493"/>
        <v>0</v>
      </c>
      <c r="Q450" s="199">
        <f t="shared" si="493"/>
        <v>0</v>
      </c>
      <c r="R450" s="199">
        <f t="shared" si="493"/>
        <v>0</v>
      </c>
      <c r="S450" s="199">
        <f t="shared" si="493"/>
        <v>0</v>
      </c>
      <c r="T450" s="199">
        <f>SUM(N450:S450)</f>
        <v>0</v>
      </c>
      <c r="U450" s="199">
        <f>T450+L450</f>
        <v>0</v>
      </c>
      <c r="V450" s="199">
        <f>V445</f>
        <v>0</v>
      </c>
      <c r="W450" s="221">
        <f>V450-U450</f>
        <v>0</v>
      </c>
    </row>
    <row r="451" spans="1:28" s="43" customFormat="1" ht="18" hidden="1" customHeight="1">
      <c r="A451" s="583"/>
      <c r="B451" s="576"/>
      <c r="C451" s="577"/>
      <c r="D451" s="201" t="str">
        <f>серпень!D374</f>
        <v>дотація</v>
      </c>
      <c r="E451" s="220"/>
      <c r="F451" s="199"/>
      <c r="G451" s="199"/>
      <c r="H451" s="199"/>
      <c r="I451" s="199"/>
      <c r="J451" s="199"/>
      <c r="K451" s="199"/>
      <c r="L451" s="199">
        <f>SUM(F451:K451)</f>
        <v>0</v>
      </c>
      <c r="M451" s="199">
        <f>L451/6</f>
        <v>0</v>
      </c>
      <c r="N451" s="199"/>
      <c r="O451" s="199"/>
      <c r="P451" s="199"/>
      <c r="Q451" s="199"/>
      <c r="R451" s="199"/>
      <c r="S451" s="199"/>
      <c r="T451" s="199">
        <f>SUM(N451:S451)</f>
        <v>0</v>
      </c>
      <c r="U451" s="199">
        <f>T451+L451</f>
        <v>0</v>
      </c>
      <c r="V451" s="199">
        <f>V446</f>
        <v>0</v>
      </c>
      <c r="W451" s="221">
        <f>V451-U451</f>
        <v>0</v>
      </c>
    </row>
    <row r="452" spans="1:28" s="43" customFormat="1" ht="18" hidden="1" customHeight="1">
      <c r="A452" s="583"/>
      <c r="B452" s="576"/>
      <c r="C452" s="577"/>
      <c r="D452" s="201" t="str">
        <f>серпень!D375</f>
        <v xml:space="preserve">місцевий </v>
      </c>
      <c r="E452" s="220"/>
      <c r="F452" s="199">
        <f t="shared" ref="F452:K452" si="494">F450-F451</f>
        <v>0</v>
      </c>
      <c r="G452" s="199">
        <f t="shared" si="494"/>
        <v>0</v>
      </c>
      <c r="H452" s="199">
        <f t="shared" si="494"/>
        <v>0</v>
      </c>
      <c r="I452" s="199">
        <f t="shared" si="494"/>
        <v>0</v>
      </c>
      <c r="J452" s="199">
        <f t="shared" si="494"/>
        <v>0</v>
      </c>
      <c r="K452" s="199">
        <f t="shared" si="494"/>
        <v>0</v>
      </c>
      <c r="L452" s="199">
        <f>SUM(F452:K452)</f>
        <v>0</v>
      </c>
      <c r="M452" s="199">
        <f>L452/6</f>
        <v>0</v>
      </c>
      <c r="N452" s="199">
        <f t="shared" ref="N452:S452" si="495">N450-N451</f>
        <v>0</v>
      </c>
      <c r="O452" s="199">
        <f t="shared" si="495"/>
        <v>0</v>
      </c>
      <c r="P452" s="199">
        <f t="shared" si="495"/>
        <v>0</v>
      </c>
      <c r="Q452" s="199">
        <f t="shared" si="495"/>
        <v>0</v>
      </c>
      <c r="R452" s="199">
        <f t="shared" si="495"/>
        <v>0</v>
      </c>
      <c r="S452" s="199">
        <f t="shared" si="495"/>
        <v>0</v>
      </c>
      <c r="T452" s="199">
        <f>SUM(N452:S452)</f>
        <v>0</v>
      </c>
      <c r="U452" s="199">
        <f>T452+L452</f>
        <v>0</v>
      </c>
      <c r="V452" s="199">
        <f>V447</f>
        <v>0</v>
      </c>
      <c r="W452" s="221">
        <f>V452-U452</f>
        <v>0</v>
      </c>
    </row>
    <row r="453" spans="1:28" s="43" customFormat="1" ht="18" hidden="1" customHeight="1">
      <c r="A453" s="583"/>
      <c r="B453" s="576"/>
      <c r="C453" s="577"/>
      <c r="D453" s="202" t="str">
        <f>серпень!D376</f>
        <v>план</v>
      </c>
      <c r="E453" s="203"/>
      <c r="F453" s="203">
        <f t="shared" ref="F453:K453" si="496">F447</f>
        <v>0</v>
      </c>
      <c r="G453" s="203">
        <f t="shared" si="496"/>
        <v>0</v>
      </c>
      <c r="H453" s="203">
        <f t="shared" si="496"/>
        <v>0</v>
      </c>
      <c r="I453" s="203">
        <f t="shared" si="496"/>
        <v>0</v>
      </c>
      <c r="J453" s="203">
        <f t="shared" si="496"/>
        <v>0</v>
      </c>
      <c r="K453" s="203">
        <f t="shared" si="496"/>
        <v>0</v>
      </c>
      <c r="L453" s="203">
        <f>SUM(F453:K453)</f>
        <v>0</v>
      </c>
      <c r="M453" s="203">
        <f>L453/6</f>
        <v>0</v>
      </c>
      <c r="N453" s="203">
        <f t="shared" ref="N453:S453" si="497">N447+N446</f>
        <v>0</v>
      </c>
      <c r="O453" s="203">
        <f t="shared" si="497"/>
        <v>0</v>
      </c>
      <c r="P453" s="203">
        <f t="shared" si="497"/>
        <v>0</v>
      </c>
      <c r="Q453" s="203">
        <f t="shared" si="497"/>
        <v>0</v>
      </c>
      <c r="R453" s="203">
        <f t="shared" si="497"/>
        <v>0</v>
      </c>
      <c r="S453" s="203">
        <f t="shared" si="497"/>
        <v>0</v>
      </c>
      <c r="T453" s="203">
        <f>SUM(N453:S453)</f>
        <v>0</v>
      </c>
      <c r="U453" s="203">
        <f>T453+L453</f>
        <v>0</v>
      </c>
      <c r="V453" s="203">
        <f>V450</f>
        <v>0</v>
      </c>
      <c r="W453" s="203">
        <f>V453-U453</f>
        <v>0</v>
      </c>
    </row>
    <row r="454" spans="1:28" s="43" customFormat="1" ht="18" hidden="1" customHeight="1">
      <c r="A454" s="583"/>
      <c r="B454" s="576"/>
      <c r="C454" s="577"/>
      <c r="D454" s="202" t="str">
        <f>серпень!D377</f>
        <v xml:space="preserve">відхилення </v>
      </c>
      <c r="E454" s="203"/>
      <c r="F454" s="203">
        <f t="shared" ref="F454:K454" si="498">F450-F453</f>
        <v>0</v>
      </c>
      <c r="G454" s="203">
        <f t="shared" si="498"/>
        <v>0</v>
      </c>
      <c r="H454" s="203">
        <f t="shared" si="498"/>
        <v>0</v>
      </c>
      <c r="I454" s="203">
        <f t="shared" si="498"/>
        <v>0</v>
      </c>
      <c r="J454" s="203">
        <f t="shared" si="498"/>
        <v>0</v>
      </c>
      <c r="K454" s="203">
        <f t="shared" si="498"/>
        <v>0</v>
      </c>
      <c r="L454" s="203"/>
      <c r="M454" s="203"/>
      <c r="N454" s="203">
        <f t="shared" ref="N454:S454" si="499">N450-N453</f>
        <v>0</v>
      </c>
      <c r="O454" s="203">
        <f t="shared" si="499"/>
        <v>0</v>
      </c>
      <c r="P454" s="203">
        <f t="shared" si="499"/>
        <v>0</v>
      </c>
      <c r="Q454" s="203">
        <f t="shared" si="499"/>
        <v>0</v>
      </c>
      <c r="R454" s="203">
        <f t="shared" si="499"/>
        <v>0</v>
      </c>
      <c r="S454" s="203">
        <f t="shared" si="499"/>
        <v>0</v>
      </c>
      <c r="T454" s="203"/>
      <c r="U454" s="203"/>
      <c r="V454" s="203"/>
      <c r="W454" s="203"/>
    </row>
    <row r="455" spans="1:28" s="43" customFormat="1" ht="18" hidden="1" customHeight="1">
      <c r="A455" s="583"/>
      <c r="B455" s="578"/>
      <c r="C455" s="579"/>
      <c r="D455" s="202" t="str">
        <f>серпень!D378</f>
        <v>відхилення з наростаючим</v>
      </c>
      <c r="E455" s="203"/>
      <c r="F455" s="203">
        <f>F454</f>
        <v>0</v>
      </c>
      <c r="G455" s="203">
        <f>G454+F455</f>
        <v>0</v>
      </c>
      <c r="H455" s="203">
        <f>H454+G455</f>
        <v>0</v>
      </c>
      <c r="I455" s="203">
        <f>I454+H455</f>
        <v>0</v>
      </c>
      <c r="J455" s="203">
        <f>J454+I455</f>
        <v>0</v>
      </c>
      <c r="K455" s="203">
        <f>K454+J455</f>
        <v>0</v>
      </c>
      <c r="L455" s="203"/>
      <c r="M455" s="203"/>
      <c r="N455" s="203">
        <f>N454+K455</f>
        <v>0</v>
      </c>
      <c r="O455" s="203">
        <f>O454+N455</f>
        <v>0</v>
      </c>
      <c r="P455" s="203">
        <f>P454+O455</f>
        <v>0</v>
      </c>
      <c r="Q455" s="203">
        <f>Q454+P455</f>
        <v>0</v>
      </c>
      <c r="R455" s="203">
        <f>R454+Q455</f>
        <v>0</v>
      </c>
      <c r="S455" s="203">
        <f>S454+R455</f>
        <v>0</v>
      </c>
      <c r="T455" s="203"/>
      <c r="U455" s="203"/>
      <c r="V455" s="203"/>
      <c r="W455" s="203"/>
    </row>
    <row r="456" spans="1:28" s="10" customFormat="1" ht="21.8" hidden="1" customHeight="1">
      <c r="A456" s="583"/>
      <c r="B456" s="580" t="s">
        <v>38</v>
      </c>
      <c r="C456" s="575"/>
      <c r="D456" s="178" t="str">
        <f>серпень!D379</f>
        <v>факт. нат.п-ки 2023</v>
      </c>
      <c r="E456" s="11"/>
      <c r="F456" s="12"/>
      <c r="G456" s="12"/>
      <c r="H456" s="12"/>
      <c r="I456" s="12"/>
      <c r="J456" s="12"/>
      <c r="K456" s="12"/>
      <c r="L456" s="65">
        <f>SUM(F456:K456)</f>
        <v>0</v>
      </c>
      <c r="M456" s="65">
        <f>L456/6</f>
        <v>0</v>
      </c>
      <c r="N456" s="12"/>
      <c r="O456" s="12"/>
      <c r="P456" s="12"/>
      <c r="Q456" s="12"/>
      <c r="R456" s="12"/>
      <c r="S456" s="12"/>
      <c r="T456" s="65">
        <f>SUM(N456:S456)</f>
        <v>0</v>
      </c>
      <c r="U456" s="66">
        <f>T456+L456</f>
        <v>0</v>
      </c>
      <c r="V456" s="67"/>
      <c r="W456" s="38">
        <f>V456-U456</f>
        <v>0</v>
      </c>
      <c r="X456" s="36"/>
      <c r="Y456" s="3"/>
      <c r="Z456" s="3"/>
      <c r="AA456" s="3"/>
      <c r="AB456" s="3"/>
    </row>
    <row r="457" spans="1:28" s="48" customFormat="1" ht="21.8" hidden="1" customHeight="1">
      <c r="A457" s="583"/>
      <c r="B457" s="576"/>
      <c r="C457" s="577"/>
      <c r="D457" s="178" t="str">
        <f>серпень!D380</f>
        <v>факт. нат.п-ки 2024</v>
      </c>
      <c r="E457" s="11"/>
      <c r="F457" s="12"/>
      <c r="G457" s="12"/>
      <c r="H457" s="12"/>
      <c r="I457" s="12"/>
      <c r="J457" s="12"/>
      <c r="K457" s="12"/>
      <c r="L457" s="65">
        <f>SUM(F457:K457)</f>
        <v>0</v>
      </c>
      <c r="M457" s="65">
        <f>L457/6</f>
        <v>0</v>
      </c>
      <c r="N457" s="11"/>
      <c r="O457" s="11"/>
      <c r="P457" s="11"/>
      <c r="Q457" s="11"/>
      <c r="R457" s="11"/>
      <c r="S457" s="11"/>
      <c r="T457" s="65">
        <f>SUM(N457:S457)</f>
        <v>0</v>
      </c>
      <c r="U457" s="66">
        <f>T457+L457</f>
        <v>0</v>
      </c>
      <c r="V457" s="67"/>
      <c r="W457" s="38">
        <f>V457-U457</f>
        <v>0</v>
      </c>
      <c r="X457" s="47"/>
    </row>
    <row r="458" spans="1:28" s="10" customFormat="1" ht="21.8" hidden="1" customHeight="1">
      <c r="A458" s="583"/>
      <c r="B458" s="576"/>
      <c r="C458" s="577"/>
      <c r="D458" s="178" t="str">
        <f>серпень!D381</f>
        <v>факт. нат.п-ки 2025</v>
      </c>
      <c r="E458" s="11"/>
      <c r="F458" s="12"/>
      <c r="G458" s="12"/>
      <c r="H458" s="12"/>
      <c r="I458" s="12"/>
      <c r="J458" s="12"/>
      <c r="K458" s="12"/>
      <c r="L458" s="65">
        <f>SUM(F458:K458)</f>
        <v>0</v>
      </c>
      <c r="M458" s="65">
        <f>L458/6</f>
        <v>0</v>
      </c>
      <c r="N458" s="12"/>
      <c r="O458" s="12"/>
      <c r="P458" s="12"/>
      <c r="Q458" s="12"/>
      <c r="R458" s="12"/>
      <c r="S458" s="11"/>
      <c r="T458" s="65">
        <f>SUM(N458:S458)</f>
        <v>0</v>
      </c>
      <c r="U458" s="66">
        <f>T458+L458</f>
        <v>0</v>
      </c>
      <c r="V458" s="11"/>
      <c r="W458" s="38">
        <f>V458-U458</f>
        <v>0</v>
      </c>
      <c r="X458" s="36"/>
      <c r="Y458" s="3"/>
      <c r="Z458" s="3"/>
      <c r="AA458" s="3"/>
      <c r="AB458" s="3"/>
    </row>
    <row r="459" spans="1:28" s="114" customFormat="1" ht="21.8" hidden="1" customHeight="1">
      <c r="A459" s="583"/>
      <c r="B459" s="576"/>
      <c r="C459" s="577"/>
      <c r="D459" s="187" t="str">
        <f>серпень!D382</f>
        <v>тариф, грн.</v>
      </c>
      <c r="E459" s="49"/>
      <c r="F459" s="49">
        <v>10.56</v>
      </c>
      <c r="G459" s="49">
        <v>10.56</v>
      </c>
      <c r="H459" s="49">
        <v>10.56</v>
      </c>
      <c r="I459" s="49">
        <v>10.56</v>
      </c>
      <c r="J459" s="49">
        <v>10.56</v>
      </c>
      <c r="K459" s="49">
        <v>10.56</v>
      </c>
      <c r="L459" s="49" t="e">
        <f>L460/L458*1000</f>
        <v>#DIV/0!</v>
      </c>
      <c r="M459" s="49" t="e">
        <f>M460/M458*1000</f>
        <v>#DIV/0!</v>
      </c>
      <c r="N459" s="49">
        <v>10.56</v>
      </c>
      <c r="O459" s="49">
        <v>10.56</v>
      </c>
      <c r="P459" s="49">
        <v>10.56</v>
      </c>
      <c r="Q459" s="49">
        <v>10.56</v>
      </c>
      <c r="R459" s="49">
        <v>10.56</v>
      </c>
      <c r="S459" s="49">
        <v>10.56</v>
      </c>
      <c r="T459" s="49" t="e">
        <f>T460/T458*1000</f>
        <v>#DIV/0!</v>
      </c>
      <c r="U459" s="49" t="e">
        <f>U460/U458*1000</f>
        <v>#DIV/0!</v>
      </c>
      <c r="V459" s="68" t="e">
        <f>V460/V458*1000</f>
        <v>#DIV/0!</v>
      </c>
      <c r="W459" s="14" t="e">
        <f>W460/W458*1000</f>
        <v>#DIV/0!</v>
      </c>
      <c r="X459" s="36"/>
      <c r="Y459" s="3"/>
      <c r="Z459" s="3"/>
      <c r="AA459" s="3"/>
      <c r="AB459" s="3"/>
    </row>
    <row r="460" spans="1:28" s="114" customFormat="1" ht="21.8" hidden="1" customHeight="1">
      <c r="A460" s="583"/>
      <c r="B460" s="576"/>
      <c r="C460" s="577"/>
      <c r="D460" s="191" t="str">
        <f>серпень!D383</f>
        <v>сума, тис.грн.</v>
      </c>
      <c r="E460" s="52"/>
      <c r="F460" s="52">
        <f t="shared" ref="F460:K460" si="500">F458*F459/1000</f>
        <v>0</v>
      </c>
      <c r="G460" s="52">
        <f t="shared" si="500"/>
        <v>0</v>
      </c>
      <c r="H460" s="52">
        <f t="shared" si="500"/>
        <v>0</v>
      </c>
      <c r="I460" s="52">
        <f t="shared" si="500"/>
        <v>0</v>
      </c>
      <c r="J460" s="52">
        <f t="shared" si="500"/>
        <v>0</v>
      </c>
      <c r="K460" s="52">
        <f t="shared" si="500"/>
        <v>0</v>
      </c>
      <c r="L460" s="69">
        <f>SUM(F460:K460)</f>
        <v>0</v>
      </c>
      <c r="M460" s="69">
        <f>L460/6</f>
        <v>0</v>
      </c>
      <c r="N460" s="52">
        <f t="shared" ref="N460:S460" si="501">N458*N459/1000</f>
        <v>0</v>
      </c>
      <c r="O460" s="52">
        <f t="shared" si="501"/>
        <v>0</v>
      </c>
      <c r="P460" s="52">
        <f t="shared" si="501"/>
        <v>0</v>
      </c>
      <c r="Q460" s="52">
        <f t="shared" si="501"/>
        <v>0</v>
      </c>
      <c r="R460" s="52">
        <f t="shared" si="501"/>
        <v>0</v>
      </c>
      <c r="S460" s="52">
        <f t="shared" si="501"/>
        <v>0</v>
      </c>
      <c r="T460" s="69">
        <f>SUM(N460:S460)</f>
        <v>0</v>
      </c>
      <c r="U460" s="69">
        <f>T460+L460</f>
        <v>0</v>
      </c>
      <c r="V460" s="70">
        <f>V461+V462</f>
        <v>0</v>
      </c>
      <c r="W460" s="53">
        <f>V460-U460</f>
        <v>0</v>
      </c>
      <c r="X460" s="113"/>
    </row>
    <row r="461" spans="1:28" s="114" customFormat="1" ht="21.8" hidden="1" customHeight="1">
      <c r="A461" s="583"/>
      <c r="B461" s="576"/>
      <c r="C461" s="577"/>
      <c r="D461" s="174" t="str">
        <f>серпень!D384</f>
        <v>дотація</v>
      </c>
      <c r="E461" s="56"/>
      <c r="F461" s="52"/>
      <c r="G461" s="52"/>
      <c r="H461" s="52"/>
      <c r="I461" s="52"/>
      <c r="J461" s="52"/>
      <c r="K461" s="52"/>
      <c r="L461" s="69">
        <f>SUM(F461:K461)</f>
        <v>0</v>
      </c>
      <c r="M461" s="69">
        <f>L461/6</f>
        <v>0</v>
      </c>
      <c r="N461" s="52"/>
      <c r="O461" s="52"/>
      <c r="P461" s="52"/>
      <c r="Q461" s="52"/>
      <c r="R461" s="52"/>
      <c r="S461" s="52"/>
      <c r="T461" s="69">
        <f>SUM(N461:S461)</f>
        <v>0</v>
      </c>
      <c r="U461" s="69">
        <f>T461+L461</f>
        <v>0</v>
      </c>
      <c r="V461" s="70">
        <v>0</v>
      </c>
      <c r="W461" s="53">
        <f>V461-U461</f>
        <v>0</v>
      </c>
      <c r="X461" s="113"/>
    </row>
    <row r="462" spans="1:28" s="114" customFormat="1" ht="21.8" hidden="1" customHeight="1">
      <c r="A462" s="583"/>
      <c r="B462" s="576"/>
      <c r="C462" s="577"/>
      <c r="D462" s="174" t="str">
        <f>серпень!D385</f>
        <v>місцевий (план), тис.грн</v>
      </c>
      <c r="E462" s="56"/>
      <c r="F462" s="52"/>
      <c r="G462" s="52"/>
      <c r="H462" s="52"/>
      <c r="I462" s="52"/>
      <c r="J462" s="52"/>
      <c r="K462" s="52"/>
      <c r="L462" s="69">
        <f>SUM(F462:K462)</f>
        <v>0</v>
      </c>
      <c r="M462" s="69">
        <f>L462/6</f>
        <v>0</v>
      </c>
      <c r="N462" s="52"/>
      <c r="O462" s="52"/>
      <c r="P462" s="52"/>
      <c r="Q462" s="52"/>
      <c r="R462" s="52"/>
      <c r="S462" s="52"/>
      <c r="T462" s="69">
        <f>SUM(N462:S462)</f>
        <v>0</v>
      </c>
      <c r="U462" s="69">
        <f>T462+L462</f>
        <v>0</v>
      </c>
      <c r="V462" s="70"/>
      <c r="W462" s="53">
        <f>V462-U462</f>
        <v>0</v>
      </c>
      <c r="X462" s="113"/>
    </row>
    <row r="463" spans="1:28" s="3" customFormat="1" ht="21.8" hidden="1" customHeight="1">
      <c r="A463" s="583"/>
      <c r="B463" s="576"/>
      <c r="C463" s="577"/>
      <c r="D463" s="178" t="str">
        <f>серпень!D386</f>
        <v>касові нат.п-ки 2025</v>
      </c>
      <c r="E463" s="11"/>
      <c r="F463" s="11"/>
      <c r="G463" s="11"/>
      <c r="H463" s="11"/>
      <c r="I463" s="11"/>
      <c r="J463" s="11"/>
      <c r="K463" s="11"/>
      <c r="L463" s="65">
        <f>SUM(F463:K463)</f>
        <v>0</v>
      </c>
      <c r="M463" s="65">
        <f>L463/6</f>
        <v>0</v>
      </c>
      <c r="N463" s="11"/>
      <c r="O463" s="11"/>
      <c r="P463" s="11"/>
      <c r="Q463" s="11"/>
      <c r="R463" s="11"/>
      <c r="S463" s="11">
        <f>S458+R458</f>
        <v>0</v>
      </c>
      <c r="T463" s="65">
        <f>SUM(N463:S463)</f>
        <v>0</v>
      </c>
      <c r="U463" s="65">
        <f>T463+L463</f>
        <v>0</v>
      </c>
      <c r="V463" s="11">
        <f>V458</f>
        <v>0</v>
      </c>
      <c r="W463" s="38">
        <f>V463-U463</f>
        <v>0</v>
      </c>
      <c r="X463" s="47">
        <f>U458-U463</f>
        <v>0</v>
      </c>
    </row>
    <row r="464" spans="1:28" s="73" customFormat="1" ht="21.8" hidden="1" customHeight="1">
      <c r="A464" s="583"/>
      <c r="B464" s="576"/>
      <c r="C464" s="577"/>
      <c r="D464" s="187" t="str">
        <f>серпень!D387</f>
        <v>тариф, грн.</v>
      </c>
      <c r="E464" s="49" t="e">
        <f>E465/E463*1000</f>
        <v>#DIV/0!</v>
      </c>
      <c r="F464" s="49">
        <v>10.56</v>
      </c>
      <c r="G464" s="49">
        <v>10.56</v>
      </c>
      <c r="H464" s="49">
        <v>10.56</v>
      </c>
      <c r="I464" s="49">
        <v>10.56</v>
      </c>
      <c r="J464" s="49">
        <v>10.56</v>
      </c>
      <c r="K464" s="49">
        <v>10.56</v>
      </c>
      <c r="L464" s="49" t="e">
        <f>L465/L463*1000</f>
        <v>#DIV/0!</v>
      </c>
      <c r="M464" s="49" t="e">
        <f>M465/M463*1000</f>
        <v>#DIV/0!</v>
      </c>
      <c r="N464" s="49">
        <v>10.56</v>
      </c>
      <c r="O464" s="49">
        <v>10.56</v>
      </c>
      <c r="P464" s="49">
        <v>10.56</v>
      </c>
      <c r="Q464" s="49">
        <v>10.56</v>
      </c>
      <c r="R464" s="49">
        <v>10.56</v>
      </c>
      <c r="S464" s="49">
        <v>10.56</v>
      </c>
      <c r="T464" s="49" t="e">
        <f>T465/T463*1000</f>
        <v>#DIV/0!</v>
      </c>
      <c r="U464" s="49" t="e">
        <f>U465/U463*1000</f>
        <v>#DIV/0!</v>
      </c>
      <c r="V464" s="68" t="e">
        <f>V465/V463*1000</f>
        <v>#DIV/0!</v>
      </c>
      <c r="W464" s="14" t="e">
        <f>W465/W463*1000</f>
        <v>#DIV/0!</v>
      </c>
      <c r="X464" s="59"/>
      <c r="Y464" s="36"/>
      <c r="Z464" s="36"/>
      <c r="AA464" s="36"/>
      <c r="AB464" s="36"/>
    </row>
    <row r="465" spans="1:24" s="126" customFormat="1" ht="21.8" hidden="1" customHeight="1">
      <c r="A465" s="583"/>
      <c r="B465" s="576"/>
      <c r="C465" s="577"/>
      <c r="D465" s="198" t="str">
        <f>серпень!D388</f>
        <v>касові видатки, тис.грн.</v>
      </c>
      <c r="E465" s="71"/>
      <c r="F465" s="61">
        <f t="shared" ref="F465:K465" si="502">F463*F464/1000</f>
        <v>0</v>
      </c>
      <c r="G465" s="61">
        <f t="shared" si="502"/>
        <v>0</v>
      </c>
      <c r="H465" s="61">
        <f t="shared" si="502"/>
        <v>0</v>
      </c>
      <c r="I465" s="61">
        <f t="shared" si="502"/>
        <v>0</v>
      </c>
      <c r="J465" s="61">
        <f t="shared" si="502"/>
        <v>0</v>
      </c>
      <c r="K465" s="61">
        <f t="shared" si="502"/>
        <v>0</v>
      </c>
      <c r="L465" s="61">
        <f>SUM(F465:K465)</f>
        <v>0</v>
      </c>
      <c r="M465" s="61">
        <f>L465/6</f>
        <v>0</v>
      </c>
      <c r="N465" s="61">
        <f t="shared" ref="N465:S465" si="503">N463*N464/1000</f>
        <v>0</v>
      </c>
      <c r="O465" s="61">
        <f t="shared" si="503"/>
        <v>0</v>
      </c>
      <c r="P465" s="61">
        <f t="shared" si="503"/>
        <v>0</v>
      </c>
      <c r="Q465" s="61">
        <f t="shared" si="503"/>
        <v>0</v>
      </c>
      <c r="R465" s="61">
        <f t="shared" si="503"/>
        <v>0</v>
      </c>
      <c r="S465" s="61">
        <f t="shared" si="503"/>
        <v>0</v>
      </c>
      <c r="T465" s="61">
        <f>SUM(N465:S465)</f>
        <v>0</v>
      </c>
      <c r="U465" s="61">
        <f>T465+L465</f>
        <v>0</v>
      </c>
      <c r="V465" s="61">
        <f>V460</f>
        <v>0</v>
      </c>
      <c r="W465" s="72">
        <f>V465-U465</f>
        <v>0</v>
      </c>
      <c r="X465" s="63">
        <f>U460-U465</f>
        <v>0</v>
      </c>
    </row>
    <row r="466" spans="1:24" s="126" customFormat="1" ht="21.8" hidden="1" customHeight="1">
      <c r="A466" s="583"/>
      <c r="B466" s="576"/>
      <c r="C466" s="577"/>
      <c r="D466" s="201" t="str">
        <f>серпень!D389</f>
        <v>дотація</v>
      </c>
      <c r="E466" s="71"/>
      <c r="F466" s="61"/>
      <c r="G466" s="61"/>
      <c r="H466" s="61"/>
      <c r="I466" s="61"/>
      <c r="J466" s="61"/>
      <c r="K466" s="61"/>
      <c r="L466" s="61">
        <f>SUM(F466:K466)</f>
        <v>0</v>
      </c>
      <c r="M466" s="61">
        <f>L466/6</f>
        <v>0</v>
      </c>
      <c r="N466" s="61"/>
      <c r="O466" s="61"/>
      <c r="P466" s="61"/>
      <c r="Q466" s="61"/>
      <c r="R466" s="61"/>
      <c r="S466" s="61"/>
      <c r="T466" s="61">
        <f>SUM(N466:S466)</f>
        <v>0</v>
      </c>
      <c r="U466" s="61">
        <f>T466+L466</f>
        <v>0</v>
      </c>
      <c r="V466" s="61">
        <f>V461</f>
        <v>0</v>
      </c>
      <c r="W466" s="72">
        <f>V466-U466</f>
        <v>0</v>
      </c>
      <c r="X466" s="63">
        <f>U461-U466</f>
        <v>0</v>
      </c>
    </row>
    <row r="467" spans="1:24" s="126" customFormat="1" ht="21.8" hidden="1" customHeight="1">
      <c r="A467" s="583"/>
      <c r="B467" s="576"/>
      <c r="C467" s="577"/>
      <c r="D467" s="201" t="str">
        <f>серпень!D390</f>
        <v xml:space="preserve">місцевий </v>
      </c>
      <c r="E467" s="71"/>
      <c r="F467" s="61">
        <f t="shared" ref="F467:K467" si="504">F465-F466</f>
        <v>0</v>
      </c>
      <c r="G467" s="61">
        <f t="shared" si="504"/>
        <v>0</v>
      </c>
      <c r="H467" s="61">
        <f t="shared" si="504"/>
        <v>0</v>
      </c>
      <c r="I467" s="61">
        <f t="shared" si="504"/>
        <v>0</v>
      </c>
      <c r="J467" s="61">
        <f t="shared" si="504"/>
        <v>0</v>
      </c>
      <c r="K467" s="61">
        <f t="shared" si="504"/>
        <v>0</v>
      </c>
      <c r="L467" s="61">
        <f>SUM(F467:K467)</f>
        <v>0</v>
      </c>
      <c r="M467" s="61">
        <f>L467/6</f>
        <v>0</v>
      </c>
      <c r="N467" s="61">
        <f t="shared" ref="N467:S467" si="505">N465-N466</f>
        <v>0</v>
      </c>
      <c r="O467" s="61">
        <f t="shared" si="505"/>
        <v>0</v>
      </c>
      <c r="P467" s="61">
        <f t="shared" si="505"/>
        <v>0</v>
      </c>
      <c r="Q467" s="61">
        <f t="shared" si="505"/>
        <v>0</v>
      </c>
      <c r="R467" s="61">
        <f t="shared" si="505"/>
        <v>0</v>
      </c>
      <c r="S467" s="61">
        <f t="shared" si="505"/>
        <v>0</v>
      </c>
      <c r="T467" s="61">
        <f>SUM(N467:S467)</f>
        <v>0</v>
      </c>
      <c r="U467" s="61">
        <f>T467+L467</f>
        <v>0</v>
      </c>
      <c r="V467" s="61">
        <f>V462</f>
        <v>0</v>
      </c>
      <c r="W467" s="72">
        <f>V467-U467</f>
        <v>0</v>
      </c>
      <c r="X467" s="63">
        <f>U462-U467</f>
        <v>0</v>
      </c>
    </row>
    <row r="468" spans="1:24" s="43" customFormat="1" ht="21.8" hidden="1" customHeight="1">
      <c r="A468" s="583"/>
      <c r="B468" s="576"/>
      <c r="C468" s="577"/>
      <c r="D468" s="202" t="str">
        <f>серпень!D391</f>
        <v>план</v>
      </c>
      <c r="E468" s="42"/>
      <c r="F468" s="42">
        <f t="shared" ref="F468:K468" si="506">F462</f>
        <v>0</v>
      </c>
      <c r="G468" s="42">
        <f t="shared" si="506"/>
        <v>0</v>
      </c>
      <c r="H468" s="42">
        <f t="shared" si="506"/>
        <v>0</v>
      </c>
      <c r="I468" s="42">
        <f t="shared" si="506"/>
        <v>0</v>
      </c>
      <c r="J468" s="42">
        <f t="shared" si="506"/>
        <v>0</v>
      </c>
      <c r="K468" s="42">
        <f t="shared" si="506"/>
        <v>0</v>
      </c>
      <c r="L468" s="42">
        <f>SUM(F468:K468)</f>
        <v>0</v>
      </c>
      <c r="M468" s="42">
        <f>L468/6</f>
        <v>0</v>
      </c>
      <c r="N468" s="42">
        <f t="shared" ref="N468:S468" si="507">N462+N461</f>
        <v>0</v>
      </c>
      <c r="O468" s="42">
        <f t="shared" si="507"/>
        <v>0</v>
      </c>
      <c r="P468" s="42">
        <f t="shared" si="507"/>
        <v>0</v>
      </c>
      <c r="Q468" s="42">
        <f t="shared" si="507"/>
        <v>0</v>
      </c>
      <c r="R468" s="42">
        <f t="shared" si="507"/>
        <v>0</v>
      </c>
      <c r="S468" s="42">
        <f t="shared" si="507"/>
        <v>0</v>
      </c>
      <c r="T468" s="42">
        <f>SUM(N468:S468)</f>
        <v>0</v>
      </c>
      <c r="U468" s="42">
        <f>T468+L468</f>
        <v>0</v>
      </c>
      <c r="V468" s="42">
        <f>V465</f>
        <v>0</v>
      </c>
      <c r="W468" s="42">
        <f>V468-U468</f>
        <v>0</v>
      </c>
    </row>
    <row r="469" spans="1:24" s="43" customFormat="1" ht="21.8" hidden="1" customHeight="1">
      <c r="A469" s="583"/>
      <c r="B469" s="576"/>
      <c r="C469" s="577"/>
      <c r="D469" s="202" t="str">
        <f>серпень!D392</f>
        <v xml:space="preserve">відхилення </v>
      </c>
      <c r="E469" s="42"/>
      <c r="F469" s="42">
        <f t="shared" ref="F469:K469" si="508">F465-F468</f>
        <v>0</v>
      </c>
      <c r="G469" s="42">
        <f t="shared" si="508"/>
        <v>0</v>
      </c>
      <c r="H469" s="42">
        <f t="shared" si="508"/>
        <v>0</v>
      </c>
      <c r="I469" s="42">
        <f t="shared" si="508"/>
        <v>0</v>
      </c>
      <c r="J469" s="42">
        <f t="shared" si="508"/>
        <v>0</v>
      </c>
      <c r="K469" s="42">
        <f t="shared" si="508"/>
        <v>0</v>
      </c>
      <c r="L469" s="42"/>
      <c r="M469" s="42"/>
      <c r="N469" s="42">
        <f t="shared" ref="N469:S469" si="509">N465-N468</f>
        <v>0</v>
      </c>
      <c r="O469" s="42">
        <f t="shared" si="509"/>
        <v>0</v>
      </c>
      <c r="P469" s="42">
        <f t="shared" si="509"/>
        <v>0</v>
      </c>
      <c r="Q469" s="42">
        <f t="shared" si="509"/>
        <v>0</v>
      </c>
      <c r="R469" s="42">
        <f t="shared" si="509"/>
        <v>0</v>
      </c>
      <c r="S469" s="42">
        <f t="shared" si="509"/>
        <v>0</v>
      </c>
      <c r="T469" s="42"/>
      <c r="U469" s="42"/>
      <c r="V469" s="42"/>
      <c r="W469" s="42"/>
    </row>
    <row r="470" spans="1:24" s="43" customFormat="1" ht="21.8" hidden="1" customHeight="1">
      <c r="A470" s="584"/>
      <c r="B470" s="578"/>
      <c r="C470" s="579"/>
      <c r="D470" s="202" t="str">
        <f>серпень!D393</f>
        <v>відхилення з наростаючим</v>
      </c>
      <c r="E470" s="42"/>
      <c r="F470" s="42">
        <f>F469</f>
        <v>0</v>
      </c>
      <c r="G470" s="42">
        <f>G469+F470</f>
        <v>0</v>
      </c>
      <c r="H470" s="42">
        <f>H469+G470</f>
        <v>0</v>
      </c>
      <c r="I470" s="42">
        <f>I469+H470</f>
        <v>0</v>
      </c>
      <c r="J470" s="42">
        <f>J469+I470</f>
        <v>0</v>
      </c>
      <c r="K470" s="42">
        <f>K469+J470</f>
        <v>0</v>
      </c>
      <c r="L470" s="42"/>
      <c r="M470" s="42"/>
      <c r="N470" s="42">
        <f>N469+K470</f>
        <v>0</v>
      </c>
      <c r="O470" s="42">
        <f>O469+N470</f>
        <v>0</v>
      </c>
      <c r="P470" s="42">
        <f>P469+O470</f>
        <v>0</v>
      </c>
      <c r="Q470" s="42">
        <f>Q469+P470</f>
        <v>0</v>
      </c>
      <c r="R470" s="42">
        <f>R469+Q470</f>
        <v>0</v>
      </c>
      <c r="S470" s="42">
        <f>S469+R470</f>
        <v>0</v>
      </c>
      <c r="T470" s="42"/>
      <c r="U470" s="42"/>
      <c r="V470" s="42"/>
      <c r="W470" s="42"/>
    </row>
    <row r="471" spans="1:24" s="55" customFormat="1" ht="18" customHeight="1">
      <c r="A471" s="591">
        <v>2273</v>
      </c>
      <c r="B471" s="580" t="s">
        <v>26</v>
      </c>
      <c r="C471" s="575"/>
      <c r="D471" s="178" t="str">
        <f>серпень!D394</f>
        <v>факт. нат.п-ки 2023</v>
      </c>
      <c r="E471" s="11"/>
      <c r="F471" s="12">
        <f t="shared" ref="F471:K473" si="510">F486+F501</f>
        <v>10257</v>
      </c>
      <c r="G471" s="12">
        <f t="shared" si="510"/>
        <v>9592</v>
      </c>
      <c r="H471" s="12">
        <f t="shared" si="510"/>
        <v>8609</v>
      </c>
      <c r="I471" s="12">
        <f t="shared" si="510"/>
        <v>9107</v>
      </c>
      <c r="J471" s="12">
        <f t="shared" si="510"/>
        <v>8492</v>
      </c>
      <c r="K471" s="12">
        <f t="shared" si="510"/>
        <v>5639</v>
      </c>
      <c r="L471" s="65">
        <f>SUM(F471:K471)</f>
        <v>51696</v>
      </c>
      <c r="M471" s="65">
        <f>L471/6</f>
        <v>8616</v>
      </c>
      <c r="N471" s="12">
        <f t="shared" ref="N471:S473" si="511">N486+N501</f>
        <v>3544</v>
      </c>
      <c r="O471" s="12">
        <f t="shared" si="511"/>
        <v>4255</v>
      </c>
      <c r="P471" s="12">
        <f t="shared" si="511"/>
        <v>4131</v>
      </c>
      <c r="Q471" s="12">
        <f t="shared" si="511"/>
        <v>7604</v>
      </c>
      <c r="R471" s="12">
        <f t="shared" si="511"/>
        <v>8483</v>
      </c>
      <c r="S471" s="12">
        <f t="shared" si="511"/>
        <v>16225.5</v>
      </c>
      <c r="T471" s="65">
        <f>SUM(N471:S471)</f>
        <v>44242.5</v>
      </c>
      <c r="U471" s="65">
        <f>T471+L471</f>
        <v>95938.5</v>
      </c>
      <c r="V471" s="76">
        <f>V486+V501</f>
        <v>0</v>
      </c>
      <c r="W471" s="38"/>
      <c r="X471" s="47"/>
    </row>
    <row r="472" spans="1:24" s="48" customFormat="1" ht="18" customHeight="1">
      <c r="A472" s="592"/>
      <c r="B472" s="576"/>
      <c r="C472" s="577"/>
      <c r="D472" s="178" t="str">
        <f>серпень!D395</f>
        <v>факт. нат.п-ки 2024</v>
      </c>
      <c r="E472" s="11"/>
      <c r="F472" s="12">
        <f t="shared" si="510"/>
        <v>8099</v>
      </c>
      <c r="G472" s="12">
        <f t="shared" si="510"/>
        <v>8021</v>
      </c>
      <c r="H472" s="12">
        <f t="shared" si="510"/>
        <v>8630</v>
      </c>
      <c r="I472" s="12">
        <f t="shared" si="510"/>
        <v>7045</v>
      </c>
      <c r="J472" s="12">
        <f>J487+J502</f>
        <v>10523</v>
      </c>
      <c r="K472" s="12">
        <f t="shared" si="510"/>
        <v>4533</v>
      </c>
      <c r="L472" s="65">
        <f>SUM(F472:K472)</f>
        <v>46851</v>
      </c>
      <c r="M472" s="65">
        <f>L472/6</f>
        <v>7808.5</v>
      </c>
      <c r="N472" s="12">
        <f t="shared" si="511"/>
        <v>4965</v>
      </c>
      <c r="O472" s="12">
        <f t="shared" si="511"/>
        <v>4263</v>
      </c>
      <c r="P472" s="12">
        <f t="shared" si="511"/>
        <v>5730</v>
      </c>
      <c r="Q472" s="12">
        <f t="shared" si="511"/>
        <v>9614</v>
      </c>
      <c r="R472" s="12">
        <f t="shared" si="511"/>
        <v>17658.3</v>
      </c>
      <c r="S472" s="12">
        <f t="shared" si="511"/>
        <v>20672.099999999999</v>
      </c>
      <c r="T472" s="65">
        <f>SUM(N472:S472)</f>
        <v>62902.400000000001</v>
      </c>
      <c r="U472" s="65">
        <f>T472+L472</f>
        <v>109753.4</v>
      </c>
      <c r="V472" s="76">
        <f>V487+V502</f>
        <v>113176</v>
      </c>
      <c r="W472" s="38"/>
      <c r="X472" s="47"/>
    </row>
    <row r="473" spans="1:24" s="48" customFormat="1" ht="18" customHeight="1">
      <c r="A473" s="592"/>
      <c r="B473" s="576"/>
      <c r="C473" s="577"/>
      <c r="D473" s="178" t="str">
        <f>серпень!D396</f>
        <v>факт. нат.п-ки 2025</v>
      </c>
      <c r="E473" s="11"/>
      <c r="F473" s="12">
        <f t="shared" si="510"/>
        <v>10636</v>
      </c>
      <c r="G473" s="12">
        <f t="shared" si="510"/>
        <v>10142</v>
      </c>
      <c r="H473" s="12">
        <f t="shared" si="510"/>
        <v>8635</v>
      </c>
      <c r="I473" s="12">
        <f t="shared" si="510"/>
        <v>11029</v>
      </c>
      <c r="J473" s="12">
        <f>J488+J503</f>
        <v>7975</v>
      </c>
      <c r="K473" s="12">
        <f t="shared" si="510"/>
        <v>7874</v>
      </c>
      <c r="L473" s="125">
        <f>SUM(F473:K473)</f>
        <v>56291</v>
      </c>
      <c r="M473" s="65">
        <f>L473/6</f>
        <v>9381.7999999999993</v>
      </c>
      <c r="N473" s="12">
        <f t="shared" si="511"/>
        <v>371</v>
      </c>
      <c r="O473" s="12">
        <f t="shared" si="511"/>
        <v>1471</v>
      </c>
      <c r="P473" s="12">
        <f t="shared" si="511"/>
        <v>6530</v>
      </c>
      <c r="Q473" s="12">
        <f t="shared" si="511"/>
        <v>10414</v>
      </c>
      <c r="R473" s="12">
        <f t="shared" si="511"/>
        <v>18525.3</v>
      </c>
      <c r="S473" s="12">
        <f t="shared" si="511"/>
        <v>20014.099999999999</v>
      </c>
      <c r="T473" s="65">
        <f>SUM(N473:S473)</f>
        <v>57325.4</v>
      </c>
      <c r="U473" s="65">
        <f>T473+L473</f>
        <v>113616.4</v>
      </c>
      <c r="V473" s="76">
        <f>V488+V503</f>
        <v>126526.39999999999</v>
      </c>
      <c r="W473" s="38">
        <f>V473-U473</f>
        <v>12910</v>
      </c>
      <c r="X473" s="47"/>
    </row>
    <row r="474" spans="1:24" s="51" customFormat="1" ht="18" customHeight="1">
      <c r="A474" s="592"/>
      <c r="B474" s="576"/>
      <c r="C474" s="577"/>
      <c r="D474" s="187" t="str">
        <f>серпень!D397</f>
        <v>тариф, грн.</v>
      </c>
      <c r="E474" s="49"/>
      <c r="F474" s="131">
        <f t="shared" ref="F474:S474" si="512">F475/F473*1000</f>
        <v>7.184374</v>
      </c>
      <c r="G474" s="131">
        <f t="shared" si="512"/>
        <v>7.4929009999999998</v>
      </c>
      <c r="H474" s="131">
        <f t="shared" si="512"/>
        <v>7.0176030000000003</v>
      </c>
      <c r="I474" s="131">
        <f t="shared" si="512"/>
        <v>6.3715659999999996</v>
      </c>
      <c r="J474" s="131">
        <f t="shared" si="512"/>
        <v>6.3128529999999996</v>
      </c>
      <c r="K474" s="131">
        <f t="shared" si="512"/>
        <v>6.0105409999999999</v>
      </c>
      <c r="L474" s="129">
        <f t="shared" si="512"/>
        <v>6.7674599999999998</v>
      </c>
      <c r="M474" s="129">
        <f t="shared" si="512"/>
        <v>6.7674599999999998</v>
      </c>
      <c r="N474" s="131">
        <f t="shared" si="512"/>
        <v>9.5013480000000001</v>
      </c>
      <c r="O474" s="131">
        <f t="shared" si="512"/>
        <v>10.315431999999999</v>
      </c>
      <c r="P474" s="131">
        <f t="shared" si="512"/>
        <v>6.7970899999999999</v>
      </c>
      <c r="Q474" s="131">
        <f t="shared" si="512"/>
        <v>6.7966199999999999</v>
      </c>
      <c r="R474" s="131">
        <f t="shared" si="512"/>
        <v>6.3559020000000004</v>
      </c>
      <c r="S474" s="131">
        <f t="shared" si="512"/>
        <v>6.8747530000000001</v>
      </c>
      <c r="T474" s="129">
        <f>T475/T473*1000</f>
        <v>6.7893299999999996</v>
      </c>
      <c r="U474" s="129">
        <f>U475/U473*1000</f>
        <v>6.7784899999999997</v>
      </c>
      <c r="V474" s="49">
        <f>V475/V473*1000</f>
        <v>6.8440000000000003</v>
      </c>
      <c r="W474" s="14">
        <f>W475/W473*1000</f>
        <v>7.4160000000000004</v>
      </c>
      <c r="X474" s="59"/>
    </row>
    <row r="475" spans="1:24" s="130" customFormat="1" ht="18" customHeight="1">
      <c r="A475" s="592"/>
      <c r="B475" s="576"/>
      <c r="C475" s="577"/>
      <c r="D475" s="191" t="str">
        <f>серпень!D398</f>
        <v>сума, тис.грн.</v>
      </c>
      <c r="E475" s="52"/>
      <c r="F475" s="52">
        <f t="shared" ref="F475:K478" si="513">F490+F505</f>
        <v>76.412999999999997</v>
      </c>
      <c r="G475" s="52">
        <f t="shared" si="513"/>
        <v>75.992999999999995</v>
      </c>
      <c r="H475" s="52">
        <f t="shared" si="513"/>
        <v>60.597000000000001</v>
      </c>
      <c r="I475" s="52">
        <f t="shared" si="513"/>
        <v>70.272000000000006</v>
      </c>
      <c r="J475" s="52">
        <f t="shared" si="513"/>
        <v>50.344999999999999</v>
      </c>
      <c r="K475" s="52">
        <f t="shared" si="513"/>
        <v>47.326999999999998</v>
      </c>
      <c r="L475" s="69">
        <f>SUM(F475:K475)</f>
        <v>380.947</v>
      </c>
      <c r="M475" s="69">
        <f>L475/6</f>
        <v>63.491</v>
      </c>
      <c r="N475" s="52">
        <f t="shared" ref="N475:S478" si="514">N490+N505</f>
        <v>3.5249999999999999</v>
      </c>
      <c r="O475" s="52">
        <f t="shared" si="514"/>
        <v>15.173999999999999</v>
      </c>
      <c r="P475" s="52">
        <f t="shared" si="514"/>
        <v>44.384999999999998</v>
      </c>
      <c r="Q475" s="52">
        <f t="shared" si="514"/>
        <v>70.78</v>
      </c>
      <c r="R475" s="52">
        <f t="shared" si="514"/>
        <v>117.745</v>
      </c>
      <c r="S475" s="52">
        <f t="shared" si="514"/>
        <v>137.59200000000001</v>
      </c>
      <c r="T475" s="69">
        <f>SUM(N475:S475)</f>
        <v>389.20100000000002</v>
      </c>
      <c r="U475" s="69">
        <f>T475+L475</f>
        <v>770.14800000000002</v>
      </c>
      <c r="V475" s="52">
        <f>V490+V505</f>
        <v>865.88599999999997</v>
      </c>
      <c r="W475" s="52">
        <f>V475-U475</f>
        <v>95.738</v>
      </c>
    </row>
    <row r="476" spans="1:24" s="130" customFormat="1" ht="18" customHeight="1">
      <c r="A476" s="592"/>
      <c r="B476" s="576"/>
      <c r="C476" s="577"/>
      <c r="D476" s="174" t="str">
        <f>серпень!D399</f>
        <v>дотація</v>
      </c>
      <c r="E476" s="52"/>
      <c r="F476" s="52">
        <f t="shared" si="513"/>
        <v>0</v>
      </c>
      <c r="G476" s="52">
        <f t="shared" si="513"/>
        <v>0</v>
      </c>
      <c r="H476" s="52">
        <f t="shared" si="513"/>
        <v>0</v>
      </c>
      <c r="I476" s="52">
        <f t="shared" si="513"/>
        <v>35.881999999999998</v>
      </c>
      <c r="J476" s="52">
        <f>J491+J506</f>
        <v>0</v>
      </c>
      <c r="K476" s="52">
        <f t="shared" si="513"/>
        <v>0</v>
      </c>
      <c r="L476" s="69">
        <f>SUM(F476:K476)</f>
        <v>35.881999999999998</v>
      </c>
      <c r="M476" s="69">
        <f>L476/6</f>
        <v>5.98</v>
      </c>
      <c r="N476" s="52">
        <f t="shared" si="514"/>
        <v>0</v>
      </c>
      <c r="O476" s="52">
        <f t="shared" si="514"/>
        <v>0</v>
      </c>
      <c r="P476" s="52">
        <f t="shared" si="514"/>
        <v>0</v>
      </c>
      <c r="Q476" s="52">
        <f t="shared" si="514"/>
        <v>0</v>
      </c>
      <c r="R476" s="52">
        <f t="shared" si="514"/>
        <v>0</v>
      </c>
      <c r="S476" s="52">
        <f t="shared" si="514"/>
        <v>0</v>
      </c>
      <c r="T476" s="69">
        <f>SUM(N476:S476)</f>
        <v>0</v>
      </c>
      <c r="U476" s="69">
        <f>T476+L476</f>
        <v>35.881999999999998</v>
      </c>
      <c r="V476" s="52">
        <f>V491+V506</f>
        <v>35.881999999999998</v>
      </c>
      <c r="W476" s="52">
        <f>V476-U476</f>
        <v>0</v>
      </c>
    </row>
    <row r="477" spans="1:24" s="130" customFormat="1" ht="18" customHeight="1">
      <c r="A477" s="592"/>
      <c r="B477" s="576"/>
      <c r="C477" s="577"/>
      <c r="D477" s="174" t="str">
        <f>серпень!D400</f>
        <v>місцевий (план), тис.грн</v>
      </c>
      <c r="E477" s="52"/>
      <c r="F477" s="52">
        <f t="shared" si="513"/>
        <v>0</v>
      </c>
      <c r="G477" s="52">
        <f t="shared" si="513"/>
        <v>76.414000000000001</v>
      </c>
      <c r="H477" s="52">
        <f t="shared" si="513"/>
        <v>54.387</v>
      </c>
      <c r="I477" s="52">
        <f t="shared" si="513"/>
        <v>51.207000000000001</v>
      </c>
      <c r="J477" s="52">
        <f>J492+J507</f>
        <v>65.385000000000005</v>
      </c>
      <c r="K477" s="52">
        <f t="shared" si="513"/>
        <v>50.424999999999997</v>
      </c>
      <c r="L477" s="69">
        <f>SUM(F477:K477)</f>
        <v>297.81799999999998</v>
      </c>
      <c r="M477" s="69">
        <f>L477/6</f>
        <v>49.636000000000003</v>
      </c>
      <c r="N477" s="52">
        <f t="shared" si="514"/>
        <v>47.267000000000003</v>
      </c>
      <c r="O477" s="52">
        <f t="shared" si="514"/>
        <v>3.6040000000000001</v>
      </c>
      <c r="P477" s="52">
        <f t="shared" si="514"/>
        <v>34.987000000000002</v>
      </c>
      <c r="Q477" s="52">
        <f t="shared" si="514"/>
        <v>59.139000000000003</v>
      </c>
      <c r="R477" s="52">
        <f t="shared" si="514"/>
        <v>74.244</v>
      </c>
      <c r="S477" s="52">
        <f t="shared" si="514"/>
        <v>312.94499999999999</v>
      </c>
      <c r="T477" s="69">
        <f>SUM(N477:S477)</f>
        <v>532.18600000000004</v>
      </c>
      <c r="U477" s="69">
        <f>T477+L477</f>
        <v>830.00400000000002</v>
      </c>
      <c r="V477" s="52">
        <f>V492+V507</f>
        <v>830.00400000000002</v>
      </c>
      <c r="W477" s="52">
        <f>V477-U477</f>
        <v>0</v>
      </c>
    </row>
    <row r="478" spans="1:24" s="48" customFormat="1" ht="18" customHeight="1">
      <c r="A478" s="592"/>
      <c r="B478" s="576"/>
      <c r="C478" s="577"/>
      <c r="D478" s="178" t="str">
        <f>серпень!D401</f>
        <v>касові нат.п-ки 2025</v>
      </c>
      <c r="E478" s="11">
        <f>E493</f>
        <v>0</v>
      </c>
      <c r="F478" s="11">
        <f t="shared" si="513"/>
        <v>0</v>
      </c>
      <c r="G478" s="11">
        <f t="shared" si="513"/>
        <v>7713</v>
      </c>
      <c r="H478" s="11">
        <f t="shared" si="513"/>
        <v>10142</v>
      </c>
      <c r="I478" s="11">
        <f t="shared" si="513"/>
        <v>8635</v>
      </c>
      <c r="J478" s="11">
        <f>J493+J508</f>
        <v>13952</v>
      </c>
      <c r="K478" s="11">
        <f t="shared" si="513"/>
        <v>7975</v>
      </c>
      <c r="L478" s="65">
        <f>SUM(F478:K478)</f>
        <v>48417</v>
      </c>
      <c r="M478" s="65">
        <f>L478/6</f>
        <v>8069.5</v>
      </c>
      <c r="N478" s="11">
        <f t="shared" si="514"/>
        <v>7874</v>
      </c>
      <c r="O478" s="11">
        <f t="shared" si="514"/>
        <v>371</v>
      </c>
      <c r="P478" s="11">
        <f t="shared" si="514"/>
        <v>1471</v>
      </c>
      <c r="Q478" s="11">
        <f t="shared" si="514"/>
        <v>6530</v>
      </c>
      <c r="R478" s="11">
        <f t="shared" si="514"/>
        <v>10414</v>
      </c>
      <c r="S478" s="11">
        <f t="shared" si="514"/>
        <v>38539.4</v>
      </c>
      <c r="T478" s="65">
        <f>SUM(N478:S478)</f>
        <v>65199.4</v>
      </c>
      <c r="U478" s="65">
        <f>T478+L478</f>
        <v>113616.4</v>
      </c>
      <c r="V478" s="11">
        <f>V493+V508</f>
        <v>126526.39999999999</v>
      </c>
      <c r="W478" s="38">
        <f>V478-U478</f>
        <v>12910</v>
      </c>
      <c r="X478" s="47">
        <f>U473-U478</f>
        <v>0</v>
      </c>
    </row>
    <row r="479" spans="1:24" s="51" customFormat="1" ht="18" customHeight="1">
      <c r="A479" s="592"/>
      <c r="B479" s="576"/>
      <c r="C479" s="577"/>
      <c r="D479" s="187" t="str">
        <f>серпень!D402</f>
        <v>тариф, грн.</v>
      </c>
      <c r="E479" s="49" t="e">
        <f t="shared" ref="E479:S479" si="515">E480/E478*1000</f>
        <v>#DIV/0!</v>
      </c>
      <c r="F479" s="49" t="e">
        <f t="shared" si="515"/>
        <v>#DIV/0!</v>
      </c>
      <c r="G479" s="131">
        <f t="shared" si="515"/>
        <v>5.8835730000000002</v>
      </c>
      <c r="H479" s="131">
        <f t="shared" si="515"/>
        <v>7.4929009999999998</v>
      </c>
      <c r="I479" s="131">
        <f t="shared" si="515"/>
        <v>7.0176030000000003</v>
      </c>
      <c r="J479" s="131">
        <f t="shared" si="515"/>
        <v>7.2609659999999998</v>
      </c>
      <c r="K479" s="131">
        <f t="shared" si="515"/>
        <v>6.3128529999999996</v>
      </c>
      <c r="L479" s="129">
        <f t="shared" si="515"/>
        <v>6.8905500000000002</v>
      </c>
      <c r="M479" s="129">
        <f t="shared" si="515"/>
        <v>6.8905099999999999</v>
      </c>
      <c r="N479" s="131">
        <f t="shared" si="515"/>
        <v>6.0105409999999999</v>
      </c>
      <c r="O479" s="131">
        <f t="shared" si="515"/>
        <v>9.4986519999999999</v>
      </c>
      <c r="P479" s="131">
        <f t="shared" si="515"/>
        <v>10.316110999999999</v>
      </c>
      <c r="Q479" s="131">
        <f t="shared" si="515"/>
        <v>6.7970899999999999</v>
      </c>
      <c r="R479" s="131">
        <f t="shared" si="515"/>
        <v>6.7966199999999999</v>
      </c>
      <c r="S479" s="131">
        <f t="shared" si="515"/>
        <v>6.6253500000000001</v>
      </c>
      <c r="T479" s="129">
        <f>T480/T478*1000</f>
        <v>6.6952800000000003</v>
      </c>
      <c r="U479" s="129">
        <f>U480/U478*1000</f>
        <v>6.7784899999999997</v>
      </c>
      <c r="V479" s="49">
        <f>V480/V478*1000</f>
        <v>6.8440000000000003</v>
      </c>
      <c r="W479" s="14">
        <f>W480/W478*1000</f>
        <v>7.4160000000000004</v>
      </c>
      <c r="X479" s="59"/>
    </row>
    <row r="480" spans="1:24" s="126" customFormat="1" ht="16.899999999999999" customHeight="1">
      <c r="A480" s="592"/>
      <c r="B480" s="576"/>
      <c r="C480" s="577"/>
      <c r="D480" s="198" t="str">
        <f>серпень!D403</f>
        <v>касові видатки, тис.грн.</v>
      </c>
      <c r="E480" s="71">
        <f t="shared" ref="E480:K482" si="516">E495+E510</f>
        <v>0</v>
      </c>
      <c r="F480" s="61">
        <f t="shared" si="516"/>
        <v>0</v>
      </c>
      <c r="G480" s="61">
        <f t="shared" si="516"/>
        <v>45.38</v>
      </c>
      <c r="H480" s="61">
        <f t="shared" si="516"/>
        <v>75.992999999999995</v>
      </c>
      <c r="I480" s="61">
        <f t="shared" si="516"/>
        <v>60.597000000000001</v>
      </c>
      <c r="J480" s="61">
        <f t="shared" si="516"/>
        <v>101.30500000000001</v>
      </c>
      <c r="K480" s="61">
        <f t="shared" si="516"/>
        <v>50.344999999999999</v>
      </c>
      <c r="L480" s="61">
        <f>SUM(F480:K480)</f>
        <v>333.62</v>
      </c>
      <c r="M480" s="61">
        <f>L480/6</f>
        <v>55.603000000000002</v>
      </c>
      <c r="N480" s="61">
        <f t="shared" ref="N480:S482" si="517">N495+N510</f>
        <v>47.326999999999998</v>
      </c>
      <c r="O480" s="61">
        <f t="shared" si="517"/>
        <v>3.524</v>
      </c>
      <c r="P480" s="61">
        <f t="shared" si="517"/>
        <v>15.175000000000001</v>
      </c>
      <c r="Q480" s="61">
        <f t="shared" si="517"/>
        <v>44.384999999999998</v>
      </c>
      <c r="R480" s="61">
        <f t="shared" si="517"/>
        <v>70.78</v>
      </c>
      <c r="S480" s="61">
        <f t="shared" si="517"/>
        <v>255.33699999999999</v>
      </c>
      <c r="T480" s="61">
        <f>SUM(N480:S480)</f>
        <v>436.52800000000002</v>
      </c>
      <c r="U480" s="61">
        <f>T480+L480</f>
        <v>770.14800000000002</v>
      </c>
      <c r="V480" s="61">
        <f>V495+V510</f>
        <v>865.88599999999997</v>
      </c>
      <c r="W480" s="72">
        <f>V480-U480</f>
        <v>95.738</v>
      </c>
      <c r="X480" s="63">
        <f>U475-U480</f>
        <v>0</v>
      </c>
    </row>
    <row r="481" spans="1:25" s="126" customFormat="1" ht="18" customHeight="1">
      <c r="A481" s="592"/>
      <c r="B481" s="576"/>
      <c r="C481" s="577"/>
      <c r="D481" s="201" t="str">
        <f>серпень!D404</f>
        <v>дотація</v>
      </c>
      <c r="E481" s="71"/>
      <c r="F481" s="61">
        <f t="shared" si="516"/>
        <v>0</v>
      </c>
      <c r="G481" s="61">
        <f t="shared" si="516"/>
        <v>0</v>
      </c>
      <c r="H481" s="61">
        <f t="shared" si="516"/>
        <v>0</v>
      </c>
      <c r="I481" s="61">
        <f t="shared" si="516"/>
        <v>0</v>
      </c>
      <c r="J481" s="61">
        <f>J496+J511</f>
        <v>35.881999999999998</v>
      </c>
      <c r="K481" s="61">
        <f t="shared" si="516"/>
        <v>0</v>
      </c>
      <c r="L481" s="61">
        <f>SUM(F481:K481)</f>
        <v>35.881999999999998</v>
      </c>
      <c r="M481" s="61">
        <f>L481/6</f>
        <v>5.98</v>
      </c>
      <c r="N481" s="61">
        <f t="shared" si="517"/>
        <v>0</v>
      </c>
      <c r="O481" s="61">
        <f t="shared" si="517"/>
        <v>0</v>
      </c>
      <c r="P481" s="61">
        <f t="shared" si="517"/>
        <v>0</v>
      </c>
      <c r="Q481" s="61">
        <f t="shared" si="517"/>
        <v>0</v>
      </c>
      <c r="R481" s="61">
        <f t="shared" si="517"/>
        <v>0</v>
      </c>
      <c r="S481" s="61">
        <f t="shared" si="517"/>
        <v>0</v>
      </c>
      <c r="T481" s="61">
        <f>SUM(N481:S481)</f>
        <v>0</v>
      </c>
      <c r="U481" s="61">
        <f>T481+L481</f>
        <v>35.881999999999998</v>
      </c>
      <c r="V481" s="61">
        <f>V496+V511</f>
        <v>35.881999999999998</v>
      </c>
      <c r="W481" s="72">
        <f>V481-U481</f>
        <v>0</v>
      </c>
      <c r="X481" s="63">
        <f>U476-U481</f>
        <v>0</v>
      </c>
    </row>
    <row r="482" spans="1:25" s="126" customFormat="1" ht="18" customHeight="1">
      <c r="A482" s="592"/>
      <c r="B482" s="576"/>
      <c r="C482" s="577"/>
      <c r="D482" s="201" t="str">
        <f>серпень!D405</f>
        <v xml:space="preserve">місцевий </v>
      </c>
      <c r="E482" s="71"/>
      <c r="F482" s="61">
        <f t="shared" si="516"/>
        <v>0</v>
      </c>
      <c r="G482" s="61">
        <f t="shared" si="516"/>
        <v>45.38</v>
      </c>
      <c r="H482" s="61">
        <f t="shared" si="516"/>
        <v>75.992999999999995</v>
      </c>
      <c r="I482" s="61">
        <f t="shared" si="516"/>
        <v>60.597000000000001</v>
      </c>
      <c r="J482" s="61">
        <f>J497+J512</f>
        <v>65.423000000000002</v>
      </c>
      <c r="K482" s="61">
        <f t="shared" si="516"/>
        <v>50.344999999999999</v>
      </c>
      <c r="L482" s="61">
        <f>SUM(F482:K482)</f>
        <v>297.738</v>
      </c>
      <c r="M482" s="61">
        <f>L482/6</f>
        <v>49.622999999999998</v>
      </c>
      <c r="N482" s="61">
        <f t="shared" si="517"/>
        <v>47.326999999999998</v>
      </c>
      <c r="O482" s="61">
        <f t="shared" si="517"/>
        <v>3.524</v>
      </c>
      <c r="P482" s="61">
        <f t="shared" si="517"/>
        <v>15.175000000000001</v>
      </c>
      <c r="Q482" s="61">
        <f t="shared" si="517"/>
        <v>44.384999999999998</v>
      </c>
      <c r="R482" s="61">
        <f t="shared" si="517"/>
        <v>70.78</v>
      </c>
      <c r="S482" s="61">
        <f t="shared" si="517"/>
        <v>255.33699999999999</v>
      </c>
      <c r="T482" s="61">
        <f>SUM(N482:S482)</f>
        <v>436.52800000000002</v>
      </c>
      <c r="U482" s="61">
        <f>T482+L482</f>
        <v>734.26599999999996</v>
      </c>
      <c r="V482" s="61">
        <f>V497+V512</f>
        <v>830.00400000000002</v>
      </c>
      <c r="W482" s="72">
        <f>V482-U482</f>
        <v>95.738</v>
      </c>
      <c r="X482" s="63">
        <f>U477-U482</f>
        <v>95.738</v>
      </c>
    </row>
    <row r="483" spans="1:25" s="43" customFormat="1" ht="18" customHeight="1">
      <c r="A483" s="592"/>
      <c r="B483" s="576"/>
      <c r="C483" s="577"/>
      <c r="D483" s="202" t="str">
        <f>серпень!D406</f>
        <v>план</v>
      </c>
      <c r="E483" s="42"/>
      <c r="F483" s="42">
        <f>F477+F476</f>
        <v>0</v>
      </c>
      <c r="G483" s="42">
        <f t="shared" ref="G483:K483" si="518">G477+G476</f>
        <v>76.414000000000001</v>
      </c>
      <c r="H483" s="42">
        <f t="shared" si="518"/>
        <v>54.387</v>
      </c>
      <c r="I483" s="42">
        <f t="shared" si="518"/>
        <v>87.088999999999999</v>
      </c>
      <c r="J483" s="42">
        <f>J477+J476</f>
        <v>65.385000000000005</v>
      </c>
      <c r="K483" s="42">
        <f t="shared" si="518"/>
        <v>50.424999999999997</v>
      </c>
      <c r="L483" s="42">
        <f>SUM(F483:K483)</f>
        <v>333.7</v>
      </c>
      <c r="M483" s="42">
        <f>L483/6</f>
        <v>55.616999999999997</v>
      </c>
      <c r="N483" s="42">
        <f>N477+N476</f>
        <v>47.267000000000003</v>
      </c>
      <c r="O483" s="42">
        <f t="shared" ref="O483:S483" si="519">O477+O476</f>
        <v>3.6040000000000001</v>
      </c>
      <c r="P483" s="42">
        <f t="shared" si="519"/>
        <v>34.987000000000002</v>
      </c>
      <c r="Q483" s="42">
        <f t="shared" si="519"/>
        <v>59.139000000000003</v>
      </c>
      <c r="R483" s="42">
        <f t="shared" si="519"/>
        <v>74.244</v>
      </c>
      <c r="S483" s="42">
        <f t="shared" si="519"/>
        <v>312.94499999999999</v>
      </c>
      <c r="T483" s="42">
        <f>SUM(N483:S483)</f>
        <v>532.18600000000004</v>
      </c>
      <c r="U483" s="42">
        <f>T483+L483</f>
        <v>865.88599999999997</v>
      </c>
      <c r="V483" s="42">
        <f>V477+V476</f>
        <v>865.88599999999997</v>
      </c>
      <c r="W483" s="42">
        <f>V483-U483</f>
        <v>0</v>
      </c>
    </row>
    <row r="484" spans="1:25" s="43" customFormat="1" ht="18" customHeight="1">
      <c r="A484" s="592"/>
      <c r="B484" s="576"/>
      <c r="C484" s="577"/>
      <c r="D484" s="202" t="str">
        <f>серпень!D407</f>
        <v xml:space="preserve">відхилення </v>
      </c>
      <c r="E484" s="42"/>
      <c r="F484" s="42">
        <f t="shared" ref="F484:K484" si="520">F480-F483</f>
        <v>0</v>
      </c>
      <c r="G484" s="42">
        <f t="shared" si="520"/>
        <v>-31.033999999999999</v>
      </c>
      <c r="H484" s="42">
        <f t="shared" si="520"/>
        <v>21.606000000000002</v>
      </c>
      <c r="I484" s="42">
        <f t="shared" si="520"/>
        <v>-26.492000000000001</v>
      </c>
      <c r="J484" s="42">
        <f t="shared" si="520"/>
        <v>35.92</v>
      </c>
      <c r="K484" s="42">
        <f t="shared" si="520"/>
        <v>-0.08</v>
      </c>
      <c r="L484" s="42"/>
      <c r="M484" s="42"/>
      <c r="N484" s="42">
        <f t="shared" ref="N484:S484" si="521">N480-N483</f>
        <v>0.06</v>
      </c>
      <c r="O484" s="42">
        <f t="shared" si="521"/>
        <v>-0.08</v>
      </c>
      <c r="P484" s="42">
        <f t="shared" si="521"/>
        <v>-19.812000000000001</v>
      </c>
      <c r="Q484" s="42">
        <f t="shared" si="521"/>
        <v>-14.754</v>
      </c>
      <c r="R484" s="42">
        <f t="shared" si="521"/>
        <v>-3.464</v>
      </c>
      <c r="S484" s="42">
        <f t="shared" si="521"/>
        <v>-57.607999999999997</v>
      </c>
      <c r="T484" s="42"/>
      <c r="U484" s="42"/>
      <c r="V484" s="42"/>
      <c r="W484" s="42"/>
    </row>
    <row r="485" spans="1:25" s="43" customFormat="1" ht="18" customHeight="1">
      <c r="A485" s="592"/>
      <c r="B485" s="576"/>
      <c r="C485" s="577"/>
      <c r="D485" s="202" t="str">
        <f>серпень!D408</f>
        <v>відхилення з наростаючим</v>
      </c>
      <c r="E485" s="42"/>
      <c r="F485" s="42">
        <f>F484</f>
        <v>0</v>
      </c>
      <c r="G485" s="42">
        <f>G484+F485</f>
        <v>-31.033999999999999</v>
      </c>
      <c r="H485" s="42">
        <f>H484+G485</f>
        <v>-9.4280000000000008</v>
      </c>
      <c r="I485" s="42">
        <f>I484+H485</f>
        <v>-35.92</v>
      </c>
      <c r="J485" s="42">
        <f>J484+I485</f>
        <v>0</v>
      </c>
      <c r="K485" s="42">
        <f>K484+J485</f>
        <v>-0.08</v>
      </c>
      <c r="L485" s="42"/>
      <c r="M485" s="42"/>
      <c r="N485" s="42">
        <f>N484+K485</f>
        <v>-0.02</v>
      </c>
      <c r="O485" s="42">
        <f>O484+N485</f>
        <v>-0.1</v>
      </c>
      <c r="P485" s="42">
        <f>P484+O485</f>
        <v>-19.911999999999999</v>
      </c>
      <c r="Q485" s="42">
        <f>Q484+P485</f>
        <v>-34.665999999999997</v>
      </c>
      <c r="R485" s="42">
        <f>R484+Q485</f>
        <v>-38.130000000000003</v>
      </c>
      <c r="S485" s="42">
        <f>S484+R485</f>
        <v>-95.738</v>
      </c>
      <c r="T485" s="42"/>
      <c r="U485" s="42"/>
      <c r="V485" s="42"/>
      <c r="W485" s="42"/>
    </row>
    <row r="486" spans="1:25" s="55" customFormat="1" ht="18" customHeight="1">
      <c r="A486" s="592"/>
      <c r="B486" s="581" t="s">
        <v>32</v>
      </c>
      <c r="C486" s="581"/>
      <c r="D486" s="178" t="str">
        <f>серпень!D409</f>
        <v>факт. нат.п-ки 2023</v>
      </c>
      <c r="E486" s="11"/>
      <c r="F486" s="12">
        <v>2579</v>
      </c>
      <c r="G486" s="12">
        <v>2917</v>
      </c>
      <c r="H486" s="12">
        <v>1236</v>
      </c>
      <c r="I486" s="12">
        <v>2543</v>
      </c>
      <c r="J486" s="12">
        <v>2490</v>
      </c>
      <c r="K486" s="12">
        <v>1603</v>
      </c>
      <c r="L486" s="65">
        <f>SUM(F486:K486)</f>
        <v>13368</v>
      </c>
      <c r="M486" s="65">
        <f>L486/6</f>
        <v>2228</v>
      </c>
      <c r="N486" s="112">
        <v>644</v>
      </c>
      <c r="O486" s="112">
        <v>903</v>
      </c>
      <c r="P486" s="112">
        <v>1038</v>
      </c>
      <c r="Q486" s="112">
        <v>2386</v>
      </c>
      <c r="R486" s="112">
        <v>2875</v>
      </c>
      <c r="S486" s="112">
        <v>5140.5</v>
      </c>
      <c r="T486" s="65">
        <f>SUM(N486:S486)</f>
        <v>12986.5</v>
      </c>
      <c r="U486" s="65">
        <f>T486+L486</f>
        <v>26354.5</v>
      </c>
      <c r="V486" s="46"/>
      <c r="W486" s="38"/>
      <c r="X486" s="47"/>
    </row>
    <row r="487" spans="1:25" s="48" customFormat="1" ht="18" customHeight="1">
      <c r="A487" s="592"/>
      <c r="B487" s="581"/>
      <c r="C487" s="581"/>
      <c r="D487" s="178" t="str">
        <f>серпень!D410</f>
        <v>факт. нат.п-ки 2024</v>
      </c>
      <c r="E487" s="11"/>
      <c r="F487" s="12">
        <v>1949</v>
      </c>
      <c r="G487" s="12">
        <v>1787</v>
      </c>
      <c r="H487" s="12">
        <v>2324</v>
      </c>
      <c r="I487" s="12">
        <v>2098</v>
      </c>
      <c r="J487" s="12">
        <v>1448</v>
      </c>
      <c r="K487" s="12">
        <v>1174</v>
      </c>
      <c r="L487" s="65">
        <f>SUM(F487:K487)</f>
        <v>10780</v>
      </c>
      <c r="M487" s="65">
        <f>L487/6</f>
        <v>1796.7</v>
      </c>
      <c r="N487" s="12">
        <v>1797</v>
      </c>
      <c r="O487" s="12">
        <v>1365</v>
      </c>
      <c r="P487" s="112">
        <v>2391</v>
      </c>
      <c r="Q487" s="112">
        <v>4288</v>
      </c>
      <c r="R487" s="112">
        <v>6573.3</v>
      </c>
      <c r="S487" s="112">
        <v>9587.1</v>
      </c>
      <c r="T487" s="65">
        <f>SUM(N487:S487)</f>
        <v>26001.4</v>
      </c>
      <c r="U487" s="65">
        <f>T487+L487</f>
        <v>36781.4</v>
      </c>
      <c r="V487" s="11">
        <v>31711</v>
      </c>
      <c r="W487" s="38"/>
      <c r="X487" s="47"/>
    </row>
    <row r="488" spans="1:25" s="48" customFormat="1" ht="18" customHeight="1">
      <c r="A488" s="592"/>
      <c r="B488" s="581"/>
      <c r="C488" s="581"/>
      <c r="D488" s="178" t="str">
        <f>серпень!D411</f>
        <v>факт. нат.п-ки 2025</v>
      </c>
      <c r="E488" s="11"/>
      <c r="F488" s="12">
        <v>4838</v>
      </c>
      <c r="G488" s="12">
        <v>4944</v>
      </c>
      <c r="H488" s="12">
        <v>3919</v>
      </c>
      <c r="I488" s="12">
        <v>4834</v>
      </c>
      <c r="J488" s="12">
        <v>3228</v>
      </c>
      <c r="K488" s="12">
        <v>2626</v>
      </c>
      <c r="L488" s="65">
        <f>SUM(F488:K488)</f>
        <v>24389</v>
      </c>
      <c r="M488" s="65">
        <f>L488/6</f>
        <v>4064.8</v>
      </c>
      <c r="N488" s="12">
        <v>371</v>
      </c>
      <c r="O488" s="12">
        <v>1471</v>
      </c>
      <c r="P488" s="112">
        <f>2391+800</f>
        <v>3191</v>
      </c>
      <c r="Q488" s="112">
        <f>4288+800</f>
        <v>5088</v>
      </c>
      <c r="R488" s="112">
        <f>4627.3+1946+867</f>
        <v>7440.3</v>
      </c>
      <c r="S488" s="112">
        <f>6140.7+3446.4+500</f>
        <v>10087.1</v>
      </c>
      <c r="T488" s="65">
        <f>SUM(N488:S488)</f>
        <v>27648.400000000001</v>
      </c>
      <c r="U488" s="65">
        <f>T488+L488</f>
        <v>52037.4</v>
      </c>
      <c r="V488" s="75">
        <v>54712.4</v>
      </c>
      <c r="W488" s="38">
        <f>V488-U488</f>
        <v>2675</v>
      </c>
      <c r="X488" s="47"/>
      <c r="Y488" s="315"/>
    </row>
    <row r="489" spans="1:25" s="51" customFormat="1" ht="18" customHeight="1">
      <c r="A489" s="592"/>
      <c r="B489" s="581"/>
      <c r="C489" s="581"/>
      <c r="D489" s="187" t="str">
        <f>серпень!D412</f>
        <v>тариф, грн.</v>
      </c>
      <c r="E489" s="129" t="e">
        <f>E490/E488*1000</f>
        <v>#DIV/0!</v>
      </c>
      <c r="F489" s="129">
        <f t="shared" ref="F489:K489" si="522">F490/F488*1000</f>
        <v>10.6172</v>
      </c>
      <c r="G489" s="129">
        <f t="shared" si="522"/>
        <v>10.82888</v>
      </c>
      <c r="H489" s="129">
        <f t="shared" si="522"/>
        <v>10.26384</v>
      </c>
      <c r="I489" s="129">
        <f t="shared" si="522"/>
        <v>9.0008300000000006</v>
      </c>
      <c r="J489" s="129">
        <f t="shared" si="522"/>
        <v>9.2434899999999995</v>
      </c>
      <c r="K489" s="129">
        <f t="shared" si="522"/>
        <v>9.3891899999999993</v>
      </c>
      <c r="L489" s="132">
        <f>L490/L488*1000</f>
        <v>9.9689200000000007</v>
      </c>
      <c r="M489" s="132">
        <f>M490/M488*1000</f>
        <v>9.9689999999999994</v>
      </c>
      <c r="N489" s="132">
        <f t="shared" ref="N489:O489" si="523">N490/N488*1000</f>
        <v>9.5013500000000004</v>
      </c>
      <c r="O489" s="132">
        <f t="shared" si="523"/>
        <v>10.315429999999999</v>
      </c>
      <c r="P489" s="132">
        <v>9.3891899999999993</v>
      </c>
      <c r="Q489" s="132">
        <v>9.3891899999999993</v>
      </c>
      <c r="R489" s="132">
        <v>9.3891899999999993</v>
      </c>
      <c r="S489" s="132">
        <v>9.3891899999999993</v>
      </c>
      <c r="T489" s="132">
        <f>T490/T488*1000</f>
        <v>9.4398599999999995</v>
      </c>
      <c r="U489" s="132">
        <f>U490/U488*1000</f>
        <v>9.6878200000000003</v>
      </c>
      <c r="V489" s="132">
        <f>V490/V488*1000</f>
        <v>9.5</v>
      </c>
      <c r="W489" s="40">
        <f>W490/W488*1000</f>
        <v>5.8463599999999998</v>
      </c>
      <c r="X489" s="59"/>
    </row>
    <row r="490" spans="1:25" s="130" customFormat="1" ht="18" customHeight="1">
      <c r="A490" s="592"/>
      <c r="B490" s="581"/>
      <c r="C490" s="581"/>
      <c r="D490" s="191" t="str">
        <f>серпень!D413</f>
        <v>сума, тис.грн.</v>
      </c>
      <c r="E490" s="52"/>
      <c r="F490" s="52">
        <v>51.366</v>
      </c>
      <c r="G490" s="52">
        <v>53.537999999999997</v>
      </c>
      <c r="H490" s="52">
        <v>40.223999999999997</v>
      </c>
      <c r="I490" s="52">
        <v>43.51</v>
      </c>
      <c r="J490" s="52">
        <v>29.838000000000001</v>
      </c>
      <c r="K490" s="52">
        <v>24.655999999999999</v>
      </c>
      <c r="L490" s="69">
        <f>SUM(F490:K490)</f>
        <v>243.13200000000001</v>
      </c>
      <c r="M490" s="69">
        <f>L490/6</f>
        <v>40.521999999999998</v>
      </c>
      <c r="N490" s="52">
        <v>3.5249999999999999</v>
      </c>
      <c r="O490" s="52">
        <v>15.173999999999999</v>
      </c>
      <c r="P490" s="52">
        <f t="shared" ref="P490" si="524">P488*P489/1000</f>
        <v>29.960999999999999</v>
      </c>
      <c r="Q490" s="52">
        <f t="shared" ref="Q490" si="525">Q488*Q489/1000</f>
        <v>47.771999999999998</v>
      </c>
      <c r="R490" s="52">
        <f t="shared" ref="R490" si="526">R488*R489/1000</f>
        <v>69.858000000000004</v>
      </c>
      <c r="S490" s="52">
        <f>S488*S489/1000-0.003</f>
        <v>94.706999999999994</v>
      </c>
      <c r="T490" s="69">
        <f>SUM(N490:S490)</f>
        <v>260.99700000000001</v>
      </c>
      <c r="U490" s="69">
        <f>T490+L490</f>
        <v>504.12900000000002</v>
      </c>
      <c r="V490" s="70">
        <f>V491+V492</f>
        <v>519.76800000000003</v>
      </c>
      <c r="W490" s="53">
        <f>V490-U490</f>
        <v>15.638999999999999</v>
      </c>
      <c r="X490" s="133"/>
    </row>
    <row r="491" spans="1:25" s="130" customFormat="1" ht="18" customHeight="1">
      <c r="A491" s="592"/>
      <c r="B491" s="581"/>
      <c r="C491" s="581"/>
      <c r="D491" s="174" t="str">
        <f>серпень!D414</f>
        <v>дотація</v>
      </c>
      <c r="E491" s="56"/>
      <c r="F491" s="52"/>
      <c r="G491" s="52"/>
      <c r="H491" s="52"/>
      <c r="I491" s="52"/>
      <c r="J491" s="52"/>
      <c r="K491" s="52"/>
      <c r="L491" s="69">
        <f>SUM(F491:K491)</f>
        <v>0</v>
      </c>
      <c r="M491" s="69">
        <f>L491/6</f>
        <v>0</v>
      </c>
      <c r="N491" s="52"/>
      <c r="O491" s="52"/>
      <c r="P491" s="52"/>
      <c r="Q491" s="52"/>
      <c r="R491" s="52"/>
      <c r="S491" s="52"/>
      <c r="T491" s="69">
        <f>SUM(N491:S491)</f>
        <v>0</v>
      </c>
      <c r="U491" s="69">
        <f>T491+L491</f>
        <v>0</v>
      </c>
      <c r="V491" s="70"/>
      <c r="W491" s="53">
        <f>V491-U491</f>
        <v>0</v>
      </c>
    </row>
    <row r="492" spans="1:25" s="130" customFormat="1" ht="18" customHeight="1">
      <c r="A492" s="592"/>
      <c r="B492" s="581"/>
      <c r="C492" s="581"/>
      <c r="D492" s="174" t="str">
        <f>серпень!D415</f>
        <v>місцевий (план), тис.грн</v>
      </c>
      <c r="E492" s="56"/>
      <c r="F492" s="52">
        <f>6.499-6.499</f>
        <v>0</v>
      </c>
      <c r="G492" s="52">
        <f>30.904+18.942</f>
        <v>49.845999999999997</v>
      </c>
      <c r="H492" s="52">
        <f>46.398-18.942</f>
        <v>27.456</v>
      </c>
      <c r="I492" s="52">
        <f>42.665-18.7</f>
        <v>23.965</v>
      </c>
      <c r="J492" s="52">
        <v>44.014000000000003</v>
      </c>
      <c r="K492" s="52">
        <f>33.583+12.338</f>
        <v>45.920999999999999</v>
      </c>
      <c r="L492" s="69">
        <f>SUM(F492:K492)</f>
        <v>191.202</v>
      </c>
      <c r="M492" s="69">
        <f>L492/6</f>
        <v>31.867000000000001</v>
      </c>
      <c r="N492" s="52">
        <f>21.356</f>
        <v>21.356000000000002</v>
      </c>
      <c r="O492" s="52">
        <f>33.222-29.618</f>
        <v>3.6040000000000001</v>
      </c>
      <c r="P492" s="52">
        <v>22.468</v>
      </c>
      <c r="Q492" s="52">
        <f>30.315+14.4</f>
        <v>44.715000000000003</v>
      </c>
      <c r="R492" s="52">
        <v>48.335999999999999</v>
      </c>
      <c r="S492" s="52">
        <f>166.507+6.362+15.218</f>
        <v>188.08699999999999</v>
      </c>
      <c r="T492" s="69">
        <f>SUM(N492:S492)</f>
        <v>328.56599999999997</v>
      </c>
      <c r="U492" s="69">
        <f>T492+L492</f>
        <v>519.76800000000003</v>
      </c>
      <c r="V492" s="70">
        <v>519.76800000000003</v>
      </c>
      <c r="W492" s="53">
        <f>V492-U492</f>
        <v>0</v>
      </c>
    </row>
    <row r="493" spans="1:25" s="48" customFormat="1" ht="18" customHeight="1">
      <c r="A493" s="592"/>
      <c r="B493" s="581"/>
      <c r="C493" s="581"/>
      <c r="D493" s="178" t="str">
        <f>серпень!D416</f>
        <v>касові нат.п-ки 2025</v>
      </c>
      <c r="E493" s="11"/>
      <c r="F493" s="11">
        <v>0</v>
      </c>
      <c r="G493" s="12">
        <v>1915</v>
      </c>
      <c r="H493" s="12">
        <v>4944</v>
      </c>
      <c r="I493" s="12">
        <v>3919</v>
      </c>
      <c r="J493" s="12">
        <v>7757</v>
      </c>
      <c r="K493" s="12">
        <v>3228</v>
      </c>
      <c r="L493" s="65">
        <f>SUM(F493:K493)</f>
        <v>21763</v>
      </c>
      <c r="M493" s="65">
        <f>L493/6</f>
        <v>3627.2</v>
      </c>
      <c r="N493" s="112">
        <v>2626</v>
      </c>
      <c r="O493" s="112">
        <v>371</v>
      </c>
      <c r="P493" s="112">
        <v>1471</v>
      </c>
      <c r="Q493" s="112">
        <v>3191</v>
      </c>
      <c r="R493" s="112">
        <v>5088</v>
      </c>
      <c r="S493" s="112">
        <f>R488+S488</f>
        <v>17527.400000000001</v>
      </c>
      <c r="T493" s="65">
        <f>SUM(N493:S493)</f>
        <v>30274.400000000001</v>
      </c>
      <c r="U493" s="65">
        <f>T493+L493</f>
        <v>52037.4</v>
      </c>
      <c r="V493" s="11">
        <f>V488</f>
        <v>54712.4</v>
      </c>
      <c r="W493" s="38">
        <f>V493-U493</f>
        <v>2675</v>
      </c>
      <c r="X493" s="47">
        <f>U488-U493</f>
        <v>0</v>
      </c>
    </row>
    <row r="494" spans="1:25" s="51" customFormat="1" ht="18" customHeight="1">
      <c r="A494" s="592"/>
      <c r="B494" s="581"/>
      <c r="C494" s="581"/>
      <c r="D494" s="187" t="str">
        <f>серпень!D417</f>
        <v>тариф, грн.</v>
      </c>
      <c r="E494" s="129" t="e">
        <f>E495/E493*1000</f>
        <v>#DIV/0!</v>
      </c>
      <c r="F494" s="129" t="e">
        <f t="shared" ref="F494:K494" si="527">F495/F493*1000</f>
        <v>#DIV/0!</v>
      </c>
      <c r="G494" s="129">
        <f t="shared" si="527"/>
        <v>10.617749999999999</v>
      </c>
      <c r="H494" s="129">
        <f t="shared" si="527"/>
        <v>10.82888</v>
      </c>
      <c r="I494" s="129">
        <f t="shared" si="527"/>
        <v>10.26384</v>
      </c>
      <c r="J494" s="129">
        <f t="shared" si="527"/>
        <v>9.6097699999999993</v>
      </c>
      <c r="K494" s="129">
        <f t="shared" si="527"/>
        <v>9.2434899999999995</v>
      </c>
      <c r="L494" s="132">
        <f>L495/L493*1000</f>
        <v>10.038869999999999</v>
      </c>
      <c r="M494" s="132">
        <f>M495/M493*1000</f>
        <v>10.038869999999999</v>
      </c>
      <c r="N494" s="132">
        <f t="shared" ref="N494:P494" si="528">N495/N493*1000</f>
        <v>9.3891899999999993</v>
      </c>
      <c r="O494" s="132">
        <f t="shared" si="528"/>
        <v>9.4986499999999996</v>
      </c>
      <c r="P494" s="132">
        <f t="shared" si="528"/>
        <v>10.31611</v>
      </c>
      <c r="Q494" s="132">
        <v>9.3891899999999993</v>
      </c>
      <c r="R494" s="132">
        <v>9.3891899999999993</v>
      </c>
      <c r="S494" s="131">
        <v>9.3891899999999993</v>
      </c>
      <c r="T494" s="132">
        <f>T495/T493*1000</f>
        <v>9.4354600000000008</v>
      </c>
      <c r="U494" s="132">
        <f>U495/U493*1000</f>
        <v>9.6878200000000003</v>
      </c>
      <c r="V494" s="68">
        <f>V495/V493*1000</f>
        <v>9.5</v>
      </c>
      <c r="W494" s="14">
        <f>W495/W493*1000</f>
        <v>5.8460000000000001</v>
      </c>
      <c r="X494" s="59"/>
    </row>
    <row r="495" spans="1:25" s="126" customFormat="1" ht="26.15" customHeight="1">
      <c r="A495" s="592"/>
      <c r="B495" s="581"/>
      <c r="C495" s="581"/>
      <c r="D495" s="198" t="str">
        <f>серпень!D418</f>
        <v>касові видатки, тис.грн.</v>
      </c>
      <c r="E495" s="71"/>
      <c r="F495" s="61">
        <v>0</v>
      </c>
      <c r="G495" s="61">
        <v>20.332999999999998</v>
      </c>
      <c r="H495" s="61">
        <v>53.537999999999997</v>
      </c>
      <c r="I495" s="61">
        <v>40.223999999999997</v>
      </c>
      <c r="J495" s="61">
        <v>74.543000000000006</v>
      </c>
      <c r="K495" s="61">
        <v>29.838000000000001</v>
      </c>
      <c r="L495" s="61">
        <f>SUM(F495:K495)</f>
        <v>218.476</v>
      </c>
      <c r="M495" s="61">
        <f>L495/6</f>
        <v>36.412999999999997</v>
      </c>
      <c r="N495" s="61">
        <v>24.655999999999999</v>
      </c>
      <c r="O495" s="61">
        <v>3.524</v>
      </c>
      <c r="P495" s="61">
        <f>15.174+0.001</f>
        <v>15.175000000000001</v>
      </c>
      <c r="Q495" s="61">
        <f t="shared" ref="Q495" si="529">Q493*Q494/1000</f>
        <v>29.960999999999999</v>
      </c>
      <c r="R495" s="61">
        <f t="shared" ref="R495" si="530">R493*R494/1000</f>
        <v>47.771999999999998</v>
      </c>
      <c r="S495" s="61">
        <f>S493*S494/1000-0.003</f>
        <v>164.565</v>
      </c>
      <c r="T495" s="61">
        <f>SUM(N495:S495)</f>
        <v>285.65300000000002</v>
      </c>
      <c r="U495" s="61">
        <f>T495+L495</f>
        <v>504.12900000000002</v>
      </c>
      <c r="V495" s="61">
        <f>V490</f>
        <v>519.76800000000003</v>
      </c>
      <c r="W495" s="72">
        <f>V495-U495</f>
        <v>15.638999999999999</v>
      </c>
      <c r="X495" s="63">
        <f>U490-U495</f>
        <v>0</v>
      </c>
    </row>
    <row r="496" spans="1:25" s="126" customFormat="1" ht="18" customHeight="1">
      <c r="A496" s="592"/>
      <c r="B496" s="581"/>
      <c r="C496" s="581"/>
      <c r="D496" s="201" t="str">
        <f>серпень!D419</f>
        <v>дотація</v>
      </c>
      <c r="E496" s="71"/>
      <c r="F496" s="61"/>
      <c r="G496" s="61"/>
      <c r="H496" s="61"/>
      <c r="I496" s="61"/>
      <c r="J496" s="61"/>
      <c r="K496" s="61"/>
      <c r="L496" s="61">
        <f>SUM(F496:K496)</f>
        <v>0</v>
      </c>
      <c r="M496" s="61">
        <f>L496/6</f>
        <v>0</v>
      </c>
      <c r="N496" s="61"/>
      <c r="O496" s="61"/>
      <c r="P496" s="61"/>
      <c r="Q496" s="61"/>
      <c r="R496" s="61"/>
      <c r="S496" s="61"/>
      <c r="T496" s="61">
        <f>SUM(N496:S496)</f>
        <v>0</v>
      </c>
      <c r="U496" s="61">
        <f>T496+L496</f>
        <v>0</v>
      </c>
      <c r="V496" s="61">
        <f>V491</f>
        <v>0</v>
      </c>
      <c r="W496" s="72">
        <f>V496-U496</f>
        <v>0</v>
      </c>
      <c r="X496" s="63">
        <f>U491-U496</f>
        <v>0</v>
      </c>
    </row>
    <row r="497" spans="1:24" s="126" customFormat="1" ht="18" customHeight="1">
      <c r="A497" s="592"/>
      <c r="B497" s="581"/>
      <c r="C497" s="581"/>
      <c r="D497" s="201" t="str">
        <f>серпень!D420</f>
        <v xml:space="preserve">місцевий </v>
      </c>
      <c r="E497" s="71"/>
      <c r="F497" s="61">
        <f t="shared" ref="F497:K497" si="531">F495-F496</f>
        <v>0</v>
      </c>
      <c r="G497" s="61">
        <f t="shared" si="531"/>
        <v>20.332999999999998</v>
      </c>
      <c r="H497" s="61">
        <f t="shared" si="531"/>
        <v>53.537999999999997</v>
      </c>
      <c r="I497" s="61">
        <f t="shared" si="531"/>
        <v>40.223999999999997</v>
      </c>
      <c r="J497" s="61">
        <f t="shared" si="531"/>
        <v>74.543000000000006</v>
      </c>
      <c r="K497" s="61">
        <f t="shared" si="531"/>
        <v>29.838000000000001</v>
      </c>
      <c r="L497" s="61">
        <f>SUM(F497:K497)</f>
        <v>218.476</v>
      </c>
      <c r="M497" s="61">
        <f>L497/6</f>
        <v>36.412999999999997</v>
      </c>
      <c r="N497" s="61">
        <f t="shared" ref="N497:S497" si="532">N495-N496</f>
        <v>24.655999999999999</v>
      </c>
      <c r="O497" s="61">
        <f t="shared" si="532"/>
        <v>3.524</v>
      </c>
      <c r="P497" s="61">
        <f t="shared" si="532"/>
        <v>15.175000000000001</v>
      </c>
      <c r="Q497" s="61">
        <f t="shared" si="532"/>
        <v>29.960999999999999</v>
      </c>
      <c r="R497" s="61">
        <f t="shared" si="532"/>
        <v>47.771999999999998</v>
      </c>
      <c r="S497" s="61">
        <f t="shared" si="532"/>
        <v>164.565</v>
      </c>
      <c r="T497" s="61">
        <f>SUM(N497:S497)</f>
        <v>285.65300000000002</v>
      </c>
      <c r="U497" s="61">
        <f>T497+L497</f>
        <v>504.12900000000002</v>
      </c>
      <c r="V497" s="61">
        <f>V492</f>
        <v>519.76800000000003</v>
      </c>
      <c r="W497" s="72">
        <f>V497-U497</f>
        <v>15.638999999999999</v>
      </c>
      <c r="X497" s="63">
        <f>U492-U497</f>
        <v>15.638999999999999</v>
      </c>
    </row>
    <row r="498" spans="1:24" s="43" customFormat="1" ht="18" customHeight="1">
      <c r="A498" s="592"/>
      <c r="B498" s="581"/>
      <c r="C498" s="581"/>
      <c r="D498" s="202" t="str">
        <f>серпень!D421</f>
        <v>план</v>
      </c>
      <c r="E498" s="42"/>
      <c r="F498" s="42">
        <f t="shared" ref="F498" si="533">F492</f>
        <v>0</v>
      </c>
      <c r="G498" s="42">
        <f>G492+G491</f>
        <v>49.845999999999997</v>
      </c>
      <c r="H498" s="42">
        <f t="shared" ref="H498:K498" si="534">H492+H491</f>
        <v>27.456</v>
      </c>
      <c r="I498" s="42">
        <f t="shared" si="534"/>
        <v>23.965</v>
      </c>
      <c r="J498" s="42">
        <f t="shared" si="534"/>
        <v>44.014000000000003</v>
      </c>
      <c r="K498" s="42">
        <f t="shared" si="534"/>
        <v>45.920999999999999</v>
      </c>
      <c r="L498" s="42">
        <f>SUM(F498:K498)</f>
        <v>191.202</v>
      </c>
      <c r="M498" s="42">
        <f>L498/6</f>
        <v>31.867000000000001</v>
      </c>
      <c r="N498" s="42">
        <f>N492+N491</f>
        <v>21.356000000000002</v>
      </c>
      <c r="O498" s="42">
        <f t="shared" ref="O498:R498" si="535">O492+O491</f>
        <v>3.6040000000000001</v>
      </c>
      <c r="P498" s="42">
        <f t="shared" si="535"/>
        <v>22.468</v>
      </c>
      <c r="Q498" s="42">
        <f t="shared" si="535"/>
        <v>44.715000000000003</v>
      </c>
      <c r="R498" s="42">
        <f t="shared" si="535"/>
        <v>48.335999999999999</v>
      </c>
      <c r="S498" s="42">
        <f>S492+S491</f>
        <v>188.08699999999999</v>
      </c>
      <c r="T498" s="42">
        <f>SUM(N498:S498)</f>
        <v>328.56599999999997</v>
      </c>
      <c r="U498" s="42">
        <f>T498+L498</f>
        <v>519.76800000000003</v>
      </c>
      <c r="V498" s="42">
        <f>V495</f>
        <v>519.76800000000003</v>
      </c>
      <c r="W498" s="42">
        <f>V498-U498</f>
        <v>0</v>
      </c>
    </row>
    <row r="499" spans="1:24" s="43" customFormat="1" ht="18" customHeight="1">
      <c r="A499" s="592"/>
      <c r="B499" s="581"/>
      <c r="C499" s="581"/>
      <c r="D499" s="202" t="str">
        <f>серпень!D422</f>
        <v xml:space="preserve">відхилення </v>
      </c>
      <c r="E499" s="42"/>
      <c r="F499" s="42">
        <f t="shared" ref="F499:K499" si="536">F495-F498</f>
        <v>0</v>
      </c>
      <c r="G499" s="42">
        <f t="shared" si="536"/>
        <v>-29.513000000000002</v>
      </c>
      <c r="H499" s="42">
        <f t="shared" si="536"/>
        <v>26.082000000000001</v>
      </c>
      <c r="I499" s="42">
        <f t="shared" si="536"/>
        <v>16.259</v>
      </c>
      <c r="J499" s="42">
        <f t="shared" si="536"/>
        <v>30.529</v>
      </c>
      <c r="K499" s="42">
        <f t="shared" si="536"/>
        <v>-16.082999999999998</v>
      </c>
      <c r="L499" s="42"/>
      <c r="M499" s="42"/>
      <c r="N499" s="42">
        <f t="shared" ref="N499:S499" si="537">N495-N498</f>
        <v>3.3</v>
      </c>
      <c r="O499" s="42">
        <f t="shared" si="537"/>
        <v>-0.08</v>
      </c>
      <c r="P499" s="42">
        <f t="shared" si="537"/>
        <v>-7.2930000000000001</v>
      </c>
      <c r="Q499" s="42">
        <f t="shared" si="537"/>
        <v>-14.754</v>
      </c>
      <c r="R499" s="42">
        <f t="shared" si="537"/>
        <v>-0.56399999999999995</v>
      </c>
      <c r="S499" s="42">
        <f t="shared" si="537"/>
        <v>-23.521999999999998</v>
      </c>
      <c r="T499" s="42"/>
      <c r="U499" s="42"/>
      <c r="V499" s="42"/>
      <c r="W499" s="42"/>
    </row>
    <row r="500" spans="1:24" s="43" customFormat="1" ht="18" customHeight="1">
      <c r="A500" s="592"/>
      <c r="B500" s="581"/>
      <c r="C500" s="581"/>
      <c r="D500" s="202" t="str">
        <f>серпень!D423</f>
        <v>відхилення з наростаючим</v>
      </c>
      <c r="E500" s="42"/>
      <c r="F500" s="42">
        <f>F499</f>
        <v>0</v>
      </c>
      <c r="G500" s="42">
        <f>G499+F500</f>
        <v>-29.513000000000002</v>
      </c>
      <c r="H500" s="42">
        <f>H499+G500</f>
        <v>-3.431</v>
      </c>
      <c r="I500" s="42">
        <f>I499+H500</f>
        <v>12.827999999999999</v>
      </c>
      <c r="J500" s="42">
        <f>J499+I500</f>
        <v>43.356999999999999</v>
      </c>
      <c r="K500" s="42">
        <f>K499+J500</f>
        <v>27.274000000000001</v>
      </c>
      <c r="L500" s="42"/>
      <c r="M500" s="42"/>
      <c r="N500" s="42">
        <f>N499+K500</f>
        <v>30.574000000000002</v>
      </c>
      <c r="O500" s="42">
        <f>O499+N500</f>
        <v>30.494</v>
      </c>
      <c r="P500" s="42">
        <f>P499+O500</f>
        <v>23.201000000000001</v>
      </c>
      <c r="Q500" s="42">
        <f>Q499+P500</f>
        <v>8.4469999999999992</v>
      </c>
      <c r="R500" s="42">
        <f>R499+Q500</f>
        <v>7.883</v>
      </c>
      <c r="S500" s="42">
        <f>S499+R500</f>
        <v>-15.638999999999999</v>
      </c>
      <c r="T500" s="42"/>
      <c r="U500" s="42"/>
      <c r="V500" s="42"/>
      <c r="W500" s="42"/>
    </row>
    <row r="501" spans="1:24" s="55" customFormat="1" ht="18" customHeight="1">
      <c r="A501" s="592"/>
      <c r="B501" s="576" t="s">
        <v>33</v>
      </c>
      <c r="C501" s="577"/>
      <c r="D501" s="178" t="str">
        <f>серпень!D424</f>
        <v>факт. нат.п-ки 2023</v>
      </c>
      <c r="E501" s="11"/>
      <c r="F501" s="12">
        <v>7678</v>
      </c>
      <c r="G501" s="12">
        <v>6675</v>
      </c>
      <c r="H501" s="12">
        <v>7373</v>
      </c>
      <c r="I501" s="12">
        <v>6564</v>
      </c>
      <c r="J501" s="12">
        <v>6002</v>
      </c>
      <c r="K501" s="12">
        <v>4036</v>
      </c>
      <c r="L501" s="65">
        <f>SUM(F501:K501)</f>
        <v>38328</v>
      </c>
      <c r="M501" s="65">
        <v>5959.6</v>
      </c>
      <c r="N501" s="11">
        <v>2900</v>
      </c>
      <c r="O501" s="11">
        <v>3352</v>
      </c>
      <c r="P501" s="11">
        <v>3093</v>
      </c>
      <c r="Q501" s="11">
        <v>5218</v>
      </c>
      <c r="R501" s="11">
        <v>5608</v>
      </c>
      <c r="S501" s="11">
        <v>11085</v>
      </c>
      <c r="T501" s="65">
        <f>SUM(N501:S501)</f>
        <v>31256</v>
      </c>
      <c r="U501" s="65">
        <f>T501+L501</f>
        <v>69584</v>
      </c>
      <c r="V501" s="46"/>
      <c r="W501" s="38"/>
      <c r="X501" s="47"/>
    </row>
    <row r="502" spans="1:24" s="48" customFormat="1" ht="18" customHeight="1">
      <c r="A502" s="592"/>
      <c r="B502" s="576"/>
      <c r="C502" s="577"/>
      <c r="D502" s="178" t="str">
        <f>серпень!D425</f>
        <v>факт. нат.п-ки 2024</v>
      </c>
      <c r="E502" s="11"/>
      <c r="F502" s="12">
        <v>6150</v>
      </c>
      <c r="G502" s="12">
        <v>6234</v>
      </c>
      <c r="H502" s="12">
        <v>6306</v>
      </c>
      <c r="I502" s="12">
        <v>4947</v>
      </c>
      <c r="J502" s="12">
        <v>9075</v>
      </c>
      <c r="K502" s="12">
        <v>3359</v>
      </c>
      <c r="L502" s="65">
        <f>SUM(F502:K502)</f>
        <v>36071</v>
      </c>
      <c r="M502" s="65">
        <v>5959.6</v>
      </c>
      <c r="N502" s="11">
        <v>3168</v>
      </c>
      <c r="O502" s="11">
        <v>2898</v>
      </c>
      <c r="P502" s="11">
        <v>3339</v>
      </c>
      <c r="Q502" s="11">
        <v>5326</v>
      </c>
      <c r="R502" s="11">
        <v>11085</v>
      </c>
      <c r="S502" s="11">
        <v>11085</v>
      </c>
      <c r="T502" s="65">
        <f>SUM(N502:S502)</f>
        <v>36901</v>
      </c>
      <c r="U502" s="65">
        <f>T502+L502</f>
        <v>72972</v>
      </c>
      <c r="V502" s="11">
        <v>81465</v>
      </c>
      <c r="W502" s="38"/>
      <c r="X502" s="47"/>
    </row>
    <row r="503" spans="1:24" s="48" customFormat="1" ht="18" customHeight="1">
      <c r="A503" s="592"/>
      <c r="B503" s="576"/>
      <c r="C503" s="577"/>
      <c r="D503" s="178" t="str">
        <f>серпень!D426</f>
        <v>факт. нат.п-ки 2025</v>
      </c>
      <c r="E503" s="11"/>
      <c r="F503" s="12">
        <v>5798</v>
      </c>
      <c r="G503" s="12">
        <v>5198</v>
      </c>
      <c r="H503" s="12">
        <v>4716</v>
      </c>
      <c r="I503" s="12">
        <v>6195</v>
      </c>
      <c r="J503" s="12">
        <v>4747</v>
      </c>
      <c r="K503" s="12">
        <v>5248</v>
      </c>
      <c r="L503" s="65">
        <f>SUM(F503:K503)</f>
        <v>31902</v>
      </c>
      <c r="M503" s="65">
        <v>5959.6</v>
      </c>
      <c r="N503" s="11">
        <v>0</v>
      </c>
      <c r="O503" s="11">
        <v>0</v>
      </c>
      <c r="P503" s="11">
        <v>3339</v>
      </c>
      <c r="Q503" s="11">
        <v>5326</v>
      </c>
      <c r="R503" s="11">
        <v>11085</v>
      </c>
      <c r="S503" s="11">
        <f>11085-1158</f>
        <v>9927</v>
      </c>
      <c r="T503" s="65">
        <f>SUM(N503:S503)</f>
        <v>29677</v>
      </c>
      <c r="U503" s="65">
        <f>T503+L503</f>
        <v>61579</v>
      </c>
      <c r="V503" s="11">
        <v>71814</v>
      </c>
      <c r="W503" s="38">
        <f>V503-U503</f>
        <v>10235</v>
      </c>
      <c r="X503" s="47"/>
    </row>
    <row r="504" spans="1:24" s="51" customFormat="1" ht="18" customHeight="1">
      <c r="A504" s="592"/>
      <c r="B504" s="576"/>
      <c r="C504" s="577"/>
      <c r="D504" s="187" t="str">
        <f>серпень!D427</f>
        <v>тариф, грн.</v>
      </c>
      <c r="E504" s="131" t="e">
        <f>E505/E503*1000</f>
        <v>#DIV/0!</v>
      </c>
      <c r="F504" s="131">
        <f t="shared" ref="F504:K504" si="538">F505/F503*1000</f>
        <v>4.3199379999999996</v>
      </c>
      <c r="G504" s="131">
        <f t="shared" si="538"/>
        <v>4.3199310000000004</v>
      </c>
      <c r="H504" s="131">
        <f t="shared" si="538"/>
        <v>4.3199750000000003</v>
      </c>
      <c r="I504" s="131">
        <f t="shared" si="538"/>
        <v>4.3199350000000001</v>
      </c>
      <c r="J504" s="131">
        <f t="shared" si="538"/>
        <v>4.3199920000000001</v>
      </c>
      <c r="K504" s="131">
        <f t="shared" si="538"/>
        <v>4.3199310000000004</v>
      </c>
      <c r="L504" s="132">
        <f t="shared" ref="L504:O504" si="539">L505/L503*1000</f>
        <v>4.3199500000000004</v>
      </c>
      <c r="M504" s="132">
        <f t="shared" si="539"/>
        <v>3.85412</v>
      </c>
      <c r="N504" s="132" t="e">
        <f t="shared" si="539"/>
        <v>#DIV/0!</v>
      </c>
      <c r="O504" s="132" t="e">
        <f t="shared" si="539"/>
        <v>#DIV/0!</v>
      </c>
      <c r="P504" s="132">
        <v>4.32</v>
      </c>
      <c r="Q504" s="132">
        <v>4.32</v>
      </c>
      <c r="R504" s="132">
        <v>4.32</v>
      </c>
      <c r="S504" s="132">
        <v>4.32</v>
      </c>
      <c r="T504" s="132">
        <f>T505/T503*1000</f>
        <v>4.3199800000000002</v>
      </c>
      <c r="U504" s="132">
        <f>U505/U503*1000</f>
        <v>4.31996</v>
      </c>
      <c r="V504" s="132">
        <f>V505/V503*1000</f>
        <v>4.8196500000000002</v>
      </c>
      <c r="W504" s="40">
        <f>W505/W503*1000</f>
        <v>7.82599</v>
      </c>
      <c r="X504" s="59"/>
    </row>
    <row r="505" spans="1:24" s="130" customFormat="1" ht="18" customHeight="1">
      <c r="A505" s="592"/>
      <c r="B505" s="576"/>
      <c r="C505" s="577"/>
      <c r="D505" s="191" t="str">
        <f>серпень!D428</f>
        <v>сума, тис.грн.</v>
      </c>
      <c r="E505" s="52"/>
      <c r="F505" s="52">
        <v>25.047000000000001</v>
      </c>
      <c r="G505" s="52">
        <v>22.454999999999998</v>
      </c>
      <c r="H505" s="52">
        <v>20.373000000000001</v>
      </c>
      <c r="I505" s="52">
        <v>26.762</v>
      </c>
      <c r="J505" s="52">
        <v>20.507000000000001</v>
      </c>
      <c r="K505" s="52">
        <v>22.670999999999999</v>
      </c>
      <c r="L505" s="69">
        <f>SUM(F505:K505)</f>
        <v>137.815</v>
      </c>
      <c r="M505" s="69">
        <f>L505/6</f>
        <v>22.969000000000001</v>
      </c>
      <c r="N505" s="52">
        <v>0</v>
      </c>
      <c r="O505" s="52">
        <v>0</v>
      </c>
      <c r="P505" s="52">
        <f t="shared" ref="P505" si="540">P503*P504/1000</f>
        <v>14.423999999999999</v>
      </c>
      <c r="Q505" s="52">
        <f t="shared" ref="Q505" si="541">Q503*Q504/1000</f>
        <v>23.007999999999999</v>
      </c>
      <c r="R505" s="52">
        <f t="shared" ref="R505" si="542">R503*R504/1000</f>
        <v>47.887</v>
      </c>
      <c r="S505" s="52">
        <f t="shared" ref="S505" si="543">S503*S504/1000</f>
        <v>42.884999999999998</v>
      </c>
      <c r="T505" s="69">
        <f>SUM(N505:S505)</f>
        <v>128.20400000000001</v>
      </c>
      <c r="U505" s="69">
        <f>T505+L505</f>
        <v>266.01900000000001</v>
      </c>
      <c r="V505" s="70">
        <f>V506+V507</f>
        <v>346.11799999999999</v>
      </c>
      <c r="W505" s="53">
        <f>V505-U505</f>
        <v>80.099000000000004</v>
      </c>
      <c r="X505" s="133"/>
    </row>
    <row r="506" spans="1:24" s="130" customFormat="1" ht="18" customHeight="1">
      <c r="A506" s="592"/>
      <c r="B506" s="576"/>
      <c r="C506" s="577"/>
      <c r="D506" s="174" t="str">
        <f>серпень!D429</f>
        <v>дотація</v>
      </c>
      <c r="E506" s="56"/>
      <c r="F506" s="52"/>
      <c r="G506" s="52"/>
      <c r="H506" s="52"/>
      <c r="I506" s="52">
        <v>35.881999999999998</v>
      </c>
      <c r="J506" s="52"/>
      <c r="K506" s="52"/>
      <c r="L506" s="69">
        <f>SUM(F506:K506)</f>
        <v>35.881999999999998</v>
      </c>
      <c r="M506" s="69">
        <f>L506/6</f>
        <v>5.98</v>
      </c>
      <c r="N506" s="52"/>
      <c r="O506" s="52"/>
      <c r="P506" s="52"/>
      <c r="Q506" s="52"/>
      <c r="R506" s="52"/>
      <c r="S506" s="52"/>
      <c r="T506" s="69">
        <f>SUM(N506:S506)</f>
        <v>0</v>
      </c>
      <c r="U506" s="69">
        <f>T506+L506</f>
        <v>35.881999999999998</v>
      </c>
      <c r="V506" s="70">
        <v>35.881999999999998</v>
      </c>
      <c r="W506" s="53">
        <f>V506-U506</f>
        <v>0</v>
      </c>
    </row>
    <row r="507" spans="1:24" s="130" customFormat="1" ht="18" customHeight="1">
      <c r="A507" s="592"/>
      <c r="B507" s="576"/>
      <c r="C507" s="577"/>
      <c r="D507" s="174" t="str">
        <f>серпень!D430</f>
        <v>місцевий (план), тис.грн</v>
      </c>
      <c r="E507" s="56"/>
      <c r="F507" s="52">
        <f>6.081-6.081</f>
        <v>0</v>
      </c>
      <c r="G507" s="52">
        <v>26.568000000000001</v>
      </c>
      <c r="H507" s="52">
        <v>26.931000000000001</v>
      </c>
      <c r="I507" s="52">
        <v>27.242000000000001</v>
      </c>
      <c r="J507" s="52">
        <v>21.370999999999999</v>
      </c>
      <c r="K507" s="52">
        <f>39.204-34.7</f>
        <v>4.5039999999999996</v>
      </c>
      <c r="L507" s="69">
        <f>SUM(F507:K507)</f>
        <v>106.616</v>
      </c>
      <c r="M507" s="69">
        <f>L507/6</f>
        <v>17.768999999999998</v>
      </c>
      <c r="N507" s="52">
        <f>14.511+14.3-2.9</f>
        <v>25.911000000000001</v>
      </c>
      <c r="O507" s="52">
        <f>13.686+20.4-34.086</f>
        <v>0</v>
      </c>
      <c r="P507" s="52">
        <v>12.519</v>
      </c>
      <c r="Q507" s="52">
        <v>14.423999999999999</v>
      </c>
      <c r="R507" s="52">
        <f>23.008+2.9</f>
        <v>25.908000000000001</v>
      </c>
      <c r="S507" s="52">
        <f>90.772+34.086</f>
        <v>124.858</v>
      </c>
      <c r="T507" s="69">
        <f>SUM(N507:S507)</f>
        <v>203.62</v>
      </c>
      <c r="U507" s="69">
        <f>T507+L507</f>
        <v>310.23599999999999</v>
      </c>
      <c r="V507" s="70">
        <v>310.23599999999999</v>
      </c>
      <c r="W507" s="53">
        <f>V507-U507</f>
        <v>0</v>
      </c>
    </row>
    <row r="508" spans="1:24" s="48" customFormat="1" ht="18" customHeight="1">
      <c r="A508" s="592"/>
      <c r="B508" s="576"/>
      <c r="C508" s="577"/>
      <c r="D508" s="178" t="str">
        <f>серпень!D431</f>
        <v>касові нат.п-ки 2025</v>
      </c>
      <c r="E508" s="11"/>
      <c r="F508" s="11">
        <v>0</v>
      </c>
      <c r="G508" s="12">
        <v>5798</v>
      </c>
      <c r="H508" s="12">
        <v>5198</v>
      </c>
      <c r="I508" s="12">
        <v>4716</v>
      </c>
      <c r="J508" s="12">
        <v>6195</v>
      </c>
      <c r="K508" s="12">
        <v>4747</v>
      </c>
      <c r="L508" s="65">
        <f>SUM(F508:K508)</f>
        <v>26654</v>
      </c>
      <c r="M508" s="65">
        <f>L508/6</f>
        <v>4442.3</v>
      </c>
      <c r="N508" s="12">
        <v>5248</v>
      </c>
      <c r="O508" s="11">
        <v>0</v>
      </c>
      <c r="P508" s="11">
        <v>0</v>
      </c>
      <c r="Q508" s="11">
        <v>3339</v>
      </c>
      <c r="R508" s="11">
        <v>5326</v>
      </c>
      <c r="S508" s="11">
        <f>R503+S503</f>
        <v>21012</v>
      </c>
      <c r="T508" s="65">
        <f>SUM(N508:S508)</f>
        <v>34925</v>
      </c>
      <c r="U508" s="65">
        <f>T508+L508</f>
        <v>61579</v>
      </c>
      <c r="V508" s="11">
        <f>V503</f>
        <v>71814</v>
      </c>
      <c r="W508" s="38">
        <f>V508-U508</f>
        <v>10235</v>
      </c>
      <c r="X508" s="47">
        <f>U503-U508</f>
        <v>0</v>
      </c>
    </row>
    <row r="509" spans="1:24" s="51" customFormat="1" ht="18" customHeight="1">
      <c r="A509" s="592"/>
      <c r="B509" s="576"/>
      <c r="C509" s="577"/>
      <c r="D509" s="187" t="str">
        <f>серпень!D432</f>
        <v>тариф, грн.</v>
      </c>
      <c r="E509" s="131" t="e">
        <f>E510/E508*1000</f>
        <v>#DIV/0!</v>
      </c>
      <c r="F509" s="131" t="e">
        <f t="shared" ref="F509:K509" si="544">F510/F508*1000</f>
        <v>#DIV/0!</v>
      </c>
      <c r="G509" s="131">
        <f t="shared" si="544"/>
        <v>4.3199379999999996</v>
      </c>
      <c r="H509" s="131">
        <f t="shared" si="544"/>
        <v>4.3199310000000004</v>
      </c>
      <c r="I509" s="131">
        <f t="shared" si="544"/>
        <v>4.3199750000000003</v>
      </c>
      <c r="J509" s="131">
        <f t="shared" si="544"/>
        <v>4.3199350000000001</v>
      </c>
      <c r="K509" s="131">
        <f t="shared" si="544"/>
        <v>4.3199920000000001</v>
      </c>
      <c r="L509" s="132">
        <f>L510/L508*1000</f>
        <v>4.3199500000000004</v>
      </c>
      <c r="M509" s="132">
        <f>M510/M508*1000</f>
        <v>4.3200599999999998</v>
      </c>
      <c r="N509" s="132">
        <f t="shared" ref="N509:P509" si="545">N510/N508*1000</f>
        <v>4.3199300000000003</v>
      </c>
      <c r="O509" s="132" t="e">
        <f t="shared" si="545"/>
        <v>#DIV/0!</v>
      </c>
      <c r="P509" s="132" t="e">
        <f t="shared" si="545"/>
        <v>#DIV/0!</v>
      </c>
      <c r="Q509" s="132">
        <v>4.32</v>
      </c>
      <c r="R509" s="132">
        <v>4.32</v>
      </c>
      <c r="S509" s="132">
        <v>4.32</v>
      </c>
      <c r="T509" s="132">
        <f>T510/T508*1000</f>
        <v>4.3199699999999996</v>
      </c>
      <c r="U509" s="132">
        <f>U510/U508*1000</f>
        <v>4.31996</v>
      </c>
      <c r="V509" s="132">
        <f>V510/V508*1000</f>
        <v>4.8196500000000002</v>
      </c>
      <c r="W509" s="40">
        <f>W510/W508*1000</f>
        <v>7.82599</v>
      </c>
      <c r="X509" s="59"/>
    </row>
    <row r="510" spans="1:24" s="126" customFormat="1" ht="18" customHeight="1">
      <c r="A510" s="592"/>
      <c r="B510" s="576"/>
      <c r="C510" s="577"/>
      <c r="D510" s="198" t="str">
        <f>серпень!D433</f>
        <v>касові видатки, тис.грн.</v>
      </c>
      <c r="E510" s="71"/>
      <c r="F510" s="61">
        <v>0</v>
      </c>
      <c r="G510" s="61">
        <v>25.047000000000001</v>
      </c>
      <c r="H510" s="61">
        <v>22.454999999999998</v>
      </c>
      <c r="I510" s="61">
        <v>20.373000000000001</v>
      </c>
      <c r="J510" s="61">
        <v>26.762</v>
      </c>
      <c r="K510" s="61">
        <v>20.507000000000001</v>
      </c>
      <c r="L510" s="61">
        <f>SUM(F510:K510)</f>
        <v>115.14400000000001</v>
      </c>
      <c r="M510" s="61">
        <f>L510/6</f>
        <v>19.190999999999999</v>
      </c>
      <c r="N510" s="61">
        <v>22.670999999999999</v>
      </c>
      <c r="O510" s="61">
        <v>0</v>
      </c>
      <c r="P510" s="61">
        <v>0</v>
      </c>
      <c r="Q510" s="61">
        <f t="shared" ref="Q510" si="546">Q508*Q509/1000</f>
        <v>14.423999999999999</v>
      </c>
      <c r="R510" s="61">
        <f t="shared" ref="R510" si="547">R508*R509/1000</f>
        <v>23.007999999999999</v>
      </c>
      <c r="S510" s="61">
        <f t="shared" ref="S510" si="548">S508*S509/1000</f>
        <v>90.772000000000006</v>
      </c>
      <c r="T510" s="61">
        <f>SUM(N510:S510)</f>
        <v>150.875</v>
      </c>
      <c r="U510" s="61">
        <f>T510+L510</f>
        <v>266.01900000000001</v>
      </c>
      <c r="V510" s="61">
        <f>V505</f>
        <v>346.11799999999999</v>
      </c>
      <c r="W510" s="72">
        <f>V510-U510</f>
        <v>80.099000000000004</v>
      </c>
      <c r="X510" s="63">
        <f>U505-U510</f>
        <v>0</v>
      </c>
    </row>
    <row r="511" spans="1:24" s="126" customFormat="1" ht="18" customHeight="1">
      <c r="A511" s="592"/>
      <c r="B511" s="576"/>
      <c r="C511" s="577"/>
      <c r="D511" s="201" t="str">
        <f>серпень!D434</f>
        <v>дотація</v>
      </c>
      <c r="E511" s="71"/>
      <c r="F511" s="61"/>
      <c r="G511" s="61"/>
      <c r="H511" s="61"/>
      <c r="I511" s="61"/>
      <c r="J511" s="61">
        <v>35.881999999999998</v>
      </c>
      <c r="K511" s="61"/>
      <c r="L511" s="61">
        <f>SUM(F511:K511)</f>
        <v>35.881999999999998</v>
      </c>
      <c r="M511" s="61">
        <f>L511/6</f>
        <v>5.98</v>
      </c>
      <c r="N511" s="61"/>
      <c r="O511" s="61"/>
      <c r="P511" s="61"/>
      <c r="Q511" s="61"/>
      <c r="R511" s="61"/>
      <c r="S511" s="61"/>
      <c r="T511" s="61">
        <f>SUM(N511:S511)</f>
        <v>0</v>
      </c>
      <c r="U511" s="61">
        <f>T511+L511</f>
        <v>35.881999999999998</v>
      </c>
      <c r="V511" s="61">
        <f>V506</f>
        <v>35.881999999999998</v>
      </c>
      <c r="W511" s="72">
        <f>V511-U511</f>
        <v>0</v>
      </c>
      <c r="X511" s="63">
        <f>U506-U511</f>
        <v>0</v>
      </c>
    </row>
    <row r="512" spans="1:24" s="126" customFormat="1" ht="18" customHeight="1">
      <c r="A512" s="592"/>
      <c r="B512" s="576"/>
      <c r="C512" s="577"/>
      <c r="D512" s="201" t="str">
        <f>серпень!D435</f>
        <v xml:space="preserve">місцевий </v>
      </c>
      <c r="E512" s="71"/>
      <c r="F512" s="61">
        <f t="shared" ref="F512:K512" si="549">F510-F511</f>
        <v>0</v>
      </c>
      <c r="G512" s="61">
        <f t="shared" si="549"/>
        <v>25.047000000000001</v>
      </c>
      <c r="H512" s="61">
        <f t="shared" si="549"/>
        <v>22.454999999999998</v>
      </c>
      <c r="I512" s="61">
        <f t="shared" si="549"/>
        <v>20.373000000000001</v>
      </c>
      <c r="J512" s="61">
        <f t="shared" si="549"/>
        <v>-9.1199999999999992</v>
      </c>
      <c r="K512" s="61">
        <f t="shared" si="549"/>
        <v>20.507000000000001</v>
      </c>
      <c r="L512" s="61">
        <f>SUM(F512:K512)</f>
        <v>79.262</v>
      </c>
      <c r="M512" s="61">
        <f>L512/6</f>
        <v>13.21</v>
      </c>
      <c r="N512" s="61">
        <f t="shared" ref="N512:S512" si="550">N510-N511</f>
        <v>22.670999999999999</v>
      </c>
      <c r="O512" s="61">
        <f t="shared" si="550"/>
        <v>0</v>
      </c>
      <c r="P512" s="61">
        <f t="shared" si="550"/>
        <v>0</v>
      </c>
      <c r="Q512" s="61">
        <f t="shared" si="550"/>
        <v>14.423999999999999</v>
      </c>
      <c r="R512" s="61">
        <f t="shared" si="550"/>
        <v>23.007999999999999</v>
      </c>
      <c r="S512" s="61">
        <f t="shared" si="550"/>
        <v>90.772000000000006</v>
      </c>
      <c r="T512" s="61">
        <f>SUM(N512:S512)</f>
        <v>150.875</v>
      </c>
      <c r="U512" s="61">
        <f>T512+L512</f>
        <v>230.137</v>
      </c>
      <c r="V512" s="61">
        <f>V507</f>
        <v>310.23599999999999</v>
      </c>
      <c r="W512" s="72">
        <f>V512-U512</f>
        <v>80.099000000000004</v>
      </c>
      <c r="X512" s="63">
        <f>U507-U512</f>
        <v>80.099000000000004</v>
      </c>
    </row>
    <row r="513" spans="1:28" s="43" customFormat="1" ht="18" customHeight="1">
      <c r="A513" s="592"/>
      <c r="B513" s="576"/>
      <c r="C513" s="577"/>
      <c r="D513" s="202" t="str">
        <f>серпень!D436</f>
        <v>план</v>
      </c>
      <c r="E513" s="42"/>
      <c r="F513" s="42">
        <f>F507+F506</f>
        <v>0</v>
      </c>
      <c r="G513" s="42">
        <f t="shared" ref="G513:K513" si="551">G507+G506</f>
        <v>26.568000000000001</v>
      </c>
      <c r="H513" s="42">
        <f t="shared" si="551"/>
        <v>26.931000000000001</v>
      </c>
      <c r="I513" s="42">
        <f t="shared" si="551"/>
        <v>63.124000000000002</v>
      </c>
      <c r="J513" s="42">
        <f t="shared" si="551"/>
        <v>21.370999999999999</v>
      </c>
      <c r="K513" s="42">
        <f t="shared" si="551"/>
        <v>4.5039999999999996</v>
      </c>
      <c r="L513" s="42">
        <f>SUM(F513:K513)</f>
        <v>142.49799999999999</v>
      </c>
      <c r="M513" s="42">
        <f>L513/6</f>
        <v>23.75</v>
      </c>
      <c r="N513" s="42">
        <f>N507+N506</f>
        <v>25.911000000000001</v>
      </c>
      <c r="O513" s="42">
        <f t="shared" ref="O513:S513" si="552">O507+O506</f>
        <v>0</v>
      </c>
      <c r="P513" s="42">
        <f t="shared" si="552"/>
        <v>12.519</v>
      </c>
      <c r="Q513" s="42">
        <f t="shared" si="552"/>
        <v>14.423999999999999</v>
      </c>
      <c r="R513" s="42">
        <f t="shared" si="552"/>
        <v>25.908000000000001</v>
      </c>
      <c r="S513" s="42">
        <f t="shared" si="552"/>
        <v>124.858</v>
      </c>
      <c r="T513" s="42">
        <f>SUM(N513:S513)</f>
        <v>203.62</v>
      </c>
      <c r="U513" s="42">
        <f>T513+L513</f>
        <v>346.11799999999999</v>
      </c>
      <c r="V513" s="42">
        <f>V510</f>
        <v>346.11799999999999</v>
      </c>
      <c r="W513" s="42">
        <f>V513-U513</f>
        <v>0</v>
      </c>
    </row>
    <row r="514" spans="1:28" s="43" customFormat="1" ht="18" customHeight="1">
      <c r="A514" s="592"/>
      <c r="B514" s="576"/>
      <c r="C514" s="577"/>
      <c r="D514" s="202" t="str">
        <f>серпень!D437</f>
        <v xml:space="preserve">відхилення </v>
      </c>
      <c r="E514" s="42"/>
      <c r="F514" s="42">
        <f t="shared" ref="F514:K514" si="553">F510-F513</f>
        <v>0</v>
      </c>
      <c r="G514" s="42">
        <f t="shared" si="553"/>
        <v>-1.5209999999999999</v>
      </c>
      <c r="H514" s="42">
        <f t="shared" si="553"/>
        <v>-4.476</v>
      </c>
      <c r="I514" s="42">
        <f t="shared" si="553"/>
        <v>-42.750999999999998</v>
      </c>
      <c r="J514" s="42">
        <f t="shared" si="553"/>
        <v>5.391</v>
      </c>
      <c r="K514" s="42">
        <f t="shared" si="553"/>
        <v>16.003</v>
      </c>
      <c r="L514" s="42"/>
      <c r="M514" s="42"/>
      <c r="N514" s="42">
        <f t="shared" ref="N514:S514" si="554">N510-N513</f>
        <v>-3.24</v>
      </c>
      <c r="O514" s="42">
        <f t="shared" si="554"/>
        <v>0</v>
      </c>
      <c r="P514" s="42">
        <f t="shared" si="554"/>
        <v>-12.519</v>
      </c>
      <c r="Q514" s="42">
        <f t="shared" si="554"/>
        <v>0</v>
      </c>
      <c r="R514" s="42">
        <f t="shared" si="554"/>
        <v>-2.9</v>
      </c>
      <c r="S514" s="42">
        <f t="shared" si="554"/>
        <v>-34.085999999999999</v>
      </c>
      <c r="T514" s="42"/>
      <c r="U514" s="42"/>
      <c r="V514" s="42"/>
      <c r="W514" s="42"/>
    </row>
    <row r="515" spans="1:28" s="43" customFormat="1" ht="18" customHeight="1">
      <c r="A515" s="593"/>
      <c r="B515" s="578"/>
      <c r="C515" s="579"/>
      <c r="D515" s="202" t="str">
        <f>серпень!D438</f>
        <v>відхилення з наростаючим</v>
      </c>
      <c r="E515" s="42"/>
      <c r="F515" s="42">
        <f>F514</f>
        <v>0</v>
      </c>
      <c r="G515" s="42">
        <f>G514+F515</f>
        <v>-1.5209999999999999</v>
      </c>
      <c r="H515" s="42">
        <f>H514+G515</f>
        <v>-5.9969999999999999</v>
      </c>
      <c r="I515" s="42">
        <f>I514+H515</f>
        <v>-48.747999999999998</v>
      </c>
      <c r="J515" s="42">
        <f>J514+I515</f>
        <v>-43.356999999999999</v>
      </c>
      <c r="K515" s="42">
        <f>K514+J515</f>
        <v>-27.353999999999999</v>
      </c>
      <c r="L515" s="42"/>
      <c r="M515" s="42"/>
      <c r="N515" s="42">
        <f>N514+K515</f>
        <v>-30.594000000000001</v>
      </c>
      <c r="O515" s="42">
        <f>O514+N515</f>
        <v>-30.594000000000001</v>
      </c>
      <c r="P515" s="42">
        <f>P514+O515</f>
        <v>-43.113</v>
      </c>
      <c r="Q515" s="42">
        <f>Q514+P515</f>
        <v>-43.113</v>
      </c>
      <c r="R515" s="42">
        <f>R514+Q515</f>
        <v>-46.012999999999998</v>
      </c>
      <c r="S515" s="42">
        <f>S514+R515</f>
        <v>-80.099000000000004</v>
      </c>
      <c r="T515" s="42"/>
      <c r="U515" s="42"/>
      <c r="V515" s="42"/>
      <c r="W515" s="42"/>
      <c r="AB515" s="58"/>
    </row>
    <row r="516" spans="1:28" s="47" customFormat="1" ht="18" customHeight="1">
      <c r="A516" s="650">
        <v>2275</v>
      </c>
      <c r="B516" s="581" t="s">
        <v>70</v>
      </c>
      <c r="C516" s="581"/>
      <c r="D516" s="178" t="str">
        <f>серпень!D439</f>
        <v>факт. нат.п-ки 2023</v>
      </c>
      <c r="E516" s="11"/>
      <c r="F516" s="82">
        <f t="shared" ref="F516:K518" si="555">F533+F704</f>
        <v>23.5</v>
      </c>
      <c r="G516" s="82">
        <f t="shared" si="555"/>
        <v>23.5</v>
      </c>
      <c r="H516" s="82">
        <f t="shared" si="555"/>
        <v>23.5</v>
      </c>
      <c r="I516" s="82">
        <f t="shared" si="555"/>
        <v>25.1</v>
      </c>
      <c r="J516" s="82">
        <f t="shared" si="555"/>
        <v>24</v>
      </c>
      <c r="K516" s="82">
        <f t="shared" si="555"/>
        <v>22.9</v>
      </c>
      <c r="L516" s="467">
        <f>SUM(F516:K516)</f>
        <v>142.5</v>
      </c>
      <c r="M516" s="467">
        <f>L516/6</f>
        <v>23.75</v>
      </c>
      <c r="N516" s="82">
        <f t="shared" ref="N516:S518" si="556">N533+N704</f>
        <v>25.4</v>
      </c>
      <c r="O516" s="82">
        <f t="shared" si="556"/>
        <v>23.8</v>
      </c>
      <c r="P516" s="82">
        <f t="shared" si="556"/>
        <v>23.8</v>
      </c>
      <c r="Q516" s="82">
        <f t="shared" si="556"/>
        <v>23.9</v>
      </c>
      <c r="R516" s="82">
        <f t="shared" si="556"/>
        <v>19.100000000000001</v>
      </c>
      <c r="S516" s="82">
        <f t="shared" si="556"/>
        <v>7.3</v>
      </c>
      <c r="T516" s="467">
        <f>SUM(N516:S516)</f>
        <v>123.3</v>
      </c>
      <c r="U516" s="467">
        <f>T516+L516</f>
        <v>265.8</v>
      </c>
      <c r="V516" s="404">
        <f>V533+V704</f>
        <v>0</v>
      </c>
      <c r="W516" s="505"/>
    </row>
    <row r="517" spans="1:28" s="47" customFormat="1" ht="18" customHeight="1">
      <c r="A517" s="614"/>
      <c r="B517" s="581"/>
      <c r="C517" s="581"/>
      <c r="D517" s="178" t="str">
        <f>серпень!D440</f>
        <v>факт. нат.п-ки 2024</v>
      </c>
      <c r="E517" s="11"/>
      <c r="F517" s="82">
        <f t="shared" si="555"/>
        <v>23.5</v>
      </c>
      <c r="G517" s="82">
        <f t="shared" si="555"/>
        <v>23.5</v>
      </c>
      <c r="H517" s="82">
        <f t="shared" si="555"/>
        <v>23.5</v>
      </c>
      <c r="I517" s="82">
        <f t="shared" si="555"/>
        <v>23.5</v>
      </c>
      <c r="J517" s="82">
        <f t="shared" si="555"/>
        <v>23.5</v>
      </c>
      <c r="K517" s="82">
        <f t="shared" si="555"/>
        <v>18.7</v>
      </c>
      <c r="L517" s="467">
        <f>SUM(F517:K517)</f>
        <v>136.19999999999999</v>
      </c>
      <c r="M517" s="467">
        <f>L517/6</f>
        <v>22.7</v>
      </c>
      <c r="N517" s="82">
        <f t="shared" si="556"/>
        <v>23.8</v>
      </c>
      <c r="O517" s="82">
        <f t="shared" si="556"/>
        <v>23.8</v>
      </c>
      <c r="P517" s="82">
        <f t="shared" si="556"/>
        <v>23.8</v>
      </c>
      <c r="Q517" s="82">
        <f t="shared" si="556"/>
        <v>23.9</v>
      </c>
      <c r="R517" s="82">
        <f t="shared" si="556"/>
        <v>19.100000000000001</v>
      </c>
      <c r="S517" s="82">
        <f t="shared" si="556"/>
        <v>7.9</v>
      </c>
      <c r="T517" s="467">
        <f>SUM(N517:S517)</f>
        <v>122.3</v>
      </c>
      <c r="U517" s="467">
        <f>T517+L517</f>
        <v>258.5</v>
      </c>
      <c r="V517" s="404">
        <f>V534+V705</f>
        <v>0</v>
      </c>
      <c r="W517" s="505"/>
    </row>
    <row r="518" spans="1:28" s="47" customFormat="1" ht="18" customHeight="1">
      <c r="A518" s="614"/>
      <c r="B518" s="581"/>
      <c r="C518" s="581"/>
      <c r="D518" s="178" t="str">
        <f>серпень!D441</f>
        <v>факт. нат.п-ки 2025</v>
      </c>
      <c r="E518" s="11"/>
      <c r="F518" s="82">
        <f t="shared" si="555"/>
        <v>30.07</v>
      </c>
      <c r="G518" s="82">
        <f t="shared" si="555"/>
        <v>24.382000000000001</v>
      </c>
      <c r="H518" s="82">
        <f t="shared" si="555"/>
        <v>33.914000000000001</v>
      </c>
      <c r="I518" s="82">
        <f t="shared" si="555"/>
        <v>22.558</v>
      </c>
      <c r="J518" s="82">
        <f t="shared" si="555"/>
        <v>22.558</v>
      </c>
      <c r="K518" s="82">
        <f t="shared" si="555"/>
        <v>22.558</v>
      </c>
      <c r="L518" s="467">
        <f>SUM(F518:K518)</f>
        <v>156.04</v>
      </c>
      <c r="M518" s="467">
        <f>L518/6</f>
        <v>26.007000000000001</v>
      </c>
      <c r="N518" s="82">
        <f t="shared" si="556"/>
        <v>22.558</v>
      </c>
      <c r="O518" s="82">
        <f t="shared" si="556"/>
        <v>5.492</v>
      </c>
      <c r="P518" s="82">
        <f t="shared" si="556"/>
        <v>28.05</v>
      </c>
      <c r="Q518" s="82">
        <f t="shared" si="556"/>
        <v>28.05</v>
      </c>
      <c r="R518" s="82">
        <f t="shared" si="556"/>
        <v>28.05</v>
      </c>
      <c r="S518" s="82">
        <f t="shared" si="556"/>
        <v>28.05</v>
      </c>
      <c r="T518" s="467">
        <f>SUM(N518:S518)</f>
        <v>140.25</v>
      </c>
      <c r="U518" s="467">
        <f>T518+L518</f>
        <v>296.29000000000002</v>
      </c>
      <c r="V518" s="404">
        <f>V535+V706</f>
        <v>336.6</v>
      </c>
      <c r="W518" s="505">
        <f>V518-U518</f>
        <v>40.31</v>
      </c>
    </row>
    <row r="519" spans="1:28" s="47" customFormat="1" ht="18" customHeight="1">
      <c r="A519" s="614"/>
      <c r="B519" s="581"/>
      <c r="C519" s="581"/>
      <c r="D519" s="187" t="str">
        <f>серпень!D442</f>
        <v>тариф, грн.</v>
      </c>
      <c r="E519" s="49"/>
      <c r="F519" s="49">
        <f t="shared" ref="F519:S519" si="557">F520/F518*1000</f>
        <v>154.87200000000001</v>
      </c>
      <c r="G519" s="49">
        <f t="shared" si="557"/>
        <v>154.70400000000001</v>
      </c>
      <c r="H519" s="49">
        <f t="shared" si="557"/>
        <v>155.30500000000001</v>
      </c>
      <c r="I519" s="49">
        <f t="shared" si="557"/>
        <v>173.553</v>
      </c>
      <c r="J519" s="49">
        <f t="shared" si="557"/>
        <v>179.84800000000001</v>
      </c>
      <c r="K519" s="49">
        <f t="shared" si="557"/>
        <v>179.892</v>
      </c>
      <c r="L519" s="49">
        <f t="shared" si="557"/>
        <v>164.86799999999999</v>
      </c>
      <c r="M519" s="49">
        <f t="shared" si="557"/>
        <v>164.87899999999999</v>
      </c>
      <c r="N519" s="49">
        <f t="shared" si="557"/>
        <v>179.803</v>
      </c>
      <c r="O519" s="49">
        <f t="shared" si="557"/>
        <v>169.51900000000001</v>
      </c>
      <c r="P519" s="49">
        <f t="shared" si="557"/>
        <v>155.93600000000001</v>
      </c>
      <c r="Q519" s="49">
        <f t="shared" si="557"/>
        <v>155.93600000000001</v>
      </c>
      <c r="R519" s="49">
        <f t="shared" si="557"/>
        <v>155.93600000000001</v>
      </c>
      <c r="S519" s="49">
        <f t="shared" si="557"/>
        <v>156.00700000000001</v>
      </c>
      <c r="T519" s="49">
        <f>T520/T518*1000</f>
        <v>160.321</v>
      </c>
      <c r="U519" s="49">
        <f>U520/U518*1000</f>
        <v>162.71600000000001</v>
      </c>
      <c r="V519" s="49">
        <f>V520/V518*1000</f>
        <v>155.94200000000001</v>
      </c>
      <c r="W519" s="49">
        <f>W520/W518*1000</f>
        <v>106.152</v>
      </c>
    </row>
    <row r="520" spans="1:28" s="130" customFormat="1" ht="18" customHeight="1">
      <c r="A520" s="614"/>
      <c r="B520" s="581"/>
      <c r="C520" s="581"/>
      <c r="D520" s="191" t="str">
        <f>серпень!D443</f>
        <v>сума, тис.грн.</v>
      </c>
      <c r="E520" s="52"/>
      <c r="F520" s="52">
        <f>F537+F708</f>
        <v>4.657</v>
      </c>
      <c r="G520" s="52">
        <f t="shared" ref="G520:K520" si="558">G537+G708</f>
        <v>3.7719999999999998</v>
      </c>
      <c r="H520" s="52">
        <f t="shared" si="558"/>
        <v>5.2670000000000003</v>
      </c>
      <c r="I520" s="52">
        <f t="shared" si="558"/>
        <v>3.915</v>
      </c>
      <c r="J520" s="52">
        <f t="shared" si="558"/>
        <v>4.0570000000000004</v>
      </c>
      <c r="K520" s="52">
        <f t="shared" si="558"/>
        <v>4.0579999999999998</v>
      </c>
      <c r="L520" s="69">
        <f>SUM(F520:K520)</f>
        <v>25.725999999999999</v>
      </c>
      <c r="M520" s="69">
        <f>L520/6</f>
        <v>4.2880000000000003</v>
      </c>
      <c r="N520" s="52">
        <f t="shared" ref="N520:S520" si="559">N537+N708</f>
        <v>4.056</v>
      </c>
      <c r="O520" s="52">
        <f t="shared" si="559"/>
        <v>0.93100000000000005</v>
      </c>
      <c r="P520" s="52">
        <f t="shared" si="559"/>
        <v>4.3739999999999997</v>
      </c>
      <c r="Q520" s="52">
        <f t="shared" si="559"/>
        <v>4.3739999999999997</v>
      </c>
      <c r="R520" s="52">
        <f t="shared" si="559"/>
        <v>4.3739999999999997</v>
      </c>
      <c r="S520" s="52">
        <f t="shared" si="559"/>
        <v>4.3760000000000003</v>
      </c>
      <c r="T520" s="69">
        <f>SUM(N520:S520)</f>
        <v>22.484999999999999</v>
      </c>
      <c r="U520" s="69">
        <f>T520+L520</f>
        <v>48.210999999999999</v>
      </c>
      <c r="V520" s="52">
        <f>V537+V708</f>
        <v>52.49</v>
      </c>
      <c r="W520" s="52">
        <f>V520-U520</f>
        <v>4.2789999999999999</v>
      </c>
      <c r="X520" s="130">
        <f>W520-W527</f>
        <v>-8.9999999999999993E-3</v>
      </c>
    </row>
    <row r="521" spans="1:28" s="130" customFormat="1" ht="18" customHeight="1">
      <c r="A521" s="614"/>
      <c r="B521" s="581"/>
      <c r="C521" s="581"/>
      <c r="D521" s="191" t="str">
        <f>серпень!D444</f>
        <v>абоненська плата, тис.грн.</v>
      </c>
      <c r="E521" s="52"/>
      <c r="F521" s="52">
        <f>F538</f>
        <v>1E-3</v>
      </c>
      <c r="G521" s="52">
        <f t="shared" ref="G521:K521" si="560">G538</f>
        <v>1E-3</v>
      </c>
      <c r="H521" s="52">
        <f t="shared" si="560"/>
        <v>2E-3</v>
      </c>
      <c r="I521" s="52">
        <f t="shared" si="560"/>
        <v>2E-3</v>
      </c>
      <c r="J521" s="52">
        <f t="shared" si="560"/>
        <v>2E-3</v>
      </c>
      <c r="K521" s="52">
        <f t="shared" si="560"/>
        <v>0</v>
      </c>
      <c r="L521" s="69">
        <f t="shared" ref="L521:L522" si="561">SUM(F521:K521)</f>
        <v>8.0000000000000002E-3</v>
      </c>
      <c r="M521" s="69">
        <f t="shared" ref="M521:M522" si="562">L521/6</f>
        <v>1E-3</v>
      </c>
      <c r="N521" s="52">
        <f>N538</f>
        <v>0</v>
      </c>
      <c r="O521" s="52">
        <f t="shared" ref="O521:S521" si="563">O538</f>
        <v>0</v>
      </c>
      <c r="P521" s="52">
        <f t="shared" si="563"/>
        <v>2E-3</v>
      </c>
      <c r="Q521" s="52">
        <f t="shared" si="563"/>
        <v>2E-3</v>
      </c>
      <c r="R521" s="52">
        <f t="shared" si="563"/>
        <v>2E-3</v>
      </c>
      <c r="S521" s="52">
        <f t="shared" si="563"/>
        <v>2E-3</v>
      </c>
      <c r="T521" s="69">
        <f t="shared" ref="T521:T522" si="564">SUM(N521:S521)</f>
        <v>8.0000000000000002E-3</v>
      </c>
      <c r="U521" s="69">
        <f t="shared" ref="U521:U522" si="565">T521+L521</f>
        <v>1.6E-2</v>
      </c>
      <c r="V521" s="52">
        <f t="shared" ref="V521" si="566">V538</f>
        <v>2.5000000000000001E-2</v>
      </c>
      <c r="W521" s="52">
        <f t="shared" ref="W521:W522" si="567">V521-U521</f>
        <v>8.9999999999999993E-3</v>
      </c>
    </row>
    <row r="522" spans="1:28" s="130" customFormat="1" ht="18" customHeight="1">
      <c r="A522" s="614"/>
      <c r="B522" s="581"/>
      <c r="C522" s="581"/>
      <c r="D522" s="191" t="str">
        <f>серпень!D445</f>
        <v>разом сума тис. грн+абонплата</v>
      </c>
      <c r="E522" s="52"/>
      <c r="F522" s="69">
        <f>F520+F521</f>
        <v>4.6580000000000004</v>
      </c>
      <c r="G522" s="69">
        <f>G520+G521</f>
        <v>3.7730000000000001</v>
      </c>
      <c r="H522" s="69">
        <f t="shared" ref="H522:K522" si="568">H520+H521</f>
        <v>5.2690000000000001</v>
      </c>
      <c r="I522" s="69">
        <f t="shared" si="568"/>
        <v>3.9169999999999998</v>
      </c>
      <c r="J522" s="69">
        <f t="shared" si="568"/>
        <v>4.0590000000000002</v>
      </c>
      <c r="K522" s="69">
        <f t="shared" si="568"/>
        <v>4.0579999999999998</v>
      </c>
      <c r="L522" s="69">
        <f t="shared" si="561"/>
        <v>25.734000000000002</v>
      </c>
      <c r="M522" s="69">
        <f t="shared" si="562"/>
        <v>4.2889999999999997</v>
      </c>
      <c r="N522" s="69">
        <f t="shared" ref="N522" si="569">N520+N521</f>
        <v>4.056</v>
      </c>
      <c r="O522" s="69">
        <f t="shared" ref="O522" si="570">O520+O521</f>
        <v>0.93100000000000005</v>
      </c>
      <c r="P522" s="69">
        <f t="shared" ref="P522" si="571">P520+P521</f>
        <v>4.3760000000000003</v>
      </c>
      <c r="Q522" s="69">
        <f t="shared" ref="Q522" si="572">Q520+Q521</f>
        <v>4.3760000000000003</v>
      </c>
      <c r="R522" s="69">
        <f t="shared" ref="R522" si="573">R520+R521</f>
        <v>4.3760000000000003</v>
      </c>
      <c r="S522" s="69">
        <f t="shared" ref="S522" si="574">S520+S521</f>
        <v>4.3780000000000001</v>
      </c>
      <c r="T522" s="69">
        <f t="shared" si="564"/>
        <v>22.492999999999999</v>
      </c>
      <c r="U522" s="69">
        <f t="shared" si="565"/>
        <v>48.226999999999997</v>
      </c>
      <c r="V522" s="69">
        <f>V520+V521</f>
        <v>52.515000000000001</v>
      </c>
      <c r="W522" s="52">
        <f t="shared" si="567"/>
        <v>4.2880000000000003</v>
      </c>
    </row>
    <row r="523" spans="1:28" s="130" customFormat="1" ht="18" customHeight="1">
      <c r="A523" s="614"/>
      <c r="B523" s="581"/>
      <c r="C523" s="581"/>
      <c r="D523" s="191" t="str">
        <f>серпень!D446</f>
        <v>дотація</v>
      </c>
      <c r="E523" s="56"/>
      <c r="F523" s="52">
        <f t="shared" ref="F523:K525" si="575">F540+F709</f>
        <v>0</v>
      </c>
      <c r="G523" s="52">
        <f t="shared" si="575"/>
        <v>0</v>
      </c>
      <c r="H523" s="52">
        <f t="shared" si="575"/>
        <v>0</v>
      </c>
      <c r="I523" s="52">
        <f t="shared" si="575"/>
        <v>0</v>
      </c>
      <c r="J523" s="52">
        <f t="shared" si="575"/>
        <v>0</v>
      </c>
      <c r="K523" s="52">
        <f t="shared" si="575"/>
        <v>0</v>
      </c>
      <c r="L523" s="69">
        <f>SUM(F523:K523)</f>
        <v>0</v>
      </c>
      <c r="M523" s="69">
        <f>L523/6</f>
        <v>0</v>
      </c>
      <c r="N523" s="52">
        <f t="shared" ref="N523:S525" si="576">N540+N709</f>
        <v>0</v>
      </c>
      <c r="O523" s="52">
        <f t="shared" si="576"/>
        <v>0</v>
      </c>
      <c r="P523" s="52">
        <f t="shared" si="576"/>
        <v>0</v>
      </c>
      <c r="Q523" s="52">
        <f t="shared" si="576"/>
        <v>0</v>
      </c>
      <c r="R523" s="52">
        <f t="shared" si="576"/>
        <v>0</v>
      </c>
      <c r="S523" s="52">
        <f t="shared" si="576"/>
        <v>0</v>
      </c>
      <c r="T523" s="69">
        <f>SUM(N523:S523)</f>
        <v>0</v>
      </c>
      <c r="U523" s="69">
        <f>T523+L523</f>
        <v>0</v>
      </c>
      <c r="V523" s="69">
        <f>V540+V709</f>
        <v>0</v>
      </c>
      <c r="W523" s="52">
        <f>V523-U523</f>
        <v>0</v>
      </c>
      <c r="X523" s="134"/>
    </row>
    <row r="524" spans="1:28" s="130" customFormat="1" ht="18" customHeight="1">
      <c r="A524" s="614"/>
      <c r="B524" s="581"/>
      <c r="C524" s="581"/>
      <c r="D524" s="191" t="str">
        <f>серпень!D447</f>
        <v>місцевий (план), тис.грн</v>
      </c>
      <c r="E524" s="56"/>
      <c r="F524" s="52">
        <f t="shared" si="575"/>
        <v>0.93400000000000005</v>
      </c>
      <c r="G524" s="52">
        <f t="shared" si="575"/>
        <v>4.3760000000000003</v>
      </c>
      <c r="H524" s="52">
        <f t="shared" si="575"/>
        <v>4.4180000000000001</v>
      </c>
      <c r="I524" s="52">
        <f t="shared" si="575"/>
        <v>3.0760000000000001</v>
      </c>
      <c r="J524" s="52">
        <f t="shared" si="575"/>
        <v>4.3339999999999996</v>
      </c>
      <c r="K524" s="52">
        <f t="shared" si="575"/>
        <v>3.6760000000000002</v>
      </c>
      <c r="L524" s="69">
        <f>SUM(F524:K524)</f>
        <v>20.814</v>
      </c>
      <c r="M524" s="69">
        <f>L524/6</f>
        <v>3.4689999999999999</v>
      </c>
      <c r="N524" s="52">
        <f t="shared" si="576"/>
        <v>4.0759999999999996</v>
      </c>
      <c r="O524" s="52">
        <f t="shared" si="576"/>
        <v>7.5999999999999998E-2</v>
      </c>
      <c r="P524" s="52">
        <f t="shared" si="576"/>
        <v>5.976</v>
      </c>
      <c r="Q524" s="52">
        <f t="shared" si="576"/>
        <v>9.3759999999999994</v>
      </c>
      <c r="R524" s="52">
        <f t="shared" si="576"/>
        <v>4.3760000000000003</v>
      </c>
      <c r="S524" s="52">
        <f t="shared" si="576"/>
        <v>7.8209999999999997</v>
      </c>
      <c r="T524" s="69">
        <f>SUM(N524:S524)</f>
        <v>31.701000000000001</v>
      </c>
      <c r="U524" s="69">
        <f>T524+L524</f>
        <v>52.515000000000001</v>
      </c>
      <c r="V524" s="69">
        <f>V541+V710</f>
        <v>52.515000000000001</v>
      </c>
      <c r="W524" s="52">
        <f>V524-U524</f>
        <v>0</v>
      </c>
    </row>
    <row r="525" spans="1:28" s="47" customFormat="1" ht="18" customHeight="1">
      <c r="A525" s="614"/>
      <c r="B525" s="581"/>
      <c r="C525" s="581"/>
      <c r="D525" s="178" t="str">
        <f>серпень!D448</f>
        <v>касові нат.п-ки 2025</v>
      </c>
      <c r="E525" s="12">
        <f>E542+E711</f>
        <v>0</v>
      </c>
      <c r="F525" s="82">
        <f t="shared" si="575"/>
        <v>0</v>
      </c>
      <c r="G525" s="82">
        <f t="shared" si="575"/>
        <v>25.67</v>
      </c>
      <c r="H525" s="82">
        <f t="shared" si="575"/>
        <v>28.782</v>
      </c>
      <c r="I525" s="82">
        <f t="shared" si="575"/>
        <v>28.422000000000001</v>
      </c>
      <c r="J525" s="82">
        <f t="shared" si="575"/>
        <v>22.558</v>
      </c>
      <c r="K525" s="82">
        <f t="shared" si="575"/>
        <v>22.558</v>
      </c>
      <c r="L525" s="467">
        <f>SUM(F525:K525)</f>
        <v>127.99</v>
      </c>
      <c r="M525" s="467">
        <f>L525/6</f>
        <v>21.332000000000001</v>
      </c>
      <c r="N525" s="82">
        <f t="shared" si="576"/>
        <v>22.558</v>
      </c>
      <c r="O525" s="82">
        <f t="shared" si="576"/>
        <v>0</v>
      </c>
      <c r="P525" s="82">
        <f t="shared" si="576"/>
        <v>39.033999999999999</v>
      </c>
      <c r="Q525" s="82">
        <f t="shared" si="576"/>
        <v>28.05</v>
      </c>
      <c r="R525" s="82">
        <f t="shared" si="576"/>
        <v>28.05</v>
      </c>
      <c r="S525" s="82">
        <f t="shared" si="576"/>
        <v>50.607999999999997</v>
      </c>
      <c r="T525" s="467">
        <f>SUM(N525:S525)</f>
        <v>168.3</v>
      </c>
      <c r="U525" s="467">
        <f>T525+L525</f>
        <v>296.29000000000002</v>
      </c>
      <c r="V525" s="404">
        <f>V542+V711</f>
        <v>336.6</v>
      </c>
      <c r="W525" s="505">
        <f>V525-U525</f>
        <v>40.31</v>
      </c>
      <c r="X525" s="47">
        <f>U518-U525</f>
        <v>0</v>
      </c>
    </row>
    <row r="526" spans="1:28" s="47" customFormat="1" ht="18" customHeight="1">
      <c r="A526" s="614"/>
      <c r="B526" s="581"/>
      <c r="C526" s="581"/>
      <c r="D526" s="187" t="str">
        <f>серпень!D449</f>
        <v>тариф, грн.</v>
      </c>
      <c r="E526" s="49" t="e">
        <f>E527/E525*1000</f>
        <v>#DIV/0!</v>
      </c>
      <c r="F526" s="49" t="e">
        <f t="shared" ref="F526:S526" si="577">F527/F525*1000</f>
        <v>#DIV/0!</v>
      </c>
      <c r="G526" s="49">
        <f t="shared" si="577"/>
        <v>152.63</v>
      </c>
      <c r="H526" s="49">
        <f t="shared" si="577"/>
        <v>156.834</v>
      </c>
      <c r="I526" s="49">
        <f t="shared" si="577"/>
        <v>152.62799999999999</v>
      </c>
      <c r="J526" s="49">
        <f t="shared" si="577"/>
        <v>173.64099999999999</v>
      </c>
      <c r="K526" s="49">
        <f t="shared" si="577"/>
        <v>179.84800000000001</v>
      </c>
      <c r="L526" s="49">
        <f t="shared" si="577"/>
        <v>162.07499999999999</v>
      </c>
      <c r="M526" s="49">
        <f t="shared" si="577"/>
        <v>162.05699999999999</v>
      </c>
      <c r="N526" s="49">
        <f t="shared" si="577"/>
        <v>179.892</v>
      </c>
      <c r="O526" s="49" t="e">
        <f t="shared" si="577"/>
        <v>#DIV/0!</v>
      </c>
      <c r="P526" s="49">
        <f t="shared" si="577"/>
        <v>175.667</v>
      </c>
      <c r="Q526" s="49">
        <f t="shared" si="577"/>
        <v>156.00700000000001</v>
      </c>
      <c r="R526" s="49">
        <f t="shared" si="577"/>
        <v>156.00700000000001</v>
      </c>
      <c r="S526" s="49">
        <f t="shared" si="577"/>
        <v>154.44200000000001</v>
      </c>
      <c r="T526" s="49">
        <f>T527/T525*1000</f>
        <v>163.298</v>
      </c>
      <c r="U526" s="49">
        <f>U527/U525*1000</f>
        <v>162.77000000000001</v>
      </c>
      <c r="V526" s="49">
        <f>V527/V525*1000</f>
        <v>156.01599999999999</v>
      </c>
      <c r="W526" s="49">
        <f>W527/W525*1000</f>
        <v>106.376</v>
      </c>
      <c r="X526" s="59"/>
    </row>
    <row r="527" spans="1:28" s="63" customFormat="1" ht="18" customHeight="1">
      <c r="A527" s="614"/>
      <c r="B527" s="581"/>
      <c r="C527" s="581"/>
      <c r="D527" s="198" t="str">
        <f>серпень!D450</f>
        <v>касові видатки, тис.грн.</v>
      </c>
      <c r="E527" s="72">
        <f t="shared" ref="E527:K527" si="578">E544+E713</f>
        <v>0</v>
      </c>
      <c r="F527" s="61">
        <f t="shared" si="578"/>
        <v>0</v>
      </c>
      <c r="G527" s="61">
        <f t="shared" si="578"/>
        <v>3.9180000000000001</v>
      </c>
      <c r="H527" s="61">
        <f t="shared" si="578"/>
        <v>4.5140000000000002</v>
      </c>
      <c r="I527" s="61">
        <f t="shared" si="578"/>
        <v>4.3380000000000001</v>
      </c>
      <c r="J527" s="61">
        <f t="shared" si="578"/>
        <v>3.9169999999999998</v>
      </c>
      <c r="K527" s="61">
        <f t="shared" si="578"/>
        <v>4.0570000000000004</v>
      </c>
      <c r="L527" s="61">
        <f>SUM(F527:K527)</f>
        <v>20.744</v>
      </c>
      <c r="M527" s="61">
        <f>L527/6</f>
        <v>3.4569999999999999</v>
      </c>
      <c r="N527" s="61">
        <f t="shared" ref="N527:S529" si="579">N544+N713</f>
        <v>4.0579999999999998</v>
      </c>
      <c r="O527" s="61">
        <f t="shared" si="579"/>
        <v>0</v>
      </c>
      <c r="P527" s="61">
        <f t="shared" si="579"/>
        <v>6.8570000000000002</v>
      </c>
      <c r="Q527" s="61">
        <f t="shared" si="579"/>
        <v>4.3760000000000003</v>
      </c>
      <c r="R527" s="61">
        <f t="shared" si="579"/>
        <v>4.3760000000000003</v>
      </c>
      <c r="S527" s="61">
        <f t="shared" si="579"/>
        <v>7.8159999999999998</v>
      </c>
      <c r="T527" s="61">
        <f>SUM(N527:S527)</f>
        <v>27.483000000000001</v>
      </c>
      <c r="U527" s="61">
        <f>T527+L527</f>
        <v>48.226999999999997</v>
      </c>
      <c r="V527" s="61">
        <f>V544+V713</f>
        <v>52.515000000000001</v>
      </c>
      <c r="W527" s="72">
        <f>V527-U527</f>
        <v>4.2880000000000003</v>
      </c>
      <c r="X527" s="63">
        <f>U522-U527</f>
        <v>0</v>
      </c>
    </row>
    <row r="528" spans="1:28" s="63" customFormat="1" ht="18" customHeight="1">
      <c r="A528" s="614"/>
      <c r="B528" s="581"/>
      <c r="C528" s="581"/>
      <c r="D528" s="201" t="str">
        <f>серпень!D451</f>
        <v>дотація</v>
      </c>
      <c r="E528" s="71"/>
      <c r="F528" s="61">
        <f t="shared" ref="F528:K529" si="580">F545+F714</f>
        <v>0</v>
      </c>
      <c r="G528" s="61">
        <f t="shared" si="580"/>
        <v>0</v>
      </c>
      <c r="H528" s="61">
        <f t="shared" si="580"/>
        <v>0</v>
      </c>
      <c r="I528" s="61">
        <f t="shared" si="580"/>
        <v>0</v>
      </c>
      <c r="J528" s="61">
        <f t="shared" si="580"/>
        <v>0</v>
      </c>
      <c r="K528" s="61">
        <f t="shared" si="580"/>
        <v>0</v>
      </c>
      <c r="L528" s="61">
        <f>SUM(F528:K528)</f>
        <v>0</v>
      </c>
      <c r="M528" s="61">
        <f>L528/6</f>
        <v>0</v>
      </c>
      <c r="N528" s="61">
        <f t="shared" si="579"/>
        <v>0</v>
      </c>
      <c r="O528" s="61">
        <f t="shared" si="579"/>
        <v>0</v>
      </c>
      <c r="P528" s="61">
        <f t="shared" si="579"/>
        <v>0</v>
      </c>
      <c r="Q528" s="61">
        <f t="shared" si="579"/>
        <v>0</v>
      </c>
      <c r="R528" s="61">
        <f t="shared" si="579"/>
        <v>0</v>
      </c>
      <c r="S528" s="61">
        <f t="shared" si="579"/>
        <v>0</v>
      </c>
      <c r="T528" s="61">
        <f>SUM(N528:S528)</f>
        <v>0</v>
      </c>
      <c r="U528" s="61">
        <f>T528+L528</f>
        <v>0</v>
      </c>
      <c r="V528" s="61">
        <f>V545+V714</f>
        <v>0</v>
      </c>
      <c r="W528" s="72">
        <f>V528-U528</f>
        <v>0</v>
      </c>
      <c r="X528" s="63">
        <f>U523-U528</f>
        <v>0</v>
      </c>
    </row>
    <row r="529" spans="1:24" s="63" customFormat="1" ht="18" customHeight="1">
      <c r="A529" s="614"/>
      <c r="B529" s="581"/>
      <c r="C529" s="581"/>
      <c r="D529" s="201" t="str">
        <f>серпень!D452</f>
        <v xml:space="preserve">місцевий </v>
      </c>
      <c r="E529" s="71"/>
      <c r="F529" s="61">
        <f t="shared" si="580"/>
        <v>0</v>
      </c>
      <c r="G529" s="61">
        <f t="shared" si="580"/>
        <v>3.9180000000000001</v>
      </c>
      <c r="H529" s="61">
        <f t="shared" si="580"/>
        <v>4.5140000000000002</v>
      </c>
      <c r="I529" s="61">
        <f t="shared" si="580"/>
        <v>4.3380000000000001</v>
      </c>
      <c r="J529" s="61">
        <f t="shared" si="580"/>
        <v>3.9169999999999998</v>
      </c>
      <c r="K529" s="61">
        <f t="shared" si="580"/>
        <v>4.0570000000000004</v>
      </c>
      <c r="L529" s="61">
        <f>SUM(F529:K529)</f>
        <v>20.744</v>
      </c>
      <c r="M529" s="61">
        <f>L529/6</f>
        <v>3.4569999999999999</v>
      </c>
      <c r="N529" s="61">
        <f t="shared" si="579"/>
        <v>4.0579999999999998</v>
      </c>
      <c r="O529" s="61">
        <f t="shared" si="579"/>
        <v>0</v>
      </c>
      <c r="P529" s="61">
        <f t="shared" si="579"/>
        <v>6.8570000000000002</v>
      </c>
      <c r="Q529" s="61">
        <f t="shared" si="579"/>
        <v>4.3760000000000003</v>
      </c>
      <c r="R529" s="61">
        <f t="shared" si="579"/>
        <v>4.3760000000000003</v>
      </c>
      <c r="S529" s="61">
        <f t="shared" si="579"/>
        <v>7.8159999999999998</v>
      </c>
      <c r="T529" s="61">
        <f>SUM(N529:S529)</f>
        <v>27.483000000000001</v>
      </c>
      <c r="U529" s="61">
        <f>T529+L529</f>
        <v>48.226999999999997</v>
      </c>
      <c r="V529" s="61">
        <f>V546+V715</f>
        <v>52.515000000000001</v>
      </c>
      <c r="W529" s="72">
        <f>V529-U529</f>
        <v>4.2880000000000003</v>
      </c>
      <c r="X529" s="63">
        <f>U524-U529</f>
        <v>4.2880000000000003</v>
      </c>
    </row>
    <row r="530" spans="1:24" s="43" customFormat="1" ht="18" customHeight="1">
      <c r="A530" s="614"/>
      <c r="B530" s="581"/>
      <c r="C530" s="581"/>
      <c r="D530" s="202" t="str">
        <f>серпень!D453</f>
        <v>план</v>
      </c>
      <c r="E530" s="42"/>
      <c r="F530" s="42">
        <f t="shared" ref="F530:K530" si="581">F524</f>
        <v>0.93400000000000005</v>
      </c>
      <c r="G530" s="42">
        <f t="shared" si="581"/>
        <v>4.3760000000000003</v>
      </c>
      <c r="H530" s="42">
        <f t="shared" si="581"/>
        <v>4.4180000000000001</v>
      </c>
      <c r="I530" s="42">
        <f t="shared" si="581"/>
        <v>3.0760000000000001</v>
      </c>
      <c r="J530" s="42">
        <f t="shared" si="581"/>
        <v>4.3339999999999996</v>
      </c>
      <c r="K530" s="42">
        <f t="shared" si="581"/>
        <v>3.6760000000000002</v>
      </c>
      <c r="L530" s="42">
        <f>SUM(F530:K530)</f>
        <v>20.814</v>
      </c>
      <c r="M530" s="42">
        <f>L530/6</f>
        <v>3.4689999999999999</v>
      </c>
      <c r="N530" s="42">
        <f t="shared" ref="N530:S530" si="582">N524</f>
        <v>4.0759999999999996</v>
      </c>
      <c r="O530" s="42">
        <f t="shared" si="582"/>
        <v>7.5999999999999998E-2</v>
      </c>
      <c r="P530" s="42">
        <f t="shared" si="582"/>
        <v>5.976</v>
      </c>
      <c r="Q530" s="42">
        <f t="shared" si="582"/>
        <v>9.3759999999999994</v>
      </c>
      <c r="R530" s="42">
        <f t="shared" si="582"/>
        <v>4.3760000000000003</v>
      </c>
      <c r="S530" s="42">
        <f t="shared" si="582"/>
        <v>7.8209999999999997</v>
      </c>
      <c r="T530" s="42">
        <f>SUM(N530:S530)</f>
        <v>31.701000000000001</v>
      </c>
      <c r="U530" s="42">
        <f>T530+L530</f>
        <v>52.515000000000001</v>
      </c>
      <c r="V530" s="42">
        <f>V524</f>
        <v>52.515000000000001</v>
      </c>
      <c r="W530" s="42">
        <f>V530-U530</f>
        <v>0</v>
      </c>
    </row>
    <row r="531" spans="1:24" s="43" customFormat="1" ht="18" customHeight="1">
      <c r="A531" s="614"/>
      <c r="B531" s="581"/>
      <c r="C531" s="581"/>
      <c r="D531" s="202" t="str">
        <f>серпень!D454</f>
        <v xml:space="preserve">відхилення </v>
      </c>
      <c r="E531" s="42"/>
      <c r="F531" s="42">
        <f t="shared" ref="F531:K531" si="583">F527-F530</f>
        <v>-0.93400000000000005</v>
      </c>
      <c r="G531" s="42">
        <f t="shared" si="583"/>
        <v>-0.45800000000000002</v>
      </c>
      <c r="H531" s="42">
        <f t="shared" si="583"/>
        <v>9.6000000000000002E-2</v>
      </c>
      <c r="I531" s="42">
        <f t="shared" si="583"/>
        <v>1.262</v>
      </c>
      <c r="J531" s="42">
        <f t="shared" si="583"/>
        <v>-0.41699999999999998</v>
      </c>
      <c r="K531" s="42">
        <f t="shared" si="583"/>
        <v>0.38100000000000001</v>
      </c>
      <c r="L531" s="42"/>
      <c r="M531" s="42"/>
      <c r="N531" s="42">
        <f t="shared" ref="N531:S531" si="584">N527-N530</f>
        <v>-1.7999999999999999E-2</v>
      </c>
      <c r="O531" s="42">
        <f t="shared" si="584"/>
        <v>-7.5999999999999998E-2</v>
      </c>
      <c r="P531" s="42">
        <f t="shared" si="584"/>
        <v>0.88100000000000001</v>
      </c>
      <c r="Q531" s="42">
        <f t="shared" si="584"/>
        <v>-5</v>
      </c>
      <c r="R531" s="42">
        <f t="shared" si="584"/>
        <v>0</v>
      </c>
      <c r="S531" s="42">
        <f t="shared" si="584"/>
        <v>-5.0000000000000001E-3</v>
      </c>
      <c r="T531" s="42"/>
      <c r="U531" s="42"/>
      <c r="V531" s="42"/>
      <c r="W531" s="42"/>
    </row>
    <row r="532" spans="1:24" s="43" customFormat="1" ht="18" customHeight="1">
      <c r="A532" s="614"/>
      <c r="B532" s="581"/>
      <c r="C532" s="581"/>
      <c r="D532" s="202" t="str">
        <f>серпень!D455</f>
        <v>відхилення з наростаючим</v>
      </c>
      <c r="E532" s="42"/>
      <c r="F532" s="42">
        <f>F531</f>
        <v>-0.93400000000000005</v>
      </c>
      <c r="G532" s="42">
        <f>G531+F532</f>
        <v>-1.3919999999999999</v>
      </c>
      <c r="H532" s="42">
        <f>H531+G532</f>
        <v>-1.296</v>
      </c>
      <c r="I532" s="42">
        <f>I531+H532</f>
        <v>-3.4000000000000002E-2</v>
      </c>
      <c r="J532" s="42">
        <f>J531+I532</f>
        <v>-0.45100000000000001</v>
      </c>
      <c r="K532" s="42">
        <f>K531+J532</f>
        <v>-7.0000000000000007E-2</v>
      </c>
      <c r="L532" s="42"/>
      <c r="M532" s="42"/>
      <c r="N532" s="42">
        <f>N531+K532</f>
        <v>-8.7999999999999995E-2</v>
      </c>
      <c r="O532" s="42">
        <f>O531+N532</f>
        <v>-0.16400000000000001</v>
      </c>
      <c r="P532" s="42">
        <f>P531+O532</f>
        <v>0.71699999999999997</v>
      </c>
      <c r="Q532" s="42">
        <f>Q531+P532</f>
        <v>-4.2830000000000004</v>
      </c>
      <c r="R532" s="42">
        <f>R531+Q532</f>
        <v>-4.2830000000000004</v>
      </c>
      <c r="S532" s="42">
        <f>S531+R532</f>
        <v>-4.2880000000000003</v>
      </c>
      <c r="T532" s="42"/>
      <c r="U532" s="42"/>
      <c r="V532" s="42"/>
      <c r="W532" s="42"/>
    </row>
    <row r="533" spans="1:24" s="47" customFormat="1" ht="18" customHeight="1">
      <c r="A533" s="614"/>
      <c r="B533" s="576" t="s">
        <v>90</v>
      </c>
      <c r="C533" s="577"/>
      <c r="D533" s="178" t="str">
        <f>серпень!D456</f>
        <v>факт. нат.п-ки 2023</v>
      </c>
      <c r="E533" s="11"/>
      <c r="F533" s="82">
        <f t="shared" ref="F533:K535" si="585">F550+F627</f>
        <v>23.5</v>
      </c>
      <c r="G533" s="82">
        <f t="shared" si="585"/>
        <v>23.5</v>
      </c>
      <c r="H533" s="82">
        <f t="shared" si="585"/>
        <v>23.5</v>
      </c>
      <c r="I533" s="82">
        <f t="shared" si="585"/>
        <v>25.1</v>
      </c>
      <c r="J533" s="82">
        <f t="shared" si="585"/>
        <v>24</v>
      </c>
      <c r="K533" s="82">
        <f t="shared" si="585"/>
        <v>22.9</v>
      </c>
      <c r="L533" s="467">
        <f>SUM(F533:K533)</f>
        <v>142.5</v>
      </c>
      <c r="M533" s="467">
        <f>L533/6</f>
        <v>23.75</v>
      </c>
      <c r="N533" s="82">
        <f t="shared" ref="N533:S535" si="586">N550+N627</f>
        <v>25.4</v>
      </c>
      <c r="O533" s="82">
        <f t="shared" si="586"/>
        <v>23.8</v>
      </c>
      <c r="P533" s="82">
        <f t="shared" si="586"/>
        <v>23.8</v>
      </c>
      <c r="Q533" s="82">
        <f t="shared" si="586"/>
        <v>23.9</v>
      </c>
      <c r="R533" s="82">
        <f t="shared" si="586"/>
        <v>19.100000000000001</v>
      </c>
      <c r="S533" s="82">
        <f t="shared" si="586"/>
        <v>7.3</v>
      </c>
      <c r="T533" s="467">
        <f>SUM(N533:S533)</f>
        <v>123.3</v>
      </c>
      <c r="U533" s="467">
        <f>T533+L533</f>
        <v>265.8</v>
      </c>
      <c r="V533" s="404">
        <f>V550+V627</f>
        <v>0</v>
      </c>
      <c r="W533" s="38"/>
    </row>
    <row r="534" spans="1:24" s="47" customFormat="1" ht="18" customHeight="1">
      <c r="A534" s="614"/>
      <c r="B534" s="576"/>
      <c r="C534" s="577"/>
      <c r="D534" s="178" t="str">
        <f>серпень!D457</f>
        <v>факт. нат.п-ки 2024</v>
      </c>
      <c r="E534" s="11"/>
      <c r="F534" s="82">
        <f t="shared" si="585"/>
        <v>23.5</v>
      </c>
      <c r="G534" s="82">
        <f t="shared" si="585"/>
        <v>23.5</v>
      </c>
      <c r="H534" s="82">
        <f t="shared" si="585"/>
        <v>23.5</v>
      </c>
      <c r="I534" s="82">
        <f t="shared" si="585"/>
        <v>23.5</v>
      </c>
      <c r="J534" s="82">
        <f t="shared" si="585"/>
        <v>23.5</v>
      </c>
      <c r="K534" s="82">
        <f t="shared" si="585"/>
        <v>18.7</v>
      </c>
      <c r="L534" s="467">
        <f>SUM(F534:K534)</f>
        <v>136.19999999999999</v>
      </c>
      <c r="M534" s="467">
        <f>L534/6</f>
        <v>22.7</v>
      </c>
      <c r="N534" s="82">
        <f t="shared" si="586"/>
        <v>23.8</v>
      </c>
      <c r="O534" s="82">
        <f t="shared" si="586"/>
        <v>23.8</v>
      </c>
      <c r="P534" s="82">
        <f t="shared" si="586"/>
        <v>23.8</v>
      </c>
      <c r="Q534" s="82">
        <f t="shared" si="586"/>
        <v>23.9</v>
      </c>
      <c r="R534" s="82">
        <f t="shared" si="586"/>
        <v>19.100000000000001</v>
      </c>
      <c r="S534" s="82">
        <f t="shared" si="586"/>
        <v>7.9</v>
      </c>
      <c r="T534" s="467">
        <f>SUM(N534:S534)</f>
        <v>122.3</v>
      </c>
      <c r="U534" s="467">
        <f>T534+L534</f>
        <v>258.5</v>
      </c>
      <c r="V534" s="404">
        <f>V551+V628</f>
        <v>0</v>
      </c>
      <c r="W534" s="38"/>
    </row>
    <row r="535" spans="1:24" s="47" customFormat="1" ht="18" customHeight="1">
      <c r="A535" s="614"/>
      <c r="B535" s="576"/>
      <c r="C535" s="577"/>
      <c r="D535" s="178" t="str">
        <f>серпень!D458</f>
        <v>факт. нат.п-ки 2025</v>
      </c>
      <c r="E535" s="11"/>
      <c r="F535" s="82">
        <f t="shared" si="585"/>
        <v>30.07</v>
      </c>
      <c r="G535" s="82">
        <f t="shared" si="585"/>
        <v>24.382000000000001</v>
      </c>
      <c r="H535" s="82">
        <f t="shared" si="585"/>
        <v>33.914000000000001</v>
      </c>
      <c r="I535" s="82">
        <f t="shared" si="585"/>
        <v>22.558</v>
      </c>
      <c r="J535" s="82">
        <f t="shared" si="585"/>
        <v>22.558</v>
      </c>
      <c r="K535" s="82">
        <f t="shared" si="585"/>
        <v>22.558</v>
      </c>
      <c r="L535" s="467">
        <f>SUM(F535:K535)</f>
        <v>156.04</v>
      </c>
      <c r="M535" s="467">
        <f>L535/6</f>
        <v>26.007000000000001</v>
      </c>
      <c r="N535" s="82">
        <f t="shared" si="586"/>
        <v>22.558</v>
      </c>
      <c r="O535" s="82">
        <f t="shared" si="586"/>
        <v>5.492</v>
      </c>
      <c r="P535" s="82">
        <f t="shared" si="586"/>
        <v>28.05</v>
      </c>
      <c r="Q535" s="82">
        <f t="shared" si="586"/>
        <v>28.05</v>
      </c>
      <c r="R535" s="82">
        <f t="shared" si="586"/>
        <v>28.05</v>
      </c>
      <c r="S535" s="82">
        <f t="shared" si="586"/>
        <v>28.05</v>
      </c>
      <c r="T535" s="467">
        <f>SUM(N535:S535)</f>
        <v>140.25</v>
      </c>
      <c r="U535" s="467">
        <f>T535+L535</f>
        <v>296.29000000000002</v>
      </c>
      <c r="V535" s="404">
        <f>V552+V629</f>
        <v>336.6</v>
      </c>
      <c r="W535" s="520">
        <f>V535-U535</f>
        <v>40.31</v>
      </c>
    </row>
    <row r="536" spans="1:24" s="47" customFormat="1" ht="18" customHeight="1">
      <c r="A536" s="614"/>
      <c r="B536" s="576"/>
      <c r="C536" s="577"/>
      <c r="D536" s="187" t="str">
        <f>серпень!D459</f>
        <v>тариф, грн.</v>
      </c>
      <c r="E536" s="49"/>
      <c r="F536" s="49">
        <f t="shared" ref="F536:S536" si="587">F537/F535*1000</f>
        <v>154.87200000000001</v>
      </c>
      <c r="G536" s="49">
        <f t="shared" si="587"/>
        <v>154.70400000000001</v>
      </c>
      <c r="H536" s="49">
        <f t="shared" si="587"/>
        <v>155.30500000000001</v>
      </c>
      <c r="I536" s="49">
        <f t="shared" si="587"/>
        <v>173.553</v>
      </c>
      <c r="J536" s="49">
        <f t="shared" si="587"/>
        <v>179.84800000000001</v>
      </c>
      <c r="K536" s="49">
        <f t="shared" si="587"/>
        <v>179.892</v>
      </c>
      <c r="L536" s="49">
        <f t="shared" si="587"/>
        <v>164.86799999999999</v>
      </c>
      <c r="M536" s="49">
        <f t="shared" si="587"/>
        <v>164.87899999999999</v>
      </c>
      <c r="N536" s="49">
        <f t="shared" si="587"/>
        <v>179.803</v>
      </c>
      <c r="O536" s="49">
        <f t="shared" si="587"/>
        <v>169.51900000000001</v>
      </c>
      <c r="P536" s="49">
        <f t="shared" si="587"/>
        <v>155.93600000000001</v>
      </c>
      <c r="Q536" s="49">
        <f t="shared" si="587"/>
        <v>155.93600000000001</v>
      </c>
      <c r="R536" s="49">
        <f t="shared" si="587"/>
        <v>155.93600000000001</v>
      </c>
      <c r="S536" s="49">
        <f t="shared" si="587"/>
        <v>156.00700000000001</v>
      </c>
      <c r="T536" s="49">
        <f>T537/T535*1000</f>
        <v>160.321</v>
      </c>
      <c r="U536" s="49">
        <f>U537/U535*1000</f>
        <v>162.71600000000001</v>
      </c>
      <c r="V536" s="49">
        <f>V537/V535*1000</f>
        <v>155.94200000000001</v>
      </c>
      <c r="W536" s="49">
        <f>W537/W535*1000</f>
        <v>106.152</v>
      </c>
    </row>
    <row r="537" spans="1:24" s="130" customFormat="1" ht="18" customHeight="1">
      <c r="A537" s="614"/>
      <c r="B537" s="576"/>
      <c r="C537" s="577"/>
      <c r="D537" s="191" t="str">
        <f>серпень!D460</f>
        <v>сума, тис.грн.</v>
      </c>
      <c r="E537" s="52"/>
      <c r="F537" s="52">
        <f t="shared" ref="F537:K537" si="588">F554+F631</f>
        <v>4.657</v>
      </c>
      <c r="G537" s="52">
        <f t="shared" si="588"/>
        <v>3.7719999999999998</v>
      </c>
      <c r="H537" s="52">
        <f t="shared" si="588"/>
        <v>5.2670000000000003</v>
      </c>
      <c r="I537" s="52">
        <f t="shared" si="588"/>
        <v>3.915</v>
      </c>
      <c r="J537" s="52">
        <f t="shared" si="588"/>
        <v>4.0570000000000004</v>
      </c>
      <c r="K537" s="52">
        <f t="shared" si="588"/>
        <v>4.0579999999999998</v>
      </c>
      <c r="L537" s="69">
        <f>SUM(F537:K537)</f>
        <v>25.725999999999999</v>
      </c>
      <c r="M537" s="69">
        <f>L537/6</f>
        <v>4.2880000000000003</v>
      </c>
      <c r="N537" s="52">
        <f t="shared" ref="N537:S537" si="589">N554+N631</f>
        <v>4.056</v>
      </c>
      <c r="O537" s="52">
        <f t="shared" si="589"/>
        <v>0.93100000000000005</v>
      </c>
      <c r="P537" s="52">
        <f t="shared" si="589"/>
        <v>4.3739999999999997</v>
      </c>
      <c r="Q537" s="52">
        <f t="shared" si="589"/>
        <v>4.3739999999999997</v>
      </c>
      <c r="R537" s="52">
        <f t="shared" si="589"/>
        <v>4.3739999999999997</v>
      </c>
      <c r="S537" s="52">
        <f t="shared" si="589"/>
        <v>4.3760000000000003</v>
      </c>
      <c r="T537" s="69">
        <f>SUM(N537:S537)</f>
        <v>22.484999999999999</v>
      </c>
      <c r="U537" s="69">
        <f>T537+L537</f>
        <v>48.210999999999999</v>
      </c>
      <c r="V537" s="52">
        <f>V554+V631</f>
        <v>52.49</v>
      </c>
      <c r="W537" s="52">
        <f>V537-U537</f>
        <v>4.2789999999999999</v>
      </c>
    </row>
    <row r="538" spans="1:24" s="130" customFormat="1" ht="18" customHeight="1">
      <c r="A538" s="614"/>
      <c r="B538" s="576"/>
      <c r="C538" s="577"/>
      <c r="D538" s="191" t="str">
        <f>серпень!D461</f>
        <v>абоненська плата, тис.грн.</v>
      </c>
      <c r="E538" s="52"/>
      <c r="F538" s="52">
        <f>F586+F616+F663+F693</f>
        <v>1E-3</v>
      </c>
      <c r="G538" s="52">
        <f t="shared" ref="G538:K538" si="590">G586+G616+G663+G693</f>
        <v>1E-3</v>
      </c>
      <c r="H538" s="52">
        <f t="shared" si="590"/>
        <v>2E-3</v>
      </c>
      <c r="I538" s="52">
        <f t="shared" si="590"/>
        <v>2E-3</v>
      </c>
      <c r="J538" s="52">
        <f t="shared" si="590"/>
        <v>2E-3</v>
      </c>
      <c r="K538" s="52">
        <f t="shared" si="590"/>
        <v>0</v>
      </c>
      <c r="L538" s="69">
        <f t="shared" ref="L538:L539" si="591">SUM(F538:K538)</f>
        <v>8.0000000000000002E-3</v>
      </c>
      <c r="M538" s="69">
        <f t="shared" ref="M538:M539" si="592">L538/6</f>
        <v>1E-3</v>
      </c>
      <c r="N538" s="52">
        <f>N586+N616+N663+N693</f>
        <v>0</v>
      </c>
      <c r="O538" s="52">
        <f t="shared" ref="O538:S538" si="593">O586+O616+O663+O693</f>
        <v>0</v>
      </c>
      <c r="P538" s="52">
        <f t="shared" si="593"/>
        <v>2E-3</v>
      </c>
      <c r="Q538" s="52">
        <f t="shared" si="593"/>
        <v>2E-3</v>
      </c>
      <c r="R538" s="52">
        <f t="shared" si="593"/>
        <v>2E-3</v>
      </c>
      <c r="S538" s="52">
        <f t="shared" si="593"/>
        <v>2E-3</v>
      </c>
      <c r="T538" s="69">
        <f t="shared" ref="T538:T539" si="594">SUM(N538:S538)</f>
        <v>8.0000000000000002E-3</v>
      </c>
      <c r="U538" s="69">
        <f t="shared" ref="U538:U539" si="595">T538+L538</f>
        <v>1.6E-2</v>
      </c>
      <c r="V538" s="52">
        <f t="shared" ref="V538" si="596">V586+V616+V663+V693</f>
        <v>2.5000000000000001E-2</v>
      </c>
      <c r="W538" s="52">
        <f t="shared" ref="W538:W539" si="597">V538-U538</f>
        <v>8.9999999999999993E-3</v>
      </c>
    </row>
    <row r="539" spans="1:24" s="130" customFormat="1" ht="18" customHeight="1">
      <c r="A539" s="614"/>
      <c r="B539" s="576"/>
      <c r="C539" s="577"/>
      <c r="D539" s="191" t="str">
        <f>серпень!D462</f>
        <v>разом сума тис. грн+абонплата</v>
      </c>
      <c r="E539" s="52"/>
      <c r="F539" s="69">
        <f>F537+F538</f>
        <v>4.6580000000000004</v>
      </c>
      <c r="G539" s="69">
        <f t="shared" ref="G539:K539" si="598">G537+G538</f>
        <v>3.7730000000000001</v>
      </c>
      <c r="H539" s="69">
        <f t="shared" si="598"/>
        <v>5.2690000000000001</v>
      </c>
      <c r="I539" s="69">
        <f t="shared" si="598"/>
        <v>3.9169999999999998</v>
      </c>
      <c r="J539" s="69">
        <f t="shared" si="598"/>
        <v>4.0590000000000002</v>
      </c>
      <c r="K539" s="69">
        <f t="shared" si="598"/>
        <v>4.0579999999999998</v>
      </c>
      <c r="L539" s="69">
        <f t="shared" si="591"/>
        <v>25.734000000000002</v>
      </c>
      <c r="M539" s="69">
        <f t="shared" si="592"/>
        <v>4.2889999999999997</v>
      </c>
      <c r="N539" s="69">
        <f>N537+N538</f>
        <v>4.056</v>
      </c>
      <c r="O539" s="69">
        <f t="shared" ref="O539" si="599">O537+O538</f>
        <v>0.93100000000000005</v>
      </c>
      <c r="P539" s="69">
        <f t="shared" ref="P539" si="600">P537+P538</f>
        <v>4.3760000000000003</v>
      </c>
      <c r="Q539" s="69">
        <f t="shared" ref="Q539" si="601">Q537+Q538</f>
        <v>4.3760000000000003</v>
      </c>
      <c r="R539" s="69">
        <f t="shared" ref="R539" si="602">R537+R538</f>
        <v>4.3760000000000003</v>
      </c>
      <c r="S539" s="69">
        <f t="shared" ref="S539" si="603">S537+S538</f>
        <v>4.3780000000000001</v>
      </c>
      <c r="T539" s="69">
        <f t="shared" si="594"/>
        <v>22.492999999999999</v>
      </c>
      <c r="U539" s="69">
        <f t="shared" si="595"/>
        <v>48.226999999999997</v>
      </c>
      <c r="V539" s="69">
        <f t="shared" ref="V539" si="604">V537+V538</f>
        <v>52.515000000000001</v>
      </c>
      <c r="W539" s="69">
        <f t="shared" si="597"/>
        <v>4.2880000000000003</v>
      </c>
    </row>
    <row r="540" spans="1:24" s="130" customFormat="1" ht="18" customHeight="1">
      <c r="A540" s="614"/>
      <c r="B540" s="576"/>
      <c r="C540" s="577"/>
      <c r="D540" s="191" t="str">
        <f>серпень!D463</f>
        <v>дотація</v>
      </c>
      <c r="E540" s="56"/>
      <c r="F540" s="52">
        <f t="shared" ref="F540:K540" si="605">F557+F634</f>
        <v>0</v>
      </c>
      <c r="G540" s="52">
        <f t="shared" si="605"/>
        <v>0</v>
      </c>
      <c r="H540" s="52">
        <f t="shared" si="605"/>
        <v>0</v>
      </c>
      <c r="I540" s="52">
        <f t="shared" si="605"/>
        <v>0</v>
      </c>
      <c r="J540" s="52">
        <f t="shared" si="605"/>
        <v>0</v>
      </c>
      <c r="K540" s="52">
        <f t="shared" si="605"/>
        <v>0</v>
      </c>
      <c r="L540" s="69">
        <f>SUM(F540:K540)</f>
        <v>0</v>
      </c>
      <c r="M540" s="69">
        <f>L540/6</f>
        <v>0</v>
      </c>
      <c r="N540" s="52">
        <f t="shared" ref="N540:S540" si="606">N557+N634</f>
        <v>0</v>
      </c>
      <c r="O540" s="52">
        <f t="shared" si="606"/>
        <v>0</v>
      </c>
      <c r="P540" s="52">
        <f t="shared" si="606"/>
        <v>0</v>
      </c>
      <c r="Q540" s="52">
        <f t="shared" si="606"/>
        <v>0</v>
      </c>
      <c r="R540" s="52">
        <f t="shared" si="606"/>
        <v>0</v>
      </c>
      <c r="S540" s="52">
        <f t="shared" si="606"/>
        <v>0</v>
      </c>
      <c r="T540" s="69">
        <f>SUM(N540:S540)</f>
        <v>0</v>
      </c>
      <c r="U540" s="69">
        <f>T540+L540</f>
        <v>0</v>
      </c>
      <c r="V540" s="69">
        <f>V557+V634</f>
        <v>0</v>
      </c>
      <c r="W540" s="52">
        <f>V540-U540</f>
        <v>0</v>
      </c>
      <c r="X540" s="134"/>
    </row>
    <row r="541" spans="1:24" s="130" customFormat="1" ht="18" customHeight="1">
      <c r="A541" s="614"/>
      <c r="B541" s="576"/>
      <c r="C541" s="577"/>
      <c r="D541" s="191" t="str">
        <f>серпень!D464</f>
        <v>місцевий (план), тис.грн</v>
      </c>
      <c r="E541" s="56"/>
      <c r="F541" s="52">
        <f>F558+F635</f>
        <v>0.93400000000000005</v>
      </c>
      <c r="G541" s="52">
        <f t="shared" ref="F541:K542" si="607">G558+G635</f>
        <v>4.3760000000000003</v>
      </c>
      <c r="H541" s="52">
        <f t="shared" si="607"/>
        <v>4.4180000000000001</v>
      </c>
      <c r="I541" s="52">
        <f t="shared" si="607"/>
        <v>3.0760000000000001</v>
      </c>
      <c r="J541" s="52">
        <f t="shared" si="607"/>
        <v>4.3339999999999996</v>
      </c>
      <c r="K541" s="52">
        <f t="shared" si="607"/>
        <v>3.6760000000000002</v>
      </c>
      <c r="L541" s="69">
        <f>SUM(F541:K541)</f>
        <v>20.814</v>
      </c>
      <c r="M541" s="69">
        <f>L541/6</f>
        <v>3.4689999999999999</v>
      </c>
      <c r="N541" s="52">
        <f t="shared" ref="N541:S542" si="608">N558+N635</f>
        <v>4.0759999999999996</v>
      </c>
      <c r="O541" s="52">
        <f t="shared" si="608"/>
        <v>7.5999999999999998E-2</v>
      </c>
      <c r="P541" s="52">
        <f t="shared" si="608"/>
        <v>5.976</v>
      </c>
      <c r="Q541" s="52">
        <f t="shared" si="608"/>
        <v>9.3759999999999994</v>
      </c>
      <c r="R541" s="52">
        <f t="shared" si="608"/>
        <v>4.3760000000000003</v>
      </c>
      <c r="S541" s="52">
        <f t="shared" si="608"/>
        <v>7.8209999999999997</v>
      </c>
      <c r="T541" s="69">
        <f>SUM(N541:S541)</f>
        <v>31.701000000000001</v>
      </c>
      <c r="U541" s="69">
        <f>T541+L541</f>
        <v>52.515000000000001</v>
      </c>
      <c r="V541" s="69">
        <f>V558+V635</f>
        <v>52.515000000000001</v>
      </c>
      <c r="W541" s="52">
        <f>V541-U541</f>
        <v>0</v>
      </c>
    </row>
    <row r="542" spans="1:24" s="47" customFormat="1" ht="18" customHeight="1">
      <c r="A542" s="614"/>
      <c r="B542" s="576"/>
      <c r="C542" s="577"/>
      <c r="D542" s="178" t="str">
        <f>серпень!D465</f>
        <v>касові нат.п-ки 2025</v>
      </c>
      <c r="E542" s="12">
        <f t="shared" ref="E542" si="609">E559+E636</f>
        <v>0</v>
      </c>
      <c r="F542" s="82">
        <f t="shared" si="607"/>
        <v>0</v>
      </c>
      <c r="G542" s="82">
        <f t="shared" si="607"/>
        <v>25.67</v>
      </c>
      <c r="H542" s="82">
        <f t="shared" si="607"/>
        <v>28.782</v>
      </c>
      <c r="I542" s="82">
        <f t="shared" si="607"/>
        <v>28.422000000000001</v>
      </c>
      <c r="J542" s="82">
        <f t="shared" si="607"/>
        <v>22.558</v>
      </c>
      <c r="K542" s="82">
        <f t="shared" si="607"/>
        <v>22.558</v>
      </c>
      <c r="L542" s="467">
        <f>SUM(F542:K542)</f>
        <v>127.99</v>
      </c>
      <c r="M542" s="467">
        <f>L542/6</f>
        <v>21.332000000000001</v>
      </c>
      <c r="N542" s="82">
        <f t="shared" si="608"/>
        <v>22.558</v>
      </c>
      <c r="O542" s="82">
        <f t="shared" si="608"/>
        <v>0</v>
      </c>
      <c r="P542" s="82">
        <f t="shared" si="608"/>
        <v>39.033999999999999</v>
      </c>
      <c r="Q542" s="82">
        <f t="shared" si="608"/>
        <v>28.05</v>
      </c>
      <c r="R542" s="82">
        <f t="shared" si="608"/>
        <v>28.05</v>
      </c>
      <c r="S542" s="82">
        <f t="shared" si="608"/>
        <v>50.607999999999997</v>
      </c>
      <c r="T542" s="467">
        <f>SUM(N542:S542)</f>
        <v>168.3</v>
      </c>
      <c r="U542" s="467">
        <f>T542+L542</f>
        <v>296.29000000000002</v>
      </c>
      <c r="V542" s="404">
        <f>V559+V636</f>
        <v>336.6</v>
      </c>
      <c r="W542" s="505">
        <f>V542-U542</f>
        <v>40.31</v>
      </c>
      <c r="X542" s="47">
        <f>U535-U542</f>
        <v>0</v>
      </c>
    </row>
    <row r="543" spans="1:24" s="47" customFormat="1" ht="18" customHeight="1">
      <c r="A543" s="614"/>
      <c r="B543" s="576"/>
      <c r="C543" s="577"/>
      <c r="D543" s="187" t="str">
        <f>серпень!D466</f>
        <v>тариф, грн.</v>
      </c>
      <c r="E543" s="49" t="e">
        <f>E544/E542*1000</f>
        <v>#DIV/0!</v>
      </c>
      <c r="F543" s="49" t="e">
        <f t="shared" ref="F543:S543" si="610">F544/F542*1000</f>
        <v>#DIV/0!</v>
      </c>
      <c r="G543" s="49">
        <f t="shared" si="610"/>
        <v>152.63</v>
      </c>
      <c r="H543" s="49">
        <f t="shared" si="610"/>
        <v>156.834</v>
      </c>
      <c r="I543" s="49">
        <f t="shared" si="610"/>
        <v>152.62799999999999</v>
      </c>
      <c r="J543" s="49">
        <f t="shared" si="610"/>
        <v>173.64099999999999</v>
      </c>
      <c r="K543" s="49">
        <f t="shared" si="610"/>
        <v>179.84800000000001</v>
      </c>
      <c r="L543" s="49">
        <f t="shared" si="610"/>
        <v>162.07499999999999</v>
      </c>
      <c r="M543" s="49">
        <f t="shared" si="610"/>
        <v>162.05699999999999</v>
      </c>
      <c r="N543" s="49">
        <f t="shared" si="610"/>
        <v>179.892</v>
      </c>
      <c r="O543" s="49" t="e">
        <f t="shared" si="610"/>
        <v>#DIV/0!</v>
      </c>
      <c r="P543" s="49">
        <f t="shared" si="610"/>
        <v>175.667</v>
      </c>
      <c r="Q543" s="49">
        <f t="shared" si="610"/>
        <v>156.00700000000001</v>
      </c>
      <c r="R543" s="49">
        <f t="shared" si="610"/>
        <v>156.00700000000001</v>
      </c>
      <c r="S543" s="49">
        <f t="shared" si="610"/>
        <v>154.44200000000001</v>
      </c>
      <c r="T543" s="49">
        <f>T544/T542*1000</f>
        <v>163.298</v>
      </c>
      <c r="U543" s="49">
        <f>U544/U542*1000</f>
        <v>162.77000000000001</v>
      </c>
      <c r="V543" s="49">
        <f>V544/V542*1000</f>
        <v>156.01599999999999</v>
      </c>
      <c r="W543" s="49">
        <f>W544/W542*1000</f>
        <v>106.376</v>
      </c>
      <c r="X543" s="59"/>
    </row>
    <row r="544" spans="1:24" s="63" customFormat="1" ht="23.2" customHeight="1">
      <c r="A544" s="614"/>
      <c r="B544" s="576"/>
      <c r="C544" s="577"/>
      <c r="D544" s="198" t="str">
        <f>серпень!D467</f>
        <v>касові видатки, тис.грн.</v>
      </c>
      <c r="E544" s="72">
        <f t="shared" ref="E544:K544" si="611">E561+E638</f>
        <v>0</v>
      </c>
      <c r="F544" s="61">
        <f>F561+F638</f>
        <v>0</v>
      </c>
      <c r="G544" s="61">
        <f t="shared" si="611"/>
        <v>3.9180000000000001</v>
      </c>
      <c r="H544" s="61">
        <f t="shared" si="611"/>
        <v>4.5140000000000002</v>
      </c>
      <c r="I544" s="61">
        <f t="shared" si="611"/>
        <v>4.3380000000000001</v>
      </c>
      <c r="J544" s="61">
        <f t="shared" si="611"/>
        <v>3.9169999999999998</v>
      </c>
      <c r="K544" s="61">
        <f t="shared" si="611"/>
        <v>4.0570000000000004</v>
      </c>
      <c r="L544" s="61">
        <f>SUM(F544:K544)</f>
        <v>20.744</v>
      </c>
      <c r="M544" s="61">
        <f>L544/6</f>
        <v>3.4569999999999999</v>
      </c>
      <c r="N544" s="61">
        <f t="shared" ref="N544:S544" si="612">N561+N638</f>
        <v>4.0579999999999998</v>
      </c>
      <c r="O544" s="61">
        <f t="shared" si="612"/>
        <v>0</v>
      </c>
      <c r="P544" s="61">
        <f t="shared" si="612"/>
        <v>6.8570000000000002</v>
      </c>
      <c r="Q544" s="61">
        <f t="shared" si="612"/>
        <v>4.3760000000000003</v>
      </c>
      <c r="R544" s="61">
        <f>R561+R638</f>
        <v>4.3760000000000003</v>
      </c>
      <c r="S544" s="61">
        <f t="shared" si="612"/>
        <v>7.8159999999999998</v>
      </c>
      <c r="T544" s="61">
        <f>SUM(N544:S544)</f>
        <v>27.483000000000001</v>
      </c>
      <c r="U544" s="61">
        <f>T544+L544</f>
        <v>48.226999999999997</v>
      </c>
      <c r="V544" s="61">
        <f>V561+V638</f>
        <v>52.515000000000001</v>
      </c>
      <c r="W544" s="72">
        <f>V544-U544</f>
        <v>4.2880000000000003</v>
      </c>
      <c r="X544" s="63">
        <f>U539-U544</f>
        <v>0</v>
      </c>
    </row>
    <row r="545" spans="1:28" s="63" customFormat="1" ht="18" customHeight="1">
      <c r="A545" s="614"/>
      <c r="B545" s="576"/>
      <c r="C545" s="577"/>
      <c r="D545" s="201" t="str">
        <f>серпень!D468</f>
        <v>дотація</v>
      </c>
      <c r="E545" s="71"/>
      <c r="F545" s="61">
        <f t="shared" ref="F545:K546" si="613">F562+F639</f>
        <v>0</v>
      </c>
      <c r="G545" s="61">
        <f t="shared" si="613"/>
        <v>0</v>
      </c>
      <c r="H545" s="61">
        <f t="shared" si="613"/>
        <v>0</v>
      </c>
      <c r="I545" s="61">
        <f t="shared" si="613"/>
        <v>0</v>
      </c>
      <c r="J545" s="61">
        <f t="shared" si="613"/>
        <v>0</v>
      </c>
      <c r="K545" s="61">
        <f t="shared" si="613"/>
        <v>0</v>
      </c>
      <c r="L545" s="61">
        <f>SUM(F545:K545)</f>
        <v>0</v>
      </c>
      <c r="M545" s="61">
        <f>L545/6</f>
        <v>0</v>
      </c>
      <c r="N545" s="61">
        <f t="shared" ref="N545:Q546" si="614">N562+N639</f>
        <v>0</v>
      </c>
      <c r="O545" s="61">
        <f t="shared" si="614"/>
        <v>0</v>
      </c>
      <c r="P545" s="61">
        <f t="shared" si="614"/>
        <v>0</v>
      </c>
      <c r="Q545" s="61">
        <f t="shared" si="614"/>
        <v>0</v>
      </c>
      <c r="R545" s="61">
        <f>R562+R639</f>
        <v>0</v>
      </c>
      <c r="S545" s="61">
        <f>S562+S639</f>
        <v>0</v>
      </c>
      <c r="T545" s="61">
        <f>SUM(N545:S545)</f>
        <v>0</v>
      </c>
      <c r="U545" s="61">
        <f>T545+L545</f>
        <v>0</v>
      </c>
      <c r="V545" s="61">
        <f>V562+V639</f>
        <v>0</v>
      </c>
      <c r="W545" s="72">
        <f>V545-U545</f>
        <v>0</v>
      </c>
      <c r="X545" s="63">
        <f>U540-U545</f>
        <v>0</v>
      </c>
    </row>
    <row r="546" spans="1:28" s="63" customFormat="1" ht="18" customHeight="1">
      <c r="A546" s="614"/>
      <c r="B546" s="576"/>
      <c r="C546" s="577"/>
      <c r="D546" s="201" t="str">
        <f>серпень!D469</f>
        <v xml:space="preserve">місцевий </v>
      </c>
      <c r="E546" s="71"/>
      <c r="F546" s="61">
        <f t="shared" si="613"/>
        <v>0</v>
      </c>
      <c r="G546" s="61">
        <f t="shared" si="613"/>
        <v>3.9180000000000001</v>
      </c>
      <c r="H546" s="61">
        <f t="shared" si="613"/>
        <v>4.5140000000000002</v>
      </c>
      <c r="I546" s="61">
        <f t="shared" si="613"/>
        <v>4.3380000000000001</v>
      </c>
      <c r="J546" s="61">
        <f t="shared" si="613"/>
        <v>3.9169999999999998</v>
      </c>
      <c r="K546" s="61">
        <f t="shared" si="613"/>
        <v>4.0570000000000004</v>
      </c>
      <c r="L546" s="61">
        <f>SUM(F546:K546)</f>
        <v>20.744</v>
      </c>
      <c r="M546" s="61">
        <f>L546/6</f>
        <v>3.4569999999999999</v>
      </c>
      <c r="N546" s="61">
        <f t="shared" si="614"/>
        <v>4.0579999999999998</v>
      </c>
      <c r="O546" s="61">
        <f t="shared" si="614"/>
        <v>0</v>
      </c>
      <c r="P546" s="61">
        <f t="shared" si="614"/>
        <v>6.8570000000000002</v>
      </c>
      <c r="Q546" s="61">
        <f t="shared" si="614"/>
        <v>4.3760000000000003</v>
      </c>
      <c r="R546" s="61">
        <f>R563+R640</f>
        <v>4.3760000000000003</v>
      </c>
      <c r="S546" s="61">
        <f>S563+S640</f>
        <v>7.8159999999999998</v>
      </c>
      <c r="T546" s="61">
        <f>SUM(N546:S546)</f>
        <v>27.483000000000001</v>
      </c>
      <c r="U546" s="61">
        <f>T546+L546</f>
        <v>48.226999999999997</v>
      </c>
      <c r="V546" s="61">
        <f>V563+V640</f>
        <v>52.515000000000001</v>
      </c>
      <c r="W546" s="72">
        <f>V546-U546</f>
        <v>4.2880000000000003</v>
      </c>
      <c r="X546" s="63">
        <f>U541-U546</f>
        <v>4.2880000000000003</v>
      </c>
    </row>
    <row r="547" spans="1:28" s="43" customFormat="1" ht="18" customHeight="1">
      <c r="A547" s="614"/>
      <c r="B547" s="576"/>
      <c r="C547" s="577"/>
      <c r="D547" s="202" t="str">
        <f>серпень!D470</f>
        <v>план</v>
      </c>
      <c r="E547" s="42"/>
      <c r="F547" s="42">
        <f>F541</f>
        <v>0.93400000000000005</v>
      </c>
      <c r="G547" s="42">
        <f t="shared" ref="G547:K547" si="615">G541</f>
        <v>4.3760000000000003</v>
      </c>
      <c r="H547" s="42">
        <f t="shared" si="615"/>
        <v>4.4180000000000001</v>
      </c>
      <c r="I547" s="42">
        <f t="shared" si="615"/>
        <v>3.0760000000000001</v>
      </c>
      <c r="J547" s="42">
        <f t="shared" si="615"/>
        <v>4.3339999999999996</v>
      </c>
      <c r="K547" s="42">
        <f t="shared" si="615"/>
        <v>3.6760000000000002</v>
      </c>
      <c r="L547" s="42">
        <f>SUM(F547:K547)</f>
        <v>20.814</v>
      </c>
      <c r="M547" s="42">
        <f>L547/6</f>
        <v>3.4689999999999999</v>
      </c>
      <c r="N547" s="42">
        <f t="shared" ref="N547:S547" si="616">N541</f>
        <v>4.0759999999999996</v>
      </c>
      <c r="O547" s="42">
        <f t="shared" si="616"/>
        <v>7.5999999999999998E-2</v>
      </c>
      <c r="P547" s="42">
        <f t="shared" si="616"/>
        <v>5.976</v>
      </c>
      <c r="Q547" s="42">
        <f t="shared" si="616"/>
        <v>9.3759999999999994</v>
      </c>
      <c r="R547" s="42">
        <f t="shared" si="616"/>
        <v>4.3760000000000003</v>
      </c>
      <c r="S547" s="42">
        <f t="shared" si="616"/>
        <v>7.8209999999999997</v>
      </c>
      <c r="T547" s="42">
        <f>SUM(N547:S547)</f>
        <v>31.701000000000001</v>
      </c>
      <c r="U547" s="42">
        <f>T547+L547</f>
        <v>52.515000000000001</v>
      </c>
      <c r="V547" s="42">
        <f>V541</f>
        <v>52.515000000000001</v>
      </c>
      <c r="W547" s="42">
        <f>V547-U547</f>
        <v>0</v>
      </c>
    </row>
    <row r="548" spans="1:28" s="43" customFormat="1" ht="18" customHeight="1">
      <c r="A548" s="614"/>
      <c r="B548" s="576"/>
      <c r="C548" s="577"/>
      <c r="D548" s="202" t="str">
        <f>серпень!D471</f>
        <v xml:space="preserve">відхилення </v>
      </c>
      <c r="E548" s="42"/>
      <c r="F548" s="42">
        <f t="shared" ref="F548:K548" si="617">F544-F547</f>
        <v>-0.93400000000000005</v>
      </c>
      <c r="G548" s="42">
        <f t="shared" si="617"/>
        <v>-0.45800000000000002</v>
      </c>
      <c r="H548" s="42">
        <f t="shared" si="617"/>
        <v>9.6000000000000002E-2</v>
      </c>
      <c r="I548" s="42">
        <f t="shared" si="617"/>
        <v>1.262</v>
      </c>
      <c r="J548" s="42">
        <f t="shared" si="617"/>
        <v>-0.41699999999999998</v>
      </c>
      <c r="K548" s="42">
        <f t="shared" si="617"/>
        <v>0.38100000000000001</v>
      </c>
      <c r="L548" s="42"/>
      <c r="M548" s="42"/>
      <c r="N548" s="42">
        <f t="shared" ref="N548:S548" si="618">N544-N547</f>
        <v>-1.7999999999999999E-2</v>
      </c>
      <c r="O548" s="42">
        <f t="shared" si="618"/>
        <v>-7.5999999999999998E-2</v>
      </c>
      <c r="P548" s="42">
        <f t="shared" si="618"/>
        <v>0.88100000000000001</v>
      </c>
      <c r="Q548" s="42">
        <f t="shared" si="618"/>
        <v>-5</v>
      </c>
      <c r="R548" s="42">
        <f t="shared" si="618"/>
        <v>0</v>
      </c>
      <c r="S548" s="42">
        <f t="shared" si="618"/>
        <v>-5.0000000000000001E-3</v>
      </c>
      <c r="T548" s="42"/>
      <c r="U548" s="42"/>
      <c r="V548" s="42"/>
      <c r="W548" s="42"/>
    </row>
    <row r="549" spans="1:28" s="43" customFormat="1" ht="18" customHeight="1">
      <c r="A549" s="614"/>
      <c r="B549" s="576"/>
      <c r="C549" s="577"/>
      <c r="D549" s="202" t="str">
        <f>серпень!D472</f>
        <v>відхилення з наростаючим</v>
      </c>
      <c r="E549" s="42"/>
      <c r="F549" s="42">
        <f>F548</f>
        <v>-0.93400000000000005</v>
      </c>
      <c r="G549" s="42">
        <f>G548+F549</f>
        <v>-1.3919999999999999</v>
      </c>
      <c r="H549" s="42">
        <f>H548+G549</f>
        <v>-1.296</v>
      </c>
      <c r="I549" s="42">
        <f>I548+H549</f>
        <v>-3.4000000000000002E-2</v>
      </c>
      <c r="J549" s="42">
        <f>J548+I549</f>
        <v>-0.45100000000000001</v>
      </c>
      <c r="K549" s="42">
        <f>K548+J549</f>
        <v>-7.0000000000000007E-2</v>
      </c>
      <c r="L549" s="42"/>
      <c r="M549" s="42"/>
      <c r="N549" s="42">
        <f>N548+K549</f>
        <v>-8.7999999999999995E-2</v>
      </c>
      <c r="O549" s="42">
        <f>O548+N549</f>
        <v>-0.16400000000000001</v>
      </c>
      <c r="P549" s="42">
        <f>P548+O549</f>
        <v>0.71699999999999997</v>
      </c>
      <c r="Q549" s="42">
        <f>Q548+P549</f>
        <v>-4.2830000000000004</v>
      </c>
      <c r="R549" s="42">
        <f>R548+Q549</f>
        <v>-4.2830000000000004</v>
      </c>
      <c r="S549" s="42">
        <f>S548+R549</f>
        <v>-4.2880000000000003</v>
      </c>
      <c r="T549" s="42"/>
      <c r="U549" s="42"/>
      <c r="V549" s="42"/>
      <c r="W549" s="42"/>
    </row>
    <row r="550" spans="1:28" s="55" customFormat="1" ht="21.8" customHeight="1">
      <c r="A550" s="614"/>
      <c r="B550" s="581" t="s">
        <v>65</v>
      </c>
      <c r="C550" s="581"/>
      <c r="D550" s="178" t="str">
        <f>серпень!D473</f>
        <v>факт. нат.п-ки 2023</v>
      </c>
      <c r="E550" s="11"/>
      <c r="F550" s="82">
        <f t="shared" ref="F550:K552" si="619">F567+F597</f>
        <v>4.8</v>
      </c>
      <c r="G550" s="82">
        <f t="shared" si="619"/>
        <v>4.8</v>
      </c>
      <c r="H550" s="82">
        <f t="shared" si="619"/>
        <v>4.8</v>
      </c>
      <c r="I550" s="82">
        <f t="shared" si="619"/>
        <v>4.8</v>
      </c>
      <c r="J550" s="82">
        <f t="shared" si="619"/>
        <v>5.3</v>
      </c>
      <c r="K550" s="82">
        <f t="shared" si="619"/>
        <v>4.2</v>
      </c>
      <c r="L550" s="125">
        <f>SUM(F550:K550)</f>
        <v>28.7</v>
      </c>
      <c r="M550" s="125">
        <f>L550/6</f>
        <v>4.7830000000000004</v>
      </c>
      <c r="N550" s="82">
        <f t="shared" ref="N550:S552" si="620">N567+N597</f>
        <v>6.4</v>
      </c>
      <c r="O550" s="82">
        <f t="shared" si="620"/>
        <v>4.8</v>
      </c>
      <c r="P550" s="82">
        <f t="shared" si="620"/>
        <v>4.8</v>
      </c>
      <c r="Q550" s="82">
        <f t="shared" si="620"/>
        <v>4.8</v>
      </c>
      <c r="R550" s="82">
        <f t="shared" si="620"/>
        <v>4.8</v>
      </c>
      <c r="S550" s="82">
        <f t="shared" si="620"/>
        <v>4.2</v>
      </c>
      <c r="T550" s="125">
        <f>SUM(N550:S550)</f>
        <v>29.8</v>
      </c>
      <c r="U550" s="125">
        <f>T550+L550</f>
        <v>58.5</v>
      </c>
      <c r="V550" s="349">
        <f>V567+V597</f>
        <v>0</v>
      </c>
      <c r="W550" s="38"/>
      <c r="X550" s="47"/>
      <c r="Y550" s="48"/>
      <c r="Z550" s="48"/>
      <c r="AA550" s="48"/>
      <c r="AB550" s="48"/>
    </row>
    <row r="551" spans="1:28" s="48" customFormat="1" ht="21.8" customHeight="1">
      <c r="A551" s="614"/>
      <c r="B551" s="581"/>
      <c r="C551" s="581"/>
      <c r="D551" s="178" t="str">
        <f>серпень!D474</f>
        <v>факт. нат.п-ки 2024</v>
      </c>
      <c r="E551" s="11"/>
      <c r="F551" s="82">
        <f t="shared" si="619"/>
        <v>4.8</v>
      </c>
      <c r="G551" s="82">
        <f t="shared" si="619"/>
        <v>4.8</v>
      </c>
      <c r="H551" s="82">
        <f t="shared" si="619"/>
        <v>4.8</v>
      </c>
      <c r="I551" s="82">
        <f t="shared" si="619"/>
        <v>4.8</v>
      </c>
      <c r="J551" s="82">
        <f t="shared" si="619"/>
        <v>4.8</v>
      </c>
      <c r="K551" s="82">
        <f t="shared" si="619"/>
        <v>0</v>
      </c>
      <c r="L551" s="125">
        <f>SUM(F551:K551)</f>
        <v>24</v>
      </c>
      <c r="M551" s="125">
        <f>L551/6</f>
        <v>4</v>
      </c>
      <c r="N551" s="82">
        <f t="shared" si="620"/>
        <v>4.8</v>
      </c>
      <c r="O551" s="82">
        <f t="shared" si="620"/>
        <v>4.8</v>
      </c>
      <c r="P551" s="82">
        <f t="shared" si="620"/>
        <v>4.8</v>
      </c>
      <c r="Q551" s="82">
        <f t="shared" si="620"/>
        <v>4.8</v>
      </c>
      <c r="R551" s="82">
        <f t="shared" si="620"/>
        <v>4.8</v>
      </c>
      <c r="S551" s="82">
        <f t="shared" si="620"/>
        <v>4.8</v>
      </c>
      <c r="T551" s="125">
        <f>SUM(N551:S551)</f>
        <v>28.8</v>
      </c>
      <c r="U551" s="125">
        <f>T551+L551</f>
        <v>52.8</v>
      </c>
      <c r="V551" s="349">
        <f>V568+V598</f>
        <v>0</v>
      </c>
      <c r="W551" s="38"/>
      <c r="X551" s="47"/>
    </row>
    <row r="552" spans="1:28" s="48" customFormat="1" ht="21.8" customHeight="1">
      <c r="A552" s="614"/>
      <c r="B552" s="581"/>
      <c r="C552" s="581"/>
      <c r="D552" s="178" t="str">
        <f>серпень!D475</f>
        <v>факт. нат.п-ки 2025</v>
      </c>
      <c r="E552" s="11"/>
      <c r="F552" s="82">
        <f t="shared" si="619"/>
        <v>4.4000000000000004</v>
      </c>
      <c r="G552" s="82">
        <f t="shared" si="619"/>
        <v>3.3</v>
      </c>
      <c r="H552" s="82">
        <f t="shared" si="619"/>
        <v>5.492</v>
      </c>
      <c r="I552" s="82">
        <f t="shared" si="619"/>
        <v>0</v>
      </c>
      <c r="J552" s="82">
        <f t="shared" si="619"/>
        <v>0</v>
      </c>
      <c r="K552" s="82">
        <f t="shared" si="619"/>
        <v>0</v>
      </c>
      <c r="L552" s="125">
        <f>SUM(F552:K552)</f>
        <v>13.192</v>
      </c>
      <c r="M552" s="125">
        <f>L552/6</f>
        <v>2.1989999999999998</v>
      </c>
      <c r="N552" s="82">
        <f t="shared" si="620"/>
        <v>0</v>
      </c>
      <c r="O552" s="82">
        <f t="shared" si="620"/>
        <v>5.492</v>
      </c>
      <c r="P552" s="82">
        <f t="shared" si="620"/>
        <v>5.492</v>
      </c>
      <c r="Q552" s="82">
        <f t="shared" si="620"/>
        <v>5.492</v>
      </c>
      <c r="R552" s="82">
        <f t="shared" si="620"/>
        <v>5.492</v>
      </c>
      <c r="S552" s="82">
        <f t="shared" si="620"/>
        <v>5.4880000000000004</v>
      </c>
      <c r="T552" s="125">
        <f>SUM(N552:S552)</f>
        <v>27.456</v>
      </c>
      <c r="U552" s="125">
        <f>T552+L552</f>
        <v>40.648000000000003</v>
      </c>
      <c r="V552" s="349">
        <f>V569+V599</f>
        <v>65.900000000000006</v>
      </c>
      <c r="W552" s="520">
        <f>V552-U552</f>
        <v>25.251999999999999</v>
      </c>
      <c r="X552" s="47"/>
    </row>
    <row r="553" spans="1:28" s="51" customFormat="1" ht="21.8" customHeight="1">
      <c r="A553" s="614"/>
      <c r="B553" s="581"/>
      <c r="C553" s="581"/>
      <c r="D553" s="187" t="str">
        <f>серпень!D476</f>
        <v>тариф, грн.</v>
      </c>
      <c r="E553" s="49"/>
      <c r="F553" s="49">
        <f t="shared" ref="F553:W553" si="621">F554/F552*1000</f>
        <v>167.95500000000001</v>
      </c>
      <c r="G553" s="49">
        <f t="shared" si="621"/>
        <v>167.87899999999999</v>
      </c>
      <c r="H553" s="49">
        <f t="shared" si="621"/>
        <v>169.51900000000001</v>
      </c>
      <c r="I553" s="49" t="e">
        <f t="shared" si="621"/>
        <v>#DIV/0!</v>
      </c>
      <c r="J553" s="49" t="e">
        <f t="shared" si="621"/>
        <v>#DIV/0!</v>
      </c>
      <c r="K553" s="49" t="e">
        <f t="shared" si="621"/>
        <v>#DIV/0!</v>
      </c>
      <c r="L553" s="49">
        <f t="shared" si="621"/>
        <v>168.58699999999999</v>
      </c>
      <c r="M553" s="49">
        <f t="shared" si="621"/>
        <v>168.71299999999999</v>
      </c>
      <c r="N553" s="49" t="e">
        <f t="shared" si="621"/>
        <v>#DIV/0!</v>
      </c>
      <c r="O553" s="49">
        <f t="shared" si="621"/>
        <v>169.51900000000001</v>
      </c>
      <c r="P553" s="49">
        <f t="shared" si="621"/>
        <v>169.51900000000001</v>
      </c>
      <c r="Q553" s="49">
        <f t="shared" si="621"/>
        <v>169.51900000000001</v>
      </c>
      <c r="R553" s="49">
        <f t="shared" si="621"/>
        <v>169.51900000000001</v>
      </c>
      <c r="S553" s="49">
        <f t="shared" si="621"/>
        <v>169.27799999999999</v>
      </c>
      <c r="T553" s="49">
        <f t="shared" si="621"/>
        <v>169.398</v>
      </c>
      <c r="U553" s="49">
        <f t="shared" si="621"/>
        <v>169.13499999999999</v>
      </c>
      <c r="V553" s="49">
        <f t="shared" si="621"/>
        <v>169.499</v>
      </c>
      <c r="W553" s="49">
        <f t="shared" si="621"/>
        <v>170.08600000000001</v>
      </c>
      <c r="X553" s="59"/>
    </row>
    <row r="554" spans="1:28" s="130" customFormat="1" ht="21.8" customHeight="1">
      <c r="A554" s="614"/>
      <c r="B554" s="581"/>
      <c r="C554" s="581"/>
      <c r="D554" s="191" t="str">
        <f>серпень!D477</f>
        <v>сума, тис.грн.</v>
      </c>
      <c r="E554" s="52"/>
      <c r="F554" s="52">
        <f t="shared" ref="F554:K554" si="622">F571+F601</f>
        <v>0.73899999999999999</v>
      </c>
      <c r="G554" s="52">
        <f t="shared" si="622"/>
        <v>0.55400000000000005</v>
      </c>
      <c r="H554" s="52">
        <f t="shared" si="622"/>
        <v>0.93100000000000005</v>
      </c>
      <c r="I554" s="52">
        <f t="shared" si="622"/>
        <v>0</v>
      </c>
      <c r="J554" s="52">
        <f t="shared" si="622"/>
        <v>0</v>
      </c>
      <c r="K554" s="52">
        <f t="shared" si="622"/>
        <v>0</v>
      </c>
      <c r="L554" s="69">
        <f>SUM(F554:K554)</f>
        <v>2.2240000000000002</v>
      </c>
      <c r="M554" s="69">
        <f>L554/6</f>
        <v>0.371</v>
      </c>
      <c r="N554" s="52">
        <f t="shared" ref="N554:S554" si="623">N571+N601</f>
        <v>-2E-3</v>
      </c>
      <c r="O554" s="52">
        <f t="shared" si="623"/>
        <v>0.93100000000000005</v>
      </c>
      <c r="P554" s="52">
        <f t="shared" si="623"/>
        <v>0.93100000000000005</v>
      </c>
      <c r="Q554" s="52">
        <f t="shared" si="623"/>
        <v>0.93100000000000005</v>
      </c>
      <c r="R554" s="52">
        <f t="shared" si="623"/>
        <v>0.93100000000000005</v>
      </c>
      <c r="S554" s="52">
        <f t="shared" si="623"/>
        <v>0.92900000000000005</v>
      </c>
      <c r="T554" s="69">
        <f>SUM(N554:S554)</f>
        <v>4.6509999999999998</v>
      </c>
      <c r="U554" s="69">
        <f>T554+L554</f>
        <v>6.875</v>
      </c>
      <c r="V554" s="69">
        <f>V571+V601</f>
        <v>11.17</v>
      </c>
      <c r="W554" s="52">
        <f>V554-U554</f>
        <v>4.2949999999999999</v>
      </c>
    </row>
    <row r="555" spans="1:28" s="130" customFormat="1" ht="21.8" customHeight="1">
      <c r="A555" s="614"/>
      <c r="B555" s="581"/>
      <c r="C555" s="581"/>
      <c r="D555" s="174" t="str">
        <f>серпень!D478</f>
        <v>абоненська плата, тис.грн.</v>
      </c>
      <c r="E555" s="52"/>
      <c r="F555" s="52">
        <f>F586+F616</f>
        <v>1E-3</v>
      </c>
      <c r="G555" s="52">
        <f t="shared" ref="G555:K555" si="624">G586+G616</f>
        <v>1E-3</v>
      </c>
      <c r="H555" s="52">
        <f t="shared" si="624"/>
        <v>2E-3</v>
      </c>
      <c r="I555" s="52">
        <f t="shared" si="624"/>
        <v>2E-3</v>
      </c>
      <c r="J555" s="52">
        <f t="shared" si="624"/>
        <v>2E-3</v>
      </c>
      <c r="K555" s="52">
        <f t="shared" si="624"/>
        <v>0</v>
      </c>
      <c r="L555" s="69">
        <f t="shared" ref="L555:L556" si="625">SUM(F555:K555)</f>
        <v>8.0000000000000002E-3</v>
      </c>
      <c r="M555" s="69">
        <f t="shared" ref="M555:M556" si="626">L555/6</f>
        <v>1E-3</v>
      </c>
      <c r="N555" s="52">
        <f>N586+N616</f>
        <v>0</v>
      </c>
      <c r="O555" s="52">
        <f t="shared" ref="O555:S555" si="627">O586+O616</f>
        <v>0</v>
      </c>
      <c r="P555" s="52">
        <f t="shared" si="627"/>
        <v>2E-3</v>
      </c>
      <c r="Q555" s="52">
        <f t="shared" si="627"/>
        <v>2E-3</v>
      </c>
      <c r="R555" s="52">
        <f t="shared" si="627"/>
        <v>2E-3</v>
      </c>
      <c r="S555" s="52">
        <f t="shared" si="627"/>
        <v>2E-3</v>
      </c>
      <c r="T555" s="69">
        <f t="shared" ref="T555:T556" si="628">SUM(N555:S555)</f>
        <v>8.0000000000000002E-3</v>
      </c>
      <c r="U555" s="69">
        <f t="shared" ref="U555:U556" si="629">T555+L555</f>
        <v>1.6E-2</v>
      </c>
      <c r="V555" s="69">
        <f t="shared" ref="V555" si="630">V586+V616</f>
        <v>2.5000000000000001E-2</v>
      </c>
      <c r="W555" s="52">
        <f t="shared" ref="W555:W556" si="631">V555-U555</f>
        <v>8.9999999999999993E-3</v>
      </c>
    </row>
    <row r="556" spans="1:28" s="130" customFormat="1" ht="21.8" customHeight="1">
      <c r="A556" s="614"/>
      <c r="B556" s="581"/>
      <c r="C556" s="581"/>
      <c r="D556" s="174" t="str">
        <f>серпень!D479</f>
        <v>разом сума тис. грн+абонплата</v>
      </c>
      <c r="E556" s="52"/>
      <c r="F556" s="69">
        <f>F554+F555</f>
        <v>0.74</v>
      </c>
      <c r="G556" s="69">
        <f t="shared" ref="G556:K556" si="632">G554+G555</f>
        <v>0.55500000000000005</v>
      </c>
      <c r="H556" s="69">
        <f t="shared" si="632"/>
        <v>0.93300000000000005</v>
      </c>
      <c r="I556" s="69">
        <f t="shared" si="632"/>
        <v>2E-3</v>
      </c>
      <c r="J556" s="69">
        <f t="shared" si="632"/>
        <v>2E-3</v>
      </c>
      <c r="K556" s="69">
        <f t="shared" si="632"/>
        <v>0</v>
      </c>
      <c r="L556" s="69">
        <f t="shared" si="625"/>
        <v>2.2320000000000002</v>
      </c>
      <c r="M556" s="69">
        <f t="shared" si="626"/>
        <v>0.372</v>
      </c>
      <c r="N556" s="69">
        <f>N554+N555</f>
        <v>-2E-3</v>
      </c>
      <c r="O556" s="69">
        <f t="shared" ref="O556" si="633">O554+O555</f>
        <v>0.93100000000000005</v>
      </c>
      <c r="P556" s="69">
        <f t="shared" ref="P556" si="634">P554+P555</f>
        <v>0.93300000000000005</v>
      </c>
      <c r="Q556" s="69">
        <f t="shared" ref="Q556" si="635">Q554+Q555</f>
        <v>0.93300000000000005</v>
      </c>
      <c r="R556" s="69">
        <f t="shared" ref="R556" si="636">R554+R555</f>
        <v>0.93300000000000005</v>
      </c>
      <c r="S556" s="69">
        <f t="shared" ref="S556" si="637">S554+S555</f>
        <v>0.93100000000000005</v>
      </c>
      <c r="T556" s="69">
        <f t="shared" si="628"/>
        <v>4.6589999999999998</v>
      </c>
      <c r="U556" s="69">
        <f t="shared" si="629"/>
        <v>6.891</v>
      </c>
      <c r="V556" s="69">
        <f t="shared" ref="V556" si="638">V554+V555</f>
        <v>11.195</v>
      </c>
      <c r="W556" s="69">
        <f t="shared" si="631"/>
        <v>4.3040000000000003</v>
      </c>
    </row>
    <row r="557" spans="1:28" s="130" customFormat="1" ht="21.8" customHeight="1">
      <c r="A557" s="614"/>
      <c r="B557" s="581"/>
      <c r="C557" s="581"/>
      <c r="D557" s="174" t="str">
        <f>серпень!D480</f>
        <v>дотація</v>
      </c>
      <c r="E557" s="56"/>
      <c r="F557" s="52">
        <f t="shared" ref="F557:K559" si="639">F572+F602</f>
        <v>0</v>
      </c>
      <c r="G557" s="52">
        <f t="shared" si="639"/>
        <v>0</v>
      </c>
      <c r="H557" s="52">
        <f t="shared" si="639"/>
        <v>0</v>
      </c>
      <c r="I557" s="52">
        <f t="shared" si="639"/>
        <v>0</v>
      </c>
      <c r="J557" s="52">
        <f t="shared" si="639"/>
        <v>0</v>
      </c>
      <c r="K557" s="52">
        <f t="shared" si="639"/>
        <v>0</v>
      </c>
      <c r="L557" s="69">
        <f>SUM(F557:K557)</f>
        <v>0</v>
      </c>
      <c r="M557" s="69">
        <f>L557/6</f>
        <v>0</v>
      </c>
      <c r="N557" s="52">
        <f t="shared" ref="N557:S559" si="640">N572+N602</f>
        <v>0</v>
      </c>
      <c r="O557" s="52">
        <f t="shared" si="640"/>
        <v>0</v>
      </c>
      <c r="P557" s="52">
        <f t="shared" si="640"/>
        <v>0</v>
      </c>
      <c r="Q557" s="52">
        <f t="shared" si="640"/>
        <v>0</v>
      </c>
      <c r="R557" s="52">
        <f t="shared" si="640"/>
        <v>0</v>
      </c>
      <c r="S557" s="52">
        <f t="shared" si="640"/>
        <v>0</v>
      </c>
      <c r="T557" s="69">
        <f>SUM(N557:S557)</f>
        <v>0</v>
      </c>
      <c r="U557" s="69">
        <f>T557+L557</f>
        <v>0</v>
      </c>
      <c r="V557" s="69">
        <f t="shared" ref="V557" si="641">V572+V602</f>
        <v>0</v>
      </c>
      <c r="W557" s="52">
        <f>V557-U557</f>
        <v>0</v>
      </c>
    </row>
    <row r="558" spans="1:28" s="130" customFormat="1" ht="21.8" customHeight="1">
      <c r="A558" s="614"/>
      <c r="B558" s="581"/>
      <c r="C558" s="581"/>
      <c r="D558" s="174" t="str">
        <f>серпень!D481</f>
        <v>місцевий (план), тис.грн</v>
      </c>
      <c r="E558" s="56"/>
      <c r="F558" s="52">
        <f>F573+F603+F588+F618</f>
        <v>0.93400000000000005</v>
      </c>
      <c r="G558" s="52">
        <f t="shared" ref="G558:K558" si="642">G573+G603+G588+G618</f>
        <v>0.93300000000000005</v>
      </c>
      <c r="H558" s="52">
        <f t="shared" si="642"/>
        <v>0.97499999999999998</v>
      </c>
      <c r="I558" s="52">
        <f t="shared" si="642"/>
        <v>0.93300000000000005</v>
      </c>
      <c r="J558" s="52">
        <f t="shared" si="642"/>
        <v>0.89100000000000001</v>
      </c>
      <c r="K558" s="52">
        <f t="shared" si="642"/>
        <v>0.93300000000000005</v>
      </c>
      <c r="L558" s="69">
        <f>SUM(F558:K558)</f>
        <v>5.5990000000000002</v>
      </c>
      <c r="M558" s="69">
        <f>L558/6</f>
        <v>0.93300000000000005</v>
      </c>
      <c r="N558" s="52">
        <f>N573+N603+N588+N618</f>
        <v>0.93300000000000005</v>
      </c>
      <c r="O558" s="52">
        <f t="shared" ref="O558:S558" si="643">O573+O603+O588+O618</f>
        <v>7.5999999999999998E-2</v>
      </c>
      <c r="P558" s="52">
        <f t="shared" si="643"/>
        <v>0.93300000000000005</v>
      </c>
      <c r="Q558" s="52">
        <f t="shared" si="643"/>
        <v>1.79</v>
      </c>
      <c r="R558" s="52">
        <f t="shared" si="643"/>
        <v>0.93300000000000005</v>
      </c>
      <c r="S558" s="52">
        <f t="shared" si="643"/>
        <v>0.93100000000000005</v>
      </c>
      <c r="T558" s="69">
        <f>SUM(N558:S558)</f>
        <v>5.5960000000000001</v>
      </c>
      <c r="U558" s="69">
        <f>T558+L558</f>
        <v>11.195</v>
      </c>
      <c r="V558" s="69">
        <f t="shared" ref="V558" si="644">V573+V603+V588+V618</f>
        <v>11.195</v>
      </c>
      <c r="W558" s="52">
        <f>V558-U558</f>
        <v>0</v>
      </c>
    </row>
    <row r="559" spans="1:28" s="48" customFormat="1" ht="21.8" customHeight="1">
      <c r="A559" s="614"/>
      <c r="B559" s="581"/>
      <c r="C559" s="581"/>
      <c r="D559" s="178" t="str">
        <f>серпень!D482</f>
        <v>касові нат.п-ки 2025</v>
      </c>
      <c r="E559" s="11"/>
      <c r="F559" s="349">
        <f t="shared" si="639"/>
        <v>0</v>
      </c>
      <c r="G559" s="349">
        <f t="shared" si="639"/>
        <v>0</v>
      </c>
      <c r="H559" s="349">
        <f t="shared" si="639"/>
        <v>7.7</v>
      </c>
      <c r="I559" s="349">
        <f t="shared" si="639"/>
        <v>0</v>
      </c>
      <c r="J559" s="349">
        <f t="shared" si="639"/>
        <v>0</v>
      </c>
      <c r="K559" s="349">
        <f t="shared" si="639"/>
        <v>0</v>
      </c>
      <c r="L559" s="125">
        <f>SUM(F559:K559)</f>
        <v>7.7</v>
      </c>
      <c r="M559" s="125">
        <f>L559/6</f>
        <v>1.2829999999999999</v>
      </c>
      <c r="N559" s="349">
        <f t="shared" si="640"/>
        <v>0</v>
      </c>
      <c r="O559" s="349">
        <f t="shared" si="640"/>
        <v>0</v>
      </c>
      <c r="P559" s="349">
        <f t="shared" si="640"/>
        <v>16.475999999999999</v>
      </c>
      <c r="Q559" s="349">
        <f t="shared" si="640"/>
        <v>5.492</v>
      </c>
      <c r="R559" s="349">
        <f t="shared" si="640"/>
        <v>5.492</v>
      </c>
      <c r="S559" s="349">
        <f t="shared" si="640"/>
        <v>5.4880000000000004</v>
      </c>
      <c r="T559" s="125">
        <f>SUM(N559:S559)</f>
        <v>32.948</v>
      </c>
      <c r="U559" s="125">
        <f>T559+L559</f>
        <v>40.648000000000003</v>
      </c>
      <c r="V559" s="520">
        <f>V574+V604</f>
        <v>65.900000000000006</v>
      </c>
      <c r="W559" s="520">
        <f>V559-U559</f>
        <v>25.251999999999999</v>
      </c>
      <c r="X559" s="47">
        <f>U556-U561</f>
        <v>0</v>
      </c>
    </row>
    <row r="560" spans="1:28" s="51" customFormat="1" ht="21.8" customHeight="1">
      <c r="A560" s="614"/>
      <c r="B560" s="581"/>
      <c r="C560" s="581"/>
      <c r="D560" s="187" t="str">
        <f>серпень!D483</f>
        <v>тариф, грн.</v>
      </c>
      <c r="E560" s="49" t="e">
        <f t="shared" ref="E560:W560" si="645">E561/E559*1000</f>
        <v>#DIV/0!</v>
      </c>
      <c r="F560" s="49" t="e">
        <f t="shared" si="645"/>
        <v>#DIV/0!</v>
      </c>
      <c r="G560" s="49" t="e">
        <f t="shared" si="645"/>
        <v>#DIV/0!</v>
      </c>
      <c r="H560" s="49">
        <f t="shared" si="645"/>
        <v>168.31200000000001</v>
      </c>
      <c r="I560" s="49" t="e">
        <f t="shared" si="645"/>
        <v>#DIV/0!</v>
      </c>
      <c r="J560" s="49" t="e">
        <f t="shared" si="645"/>
        <v>#DIV/0!</v>
      </c>
      <c r="K560" s="49" t="e">
        <f t="shared" si="645"/>
        <v>#DIV/0!</v>
      </c>
      <c r="L560" s="49">
        <f t="shared" si="645"/>
        <v>168.83099999999999</v>
      </c>
      <c r="M560" s="49">
        <f t="shared" si="645"/>
        <v>169.13499999999999</v>
      </c>
      <c r="N560" s="49" t="e">
        <f t="shared" si="645"/>
        <v>#DIV/0!</v>
      </c>
      <c r="O560" s="49" t="e">
        <f t="shared" si="645"/>
        <v>#DIV/0!</v>
      </c>
      <c r="P560" s="49">
        <f t="shared" si="645"/>
        <v>169.88300000000001</v>
      </c>
      <c r="Q560" s="49">
        <f t="shared" si="645"/>
        <v>169.88300000000001</v>
      </c>
      <c r="R560" s="49">
        <f t="shared" si="645"/>
        <v>169.88300000000001</v>
      </c>
      <c r="S560" s="49">
        <f t="shared" si="645"/>
        <v>168.732</v>
      </c>
      <c r="T560" s="49">
        <f t="shared" si="645"/>
        <v>169.69200000000001</v>
      </c>
      <c r="U560" s="49">
        <f t="shared" si="645"/>
        <v>169.529</v>
      </c>
      <c r="V560" s="49">
        <f t="shared" si="645"/>
        <v>169.87899999999999</v>
      </c>
      <c r="W560" s="49">
        <f t="shared" si="645"/>
        <v>170.44200000000001</v>
      </c>
      <c r="X560" s="59"/>
    </row>
    <row r="561" spans="1:28" s="126" customFormat="1" ht="21.8" customHeight="1">
      <c r="A561" s="614"/>
      <c r="B561" s="581"/>
      <c r="C561" s="581"/>
      <c r="D561" s="198" t="str">
        <f>серпень!D484</f>
        <v>касові видатки, тис.грн.</v>
      </c>
      <c r="E561" s="71"/>
      <c r="F561" s="61">
        <f>F576+F606+F591+F621</f>
        <v>0</v>
      </c>
      <c r="G561" s="61">
        <f t="shared" ref="G561:K561" si="646">G576+G606+G591+G621</f>
        <v>0</v>
      </c>
      <c r="H561" s="61">
        <f t="shared" si="646"/>
        <v>1.296</v>
      </c>
      <c r="I561" s="61">
        <f t="shared" si="646"/>
        <v>2E-3</v>
      </c>
      <c r="J561" s="61">
        <f t="shared" si="646"/>
        <v>2E-3</v>
      </c>
      <c r="K561" s="61">
        <f t="shared" si="646"/>
        <v>0</v>
      </c>
      <c r="L561" s="61">
        <f>SUM(F561:K561)</f>
        <v>1.3</v>
      </c>
      <c r="M561" s="61">
        <f>L561/6</f>
        <v>0.217</v>
      </c>
      <c r="N561" s="61">
        <f>N576+N606+N591+N621</f>
        <v>0</v>
      </c>
      <c r="O561" s="61">
        <f t="shared" ref="O561:S561" si="647">O576+O606+O591+O621</f>
        <v>0</v>
      </c>
      <c r="P561" s="61">
        <f t="shared" si="647"/>
        <v>2.7989999999999999</v>
      </c>
      <c r="Q561" s="61">
        <f t="shared" si="647"/>
        <v>0.93300000000000005</v>
      </c>
      <c r="R561" s="61">
        <f t="shared" si="647"/>
        <v>0.93300000000000005</v>
      </c>
      <c r="S561" s="61">
        <f t="shared" si="647"/>
        <v>0.92600000000000005</v>
      </c>
      <c r="T561" s="61">
        <f>SUM(N561:S561)</f>
        <v>5.5910000000000002</v>
      </c>
      <c r="U561" s="61">
        <f>T561+L561</f>
        <v>6.891</v>
      </c>
      <c r="V561" s="61">
        <f t="shared" ref="V561" si="648">V576+V606+V591+V621</f>
        <v>11.195</v>
      </c>
      <c r="W561" s="72">
        <f>V561-U561</f>
        <v>4.3040000000000003</v>
      </c>
      <c r="X561" s="63">
        <f>U556-U561</f>
        <v>0</v>
      </c>
    </row>
    <row r="562" spans="1:28" s="126" customFormat="1" ht="21.8" customHeight="1">
      <c r="A562" s="614"/>
      <c r="B562" s="581"/>
      <c r="C562" s="581"/>
      <c r="D562" s="201" t="str">
        <f>серпень!D485</f>
        <v>дотація</v>
      </c>
      <c r="E562" s="71"/>
      <c r="F562" s="61">
        <f t="shared" ref="F562:K566" si="649">F577+F607</f>
        <v>0</v>
      </c>
      <c r="G562" s="61">
        <f t="shared" ref="G562:K562" si="650">G577+G607</f>
        <v>0</v>
      </c>
      <c r="H562" s="61">
        <f t="shared" si="650"/>
        <v>0</v>
      </c>
      <c r="I562" s="61">
        <f t="shared" si="650"/>
        <v>0</v>
      </c>
      <c r="J562" s="61">
        <f t="shared" si="650"/>
        <v>0</v>
      </c>
      <c r="K562" s="61">
        <f t="shared" si="650"/>
        <v>0</v>
      </c>
      <c r="L562" s="61">
        <f>SUM(F562:K562)</f>
        <v>0</v>
      </c>
      <c r="M562" s="61">
        <f>L562/6</f>
        <v>0</v>
      </c>
      <c r="N562" s="61">
        <f t="shared" ref="N562:S562" si="651">N577+N607</f>
        <v>0</v>
      </c>
      <c r="O562" s="61">
        <f t="shared" si="651"/>
        <v>0</v>
      </c>
      <c r="P562" s="61">
        <f t="shared" si="651"/>
        <v>0</v>
      </c>
      <c r="Q562" s="61">
        <f t="shared" si="651"/>
        <v>0</v>
      </c>
      <c r="R562" s="61">
        <f t="shared" si="651"/>
        <v>0</v>
      </c>
      <c r="S562" s="61">
        <f t="shared" si="651"/>
        <v>0</v>
      </c>
      <c r="T562" s="61">
        <f>SUM(N562:S562)</f>
        <v>0</v>
      </c>
      <c r="U562" s="61">
        <f>T562+L562</f>
        <v>0</v>
      </c>
      <c r="V562" s="61">
        <f t="shared" ref="V562" si="652">V577+V607</f>
        <v>0</v>
      </c>
      <c r="W562" s="72">
        <f>V562-U562</f>
        <v>0</v>
      </c>
      <c r="X562" s="63">
        <f>U557-U562</f>
        <v>0</v>
      </c>
    </row>
    <row r="563" spans="1:28" s="126" customFormat="1" ht="21.8" customHeight="1">
      <c r="A563" s="614"/>
      <c r="B563" s="581"/>
      <c r="C563" s="581"/>
      <c r="D563" s="201" t="str">
        <f>серпень!D486</f>
        <v xml:space="preserve">місцевий </v>
      </c>
      <c r="E563" s="71"/>
      <c r="F563" s="61">
        <f>F578+F608+F593+F623</f>
        <v>0</v>
      </c>
      <c r="G563" s="61">
        <f t="shared" ref="G563:K563" si="653">G578+G608+G593+G623</f>
        <v>0</v>
      </c>
      <c r="H563" s="61">
        <f t="shared" si="653"/>
        <v>1.296</v>
      </c>
      <c r="I563" s="61">
        <f t="shared" si="653"/>
        <v>2E-3</v>
      </c>
      <c r="J563" s="61">
        <f t="shared" si="653"/>
        <v>2E-3</v>
      </c>
      <c r="K563" s="61">
        <f t="shared" si="653"/>
        <v>0</v>
      </c>
      <c r="L563" s="61">
        <f>SUM(F563:K563)</f>
        <v>1.3</v>
      </c>
      <c r="M563" s="61">
        <f>L563/6</f>
        <v>0.217</v>
      </c>
      <c r="N563" s="61">
        <f>N578+N608+N593+N623</f>
        <v>0</v>
      </c>
      <c r="O563" s="61">
        <f t="shared" ref="O563:S563" si="654">O578+O608+O593+O623</f>
        <v>0</v>
      </c>
      <c r="P563" s="61">
        <f t="shared" si="654"/>
        <v>2.7989999999999999</v>
      </c>
      <c r="Q563" s="61">
        <f t="shared" si="654"/>
        <v>0.93300000000000005</v>
      </c>
      <c r="R563" s="61">
        <f t="shared" si="654"/>
        <v>0.93300000000000005</v>
      </c>
      <c r="S563" s="61">
        <f t="shared" si="654"/>
        <v>0.92600000000000005</v>
      </c>
      <c r="T563" s="61">
        <f>SUM(N563:S563)</f>
        <v>5.5910000000000002</v>
      </c>
      <c r="U563" s="61">
        <f>T563+L563</f>
        <v>6.891</v>
      </c>
      <c r="V563" s="61">
        <f t="shared" ref="V563" si="655">V578+V608+V593+V623</f>
        <v>11.195</v>
      </c>
      <c r="W563" s="72">
        <f>V563-U563</f>
        <v>4.3040000000000003</v>
      </c>
      <c r="X563" s="63">
        <f>U558-U563</f>
        <v>4.3040000000000003</v>
      </c>
    </row>
    <row r="564" spans="1:28" s="43" customFormat="1" ht="21.8" customHeight="1">
      <c r="A564" s="614"/>
      <c r="B564" s="581"/>
      <c r="C564" s="581"/>
      <c r="D564" s="202" t="str">
        <f>серпень!D487</f>
        <v>план</v>
      </c>
      <c r="E564" s="42"/>
      <c r="F564" s="42">
        <f t="shared" si="649"/>
        <v>0.93100000000000005</v>
      </c>
      <c r="G564" s="42">
        <f t="shared" si="649"/>
        <v>0.93100000000000005</v>
      </c>
      <c r="H564" s="42">
        <f t="shared" si="649"/>
        <v>0.97299999999999998</v>
      </c>
      <c r="I564" s="42">
        <f t="shared" si="649"/>
        <v>0.93100000000000005</v>
      </c>
      <c r="J564" s="42">
        <f t="shared" si="649"/>
        <v>0.88900000000000001</v>
      </c>
      <c r="K564" s="42">
        <f t="shared" si="649"/>
        <v>0.93100000000000005</v>
      </c>
      <c r="L564" s="42">
        <f>SUM(F564:K564)</f>
        <v>5.5860000000000003</v>
      </c>
      <c r="M564" s="42">
        <f>L564/6</f>
        <v>0.93100000000000005</v>
      </c>
      <c r="N564" s="42">
        <f t="shared" ref="N564:S566" si="656">N579+N609</f>
        <v>0.93100000000000005</v>
      </c>
      <c r="O564" s="42">
        <f t="shared" si="656"/>
        <v>7.3999999999999996E-2</v>
      </c>
      <c r="P564" s="42">
        <f t="shared" si="656"/>
        <v>0.93100000000000005</v>
      </c>
      <c r="Q564" s="42">
        <f t="shared" si="656"/>
        <v>1.788</v>
      </c>
      <c r="R564" s="42">
        <f t="shared" si="656"/>
        <v>0.93100000000000005</v>
      </c>
      <c r="S564" s="42">
        <f t="shared" si="656"/>
        <v>0.92900000000000005</v>
      </c>
      <c r="T564" s="42">
        <f>SUM(N564:S564)</f>
        <v>5.5839999999999996</v>
      </c>
      <c r="U564" s="42">
        <f>T564+L564</f>
        <v>11.17</v>
      </c>
      <c r="V564" s="42">
        <f>V579+V609</f>
        <v>11.17</v>
      </c>
      <c r="W564" s="42">
        <f>V564-U564</f>
        <v>0</v>
      </c>
    </row>
    <row r="565" spans="1:28" s="43" customFormat="1" ht="21.8" customHeight="1">
      <c r="A565" s="614"/>
      <c r="B565" s="581"/>
      <c r="C565" s="581"/>
      <c r="D565" s="202" t="str">
        <f>серпень!D488</f>
        <v xml:space="preserve">відхилення </v>
      </c>
      <c r="E565" s="42"/>
      <c r="F565" s="42">
        <f t="shared" si="649"/>
        <v>-0.93100000000000005</v>
      </c>
      <c r="G565" s="42">
        <f t="shared" si="649"/>
        <v>-0.93100000000000005</v>
      </c>
      <c r="H565" s="42">
        <f t="shared" si="649"/>
        <v>0.32100000000000001</v>
      </c>
      <c r="I565" s="42">
        <f t="shared" si="649"/>
        <v>-0.93100000000000005</v>
      </c>
      <c r="J565" s="42">
        <f t="shared" si="649"/>
        <v>-0.88900000000000001</v>
      </c>
      <c r="K565" s="42">
        <f t="shared" si="649"/>
        <v>-0.93100000000000005</v>
      </c>
      <c r="L565" s="42"/>
      <c r="M565" s="42"/>
      <c r="N565" s="42">
        <f t="shared" si="656"/>
        <v>-0.93100000000000005</v>
      </c>
      <c r="O565" s="42">
        <f t="shared" si="656"/>
        <v>-7.3999999999999996E-2</v>
      </c>
      <c r="P565" s="42">
        <f t="shared" si="656"/>
        <v>1.8660000000000001</v>
      </c>
      <c r="Q565" s="42">
        <f t="shared" si="656"/>
        <v>-0.85699999999999998</v>
      </c>
      <c r="R565" s="42">
        <f t="shared" si="656"/>
        <v>0</v>
      </c>
      <c r="S565" s="42">
        <f t="shared" si="656"/>
        <v>-7.0000000000000001E-3</v>
      </c>
      <c r="T565" s="42"/>
      <c r="U565" s="42"/>
      <c r="V565" s="42"/>
      <c r="W565" s="42"/>
    </row>
    <row r="566" spans="1:28" s="43" customFormat="1" ht="21.8" customHeight="1">
      <c r="A566" s="614"/>
      <c r="B566" s="581"/>
      <c r="C566" s="581"/>
      <c r="D566" s="202" t="str">
        <f>серпень!D489</f>
        <v>відхилення з наростаючим</v>
      </c>
      <c r="E566" s="42"/>
      <c r="F566" s="42">
        <f t="shared" si="649"/>
        <v>-0.93100000000000005</v>
      </c>
      <c r="G566" s="42">
        <f t="shared" si="649"/>
        <v>-1.8620000000000001</v>
      </c>
      <c r="H566" s="42">
        <f t="shared" si="649"/>
        <v>-1.5409999999999999</v>
      </c>
      <c r="I566" s="42">
        <f t="shared" si="649"/>
        <v>-2.472</v>
      </c>
      <c r="J566" s="42">
        <f t="shared" si="649"/>
        <v>-3.3610000000000002</v>
      </c>
      <c r="K566" s="42">
        <f t="shared" si="649"/>
        <v>-4.2919999999999998</v>
      </c>
      <c r="L566" s="42"/>
      <c r="M566" s="42"/>
      <c r="N566" s="42">
        <f t="shared" si="656"/>
        <v>-5.2229999999999999</v>
      </c>
      <c r="O566" s="42">
        <f t="shared" si="656"/>
        <v>-5.2969999999999997</v>
      </c>
      <c r="P566" s="42">
        <f t="shared" si="656"/>
        <v>-3.431</v>
      </c>
      <c r="Q566" s="42">
        <f t="shared" si="656"/>
        <v>-4.2880000000000003</v>
      </c>
      <c r="R566" s="42">
        <f t="shared" si="656"/>
        <v>-4.2880000000000003</v>
      </c>
      <c r="S566" s="42">
        <f t="shared" si="656"/>
        <v>-4.2949999999999999</v>
      </c>
      <c r="T566" s="42"/>
      <c r="U566" s="42"/>
      <c r="V566" s="42"/>
      <c r="W566" s="42"/>
    </row>
    <row r="567" spans="1:28" s="55" customFormat="1" ht="21.8" customHeight="1">
      <c r="A567" s="614"/>
      <c r="B567" s="576" t="s">
        <v>63</v>
      </c>
      <c r="C567" s="577"/>
      <c r="D567" s="178" t="str">
        <f>серпень!D490</f>
        <v>факт. нат.п-ки 2023</v>
      </c>
      <c r="E567" s="11"/>
      <c r="F567" s="82">
        <v>4.8</v>
      </c>
      <c r="G567" s="82">
        <v>4.8</v>
      </c>
      <c r="H567" s="82">
        <v>4.8</v>
      </c>
      <c r="I567" s="82">
        <v>4.8</v>
      </c>
      <c r="J567" s="82">
        <v>5.3</v>
      </c>
      <c r="K567" s="82">
        <v>4.2</v>
      </c>
      <c r="L567" s="125">
        <f>SUM(F567:K567)</f>
        <v>28.7</v>
      </c>
      <c r="M567" s="125">
        <f>L567/6</f>
        <v>4.7830000000000004</v>
      </c>
      <c r="N567" s="82">
        <v>6.4</v>
      </c>
      <c r="O567" s="82">
        <v>4.8</v>
      </c>
      <c r="P567" s="82">
        <v>4.8</v>
      </c>
      <c r="Q567" s="82">
        <v>4.8</v>
      </c>
      <c r="R567" s="82">
        <v>4.8</v>
      </c>
      <c r="S567" s="82">
        <v>4.2</v>
      </c>
      <c r="T567" s="125">
        <f>SUM(N567:S567)</f>
        <v>29.8</v>
      </c>
      <c r="U567" s="125">
        <f>T567+L567</f>
        <v>58.5</v>
      </c>
      <c r="V567" s="67"/>
      <c r="W567" s="38"/>
      <c r="X567" s="47"/>
      <c r="Y567" s="48"/>
      <c r="Z567" s="48"/>
      <c r="AA567" s="48"/>
      <c r="AB567" s="48"/>
    </row>
    <row r="568" spans="1:28" s="48" customFormat="1" ht="21.8" customHeight="1">
      <c r="A568" s="614"/>
      <c r="B568" s="576"/>
      <c r="C568" s="577"/>
      <c r="D568" s="178" t="str">
        <f>серпень!D491</f>
        <v>факт. нат.п-ки 2024</v>
      </c>
      <c r="E568" s="11"/>
      <c r="F568" s="82">
        <v>4.8</v>
      </c>
      <c r="G568" s="82">
        <v>4.8</v>
      </c>
      <c r="H568" s="82">
        <v>4.8</v>
      </c>
      <c r="I568" s="82">
        <v>4.8</v>
      </c>
      <c r="J568" s="82">
        <v>4.8</v>
      </c>
      <c r="K568" s="82">
        <v>0</v>
      </c>
      <c r="L568" s="125">
        <f>SUM(F568:K568)</f>
        <v>24</v>
      </c>
      <c r="M568" s="125">
        <f>L568/6</f>
        <v>4</v>
      </c>
      <c r="N568" s="349">
        <v>4.8</v>
      </c>
      <c r="O568" s="349">
        <v>4.8</v>
      </c>
      <c r="P568" s="349">
        <v>4.8</v>
      </c>
      <c r="Q568" s="349">
        <v>4.8</v>
      </c>
      <c r="R568" s="349">
        <v>4.8</v>
      </c>
      <c r="S568" s="349">
        <v>4.8</v>
      </c>
      <c r="T568" s="125">
        <f>SUM(N568:S568)</f>
        <v>28.8</v>
      </c>
      <c r="U568" s="125">
        <f>T568+L568</f>
        <v>52.8</v>
      </c>
      <c r="V568" s="67"/>
      <c r="W568" s="38"/>
      <c r="X568" s="47"/>
    </row>
    <row r="569" spans="1:28" s="48" customFormat="1" ht="21.8" customHeight="1">
      <c r="A569" s="614"/>
      <c r="B569" s="576"/>
      <c r="C569" s="577"/>
      <c r="D569" s="178" t="str">
        <f>серпень!D492</f>
        <v>факт. нат.п-ки 2025</v>
      </c>
      <c r="E569" s="11"/>
      <c r="F569" s="82">
        <v>4.4000000000000004</v>
      </c>
      <c r="G569" s="82">
        <v>3.3</v>
      </c>
      <c r="H569" s="82">
        <v>5.492</v>
      </c>
      <c r="I569" s="82">
        <v>0</v>
      </c>
      <c r="J569" s="82">
        <v>0</v>
      </c>
      <c r="K569" s="82">
        <v>0</v>
      </c>
      <c r="L569" s="125">
        <f>SUM(F569:K569)</f>
        <v>13.192</v>
      </c>
      <c r="M569" s="125">
        <f>L569/6</f>
        <v>2.1989999999999998</v>
      </c>
      <c r="N569" s="82">
        <v>0</v>
      </c>
      <c r="O569" s="82">
        <v>5.492</v>
      </c>
      <c r="P569" s="82">
        <v>5.492</v>
      </c>
      <c r="Q569" s="82">
        <v>5.492</v>
      </c>
      <c r="R569" s="82">
        <v>5.492</v>
      </c>
      <c r="S569" s="349">
        <f>5.492-0.004</f>
        <v>5.4880000000000004</v>
      </c>
      <c r="T569" s="125">
        <f>SUM(N569:S569)</f>
        <v>27.456</v>
      </c>
      <c r="U569" s="125">
        <f>T569+L569</f>
        <v>40.648000000000003</v>
      </c>
      <c r="V569" s="349">
        <v>65.900000000000006</v>
      </c>
      <c r="W569" s="520">
        <f>V569-U569</f>
        <v>25.251999999999999</v>
      </c>
      <c r="X569" s="47"/>
    </row>
    <row r="570" spans="1:28" s="51" customFormat="1" ht="21.8" customHeight="1">
      <c r="A570" s="614"/>
      <c r="B570" s="576"/>
      <c r="C570" s="577"/>
      <c r="D570" s="187" t="str">
        <f>серпень!D493</f>
        <v>тариф, грн.</v>
      </c>
      <c r="E570" s="49" t="e">
        <f>E571/E569*1000</f>
        <v>#DIV/0!</v>
      </c>
      <c r="F570" s="49">
        <f t="shared" ref="F570:J570" si="657">F571/F569*1000</f>
        <v>167.95500000000001</v>
      </c>
      <c r="G570" s="49">
        <f t="shared" si="657"/>
        <v>167.87899999999999</v>
      </c>
      <c r="H570" s="49">
        <f t="shared" si="657"/>
        <v>169.51900000000001</v>
      </c>
      <c r="I570" s="49" t="e">
        <f t="shared" si="657"/>
        <v>#DIV/0!</v>
      </c>
      <c r="J570" s="49" t="e">
        <f t="shared" si="657"/>
        <v>#DIV/0!</v>
      </c>
      <c r="K570" s="49">
        <v>169.88</v>
      </c>
      <c r="L570" s="68">
        <f>L571/L569*1000</f>
        <v>168.58699999999999</v>
      </c>
      <c r="M570" s="68">
        <f>M571/M569*1000</f>
        <v>168.71299999999999</v>
      </c>
      <c r="N570" s="49">
        <v>169.88</v>
      </c>
      <c r="O570" s="49">
        <v>169.88</v>
      </c>
      <c r="P570" s="49">
        <v>169.88</v>
      </c>
      <c r="Q570" s="49">
        <v>169.88</v>
      </c>
      <c r="R570" s="49">
        <v>169.88</v>
      </c>
      <c r="S570" s="49">
        <v>169.88</v>
      </c>
      <c r="T570" s="68">
        <f>T571/T569*1000</f>
        <v>169.398</v>
      </c>
      <c r="U570" s="68">
        <f>U571/U569*1000</f>
        <v>169.13499999999999</v>
      </c>
      <c r="V570" s="68">
        <f>V571/V569*1000</f>
        <v>169.499</v>
      </c>
      <c r="W570" s="14">
        <f>W571/W569*1000</f>
        <v>170.08600000000001</v>
      </c>
      <c r="X570" s="59"/>
    </row>
    <row r="571" spans="1:28" s="130" customFormat="1" ht="21.8" customHeight="1">
      <c r="A571" s="614"/>
      <c r="B571" s="576"/>
      <c r="C571" s="577"/>
      <c r="D571" s="191" t="str">
        <f>серпень!D494</f>
        <v>сума, тис.грн.</v>
      </c>
      <c r="E571" s="52"/>
      <c r="F571" s="52">
        <v>0.73899999999999999</v>
      </c>
      <c r="G571" s="52">
        <v>0.55400000000000005</v>
      </c>
      <c r="H571" s="52">
        <v>0.93100000000000005</v>
      </c>
      <c r="I571" s="52">
        <v>0</v>
      </c>
      <c r="J571" s="52">
        <v>0</v>
      </c>
      <c r="K571" s="52">
        <v>0</v>
      </c>
      <c r="L571" s="69">
        <f>SUM(F571:K571)</f>
        <v>2.2240000000000002</v>
      </c>
      <c r="M571" s="69">
        <f>L571/6</f>
        <v>0.371</v>
      </c>
      <c r="N571" s="52">
        <f>N569*N570/1000-0.002</f>
        <v>-2E-3</v>
      </c>
      <c r="O571" s="52">
        <f t="shared" ref="O571" si="658">O569*O570/1000-0.002</f>
        <v>0.93100000000000005</v>
      </c>
      <c r="P571" s="52">
        <f t="shared" ref="P571" si="659">P569*P570/1000-0.002</f>
        <v>0.93100000000000005</v>
      </c>
      <c r="Q571" s="52">
        <f t="shared" ref="Q571" si="660">Q569*Q570/1000-0.002</f>
        <v>0.93100000000000005</v>
      </c>
      <c r="R571" s="52">
        <f t="shared" ref="R571" si="661">R569*R570/1000-0.002</f>
        <v>0.93100000000000005</v>
      </c>
      <c r="S571" s="52">
        <f>S569*S570/1000-0.003</f>
        <v>0.92900000000000005</v>
      </c>
      <c r="T571" s="69">
        <f>SUM(N571:S571)</f>
        <v>4.6509999999999998</v>
      </c>
      <c r="U571" s="69">
        <f>T571+L571</f>
        <v>6.875</v>
      </c>
      <c r="V571" s="70">
        <f>V572+V573</f>
        <v>11.17</v>
      </c>
      <c r="W571" s="53">
        <f>V571-U571</f>
        <v>4.2949999999999999</v>
      </c>
    </row>
    <row r="572" spans="1:28" s="130" customFormat="1" ht="21.8" customHeight="1">
      <c r="A572" s="614"/>
      <c r="B572" s="576"/>
      <c r="C572" s="577"/>
      <c r="D572" s="174" t="str">
        <f>серпень!D495</f>
        <v>дотація</v>
      </c>
      <c r="E572" s="56"/>
      <c r="F572" s="52"/>
      <c r="G572" s="52"/>
      <c r="H572" s="52"/>
      <c r="I572" s="52"/>
      <c r="J572" s="52"/>
      <c r="K572" s="52"/>
      <c r="L572" s="69">
        <f>SUM(F572:K572)</f>
        <v>0</v>
      </c>
      <c r="M572" s="69">
        <f>L572/6</f>
        <v>0</v>
      </c>
      <c r="N572" s="52"/>
      <c r="O572" s="52"/>
      <c r="P572" s="52"/>
      <c r="Q572" s="52"/>
      <c r="R572" s="52"/>
      <c r="S572" s="52"/>
      <c r="T572" s="69">
        <f>SUM(N572:S572)</f>
        <v>0</v>
      </c>
      <c r="U572" s="69">
        <f>T572+L572</f>
        <v>0</v>
      </c>
      <c r="V572" s="70">
        <v>0</v>
      </c>
      <c r="W572" s="53">
        <f>V572-U572</f>
        <v>0</v>
      </c>
    </row>
    <row r="573" spans="1:28" s="130" customFormat="1" ht="21.8" customHeight="1">
      <c r="A573" s="614"/>
      <c r="B573" s="576"/>
      <c r="C573" s="577"/>
      <c r="D573" s="174" t="str">
        <f>серпень!D496</f>
        <v>місцевий (план), тис.грн</v>
      </c>
      <c r="E573" s="56"/>
      <c r="F573" s="52">
        <v>0.93100000000000005</v>
      </c>
      <c r="G573" s="52">
        <v>0.93100000000000005</v>
      </c>
      <c r="H573" s="52">
        <f>0.931+0.042</f>
        <v>0.97299999999999998</v>
      </c>
      <c r="I573" s="52">
        <v>0.93100000000000005</v>
      </c>
      <c r="J573" s="52">
        <f>0.931-0.042</f>
        <v>0.88900000000000001</v>
      </c>
      <c r="K573" s="52">
        <v>0.93100000000000005</v>
      </c>
      <c r="L573" s="69">
        <f>SUM(F573:K573)</f>
        <v>5.5860000000000003</v>
      </c>
      <c r="M573" s="69">
        <f>L573/6</f>
        <v>0.93100000000000005</v>
      </c>
      <c r="N573" s="52">
        <v>0.93100000000000005</v>
      </c>
      <c r="O573" s="52">
        <f>0.931-0.857</f>
        <v>7.3999999999999996E-2</v>
      </c>
      <c r="P573" s="52">
        <v>0.93100000000000005</v>
      </c>
      <c r="Q573" s="52">
        <f>0.931+0.857</f>
        <v>1.788</v>
      </c>
      <c r="R573" s="52">
        <v>0.93100000000000005</v>
      </c>
      <c r="S573" s="52">
        <f>0.93-0.001</f>
        <v>0.92900000000000005</v>
      </c>
      <c r="T573" s="69">
        <f>SUM(N573:S573)</f>
        <v>5.5839999999999996</v>
      </c>
      <c r="U573" s="69">
        <f>T573+L573</f>
        <v>11.17</v>
      </c>
      <c r="V573" s="70">
        <f>11.195-0.025</f>
        <v>11.17</v>
      </c>
      <c r="W573" s="53">
        <f>V573-U573</f>
        <v>0</v>
      </c>
    </row>
    <row r="574" spans="1:28" s="48" customFormat="1" ht="21.8" customHeight="1">
      <c r="A574" s="614"/>
      <c r="B574" s="576"/>
      <c r="C574" s="577"/>
      <c r="D574" s="178" t="str">
        <f>серпень!D497</f>
        <v>касові нат.п-ки 2025</v>
      </c>
      <c r="E574" s="11"/>
      <c r="F574" s="349">
        <v>0</v>
      </c>
      <c r="G574" s="349">
        <v>0</v>
      </c>
      <c r="H574" s="349">
        <v>7.7</v>
      </c>
      <c r="I574" s="349">
        <v>0</v>
      </c>
      <c r="J574" s="349">
        <v>0</v>
      </c>
      <c r="K574" s="349">
        <v>0</v>
      </c>
      <c r="L574" s="465">
        <f>SUM(F574:K574)</f>
        <v>7.7</v>
      </c>
      <c r="M574" s="465">
        <f>L574/6</f>
        <v>1.2829999999999999</v>
      </c>
      <c r="N574" s="349">
        <v>0</v>
      </c>
      <c r="O574" s="349">
        <v>0</v>
      </c>
      <c r="P574" s="349">
        <f>5.492+10.984</f>
        <v>16.475999999999999</v>
      </c>
      <c r="Q574" s="349">
        <v>5.492</v>
      </c>
      <c r="R574" s="349">
        <v>5.492</v>
      </c>
      <c r="S574" s="349">
        <v>5.4880000000000004</v>
      </c>
      <c r="T574" s="125">
        <f>SUM(N574:S574)</f>
        <v>32.948</v>
      </c>
      <c r="U574" s="125">
        <f>T574+L574</f>
        <v>40.648000000000003</v>
      </c>
      <c r="V574" s="349">
        <f>V569</f>
        <v>65.900000000000006</v>
      </c>
      <c r="W574" s="38">
        <f>V574-U574</f>
        <v>25.3</v>
      </c>
      <c r="X574" s="47">
        <f>U569-U574</f>
        <v>0</v>
      </c>
    </row>
    <row r="575" spans="1:28" s="51" customFormat="1" ht="21.8" customHeight="1">
      <c r="A575" s="614"/>
      <c r="B575" s="576"/>
      <c r="C575" s="577"/>
      <c r="D575" s="187" t="str">
        <f>серпень!D498</f>
        <v>тариф, грн.</v>
      </c>
      <c r="E575" s="49" t="e">
        <f>E576/E574*1000</f>
        <v>#DIV/0!</v>
      </c>
      <c r="F575" s="49" t="e">
        <f t="shared" ref="F575:J575" si="662">F576/F574*1000</f>
        <v>#DIV/0!</v>
      </c>
      <c r="G575" s="49" t="e">
        <f t="shared" si="662"/>
        <v>#DIV/0!</v>
      </c>
      <c r="H575" s="49">
        <f t="shared" si="662"/>
        <v>168.05199999999999</v>
      </c>
      <c r="I575" s="49" t="e">
        <f t="shared" si="662"/>
        <v>#DIV/0!</v>
      </c>
      <c r="J575" s="49" t="e">
        <f t="shared" si="662"/>
        <v>#DIV/0!</v>
      </c>
      <c r="K575" s="49">
        <v>169.88</v>
      </c>
      <c r="L575" s="68">
        <f>L576/L574*1000</f>
        <v>168.05199999999999</v>
      </c>
      <c r="M575" s="68">
        <f>M576/M574*1000</f>
        <v>168.35499999999999</v>
      </c>
      <c r="N575" s="49">
        <v>169.88</v>
      </c>
      <c r="O575" s="49">
        <v>169.88</v>
      </c>
      <c r="P575" s="49">
        <v>169.88</v>
      </c>
      <c r="Q575" s="49">
        <v>169.88</v>
      </c>
      <c r="R575" s="49">
        <v>169.88</v>
      </c>
      <c r="S575" s="49">
        <v>169.88</v>
      </c>
      <c r="T575" s="68">
        <f>T576/T574*1000</f>
        <v>169.38800000000001</v>
      </c>
      <c r="U575" s="68">
        <f>U576/U574*1000</f>
        <v>169.13499999999999</v>
      </c>
      <c r="V575" s="68">
        <f>V576/V574*1000</f>
        <v>169.499</v>
      </c>
      <c r="W575" s="14">
        <f>W576/W574*1000</f>
        <v>169.76300000000001</v>
      </c>
      <c r="X575" s="59"/>
    </row>
    <row r="576" spans="1:28" s="126" customFormat="1" ht="21.8" customHeight="1">
      <c r="A576" s="614"/>
      <c r="B576" s="576"/>
      <c r="C576" s="577"/>
      <c r="D576" s="198" t="str">
        <f>серпень!D499</f>
        <v>касові видатки, тис.грн.</v>
      </c>
      <c r="E576" s="71"/>
      <c r="F576" s="61">
        <v>0</v>
      </c>
      <c r="G576" s="61">
        <v>0</v>
      </c>
      <c r="H576" s="61">
        <v>1.294</v>
      </c>
      <c r="I576" s="61">
        <v>0</v>
      </c>
      <c r="J576" s="61">
        <v>0</v>
      </c>
      <c r="K576" s="61">
        <v>0</v>
      </c>
      <c r="L576" s="61">
        <f>SUM(F576:K576)</f>
        <v>1.294</v>
      </c>
      <c r="M576" s="61">
        <f>L576/6</f>
        <v>0.216</v>
      </c>
      <c r="N576" s="61">
        <v>0</v>
      </c>
      <c r="O576" s="61">
        <v>0</v>
      </c>
      <c r="P576" s="61">
        <f t="shared" ref="P576" si="663">P574*P575/1000-0.002</f>
        <v>2.7970000000000002</v>
      </c>
      <c r="Q576" s="61">
        <f t="shared" ref="Q576" si="664">Q574*Q575/1000-0.002</f>
        <v>0.93100000000000005</v>
      </c>
      <c r="R576" s="61">
        <f t="shared" ref="R576" si="665">R574*R575/1000-0.002</f>
        <v>0.93100000000000005</v>
      </c>
      <c r="S576" s="61">
        <f>S574*S575/1000-0.01</f>
        <v>0.92200000000000004</v>
      </c>
      <c r="T576" s="61">
        <f>SUM(N576:S576)</f>
        <v>5.5810000000000004</v>
      </c>
      <c r="U576" s="61">
        <f>T576+L576</f>
        <v>6.875</v>
      </c>
      <c r="V576" s="61">
        <f>V571</f>
        <v>11.17</v>
      </c>
      <c r="W576" s="72">
        <f>V576-U576</f>
        <v>4.2949999999999999</v>
      </c>
      <c r="X576" s="63">
        <f>U571-U576</f>
        <v>0</v>
      </c>
    </row>
    <row r="577" spans="1:28" s="126" customFormat="1" ht="21.8" customHeight="1">
      <c r="A577" s="614"/>
      <c r="B577" s="576"/>
      <c r="C577" s="577"/>
      <c r="D577" s="201" t="str">
        <f>серпень!D500</f>
        <v>дотація</v>
      </c>
      <c r="E577" s="71"/>
      <c r="F577" s="61">
        <v>0</v>
      </c>
      <c r="G577" s="61">
        <v>0</v>
      </c>
      <c r="H577" s="61">
        <v>0</v>
      </c>
      <c r="I577" s="61">
        <v>0</v>
      </c>
      <c r="J577" s="61">
        <v>0</v>
      </c>
      <c r="K577" s="61">
        <v>0</v>
      </c>
      <c r="L577" s="61">
        <f>SUM(F577:K577)</f>
        <v>0</v>
      </c>
      <c r="M577" s="61">
        <f>L577/6</f>
        <v>0</v>
      </c>
      <c r="N577" s="61">
        <v>0</v>
      </c>
      <c r="O577" s="61">
        <v>0</v>
      </c>
      <c r="P577" s="61">
        <v>0</v>
      </c>
      <c r="Q577" s="61">
        <v>0</v>
      </c>
      <c r="R577" s="61">
        <v>0</v>
      </c>
      <c r="S577" s="61">
        <v>0</v>
      </c>
      <c r="T577" s="61">
        <f>SUM(N577:S577)</f>
        <v>0</v>
      </c>
      <c r="U577" s="61">
        <f>T577+L577</f>
        <v>0</v>
      </c>
      <c r="V577" s="61">
        <f>V572</f>
        <v>0</v>
      </c>
      <c r="W577" s="72">
        <f>V577-U577</f>
        <v>0</v>
      </c>
      <c r="X577" s="63">
        <f>U572-U577</f>
        <v>0</v>
      </c>
    </row>
    <row r="578" spans="1:28" s="126" customFormat="1" ht="21.8" customHeight="1">
      <c r="A578" s="614"/>
      <c r="B578" s="576"/>
      <c r="C578" s="577"/>
      <c r="D578" s="201" t="str">
        <f>серпень!D501</f>
        <v xml:space="preserve">місцевий </v>
      </c>
      <c r="E578" s="71"/>
      <c r="F578" s="61">
        <f t="shared" ref="F578:K578" si="666">F576-F577</f>
        <v>0</v>
      </c>
      <c r="G578" s="61">
        <f t="shared" si="666"/>
        <v>0</v>
      </c>
      <c r="H578" s="61">
        <f t="shared" si="666"/>
        <v>1.294</v>
      </c>
      <c r="I578" s="61">
        <f t="shared" si="666"/>
        <v>0</v>
      </c>
      <c r="J578" s="61">
        <f t="shared" si="666"/>
        <v>0</v>
      </c>
      <c r="K578" s="61">
        <f t="shared" si="666"/>
        <v>0</v>
      </c>
      <c r="L578" s="61">
        <f>SUM(F578:K578)</f>
        <v>1.294</v>
      </c>
      <c r="M578" s="61">
        <f>L578/6</f>
        <v>0.216</v>
      </c>
      <c r="N578" s="61">
        <f t="shared" ref="N578:S578" si="667">N576-N577</f>
        <v>0</v>
      </c>
      <c r="O578" s="61">
        <f t="shared" si="667"/>
        <v>0</v>
      </c>
      <c r="P578" s="61">
        <f t="shared" si="667"/>
        <v>2.7970000000000002</v>
      </c>
      <c r="Q578" s="61">
        <f t="shared" si="667"/>
        <v>0.93100000000000005</v>
      </c>
      <c r="R578" s="61">
        <f t="shared" si="667"/>
        <v>0.93100000000000005</v>
      </c>
      <c r="S578" s="61">
        <f t="shared" si="667"/>
        <v>0.92200000000000004</v>
      </c>
      <c r="T578" s="61">
        <f>SUM(N578:S578)</f>
        <v>5.5810000000000004</v>
      </c>
      <c r="U578" s="61">
        <f>T578+L578</f>
        <v>6.875</v>
      </c>
      <c r="V578" s="61">
        <f>V573</f>
        <v>11.17</v>
      </c>
      <c r="W578" s="72">
        <f>V578-U578</f>
        <v>4.2949999999999999</v>
      </c>
      <c r="X578" s="63">
        <f>U573-U578</f>
        <v>4.2949999999999999</v>
      </c>
    </row>
    <row r="579" spans="1:28" s="43" customFormat="1" ht="21.8" customHeight="1">
      <c r="A579" s="614"/>
      <c r="B579" s="576"/>
      <c r="C579" s="577"/>
      <c r="D579" s="202" t="str">
        <f>серпень!D502</f>
        <v>план</v>
      </c>
      <c r="E579" s="42"/>
      <c r="F579" s="42">
        <f t="shared" ref="F579:K579" si="668">F573</f>
        <v>0.93100000000000005</v>
      </c>
      <c r="G579" s="42">
        <f t="shared" si="668"/>
        <v>0.93100000000000005</v>
      </c>
      <c r="H579" s="42">
        <f t="shared" si="668"/>
        <v>0.97299999999999998</v>
      </c>
      <c r="I579" s="42">
        <f t="shared" si="668"/>
        <v>0.93100000000000005</v>
      </c>
      <c r="J579" s="42">
        <f t="shared" si="668"/>
        <v>0.88900000000000001</v>
      </c>
      <c r="K579" s="42">
        <f t="shared" si="668"/>
        <v>0.93100000000000005</v>
      </c>
      <c r="L579" s="42">
        <f>SUM(F579:K579)</f>
        <v>5.5860000000000003</v>
      </c>
      <c r="M579" s="42">
        <f>L579/6</f>
        <v>0.93100000000000005</v>
      </c>
      <c r="N579" s="42">
        <f t="shared" ref="N579:S579" si="669">N573+N572</f>
        <v>0.93100000000000005</v>
      </c>
      <c r="O579" s="42">
        <f t="shared" si="669"/>
        <v>7.3999999999999996E-2</v>
      </c>
      <c r="P579" s="42">
        <f t="shared" si="669"/>
        <v>0.93100000000000005</v>
      </c>
      <c r="Q579" s="42">
        <f t="shared" si="669"/>
        <v>1.788</v>
      </c>
      <c r="R579" s="42">
        <f t="shared" si="669"/>
        <v>0.93100000000000005</v>
      </c>
      <c r="S579" s="42">
        <f t="shared" si="669"/>
        <v>0.92900000000000005</v>
      </c>
      <c r="T579" s="42">
        <f>SUM(N579:S579)</f>
        <v>5.5839999999999996</v>
      </c>
      <c r="U579" s="42">
        <f>T579+L579</f>
        <v>11.17</v>
      </c>
      <c r="V579" s="42">
        <f>V576</f>
        <v>11.17</v>
      </c>
      <c r="W579" s="42">
        <f>V579-U579</f>
        <v>0</v>
      </c>
    </row>
    <row r="580" spans="1:28" s="43" customFormat="1" ht="21.8" customHeight="1">
      <c r="A580" s="614"/>
      <c r="B580" s="576"/>
      <c r="C580" s="577"/>
      <c r="D580" s="202" t="str">
        <f>серпень!D503</f>
        <v xml:space="preserve">відхилення </v>
      </c>
      <c r="E580" s="42"/>
      <c r="F580" s="42">
        <f t="shared" ref="F580:K580" si="670">F576-F579</f>
        <v>-0.93100000000000005</v>
      </c>
      <c r="G580" s="42">
        <f t="shared" si="670"/>
        <v>-0.93100000000000005</v>
      </c>
      <c r="H580" s="42">
        <f t="shared" si="670"/>
        <v>0.32100000000000001</v>
      </c>
      <c r="I580" s="42">
        <f t="shared" si="670"/>
        <v>-0.93100000000000005</v>
      </c>
      <c r="J580" s="42">
        <f t="shared" si="670"/>
        <v>-0.88900000000000001</v>
      </c>
      <c r="K580" s="42">
        <f t="shared" si="670"/>
        <v>-0.93100000000000005</v>
      </c>
      <c r="L580" s="42"/>
      <c r="M580" s="42"/>
      <c r="N580" s="42">
        <f t="shared" ref="N580:S580" si="671">N576-N579</f>
        <v>-0.93100000000000005</v>
      </c>
      <c r="O580" s="42">
        <f t="shared" si="671"/>
        <v>-7.3999999999999996E-2</v>
      </c>
      <c r="P580" s="42">
        <f t="shared" si="671"/>
        <v>1.8660000000000001</v>
      </c>
      <c r="Q580" s="42">
        <f t="shared" si="671"/>
        <v>-0.85699999999999998</v>
      </c>
      <c r="R580" s="42">
        <f t="shared" si="671"/>
        <v>0</v>
      </c>
      <c r="S580" s="42">
        <f t="shared" si="671"/>
        <v>-7.0000000000000001E-3</v>
      </c>
      <c r="T580" s="42"/>
      <c r="U580" s="42"/>
      <c r="V580" s="42"/>
      <c r="W580" s="42"/>
    </row>
    <row r="581" spans="1:28" s="43" customFormat="1" ht="21.8" customHeight="1">
      <c r="A581" s="614"/>
      <c r="B581" s="576"/>
      <c r="C581" s="577"/>
      <c r="D581" s="202" t="str">
        <f>серпень!D504</f>
        <v>відхилення з наростаючим</v>
      </c>
      <c r="E581" s="42"/>
      <c r="F581" s="42">
        <f>F580</f>
        <v>-0.93100000000000005</v>
      </c>
      <c r="G581" s="42">
        <f>G580+F581</f>
        <v>-1.8620000000000001</v>
      </c>
      <c r="H581" s="42">
        <f>H580+G581</f>
        <v>-1.5409999999999999</v>
      </c>
      <c r="I581" s="42">
        <f>I580+H581</f>
        <v>-2.472</v>
      </c>
      <c r="J581" s="42">
        <f>J580+I581</f>
        <v>-3.3610000000000002</v>
      </c>
      <c r="K581" s="42">
        <f>K580+J581</f>
        <v>-4.2919999999999998</v>
      </c>
      <c r="L581" s="42"/>
      <c r="M581" s="42"/>
      <c r="N581" s="42">
        <f>N580+K581</f>
        <v>-5.2229999999999999</v>
      </c>
      <c r="O581" s="42">
        <f>O580+N581</f>
        <v>-5.2969999999999997</v>
      </c>
      <c r="P581" s="42">
        <f>P580+O581</f>
        <v>-3.431</v>
      </c>
      <c r="Q581" s="42">
        <f>Q580+P581</f>
        <v>-4.2880000000000003</v>
      </c>
      <c r="R581" s="42">
        <f>R580+Q581</f>
        <v>-4.2880000000000003</v>
      </c>
      <c r="S581" s="42">
        <f>S580+R581</f>
        <v>-4.2949999999999999</v>
      </c>
      <c r="T581" s="42"/>
      <c r="U581" s="42"/>
      <c r="V581" s="42"/>
      <c r="W581" s="42"/>
    </row>
    <row r="582" spans="1:28" s="55" customFormat="1" ht="21.8" customHeight="1">
      <c r="A582" s="614"/>
      <c r="B582" s="654" t="s">
        <v>132</v>
      </c>
      <c r="C582" s="581"/>
      <c r="D582" s="178" t="str">
        <f>серпень!D505</f>
        <v>факт. нат.п-ки 2023</v>
      </c>
      <c r="E582" s="11"/>
      <c r="F582" s="12"/>
      <c r="G582" s="12"/>
      <c r="H582" s="12"/>
      <c r="I582" s="12"/>
      <c r="J582" s="12"/>
      <c r="K582" s="12"/>
      <c r="L582" s="65">
        <f>SUM(F582:K582)</f>
        <v>0</v>
      </c>
      <c r="M582" s="65">
        <f>L582/6</f>
        <v>0</v>
      </c>
      <c r="N582" s="12"/>
      <c r="O582" s="12"/>
      <c r="P582" s="12"/>
      <c r="Q582" s="12"/>
      <c r="R582" s="12"/>
      <c r="S582" s="12"/>
      <c r="T582" s="65">
        <f>SUM(N582:S582)</f>
        <v>0</v>
      </c>
      <c r="U582" s="65">
        <f>T582+L582</f>
        <v>0</v>
      </c>
      <c r="V582" s="67"/>
      <c r="W582" s="38"/>
      <c r="X582" s="47"/>
      <c r="Y582" s="48"/>
      <c r="Z582" s="48"/>
      <c r="AA582" s="48"/>
      <c r="AB582" s="48"/>
    </row>
    <row r="583" spans="1:28" s="48" customFormat="1" ht="21.8" customHeight="1">
      <c r="A583" s="614"/>
      <c r="B583" s="581"/>
      <c r="C583" s="581"/>
      <c r="D583" s="178" t="str">
        <f>серпень!D506</f>
        <v>факт. нат.п-ки 2024</v>
      </c>
      <c r="E583" s="11"/>
      <c r="F583" s="12"/>
      <c r="G583" s="12"/>
      <c r="H583" s="12"/>
      <c r="I583" s="12"/>
      <c r="J583" s="12"/>
      <c r="K583" s="12"/>
      <c r="L583" s="65">
        <f>SUM(F583:K583)</f>
        <v>0</v>
      </c>
      <c r="M583" s="65">
        <f>L583/6</f>
        <v>0</v>
      </c>
      <c r="N583" s="11"/>
      <c r="O583" s="11"/>
      <c r="P583" s="11"/>
      <c r="Q583" s="11"/>
      <c r="R583" s="11"/>
      <c r="S583" s="11"/>
      <c r="T583" s="65">
        <f>SUM(N583:S583)</f>
        <v>0</v>
      </c>
      <c r="U583" s="65">
        <f>T583+L583</f>
        <v>0</v>
      </c>
      <c r="V583" s="67"/>
      <c r="W583" s="38"/>
      <c r="X583" s="47"/>
    </row>
    <row r="584" spans="1:28" s="48" customFormat="1" ht="21.8" customHeight="1">
      <c r="A584" s="614"/>
      <c r="B584" s="581"/>
      <c r="C584" s="581"/>
      <c r="D584" s="178" t="str">
        <f>серпень!D507</f>
        <v>факт. нат.п-ки 2025</v>
      </c>
      <c r="E584" s="11"/>
      <c r="F584" s="12">
        <v>0.5</v>
      </c>
      <c r="G584" s="12">
        <v>0.5</v>
      </c>
      <c r="H584" s="12">
        <v>1</v>
      </c>
      <c r="I584" s="12">
        <v>1</v>
      </c>
      <c r="J584" s="12">
        <v>1</v>
      </c>
      <c r="K584" s="12">
        <v>0</v>
      </c>
      <c r="L584" s="65">
        <f>SUM(F584:K584)</f>
        <v>4</v>
      </c>
      <c r="M584" s="65">
        <f>L584/6</f>
        <v>0.7</v>
      </c>
      <c r="N584" s="12"/>
      <c r="O584" s="12">
        <v>0</v>
      </c>
      <c r="P584" s="12">
        <v>1</v>
      </c>
      <c r="Q584" s="12">
        <v>1</v>
      </c>
      <c r="R584" s="12">
        <v>1</v>
      </c>
      <c r="S584" s="11">
        <v>1</v>
      </c>
      <c r="T584" s="65">
        <f>SUM(N584:S584)</f>
        <v>4</v>
      </c>
      <c r="U584" s="65">
        <f>T584+L584</f>
        <v>8</v>
      </c>
      <c r="V584" s="11">
        <v>12</v>
      </c>
      <c r="W584" s="38">
        <f>V584-U584</f>
        <v>4</v>
      </c>
      <c r="X584" s="47"/>
    </row>
    <row r="585" spans="1:28" s="51" customFormat="1" ht="21.8" customHeight="1">
      <c r="A585" s="614"/>
      <c r="B585" s="581"/>
      <c r="C585" s="581"/>
      <c r="D585" s="187" t="str">
        <f>серпень!D508</f>
        <v>тариф, грн.</v>
      </c>
      <c r="E585" s="49" t="e">
        <f>E586/E584*1000</f>
        <v>#DIV/0!</v>
      </c>
      <c r="F585" s="49">
        <f t="shared" ref="F585:G585" si="672">F586/F584*1000</f>
        <v>2</v>
      </c>
      <c r="G585" s="49">
        <f t="shared" si="672"/>
        <v>2</v>
      </c>
      <c r="H585" s="49">
        <v>2.1</v>
      </c>
      <c r="I585" s="49">
        <v>2.1</v>
      </c>
      <c r="J585" s="49">
        <v>2.1</v>
      </c>
      <c r="K585" s="49">
        <v>2.1</v>
      </c>
      <c r="L585" s="68">
        <f>L586/L584*1000</f>
        <v>2</v>
      </c>
      <c r="M585" s="68">
        <f>M586/M584*1000</f>
        <v>1.429</v>
      </c>
      <c r="N585" s="49">
        <v>2.1</v>
      </c>
      <c r="O585" s="49">
        <v>2.1</v>
      </c>
      <c r="P585" s="49">
        <v>2.1</v>
      </c>
      <c r="Q585" s="49">
        <v>2.1</v>
      </c>
      <c r="R585" s="49">
        <v>2.1</v>
      </c>
      <c r="S585" s="49">
        <v>2.1</v>
      </c>
      <c r="T585" s="68">
        <f>T586/T584*1000</f>
        <v>2</v>
      </c>
      <c r="U585" s="68">
        <f>U586/U584*1000</f>
        <v>2</v>
      </c>
      <c r="V585" s="68">
        <f>V586/V584*1000</f>
        <v>2.0830000000000002</v>
      </c>
      <c r="W585" s="14">
        <f>W586/W584*1000</f>
        <v>2.25</v>
      </c>
      <c r="X585" s="59"/>
    </row>
    <row r="586" spans="1:28" s="130" customFormat="1" ht="21.8" customHeight="1">
      <c r="A586" s="614"/>
      <c r="B586" s="581"/>
      <c r="C586" s="581"/>
      <c r="D586" s="191" t="str">
        <f>серпень!D509</f>
        <v>сума, тис.грн.</v>
      </c>
      <c r="E586" s="52"/>
      <c r="F586" s="52">
        <v>1E-3</v>
      </c>
      <c r="G586" s="52">
        <v>1E-3</v>
      </c>
      <c r="H586" s="52">
        <f t="shared" ref="H586:J586" si="673">H584*H585/1000</f>
        <v>2E-3</v>
      </c>
      <c r="I586" s="52">
        <f t="shared" si="673"/>
        <v>2E-3</v>
      </c>
      <c r="J586" s="52">
        <f t="shared" si="673"/>
        <v>2E-3</v>
      </c>
      <c r="K586" s="52">
        <v>0</v>
      </c>
      <c r="L586" s="69">
        <f>SUM(F586:K586)</f>
        <v>8.0000000000000002E-3</v>
      </c>
      <c r="M586" s="69">
        <f>L586/6</f>
        <v>1E-3</v>
      </c>
      <c r="N586" s="52">
        <f t="shared" ref="N586:R586" si="674">N584*N585/1000</f>
        <v>0</v>
      </c>
      <c r="O586" s="52">
        <f t="shared" si="674"/>
        <v>0</v>
      </c>
      <c r="P586" s="52">
        <f t="shared" si="674"/>
        <v>2E-3</v>
      </c>
      <c r="Q586" s="52">
        <f t="shared" si="674"/>
        <v>2E-3</v>
      </c>
      <c r="R586" s="52">
        <f t="shared" si="674"/>
        <v>2E-3</v>
      </c>
      <c r="S586" s="52">
        <f>S584*S585/1000</f>
        <v>2E-3</v>
      </c>
      <c r="T586" s="69">
        <f>SUM(N586:S586)</f>
        <v>8.0000000000000002E-3</v>
      </c>
      <c r="U586" s="69">
        <f>T586+L586</f>
        <v>1.6E-2</v>
      </c>
      <c r="V586" s="70">
        <f>V587+V588</f>
        <v>2.5000000000000001E-2</v>
      </c>
      <c r="W586" s="53">
        <f>V586-U586</f>
        <v>8.9999999999999993E-3</v>
      </c>
    </row>
    <row r="587" spans="1:28" s="130" customFormat="1" ht="21.8" customHeight="1">
      <c r="A587" s="614"/>
      <c r="B587" s="581"/>
      <c r="C587" s="581"/>
      <c r="D587" s="174" t="str">
        <f>серпень!D510</f>
        <v>дотація</v>
      </c>
      <c r="E587" s="56"/>
      <c r="F587" s="52"/>
      <c r="G587" s="52"/>
      <c r="H587" s="52"/>
      <c r="I587" s="52"/>
      <c r="J587" s="52"/>
      <c r="K587" s="52"/>
      <c r="L587" s="69">
        <f>SUM(F587:K587)</f>
        <v>0</v>
      </c>
      <c r="M587" s="69">
        <f>L587/6</f>
        <v>0</v>
      </c>
      <c r="N587" s="52"/>
      <c r="O587" s="52"/>
      <c r="P587" s="52"/>
      <c r="Q587" s="52"/>
      <c r="R587" s="52"/>
      <c r="S587" s="52"/>
      <c r="T587" s="69">
        <f>SUM(N587:S587)</f>
        <v>0</v>
      </c>
      <c r="U587" s="69">
        <f>T587+L587</f>
        <v>0</v>
      </c>
      <c r="V587" s="70">
        <v>0</v>
      </c>
      <c r="W587" s="53">
        <f>V587-U587</f>
        <v>0</v>
      </c>
    </row>
    <row r="588" spans="1:28" s="130" customFormat="1" ht="21.8" customHeight="1">
      <c r="A588" s="614"/>
      <c r="B588" s="581"/>
      <c r="C588" s="581"/>
      <c r="D588" s="174" t="str">
        <f>серпень!D511</f>
        <v>місцевий (план), тис.грн</v>
      </c>
      <c r="E588" s="56"/>
      <c r="F588" s="52">
        <v>3.0000000000000001E-3</v>
      </c>
      <c r="G588" s="52">
        <v>2E-3</v>
      </c>
      <c r="H588" s="52">
        <v>2E-3</v>
      </c>
      <c r="I588" s="52">
        <v>2E-3</v>
      </c>
      <c r="J588" s="52">
        <v>2E-3</v>
      </c>
      <c r="K588" s="52">
        <v>2E-3</v>
      </c>
      <c r="L588" s="69">
        <f>SUM(F588:K588)</f>
        <v>1.2999999999999999E-2</v>
      </c>
      <c r="M588" s="69">
        <f>L588/6</f>
        <v>2E-3</v>
      </c>
      <c r="N588" s="52">
        <v>2E-3</v>
      </c>
      <c r="O588" s="52">
        <v>2E-3</v>
      </c>
      <c r="P588" s="52">
        <v>2E-3</v>
      </c>
      <c r="Q588" s="52">
        <v>2E-3</v>
      </c>
      <c r="R588" s="52">
        <v>2E-3</v>
      </c>
      <c r="S588" s="52">
        <v>2E-3</v>
      </c>
      <c r="T588" s="69">
        <f>SUM(N588:S588)</f>
        <v>1.2E-2</v>
      </c>
      <c r="U588" s="69">
        <f>T588+L588</f>
        <v>2.5000000000000001E-2</v>
      </c>
      <c r="V588" s="70">
        <v>2.5000000000000001E-2</v>
      </c>
      <c r="W588" s="53">
        <f>V588-U588</f>
        <v>0</v>
      </c>
    </row>
    <row r="589" spans="1:28" s="48" customFormat="1" ht="21.8" customHeight="1">
      <c r="A589" s="614"/>
      <c r="B589" s="581"/>
      <c r="C589" s="581"/>
      <c r="D589" s="178" t="str">
        <f>серпень!D512</f>
        <v>касові нат.п-ки 2025</v>
      </c>
      <c r="E589" s="11"/>
      <c r="F589" s="11">
        <v>0</v>
      </c>
      <c r="G589" s="11">
        <v>0</v>
      </c>
      <c r="H589" s="11">
        <v>1</v>
      </c>
      <c r="I589" s="11">
        <v>1</v>
      </c>
      <c r="J589" s="11">
        <v>1</v>
      </c>
      <c r="K589" s="11">
        <v>0</v>
      </c>
      <c r="L589" s="65">
        <f>SUM(F589:K589)</f>
        <v>3</v>
      </c>
      <c r="M589" s="65">
        <f>L589/6</f>
        <v>0.5</v>
      </c>
      <c r="N589" s="11">
        <v>0</v>
      </c>
      <c r="O589" s="11">
        <v>0</v>
      </c>
      <c r="P589" s="11">
        <v>1</v>
      </c>
      <c r="Q589" s="11">
        <v>1</v>
      </c>
      <c r="R589" s="11">
        <v>1</v>
      </c>
      <c r="S589" s="11">
        <v>2</v>
      </c>
      <c r="T589" s="65">
        <f>SUM(N589:S589)</f>
        <v>5</v>
      </c>
      <c r="U589" s="65">
        <f>T589+L589</f>
        <v>8</v>
      </c>
      <c r="V589" s="11">
        <f>V584</f>
        <v>12</v>
      </c>
      <c r="W589" s="38">
        <f>V589-U589</f>
        <v>4</v>
      </c>
      <c r="X589" s="47">
        <f>U584-U589</f>
        <v>0</v>
      </c>
    </row>
    <row r="590" spans="1:28" s="51" customFormat="1" ht="21.8" customHeight="1">
      <c r="A590" s="614"/>
      <c r="B590" s="581"/>
      <c r="C590" s="581"/>
      <c r="D590" s="187" t="str">
        <f>серпень!D513</f>
        <v>тариф, грн.</v>
      </c>
      <c r="E590" s="49" t="e">
        <f>E591/E589*1000</f>
        <v>#DIV/0!</v>
      </c>
      <c r="F590" s="49" t="e">
        <f t="shared" ref="F590:H590" si="675">F591/F589*1000</f>
        <v>#DIV/0!</v>
      </c>
      <c r="G590" s="49" t="e">
        <f t="shared" si="675"/>
        <v>#DIV/0!</v>
      </c>
      <c r="H590" s="49">
        <f t="shared" si="675"/>
        <v>2</v>
      </c>
      <c r="I590" s="49">
        <v>2.1</v>
      </c>
      <c r="J590" s="49">
        <v>2.1</v>
      </c>
      <c r="K590" s="49">
        <v>2.1</v>
      </c>
      <c r="L590" s="68">
        <f>L591/L589*1000</f>
        <v>2</v>
      </c>
      <c r="M590" s="68">
        <f>M591/M589*1000</f>
        <v>2</v>
      </c>
      <c r="N590" s="68" t="e">
        <f>N591/N589*1000</f>
        <v>#DIV/0!</v>
      </c>
      <c r="O590" s="49">
        <v>2.1</v>
      </c>
      <c r="P590" s="49">
        <v>2.1</v>
      </c>
      <c r="Q590" s="49">
        <v>2.1</v>
      </c>
      <c r="R590" s="49">
        <v>2.1</v>
      </c>
      <c r="S590" s="49">
        <v>2.1</v>
      </c>
      <c r="T590" s="68">
        <f>T591/T589*1000</f>
        <v>2</v>
      </c>
      <c r="U590" s="68">
        <f>U591/U589*1000</f>
        <v>2</v>
      </c>
      <c r="V590" s="68">
        <f>V591/V589*1000</f>
        <v>2.0830000000000002</v>
      </c>
      <c r="W590" s="14">
        <f>W591/W589*1000</f>
        <v>2.25</v>
      </c>
      <c r="X590" s="59"/>
    </row>
    <row r="591" spans="1:28" s="126" customFormat="1" ht="21.8" customHeight="1">
      <c r="A591" s="614"/>
      <c r="B591" s="581"/>
      <c r="C591" s="581"/>
      <c r="D591" s="198" t="str">
        <f>серпень!D514</f>
        <v>касові видатки, тис.грн.</v>
      </c>
      <c r="E591" s="71"/>
      <c r="F591" s="61">
        <v>0</v>
      </c>
      <c r="G591" s="61">
        <v>0</v>
      </c>
      <c r="H591" s="61">
        <v>2E-3</v>
      </c>
      <c r="I591" s="61">
        <f t="shared" ref="I591:J591" si="676">I589*I590/1000</f>
        <v>2E-3</v>
      </c>
      <c r="J591" s="61">
        <f t="shared" si="676"/>
        <v>2E-3</v>
      </c>
      <c r="K591" s="61">
        <v>0</v>
      </c>
      <c r="L591" s="61">
        <f>SUM(F591:K591)</f>
        <v>6.0000000000000001E-3</v>
      </c>
      <c r="M591" s="61">
        <f>L591/6</f>
        <v>1E-3</v>
      </c>
      <c r="N591" s="61">
        <v>0</v>
      </c>
      <c r="O591" s="61">
        <v>0</v>
      </c>
      <c r="P591" s="61">
        <f t="shared" ref="P591:R591" si="677">P589*P590/1000</f>
        <v>2E-3</v>
      </c>
      <c r="Q591" s="61">
        <f t="shared" si="677"/>
        <v>2E-3</v>
      </c>
      <c r="R591" s="61">
        <f t="shared" si="677"/>
        <v>2E-3</v>
      </c>
      <c r="S591" s="61">
        <f>S589*S590/1000</f>
        <v>4.0000000000000001E-3</v>
      </c>
      <c r="T591" s="61">
        <f>SUM(N591:S591)</f>
        <v>0.01</v>
      </c>
      <c r="U591" s="61">
        <f>T591+L591</f>
        <v>1.6E-2</v>
      </c>
      <c r="V591" s="61">
        <f>V586</f>
        <v>2.5000000000000001E-2</v>
      </c>
      <c r="W591" s="72">
        <f>V591-U591</f>
        <v>8.9999999999999993E-3</v>
      </c>
      <c r="X591" s="63">
        <f>U586-U591</f>
        <v>0</v>
      </c>
    </row>
    <row r="592" spans="1:28" s="126" customFormat="1" ht="21.8" customHeight="1">
      <c r="A592" s="614"/>
      <c r="B592" s="581"/>
      <c r="C592" s="581"/>
      <c r="D592" s="201" t="str">
        <f>серпень!D515</f>
        <v>дотація</v>
      </c>
      <c r="E592" s="71"/>
      <c r="F592" s="61">
        <v>0</v>
      </c>
      <c r="G592" s="61">
        <v>0</v>
      </c>
      <c r="H592" s="61">
        <v>0</v>
      </c>
      <c r="I592" s="61">
        <v>0</v>
      </c>
      <c r="J592" s="61">
        <v>0</v>
      </c>
      <c r="K592" s="61">
        <v>0</v>
      </c>
      <c r="L592" s="61">
        <f>SUM(F592:K592)</f>
        <v>0</v>
      </c>
      <c r="M592" s="61">
        <f>L592/6</f>
        <v>0</v>
      </c>
      <c r="N592" s="61">
        <v>0</v>
      </c>
      <c r="O592" s="61">
        <v>0</v>
      </c>
      <c r="P592" s="61">
        <v>0</v>
      </c>
      <c r="Q592" s="61">
        <v>0</v>
      </c>
      <c r="R592" s="61">
        <v>0</v>
      </c>
      <c r="S592" s="61">
        <v>0</v>
      </c>
      <c r="T592" s="61">
        <f>SUM(N592:S592)</f>
        <v>0</v>
      </c>
      <c r="U592" s="61">
        <f>T592+L592</f>
        <v>0</v>
      </c>
      <c r="V592" s="61">
        <f>V587</f>
        <v>0</v>
      </c>
      <c r="W592" s="72">
        <f>V592-U592</f>
        <v>0</v>
      </c>
      <c r="X592" s="63">
        <f>U587-U592</f>
        <v>0</v>
      </c>
    </row>
    <row r="593" spans="1:28" s="126" customFormat="1" ht="21.8" customHeight="1">
      <c r="A593" s="614"/>
      <c r="B593" s="581"/>
      <c r="C593" s="581"/>
      <c r="D593" s="201" t="str">
        <f>серпень!D516</f>
        <v xml:space="preserve">місцевий </v>
      </c>
      <c r="E593" s="71"/>
      <c r="F593" s="61">
        <f t="shared" ref="F593:K593" si="678">F591-F592</f>
        <v>0</v>
      </c>
      <c r="G593" s="61">
        <f t="shared" si="678"/>
        <v>0</v>
      </c>
      <c r="H593" s="61">
        <f t="shared" si="678"/>
        <v>2E-3</v>
      </c>
      <c r="I593" s="61">
        <f t="shared" si="678"/>
        <v>2E-3</v>
      </c>
      <c r="J593" s="61">
        <f t="shared" si="678"/>
        <v>2E-3</v>
      </c>
      <c r="K593" s="61">
        <f t="shared" si="678"/>
        <v>0</v>
      </c>
      <c r="L593" s="61">
        <f>SUM(F593:K593)</f>
        <v>6.0000000000000001E-3</v>
      </c>
      <c r="M593" s="61">
        <f>L593/6</f>
        <v>1E-3</v>
      </c>
      <c r="N593" s="61">
        <f t="shared" ref="N593:S593" si="679">N591-N592</f>
        <v>0</v>
      </c>
      <c r="O593" s="61">
        <f t="shared" si="679"/>
        <v>0</v>
      </c>
      <c r="P593" s="61">
        <f t="shared" si="679"/>
        <v>2E-3</v>
      </c>
      <c r="Q593" s="61">
        <f t="shared" si="679"/>
        <v>2E-3</v>
      </c>
      <c r="R593" s="61">
        <f t="shared" si="679"/>
        <v>2E-3</v>
      </c>
      <c r="S593" s="61">
        <f t="shared" si="679"/>
        <v>4.0000000000000001E-3</v>
      </c>
      <c r="T593" s="61">
        <f>SUM(N593:S593)</f>
        <v>0.01</v>
      </c>
      <c r="U593" s="61">
        <f>T593+L593</f>
        <v>1.6E-2</v>
      </c>
      <c r="V593" s="61">
        <f>V588</f>
        <v>2.5000000000000001E-2</v>
      </c>
      <c r="W593" s="72">
        <f>V593-U593</f>
        <v>8.9999999999999993E-3</v>
      </c>
      <c r="X593" s="63">
        <f>U588-U593</f>
        <v>8.9999999999999993E-3</v>
      </c>
    </row>
    <row r="594" spans="1:28" s="43" customFormat="1" ht="21.8" customHeight="1">
      <c r="A594" s="614"/>
      <c r="B594" s="581"/>
      <c r="C594" s="581"/>
      <c r="D594" s="202" t="str">
        <f>серпень!D517</f>
        <v>план</v>
      </c>
      <c r="E594" s="42"/>
      <c r="F594" s="42">
        <f t="shared" ref="F594:K594" si="680">F588</f>
        <v>3.0000000000000001E-3</v>
      </c>
      <c r="G594" s="42">
        <f t="shared" si="680"/>
        <v>2E-3</v>
      </c>
      <c r="H594" s="42">
        <f t="shared" si="680"/>
        <v>2E-3</v>
      </c>
      <c r="I594" s="42">
        <f t="shared" si="680"/>
        <v>2E-3</v>
      </c>
      <c r="J594" s="42">
        <f t="shared" si="680"/>
        <v>2E-3</v>
      </c>
      <c r="K594" s="42">
        <f t="shared" si="680"/>
        <v>2E-3</v>
      </c>
      <c r="L594" s="42">
        <f>SUM(F594:K594)</f>
        <v>1.2999999999999999E-2</v>
      </c>
      <c r="M594" s="42">
        <f>L594/6</f>
        <v>2E-3</v>
      </c>
      <c r="N594" s="42">
        <f t="shared" ref="N594:S594" si="681">N588+N587</f>
        <v>2E-3</v>
      </c>
      <c r="O594" s="42">
        <f t="shared" si="681"/>
        <v>2E-3</v>
      </c>
      <c r="P594" s="42">
        <f t="shared" si="681"/>
        <v>2E-3</v>
      </c>
      <c r="Q594" s="42">
        <f t="shared" si="681"/>
        <v>2E-3</v>
      </c>
      <c r="R594" s="42">
        <f t="shared" si="681"/>
        <v>2E-3</v>
      </c>
      <c r="S594" s="42">
        <f t="shared" si="681"/>
        <v>2E-3</v>
      </c>
      <c r="T594" s="42">
        <f>SUM(N594:S594)</f>
        <v>1.2E-2</v>
      </c>
      <c r="U594" s="42">
        <f>T594+L594</f>
        <v>2.5000000000000001E-2</v>
      </c>
      <c r="V594" s="42">
        <f>V591</f>
        <v>2.5000000000000001E-2</v>
      </c>
      <c r="W594" s="42">
        <f>V594-U594</f>
        <v>0</v>
      </c>
    </row>
    <row r="595" spans="1:28" s="43" customFormat="1" ht="21.8" customHeight="1">
      <c r="A595" s="614"/>
      <c r="B595" s="581"/>
      <c r="C595" s="581"/>
      <c r="D595" s="202" t="str">
        <f>серпень!D518</f>
        <v xml:space="preserve">відхилення </v>
      </c>
      <c r="E595" s="42"/>
      <c r="F595" s="42">
        <f t="shared" ref="F595:K595" si="682">F591-F594</f>
        <v>-3.0000000000000001E-3</v>
      </c>
      <c r="G595" s="42">
        <f t="shared" si="682"/>
        <v>-2E-3</v>
      </c>
      <c r="H595" s="42">
        <f t="shared" si="682"/>
        <v>0</v>
      </c>
      <c r="I595" s="42">
        <f t="shared" si="682"/>
        <v>0</v>
      </c>
      <c r="J595" s="42">
        <f t="shared" si="682"/>
        <v>0</v>
      </c>
      <c r="K595" s="42">
        <f t="shared" si="682"/>
        <v>-2E-3</v>
      </c>
      <c r="L595" s="42"/>
      <c r="M595" s="42"/>
      <c r="N595" s="42">
        <f t="shared" ref="N595:S595" si="683">N591-N594</f>
        <v>-2E-3</v>
      </c>
      <c r="O595" s="42">
        <f t="shared" si="683"/>
        <v>-2E-3</v>
      </c>
      <c r="P595" s="42">
        <f t="shared" si="683"/>
        <v>0</v>
      </c>
      <c r="Q595" s="42">
        <f t="shared" si="683"/>
        <v>0</v>
      </c>
      <c r="R595" s="42">
        <f t="shared" si="683"/>
        <v>0</v>
      </c>
      <c r="S595" s="42">
        <f t="shared" si="683"/>
        <v>2E-3</v>
      </c>
      <c r="T595" s="42"/>
      <c r="U595" s="42"/>
      <c r="V595" s="42"/>
      <c r="W595" s="42"/>
    </row>
    <row r="596" spans="1:28" s="43" customFormat="1" ht="21.8" customHeight="1">
      <c r="A596" s="614"/>
      <c r="B596" s="581"/>
      <c r="C596" s="581"/>
      <c r="D596" s="202" t="str">
        <f>серпень!D519</f>
        <v>відхилення з наростаючим</v>
      </c>
      <c r="E596" s="42"/>
      <c r="F596" s="42">
        <f>F595</f>
        <v>-3.0000000000000001E-3</v>
      </c>
      <c r="G596" s="42">
        <f>G595+F596</f>
        <v>-5.0000000000000001E-3</v>
      </c>
      <c r="H596" s="42">
        <f>H595+G596</f>
        <v>-5.0000000000000001E-3</v>
      </c>
      <c r="I596" s="42">
        <f>I595+H596</f>
        <v>-5.0000000000000001E-3</v>
      </c>
      <c r="J596" s="42">
        <f>J595+I596</f>
        <v>-5.0000000000000001E-3</v>
      </c>
      <c r="K596" s="42">
        <f>K595+J596</f>
        <v>-7.0000000000000001E-3</v>
      </c>
      <c r="L596" s="42"/>
      <c r="M596" s="42"/>
      <c r="N596" s="42">
        <f>N595+K596</f>
        <v>-8.9999999999999993E-3</v>
      </c>
      <c r="O596" s="42">
        <f>O595+N596</f>
        <v>-1.0999999999999999E-2</v>
      </c>
      <c r="P596" s="42">
        <f>P595+O596</f>
        <v>-1.0999999999999999E-2</v>
      </c>
      <c r="Q596" s="42">
        <f>Q595+P596</f>
        <v>-1.0999999999999999E-2</v>
      </c>
      <c r="R596" s="42">
        <f>R595+Q596</f>
        <v>-1.0999999999999999E-2</v>
      </c>
      <c r="S596" s="42">
        <f>S595+R596</f>
        <v>-8.9999999999999993E-3</v>
      </c>
      <c r="T596" s="42"/>
      <c r="U596" s="42"/>
      <c r="V596" s="42"/>
      <c r="W596" s="42"/>
    </row>
    <row r="597" spans="1:28" s="55" customFormat="1" ht="21.8" hidden="1" customHeight="1">
      <c r="A597" s="614"/>
      <c r="B597" s="581" t="s">
        <v>64</v>
      </c>
      <c r="C597" s="581"/>
      <c r="D597" s="178" t="str">
        <f>серпень!D520</f>
        <v>факт. нат.п-ки 2023</v>
      </c>
      <c r="E597" s="11"/>
      <c r="F597" s="12"/>
      <c r="G597" s="12"/>
      <c r="H597" s="12"/>
      <c r="I597" s="12"/>
      <c r="J597" s="12"/>
      <c r="K597" s="12"/>
      <c r="L597" s="65">
        <f>SUM(F597:K597)</f>
        <v>0</v>
      </c>
      <c r="M597" s="65">
        <f>L597/6</f>
        <v>0</v>
      </c>
      <c r="N597" s="12"/>
      <c r="O597" s="12"/>
      <c r="P597" s="12"/>
      <c r="Q597" s="12"/>
      <c r="R597" s="12"/>
      <c r="S597" s="12"/>
      <c r="T597" s="65">
        <f>SUM(N597:S597)</f>
        <v>0</v>
      </c>
      <c r="U597" s="65">
        <f>T597+L597</f>
        <v>0</v>
      </c>
      <c r="V597" s="67"/>
      <c r="W597" s="38"/>
      <c r="X597" s="47"/>
      <c r="Y597" s="48"/>
      <c r="Z597" s="48"/>
      <c r="AA597" s="48"/>
      <c r="AB597" s="48"/>
    </row>
    <row r="598" spans="1:28" s="48" customFormat="1" ht="21.8" hidden="1" customHeight="1">
      <c r="A598" s="614"/>
      <c r="B598" s="581"/>
      <c r="C598" s="581"/>
      <c r="D598" s="178" t="str">
        <f>серпень!D521</f>
        <v>факт. нат.п-ки 2024</v>
      </c>
      <c r="E598" s="11"/>
      <c r="F598" s="12"/>
      <c r="G598" s="12"/>
      <c r="H598" s="12"/>
      <c r="I598" s="12"/>
      <c r="J598" s="12"/>
      <c r="K598" s="12"/>
      <c r="L598" s="65">
        <f>SUM(F598:K598)</f>
        <v>0</v>
      </c>
      <c r="M598" s="65">
        <f>L598/6</f>
        <v>0</v>
      </c>
      <c r="N598" s="11"/>
      <c r="O598" s="11"/>
      <c r="P598" s="11"/>
      <c r="Q598" s="11"/>
      <c r="R598" s="11"/>
      <c r="S598" s="11"/>
      <c r="T598" s="65">
        <f>SUM(N598:S598)</f>
        <v>0</v>
      </c>
      <c r="U598" s="65">
        <f>T598+L598</f>
        <v>0</v>
      </c>
      <c r="V598" s="67"/>
      <c r="W598" s="38"/>
      <c r="X598" s="47"/>
    </row>
    <row r="599" spans="1:28" s="48" customFormat="1" ht="21.8" hidden="1" customHeight="1">
      <c r="A599" s="614"/>
      <c r="B599" s="581"/>
      <c r="C599" s="581"/>
      <c r="D599" s="178" t="str">
        <f>серпень!D522</f>
        <v>факт. нат.п-ки 2025</v>
      </c>
      <c r="E599" s="11"/>
      <c r="F599" s="12"/>
      <c r="G599" s="12"/>
      <c r="H599" s="12"/>
      <c r="I599" s="12"/>
      <c r="J599" s="12"/>
      <c r="K599" s="12"/>
      <c r="L599" s="65">
        <f>SUM(F599:K599)</f>
        <v>0</v>
      </c>
      <c r="M599" s="65">
        <f>L599/6</f>
        <v>0</v>
      </c>
      <c r="N599" s="12"/>
      <c r="O599" s="12"/>
      <c r="P599" s="12"/>
      <c r="Q599" s="12"/>
      <c r="R599" s="12"/>
      <c r="S599" s="11"/>
      <c r="T599" s="65">
        <f>SUM(N599:S599)</f>
        <v>0</v>
      </c>
      <c r="U599" s="65">
        <f>T599+L599</f>
        <v>0</v>
      </c>
      <c r="V599" s="11"/>
      <c r="W599" s="38">
        <f>V599-U599</f>
        <v>0</v>
      </c>
      <c r="X599" s="47"/>
    </row>
    <row r="600" spans="1:28" s="51" customFormat="1" ht="21.8" hidden="1" customHeight="1">
      <c r="A600" s="614"/>
      <c r="B600" s="581"/>
      <c r="C600" s="581"/>
      <c r="D600" s="187" t="str">
        <f>серпень!D523</f>
        <v>тариф, грн.</v>
      </c>
      <c r="E600" s="49"/>
      <c r="F600" s="49">
        <v>206.86</v>
      </c>
      <c r="G600" s="49">
        <v>206.86</v>
      </c>
      <c r="H600" s="49">
        <v>206.86</v>
      </c>
      <c r="I600" s="49">
        <v>206.86</v>
      </c>
      <c r="J600" s="49">
        <v>206.86</v>
      </c>
      <c r="K600" s="49">
        <v>206.86</v>
      </c>
      <c r="L600" s="68" t="e">
        <f>L601/L599*1000</f>
        <v>#DIV/0!</v>
      </c>
      <c r="M600" s="68" t="e">
        <f>M601/M599*1000</f>
        <v>#DIV/0!</v>
      </c>
      <c r="N600" s="49">
        <v>206.86</v>
      </c>
      <c r="O600" s="49">
        <v>206.86</v>
      </c>
      <c r="P600" s="49">
        <v>206.86</v>
      </c>
      <c r="Q600" s="49">
        <v>206.86</v>
      </c>
      <c r="R600" s="49">
        <v>206.86</v>
      </c>
      <c r="S600" s="49">
        <v>206.86</v>
      </c>
      <c r="T600" s="68" t="e">
        <f>T601/T599*1000</f>
        <v>#DIV/0!</v>
      </c>
      <c r="U600" s="68" t="e">
        <f>U601/U599*1000</f>
        <v>#DIV/0!</v>
      </c>
      <c r="V600" s="68" t="e">
        <f>V601/V599*1000</f>
        <v>#DIV/0!</v>
      </c>
      <c r="W600" s="14" t="e">
        <f>W601/W599*1000</f>
        <v>#DIV/0!</v>
      </c>
      <c r="X600" s="59"/>
    </row>
    <row r="601" spans="1:28" s="130" customFormat="1" ht="21.8" hidden="1" customHeight="1">
      <c r="A601" s="614"/>
      <c r="B601" s="581"/>
      <c r="C601" s="581"/>
      <c r="D601" s="191" t="str">
        <f>серпень!D524</f>
        <v>сума, тис.грн.</v>
      </c>
      <c r="E601" s="52"/>
      <c r="F601" s="52">
        <f t="shared" ref="F601:K601" si="684">F599*F600/1000</f>
        <v>0</v>
      </c>
      <c r="G601" s="52">
        <f t="shared" si="684"/>
        <v>0</v>
      </c>
      <c r="H601" s="52">
        <f t="shared" si="684"/>
        <v>0</v>
      </c>
      <c r="I601" s="52">
        <f t="shared" si="684"/>
        <v>0</v>
      </c>
      <c r="J601" s="52">
        <f t="shared" si="684"/>
        <v>0</v>
      </c>
      <c r="K601" s="52">
        <f t="shared" si="684"/>
        <v>0</v>
      </c>
      <c r="L601" s="69">
        <f>SUM(F601:K601)</f>
        <v>0</v>
      </c>
      <c r="M601" s="69">
        <f>L601/6</f>
        <v>0</v>
      </c>
      <c r="N601" s="52">
        <f t="shared" ref="N601:S601" si="685">N599*N600/1000</f>
        <v>0</v>
      </c>
      <c r="O601" s="52">
        <f t="shared" si="685"/>
        <v>0</v>
      </c>
      <c r="P601" s="52">
        <f t="shared" si="685"/>
        <v>0</v>
      </c>
      <c r="Q601" s="52">
        <f t="shared" si="685"/>
        <v>0</v>
      </c>
      <c r="R601" s="52">
        <f t="shared" si="685"/>
        <v>0</v>
      </c>
      <c r="S601" s="52">
        <f t="shared" si="685"/>
        <v>0</v>
      </c>
      <c r="T601" s="69">
        <f>SUM(N601:S601)</f>
        <v>0</v>
      </c>
      <c r="U601" s="69">
        <f>T601+L601</f>
        <v>0</v>
      </c>
      <c r="V601" s="70">
        <f>V602+V603</f>
        <v>0</v>
      </c>
      <c r="W601" s="53">
        <f>V601-U601</f>
        <v>0</v>
      </c>
    </row>
    <row r="602" spans="1:28" s="130" customFormat="1" ht="21.8" hidden="1" customHeight="1">
      <c r="A602" s="614"/>
      <c r="B602" s="581"/>
      <c r="C602" s="581"/>
      <c r="D602" s="174" t="str">
        <f>серпень!D525</f>
        <v>дотація</v>
      </c>
      <c r="E602" s="56"/>
      <c r="F602" s="52"/>
      <c r="G602" s="52"/>
      <c r="H602" s="52"/>
      <c r="I602" s="52"/>
      <c r="J602" s="52"/>
      <c r="K602" s="52"/>
      <c r="L602" s="69">
        <f>SUM(F602:K602)</f>
        <v>0</v>
      </c>
      <c r="M602" s="69">
        <f>L602/6</f>
        <v>0</v>
      </c>
      <c r="N602" s="52"/>
      <c r="O602" s="52"/>
      <c r="P602" s="52"/>
      <c r="Q602" s="52"/>
      <c r="R602" s="52"/>
      <c r="S602" s="52"/>
      <c r="T602" s="69">
        <f>SUM(N602:S602)</f>
        <v>0</v>
      </c>
      <c r="U602" s="69">
        <f>T602+L602</f>
        <v>0</v>
      </c>
      <c r="V602" s="70">
        <v>0</v>
      </c>
      <c r="W602" s="53">
        <f>V602-U602</f>
        <v>0</v>
      </c>
    </row>
    <row r="603" spans="1:28" s="130" customFormat="1" ht="21.8" hidden="1" customHeight="1">
      <c r="A603" s="614"/>
      <c r="B603" s="581"/>
      <c r="C603" s="581"/>
      <c r="D603" s="174" t="str">
        <f>серпень!D526</f>
        <v>місцевий (план), тис.грн</v>
      </c>
      <c r="E603" s="56"/>
      <c r="F603" s="52"/>
      <c r="G603" s="52"/>
      <c r="H603" s="52"/>
      <c r="I603" s="52"/>
      <c r="J603" s="52"/>
      <c r="K603" s="52"/>
      <c r="L603" s="69">
        <f>SUM(F603:K603)</f>
        <v>0</v>
      </c>
      <c r="M603" s="69">
        <f>L603/6</f>
        <v>0</v>
      </c>
      <c r="N603" s="52"/>
      <c r="O603" s="52"/>
      <c r="P603" s="52"/>
      <c r="Q603" s="52"/>
      <c r="R603" s="52"/>
      <c r="S603" s="52"/>
      <c r="T603" s="69">
        <f>SUM(N603:S603)</f>
        <v>0</v>
      </c>
      <c r="U603" s="69">
        <f>T603+L603</f>
        <v>0</v>
      </c>
      <c r="V603" s="70">
        <v>0</v>
      </c>
      <c r="W603" s="53">
        <f>V603-U603</f>
        <v>0</v>
      </c>
    </row>
    <row r="604" spans="1:28" s="48" customFormat="1" ht="21.8" hidden="1" customHeight="1">
      <c r="A604" s="614"/>
      <c r="B604" s="581"/>
      <c r="C604" s="581"/>
      <c r="D604" s="178" t="str">
        <f>серпень!D527</f>
        <v>касові нат.п-ки 2025</v>
      </c>
      <c r="E604" s="11"/>
      <c r="F604" s="11"/>
      <c r="G604" s="11"/>
      <c r="H604" s="11"/>
      <c r="I604" s="11"/>
      <c r="J604" s="11"/>
      <c r="K604" s="11"/>
      <c r="L604" s="65">
        <f>SUM(F604:K604)</f>
        <v>0</v>
      </c>
      <c r="M604" s="65">
        <f>L604/6</f>
        <v>0</v>
      </c>
      <c r="N604" s="11"/>
      <c r="O604" s="11"/>
      <c r="P604" s="11"/>
      <c r="Q604" s="11"/>
      <c r="R604" s="11"/>
      <c r="S604" s="11"/>
      <c r="T604" s="65">
        <f>SUM(N604:S604)</f>
        <v>0</v>
      </c>
      <c r="U604" s="65">
        <f>T604+L604</f>
        <v>0</v>
      </c>
      <c r="V604" s="11">
        <f>V599</f>
        <v>0</v>
      </c>
      <c r="W604" s="38">
        <f>V604-U604</f>
        <v>0</v>
      </c>
      <c r="X604" s="47">
        <f>U599-U604</f>
        <v>0</v>
      </c>
    </row>
    <row r="605" spans="1:28" s="51" customFormat="1" ht="21.8" hidden="1" customHeight="1">
      <c r="A605" s="614"/>
      <c r="B605" s="581"/>
      <c r="C605" s="581"/>
      <c r="D605" s="187" t="str">
        <f>серпень!D528</f>
        <v>тариф, грн.</v>
      </c>
      <c r="E605" s="49" t="e">
        <f>E606/E604*1000</f>
        <v>#DIV/0!</v>
      </c>
      <c r="F605" s="49">
        <v>206.86</v>
      </c>
      <c r="G605" s="49">
        <v>206.86</v>
      </c>
      <c r="H605" s="49">
        <v>206.86</v>
      </c>
      <c r="I605" s="49">
        <v>206.86</v>
      </c>
      <c r="J605" s="49">
        <v>206.86</v>
      </c>
      <c r="K605" s="49">
        <v>206.86</v>
      </c>
      <c r="L605" s="68" t="e">
        <f>L606/L604*1000</f>
        <v>#DIV/0!</v>
      </c>
      <c r="M605" s="68" t="e">
        <f>M606/M604*1000</f>
        <v>#DIV/0!</v>
      </c>
      <c r="N605" s="49">
        <v>206.86</v>
      </c>
      <c r="O605" s="49">
        <v>206.86</v>
      </c>
      <c r="P605" s="49">
        <v>206.86</v>
      </c>
      <c r="Q605" s="49">
        <v>206.86</v>
      </c>
      <c r="R605" s="49">
        <v>206.86</v>
      </c>
      <c r="S605" s="49">
        <v>206.86</v>
      </c>
      <c r="T605" s="68" t="e">
        <f>T606/T604*1000</f>
        <v>#DIV/0!</v>
      </c>
      <c r="U605" s="68" t="e">
        <f>U606/U604*1000</f>
        <v>#DIV/0!</v>
      </c>
      <c r="V605" s="68" t="e">
        <f>V606/V604*1000</f>
        <v>#DIV/0!</v>
      </c>
      <c r="W605" s="14" t="e">
        <f>W606/W604*1000</f>
        <v>#DIV/0!</v>
      </c>
      <c r="X605" s="59"/>
    </row>
    <row r="606" spans="1:28" s="126" customFormat="1" ht="21.8" hidden="1" customHeight="1">
      <c r="A606" s="614"/>
      <c r="B606" s="581"/>
      <c r="C606" s="581"/>
      <c r="D606" s="198" t="str">
        <f>серпень!D529</f>
        <v>касові видатки, тис.грн.</v>
      </c>
      <c r="E606" s="71"/>
      <c r="F606" s="61">
        <f t="shared" ref="F606:K606" si="686">F604*F605/1000</f>
        <v>0</v>
      </c>
      <c r="G606" s="61">
        <f t="shared" si="686"/>
        <v>0</v>
      </c>
      <c r="H606" s="61">
        <f t="shared" si="686"/>
        <v>0</v>
      </c>
      <c r="I606" s="61">
        <f t="shared" si="686"/>
        <v>0</v>
      </c>
      <c r="J606" s="61">
        <f t="shared" si="686"/>
        <v>0</v>
      </c>
      <c r="K606" s="61">
        <f t="shared" si="686"/>
        <v>0</v>
      </c>
      <c r="L606" s="61">
        <f>SUM(F606:K606)</f>
        <v>0</v>
      </c>
      <c r="M606" s="61">
        <f>L606/6</f>
        <v>0</v>
      </c>
      <c r="N606" s="61">
        <f t="shared" ref="N606:S606" si="687">N604*N605/1000</f>
        <v>0</v>
      </c>
      <c r="O606" s="61">
        <f t="shared" si="687"/>
        <v>0</v>
      </c>
      <c r="P606" s="61">
        <f t="shared" si="687"/>
        <v>0</v>
      </c>
      <c r="Q606" s="61">
        <f t="shared" si="687"/>
        <v>0</v>
      </c>
      <c r="R606" s="61">
        <f t="shared" si="687"/>
        <v>0</v>
      </c>
      <c r="S606" s="61">
        <f t="shared" si="687"/>
        <v>0</v>
      </c>
      <c r="T606" s="61">
        <f>SUM(N606:S606)</f>
        <v>0</v>
      </c>
      <c r="U606" s="61">
        <f>T606+L606</f>
        <v>0</v>
      </c>
      <c r="V606" s="61">
        <f>V601</f>
        <v>0</v>
      </c>
      <c r="W606" s="72">
        <f>V606-U606</f>
        <v>0</v>
      </c>
      <c r="X606" s="63">
        <f>U601-U606</f>
        <v>0</v>
      </c>
    </row>
    <row r="607" spans="1:28" s="126" customFormat="1" ht="21.8" hidden="1" customHeight="1">
      <c r="A607" s="614"/>
      <c r="B607" s="581"/>
      <c r="C607" s="581"/>
      <c r="D607" s="201" t="str">
        <f>серпень!D530</f>
        <v>дотація</v>
      </c>
      <c r="E607" s="71"/>
      <c r="F607" s="61">
        <v>0</v>
      </c>
      <c r="G607" s="61">
        <v>0</v>
      </c>
      <c r="H607" s="61">
        <v>0</v>
      </c>
      <c r="I607" s="61">
        <v>0</v>
      </c>
      <c r="J607" s="61">
        <v>0</v>
      </c>
      <c r="K607" s="61">
        <v>0</v>
      </c>
      <c r="L607" s="61">
        <f>SUM(F607:K607)</f>
        <v>0</v>
      </c>
      <c r="M607" s="61">
        <f>L607/6</f>
        <v>0</v>
      </c>
      <c r="N607" s="61">
        <v>0</v>
      </c>
      <c r="O607" s="61">
        <v>0</v>
      </c>
      <c r="P607" s="61">
        <v>0</v>
      </c>
      <c r="Q607" s="61">
        <v>0</v>
      </c>
      <c r="R607" s="61">
        <v>0</v>
      </c>
      <c r="S607" s="61">
        <v>0</v>
      </c>
      <c r="T607" s="61">
        <f>SUM(N607:S607)</f>
        <v>0</v>
      </c>
      <c r="U607" s="61">
        <f>T607+L607</f>
        <v>0</v>
      </c>
      <c r="V607" s="61">
        <f>V602</f>
        <v>0</v>
      </c>
      <c r="W607" s="72">
        <f>V607-U607</f>
        <v>0</v>
      </c>
      <c r="X607" s="63">
        <f>U602-U607</f>
        <v>0</v>
      </c>
    </row>
    <row r="608" spans="1:28" s="126" customFormat="1" ht="21.8" hidden="1" customHeight="1">
      <c r="A608" s="614"/>
      <c r="B608" s="581"/>
      <c r="C608" s="581"/>
      <c r="D608" s="201" t="str">
        <f>серпень!D531</f>
        <v xml:space="preserve">місцевий </v>
      </c>
      <c r="E608" s="71"/>
      <c r="F608" s="61">
        <f t="shared" ref="F608:K608" si="688">F606-F607</f>
        <v>0</v>
      </c>
      <c r="G608" s="61">
        <f t="shared" si="688"/>
        <v>0</v>
      </c>
      <c r="H608" s="61">
        <f t="shared" si="688"/>
        <v>0</v>
      </c>
      <c r="I608" s="61">
        <f t="shared" si="688"/>
        <v>0</v>
      </c>
      <c r="J608" s="61">
        <f t="shared" si="688"/>
        <v>0</v>
      </c>
      <c r="K608" s="61">
        <f t="shared" si="688"/>
        <v>0</v>
      </c>
      <c r="L608" s="61">
        <f>SUM(F608:K608)</f>
        <v>0</v>
      </c>
      <c r="M608" s="61">
        <f>L608/6</f>
        <v>0</v>
      </c>
      <c r="N608" s="61">
        <f t="shared" ref="N608:S608" si="689">N606-N607</f>
        <v>0</v>
      </c>
      <c r="O608" s="61">
        <f t="shared" si="689"/>
        <v>0</v>
      </c>
      <c r="P608" s="61">
        <f t="shared" si="689"/>
        <v>0</v>
      </c>
      <c r="Q608" s="61">
        <f t="shared" si="689"/>
        <v>0</v>
      </c>
      <c r="R608" s="61">
        <f t="shared" si="689"/>
        <v>0</v>
      </c>
      <c r="S608" s="61">
        <f t="shared" si="689"/>
        <v>0</v>
      </c>
      <c r="T608" s="61">
        <f>SUM(N608:S608)</f>
        <v>0</v>
      </c>
      <c r="U608" s="61">
        <f>T608+L608</f>
        <v>0</v>
      </c>
      <c r="V608" s="61">
        <f>V603</f>
        <v>0</v>
      </c>
      <c r="W608" s="72">
        <f>V608-U608</f>
        <v>0</v>
      </c>
      <c r="X608" s="63">
        <f>U603-U608</f>
        <v>0</v>
      </c>
    </row>
    <row r="609" spans="1:28" s="43" customFormat="1" ht="21.8" hidden="1" customHeight="1">
      <c r="A609" s="614"/>
      <c r="B609" s="581"/>
      <c r="C609" s="581"/>
      <c r="D609" s="202" t="str">
        <f>серпень!D532</f>
        <v>план</v>
      </c>
      <c r="E609" s="42"/>
      <c r="F609" s="42">
        <f t="shared" ref="F609:K609" si="690">F603</f>
        <v>0</v>
      </c>
      <c r="G609" s="42">
        <f t="shared" si="690"/>
        <v>0</v>
      </c>
      <c r="H609" s="42">
        <f t="shared" si="690"/>
        <v>0</v>
      </c>
      <c r="I609" s="42">
        <f t="shared" si="690"/>
        <v>0</v>
      </c>
      <c r="J609" s="42">
        <f t="shared" si="690"/>
        <v>0</v>
      </c>
      <c r="K609" s="42">
        <f t="shared" si="690"/>
        <v>0</v>
      </c>
      <c r="L609" s="42">
        <f>SUM(F609:K609)</f>
        <v>0</v>
      </c>
      <c r="M609" s="42">
        <f>L609/6</f>
        <v>0</v>
      </c>
      <c r="N609" s="42">
        <f t="shared" ref="N609:S609" si="691">N603+N602</f>
        <v>0</v>
      </c>
      <c r="O609" s="42">
        <f t="shared" si="691"/>
        <v>0</v>
      </c>
      <c r="P609" s="42">
        <f t="shared" si="691"/>
        <v>0</v>
      </c>
      <c r="Q609" s="42">
        <f t="shared" si="691"/>
        <v>0</v>
      </c>
      <c r="R609" s="42">
        <f t="shared" si="691"/>
        <v>0</v>
      </c>
      <c r="S609" s="42">
        <f t="shared" si="691"/>
        <v>0</v>
      </c>
      <c r="T609" s="42">
        <f>SUM(N609:S609)</f>
        <v>0</v>
      </c>
      <c r="U609" s="42">
        <f>T609+L609</f>
        <v>0</v>
      </c>
      <c r="V609" s="42">
        <f>V606</f>
        <v>0</v>
      </c>
      <c r="W609" s="42">
        <f>V609-U609</f>
        <v>0</v>
      </c>
    </row>
    <row r="610" spans="1:28" s="43" customFormat="1" ht="21.8" hidden="1" customHeight="1">
      <c r="A610" s="614"/>
      <c r="B610" s="581"/>
      <c r="C610" s="581"/>
      <c r="D610" s="202" t="str">
        <f>серпень!D533</f>
        <v xml:space="preserve">відхилення </v>
      </c>
      <c r="E610" s="42"/>
      <c r="F610" s="42">
        <f t="shared" ref="F610:K610" si="692">F606-F609</f>
        <v>0</v>
      </c>
      <c r="G610" s="42">
        <f t="shared" si="692"/>
        <v>0</v>
      </c>
      <c r="H610" s="42">
        <f t="shared" si="692"/>
        <v>0</v>
      </c>
      <c r="I610" s="42">
        <f t="shared" si="692"/>
        <v>0</v>
      </c>
      <c r="J610" s="42">
        <f t="shared" si="692"/>
        <v>0</v>
      </c>
      <c r="K610" s="42">
        <f t="shared" si="692"/>
        <v>0</v>
      </c>
      <c r="L610" s="42"/>
      <c r="M610" s="42"/>
      <c r="N610" s="42">
        <f t="shared" ref="N610:S610" si="693">N606-N609</f>
        <v>0</v>
      </c>
      <c r="O610" s="42">
        <f t="shared" si="693"/>
        <v>0</v>
      </c>
      <c r="P610" s="42">
        <f t="shared" si="693"/>
        <v>0</v>
      </c>
      <c r="Q610" s="42">
        <f t="shared" si="693"/>
        <v>0</v>
      </c>
      <c r="R610" s="42">
        <f t="shared" si="693"/>
        <v>0</v>
      </c>
      <c r="S610" s="42">
        <f t="shared" si="693"/>
        <v>0</v>
      </c>
      <c r="T610" s="42"/>
      <c r="U610" s="42"/>
      <c r="V610" s="42"/>
      <c r="W610" s="42"/>
    </row>
    <row r="611" spans="1:28" s="43" customFormat="1" ht="21.8" hidden="1" customHeight="1">
      <c r="A611" s="614"/>
      <c r="B611" s="581"/>
      <c r="C611" s="581"/>
      <c r="D611" s="202" t="str">
        <f>серпень!D534</f>
        <v>відхилення з наростаючим</v>
      </c>
      <c r="E611" s="42"/>
      <c r="F611" s="42">
        <f>F610</f>
        <v>0</v>
      </c>
      <c r="G611" s="42">
        <f>G610+F611</f>
        <v>0</v>
      </c>
      <c r="H611" s="42">
        <f>H610+G611</f>
        <v>0</v>
      </c>
      <c r="I611" s="42">
        <f>I610+H611</f>
        <v>0</v>
      </c>
      <c r="J611" s="42">
        <f>J610+I611</f>
        <v>0</v>
      </c>
      <c r="K611" s="42">
        <f>K610+J611</f>
        <v>0</v>
      </c>
      <c r="L611" s="42"/>
      <c r="M611" s="42"/>
      <c r="N611" s="42">
        <f>N610+K611</f>
        <v>0</v>
      </c>
      <c r="O611" s="42">
        <f>O610+N611</f>
        <v>0</v>
      </c>
      <c r="P611" s="42">
        <f>P610+O611</f>
        <v>0</v>
      </c>
      <c r="Q611" s="42">
        <f>Q610+P611</f>
        <v>0</v>
      </c>
      <c r="R611" s="42">
        <f>R610+Q611</f>
        <v>0</v>
      </c>
      <c r="S611" s="42">
        <f>S610+R611</f>
        <v>0</v>
      </c>
      <c r="T611" s="42"/>
      <c r="U611" s="42"/>
      <c r="V611" s="42"/>
      <c r="W611" s="42"/>
    </row>
    <row r="612" spans="1:28" s="55" customFormat="1" ht="21.8" hidden="1" customHeight="1">
      <c r="A612" s="614"/>
      <c r="B612" s="654" t="s">
        <v>134</v>
      </c>
      <c r="C612" s="581"/>
      <c r="D612" s="178" t="str">
        <f>серпень!D535</f>
        <v>факт. нат.п-ки 2023</v>
      </c>
      <c r="E612" s="11"/>
      <c r="F612" s="12"/>
      <c r="G612" s="12"/>
      <c r="H612" s="12"/>
      <c r="I612" s="12"/>
      <c r="J612" s="12"/>
      <c r="K612" s="12"/>
      <c r="L612" s="65">
        <f>SUM(F612:K612)</f>
        <v>0</v>
      </c>
      <c r="M612" s="65">
        <f>L612/6</f>
        <v>0</v>
      </c>
      <c r="N612" s="12"/>
      <c r="O612" s="12"/>
      <c r="P612" s="12"/>
      <c r="Q612" s="12"/>
      <c r="R612" s="12"/>
      <c r="S612" s="12"/>
      <c r="T612" s="65">
        <f>SUM(N612:S612)</f>
        <v>0</v>
      </c>
      <c r="U612" s="65">
        <f>T612+L612</f>
        <v>0</v>
      </c>
      <c r="V612" s="67"/>
      <c r="W612" s="38"/>
      <c r="X612" s="47"/>
      <c r="Y612" s="48"/>
      <c r="Z612" s="48"/>
      <c r="AA612" s="48"/>
      <c r="AB612" s="48"/>
    </row>
    <row r="613" spans="1:28" s="48" customFormat="1" ht="21.8" hidden="1" customHeight="1">
      <c r="A613" s="614"/>
      <c r="B613" s="581"/>
      <c r="C613" s="581"/>
      <c r="D613" s="178" t="str">
        <f>серпень!D536</f>
        <v>факт. нат.п-ки 2024</v>
      </c>
      <c r="E613" s="11"/>
      <c r="F613" s="12"/>
      <c r="G613" s="12"/>
      <c r="H613" s="12"/>
      <c r="I613" s="12"/>
      <c r="J613" s="12"/>
      <c r="K613" s="12"/>
      <c r="L613" s="65">
        <f>SUM(F613:K613)</f>
        <v>0</v>
      </c>
      <c r="M613" s="65">
        <f>L613/6</f>
        <v>0</v>
      </c>
      <c r="N613" s="11"/>
      <c r="O613" s="11"/>
      <c r="P613" s="11"/>
      <c r="Q613" s="11"/>
      <c r="R613" s="11"/>
      <c r="S613" s="11"/>
      <c r="T613" s="65">
        <f>SUM(N613:S613)</f>
        <v>0</v>
      </c>
      <c r="U613" s="65">
        <f>T613+L613</f>
        <v>0</v>
      </c>
      <c r="V613" s="67"/>
      <c r="W613" s="38"/>
      <c r="X613" s="47"/>
    </row>
    <row r="614" spans="1:28" s="48" customFormat="1" ht="21.8" hidden="1" customHeight="1">
      <c r="A614" s="614"/>
      <c r="B614" s="581"/>
      <c r="C614" s="581"/>
      <c r="D614" s="178" t="str">
        <f>серпень!D537</f>
        <v>факт. нат.п-ки 2025</v>
      </c>
      <c r="E614" s="11"/>
      <c r="F614" s="12"/>
      <c r="G614" s="12"/>
      <c r="H614" s="12"/>
      <c r="I614" s="12"/>
      <c r="J614" s="12"/>
      <c r="K614" s="12"/>
      <c r="L614" s="65">
        <f>SUM(F614:K614)</f>
        <v>0</v>
      </c>
      <c r="M614" s="65">
        <f>L614/6</f>
        <v>0</v>
      </c>
      <c r="N614" s="12"/>
      <c r="O614" s="12"/>
      <c r="P614" s="12"/>
      <c r="Q614" s="12"/>
      <c r="R614" s="12"/>
      <c r="S614" s="11"/>
      <c r="T614" s="65">
        <f>SUM(N614:S614)</f>
        <v>0</v>
      </c>
      <c r="U614" s="65">
        <f>T614+L614</f>
        <v>0</v>
      </c>
      <c r="V614" s="11"/>
      <c r="W614" s="38">
        <f>V614-U614</f>
        <v>0</v>
      </c>
      <c r="X614" s="47"/>
    </row>
    <row r="615" spans="1:28" s="51" customFormat="1" ht="21.8" hidden="1" customHeight="1">
      <c r="A615" s="614"/>
      <c r="B615" s="581"/>
      <c r="C615" s="581"/>
      <c r="D615" s="187" t="str">
        <f>серпень!D538</f>
        <v>тариф, грн.</v>
      </c>
      <c r="E615" s="49"/>
      <c r="F615" s="49">
        <v>206.86</v>
      </c>
      <c r="G615" s="49">
        <v>206.86</v>
      </c>
      <c r="H615" s="49">
        <v>206.86</v>
      </c>
      <c r="I615" s="49">
        <v>206.86</v>
      </c>
      <c r="J615" s="49">
        <v>206.86</v>
      </c>
      <c r="K615" s="49">
        <v>206.86</v>
      </c>
      <c r="L615" s="68" t="e">
        <f>L616/L614*1000</f>
        <v>#DIV/0!</v>
      </c>
      <c r="M615" s="68" t="e">
        <f>M616/M614*1000</f>
        <v>#DIV/0!</v>
      </c>
      <c r="N615" s="49">
        <v>206.86</v>
      </c>
      <c r="O615" s="49">
        <v>206.86</v>
      </c>
      <c r="P615" s="49">
        <v>206.86</v>
      </c>
      <c r="Q615" s="49">
        <v>206.86</v>
      </c>
      <c r="R615" s="49">
        <v>206.86</v>
      </c>
      <c r="S615" s="49">
        <v>206.86</v>
      </c>
      <c r="T615" s="68" t="e">
        <f>T616/T614*1000</f>
        <v>#DIV/0!</v>
      </c>
      <c r="U615" s="68" t="e">
        <f>U616/U614*1000</f>
        <v>#DIV/0!</v>
      </c>
      <c r="V615" s="68" t="e">
        <f>V616/V614*1000</f>
        <v>#DIV/0!</v>
      </c>
      <c r="W615" s="14" t="e">
        <f>W616/W614*1000</f>
        <v>#DIV/0!</v>
      </c>
      <c r="X615" s="59"/>
    </row>
    <row r="616" spans="1:28" s="130" customFormat="1" ht="21.8" hidden="1" customHeight="1">
      <c r="A616" s="614"/>
      <c r="B616" s="581"/>
      <c r="C616" s="581"/>
      <c r="D616" s="191" t="str">
        <f>серпень!D539</f>
        <v>сума, тис.грн.</v>
      </c>
      <c r="E616" s="52"/>
      <c r="F616" s="52">
        <f t="shared" ref="F616:K616" si="694">F614*F615/1000</f>
        <v>0</v>
      </c>
      <c r="G616" s="52">
        <f t="shared" si="694"/>
        <v>0</v>
      </c>
      <c r="H616" s="52">
        <f t="shared" si="694"/>
        <v>0</v>
      </c>
      <c r="I616" s="52">
        <f t="shared" si="694"/>
        <v>0</v>
      </c>
      <c r="J616" s="52">
        <f t="shared" si="694"/>
        <v>0</v>
      </c>
      <c r="K616" s="52">
        <f t="shared" si="694"/>
        <v>0</v>
      </c>
      <c r="L616" s="69">
        <f>SUM(F616:K616)</f>
        <v>0</v>
      </c>
      <c r="M616" s="69">
        <f>L616/6</f>
        <v>0</v>
      </c>
      <c r="N616" s="52">
        <f t="shared" ref="N616:S616" si="695">N614*N615/1000</f>
        <v>0</v>
      </c>
      <c r="O616" s="52">
        <f t="shared" si="695"/>
        <v>0</v>
      </c>
      <c r="P616" s="52">
        <f t="shared" si="695"/>
        <v>0</v>
      </c>
      <c r="Q616" s="52">
        <f t="shared" si="695"/>
        <v>0</v>
      </c>
      <c r="R616" s="52">
        <f t="shared" si="695"/>
        <v>0</v>
      </c>
      <c r="S616" s="52">
        <f t="shared" si="695"/>
        <v>0</v>
      </c>
      <c r="T616" s="69">
        <f>SUM(N616:S616)</f>
        <v>0</v>
      </c>
      <c r="U616" s="69">
        <f>T616+L616</f>
        <v>0</v>
      </c>
      <c r="V616" s="70">
        <f>V617+V618</f>
        <v>0</v>
      </c>
      <c r="W616" s="53">
        <f>V616-U616</f>
        <v>0</v>
      </c>
    </row>
    <row r="617" spans="1:28" s="130" customFormat="1" ht="21.8" hidden="1" customHeight="1">
      <c r="A617" s="614"/>
      <c r="B617" s="581"/>
      <c r="C617" s="581"/>
      <c r="D617" s="174" t="str">
        <f>серпень!D540</f>
        <v>дотація</v>
      </c>
      <c r="E617" s="56"/>
      <c r="F617" s="52"/>
      <c r="G617" s="52"/>
      <c r="H617" s="52"/>
      <c r="I617" s="52"/>
      <c r="J617" s="52"/>
      <c r="K617" s="52"/>
      <c r="L617" s="69">
        <f>SUM(F617:K617)</f>
        <v>0</v>
      </c>
      <c r="M617" s="69">
        <f>L617/6</f>
        <v>0</v>
      </c>
      <c r="N617" s="52"/>
      <c r="O617" s="52"/>
      <c r="P617" s="52"/>
      <c r="Q617" s="52"/>
      <c r="R617" s="52"/>
      <c r="S617" s="52"/>
      <c r="T617" s="69">
        <f>SUM(N617:S617)</f>
        <v>0</v>
      </c>
      <c r="U617" s="69">
        <f>T617+L617</f>
        <v>0</v>
      </c>
      <c r="V617" s="70">
        <v>0</v>
      </c>
      <c r="W617" s="53">
        <f>V617-U617</f>
        <v>0</v>
      </c>
    </row>
    <row r="618" spans="1:28" s="130" customFormat="1" ht="21.8" hidden="1" customHeight="1">
      <c r="A618" s="614"/>
      <c r="B618" s="581"/>
      <c r="C618" s="581"/>
      <c r="D618" s="174" t="str">
        <f>серпень!D541</f>
        <v>місцевий (план), тис.грн</v>
      </c>
      <c r="E618" s="56"/>
      <c r="F618" s="52"/>
      <c r="G618" s="52"/>
      <c r="H618" s="52"/>
      <c r="I618" s="52"/>
      <c r="J618" s="52"/>
      <c r="K618" s="52"/>
      <c r="L618" s="69">
        <f>SUM(F618:K618)</f>
        <v>0</v>
      </c>
      <c r="M618" s="69">
        <f>L618/6</f>
        <v>0</v>
      </c>
      <c r="N618" s="52"/>
      <c r="O618" s="52"/>
      <c r="P618" s="52"/>
      <c r="Q618" s="52"/>
      <c r="R618" s="52"/>
      <c r="S618" s="52"/>
      <c r="T618" s="69">
        <f>SUM(N618:S618)</f>
        <v>0</v>
      </c>
      <c r="U618" s="69">
        <f>T618+L618</f>
        <v>0</v>
      </c>
      <c r="V618" s="70"/>
      <c r="W618" s="53">
        <f>V618-U618</f>
        <v>0</v>
      </c>
    </row>
    <row r="619" spans="1:28" s="48" customFormat="1" ht="21.8" hidden="1" customHeight="1">
      <c r="A619" s="614"/>
      <c r="B619" s="581"/>
      <c r="C619" s="581"/>
      <c r="D619" s="178" t="str">
        <f>серпень!D542</f>
        <v>касові нат.п-ки 2025</v>
      </c>
      <c r="E619" s="11"/>
      <c r="F619" s="11"/>
      <c r="G619" s="11"/>
      <c r="H619" s="11"/>
      <c r="I619" s="11"/>
      <c r="J619" s="11"/>
      <c r="K619" s="11"/>
      <c r="L619" s="65">
        <f>SUM(F619:K619)</f>
        <v>0</v>
      </c>
      <c r="M619" s="65">
        <f>L619/6</f>
        <v>0</v>
      </c>
      <c r="N619" s="11"/>
      <c r="O619" s="11"/>
      <c r="P619" s="11"/>
      <c r="Q619" s="11"/>
      <c r="R619" s="11"/>
      <c r="S619" s="11"/>
      <c r="T619" s="65">
        <f>SUM(N619:S619)</f>
        <v>0</v>
      </c>
      <c r="U619" s="65">
        <f>T619+L619</f>
        <v>0</v>
      </c>
      <c r="V619" s="11">
        <f>V614</f>
        <v>0</v>
      </c>
      <c r="W619" s="38">
        <f>V619-U619</f>
        <v>0</v>
      </c>
      <c r="X619" s="47">
        <f>U614-U619</f>
        <v>0</v>
      </c>
    </row>
    <row r="620" spans="1:28" s="51" customFormat="1" ht="21.8" hidden="1" customHeight="1">
      <c r="A620" s="614"/>
      <c r="B620" s="581"/>
      <c r="C620" s="581"/>
      <c r="D620" s="187" t="str">
        <f>серпень!D543</f>
        <v>тариф, грн.</v>
      </c>
      <c r="E620" s="49" t="e">
        <f>E621/E619*1000</f>
        <v>#DIV/0!</v>
      </c>
      <c r="F620" s="49">
        <v>206.86</v>
      </c>
      <c r="G620" s="49">
        <v>206.86</v>
      </c>
      <c r="H620" s="49">
        <v>206.86</v>
      </c>
      <c r="I620" s="49">
        <v>206.86</v>
      </c>
      <c r="J620" s="49">
        <v>206.86</v>
      </c>
      <c r="K620" s="49">
        <v>206.86</v>
      </c>
      <c r="L620" s="68" t="e">
        <f>L621/L619*1000</f>
        <v>#DIV/0!</v>
      </c>
      <c r="M620" s="68" t="e">
        <f>M621/M619*1000</f>
        <v>#DIV/0!</v>
      </c>
      <c r="N620" s="49">
        <v>206.86</v>
      </c>
      <c r="O620" s="49">
        <v>206.86</v>
      </c>
      <c r="P620" s="49">
        <v>206.86</v>
      </c>
      <c r="Q620" s="49">
        <v>206.86</v>
      </c>
      <c r="R620" s="49">
        <v>206.86</v>
      </c>
      <c r="S620" s="49">
        <v>206.86</v>
      </c>
      <c r="T620" s="68" t="e">
        <f>T621/T619*1000</f>
        <v>#DIV/0!</v>
      </c>
      <c r="U620" s="68" t="e">
        <f>U621/U619*1000</f>
        <v>#DIV/0!</v>
      </c>
      <c r="V620" s="68" t="e">
        <f>V621/V619*1000</f>
        <v>#DIV/0!</v>
      </c>
      <c r="W620" s="14" t="e">
        <f>W621/W619*1000</f>
        <v>#DIV/0!</v>
      </c>
      <c r="X620" s="59"/>
    </row>
    <row r="621" spans="1:28" s="126" customFormat="1" ht="21.8" hidden="1" customHeight="1">
      <c r="A621" s="614"/>
      <c r="B621" s="581"/>
      <c r="C621" s="581"/>
      <c r="D621" s="198" t="str">
        <f>серпень!D544</f>
        <v>касові видатки, тис.грн.</v>
      </c>
      <c r="E621" s="71"/>
      <c r="F621" s="61">
        <f t="shared" ref="F621:K621" si="696">F619*F620/1000</f>
        <v>0</v>
      </c>
      <c r="G621" s="61">
        <f t="shared" si="696"/>
        <v>0</v>
      </c>
      <c r="H621" s="61">
        <f t="shared" si="696"/>
        <v>0</v>
      </c>
      <c r="I621" s="61">
        <f t="shared" si="696"/>
        <v>0</v>
      </c>
      <c r="J621" s="61">
        <f t="shared" si="696"/>
        <v>0</v>
      </c>
      <c r="K621" s="61">
        <f t="shared" si="696"/>
        <v>0</v>
      </c>
      <c r="L621" s="61">
        <f>SUM(F621:K621)</f>
        <v>0</v>
      </c>
      <c r="M621" s="61">
        <f>L621/6</f>
        <v>0</v>
      </c>
      <c r="N621" s="61">
        <f t="shared" ref="N621:S621" si="697">N619*N620/1000</f>
        <v>0</v>
      </c>
      <c r="O621" s="61">
        <f t="shared" si="697"/>
        <v>0</v>
      </c>
      <c r="P621" s="61">
        <f t="shared" si="697"/>
        <v>0</v>
      </c>
      <c r="Q621" s="61">
        <f t="shared" si="697"/>
        <v>0</v>
      </c>
      <c r="R621" s="61">
        <f t="shared" si="697"/>
        <v>0</v>
      </c>
      <c r="S621" s="61">
        <f t="shared" si="697"/>
        <v>0</v>
      </c>
      <c r="T621" s="61">
        <f>SUM(N621:S621)</f>
        <v>0</v>
      </c>
      <c r="U621" s="61">
        <f>T621+L621</f>
        <v>0</v>
      </c>
      <c r="V621" s="61">
        <f>V616</f>
        <v>0</v>
      </c>
      <c r="W621" s="72">
        <f>V621-U621</f>
        <v>0</v>
      </c>
      <c r="X621" s="63">
        <f>U616-U621</f>
        <v>0</v>
      </c>
    </row>
    <row r="622" spans="1:28" s="126" customFormat="1" ht="21.8" hidden="1" customHeight="1">
      <c r="A622" s="614"/>
      <c r="B622" s="581"/>
      <c r="C622" s="581"/>
      <c r="D622" s="201" t="str">
        <f>серпень!D545</f>
        <v>дотація</v>
      </c>
      <c r="E622" s="71"/>
      <c r="F622" s="61">
        <v>0</v>
      </c>
      <c r="G622" s="61">
        <v>0</v>
      </c>
      <c r="H622" s="61">
        <v>0</v>
      </c>
      <c r="I622" s="61">
        <v>0</v>
      </c>
      <c r="J622" s="61">
        <v>0</v>
      </c>
      <c r="K622" s="61">
        <v>0</v>
      </c>
      <c r="L622" s="61">
        <f>SUM(F622:K622)</f>
        <v>0</v>
      </c>
      <c r="M622" s="61">
        <f>L622/6</f>
        <v>0</v>
      </c>
      <c r="N622" s="61">
        <v>0</v>
      </c>
      <c r="O622" s="61">
        <v>0</v>
      </c>
      <c r="P622" s="61">
        <v>0</v>
      </c>
      <c r="Q622" s="61">
        <v>0</v>
      </c>
      <c r="R622" s="61">
        <v>0</v>
      </c>
      <c r="S622" s="61">
        <v>0</v>
      </c>
      <c r="T622" s="61">
        <f>SUM(N622:S622)</f>
        <v>0</v>
      </c>
      <c r="U622" s="61">
        <f>T622+L622</f>
        <v>0</v>
      </c>
      <c r="V622" s="61">
        <f>V617</f>
        <v>0</v>
      </c>
      <c r="W622" s="72">
        <f>V622-U622</f>
        <v>0</v>
      </c>
      <c r="X622" s="63">
        <f>U617-U622</f>
        <v>0</v>
      </c>
    </row>
    <row r="623" spans="1:28" s="126" customFormat="1" ht="21.8" hidden="1" customHeight="1">
      <c r="A623" s="614"/>
      <c r="B623" s="581"/>
      <c r="C623" s="581"/>
      <c r="D623" s="201" t="str">
        <f>серпень!D546</f>
        <v xml:space="preserve">місцевий </v>
      </c>
      <c r="E623" s="71"/>
      <c r="F623" s="61">
        <f t="shared" ref="F623:K623" si="698">F621-F622</f>
        <v>0</v>
      </c>
      <c r="G623" s="61">
        <f t="shared" si="698"/>
        <v>0</v>
      </c>
      <c r="H623" s="61">
        <f t="shared" si="698"/>
        <v>0</v>
      </c>
      <c r="I623" s="61">
        <f t="shared" si="698"/>
        <v>0</v>
      </c>
      <c r="J623" s="61">
        <f t="shared" si="698"/>
        <v>0</v>
      </c>
      <c r="K623" s="61">
        <f t="shared" si="698"/>
        <v>0</v>
      </c>
      <c r="L623" s="61">
        <f>SUM(F623:K623)</f>
        <v>0</v>
      </c>
      <c r="M623" s="61">
        <f>L623/6</f>
        <v>0</v>
      </c>
      <c r="N623" s="61">
        <f t="shared" ref="N623:S623" si="699">N621-N622</f>
        <v>0</v>
      </c>
      <c r="O623" s="61">
        <f t="shared" si="699"/>
        <v>0</v>
      </c>
      <c r="P623" s="61">
        <f t="shared" si="699"/>
        <v>0</v>
      </c>
      <c r="Q623" s="61">
        <f t="shared" si="699"/>
        <v>0</v>
      </c>
      <c r="R623" s="61">
        <f t="shared" si="699"/>
        <v>0</v>
      </c>
      <c r="S623" s="61">
        <f t="shared" si="699"/>
        <v>0</v>
      </c>
      <c r="T623" s="61">
        <f>SUM(N623:S623)</f>
        <v>0</v>
      </c>
      <c r="U623" s="61">
        <f>T623+L623</f>
        <v>0</v>
      </c>
      <c r="V623" s="61">
        <f>V618</f>
        <v>0</v>
      </c>
      <c r="W623" s="72">
        <f>V623-U623</f>
        <v>0</v>
      </c>
      <c r="X623" s="63">
        <f>U618-U623</f>
        <v>0</v>
      </c>
    </row>
    <row r="624" spans="1:28" s="43" customFormat="1" ht="21.8" hidden="1" customHeight="1">
      <c r="A624" s="614"/>
      <c r="B624" s="581"/>
      <c r="C624" s="581"/>
      <c r="D624" s="202" t="str">
        <f>серпень!D547</f>
        <v>план</v>
      </c>
      <c r="E624" s="42"/>
      <c r="F624" s="42">
        <f t="shared" ref="F624:K624" si="700">F618</f>
        <v>0</v>
      </c>
      <c r="G624" s="42">
        <f t="shared" si="700"/>
        <v>0</v>
      </c>
      <c r="H624" s="42">
        <f t="shared" si="700"/>
        <v>0</v>
      </c>
      <c r="I624" s="42">
        <f t="shared" si="700"/>
        <v>0</v>
      </c>
      <c r="J624" s="42">
        <f t="shared" si="700"/>
        <v>0</v>
      </c>
      <c r="K624" s="42">
        <f t="shared" si="700"/>
        <v>0</v>
      </c>
      <c r="L624" s="42">
        <f>SUM(F624:K624)</f>
        <v>0</v>
      </c>
      <c r="M624" s="42">
        <f>L624/6</f>
        <v>0</v>
      </c>
      <c r="N624" s="42">
        <f t="shared" ref="N624:S624" si="701">N618+N617</f>
        <v>0</v>
      </c>
      <c r="O624" s="42">
        <f t="shared" si="701"/>
        <v>0</v>
      </c>
      <c r="P624" s="42">
        <f t="shared" si="701"/>
        <v>0</v>
      </c>
      <c r="Q624" s="42">
        <f t="shared" si="701"/>
        <v>0</v>
      </c>
      <c r="R624" s="42">
        <f t="shared" si="701"/>
        <v>0</v>
      </c>
      <c r="S624" s="42">
        <f t="shared" si="701"/>
        <v>0</v>
      </c>
      <c r="T624" s="42">
        <f>SUM(N624:S624)</f>
        <v>0</v>
      </c>
      <c r="U624" s="42">
        <f>T624+L624</f>
        <v>0</v>
      </c>
      <c r="V624" s="42">
        <f>V621</f>
        <v>0</v>
      </c>
      <c r="W624" s="42">
        <f>V624-U624</f>
        <v>0</v>
      </c>
    </row>
    <row r="625" spans="1:28" s="43" customFormat="1" ht="21.8" hidden="1" customHeight="1">
      <c r="A625" s="614"/>
      <c r="B625" s="581"/>
      <c r="C625" s="581"/>
      <c r="D625" s="202" t="str">
        <f>серпень!D548</f>
        <v xml:space="preserve">відхилення </v>
      </c>
      <c r="E625" s="42"/>
      <c r="F625" s="42">
        <f t="shared" ref="F625:K625" si="702">F621-F624</f>
        <v>0</v>
      </c>
      <c r="G625" s="42">
        <f t="shared" si="702"/>
        <v>0</v>
      </c>
      <c r="H625" s="42">
        <f t="shared" si="702"/>
        <v>0</v>
      </c>
      <c r="I625" s="42">
        <f t="shared" si="702"/>
        <v>0</v>
      </c>
      <c r="J625" s="42">
        <f t="shared" si="702"/>
        <v>0</v>
      </c>
      <c r="K625" s="42">
        <f t="shared" si="702"/>
        <v>0</v>
      </c>
      <c r="L625" s="42"/>
      <c r="M625" s="42"/>
      <c r="N625" s="42">
        <f t="shared" ref="N625:S625" si="703">N621-N624</f>
        <v>0</v>
      </c>
      <c r="O625" s="42">
        <f t="shared" si="703"/>
        <v>0</v>
      </c>
      <c r="P625" s="42">
        <f t="shared" si="703"/>
        <v>0</v>
      </c>
      <c r="Q625" s="42">
        <f t="shared" si="703"/>
        <v>0</v>
      </c>
      <c r="R625" s="42">
        <f t="shared" si="703"/>
        <v>0</v>
      </c>
      <c r="S625" s="42">
        <f t="shared" si="703"/>
        <v>0</v>
      </c>
      <c r="T625" s="42"/>
      <c r="U625" s="42"/>
      <c r="V625" s="42"/>
      <c r="W625" s="42"/>
    </row>
    <row r="626" spans="1:28" s="43" customFormat="1" ht="21.8" hidden="1" customHeight="1">
      <c r="A626" s="614"/>
      <c r="B626" s="581"/>
      <c r="C626" s="581"/>
      <c r="D626" s="202" t="str">
        <f>серпень!D549</f>
        <v>відхилення з наростаючим</v>
      </c>
      <c r="E626" s="42"/>
      <c r="F626" s="42">
        <f>F625</f>
        <v>0</v>
      </c>
      <c r="G626" s="42">
        <f>G625+F626</f>
        <v>0</v>
      </c>
      <c r="H626" s="42">
        <f>H625+G626</f>
        <v>0</v>
      </c>
      <c r="I626" s="42">
        <f>I625+H626</f>
        <v>0</v>
      </c>
      <c r="J626" s="42">
        <f>J625+I626</f>
        <v>0</v>
      </c>
      <c r="K626" s="42">
        <f>K625+J626</f>
        <v>0</v>
      </c>
      <c r="L626" s="42"/>
      <c r="M626" s="42"/>
      <c r="N626" s="42">
        <f>N625+K626</f>
        <v>0</v>
      </c>
      <c r="O626" s="42">
        <f>O625+N626</f>
        <v>0</v>
      </c>
      <c r="P626" s="42">
        <f>P625+O626</f>
        <v>0</v>
      </c>
      <c r="Q626" s="42">
        <f>Q625+P626</f>
        <v>0</v>
      </c>
      <c r="R626" s="42">
        <f>R625+Q626</f>
        <v>0</v>
      </c>
      <c r="S626" s="42">
        <f>S625+R626</f>
        <v>0</v>
      </c>
      <c r="T626" s="42"/>
      <c r="U626" s="42"/>
      <c r="V626" s="42"/>
      <c r="W626" s="42"/>
    </row>
    <row r="627" spans="1:28" s="55" customFormat="1" ht="18" customHeight="1">
      <c r="A627" s="614"/>
      <c r="B627" s="581" t="s">
        <v>66</v>
      </c>
      <c r="C627" s="581"/>
      <c r="D627" s="178" t="str">
        <f>серпень!D550</f>
        <v>факт. нат.п-ки 2023</v>
      </c>
      <c r="E627" s="11"/>
      <c r="F627" s="82">
        <f t="shared" ref="F627:K628" si="704">F644+F674</f>
        <v>18.7</v>
      </c>
      <c r="G627" s="82">
        <f t="shared" si="704"/>
        <v>18.7</v>
      </c>
      <c r="H627" s="82">
        <f t="shared" si="704"/>
        <v>18.7</v>
      </c>
      <c r="I627" s="82">
        <f t="shared" si="704"/>
        <v>20.3</v>
      </c>
      <c r="J627" s="82">
        <f t="shared" si="704"/>
        <v>18.7</v>
      </c>
      <c r="K627" s="82">
        <f t="shared" si="704"/>
        <v>18.7</v>
      </c>
      <c r="L627" s="125">
        <f>SUM(F627:K627)</f>
        <v>113.8</v>
      </c>
      <c r="M627" s="125">
        <f>L627/6</f>
        <v>18.966999999999999</v>
      </c>
      <c r="N627" s="82">
        <f t="shared" ref="N627:S628" si="705">N644+N674</f>
        <v>19</v>
      </c>
      <c r="O627" s="82">
        <f t="shared" si="705"/>
        <v>19</v>
      </c>
      <c r="P627" s="82">
        <f t="shared" si="705"/>
        <v>19</v>
      </c>
      <c r="Q627" s="82">
        <f t="shared" si="705"/>
        <v>19.100000000000001</v>
      </c>
      <c r="R627" s="82">
        <f t="shared" si="705"/>
        <v>14.3</v>
      </c>
      <c r="S627" s="82">
        <f t="shared" si="705"/>
        <v>3.1</v>
      </c>
      <c r="T627" s="125">
        <f>SUM(N627:S627)</f>
        <v>93.5</v>
      </c>
      <c r="U627" s="125">
        <f>T627+L627</f>
        <v>207.3</v>
      </c>
      <c r="V627" s="349"/>
      <c r="W627" s="505"/>
      <c r="X627" s="47"/>
      <c r="Y627" s="48"/>
      <c r="Z627" s="48"/>
      <c r="AA627" s="48"/>
      <c r="AB627" s="48"/>
    </row>
    <row r="628" spans="1:28" s="48" customFormat="1" ht="18" customHeight="1">
      <c r="A628" s="614"/>
      <c r="B628" s="581"/>
      <c r="C628" s="581"/>
      <c r="D628" s="178" t="str">
        <f>серпень!D551</f>
        <v>факт. нат.п-ки 2024</v>
      </c>
      <c r="E628" s="11"/>
      <c r="F628" s="82">
        <f t="shared" si="704"/>
        <v>18.7</v>
      </c>
      <c r="G628" s="82">
        <f t="shared" si="704"/>
        <v>18.7</v>
      </c>
      <c r="H628" s="82">
        <f t="shared" si="704"/>
        <v>18.7</v>
      </c>
      <c r="I628" s="82">
        <f t="shared" si="704"/>
        <v>18.7</v>
      </c>
      <c r="J628" s="82">
        <f t="shared" si="704"/>
        <v>18.7</v>
      </c>
      <c r="K628" s="82">
        <f t="shared" si="704"/>
        <v>18.7</v>
      </c>
      <c r="L628" s="125">
        <f>SUM(F628:K628)</f>
        <v>112.2</v>
      </c>
      <c r="M628" s="125">
        <f>L628/6</f>
        <v>18.7</v>
      </c>
      <c r="N628" s="82">
        <f t="shared" si="705"/>
        <v>19</v>
      </c>
      <c r="O628" s="82">
        <f t="shared" si="705"/>
        <v>19</v>
      </c>
      <c r="P628" s="82">
        <f t="shared" si="705"/>
        <v>19</v>
      </c>
      <c r="Q628" s="82">
        <f t="shared" si="705"/>
        <v>19.100000000000001</v>
      </c>
      <c r="R628" s="82">
        <f t="shared" si="705"/>
        <v>14.3</v>
      </c>
      <c r="S628" s="82">
        <f t="shared" si="705"/>
        <v>3.1</v>
      </c>
      <c r="T628" s="125">
        <f>SUM(N628:S628)</f>
        <v>93.5</v>
      </c>
      <c r="U628" s="125">
        <f>T628+L628</f>
        <v>205.7</v>
      </c>
      <c r="V628" s="349"/>
      <c r="W628" s="505"/>
      <c r="X628" s="47"/>
    </row>
    <row r="629" spans="1:28" s="48" customFormat="1" ht="18" customHeight="1">
      <c r="A629" s="614"/>
      <c r="B629" s="581"/>
      <c r="C629" s="581"/>
      <c r="D629" s="178" t="str">
        <f>серпень!D552</f>
        <v>факт. нат.п-ки 2025</v>
      </c>
      <c r="E629" s="11"/>
      <c r="F629" s="82">
        <f t="shared" ref="F629:G629" si="706">F646+F677</f>
        <v>25.67</v>
      </c>
      <c r="G629" s="82">
        <f t="shared" si="706"/>
        <v>21.082000000000001</v>
      </c>
      <c r="H629" s="82">
        <f>H646+H677</f>
        <v>28.422000000000001</v>
      </c>
      <c r="I629" s="82">
        <f t="shared" ref="I629:K629" si="707">I646+I677</f>
        <v>22.558</v>
      </c>
      <c r="J629" s="82">
        <f t="shared" si="707"/>
        <v>22.558</v>
      </c>
      <c r="K629" s="82">
        <f t="shared" si="707"/>
        <v>22.558</v>
      </c>
      <c r="L629" s="125">
        <f>SUM(F629:K629)</f>
        <v>142.84800000000001</v>
      </c>
      <c r="M629" s="125">
        <f>L629/6</f>
        <v>23.808</v>
      </c>
      <c r="N629" s="82">
        <f t="shared" ref="N629:O629" si="708">N646+N677</f>
        <v>22.558</v>
      </c>
      <c r="O629" s="82">
        <f t="shared" si="708"/>
        <v>0</v>
      </c>
      <c r="P629" s="82">
        <f>P646+P677</f>
        <v>22.558</v>
      </c>
      <c r="Q629" s="82">
        <f t="shared" ref="Q629:R629" si="709">Q646+Q677</f>
        <v>22.558</v>
      </c>
      <c r="R629" s="82">
        <f t="shared" si="709"/>
        <v>22.558</v>
      </c>
      <c r="S629" s="82">
        <f>S646+S677</f>
        <v>22.562000000000001</v>
      </c>
      <c r="T629" s="125">
        <f>SUM(N629:S629)</f>
        <v>112.794</v>
      </c>
      <c r="U629" s="125">
        <f>T629+L629</f>
        <v>255.642</v>
      </c>
      <c r="V629" s="349">
        <f>V646+V676</f>
        <v>270.7</v>
      </c>
      <c r="W629" s="505">
        <f>V629-U629</f>
        <v>15.058</v>
      </c>
      <c r="X629" s="47"/>
    </row>
    <row r="630" spans="1:28" s="51" customFormat="1" ht="18" customHeight="1">
      <c r="A630" s="614"/>
      <c r="B630" s="581"/>
      <c r="C630" s="581"/>
      <c r="D630" s="187" t="str">
        <f>серпень!D553</f>
        <v>тариф, грн.</v>
      </c>
      <c r="E630" s="49"/>
      <c r="F630" s="49">
        <f t="shared" ref="F630:W630" si="710">F631/F629*1000</f>
        <v>152.63</v>
      </c>
      <c r="G630" s="49">
        <f t="shared" si="710"/>
        <v>152.642</v>
      </c>
      <c r="H630" s="49">
        <f t="shared" si="710"/>
        <v>152.55799999999999</v>
      </c>
      <c r="I630" s="49">
        <f t="shared" si="710"/>
        <v>173.553</v>
      </c>
      <c r="J630" s="49">
        <f t="shared" si="710"/>
        <v>179.84800000000001</v>
      </c>
      <c r="K630" s="49">
        <f t="shared" si="710"/>
        <v>179.892</v>
      </c>
      <c r="L630" s="49">
        <f t="shared" si="710"/>
        <v>164.52500000000001</v>
      </c>
      <c r="M630" s="49">
        <f t="shared" si="710"/>
        <v>164.52500000000001</v>
      </c>
      <c r="N630" s="49">
        <f t="shared" si="710"/>
        <v>179.892</v>
      </c>
      <c r="O630" s="49" t="e">
        <f t="shared" si="710"/>
        <v>#DIV/0!</v>
      </c>
      <c r="P630" s="49">
        <f t="shared" si="710"/>
        <v>152.62899999999999</v>
      </c>
      <c r="Q630" s="49">
        <f t="shared" si="710"/>
        <v>152.62899999999999</v>
      </c>
      <c r="R630" s="49">
        <f t="shared" si="710"/>
        <v>152.62899999999999</v>
      </c>
      <c r="S630" s="49">
        <f t="shared" si="710"/>
        <v>152.779</v>
      </c>
      <c r="T630" s="49">
        <f t="shared" si="710"/>
        <v>158.11099999999999</v>
      </c>
      <c r="U630" s="49">
        <f t="shared" si="710"/>
        <v>161.69499999999999</v>
      </c>
      <c r="V630" s="49">
        <f t="shared" si="710"/>
        <v>152.64099999999999</v>
      </c>
      <c r="W630" s="49">
        <f t="shared" si="710"/>
        <v>-1.0629999999999999</v>
      </c>
      <c r="X630" s="59"/>
    </row>
    <row r="631" spans="1:28" s="130" customFormat="1" ht="18" customHeight="1">
      <c r="A631" s="614"/>
      <c r="B631" s="581"/>
      <c r="C631" s="581"/>
      <c r="D631" s="191" t="str">
        <f>серпень!D554</f>
        <v>сума, тис.грн.</v>
      </c>
      <c r="E631" s="52"/>
      <c r="F631" s="52">
        <f>F648+F678</f>
        <v>3.9180000000000001</v>
      </c>
      <c r="G631" s="52">
        <f t="shared" ref="G631:K631" si="711">G648+G678</f>
        <v>3.218</v>
      </c>
      <c r="H631" s="52">
        <f t="shared" si="711"/>
        <v>4.3360000000000003</v>
      </c>
      <c r="I631" s="52">
        <f t="shared" si="711"/>
        <v>3.915</v>
      </c>
      <c r="J631" s="52">
        <f t="shared" si="711"/>
        <v>4.0570000000000004</v>
      </c>
      <c r="K631" s="52">
        <f t="shared" si="711"/>
        <v>4.0579999999999998</v>
      </c>
      <c r="L631" s="69">
        <f>SUM(F631:K631)</f>
        <v>23.501999999999999</v>
      </c>
      <c r="M631" s="69">
        <f>L631/6</f>
        <v>3.9169999999999998</v>
      </c>
      <c r="N631" s="52">
        <f>N648+N678</f>
        <v>4.0579999999999998</v>
      </c>
      <c r="O631" s="52">
        <f t="shared" ref="O631:S631" si="712">O648+O678</f>
        <v>0</v>
      </c>
      <c r="P631" s="52">
        <f t="shared" si="712"/>
        <v>3.4430000000000001</v>
      </c>
      <c r="Q631" s="52">
        <f t="shared" si="712"/>
        <v>3.4430000000000001</v>
      </c>
      <c r="R631" s="52">
        <f t="shared" si="712"/>
        <v>3.4430000000000001</v>
      </c>
      <c r="S631" s="52">
        <f t="shared" si="712"/>
        <v>3.4470000000000001</v>
      </c>
      <c r="T631" s="69">
        <f>SUM(N631:S631)</f>
        <v>17.834</v>
      </c>
      <c r="U631" s="69">
        <f>T631+L631</f>
        <v>41.335999999999999</v>
      </c>
      <c r="V631" s="69">
        <f>V648+V678</f>
        <v>41.32</v>
      </c>
      <c r="W631" s="52">
        <f>V631-U631</f>
        <v>-1.6E-2</v>
      </c>
    </row>
    <row r="632" spans="1:28" s="130" customFormat="1" ht="18" customHeight="1">
      <c r="A632" s="614"/>
      <c r="B632" s="581"/>
      <c r="C632" s="581"/>
      <c r="D632" s="174" t="str">
        <f>серпень!D555</f>
        <v>абоненська плата, тис.грн.</v>
      </c>
      <c r="E632" s="52"/>
      <c r="F632" s="52">
        <f>F663+F693</f>
        <v>0</v>
      </c>
      <c r="G632" s="52">
        <f t="shared" ref="G632:K632" si="713">G663+G693</f>
        <v>0</v>
      </c>
      <c r="H632" s="52">
        <f t="shared" si="713"/>
        <v>0</v>
      </c>
      <c r="I632" s="52">
        <f t="shared" si="713"/>
        <v>0</v>
      </c>
      <c r="J632" s="52">
        <f t="shared" si="713"/>
        <v>0</v>
      </c>
      <c r="K632" s="52">
        <f t="shared" si="713"/>
        <v>0</v>
      </c>
      <c r="L632" s="69">
        <f t="shared" ref="L632:L633" si="714">SUM(F632:K632)</f>
        <v>0</v>
      </c>
      <c r="M632" s="69">
        <f t="shared" ref="M632:M633" si="715">L632/6</f>
        <v>0</v>
      </c>
      <c r="N632" s="52">
        <f>N663+N693</f>
        <v>0</v>
      </c>
      <c r="O632" s="52">
        <f t="shared" ref="O632:S632" si="716">O663+O693</f>
        <v>0</v>
      </c>
      <c r="P632" s="52">
        <f t="shared" si="716"/>
        <v>0</v>
      </c>
      <c r="Q632" s="52">
        <f t="shared" si="716"/>
        <v>0</v>
      </c>
      <c r="R632" s="52">
        <f t="shared" si="716"/>
        <v>0</v>
      </c>
      <c r="S632" s="52">
        <f t="shared" si="716"/>
        <v>0</v>
      </c>
      <c r="T632" s="69">
        <f t="shared" ref="T632:T633" si="717">SUM(N632:S632)</f>
        <v>0</v>
      </c>
      <c r="U632" s="69">
        <f t="shared" ref="U632:U633" si="718">T632+L632</f>
        <v>0</v>
      </c>
      <c r="V632" s="69">
        <f>V665+V695</f>
        <v>0</v>
      </c>
      <c r="W632" s="52">
        <f t="shared" ref="W632:W633" si="719">V632-U632</f>
        <v>0</v>
      </c>
    </row>
    <row r="633" spans="1:28" s="130" customFormat="1" ht="18" customHeight="1">
      <c r="A633" s="614"/>
      <c r="B633" s="581"/>
      <c r="C633" s="581"/>
      <c r="D633" s="174" t="str">
        <f>серпень!D556</f>
        <v>разом сума тис. грн+абонплата</v>
      </c>
      <c r="E633" s="52"/>
      <c r="F633" s="52">
        <f>F631+F632</f>
        <v>3.9180000000000001</v>
      </c>
      <c r="G633" s="52">
        <f t="shared" ref="G633:K633" si="720">G631+G632</f>
        <v>3.218</v>
      </c>
      <c r="H633" s="52">
        <f t="shared" si="720"/>
        <v>4.3360000000000003</v>
      </c>
      <c r="I633" s="52">
        <f t="shared" si="720"/>
        <v>3.915</v>
      </c>
      <c r="J633" s="52">
        <f t="shared" si="720"/>
        <v>4.0570000000000004</v>
      </c>
      <c r="K633" s="52">
        <f t="shared" si="720"/>
        <v>4.0579999999999998</v>
      </c>
      <c r="L633" s="69">
        <f t="shared" si="714"/>
        <v>23.501999999999999</v>
      </c>
      <c r="M633" s="69">
        <f t="shared" si="715"/>
        <v>3.9169999999999998</v>
      </c>
      <c r="N633" s="52">
        <f>N631+N632</f>
        <v>4.0579999999999998</v>
      </c>
      <c r="O633" s="52">
        <f t="shared" ref="O633" si="721">O631+O632</f>
        <v>0</v>
      </c>
      <c r="P633" s="52">
        <f t="shared" ref="P633" si="722">P631+P632</f>
        <v>3.4430000000000001</v>
      </c>
      <c r="Q633" s="52">
        <f t="shared" ref="Q633" si="723">Q631+Q632</f>
        <v>3.4430000000000001</v>
      </c>
      <c r="R633" s="52">
        <f t="shared" ref="R633" si="724">R631+R632</f>
        <v>3.4430000000000001</v>
      </c>
      <c r="S633" s="52">
        <f t="shared" ref="S633" si="725">S631+S632</f>
        <v>3.4470000000000001</v>
      </c>
      <c r="T633" s="69">
        <f t="shared" si="717"/>
        <v>17.834</v>
      </c>
      <c r="U633" s="69">
        <f t="shared" si="718"/>
        <v>41.335999999999999</v>
      </c>
      <c r="V633" s="69">
        <f>V631+V632</f>
        <v>41.32</v>
      </c>
      <c r="W633" s="52">
        <f t="shared" si="719"/>
        <v>-1.6E-2</v>
      </c>
    </row>
    <row r="634" spans="1:28" s="130" customFormat="1" ht="18" customHeight="1">
      <c r="A634" s="614"/>
      <c r="B634" s="581"/>
      <c r="C634" s="581"/>
      <c r="D634" s="174" t="str">
        <f>серпень!D557</f>
        <v>дотація</v>
      </c>
      <c r="E634" s="56"/>
      <c r="F634" s="52">
        <f t="shared" ref="F634" si="726">F649+F679</f>
        <v>0</v>
      </c>
      <c r="G634" s="52">
        <f t="shared" ref="G634:K634" si="727">G649+G679</f>
        <v>0</v>
      </c>
      <c r="H634" s="52">
        <f t="shared" si="727"/>
        <v>0</v>
      </c>
      <c r="I634" s="52">
        <f t="shared" si="727"/>
        <v>0</v>
      </c>
      <c r="J634" s="52">
        <f t="shared" si="727"/>
        <v>0</v>
      </c>
      <c r="K634" s="52">
        <f t="shared" si="727"/>
        <v>0</v>
      </c>
      <c r="L634" s="69">
        <f>SUM(F634:K634)</f>
        <v>0</v>
      </c>
      <c r="M634" s="69">
        <f>L634/6</f>
        <v>0</v>
      </c>
      <c r="N634" s="52">
        <f t="shared" ref="N634:S634" si="728">N649+N679</f>
        <v>0</v>
      </c>
      <c r="O634" s="52">
        <f t="shared" si="728"/>
        <v>0</v>
      </c>
      <c r="P634" s="52">
        <f t="shared" si="728"/>
        <v>0</v>
      </c>
      <c r="Q634" s="52">
        <f t="shared" si="728"/>
        <v>0</v>
      </c>
      <c r="R634" s="52">
        <f t="shared" si="728"/>
        <v>0</v>
      </c>
      <c r="S634" s="52">
        <f t="shared" si="728"/>
        <v>0</v>
      </c>
      <c r="T634" s="69">
        <f>SUM(N634:S634)</f>
        <v>0</v>
      </c>
      <c r="U634" s="69">
        <f>T634+L634</f>
        <v>0</v>
      </c>
      <c r="V634" s="69">
        <f>V649+V679</f>
        <v>0</v>
      </c>
      <c r="W634" s="52">
        <f>V634-U634</f>
        <v>0</v>
      </c>
    </row>
    <row r="635" spans="1:28" s="130" customFormat="1" ht="18" customHeight="1">
      <c r="A635" s="614"/>
      <c r="B635" s="581"/>
      <c r="C635" s="581"/>
      <c r="D635" s="174" t="str">
        <f>серпень!D558</f>
        <v>місцевий (план), тис.грн</v>
      </c>
      <c r="E635" s="56"/>
      <c r="F635" s="52">
        <f>F650+F665+F680+F695</f>
        <v>0</v>
      </c>
      <c r="G635" s="52">
        <f t="shared" ref="G635:K635" si="729">G650+G665+G680+G695</f>
        <v>3.4430000000000001</v>
      </c>
      <c r="H635" s="52">
        <f t="shared" si="729"/>
        <v>3.4430000000000001</v>
      </c>
      <c r="I635" s="52">
        <f t="shared" si="729"/>
        <v>2.1429999999999998</v>
      </c>
      <c r="J635" s="52">
        <f t="shared" si="729"/>
        <v>3.4430000000000001</v>
      </c>
      <c r="K635" s="52">
        <f t="shared" si="729"/>
        <v>2.7429999999999999</v>
      </c>
      <c r="L635" s="69">
        <f>SUM(F635:K635)</f>
        <v>15.215</v>
      </c>
      <c r="M635" s="69">
        <f>L635/6</f>
        <v>2.536</v>
      </c>
      <c r="N635" s="52">
        <f>N650+N665+N680+N695</f>
        <v>3.1429999999999998</v>
      </c>
      <c r="O635" s="52">
        <f t="shared" ref="O635:S635" si="730">O650+O665+O680+O695</f>
        <v>0</v>
      </c>
      <c r="P635" s="52">
        <f t="shared" si="730"/>
        <v>5.0430000000000001</v>
      </c>
      <c r="Q635" s="52">
        <f t="shared" si="730"/>
        <v>7.5860000000000003</v>
      </c>
      <c r="R635" s="52">
        <f t="shared" si="730"/>
        <v>3.4430000000000001</v>
      </c>
      <c r="S635" s="52">
        <f t="shared" si="730"/>
        <v>6.89</v>
      </c>
      <c r="T635" s="69">
        <f>SUM(N635:S635)</f>
        <v>26.105</v>
      </c>
      <c r="U635" s="69">
        <f>T635+L635</f>
        <v>41.32</v>
      </c>
      <c r="V635" s="69">
        <f>V650+V680</f>
        <v>41.32</v>
      </c>
      <c r="W635" s="52">
        <f>V635-U635</f>
        <v>0</v>
      </c>
    </row>
    <row r="636" spans="1:28" s="48" customFormat="1" ht="18" customHeight="1">
      <c r="A636" s="614"/>
      <c r="B636" s="581"/>
      <c r="C636" s="581"/>
      <c r="D636" s="178" t="str">
        <f>серпень!D559</f>
        <v>касові нат.п-ки 2025</v>
      </c>
      <c r="E636" s="11"/>
      <c r="F636" s="349">
        <f>F651+F681</f>
        <v>0</v>
      </c>
      <c r="G636" s="349">
        <f t="shared" ref="G636:K636" si="731">G651+G681</f>
        <v>25.67</v>
      </c>
      <c r="H636" s="349">
        <f t="shared" si="731"/>
        <v>21.082000000000001</v>
      </c>
      <c r="I636" s="349">
        <f t="shared" si="731"/>
        <v>28.422000000000001</v>
      </c>
      <c r="J636" s="349">
        <f t="shared" si="731"/>
        <v>22.558</v>
      </c>
      <c r="K636" s="349">
        <f t="shared" si="731"/>
        <v>22.558</v>
      </c>
      <c r="L636" s="125">
        <f>SUM(F636:K636)</f>
        <v>120.29</v>
      </c>
      <c r="M636" s="125">
        <f>L636/6</f>
        <v>20.047999999999998</v>
      </c>
      <c r="N636" s="349">
        <f>N651+N681</f>
        <v>22.558</v>
      </c>
      <c r="O636" s="349">
        <f t="shared" ref="O636:S636" si="732">O651+O681</f>
        <v>0</v>
      </c>
      <c r="P636" s="349">
        <f t="shared" si="732"/>
        <v>22.558</v>
      </c>
      <c r="Q636" s="349">
        <f t="shared" si="732"/>
        <v>22.558</v>
      </c>
      <c r="R636" s="349">
        <f t="shared" si="732"/>
        <v>22.558</v>
      </c>
      <c r="S636" s="349">
        <f t="shared" si="732"/>
        <v>45.12</v>
      </c>
      <c r="T636" s="125">
        <f>SUM(N636:S636)</f>
        <v>135.352</v>
      </c>
      <c r="U636" s="125">
        <f>T636+L636</f>
        <v>255.642</v>
      </c>
      <c r="V636" s="505">
        <f>V651+V681</f>
        <v>270.7</v>
      </c>
      <c r="W636" s="38">
        <f>V636-U636</f>
        <v>15.1</v>
      </c>
      <c r="X636" s="47">
        <f>U629-U636</f>
        <v>0</v>
      </c>
    </row>
    <row r="637" spans="1:28" s="51" customFormat="1" ht="18" customHeight="1">
      <c r="A637" s="614"/>
      <c r="B637" s="581"/>
      <c r="C637" s="581"/>
      <c r="D637" s="187" t="str">
        <f>серпень!D560</f>
        <v>тариф, грн.</v>
      </c>
      <c r="E637" s="49" t="e">
        <f>E638/E636*1000</f>
        <v>#DIV/0!</v>
      </c>
      <c r="F637" s="49" t="e">
        <f t="shared" ref="F637:W637" si="733">F638/F636*1000</f>
        <v>#DIV/0!</v>
      </c>
      <c r="G637" s="49">
        <f t="shared" si="733"/>
        <v>152.63</v>
      </c>
      <c r="H637" s="49">
        <f t="shared" si="733"/>
        <v>152.642</v>
      </c>
      <c r="I637" s="49">
        <f t="shared" si="733"/>
        <v>152.55799999999999</v>
      </c>
      <c r="J637" s="49">
        <f t="shared" si="733"/>
        <v>173.553</v>
      </c>
      <c r="K637" s="49">
        <f t="shared" si="733"/>
        <v>179.84800000000001</v>
      </c>
      <c r="L637" s="49">
        <f t="shared" si="733"/>
        <v>161.643</v>
      </c>
      <c r="M637" s="49">
        <f t="shared" si="733"/>
        <v>161.66200000000001</v>
      </c>
      <c r="N637" s="49">
        <f t="shared" si="733"/>
        <v>179.892</v>
      </c>
      <c r="O637" s="49" t="e">
        <f t="shared" si="733"/>
        <v>#DIV/0!</v>
      </c>
      <c r="P637" s="49">
        <f t="shared" si="733"/>
        <v>179.892</v>
      </c>
      <c r="Q637" s="49">
        <f t="shared" si="733"/>
        <v>152.62899999999999</v>
      </c>
      <c r="R637" s="49">
        <f t="shared" si="733"/>
        <v>152.62899999999999</v>
      </c>
      <c r="S637" s="49">
        <f t="shared" si="733"/>
        <v>152.70400000000001</v>
      </c>
      <c r="T637" s="49">
        <f t="shared" si="733"/>
        <v>161.74100000000001</v>
      </c>
      <c r="U637" s="49">
        <f t="shared" si="733"/>
        <v>161.69499999999999</v>
      </c>
      <c r="V637" s="49">
        <f t="shared" si="733"/>
        <v>152.64099999999999</v>
      </c>
      <c r="W637" s="49">
        <f t="shared" si="733"/>
        <v>-1.06</v>
      </c>
      <c r="X637" s="59"/>
    </row>
    <row r="638" spans="1:28" s="126" customFormat="1" ht="18" customHeight="1">
      <c r="A638" s="614"/>
      <c r="B638" s="581"/>
      <c r="C638" s="581"/>
      <c r="D638" s="198" t="str">
        <f>серпень!D561</f>
        <v>касові видатки, тис.грн.</v>
      </c>
      <c r="E638" s="71"/>
      <c r="F638" s="62">
        <f t="shared" ref="F638:K638" si="734">F653+F683</f>
        <v>0</v>
      </c>
      <c r="G638" s="62">
        <f t="shared" si="734"/>
        <v>3.9180000000000001</v>
      </c>
      <c r="H638" s="62">
        <f t="shared" si="734"/>
        <v>3.218</v>
      </c>
      <c r="I638" s="62">
        <f t="shared" si="734"/>
        <v>4.3360000000000003</v>
      </c>
      <c r="J638" s="62">
        <f t="shared" si="734"/>
        <v>3.915</v>
      </c>
      <c r="K638" s="62">
        <f t="shared" si="734"/>
        <v>4.0570000000000004</v>
      </c>
      <c r="L638" s="61">
        <f>SUM(F638:K638)</f>
        <v>19.443999999999999</v>
      </c>
      <c r="M638" s="61">
        <f>L638/6</f>
        <v>3.2410000000000001</v>
      </c>
      <c r="N638" s="61">
        <f t="shared" ref="N638:S643" si="735">N653+N683</f>
        <v>4.0579999999999998</v>
      </c>
      <c r="O638" s="61">
        <f t="shared" si="735"/>
        <v>0</v>
      </c>
      <c r="P638" s="61">
        <f t="shared" si="735"/>
        <v>4.0579999999999998</v>
      </c>
      <c r="Q638" s="61">
        <f t="shared" si="735"/>
        <v>3.4430000000000001</v>
      </c>
      <c r="R638" s="61">
        <f t="shared" si="735"/>
        <v>3.4430000000000001</v>
      </c>
      <c r="S638" s="61">
        <f t="shared" si="735"/>
        <v>6.89</v>
      </c>
      <c r="T638" s="61">
        <f>SUM(N638:S638)</f>
        <v>21.891999999999999</v>
      </c>
      <c r="U638" s="61">
        <f>T638+L638</f>
        <v>41.335999999999999</v>
      </c>
      <c r="V638" s="61">
        <f>V653+V683</f>
        <v>41.32</v>
      </c>
      <c r="W638" s="72">
        <f>V638-U638</f>
        <v>-1.6E-2</v>
      </c>
      <c r="X638" s="63">
        <f>U633-U638</f>
        <v>0</v>
      </c>
    </row>
    <row r="639" spans="1:28" s="126" customFormat="1" ht="18" customHeight="1">
      <c r="A639" s="614"/>
      <c r="B639" s="581"/>
      <c r="C639" s="581"/>
      <c r="D639" s="201" t="str">
        <f>серпень!D562</f>
        <v>дотація</v>
      </c>
      <c r="E639" s="71"/>
      <c r="F639" s="61">
        <f t="shared" ref="F639:K643" si="736">F654+F684</f>
        <v>0</v>
      </c>
      <c r="G639" s="61">
        <f t="shared" si="736"/>
        <v>0</v>
      </c>
      <c r="H639" s="61">
        <f t="shared" si="736"/>
        <v>0</v>
      </c>
      <c r="I639" s="61">
        <f t="shared" si="736"/>
        <v>0</v>
      </c>
      <c r="J639" s="61">
        <f t="shared" si="736"/>
        <v>0</v>
      </c>
      <c r="K639" s="61">
        <f t="shared" si="736"/>
        <v>0</v>
      </c>
      <c r="L639" s="61">
        <f>SUM(F639:K639)</f>
        <v>0</v>
      </c>
      <c r="M639" s="61">
        <f>L639/6</f>
        <v>0</v>
      </c>
      <c r="N639" s="61">
        <f t="shared" si="735"/>
        <v>0</v>
      </c>
      <c r="O639" s="61">
        <f t="shared" si="735"/>
        <v>0</v>
      </c>
      <c r="P639" s="61">
        <f t="shared" si="735"/>
        <v>0</v>
      </c>
      <c r="Q639" s="61">
        <f t="shared" si="735"/>
        <v>0</v>
      </c>
      <c r="R639" s="61">
        <f t="shared" si="735"/>
        <v>0</v>
      </c>
      <c r="S639" s="61">
        <f t="shared" si="735"/>
        <v>0</v>
      </c>
      <c r="T639" s="61">
        <f>SUM(N639:S639)</f>
        <v>0</v>
      </c>
      <c r="U639" s="61">
        <f>T639+L639</f>
        <v>0</v>
      </c>
      <c r="V639" s="61">
        <f>V654+V684</f>
        <v>0</v>
      </c>
      <c r="W639" s="72">
        <f>V639-U639</f>
        <v>0</v>
      </c>
      <c r="X639" s="63">
        <f>U634-U639</f>
        <v>0</v>
      </c>
    </row>
    <row r="640" spans="1:28" s="126" customFormat="1" ht="18" customHeight="1">
      <c r="A640" s="614"/>
      <c r="B640" s="581"/>
      <c r="C640" s="581"/>
      <c r="D640" s="201" t="str">
        <f>серпень!D563</f>
        <v xml:space="preserve">місцевий </v>
      </c>
      <c r="E640" s="71"/>
      <c r="F640" s="61">
        <f t="shared" si="736"/>
        <v>0</v>
      </c>
      <c r="G640" s="61">
        <f t="shared" si="736"/>
        <v>3.9180000000000001</v>
      </c>
      <c r="H640" s="61">
        <f t="shared" si="736"/>
        <v>3.218</v>
      </c>
      <c r="I640" s="61">
        <f t="shared" si="736"/>
        <v>4.3360000000000003</v>
      </c>
      <c r="J640" s="61">
        <f t="shared" si="736"/>
        <v>3.915</v>
      </c>
      <c r="K640" s="61">
        <f t="shared" si="736"/>
        <v>4.0570000000000004</v>
      </c>
      <c r="L640" s="61">
        <f>SUM(F640:K640)</f>
        <v>19.443999999999999</v>
      </c>
      <c r="M640" s="61">
        <f>L640/6</f>
        <v>3.2410000000000001</v>
      </c>
      <c r="N640" s="61">
        <f t="shared" si="735"/>
        <v>4.0579999999999998</v>
      </c>
      <c r="O640" s="61">
        <f t="shared" si="735"/>
        <v>0</v>
      </c>
      <c r="P640" s="61">
        <f t="shared" si="735"/>
        <v>4.0579999999999998</v>
      </c>
      <c r="Q640" s="61">
        <f t="shared" si="735"/>
        <v>3.4430000000000001</v>
      </c>
      <c r="R640" s="61">
        <f t="shared" si="735"/>
        <v>3.4430000000000001</v>
      </c>
      <c r="S640" s="61">
        <f t="shared" si="735"/>
        <v>6.89</v>
      </c>
      <c r="T640" s="61">
        <f>SUM(N640:S640)</f>
        <v>21.891999999999999</v>
      </c>
      <c r="U640" s="61">
        <f>T640+L640</f>
        <v>41.335999999999999</v>
      </c>
      <c r="V640" s="61">
        <f>V655+V685</f>
        <v>41.32</v>
      </c>
      <c r="W640" s="72">
        <f>V640-U640</f>
        <v>-1.6E-2</v>
      </c>
      <c r="X640" s="63">
        <f>U635-U640</f>
        <v>-1.6E-2</v>
      </c>
    </row>
    <row r="641" spans="1:28" s="43" customFormat="1" ht="18" customHeight="1">
      <c r="A641" s="614"/>
      <c r="B641" s="581"/>
      <c r="C641" s="581"/>
      <c r="D641" s="202" t="str">
        <f>серпень!D564</f>
        <v>план</v>
      </c>
      <c r="E641" s="42"/>
      <c r="F641" s="42">
        <f>F656+F671+F686+F701</f>
        <v>0</v>
      </c>
      <c r="G641" s="42">
        <f t="shared" ref="G641:K641" si="737">G656+G671+G686+G701</f>
        <v>3.4430000000000001</v>
      </c>
      <c r="H641" s="42">
        <f t="shared" si="737"/>
        <v>3.4430000000000001</v>
      </c>
      <c r="I641" s="42">
        <f t="shared" si="737"/>
        <v>2.1429999999999998</v>
      </c>
      <c r="J641" s="42">
        <f t="shared" si="737"/>
        <v>3.4430000000000001</v>
      </c>
      <c r="K641" s="42">
        <f t="shared" si="737"/>
        <v>2.7429999999999999</v>
      </c>
      <c r="L641" s="42">
        <f>SUM(F641:K641)</f>
        <v>15.215</v>
      </c>
      <c r="M641" s="42">
        <f>L641/6</f>
        <v>2.536</v>
      </c>
      <c r="N641" s="42">
        <f>N656+N671+N686+N701</f>
        <v>3.1429999999999998</v>
      </c>
      <c r="O641" s="42">
        <f t="shared" ref="O641:S641" si="738">O656+O671+O686+O701</f>
        <v>0</v>
      </c>
      <c r="P641" s="42">
        <f t="shared" si="738"/>
        <v>5.0430000000000001</v>
      </c>
      <c r="Q641" s="42">
        <f t="shared" si="738"/>
        <v>7.5860000000000003</v>
      </c>
      <c r="R641" s="42">
        <f t="shared" si="738"/>
        <v>3.4430000000000001</v>
      </c>
      <c r="S641" s="42">
        <f t="shared" si="738"/>
        <v>6.89</v>
      </c>
      <c r="T641" s="42">
        <f>SUM(N641:S641)</f>
        <v>26.105</v>
      </c>
      <c r="U641" s="42">
        <f>T641+L641</f>
        <v>41.32</v>
      </c>
      <c r="V641" s="42">
        <f>V656+V686</f>
        <v>41.32</v>
      </c>
      <c r="W641" s="42">
        <f>V641-U641</f>
        <v>0</v>
      </c>
    </row>
    <row r="642" spans="1:28" s="43" customFormat="1" ht="18" customHeight="1">
      <c r="A642" s="614"/>
      <c r="B642" s="581"/>
      <c r="C642" s="581"/>
      <c r="D642" s="202" t="str">
        <f>серпень!D565</f>
        <v xml:space="preserve">відхилення </v>
      </c>
      <c r="E642" s="42"/>
      <c r="F642" s="42">
        <f t="shared" si="736"/>
        <v>0</v>
      </c>
      <c r="G642" s="42">
        <f t="shared" si="736"/>
        <v>0.47499999999999998</v>
      </c>
      <c r="H642" s="42">
        <f t="shared" si="736"/>
        <v>-0.22500000000000001</v>
      </c>
      <c r="I642" s="42">
        <f t="shared" si="736"/>
        <v>2.1930000000000001</v>
      </c>
      <c r="J642" s="42">
        <f t="shared" si="736"/>
        <v>0.47199999999999998</v>
      </c>
      <c r="K642" s="42">
        <f t="shared" si="736"/>
        <v>1.3140000000000001</v>
      </c>
      <c r="L642" s="42"/>
      <c r="M642" s="42"/>
      <c r="N642" s="42">
        <f t="shared" si="735"/>
        <v>0.91500000000000004</v>
      </c>
      <c r="O642" s="42">
        <f t="shared" si="735"/>
        <v>0</v>
      </c>
      <c r="P642" s="42">
        <f t="shared" si="735"/>
        <v>-0.98499999999999999</v>
      </c>
      <c r="Q642" s="42">
        <f t="shared" si="735"/>
        <v>-4.1429999999999998</v>
      </c>
      <c r="R642" s="42">
        <f t="shared" si="735"/>
        <v>0</v>
      </c>
      <c r="S642" s="42">
        <f t="shared" si="735"/>
        <v>0</v>
      </c>
      <c r="T642" s="42"/>
      <c r="U642" s="42"/>
      <c r="V642" s="42"/>
      <c r="W642" s="42"/>
    </row>
    <row r="643" spans="1:28" s="43" customFormat="1" ht="18" customHeight="1">
      <c r="A643" s="614"/>
      <c r="B643" s="581"/>
      <c r="C643" s="581"/>
      <c r="D643" s="202" t="str">
        <f>серпень!D566</f>
        <v>відхилення з наростаючим</v>
      </c>
      <c r="E643" s="42"/>
      <c r="F643" s="42">
        <f t="shared" si="736"/>
        <v>0</v>
      </c>
      <c r="G643" s="42">
        <f t="shared" si="736"/>
        <v>0.47499999999999998</v>
      </c>
      <c r="H643" s="42">
        <f t="shared" si="736"/>
        <v>0.25</v>
      </c>
      <c r="I643" s="42">
        <f t="shared" si="736"/>
        <v>2.4430000000000001</v>
      </c>
      <c r="J643" s="42">
        <f t="shared" si="736"/>
        <v>2.915</v>
      </c>
      <c r="K643" s="42">
        <f t="shared" si="736"/>
        <v>4.2290000000000001</v>
      </c>
      <c r="L643" s="42"/>
      <c r="M643" s="42"/>
      <c r="N643" s="42">
        <f t="shared" si="735"/>
        <v>5.1440000000000001</v>
      </c>
      <c r="O643" s="42">
        <f t="shared" si="735"/>
        <v>5.1440000000000001</v>
      </c>
      <c r="P643" s="42">
        <f t="shared" si="735"/>
        <v>4.1589999999999998</v>
      </c>
      <c r="Q643" s="42">
        <f t="shared" si="735"/>
        <v>1.6E-2</v>
      </c>
      <c r="R643" s="42">
        <f t="shared" si="735"/>
        <v>1.6E-2</v>
      </c>
      <c r="S643" s="42">
        <f t="shared" si="735"/>
        <v>1.6E-2</v>
      </c>
      <c r="T643" s="42"/>
      <c r="U643" s="42"/>
      <c r="V643" s="42"/>
      <c r="W643" s="42"/>
    </row>
    <row r="644" spans="1:28" s="55" customFormat="1" ht="18" customHeight="1">
      <c r="A644" s="614"/>
      <c r="B644" s="581" t="s">
        <v>67</v>
      </c>
      <c r="C644" s="581"/>
      <c r="D644" s="178" t="str">
        <f>серпень!D567</f>
        <v>факт. нат.п-ки 2023</v>
      </c>
      <c r="E644" s="11"/>
      <c r="F644" s="82">
        <v>18.7</v>
      </c>
      <c r="G644" s="82">
        <v>18.7</v>
      </c>
      <c r="H644" s="82">
        <v>18.7</v>
      </c>
      <c r="I644" s="82">
        <v>20.3</v>
      </c>
      <c r="J644" s="82">
        <v>18.7</v>
      </c>
      <c r="K644" s="82">
        <v>18.7</v>
      </c>
      <c r="L644" s="465">
        <f>SUM(F644:K644)</f>
        <v>113.8</v>
      </c>
      <c r="M644" s="465">
        <f>L644/6</f>
        <v>18.966999999999999</v>
      </c>
      <c r="N644" s="349">
        <v>19</v>
      </c>
      <c r="O644" s="349">
        <v>19</v>
      </c>
      <c r="P644" s="349">
        <v>19</v>
      </c>
      <c r="Q644" s="349">
        <v>19.100000000000001</v>
      </c>
      <c r="R644" s="349">
        <v>14.3</v>
      </c>
      <c r="S644" s="349">
        <v>3.1</v>
      </c>
      <c r="T644" s="465">
        <f>SUM(N644:S644)</f>
        <v>93.5</v>
      </c>
      <c r="U644" s="464">
        <f>T644+L644</f>
        <v>207.3</v>
      </c>
      <c r="V644" s="46"/>
      <c r="W644" s="38"/>
      <c r="X644" s="47"/>
      <c r="Y644" s="48"/>
      <c r="Z644" s="48"/>
      <c r="AA644" s="48"/>
      <c r="AB644" s="48"/>
    </row>
    <row r="645" spans="1:28" s="48" customFormat="1" ht="18" customHeight="1">
      <c r="A645" s="614"/>
      <c r="B645" s="581"/>
      <c r="C645" s="581"/>
      <c r="D645" s="178" t="str">
        <f>серпень!D568</f>
        <v>факт. нат.п-ки 2024</v>
      </c>
      <c r="E645" s="11"/>
      <c r="F645" s="82">
        <v>18.7</v>
      </c>
      <c r="G645" s="82">
        <v>18.7</v>
      </c>
      <c r="H645" s="82">
        <v>18.7</v>
      </c>
      <c r="I645" s="82">
        <v>18.7</v>
      </c>
      <c r="J645" s="82">
        <v>18.7</v>
      </c>
      <c r="K645" s="82">
        <v>18.7</v>
      </c>
      <c r="L645" s="465">
        <f>SUM(F645:K645)</f>
        <v>112.2</v>
      </c>
      <c r="M645" s="465">
        <f>L645/6</f>
        <v>18.7</v>
      </c>
      <c r="N645" s="349">
        <v>19</v>
      </c>
      <c r="O645" s="349">
        <v>19</v>
      </c>
      <c r="P645" s="349">
        <v>19</v>
      </c>
      <c r="Q645" s="349">
        <v>19.100000000000001</v>
      </c>
      <c r="R645" s="349">
        <v>14.3</v>
      </c>
      <c r="S645" s="349">
        <v>3.1</v>
      </c>
      <c r="T645" s="465">
        <f>SUM(N645:S645)</f>
        <v>93.5</v>
      </c>
      <c r="U645" s="464">
        <f>T645+L645</f>
        <v>205.7</v>
      </c>
      <c r="V645" s="46"/>
      <c r="W645" s="38"/>
      <c r="X645" s="47"/>
    </row>
    <row r="646" spans="1:28" s="48" customFormat="1" ht="18" customHeight="1">
      <c r="A646" s="614"/>
      <c r="B646" s="581"/>
      <c r="C646" s="581"/>
      <c r="D646" s="178" t="str">
        <f>серпень!D569</f>
        <v>факт. нат.п-ки 2025</v>
      </c>
      <c r="E646" s="11"/>
      <c r="F646" s="82">
        <v>25.67</v>
      </c>
      <c r="G646" s="82">
        <v>21.082000000000001</v>
      </c>
      <c r="H646" s="82">
        <v>28.422000000000001</v>
      </c>
      <c r="I646" s="82">
        <v>22.558</v>
      </c>
      <c r="J646" s="82">
        <v>22.558</v>
      </c>
      <c r="K646" s="82">
        <v>22.558</v>
      </c>
      <c r="L646" s="465">
        <f>SUM(F646:K646)</f>
        <v>142.84800000000001</v>
      </c>
      <c r="M646" s="465">
        <f>L646/6</f>
        <v>23.808</v>
      </c>
      <c r="N646" s="349">
        <v>22.558</v>
      </c>
      <c r="O646" s="349">
        <v>0</v>
      </c>
      <c r="P646" s="349">
        <v>22.558</v>
      </c>
      <c r="Q646" s="349">
        <v>22.558</v>
      </c>
      <c r="R646" s="349">
        <v>22.558</v>
      </c>
      <c r="S646" s="349">
        <f>22.6-0.038</f>
        <v>22.562000000000001</v>
      </c>
      <c r="T646" s="465">
        <f>SUM(N646:S646)</f>
        <v>112.794</v>
      </c>
      <c r="U646" s="464">
        <f>T646+L646</f>
        <v>255.642</v>
      </c>
      <c r="V646" s="349">
        <v>270.7</v>
      </c>
      <c r="W646" s="505">
        <f>V646-U646</f>
        <v>15.058</v>
      </c>
      <c r="X646" s="47"/>
    </row>
    <row r="647" spans="1:28" s="51" customFormat="1" ht="18" customHeight="1">
      <c r="A647" s="614"/>
      <c r="B647" s="581"/>
      <c r="C647" s="581"/>
      <c r="D647" s="187" t="str">
        <f>серпень!D570</f>
        <v>тариф, грн.</v>
      </c>
      <c r="E647" s="49" t="e">
        <f t="shared" ref="E647:K647" si="739">E648/E646*1000</f>
        <v>#DIV/0!</v>
      </c>
      <c r="F647" s="49">
        <f t="shared" si="739"/>
        <v>152.63</v>
      </c>
      <c r="G647" s="49">
        <f t="shared" si="739"/>
        <v>152.642</v>
      </c>
      <c r="H647" s="49">
        <f t="shared" si="739"/>
        <v>152.55799999999999</v>
      </c>
      <c r="I647" s="49">
        <f t="shared" si="739"/>
        <v>173.553</v>
      </c>
      <c r="J647" s="49">
        <f t="shared" si="739"/>
        <v>179.84800000000001</v>
      </c>
      <c r="K647" s="49">
        <f t="shared" si="739"/>
        <v>179.892</v>
      </c>
      <c r="L647" s="49">
        <f>L648/L646*1000</f>
        <v>164.52500000000001</v>
      </c>
      <c r="M647" s="49">
        <f>M648/M646*1000</f>
        <v>164.52500000000001</v>
      </c>
      <c r="N647" s="49">
        <f t="shared" ref="N647:O647" si="740">N648/N646*1000</f>
        <v>179.892</v>
      </c>
      <c r="O647" s="49" t="e">
        <f t="shared" si="740"/>
        <v>#DIV/0!</v>
      </c>
      <c r="P647" s="49">
        <v>152.63999999999999</v>
      </c>
      <c r="Q647" s="49">
        <v>152.63999999999999</v>
      </c>
      <c r="R647" s="49">
        <v>152.63999999999999</v>
      </c>
      <c r="S647" s="49">
        <v>152.63999999999999</v>
      </c>
      <c r="T647" s="49">
        <f>T648/T646*1000</f>
        <v>158.11099999999999</v>
      </c>
      <c r="U647" s="49">
        <f>U648/U646*1000</f>
        <v>161.69499999999999</v>
      </c>
      <c r="V647" s="68">
        <f>V648/V646*1000</f>
        <v>152.64099999999999</v>
      </c>
      <c r="W647" s="14">
        <f>W648/W646*1000</f>
        <v>-1.0629999999999999</v>
      </c>
      <c r="X647" s="59"/>
    </row>
    <row r="648" spans="1:28" s="130" customFormat="1" ht="18" customHeight="1">
      <c r="A648" s="614"/>
      <c r="B648" s="581"/>
      <c r="C648" s="581"/>
      <c r="D648" s="191" t="str">
        <f>серпень!D571</f>
        <v>сума, тис.грн.</v>
      </c>
      <c r="E648" s="52"/>
      <c r="F648" s="52">
        <v>3.9180000000000001</v>
      </c>
      <c r="G648" s="52">
        <v>3.218</v>
      </c>
      <c r="H648" s="52">
        <v>4.3360000000000003</v>
      </c>
      <c r="I648" s="52">
        <v>3.915</v>
      </c>
      <c r="J648" s="52">
        <f>4.058-0.001</f>
        <v>4.0570000000000004</v>
      </c>
      <c r="K648" s="52">
        <v>4.0579999999999998</v>
      </c>
      <c r="L648" s="69">
        <f>SUM(F648:K648)</f>
        <v>23.501999999999999</v>
      </c>
      <c r="M648" s="69">
        <f>L648/6</f>
        <v>3.9169999999999998</v>
      </c>
      <c r="N648" s="52">
        <v>4.0579999999999998</v>
      </c>
      <c r="O648" s="52">
        <v>0</v>
      </c>
      <c r="P648" s="52">
        <f t="shared" ref="P648" si="741">P646*P647/1000</f>
        <v>3.4430000000000001</v>
      </c>
      <c r="Q648" s="52">
        <f t="shared" ref="Q648" si="742">Q646*Q647/1000</f>
        <v>3.4430000000000001</v>
      </c>
      <c r="R648" s="52">
        <f t="shared" ref="R648" si="743">R646*R647/1000</f>
        <v>3.4430000000000001</v>
      </c>
      <c r="S648" s="52">
        <f>S646*S647/1000+0.003</f>
        <v>3.4470000000000001</v>
      </c>
      <c r="T648" s="69">
        <f>SUM(N648:S648)</f>
        <v>17.834</v>
      </c>
      <c r="U648" s="69">
        <f>T648+L648</f>
        <v>41.335999999999999</v>
      </c>
      <c r="V648" s="70">
        <f>V649+V650</f>
        <v>41.32</v>
      </c>
      <c r="W648" s="53">
        <f>V648-U648</f>
        <v>-1.6E-2</v>
      </c>
    </row>
    <row r="649" spans="1:28" s="130" customFormat="1" ht="18" customHeight="1">
      <c r="A649" s="614"/>
      <c r="B649" s="581"/>
      <c r="C649" s="581"/>
      <c r="D649" s="174" t="str">
        <f>серпень!D572</f>
        <v>дотація</v>
      </c>
      <c r="E649" s="56"/>
      <c r="F649" s="52"/>
      <c r="G649" s="52"/>
      <c r="H649" s="52"/>
      <c r="I649" s="52"/>
      <c r="J649" s="52"/>
      <c r="K649" s="52"/>
      <c r="L649" s="69">
        <f>SUM(F649:K649)</f>
        <v>0</v>
      </c>
      <c r="M649" s="69">
        <f>L649/6</f>
        <v>0</v>
      </c>
      <c r="N649" s="52"/>
      <c r="O649" s="52"/>
      <c r="P649" s="52"/>
      <c r="Q649" s="52"/>
      <c r="R649" s="52"/>
      <c r="S649" s="52"/>
      <c r="T649" s="69">
        <f>SUM(N649:S649)</f>
        <v>0</v>
      </c>
      <c r="U649" s="69">
        <f>T649+L649</f>
        <v>0</v>
      </c>
      <c r="V649" s="70"/>
      <c r="W649" s="53">
        <f>V649-U649</f>
        <v>0</v>
      </c>
    </row>
    <row r="650" spans="1:28" s="130" customFormat="1" ht="18" customHeight="1">
      <c r="A650" s="614"/>
      <c r="B650" s="581"/>
      <c r="C650" s="581"/>
      <c r="D650" s="174" t="str">
        <f>серпень!D573</f>
        <v>місцевий (план), тис.грн</v>
      </c>
      <c r="E650" s="56"/>
      <c r="F650" s="52">
        <v>0</v>
      </c>
      <c r="G650" s="52">
        <v>3.4430000000000001</v>
      </c>
      <c r="H650" s="52">
        <v>3.4430000000000001</v>
      </c>
      <c r="I650" s="52">
        <f>3.443-1.3</f>
        <v>2.1429999999999998</v>
      </c>
      <c r="J650" s="52">
        <v>3.4430000000000001</v>
      </c>
      <c r="K650" s="52">
        <f>3.443-0.7</f>
        <v>2.7429999999999999</v>
      </c>
      <c r="L650" s="69">
        <f>SUM(F650:K650)</f>
        <v>15.215</v>
      </c>
      <c r="M650" s="69">
        <f>L650/6</f>
        <v>2.536</v>
      </c>
      <c r="N650" s="52">
        <f>3.443+1.3-1.6</f>
        <v>3.1429999999999998</v>
      </c>
      <c r="O650" s="52">
        <f>3.443+0.7-4.143</f>
        <v>0</v>
      </c>
      <c r="P650" s="52">
        <f>3.443+1.6</f>
        <v>5.0430000000000001</v>
      </c>
      <c r="Q650" s="52">
        <f>3.443+4.143</f>
        <v>7.5860000000000003</v>
      </c>
      <c r="R650" s="52">
        <v>3.4430000000000001</v>
      </c>
      <c r="S650" s="52">
        <v>6.89</v>
      </c>
      <c r="T650" s="69">
        <f>SUM(N650:S650)</f>
        <v>26.105</v>
      </c>
      <c r="U650" s="69">
        <f>T650+L650</f>
        <v>41.32</v>
      </c>
      <c r="V650" s="70">
        <v>41.32</v>
      </c>
      <c r="W650" s="53">
        <f>V650-U650</f>
        <v>0</v>
      </c>
    </row>
    <row r="651" spans="1:28" s="48" customFormat="1" ht="18" customHeight="1">
      <c r="A651" s="614"/>
      <c r="B651" s="581"/>
      <c r="C651" s="581"/>
      <c r="D651" s="178" t="str">
        <f>серпень!D574</f>
        <v>касові нат.п-ки 2025</v>
      </c>
      <c r="E651" s="11"/>
      <c r="F651" s="82">
        <v>0</v>
      </c>
      <c r="G651" s="82">
        <v>25.67</v>
      </c>
      <c r="H651" s="82">
        <v>21.082000000000001</v>
      </c>
      <c r="I651" s="82">
        <f>4338/152.629</f>
        <v>28.422000000000001</v>
      </c>
      <c r="J651" s="82">
        <v>22.558</v>
      </c>
      <c r="K651" s="82">
        <v>22.558</v>
      </c>
      <c r="L651" s="465">
        <f>SUM(F651:K651)</f>
        <v>120.29</v>
      </c>
      <c r="M651" s="465">
        <f>L651/6</f>
        <v>20.047999999999998</v>
      </c>
      <c r="N651" s="82">
        <v>22.558</v>
      </c>
      <c r="O651" s="349">
        <v>0</v>
      </c>
      <c r="P651" s="349">
        <v>22.558</v>
      </c>
      <c r="Q651" s="349">
        <v>22.558</v>
      </c>
      <c r="R651" s="349">
        <v>22.558</v>
      </c>
      <c r="S651" s="349">
        <f>R646+S646</f>
        <v>45.12</v>
      </c>
      <c r="T651" s="465">
        <f>SUM(N651:S651)</f>
        <v>135.352</v>
      </c>
      <c r="U651" s="465">
        <f>T651+L651</f>
        <v>255.642</v>
      </c>
      <c r="V651" s="11">
        <f>V646</f>
        <v>270.7</v>
      </c>
      <c r="W651" s="38">
        <f>V651-U651</f>
        <v>15.1</v>
      </c>
      <c r="X651" s="47">
        <f>U646-U651</f>
        <v>0</v>
      </c>
    </row>
    <row r="652" spans="1:28" s="51" customFormat="1" ht="18" customHeight="1">
      <c r="A652" s="614"/>
      <c r="B652" s="581"/>
      <c r="C652" s="581"/>
      <c r="D652" s="187" t="str">
        <f>серпень!D575</f>
        <v>тариф, грн.</v>
      </c>
      <c r="E652" s="49" t="e">
        <f t="shared" ref="E652:K652" si="744">E653/E651*1000</f>
        <v>#DIV/0!</v>
      </c>
      <c r="F652" s="49" t="e">
        <f t="shared" si="744"/>
        <v>#DIV/0!</v>
      </c>
      <c r="G652" s="49">
        <f t="shared" si="744"/>
        <v>152.63</v>
      </c>
      <c r="H652" s="49">
        <f t="shared" si="744"/>
        <v>152.642</v>
      </c>
      <c r="I652" s="49">
        <f t="shared" si="744"/>
        <v>152.55799999999999</v>
      </c>
      <c r="J652" s="49">
        <f t="shared" si="744"/>
        <v>173.553</v>
      </c>
      <c r="K652" s="49">
        <f t="shared" si="744"/>
        <v>179.84800000000001</v>
      </c>
      <c r="L652" s="49">
        <f>L653/L651*1000</f>
        <v>161.643</v>
      </c>
      <c r="M652" s="49">
        <f>M653/M651*1000</f>
        <v>161.66200000000001</v>
      </c>
      <c r="N652" s="49">
        <f t="shared" ref="N652:O652" si="745">N653/N651*1000</f>
        <v>179.892</v>
      </c>
      <c r="O652" s="49" t="e">
        <f t="shared" si="745"/>
        <v>#DIV/0!</v>
      </c>
      <c r="P652" s="49">
        <f>P653/P651*1000</f>
        <v>179.892</v>
      </c>
      <c r="Q652" s="49">
        <v>152.63999999999999</v>
      </c>
      <c r="R652" s="49">
        <v>152.63999999999999</v>
      </c>
      <c r="S652" s="49">
        <v>152.63999999999999</v>
      </c>
      <c r="T652" s="49">
        <f>T653/T651*1000</f>
        <v>161.74100000000001</v>
      </c>
      <c r="U652" s="49">
        <f>U653/U651*1000</f>
        <v>161.69499999999999</v>
      </c>
      <c r="V652" s="68">
        <f>V653/V651*1000</f>
        <v>152.64099999999999</v>
      </c>
      <c r="W652" s="14">
        <f>W653/W651*1000</f>
        <v>-1.06</v>
      </c>
      <c r="X652" s="59"/>
    </row>
    <row r="653" spans="1:28" s="126" customFormat="1" ht="18" customHeight="1">
      <c r="A653" s="614"/>
      <c r="B653" s="581"/>
      <c r="C653" s="581"/>
      <c r="D653" s="198" t="str">
        <f>серпень!D576</f>
        <v>касові видатки, тис.грн.</v>
      </c>
      <c r="E653" s="71"/>
      <c r="F653" s="61">
        <v>0</v>
      </c>
      <c r="G653" s="61">
        <v>3.9180000000000001</v>
      </c>
      <c r="H653" s="61">
        <v>3.218</v>
      </c>
      <c r="I653" s="61">
        <f>4.338-0.002</f>
        <v>4.3360000000000003</v>
      </c>
      <c r="J653" s="61">
        <f>3.918-0.003</f>
        <v>3.915</v>
      </c>
      <c r="K653" s="61">
        <f>4.058-0.001</f>
        <v>4.0570000000000004</v>
      </c>
      <c r="L653" s="61">
        <f>SUM(F653:K653)</f>
        <v>19.443999999999999</v>
      </c>
      <c r="M653" s="61">
        <f>L653/6</f>
        <v>3.2410000000000001</v>
      </c>
      <c r="N653" s="61">
        <v>4.0579999999999998</v>
      </c>
      <c r="O653" s="61">
        <v>0</v>
      </c>
      <c r="P653" s="61">
        <v>4.0579999999999998</v>
      </c>
      <c r="Q653" s="61">
        <f t="shared" ref="Q653" si="746">Q651*Q652/1000</f>
        <v>3.4430000000000001</v>
      </c>
      <c r="R653" s="61">
        <f t="shared" ref="R653" si="747">R651*R652/1000</f>
        <v>3.4430000000000001</v>
      </c>
      <c r="S653" s="61">
        <f>S651*S652/1000+0.003</f>
        <v>6.89</v>
      </c>
      <c r="T653" s="61">
        <f>SUM(N653:S653)</f>
        <v>21.891999999999999</v>
      </c>
      <c r="U653" s="61">
        <f>T653+L653</f>
        <v>41.335999999999999</v>
      </c>
      <c r="V653" s="61">
        <f>V648</f>
        <v>41.32</v>
      </c>
      <c r="W653" s="72">
        <f>V653-U653</f>
        <v>-1.6E-2</v>
      </c>
      <c r="X653" s="63">
        <f>U648-U653</f>
        <v>0</v>
      </c>
    </row>
    <row r="654" spans="1:28" s="126" customFormat="1" ht="18" customHeight="1">
      <c r="A654" s="614"/>
      <c r="B654" s="581"/>
      <c r="C654" s="581"/>
      <c r="D654" s="201" t="str">
        <f>серпень!D577</f>
        <v>дотація</v>
      </c>
      <c r="E654" s="71"/>
      <c r="F654" s="61"/>
      <c r="G654" s="61"/>
      <c r="H654" s="61"/>
      <c r="I654" s="61"/>
      <c r="J654" s="61"/>
      <c r="K654" s="61"/>
      <c r="L654" s="61">
        <f>SUM(F654:K654)</f>
        <v>0</v>
      </c>
      <c r="M654" s="61">
        <f>L654/6</f>
        <v>0</v>
      </c>
      <c r="N654" s="61"/>
      <c r="O654" s="61"/>
      <c r="P654" s="61"/>
      <c r="Q654" s="61"/>
      <c r="R654" s="61"/>
      <c r="S654" s="61"/>
      <c r="T654" s="61">
        <f>SUM(N654:S654)</f>
        <v>0</v>
      </c>
      <c r="U654" s="61">
        <f>T654+L654</f>
        <v>0</v>
      </c>
      <c r="V654" s="61">
        <f>V649</f>
        <v>0</v>
      </c>
      <c r="W654" s="72">
        <f>V654-U654</f>
        <v>0</v>
      </c>
      <c r="X654" s="63">
        <f>U649-U654</f>
        <v>0</v>
      </c>
    </row>
    <row r="655" spans="1:28" s="126" customFormat="1" ht="18" customHeight="1">
      <c r="A655" s="614"/>
      <c r="B655" s="581"/>
      <c r="C655" s="581"/>
      <c r="D655" s="201" t="str">
        <f>серпень!D578</f>
        <v xml:space="preserve">місцевий </v>
      </c>
      <c r="E655" s="71"/>
      <c r="F655" s="61">
        <f t="shared" ref="F655:K655" si="748">F653-F654</f>
        <v>0</v>
      </c>
      <c r="G655" s="61">
        <f>G653-G654</f>
        <v>3.9180000000000001</v>
      </c>
      <c r="H655" s="61">
        <f t="shared" si="748"/>
        <v>3.218</v>
      </c>
      <c r="I655" s="61">
        <f t="shared" si="748"/>
        <v>4.3360000000000003</v>
      </c>
      <c r="J655" s="61">
        <f t="shared" si="748"/>
        <v>3.915</v>
      </c>
      <c r="K655" s="61">
        <f t="shared" si="748"/>
        <v>4.0570000000000004</v>
      </c>
      <c r="L655" s="61">
        <f>SUM(F655:K655)</f>
        <v>19.443999999999999</v>
      </c>
      <c r="M655" s="61">
        <f>L655/6</f>
        <v>3.2410000000000001</v>
      </c>
      <c r="N655" s="61">
        <f t="shared" ref="N655:S655" si="749">N653-N654</f>
        <v>4.0579999999999998</v>
      </c>
      <c r="O655" s="61">
        <f t="shared" si="749"/>
        <v>0</v>
      </c>
      <c r="P655" s="61">
        <f t="shared" si="749"/>
        <v>4.0579999999999998</v>
      </c>
      <c r="Q655" s="61">
        <f t="shared" si="749"/>
        <v>3.4430000000000001</v>
      </c>
      <c r="R655" s="61">
        <f t="shared" si="749"/>
        <v>3.4430000000000001</v>
      </c>
      <c r="S655" s="61">
        <f t="shared" si="749"/>
        <v>6.89</v>
      </c>
      <c r="T655" s="61">
        <f>SUM(N655:S655)</f>
        <v>21.891999999999999</v>
      </c>
      <c r="U655" s="61">
        <f>T655+L655</f>
        <v>41.335999999999999</v>
      </c>
      <c r="V655" s="61">
        <f>V650</f>
        <v>41.32</v>
      </c>
      <c r="W655" s="72">
        <f>V655-U655</f>
        <v>-1.6E-2</v>
      </c>
      <c r="X655" s="63">
        <f>U650-U655</f>
        <v>-1.6E-2</v>
      </c>
    </row>
    <row r="656" spans="1:28" s="43" customFormat="1" ht="18" customHeight="1">
      <c r="A656" s="614"/>
      <c r="B656" s="581"/>
      <c r="C656" s="581"/>
      <c r="D656" s="202" t="str">
        <f>серпень!D579</f>
        <v>план</v>
      </c>
      <c r="E656" s="42"/>
      <c r="F656" s="42">
        <f>F650+F649</f>
        <v>0</v>
      </c>
      <c r="G656" s="42">
        <f t="shared" ref="G656:K656" si="750">G650+G649</f>
        <v>3.4430000000000001</v>
      </c>
      <c r="H656" s="42">
        <f t="shared" si="750"/>
        <v>3.4430000000000001</v>
      </c>
      <c r="I656" s="42">
        <f t="shared" si="750"/>
        <v>2.1429999999999998</v>
      </c>
      <c r="J656" s="42">
        <f t="shared" si="750"/>
        <v>3.4430000000000001</v>
      </c>
      <c r="K656" s="42">
        <f t="shared" si="750"/>
        <v>2.7429999999999999</v>
      </c>
      <c r="L656" s="42">
        <f>SUM(F656:K656)</f>
        <v>15.215</v>
      </c>
      <c r="M656" s="42">
        <f>L656/6</f>
        <v>2.536</v>
      </c>
      <c r="N656" s="42">
        <f>N650+N649</f>
        <v>3.1429999999999998</v>
      </c>
      <c r="O656" s="42">
        <f t="shared" ref="O656:S656" si="751">O650+O649</f>
        <v>0</v>
      </c>
      <c r="P656" s="42">
        <f t="shared" si="751"/>
        <v>5.0430000000000001</v>
      </c>
      <c r="Q656" s="42">
        <f t="shared" si="751"/>
        <v>7.5860000000000003</v>
      </c>
      <c r="R656" s="42">
        <f t="shared" si="751"/>
        <v>3.4430000000000001</v>
      </c>
      <c r="S656" s="42">
        <f t="shared" si="751"/>
        <v>6.89</v>
      </c>
      <c r="T656" s="42">
        <f>SUM(N656:S656)</f>
        <v>26.105</v>
      </c>
      <c r="U656" s="42">
        <f>T656+L656</f>
        <v>41.32</v>
      </c>
      <c r="V656" s="42">
        <f>V653</f>
        <v>41.32</v>
      </c>
      <c r="W656" s="42">
        <f>V656-U656</f>
        <v>0</v>
      </c>
    </row>
    <row r="657" spans="1:28" s="43" customFormat="1" ht="18" customHeight="1">
      <c r="A657" s="614"/>
      <c r="B657" s="581"/>
      <c r="C657" s="581"/>
      <c r="D657" s="202" t="str">
        <f>серпень!D580</f>
        <v xml:space="preserve">відхилення </v>
      </c>
      <c r="E657" s="42"/>
      <c r="F657" s="42">
        <f t="shared" ref="F657:K657" si="752">F653-F656</f>
        <v>0</v>
      </c>
      <c r="G657" s="42">
        <f t="shared" si="752"/>
        <v>0.47499999999999998</v>
      </c>
      <c r="H657" s="42">
        <f t="shared" si="752"/>
        <v>-0.22500000000000001</v>
      </c>
      <c r="I657" s="42">
        <f t="shared" si="752"/>
        <v>2.1930000000000001</v>
      </c>
      <c r="J657" s="42">
        <f t="shared" si="752"/>
        <v>0.47199999999999998</v>
      </c>
      <c r="K657" s="42">
        <f t="shared" si="752"/>
        <v>1.3140000000000001</v>
      </c>
      <c r="L657" s="42"/>
      <c r="M657" s="42"/>
      <c r="N657" s="42">
        <f t="shared" ref="N657:S657" si="753">N653-N656</f>
        <v>0.91500000000000004</v>
      </c>
      <c r="O657" s="42">
        <f t="shared" si="753"/>
        <v>0</v>
      </c>
      <c r="P657" s="42">
        <f t="shared" si="753"/>
        <v>-0.98499999999999999</v>
      </c>
      <c r="Q657" s="42">
        <f t="shared" si="753"/>
        <v>-4.1429999999999998</v>
      </c>
      <c r="R657" s="42">
        <f t="shared" si="753"/>
        <v>0</v>
      </c>
      <c r="S657" s="42">
        <f t="shared" si="753"/>
        <v>0</v>
      </c>
      <c r="T657" s="42"/>
      <c r="U657" s="42"/>
      <c r="V657" s="42"/>
      <c r="W657" s="42"/>
    </row>
    <row r="658" spans="1:28" s="43" customFormat="1" ht="18" customHeight="1">
      <c r="A658" s="614"/>
      <c r="B658" s="581"/>
      <c r="C658" s="581"/>
      <c r="D658" s="202" t="str">
        <f>серпень!D581</f>
        <v>відхилення з наростаючим</v>
      </c>
      <c r="E658" s="42"/>
      <c r="F658" s="42">
        <f>F657</f>
        <v>0</v>
      </c>
      <c r="G658" s="42">
        <f>G657+F658</f>
        <v>0.47499999999999998</v>
      </c>
      <c r="H658" s="42">
        <f>H657+G658</f>
        <v>0.25</v>
      </c>
      <c r="I658" s="42">
        <f>I657+H658</f>
        <v>2.4430000000000001</v>
      </c>
      <c r="J658" s="42">
        <f>J657+I658</f>
        <v>2.915</v>
      </c>
      <c r="K658" s="42">
        <f>K657+J658</f>
        <v>4.2290000000000001</v>
      </c>
      <c r="L658" s="42"/>
      <c r="M658" s="42"/>
      <c r="N658" s="42">
        <f>N657+K658</f>
        <v>5.1440000000000001</v>
      </c>
      <c r="O658" s="42">
        <f>O657+N658</f>
        <v>5.1440000000000001</v>
      </c>
      <c r="P658" s="42">
        <f>P657+O658</f>
        <v>4.1589999999999998</v>
      </c>
      <c r="Q658" s="42">
        <f>Q657+P658</f>
        <v>1.6E-2</v>
      </c>
      <c r="R658" s="42">
        <f>R657+Q658</f>
        <v>1.6E-2</v>
      </c>
      <c r="S658" s="42">
        <f>S657+R658</f>
        <v>1.6E-2</v>
      </c>
      <c r="T658" s="42"/>
      <c r="U658" s="42"/>
      <c r="V658" s="42"/>
      <c r="W658" s="42"/>
    </row>
    <row r="659" spans="1:28" s="55" customFormat="1" ht="18" hidden="1" customHeight="1">
      <c r="A659" s="614"/>
      <c r="B659" s="654" t="s">
        <v>135</v>
      </c>
      <c r="C659" s="581"/>
      <c r="D659" s="178" t="str">
        <f>серпень!D582</f>
        <v>факт. нат.п-ки 2023</v>
      </c>
      <c r="E659" s="11"/>
      <c r="F659" s="12"/>
      <c r="G659" s="12"/>
      <c r="H659" s="12"/>
      <c r="I659" s="12"/>
      <c r="J659" s="12"/>
      <c r="K659" s="12"/>
      <c r="L659" s="65">
        <f>SUM(F659:K659)</f>
        <v>0</v>
      </c>
      <c r="M659" s="65">
        <f>L659/6</f>
        <v>0</v>
      </c>
      <c r="N659" s="11"/>
      <c r="O659" s="11"/>
      <c r="P659" s="11"/>
      <c r="Q659" s="11"/>
      <c r="R659" s="11"/>
      <c r="S659" s="11"/>
      <c r="T659" s="65">
        <f>SUM(N659:S659)</f>
        <v>0</v>
      </c>
      <c r="U659" s="66">
        <f>T659+L659</f>
        <v>0</v>
      </c>
      <c r="V659" s="46"/>
      <c r="W659" s="38"/>
      <c r="X659" s="47"/>
      <c r="Y659" s="48"/>
      <c r="Z659" s="48"/>
      <c r="AA659" s="48"/>
      <c r="AB659" s="48"/>
    </row>
    <row r="660" spans="1:28" s="48" customFormat="1" ht="18" hidden="1" customHeight="1">
      <c r="A660" s="614"/>
      <c r="B660" s="581"/>
      <c r="C660" s="581"/>
      <c r="D660" s="178" t="str">
        <f>серпень!D583</f>
        <v>факт. нат.п-ки 2024</v>
      </c>
      <c r="E660" s="11"/>
      <c r="F660" s="12"/>
      <c r="G660" s="12"/>
      <c r="H660" s="12"/>
      <c r="I660" s="12"/>
      <c r="J660" s="12"/>
      <c r="K660" s="12"/>
      <c r="L660" s="65">
        <f>SUM(F660:K660)</f>
        <v>0</v>
      </c>
      <c r="M660" s="65">
        <f>L660/6</f>
        <v>0</v>
      </c>
      <c r="N660" s="11"/>
      <c r="O660" s="11"/>
      <c r="P660" s="11"/>
      <c r="Q660" s="11"/>
      <c r="R660" s="11"/>
      <c r="S660" s="11"/>
      <c r="T660" s="65">
        <f>SUM(N660:S660)</f>
        <v>0</v>
      </c>
      <c r="U660" s="66">
        <f>T660+L660</f>
        <v>0</v>
      </c>
      <c r="V660" s="46"/>
      <c r="W660" s="38"/>
      <c r="X660" s="47"/>
    </row>
    <row r="661" spans="1:28" s="48" customFormat="1" ht="18" hidden="1" customHeight="1">
      <c r="A661" s="614"/>
      <c r="B661" s="581"/>
      <c r="C661" s="581"/>
      <c r="D661" s="178" t="str">
        <f>серпень!D584</f>
        <v>факт. нат.п-ки 2025</v>
      </c>
      <c r="E661" s="11"/>
      <c r="F661" s="12"/>
      <c r="G661" s="12"/>
      <c r="H661" s="12"/>
      <c r="I661" s="12"/>
      <c r="J661" s="12"/>
      <c r="K661" s="12"/>
      <c r="L661" s="65">
        <f>SUM(F661:K661)</f>
        <v>0</v>
      </c>
      <c r="M661" s="65">
        <f>L661/6</f>
        <v>0</v>
      </c>
      <c r="N661" s="11"/>
      <c r="O661" s="11"/>
      <c r="P661" s="11"/>
      <c r="Q661" s="11"/>
      <c r="R661" s="11"/>
      <c r="S661" s="11"/>
      <c r="T661" s="65">
        <f>SUM(N661:S661)</f>
        <v>0</v>
      </c>
      <c r="U661" s="66">
        <f>T661+L661</f>
        <v>0</v>
      </c>
      <c r="V661" s="11"/>
      <c r="W661" s="38">
        <f>V661-U661</f>
        <v>0</v>
      </c>
      <c r="X661" s="47"/>
    </row>
    <row r="662" spans="1:28" s="51" customFormat="1" ht="18" hidden="1" customHeight="1">
      <c r="A662" s="614"/>
      <c r="B662" s="581"/>
      <c r="C662" s="581"/>
      <c r="D662" s="187" t="str">
        <f>серпень!D585</f>
        <v>тариф, грн.</v>
      </c>
      <c r="E662" s="49" t="e">
        <f t="shared" ref="E662:K662" si="754">E663/E661*1000</f>
        <v>#DIV/0!</v>
      </c>
      <c r="F662" s="49" t="e">
        <f t="shared" si="754"/>
        <v>#DIV/0!</v>
      </c>
      <c r="G662" s="49" t="e">
        <f t="shared" si="754"/>
        <v>#DIV/0!</v>
      </c>
      <c r="H662" s="49" t="e">
        <f t="shared" si="754"/>
        <v>#DIV/0!</v>
      </c>
      <c r="I662" s="49" t="e">
        <f t="shared" si="754"/>
        <v>#DIV/0!</v>
      </c>
      <c r="J662" s="49" t="e">
        <f t="shared" si="754"/>
        <v>#DIV/0!</v>
      </c>
      <c r="K662" s="49" t="e">
        <f t="shared" si="754"/>
        <v>#DIV/0!</v>
      </c>
      <c r="L662" s="49" t="e">
        <f>L663/L661*1000</f>
        <v>#DIV/0!</v>
      </c>
      <c r="M662" s="49" t="e">
        <f>M663/M661*1000</f>
        <v>#DIV/0!</v>
      </c>
      <c r="N662" s="49" t="e">
        <f t="shared" ref="N662:Q662" si="755">N663/N661*1000</f>
        <v>#DIV/0!</v>
      </c>
      <c r="O662" s="49" t="e">
        <f t="shared" si="755"/>
        <v>#DIV/0!</v>
      </c>
      <c r="P662" s="49" t="e">
        <f t="shared" si="755"/>
        <v>#DIV/0!</v>
      </c>
      <c r="Q662" s="49" t="e">
        <f t="shared" si="755"/>
        <v>#DIV/0!</v>
      </c>
      <c r="R662" s="49">
        <v>143.11199999999999</v>
      </c>
      <c r="S662" s="49">
        <v>143.11199999999999</v>
      </c>
      <c r="T662" s="49" t="e">
        <f>T663/T661*1000</f>
        <v>#DIV/0!</v>
      </c>
      <c r="U662" s="49" t="e">
        <f>U663/U661*1000</f>
        <v>#DIV/0!</v>
      </c>
      <c r="V662" s="68" t="e">
        <f>V663/V661*1000</f>
        <v>#DIV/0!</v>
      </c>
      <c r="W662" s="14" t="e">
        <f>W663/W661*1000</f>
        <v>#DIV/0!</v>
      </c>
      <c r="X662" s="59"/>
    </row>
    <row r="663" spans="1:28" s="130" customFormat="1" ht="18" hidden="1" customHeight="1">
      <c r="A663" s="614"/>
      <c r="B663" s="581"/>
      <c r="C663" s="581"/>
      <c r="D663" s="191" t="str">
        <f>серпень!D586</f>
        <v>сума, тис.грн.</v>
      </c>
      <c r="E663" s="52"/>
      <c r="F663" s="52"/>
      <c r="G663" s="52"/>
      <c r="H663" s="52"/>
      <c r="I663" s="52"/>
      <c r="J663" s="52"/>
      <c r="K663" s="52"/>
      <c r="L663" s="69">
        <f>SUM(F663:K663)</f>
        <v>0</v>
      </c>
      <c r="M663" s="69">
        <f>L663/6</f>
        <v>0</v>
      </c>
      <c r="N663" s="52"/>
      <c r="O663" s="52"/>
      <c r="P663" s="52"/>
      <c r="Q663" s="52"/>
      <c r="R663" s="52"/>
      <c r="S663" s="52"/>
      <c r="T663" s="69">
        <f>SUM(N663:S663)</f>
        <v>0</v>
      </c>
      <c r="U663" s="69">
        <f>T663+L663</f>
        <v>0</v>
      </c>
      <c r="V663" s="70">
        <f>V665</f>
        <v>0</v>
      </c>
      <c r="W663" s="53">
        <f>V663-U663</f>
        <v>0</v>
      </c>
    </row>
    <row r="664" spans="1:28" s="130" customFormat="1" ht="18" hidden="1" customHeight="1">
      <c r="A664" s="614"/>
      <c r="B664" s="581"/>
      <c r="C664" s="581"/>
      <c r="D664" s="174" t="str">
        <f>серпень!D587</f>
        <v>дотація</v>
      </c>
      <c r="E664" s="56"/>
      <c r="F664" s="52"/>
      <c r="G664" s="52"/>
      <c r="H664" s="52"/>
      <c r="I664" s="52"/>
      <c r="J664" s="52"/>
      <c r="K664" s="52"/>
      <c r="L664" s="69">
        <f>SUM(F664:K664)</f>
        <v>0</v>
      </c>
      <c r="M664" s="69">
        <f>L664/6</f>
        <v>0</v>
      </c>
      <c r="N664" s="52"/>
      <c r="O664" s="52"/>
      <c r="P664" s="52"/>
      <c r="Q664" s="52"/>
      <c r="R664" s="52"/>
      <c r="S664" s="52"/>
      <c r="T664" s="69">
        <f>SUM(N664:S664)</f>
        <v>0</v>
      </c>
      <c r="U664" s="69">
        <f>T664+L664</f>
        <v>0</v>
      </c>
      <c r="V664" s="70"/>
      <c r="W664" s="53">
        <f>V664-U664</f>
        <v>0</v>
      </c>
    </row>
    <row r="665" spans="1:28" s="130" customFormat="1" ht="18" hidden="1" customHeight="1">
      <c r="A665" s="614"/>
      <c r="B665" s="581"/>
      <c r="C665" s="581"/>
      <c r="D665" s="174" t="str">
        <f>серпень!D588</f>
        <v>місцевий (план), тис.грн</v>
      </c>
      <c r="E665" s="56"/>
      <c r="F665" s="52"/>
      <c r="G665" s="52"/>
      <c r="H665" s="52"/>
      <c r="I665" s="52"/>
      <c r="J665" s="52"/>
      <c r="K665" s="52"/>
      <c r="L665" s="69">
        <f>SUM(F665:K665)</f>
        <v>0</v>
      </c>
      <c r="M665" s="69">
        <f>L665/6</f>
        <v>0</v>
      </c>
      <c r="N665" s="52"/>
      <c r="O665" s="52"/>
      <c r="P665" s="52"/>
      <c r="Q665" s="52"/>
      <c r="R665" s="52"/>
      <c r="S665" s="52"/>
      <c r="T665" s="69">
        <f>SUM(N665:S665)</f>
        <v>0</v>
      </c>
      <c r="U665" s="69">
        <f>T665+L665</f>
        <v>0</v>
      </c>
      <c r="V665" s="70">
        <v>0</v>
      </c>
      <c r="W665" s="53">
        <f>V665-U665</f>
        <v>0</v>
      </c>
    </row>
    <row r="666" spans="1:28" s="48" customFormat="1" ht="18" hidden="1" customHeight="1">
      <c r="A666" s="614"/>
      <c r="B666" s="581"/>
      <c r="C666" s="581"/>
      <c r="D666" s="178" t="str">
        <f>серпень!D589</f>
        <v>касові нат.п-ки 2025</v>
      </c>
      <c r="E666" s="11"/>
      <c r="F666" s="12"/>
      <c r="G666" s="12"/>
      <c r="H666" s="12"/>
      <c r="I666" s="12"/>
      <c r="J666" s="12"/>
      <c r="K666" s="12"/>
      <c r="L666" s="65">
        <f>SUM(F666:K666)</f>
        <v>0</v>
      </c>
      <c r="M666" s="65">
        <f>L666/6</f>
        <v>0</v>
      </c>
      <c r="N666" s="12"/>
      <c r="O666" s="261"/>
      <c r="P666" s="11"/>
      <c r="Q666" s="11"/>
      <c r="R666" s="11"/>
      <c r="S666" s="11"/>
      <c r="T666" s="65">
        <f>SUM(N666:S666)</f>
        <v>0</v>
      </c>
      <c r="U666" s="65">
        <f>T666+L666</f>
        <v>0</v>
      </c>
      <c r="V666" s="11">
        <f>V661</f>
        <v>0</v>
      </c>
      <c r="W666" s="38">
        <f>V666-U666</f>
        <v>0</v>
      </c>
      <c r="X666" s="47">
        <f>U661-U666</f>
        <v>0</v>
      </c>
    </row>
    <row r="667" spans="1:28" s="51" customFormat="1" ht="18" hidden="1" customHeight="1">
      <c r="A667" s="614"/>
      <c r="B667" s="581"/>
      <c r="C667" s="581"/>
      <c r="D667" s="187" t="str">
        <f>серпень!D590</f>
        <v>тариф, грн.</v>
      </c>
      <c r="E667" s="49" t="e">
        <f t="shared" ref="E667:K667" si="756">E668/E666*1000</f>
        <v>#DIV/0!</v>
      </c>
      <c r="F667" s="49" t="e">
        <f t="shared" si="756"/>
        <v>#DIV/0!</v>
      </c>
      <c r="G667" s="49" t="e">
        <f t="shared" si="756"/>
        <v>#DIV/0!</v>
      </c>
      <c r="H667" s="49" t="e">
        <f t="shared" si="756"/>
        <v>#DIV/0!</v>
      </c>
      <c r="I667" s="49" t="e">
        <f t="shared" si="756"/>
        <v>#DIV/0!</v>
      </c>
      <c r="J667" s="49" t="e">
        <f t="shared" si="756"/>
        <v>#DIV/0!</v>
      </c>
      <c r="K667" s="49" t="e">
        <f t="shared" si="756"/>
        <v>#DIV/0!</v>
      </c>
      <c r="L667" s="49" t="e">
        <f>L668/L666*1000</f>
        <v>#DIV/0!</v>
      </c>
      <c r="M667" s="49" t="e">
        <f>M668/M666*1000</f>
        <v>#DIV/0!</v>
      </c>
      <c r="N667" s="49" t="e">
        <f t="shared" ref="N667:R667" si="757">N668/N666*1000</f>
        <v>#DIV/0!</v>
      </c>
      <c r="O667" s="49" t="e">
        <f t="shared" si="757"/>
        <v>#DIV/0!</v>
      </c>
      <c r="P667" s="49" t="e">
        <f t="shared" si="757"/>
        <v>#DIV/0!</v>
      </c>
      <c r="Q667" s="49" t="e">
        <f t="shared" si="757"/>
        <v>#DIV/0!</v>
      </c>
      <c r="R667" s="49" t="e">
        <f t="shared" si="757"/>
        <v>#DIV/0!</v>
      </c>
      <c r="S667" s="49">
        <v>143.11199999999999</v>
      </c>
      <c r="T667" s="49" t="e">
        <f>T668/T666*1000</f>
        <v>#DIV/0!</v>
      </c>
      <c r="U667" s="49" t="e">
        <f>U668/U666*1000</f>
        <v>#DIV/0!</v>
      </c>
      <c r="V667" s="68" t="e">
        <f>V668/V666*1000</f>
        <v>#DIV/0!</v>
      </c>
      <c r="W667" s="14" t="e">
        <f>W668/W666*1000</f>
        <v>#DIV/0!</v>
      </c>
      <c r="X667" s="59"/>
    </row>
    <row r="668" spans="1:28" s="126" customFormat="1" ht="18" hidden="1" customHeight="1">
      <c r="A668" s="614"/>
      <c r="B668" s="581"/>
      <c r="C668" s="581"/>
      <c r="D668" s="198" t="str">
        <f>серпень!D591</f>
        <v>касові видатки, тис.грн.</v>
      </c>
      <c r="E668" s="71"/>
      <c r="F668" s="61"/>
      <c r="G668" s="61"/>
      <c r="H668" s="61"/>
      <c r="I668" s="61"/>
      <c r="J668" s="61"/>
      <c r="K668" s="61"/>
      <c r="L668" s="61">
        <f>SUM(F668:K668)</f>
        <v>0</v>
      </c>
      <c r="M668" s="61">
        <f>L668/6</f>
        <v>0</v>
      </c>
      <c r="N668" s="61"/>
      <c r="O668" s="61"/>
      <c r="P668" s="61"/>
      <c r="Q668" s="61"/>
      <c r="R668" s="61"/>
      <c r="S668" s="61"/>
      <c r="T668" s="61">
        <f>SUM(N668:S668)</f>
        <v>0</v>
      </c>
      <c r="U668" s="61">
        <f>T668+L668</f>
        <v>0</v>
      </c>
      <c r="V668" s="61">
        <f>V663</f>
        <v>0</v>
      </c>
      <c r="W668" s="72">
        <f>V668-U668</f>
        <v>0</v>
      </c>
      <c r="X668" s="63">
        <f>U663-U668</f>
        <v>0</v>
      </c>
    </row>
    <row r="669" spans="1:28" s="126" customFormat="1" ht="18" hidden="1" customHeight="1">
      <c r="A669" s="614"/>
      <c r="B669" s="581"/>
      <c r="C669" s="581"/>
      <c r="D669" s="201" t="str">
        <f>серпень!D592</f>
        <v>дотація</v>
      </c>
      <c r="E669" s="71"/>
      <c r="F669" s="61"/>
      <c r="G669" s="61"/>
      <c r="H669" s="61"/>
      <c r="I669" s="61"/>
      <c r="J669" s="61"/>
      <c r="K669" s="61"/>
      <c r="L669" s="61">
        <f>SUM(F669:K669)</f>
        <v>0</v>
      </c>
      <c r="M669" s="61">
        <f>L669/6</f>
        <v>0</v>
      </c>
      <c r="N669" s="61"/>
      <c r="O669" s="61"/>
      <c r="P669" s="61"/>
      <c r="Q669" s="61"/>
      <c r="R669" s="61"/>
      <c r="S669" s="61"/>
      <c r="T669" s="61">
        <f>SUM(N669:S669)</f>
        <v>0</v>
      </c>
      <c r="U669" s="61">
        <f>T669+L669</f>
        <v>0</v>
      </c>
      <c r="V669" s="61">
        <f>V664</f>
        <v>0</v>
      </c>
      <c r="W669" s="72">
        <f>V669-U669</f>
        <v>0</v>
      </c>
      <c r="X669" s="63">
        <f>U664-U669</f>
        <v>0</v>
      </c>
    </row>
    <row r="670" spans="1:28" s="126" customFormat="1" ht="18" hidden="1" customHeight="1">
      <c r="A670" s="614"/>
      <c r="B670" s="581"/>
      <c r="C670" s="581"/>
      <c r="D670" s="201" t="str">
        <f>серпень!D593</f>
        <v xml:space="preserve">місцевий </v>
      </c>
      <c r="E670" s="71"/>
      <c r="F670" s="61">
        <f t="shared" ref="F670:K670" si="758">F668-F669</f>
        <v>0</v>
      </c>
      <c r="G670" s="61">
        <f t="shared" si="758"/>
        <v>0</v>
      </c>
      <c r="H670" s="61">
        <f t="shared" si="758"/>
        <v>0</v>
      </c>
      <c r="I670" s="61">
        <f t="shared" si="758"/>
        <v>0</v>
      </c>
      <c r="J670" s="61">
        <f t="shared" si="758"/>
        <v>0</v>
      </c>
      <c r="K670" s="61">
        <f t="shared" si="758"/>
        <v>0</v>
      </c>
      <c r="L670" s="61">
        <f>SUM(F670:K670)</f>
        <v>0</v>
      </c>
      <c r="M670" s="61">
        <f>L670/6</f>
        <v>0</v>
      </c>
      <c r="N670" s="61">
        <f t="shared" ref="N670:S670" si="759">N668-N669</f>
        <v>0</v>
      </c>
      <c r="O670" s="61">
        <f t="shared" si="759"/>
        <v>0</v>
      </c>
      <c r="P670" s="61">
        <f t="shared" si="759"/>
        <v>0</v>
      </c>
      <c r="Q670" s="61">
        <f t="shared" si="759"/>
        <v>0</v>
      </c>
      <c r="R670" s="61">
        <f t="shared" si="759"/>
        <v>0</v>
      </c>
      <c r="S670" s="61">
        <f t="shared" si="759"/>
        <v>0</v>
      </c>
      <c r="T670" s="61">
        <f>SUM(N670:S670)</f>
        <v>0</v>
      </c>
      <c r="U670" s="61">
        <f>T670+L670</f>
        <v>0</v>
      </c>
      <c r="V670" s="61">
        <f>V665</f>
        <v>0</v>
      </c>
      <c r="W670" s="72">
        <f>V670-U670</f>
        <v>0</v>
      </c>
      <c r="X670" s="63">
        <f>U665-U670</f>
        <v>0</v>
      </c>
    </row>
    <row r="671" spans="1:28" s="43" customFormat="1" ht="18" hidden="1" customHeight="1">
      <c r="A671" s="614"/>
      <c r="B671" s="581"/>
      <c r="C671" s="581"/>
      <c r="D671" s="202" t="str">
        <f>серпень!D594</f>
        <v>план</v>
      </c>
      <c r="E671" s="42"/>
      <c r="F671" s="42">
        <f>F665+F664</f>
        <v>0</v>
      </c>
      <c r="G671" s="42">
        <f t="shared" ref="G671:K671" si="760">G665+G664</f>
        <v>0</v>
      </c>
      <c r="H671" s="42">
        <f t="shared" si="760"/>
        <v>0</v>
      </c>
      <c r="I671" s="42">
        <f t="shared" si="760"/>
        <v>0</v>
      </c>
      <c r="J671" s="42">
        <f t="shared" si="760"/>
        <v>0</v>
      </c>
      <c r="K671" s="42">
        <f t="shared" si="760"/>
        <v>0</v>
      </c>
      <c r="L671" s="42">
        <f>SUM(F671:K671)</f>
        <v>0</v>
      </c>
      <c r="M671" s="42">
        <f>L671/6</f>
        <v>0</v>
      </c>
      <c r="N671" s="42">
        <f>N665+N664</f>
        <v>0</v>
      </c>
      <c r="O671" s="42">
        <f t="shared" ref="O671:S671" si="761">O665+O664</f>
        <v>0</v>
      </c>
      <c r="P671" s="42">
        <f t="shared" si="761"/>
        <v>0</v>
      </c>
      <c r="Q671" s="42">
        <f t="shared" si="761"/>
        <v>0</v>
      </c>
      <c r="R671" s="42">
        <f t="shared" si="761"/>
        <v>0</v>
      </c>
      <c r="S671" s="42">
        <f t="shared" si="761"/>
        <v>0</v>
      </c>
      <c r="T671" s="42">
        <f>SUM(N671:S671)</f>
        <v>0</v>
      </c>
      <c r="U671" s="42">
        <f>T671+L671</f>
        <v>0</v>
      </c>
      <c r="V671" s="42">
        <f>V668</f>
        <v>0</v>
      </c>
      <c r="W671" s="42">
        <f>V671-U671</f>
        <v>0</v>
      </c>
    </row>
    <row r="672" spans="1:28" s="43" customFormat="1" ht="18" hidden="1" customHeight="1">
      <c r="A672" s="614"/>
      <c r="B672" s="581"/>
      <c r="C672" s="581"/>
      <c r="D672" s="202" t="str">
        <f>серпень!D595</f>
        <v xml:space="preserve">відхилення </v>
      </c>
      <c r="E672" s="42"/>
      <c r="F672" s="42">
        <f t="shared" ref="F672:K672" si="762">F668-F671</f>
        <v>0</v>
      </c>
      <c r="G672" s="42">
        <f t="shared" si="762"/>
        <v>0</v>
      </c>
      <c r="H672" s="42">
        <f t="shared" si="762"/>
        <v>0</v>
      </c>
      <c r="I672" s="42">
        <f t="shared" si="762"/>
        <v>0</v>
      </c>
      <c r="J672" s="42">
        <f t="shared" si="762"/>
        <v>0</v>
      </c>
      <c r="K672" s="42">
        <f t="shared" si="762"/>
        <v>0</v>
      </c>
      <c r="L672" s="42"/>
      <c r="M672" s="42"/>
      <c r="N672" s="42">
        <f t="shared" ref="N672:S672" si="763">N668-N671</f>
        <v>0</v>
      </c>
      <c r="O672" s="42">
        <f t="shared" si="763"/>
        <v>0</v>
      </c>
      <c r="P672" s="42">
        <f t="shared" si="763"/>
        <v>0</v>
      </c>
      <c r="Q672" s="42">
        <f t="shared" si="763"/>
        <v>0</v>
      </c>
      <c r="R672" s="42">
        <f t="shared" si="763"/>
        <v>0</v>
      </c>
      <c r="S672" s="42">
        <f t="shared" si="763"/>
        <v>0</v>
      </c>
      <c r="T672" s="42"/>
      <c r="U672" s="42"/>
      <c r="V672" s="42"/>
      <c r="W672" s="42"/>
    </row>
    <row r="673" spans="1:28" s="43" customFormat="1" ht="18" hidden="1" customHeight="1">
      <c r="A673" s="614"/>
      <c r="B673" s="581"/>
      <c r="C673" s="581"/>
      <c r="D673" s="202" t="str">
        <f>серпень!D596</f>
        <v>відхилення з наростаючим</v>
      </c>
      <c r="E673" s="42"/>
      <c r="F673" s="42">
        <f>F672</f>
        <v>0</v>
      </c>
      <c r="G673" s="42">
        <f>G672+F673</f>
        <v>0</v>
      </c>
      <c r="H673" s="42">
        <f>H672+G673</f>
        <v>0</v>
      </c>
      <c r="I673" s="42">
        <f>I672+H673</f>
        <v>0</v>
      </c>
      <c r="J673" s="42">
        <f>J672+I673</f>
        <v>0</v>
      </c>
      <c r="K673" s="42">
        <f>K672+J673</f>
        <v>0</v>
      </c>
      <c r="L673" s="42"/>
      <c r="M673" s="42"/>
      <c r="N673" s="42">
        <f>N672+K673</f>
        <v>0</v>
      </c>
      <c r="O673" s="42">
        <f>O672+N673</f>
        <v>0</v>
      </c>
      <c r="P673" s="42">
        <f>P672+O673</f>
        <v>0</v>
      </c>
      <c r="Q673" s="42">
        <f>Q672+P673</f>
        <v>0</v>
      </c>
      <c r="R673" s="42">
        <f>R672+Q673</f>
        <v>0</v>
      </c>
      <c r="S673" s="42">
        <f>S672+R673</f>
        <v>0</v>
      </c>
      <c r="T673" s="42"/>
      <c r="U673" s="42"/>
      <c r="V673" s="42"/>
      <c r="W673" s="42"/>
    </row>
    <row r="674" spans="1:28" s="55" customFormat="1" ht="18" hidden="1" customHeight="1">
      <c r="A674" s="614"/>
      <c r="B674" s="581" t="s">
        <v>68</v>
      </c>
      <c r="C674" s="581"/>
      <c r="D674" s="178" t="str">
        <f>серпень!D597</f>
        <v>факт. нат.п-ки 2023</v>
      </c>
      <c r="E674" s="11"/>
      <c r="F674" s="12"/>
      <c r="G674" s="12"/>
      <c r="H674" s="12"/>
      <c r="I674" s="12"/>
      <c r="J674" s="12"/>
      <c r="K674" s="12"/>
      <c r="L674" s="65">
        <f>SUM(F674:K674)</f>
        <v>0</v>
      </c>
      <c r="M674" s="65">
        <f>L674/6</f>
        <v>0</v>
      </c>
      <c r="N674" s="12"/>
      <c r="O674" s="12"/>
      <c r="P674" s="12"/>
      <c r="Q674" s="12"/>
      <c r="R674" s="12"/>
      <c r="S674" s="12"/>
      <c r="T674" s="65">
        <f>SUM(N674:S674)</f>
        <v>0</v>
      </c>
      <c r="U674" s="66">
        <f>T674+L674</f>
        <v>0</v>
      </c>
      <c r="V674" s="67"/>
      <c r="W674" s="38"/>
      <c r="X674" s="47"/>
      <c r="Y674" s="48"/>
      <c r="Z674" s="48"/>
      <c r="AA674" s="48"/>
      <c r="AB674" s="48"/>
    </row>
    <row r="675" spans="1:28" s="48" customFormat="1" ht="18" hidden="1" customHeight="1">
      <c r="A675" s="614"/>
      <c r="B675" s="581"/>
      <c r="C675" s="581"/>
      <c r="D675" s="178" t="str">
        <f>серпень!D598</f>
        <v>факт. нат.п-ки 2024</v>
      </c>
      <c r="E675" s="11"/>
      <c r="F675" s="12"/>
      <c r="G675" s="12"/>
      <c r="H675" s="12"/>
      <c r="I675" s="12"/>
      <c r="J675" s="12"/>
      <c r="K675" s="12"/>
      <c r="L675" s="65">
        <f>SUM(F675:K675)</f>
        <v>0</v>
      </c>
      <c r="M675" s="65">
        <f>L675/6</f>
        <v>0</v>
      </c>
      <c r="N675" s="11"/>
      <c r="O675" s="11"/>
      <c r="P675" s="11"/>
      <c r="Q675" s="11"/>
      <c r="R675" s="11"/>
      <c r="S675" s="11"/>
      <c r="T675" s="65">
        <f>SUM(N675:S675)</f>
        <v>0</v>
      </c>
      <c r="U675" s="66">
        <f>T675+L675</f>
        <v>0</v>
      </c>
      <c r="V675" s="67"/>
      <c r="W675" s="38"/>
      <c r="X675" s="47"/>
    </row>
    <row r="676" spans="1:28" s="48" customFormat="1" ht="18" hidden="1" customHeight="1">
      <c r="A676" s="614"/>
      <c r="B676" s="581"/>
      <c r="C676" s="581"/>
      <c r="D676" s="178" t="str">
        <f>серпень!D599</f>
        <v>факт. нат.п-ки 2025</v>
      </c>
      <c r="E676" s="11"/>
      <c r="F676" s="12"/>
      <c r="G676" s="12"/>
      <c r="H676" s="12"/>
      <c r="I676" s="12"/>
      <c r="J676" s="12"/>
      <c r="K676" s="12"/>
      <c r="L676" s="65">
        <f>SUM(F676:K676)</f>
        <v>0</v>
      </c>
      <c r="M676" s="65">
        <f>L676/6</f>
        <v>0</v>
      </c>
      <c r="N676" s="12"/>
      <c r="O676" s="12"/>
      <c r="P676" s="12"/>
      <c r="Q676" s="12"/>
      <c r="R676" s="12"/>
      <c r="S676" s="11"/>
      <c r="T676" s="65">
        <f>SUM(N676:S676)</f>
        <v>0</v>
      </c>
      <c r="U676" s="66">
        <f>T676+L676</f>
        <v>0</v>
      </c>
      <c r="V676" s="11"/>
      <c r="W676" s="38">
        <f>V676-U676</f>
        <v>0</v>
      </c>
      <c r="X676" s="47"/>
    </row>
    <row r="677" spans="1:28" s="51" customFormat="1" ht="18" hidden="1" customHeight="1">
      <c r="A677" s="614"/>
      <c r="B677" s="581"/>
      <c r="C677" s="581"/>
      <c r="D677" s="187" t="str">
        <f>серпень!D600</f>
        <v>тариф, грн.</v>
      </c>
      <c r="E677" s="49"/>
      <c r="F677" s="49"/>
      <c r="G677" s="49"/>
      <c r="H677" s="49"/>
      <c r="I677" s="49"/>
      <c r="J677" s="49"/>
      <c r="K677" s="49"/>
      <c r="L677" s="49" t="e">
        <f>L678/L676*1000</f>
        <v>#DIV/0!</v>
      </c>
      <c r="M677" s="49" t="e">
        <f>M678/M676*1000</f>
        <v>#DIV/0!</v>
      </c>
      <c r="N677" s="49"/>
      <c r="O677" s="49"/>
      <c r="P677" s="49"/>
      <c r="Q677" s="49"/>
      <c r="R677" s="49"/>
      <c r="S677" s="49"/>
      <c r="T677" s="49" t="e">
        <f>T678/T676*1000</f>
        <v>#DIV/0!</v>
      </c>
      <c r="U677" s="49" t="e">
        <f>U678/U676*1000</f>
        <v>#DIV/0!</v>
      </c>
      <c r="V677" s="68" t="e">
        <f>V678/V676*1000</f>
        <v>#DIV/0!</v>
      </c>
      <c r="W677" s="14" t="e">
        <f>W678/W676*1000</f>
        <v>#DIV/0!</v>
      </c>
      <c r="X677" s="59"/>
    </row>
    <row r="678" spans="1:28" s="130" customFormat="1" ht="18" hidden="1" customHeight="1">
      <c r="A678" s="614"/>
      <c r="B678" s="581"/>
      <c r="C678" s="581"/>
      <c r="D678" s="191" t="str">
        <f>серпень!D601</f>
        <v>сума, тис.грн.</v>
      </c>
      <c r="E678" s="52"/>
      <c r="F678" s="52">
        <f t="shared" ref="F678:K678" si="764">F676*F677/1000</f>
        <v>0</v>
      </c>
      <c r="G678" s="52">
        <f t="shared" si="764"/>
        <v>0</v>
      </c>
      <c r="H678" s="52">
        <f t="shared" si="764"/>
        <v>0</v>
      </c>
      <c r="I678" s="52">
        <f t="shared" si="764"/>
        <v>0</v>
      </c>
      <c r="J678" s="52">
        <f t="shared" si="764"/>
        <v>0</v>
      </c>
      <c r="K678" s="52">
        <f t="shared" si="764"/>
        <v>0</v>
      </c>
      <c r="L678" s="69">
        <f>SUM(F678:K678)</f>
        <v>0</v>
      </c>
      <c r="M678" s="69">
        <f>L678/6</f>
        <v>0</v>
      </c>
      <c r="N678" s="52">
        <f t="shared" ref="N678:S678" si="765">N676*N677/1000</f>
        <v>0</v>
      </c>
      <c r="O678" s="52">
        <f t="shared" si="765"/>
        <v>0</v>
      </c>
      <c r="P678" s="52">
        <f t="shared" si="765"/>
        <v>0</v>
      </c>
      <c r="Q678" s="52">
        <f t="shared" si="765"/>
        <v>0</v>
      </c>
      <c r="R678" s="52">
        <f t="shared" si="765"/>
        <v>0</v>
      </c>
      <c r="S678" s="52">
        <f t="shared" si="765"/>
        <v>0</v>
      </c>
      <c r="T678" s="69">
        <f>SUM(N678:S678)</f>
        <v>0</v>
      </c>
      <c r="U678" s="69">
        <f>T678+L678</f>
        <v>0</v>
      </c>
      <c r="V678" s="70">
        <f>V679+V680</f>
        <v>0</v>
      </c>
      <c r="W678" s="53">
        <f>V678-U678</f>
        <v>0</v>
      </c>
    </row>
    <row r="679" spans="1:28" s="130" customFormat="1" ht="18" hidden="1" customHeight="1">
      <c r="A679" s="614"/>
      <c r="B679" s="581"/>
      <c r="C679" s="581"/>
      <c r="D679" s="174" t="str">
        <f>серпень!D602</f>
        <v>дотація</v>
      </c>
      <c r="E679" s="56"/>
      <c r="F679" s="52"/>
      <c r="G679" s="52"/>
      <c r="H679" s="52"/>
      <c r="I679" s="52"/>
      <c r="J679" s="52"/>
      <c r="K679" s="52"/>
      <c r="L679" s="69">
        <f>SUM(F679:K679)</f>
        <v>0</v>
      </c>
      <c r="M679" s="69">
        <f>L679/6</f>
        <v>0</v>
      </c>
      <c r="N679" s="52"/>
      <c r="O679" s="52"/>
      <c r="P679" s="52"/>
      <c r="Q679" s="52"/>
      <c r="R679" s="52"/>
      <c r="S679" s="52"/>
      <c r="T679" s="69">
        <f>SUM(N679:S679)</f>
        <v>0</v>
      </c>
      <c r="U679" s="69">
        <f>T679+L679</f>
        <v>0</v>
      </c>
      <c r="V679" s="70">
        <v>0</v>
      </c>
      <c r="W679" s="53">
        <f>V679-U679</f>
        <v>0</v>
      </c>
    </row>
    <row r="680" spans="1:28" s="130" customFormat="1" ht="18" hidden="1" customHeight="1">
      <c r="A680" s="614"/>
      <c r="B680" s="581"/>
      <c r="C680" s="581"/>
      <c r="D680" s="174" t="str">
        <f>серпень!D603</f>
        <v>місцевий (план), тис.грн</v>
      </c>
      <c r="E680" s="56"/>
      <c r="F680" s="52"/>
      <c r="G680" s="52"/>
      <c r="H680" s="52"/>
      <c r="I680" s="52"/>
      <c r="J680" s="52"/>
      <c r="K680" s="52"/>
      <c r="L680" s="69">
        <f>SUM(F680:K680)</f>
        <v>0</v>
      </c>
      <c r="M680" s="69">
        <f>L680/6</f>
        <v>0</v>
      </c>
      <c r="N680" s="52"/>
      <c r="O680" s="52"/>
      <c r="P680" s="52"/>
      <c r="Q680" s="52"/>
      <c r="R680" s="52"/>
      <c r="S680" s="52"/>
      <c r="T680" s="69">
        <f>SUM(N680:S680)</f>
        <v>0</v>
      </c>
      <c r="U680" s="69">
        <f>T680+L680</f>
        <v>0</v>
      </c>
      <c r="V680" s="70"/>
      <c r="W680" s="53">
        <f>V680-U680</f>
        <v>0</v>
      </c>
    </row>
    <row r="681" spans="1:28" s="48" customFormat="1" ht="18" hidden="1" customHeight="1">
      <c r="A681" s="614"/>
      <c r="B681" s="581"/>
      <c r="C681" s="581"/>
      <c r="D681" s="178" t="str">
        <f>серпень!D604</f>
        <v>касові нат.п-ки 2025</v>
      </c>
      <c r="E681" s="11"/>
      <c r="F681" s="11"/>
      <c r="G681" s="11"/>
      <c r="H681" s="11"/>
      <c r="I681" s="11"/>
      <c r="J681" s="11"/>
      <c r="K681" s="11"/>
      <c r="L681" s="65">
        <f>SUM(F681:K681)</f>
        <v>0</v>
      </c>
      <c r="M681" s="65">
        <f>L681/6</f>
        <v>0</v>
      </c>
      <c r="N681" s="11"/>
      <c r="O681" s="11"/>
      <c r="P681" s="11"/>
      <c r="Q681" s="11"/>
      <c r="R681" s="11"/>
      <c r="S681" s="11"/>
      <c r="T681" s="65">
        <f>SUM(N681:S681)</f>
        <v>0</v>
      </c>
      <c r="U681" s="65">
        <f>T681+L681</f>
        <v>0</v>
      </c>
      <c r="V681" s="11">
        <f>V676</f>
        <v>0</v>
      </c>
      <c r="W681" s="38">
        <f>V681-U681</f>
        <v>0</v>
      </c>
      <c r="X681" s="47">
        <f>U676-U681</f>
        <v>0</v>
      </c>
    </row>
    <row r="682" spans="1:28" s="51" customFormat="1" ht="18" hidden="1" customHeight="1">
      <c r="A682" s="614"/>
      <c r="B682" s="581"/>
      <c r="C682" s="581"/>
      <c r="D682" s="187" t="str">
        <f>серпень!D605</f>
        <v>тариф, грн.</v>
      </c>
      <c r="E682" s="49" t="e">
        <f>E683/E681*1000</f>
        <v>#DIV/0!</v>
      </c>
      <c r="F682" s="49"/>
      <c r="G682" s="49"/>
      <c r="H682" s="49"/>
      <c r="I682" s="49"/>
      <c r="J682" s="49"/>
      <c r="K682" s="49"/>
      <c r="L682" s="49" t="e">
        <f>L683/L681*1000</f>
        <v>#DIV/0!</v>
      </c>
      <c r="M682" s="49" t="e">
        <f>M683/M681*1000</f>
        <v>#DIV/0!</v>
      </c>
      <c r="N682" s="49"/>
      <c r="O682" s="49"/>
      <c r="P682" s="49"/>
      <c r="Q682" s="49"/>
      <c r="R682" s="49"/>
      <c r="S682" s="49"/>
      <c r="T682" s="49" t="e">
        <f>T683/T681*1000</f>
        <v>#DIV/0!</v>
      </c>
      <c r="U682" s="49" t="e">
        <f>U683/U681*1000</f>
        <v>#DIV/0!</v>
      </c>
      <c r="V682" s="68" t="e">
        <f>V683/V681*1000</f>
        <v>#DIV/0!</v>
      </c>
      <c r="W682" s="14" t="e">
        <f>W683/W681*1000</f>
        <v>#DIV/0!</v>
      </c>
      <c r="X682" s="59"/>
    </row>
    <row r="683" spans="1:28" s="126" customFormat="1" ht="18" hidden="1" customHeight="1">
      <c r="A683" s="614"/>
      <c r="B683" s="581"/>
      <c r="C683" s="581"/>
      <c r="D683" s="198" t="str">
        <f>серпень!D606</f>
        <v>касові видатки, тис.грн.</v>
      </c>
      <c r="E683" s="71"/>
      <c r="F683" s="61">
        <v>0</v>
      </c>
      <c r="G683" s="61">
        <f>G681*G682/1000</f>
        <v>0</v>
      </c>
      <c r="H683" s="61">
        <f>H681*H682/1000</f>
        <v>0</v>
      </c>
      <c r="I683" s="61">
        <f>I681*I682/1000</f>
        <v>0</v>
      </c>
      <c r="J683" s="61">
        <f>J681*J682/1000</f>
        <v>0</v>
      </c>
      <c r="K683" s="61">
        <f>K681*K682/1000</f>
        <v>0</v>
      </c>
      <c r="L683" s="61">
        <f>SUM(F683:K683)</f>
        <v>0</v>
      </c>
      <c r="M683" s="61">
        <f>L683/6</f>
        <v>0</v>
      </c>
      <c r="N683" s="61">
        <f t="shared" ref="N683:S683" si="766">N681*N682/1000</f>
        <v>0</v>
      </c>
      <c r="O683" s="61">
        <f t="shared" si="766"/>
        <v>0</v>
      </c>
      <c r="P683" s="61">
        <f t="shared" si="766"/>
        <v>0</v>
      </c>
      <c r="Q683" s="61">
        <f t="shared" si="766"/>
        <v>0</v>
      </c>
      <c r="R683" s="61">
        <f t="shared" si="766"/>
        <v>0</v>
      </c>
      <c r="S683" s="61">
        <f t="shared" si="766"/>
        <v>0</v>
      </c>
      <c r="T683" s="61">
        <f>SUM(N683:S683)</f>
        <v>0</v>
      </c>
      <c r="U683" s="61">
        <f>T683+L683</f>
        <v>0</v>
      </c>
      <c r="V683" s="61">
        <f>V678</f>
        <v>0</v>
      </c>
      <c r="W683" s="72">
        <f>V683-U683</f>
        <v>0</v>
      </c>
      <c r="X683" s="63">
        <f>U678-U683</f>
        <v>0</v>
      </c>
    </row>
    <row r="684" spans="1:28" s="126" customFormat="1" ht="18" hidden="1" customHeight="1">
      <c r="A684" s="614"/>
      <c r="B684" s="581"/>
      <c r="C684" s="581"/>
      <c r="D684" s="201" t="str">
        <f>серпень!D607</f>
        <v>дотація</v>
      </c>
      <c r="E684" s="71"/>
      <c r="F684" s="61"/>
      <c r="G684" s="61"/>
      <c r="H684" s="61"/>
      <c r="I684" s="61"/>
      <c r="J684" s="61"/>
      <c r="K684" s="61"/>
      <c r="L684" s="61">
        <f>SUM(F684:K684)</f>
        <v>0</v>
      </c>
      <c r="M684" s="61">
        <f>L684/6</f>
        <v>0</v>
      </c>
      <c r="N684" s="61"/>
      <c r="O684" s="61"/>
      <c r="P684" s="61"/>
      <c r="Q684" s="61"/>
      <c r="R684" s="61"/>
      <c r="S684" s="61"/>
      <c r="T684" s="61">
        <f>SUM(N684:S684)</f>
        <v>0</v>
      </c>
      <c r="U684" s="61">
        <f>T684+L684</f>
        <v>0</v>
      </c>
      <c r="V684" s="61">
        <f>V679</f>
        <v>0</v>
      </c>
      <c r="W684" s="72">
        <f>V684-U684</f>
        <v>0</v>
      </c>
      <c r="X684" s="63">
        <f>U679-U684</f>
        <v>0</v>
      </c>
    </row>
    <row r="685" spans="1:28" s="126" customFormat="1" ht="18" hidden="1" customHeight="1">
      <c r="A685" s="614"/>
      <c r="B685" s="581"/>
      <c r="C685" s="581"/>
      <c r="D685" s="201" t="str">
        <f>серпень!D608</f>
        <v xml:space="preserve">місцевий </v>
      </c>
      <c r="E685" s="71"/>
      <c r="F685" s="61">
        <f t="shared" ref="F685:K685" si="767">F683-F684</f>
        <v>0</v>
      </c>
      <c r="G685" s="61">
        <f t="shared" si="767"/>
        <v>0</v>
      </c>
      <c r="H685" s="61">
        <f t="shared" si="767"/>
        <v>0</v>
      </c>
      <c r="I685" s="61">
        <f t="shared" si="767"/>
        <v>0</v>
      </c>
      <c r="J685" s="61">
        <f t="shared" si="767"/>
        <v>0</v>
      </c>
      <c r="K685" s="61">
        <f t="shared" si="767"/>
        <v>0</v>
      </c>
      <c r="L685" s="61">
        <f>SUM(F685:K685)</f>
        <v>0</v>
      </c>
      <c r="M685" s="61">
        <f>L685/6</f>
        <v>0</v>
      </c>
      <c r="N685" s="61">
        <f t="shared" ref="N685:S685" si="768">N683-N684</f>
        <v>0</v>
      </c>
      <c r="O685" s="61">
        <f t="shared" si="768"/>
        <v>0</v>
      </c>
      <c r="P685" s="61">
        <f t="shared" si="768"/>
        <v>0</v>
      </c>
      <c r="Q685" s="61">
        <f t="shared" si="768"/>
        <v>0</v>
      </c>
      <c r="R685" s="61">
        <f t="shared" si="768"/>
        <v>0</v>
      </c>
      <c r="S685" s="61">
        <f t="shared" si="768"/>
        <v>0</v>
      </c>
      <c r="T685" s="61">
        <f>SUM(N685:S685)</f>
        <v>0</v>
      </c>
      <c r="U685" s="61">
        <f>T685+L685</f>
        <v>0</v>
      </c>
      <c r="V685" s="61">
        <f>V680</f>
        <v>0</v>
      </c>
      <c r="W685" s="72">
        <f>V685-U685</f>
        <v>0</v>
      </c>
      <c r="X685" s="63">
        <f>U680-U685</f>
        <v>0</v>
      </c>
    </row>
    <row r="686" spans="1:28" s="43" customFormat="1" ht="18" hidden="1" customHeight="1">
      <c r="A686" s="614"/>
      <c r="B686" s="581"/>
      <c r="C686" s="581"/>
      <c r="D686" s="202" t="str">
        <f>серпень!D609</f>
        <v>план</v>
      </c>
      <c r="E686" s="42"/>
      <c r="F686" s="42">
        <f t="shared" ref="F686:K686" si="769">F680</f>
        <v>0</v>
      </c>
      <c r="G686" s="42">
        <f t="shared" si="769"/>
        <v>0</v>
      </c>
      <c r="H686" s="42">
        <f t="shared" si="769"/>
        <v>0</v>
      </c>
      <c r="I686" s="42">
        <f t="shared" si="769"/>
        <v>0</v>
      </c>
      <c r="J686" s="42">
        <f t="shared" si="769"/>
        <v>0</v>
      </c>
      <c r="K686" s="42">
        <f t="shared" si="769"/>
        <v>0</v>
      </c>
      <c r="L686" s="42">
        <f>SUM(F686:K686)</f>
        <v>0</v>
      </c>
      <c r="M686" s="42">
        <f>L686/6</f>
        <v>0</v>
      </c>
      <c r="N686" s="42">
        <f t="shared" ref="N686:S686" si="770">N680+N679</f>
        <v>0</v>
      </c>
      <c r="O686" s="42">
        <f t="shared" si="770"/>
        <v>0</v>
      </c>
      <c r="P686" s="42">
        <f t="shared" si="770"/>
        <v>0</v>
      </c>
      <c r="Q686" s="42">
        <f t="shared" si="770"/>
        <v>0</v>
      </c>
      <c r="R686" s="42">
        <f t="shared" si="770"/>
        <v>0</v>
      </c>
      <c r="S686" s="42">
        <f t="shared" si="770"/>
        <v>0</v>
      </c>
      <c r="T686" s="42">
        <f>SUM(N686:S686)</f>
        <v>0</v>
      </c>
      <c r="U686" s="42">
        <f>T686+L686</f>
        <v>0</v>
      </c>
      <c r="V686" s="42">
        <f>V683</f>
        <v>0</v>
      </c>
      <c r="W686" s="42">
        <f>V686-U686</f>
        <v>0</v>
      </c>
    </row>
    <row r="687" spans="1:28" s="43" customFormat="1" ht="18" hidden="1" customHeight="1">
      <c r="A687" s="614"/>
      <c r="B687" s="581"/>
      <c r="C687" s="581"/>
      <c r="D687" s="202" t="str">
        <f>серпень!D610</f>
        <v xml:space="preserve">відхилення </v>
      </c>
      <c r="E687" s="42"/>
      <c r="F687" s="42">
        <f t="shared" ref="F687:K687" si="771">F683-F686</f>
        <v>0</v>
      </c>
      <c r="G687" s="42">
        <f t="shared" si="771"/>
        <v>0</v>
      </c>
      <c r="H687" s="42">
        <f t="shared" si="771"/>
        <v>0</v>
      </c>
      <c r="I687" s="42">
        <f t="shared" si="771"/>
        <v>0</v>
      </c>
      <c r="J687" s="42">
        <f t="shared" si="771"/>
        <v>0</v>
      </c>
      <c r="K687" s="42">
        <f t="shared" si="771"/>
        <v>0</v>
      </c>
      <c r="L687" s="42"/>
      <c r="M687" s="42"/>
      <c r="N687" s="42">
        <f t="shared" ref="N687:S687" si="772">N683-N686</f>
        <v>0</v>
      </c>
      <c r="O687" s="42">
        <f t="shared" si="772"/>
        <v>0</v>
      </c>
      <c r="P687" s="42">
        <f t="shared" si="772"/>
        <v>0</v>
      </c>
      <c r="Q687" s="42">
        <f t="shared" si="772"/>
        <v>0</v>
      </c>
      <c r="R687" s="42">
        <f t="shared" si="772"/>
        <v>0</v>
      </c>
      <c r="S687" s="42">
        <f t="shared" si="772"/>
        <v>0</v>
      </c>
      <c r="T687" s="42"/>
      <c r="U687" s="42"/>
      <c r="V687" s="42"/>
      <c r="W687" s="42"/>
    </row>
    <row r="688" spans="1:28" s="43" customFormat="1" ht="18" hidden="1" customHeight="1">
      <c r="A688" s="614"/>
      <c r="B688" s="581"/>
      <c r="C688" s="581"/>
      <c r="D688" s="202" t="str">
        <f>серпень!D611</f>
        <v>відхилення з наростаючим</v>
      </c>
      <c r="E688" s="42"/>
      <c r="F688" s="42">
        <f>F687</f>
        <v>0</v>
      </c>
      <c r="G688" s="42">
        <f>G687+F688</f>
        <v>0</v>
      </c>
      <c r="H688" s="42">
        <f>H687+G688</f>
        <v>0</v>
      </c>
      <c r="I688" s="42">
        <f>I687+H688</f>
        <v>0</v>
      </c>
      <c r="J688" s="42">
        <f>J687+I688</f>
        <v>0</v>
      </c>
      <c r="K688" s="42">
        <f>K687+J688</f>
        <v>0</v>
      </c>
      <c r="L688" s="42"/>
      <c r="M688" s="42"/>
      <c r="N688" s="42">
        <f>N687+K688</f>
        <v>0</v>
      </c>
      <c r="O688" s="42">
        <f>O687+N688</f>
        <v>0</v>
      </c>
      <c r="P688" s="42">
        <f>P687+O688</f>
        <v>0</v>
      </c>
      <c r="Q688" s="42">
        <f>Q687+P688</f>
        <v>0</v>
      </c>
      <c r="R688" s="42">
        <f>R687+Q688</f>
        <v>0</v>
      </c>
      <c r="S688" s="42">
        <f>S687+R688</f>
        <v>0</v>
      </c>
      <c r="T688" s="42"/>
      <c r="U688" s="42"/>
      <c r="V688" s="42"/>
      <c r="W688" s="42"/>
    </row>
    <row r="689" spans="1:28" s="55" customFormat="1" ht="18" hidden="1" customHeight="1">
      <c r="A689" s="614"/>
      <c r="B689" s="654" t="s">
        <v>136</v>
      </c>
      <c r="C689" s="581"/>
      <c r="D689" s="178" t="str">
        <f>серпень!D612</f>
        <v>факт. нат.п-ки 2023</v>
      </c>
      <c r="E689" s="11"/>
      <c r="F689" s="12"/>
      <c r="G689" s="12"/>
      <c r="H689" s="12"/>
      <c r="I689" s="12"/>
      <c r="J689" s="12"/>
      <c r="K689" s="12"/>
      <c r="L689" s="65">
        <f>SUM(F689:K689)</f>
        <v>0</v>
      </c>
      <c r="M689" s="65">
        <f>L689/6</f>
        <v>0</v>
      </c>
      <c r="N689" s="12"/>
      <c r="O689" s="12"/>
      <c r="P689" s="12"/>
      <c r="Q689" s="12"/>
      <c r="R689" s="12"/>
      <c r="S689" s="12"/>
      <c r="T689" s="65">
        <f>SUM(N689:S689)</f>
        <v>0</v>
      </c>
      <c r="U689" s="66">
        <f>T689+L689</f>
        <v>0</v>
      </c>
      <c r="V689" s="67"/>
      <c r="W689" s="38"/>
      <c r="X689" s="47"/>
      <c r="Y689" s="48"/>
      <c r="Z689" s="48"/>
      <c r="AA689" s="48"/>
      <c r="AB689" s="48"/>
    </row>
    <row r="690" spans="1:28" s="48" customFormat="1" ht="18" hidden="1" customHeight="1">
      <c r="A690" s="614"/>
      <c r="B690" s="581"/>
      <c r="C690" s="581"/>
      <c r="D690" s="178" t="str">
        <f>серпень!D613</f>
        <v>факт. нат.п-ки 2024</v>
      </c>
      <c r="E690" s="11"/>
      <c r="F690" s="12"/>
      <c r="G690" s="12"/>
      <c r="H690" s="12"/>
      <c r="I690" s="12"/>
      <c r="J690" s="12"/>
      <c r="K690" s="12"/>
      <c r="L690" s="65">
        <f>SUM(F690:K690)</f>
        <v>0</v>
      </c>
      <c r="M690" s="65">
        <f>L690/6</f>
        <v>0</v>
      </c>
      <c r="N690" s="11"/>
      <c r="O690" s="11"/>
      <c r="P690" s="11"/>
      <c r="Q690" s="11"/>
      <c r="R690" s="11"/>
      <c r="S690" s="11"/>
      <c r="T690" s="65">
        <f>SUM(N690:S690)</f>
        <v>0</v>
      </c>
      <c r="U690" s="66">
        <f>T690+L690</f>
        <v>0</v>
      </c>
      <c r="V690" s="67"/>
      <c r="W690" s="38"/>
      <c r="X690" s="47"/>
    </row>
    <row r="691" spans="1:28" s="48" customFormat="1" ht="18" hidden="1" customHeight="1">
      <c r="A691" s="614"/>
      <c r="B691" s="581"/>
      <c r="C691" s="581"/>
      <c r="D691" s="178" t="str">
        <f>серпень!D614</f>
        <v>факт. нат.п-ки 2025</v>
      </c>
      <c r="E691" s="11"/>
      <c r="F691" s="12"/>
      <c r="G691" s="12"/>
      <c r="H691" s="12"/>
      <c r="I691" s="12"/>
      <c r="J691" s="12"/>
      <c r="K691" s="12"/>
      <c r="L691" s="65">
        <f>SUM(F691:K691)</f>
        <v>0</v>
      </c>
      <c r="M691" s="65">
        <f>L691/6</f>
        <v>0</v>
      </c>
      <c r="N691" s="12"/>
      <c r="O691" s="12"/>
      <c r="P691" s="12"/>
      <c r="Q691" s="12"/>
      <c r="R691" s="12"/>
      <c r="S691" s="11"/>
      <c r="T691" s="65">
        <f>SUM(N691:S691)</f>
        <v>0</v>
      </c>
      <c r="U691" s="66">
        <f>T691+L691</f>
        <v>0</v>
      </c>
      <c r="V691" s="11"/>
      <c r="W691" s="38">
        <f>V691-U691</f>
        <v>0</v>
      </c>
      <c r="X691" s="47"/>
    </row>
    <row r="692" spans="1:28" s="51" customFormat="1" ht="18" hidden="1" customHeight="1">
      <c r="A692" s="614"/>
      <c r="B692" s="581"/>
      <c r="C692" s="581"/>
      <c r="D692" s="187" t="str">
        <f>серпень!D615</f>
        <v>тариф, грн.</v>
      </c>
      <c r="E692" s="49"/>
      <c r="F692" s="49"/>
      <c r="G692" s="49"/>
      <c r="H692" s="49"/>
      <c r="I692" s="49"/>
      <c r="J692" s="49"/>
      <c r="K692" s="49"/>
      <c r="L692" s="49" t="e">
        <f>L693/L691*1000</f>
        <v>#DIV/0!</v>
      </c>
      <c r="M692" s="49" t="e">
        <f>M693/M691*1000</f>
        <v>#DIV/0!</v>
      </c>
      <c r="N692" s="49"/>
      <c r="O692" s="49"/>
      <c r="P692" s="49"/>
      <c r="Q692" s="49"/>
      <c r="R692" s="49"/>
      <c r="S692" s="49"/>
      <c r="T692" s="49" t="e">
        <f>T693/T691*1000</f>
        <v>#DIV/0!</v>
      </c>
      <c r="U692" s="49" t="e">
        <f>U693/U691*1000</f>
        <v>#DIV/0!</v>
      </c>
      <c r="V692" s="68" t="e">
        <f>V693/V691*1000</f>
        <v>#DIV/0!</v>
      </c>
      <c r="W692" s="14" t="e">
        <f>W693/W691*1000</f>
        <v>#DIV/0!</v>
      </c>
      <c r="X692" s="59"/>
    </row>
    <row r="693" spans="1:28" s="130" customFormat="1" ht="18" hidden="1" customHeight="1">
      <c r="A693" s="614"/>
      <c r="B693" s="581"/>
      <c r="C693" s="581"/>
      <c r="D693" s="191" t="str">
        <f>серпень!D616</f>
        <v>сума, тис.грн.</v>
      </c>
      <c r="E693" s="52"/>
      <c r="F693" s="52">
        <f t="shared" ref="F693:K693" si="773">F691*F692/1000</f>
        <v>0</v>
      </c>
      <c r="G693" s="52">
        <f t="shared" si="773"/>
        <v>0</v>
      </c>
      <c r="H693" s="52">
        <f t="shared" si="773"/>
        <v>0</v>
      </c>
      <c r="I693" s="52">
        <f t="shared" si="773"/>
        <v>0</v>
      </c>
      <c r="J693" s="52">
        <f t="shared" si="773"/>
        <v>0</v>
      </c>
      <c r="K693" s="52">
        <f t="shared" si="773"/>
        <v>0</v>
      </c>
      <c r="L693" s="69">
        <f>SUM(F693:K693)</f>
        <v>0</v>
      </c>
      <c r="M693" s="69">
        <f>L693/6</f>
        <v>0</v>
      </c>
      <c r="N693" s="52">
        <f t="shared" ref="N693:S693" si="774">N691*N692/1000</f>
        <v>0</v>
      </c>
      <c r="O693" s="52">
        <f t="shared" si="774"/>
        <v>0</v>
      </c>
      <c r="P693" s="52">
        <f t="shared" si="774"/>
        <v>0</v>
      </c>
      <c r="Q693" s="52">
        <f t="shared" si="774"/>
        <v>0</v>
      </c>
      <c r="R693" s="52">
        <f t="shared" si="774"/>
        <v>0</v>
      </c>
      <c r="S693" s="52">
        <f t="shared" si="774"/>
        <v>0</v>
      </c>
      <c r="T693" s="69">
        <f>SUM(N693:S693)</f>
        <v>0</v>
      </c>
      <c r="U693" s="69">
        <f>T693+L693</f>
        <v>0</v>
      </c>
      <c r="V693" s="70">
        <f>V694+V695</f>
        <v>0</v>
      </c>
      <c r="W693" s="53">
        <f>V693-U693</f>
        <v>0</v>
      </c>
    </row>
    <row r="694" spans="1:28" s="130" customFormat="1" ht="18" hidden="1" customHeight="1">
      <c r="A694" s="614"/>
      <c r="B694" s="581"/>
      <c r="C694" s="581"/>
      <c r="D694" s="174" t="str">
        <f>серпень!D617</f>
        <v>дотація</v>
      </c>
      <c r="E694" s="56"/>
      <c r="F694" s="52"/>
      <c r="G694" s="52"/>
      <c r="H694" s="52"/>
      <c r="I694" s="52"/>
      <c r="J694" s="52"/>
      <c r="K694" s="52"/>
      <c r="L694" s="69">
        <f>SUM(F694:K694)</f>
        <v>0</v>
      </c>
      <c r="M694" s="69">
        <f>L694/6</f>
        <v>0</v>
      </c>
      <c r="N694" s="52"/>
      <c r="O694" s="52"/>
      <c r="P694" s="52"/>
      <c r="Q694" s="52"/>
      <c r="R694" s="52"/>
      <c r="S694" s="52"/>
      <c r="T694" s="69">
        <f>SUM(N694:S694)</f>
        <v>0</v>
      </c>
      <c r="U694" s="69">
        <f>T694+L694</f>
        <v>0</v>
      </c>
      <c r="V694" s="70">
        <v>0</v>
      </c>
      <c r="W694" s="53">
        <f>V694-U694</f>
        <v>0</v>
      </c>
    </row>
    <row r="695" spans="1:28" s="130" customFormat="1" ht="18" hidden="1" customHeight="1">
      <c r="A695" s="614"/>
      <c r="B695" s="581"/>
      <c r="C695" s="581"/>
      <c r="D695" s="174" t="str">
        <f>серпень!D618</f>
        <v>місцевий (план), тис.грн</v>
      </c>
      <c r="E695" s="56"/>
      <c r="F695" s="52"/>
      <c r="G695" s="52"/>
      <c r="H695" s="52"/>
      <c r="I695" s="52"/>
      <c r="J695" s="52"/>
      <c r="K695" s="52"/>
      <c r="L695" s="69">
        <f>SUM(F695:K695)</f>
        <v>0</v>
      </c>
      <c r="M695" s="69">
        <f>L695/6</f>
        <v>0</v>
      </c>
      <c r="N695" s="52"/>
      <c r="O695" s="52"/>
      <c r="P695" s="52"/>
      <c r="Q695" s="52"/>
      <c r="R695" s="52"/>
      <c r="S695" s="52"/>
      <c r="T695" s="69">
        <f>SUM(N695:S695)</f>
        <v>0</v>
      </c>
      <c r="U695" s="69">
        <f>T695+L695</f>
        <v>0</v>
      </c>
      <c r="V695" s="70"/>
      <c r="W695" s="53">
        <f>V695-U695</f>
        <v>0</v>
      </c>
    </row>
    <row r="696" spans="1:28" s="48" customFormat="1" ht="18" hidden="1" customHeight="1">
      <c r="A696" s="614"/>
      <c r="B696" s="581"/>
      <c r="C696" s="581"/>
      <c r="D696" s="178" t="str">
        <f>серпень!D619</f>
        <v>касові нат.п-ки 2025</v>
      </c>
      <c r="E696" s="11"/>
      <c r="F696" s="11"/>
      <c r="G696" s="11"/>
      <c r="H696" s="11"/>
      <c r="I696" s="11"/>
      <c r="J696" s="11"/>
      <c r="K696" s="11"/>
      <c r="L696" s="65">
        <f>SUM(F696:K696)</f>
        <v>0</v>
      </c>
      <c r="M696" s="65">
        <f>L696/6</f>
        <v>0</v>
      </c>
      <c r="N696" s="11"/>
      <c r="O696" s="11"/>
      <c r="P696" s="11"/>
      <c r="Q696" s="11"/>
      <c r="R696" s="11"/>
      <c r="S696" s="11"/>
      <c r="T696" s="65">
        <f>SUM(N696:S696)</f>
        <v>0</v>
      </c>
      <c r="U696" s="65">
        <f>T696+L696</f>
        <v>0</v>
      </c>
      <c r="V696" s="11">
        <f>V691</f>
        <v>0</v>
      </c>
      <c r="W696" s="38">
        <f>V696-U696</f>
        <v>0</v>
      </c>
      <c r="X696" s="47">
        <f>U691-U696</f>
        <v>0</v>
      </c>
    </row>
    <row r="697" spans="1:28" s="51" customFormat="1" ht="18" hidden="1" customHeight="1">
      <c r="A697" s="614"/>
      <c r="B697" s="581"/>
      <c r="C697" s="581"/>
      <c r="D697" s="187" t="str">
        <f>серпень!D620</f>
        <v>тариф, грн.</v>
      </c>
      <c r="E697" s="49" t="e">
        <f>E698/E696*1000</f>
        <v>#DIV/0!</v>
      </c>
      <c r="F697" s="49"/>
      <c r="G697" s="49"/>
      <c r="H697" s="49"/>
      <c r="I697" s="49"/>
      <c r="J697" s="49"/>
      <c r="K697" s="49"/>
      <c r="L697" s="49" t="e">
        <f>L698/L696*1000</f>
        <v>#DIV/0!</v>
      </c>
      <c r="M697" s="49" t="e">
        <f>M698/M696*1000</f>
        <v>#DIV/0!</v>
      </c>
      <c r="N697" s="49"/>
      <c r="O697" s="49"/>
      <c r="P697" s="49"/>
      <c r="Q697" s="49"/>
      <c r="R697" s="49"/>
      <c r="S697" s="49"/>
      <c r="T697" s="49" t="e">
        <f>T698/T696*1000</f>
        <v>#DIV/0!</v>
      </c>
      <c r="U697" s="49" t="e">
        <f>U698/U696*1000</f>
        <v>#DIV/0!</v>
      </c>
      <c r="V697" s="68" t="e">
        <f>V698/V696*1000</f>
        <v>#DIV/0!</v>
      </c>
      <c r="W697" s="14" t="e">
        <f>W698/W696*1000</f>
        <v>#DIV/0!</v>
      </c>
      <c r="X697" s="59"/>
    </row>
    <row r="698" spans="1:28" s="126" customFormat="1" ht="18" hidden="1" customHeight="1">
      <c r="A698" s="614"/>
      <c r="B698" s="581"/>
      <c r="C698" s="581"/>
      <c r="D698" s="198" t="str">
        <f>серпень!D621</f>
        <v>касові видатки, тис.грн.</v>
      </c>
      <c r="E698" s="71"/>
      <c r="F698" s="61">
        <v>0</v>
      </c>
      <c r="G698" s="61">
        <f>G696*G697/1000</f>
        <v>0</v>
      </c>
      <c r="H698" s="61">
        <f>H696*H697/1000</f>
        <v>0</v>
      </c>
      <c r="I698" s="61">
        <f>I696*I697/1000</f>
        <v>0</v>
      </c>
      <c r="J698" s="61">
        <f>J696*J697/1000</f>
        <v>0</v>
      </c>
      <c r="K698" s="61">
        <f>K696*K697/1000</f>
        <v>0</v>
      </c>
      <c r="L698" s="61">
        <f>SUM(F698:K698)</f>
        <v>0</v>
      </c>
      <c r="M698" s="61">
        <f>L698/6</f>
        <v>0</v>
      </c>
      <c r="N698" s="61">
        <f t="shared" ref="N698:S698" si="775">N696*N697/1000</f>
        <v>0</v>
      </c>
      <c r="O698" s="61">
        <f t="shared" si="775"/>
        <v>0</v>
      </c>
      <c r="P698" s="61">
        <f t="shared" si="775"/>
        <v>0</v>
      </c>
      <c r="Q698" s="61">
        <f t="shared" si="775"/>
        <v>0</v>
      </c>
      <c r="R698" s="61">
        <f t="shared" si="775"/>
        <v>0</v>
      </c>
      <c r="S698" s="61">
        <f t="shared" si="775"/>
        <v>0</v>
      </c>
      <c r="T698" s="61">
        <f>SUM(N698:S698)</f>
        <v>0</v>
      </c>
      <c r="U698" s="61">
        <f>T698+L698</f>
        <v>0</v>
      </c>
      <c r="V698" s="61">
        <f>V693</f>
        <v>0</v>
      </c>
      <c r="W698" s="72">
        <f>V698-U698</f>
        <v>0</v>
      </c>
      <c r="X698" s="63">
        <f>U693-U698</f>
        <v>0</v>
      </c>
    </row>
    <row r="699" spans="1:28" s="126" customFormat="1" ht="18" hidden="1" customHeight="1">
      <c r="A699" s="614"/>
      <c r="B699" s="581"/>
      <c r="C699" s="581"/>
      <c r="D699" s="201" t="str">
        <f>серпень!D622</f>
        <v>дотація</v>
      </c>
      <c r="E699" s="71"/>
      <c r="F699" s="61"/>
      <c r="G699" s="61"/>
      <c r="H699" s="61"/>
      <c r="I699" s="61"/>
      <c r="J699" s="61"/>
      <c r="K699" s="61"/>
      <c r="L699" s="61">
        <f>SUM(F699:K699)</f>
        <v>0</v>
      </c>
      <c r="M699" s="61">
        <f>L699/6</f>
        <v>0</v>
      </c>
      <c r="N699" s="61"/>
      <c r="O699" s="61"/>
      <c r="P699" s="61"/>
      <c r="Q699" s="61"/>
      <c r="R699" s="61"/>
      <c r="S699" s="61"/>
      <c r="T699" s="61">
        <f>SUM(N699:S699)</f>
        <v>0</v>
      </c>
      <c r="U699" s="61">
        <f>T699+L699</f>
        <v>0</v>
      </c>
      <c r="V699" s="61">
        <f>V694</f>
        <v>0</v>
      </c>
      <c r="W699" s="72">
        <f>V699-U699</f>
        <v>0</v>
      </c>
      <c r="X699" s="63">
        <f>U694-U699</f>
        <v>0</v>
      </c>
    </row>
    <row r="700" spans="1:28" s="126" customFormat="1" ht="18" hidden="1" customHeight="1">
      <c r="A700" s="614"/>
      <c r="B700" s="581"/>
      <c r="C700" s="581"/>
      <c r="D700" s="201" t="str">
        <f>серпень!D623</f>
        <v xml:space="preserve">місцевий </v>
      </c>
      <c r="E700" s="71"/>
      <c r="F700" s="61">
        <f t="shared" ref="F700:K700" si="776">F698-F699</f>
        <v>0</v>
      </c>
      <c r="G700" s="61">
        <f t="shared" si="776"/>
        <v>0</v>
      </c>
      <c r="H700" s="61">
        <f t="shared" si="776"/>
        <v>0</v>
      </c>
      <c r="I700" s="61">
        <f t="shared" si="776"/>
        <v>0</v>
      </c>
      <c r="J700" s="61">
        <f t="shared" si="776"/>
        <v>0</v>
      </c>
      <c r="K700" s="61">
        <f t="shared" si="776"/>
        <v>0</v>
      </c>
      <c r="L700" s="61">
        <f>SUM(F700:K700)</f>
        <v>0</v>
      </c>
      <c r="M700" s="61">
        <f>L700/6</f>
        <v>0</v>
      </c>
      <c r="N700" s="61">
        <f t="shared" ref="N700:S700" si="777">N698-N699</f>
        <v>0</v>
      </c>
      <c r="O700" s="61">
        <f t="shared" si="777"/>
        <v>0</v>
      </c>
      <c r="P700" s="61">
        <f t="shared" si="777"/>
        <v>0</v>
      </c>
      <c r="Q700" s="61">
        <f t="shared" si="777"/>
        <v>0</v>
      </c>
      <c r="R700" s="61">
        <f t="shared" si="777"/>
        <v>0</v>
      </c>
      <c r="S700" s="61">
        <f t="shared" si="777"/>
        <v>0</v>
      </c>
      <c r="T700" s="61">
        <f>SUM(N700:S700)</f>
        <v>0</v>
      </c>
      <c r="U700" s="61">
        <f>T700+L700</f>
        <v>0</v>
      </c>
      <c r="V700" s="61">
        <f>V695</f>
        <v>0</v>
      </c>
      <c r="W700" s="72">
        <f>V700-U700</f>
        <v>0</v>
      </c>
      <c r="X700" s="63">
        <f>U695-U700</f>
        <v>0</v>
      </c>
    </row>
    <row r="701" spans="1:28" s="43" customFormat="1" ht="18" hidden="1" customHeight="1">
      <c r="A701" s="614"/>
      <c r="B701" s="581"/>
      <c r="C701" s="581"/>
      <c r="D701" s="202" t="str">
        <f>серпень!D624</f>
        <v>план</v>
      </c>
      <c r="E701" s="42"/>
      <c r="F701" s="42">
        <f t="shared" ref="F701:K701" si="778">F695</f>
        <v>0</v>
      </c>
      <c r="G701" s="42">
        <f t="shared" si="778"/>
        <v>0</v>
      </c>
      <c r="H701" s="42">
        <f t="shared" si="778"/>
        <v>0</v>
      </c>
      <c r="I701" s="42">
        <f t="shared" si="778"/>
        <v>0</v>
      </c>
      <c r="J701" s="42">
        <f t="shared" si="778"/>
        <v>0</v>
      </c>
      <c r="K701" s="42">
        <f t="shared" si="778"/>
        <v>0</v>
      </c>
      <c r="L701" s="42">
        <f>SUM(F701:K701)</f>
        <v>0</v>
      </c>
      <c r="M701" s="42">
        <f>L701/6</f>
        <v>0</v>
      </c>
      <c r="N701" s="42">
        <f t="shared" ref="N701:S701" si="779">N695+N694</f>
        <v>0</v>
      </c>
      <c r="O701" s="42">
        <f t="shared" si="779"/>
        <v>0</v>
      </c>
      <c r="P701" s="42">
        <f t="shared" si="779"/>
        <v>0</v>
      </c>
      <c r="Q701" s="42">
        <f t="shared" si="779"/>
        <v>0</v>
      </c>
      <c r="R701" s="42">
        <f t="shared" si="779"/>
        <v>0</v>
      </c>
      <c r="S701" s="42">
        <f t="shared" si="779"/>
        <v>0</v>
      </c>
      <c r="T701" s="42">
        <f>SUM(N701:S701)</f>
        <v>0</v>
      </c>
      <c r="U701" s="42">
        <f>T701+L701</f>
        <v>0</v>
      </c>
      <c r="V701" s="42">
        <f>V698</f>
        <v>0</v>
      </c>
      <c r="W701" s="42">
        <f>V701-U701</f>
        <v>0</v>
      </c>
    </row>
    <row r="702" spans="1:28" s="43" customFormat="1" ht="18" hidden="1" customHeight="1">
      <c r="A702" s="614"/>
      <c r="B702" s="581"/>
      <c r="C702" s="581"/>
      <c r="D702" s="202" t="str">
        <f>серпень!D625</f>
        <v xml:space="preserve">відхилення </v>
      </c>
      <c r="E702" s="42"/>
      <c r="F702" s="42">
        <f t="shared" ref="F702:K702" si="780">F698-F701</f>
        <v>0</v>
      </c>
      <c r="G702" s="42">
        <f t="shared" si="780"/>
        <v>0</v>
      </c>
      <c r="H702" s="42">
        <f t="shared" si="780"/>
        <v>0</v>
      </c>
      <c r="I702" s="42">
        <f t="shared" si="780"/>
        <v>0</v>
      </c>
      <c r="J702" s="42">
        <f t="shared" si="780"/>
        <v>0</v>
      </c>
      <c r="K702" s="42">
        <f t="shared" si="780"/>
        <v>0</v>
      </c>
      <c r="L702" s="42"/>
      <c r="M702" s="42"/>
      <c r="N702" s="42">
        <f t="shared" ref="N702:S702" si="781">N698-N701</f>
        <v>0</v>
      </c>
      <c r="O702" s="42">
        <f t="shared" si="781"/>
        <v>0</v>
      </c>
      <c r="P702" s="42">
        <f t="shared" si="781"/>
        <v>0</v>
      </c>
      <c r="Q702" s="42">
        <f t="shared" si="781"/>
        <v>0</v>
      </c>
      <c r="R702" s="42">
        <f t="shared" si="781"/>
        <v>0</v>
      </c>
      <c r="S702" s="42">
        <f t="shared" si="781"/>
        <v>0</v>
      </c>
      <c r="T702" s="42"/>
      <c r="U702" s="42"/>
      <c r="V702" s="42"/>
      <c r="W702" s="42"/>
    </row>
    <row r="703" spans="1:28" s="43" customFormat="1" ht="18" hidden="1" customHeight="1">
      <c r="A703" s="614"/>
      <c r="B703" s="581"/>
      <c r="C703" s="581"/>
      <c r="D703" s="202" t="str">
        <f>серпень!D626</f>
        <v>відхилення з наростаючим</v>
      </c>
      <c r="E703" s="42"/>
      <c r="F703" s="42">
        <f>F702</f>
        <v>0</v>
      </c>
      <c r="G703" s="42">
        <f>G702+F703</f>
        <v>0</v>
      </c>
      <c r="H703" s="42">
        <f>H702+G703</f>
        <v>0</v>
      </c>
      <c r="I703" s="42">
        <f>I702+H703</f>
        <v>0</v>
      </c>
      <c r="J703" s="42">
        <f>J702+I703</f>
        <v>0</v>
      </c>
      <c r="K703" s="42">
        <f>K702+J703</f>
        <v>0</v>
      </c>
      <c r="L703" s="42"/>
      <c r="M703" s="42"/>
      <c r="N703" s="42">
        <f>N702+K703</f>
        <v>0</v>
      </c>
      <c r="O703" s="42">
        <f>O702+N703</f>
        <v>0</v>
      </c>
      <c r="P703" s="42">
        <f>P702+O703</f>
        <v>0</v>
      </c>
      <c r="Q703" s="42">
        <f>Q702+P703</f>
        <v>0</v>
      </c>
      <c r="R703" s="42">
        <f>R702+Q703</f>
        <v>0</v>
      </c>
      <c r="S703" s="42">
        <f>S702+R703</f>
        <v>0</v>
      </c>
      <c r="T703" s="42"/>
      <c r="U703" s="42"/>
      <c r="V703" s="42"/>
      <c r="W703" s="42"/>
    </row>
    <row r="704" spans="1:28" s="47" customFormat="1" ht="18" hidden="1" customHeight="1">
      <c r="A704" s="614"/>
      <c r="B704" s="585" t="s">
        <v>88</v>
      </c>
      <c r="C704" s="586"/>
      <c r="D704" s="178" t="str">
        <f>серпень!D627</f>
        <v>факт. нат.п-ки 2023</v>
      </c>
      <c r="E704" s="11"/>
      <c r="F704" s="12">
        <f>F719+F734</f>
        <v>0</v>
      </c>
      <c r="G704" s="12">
        <f t="shared" ref="G704:K704" si="782">G719+G734</f>
        <v>0</v>
      </c>
      <c r="H704" s="12">
        <f t="shared" si="782"/>
        <v>0</v>
      </c>
      <c r="I704" s="12">
        <f t="shared" si="782"/>
        <v>0</v>
      </c>
      <c r="J704" s="12">
        <f t="shared" si="782"/>
        <v>0</v>
      </c>
      <c r="K704" s="12">
        <f t="shared" si="782"/>
        <v>0</v>
      </c>
      <c r="L704" s="65">
        <f>SUM(F704:K704)</f>
        <v>0</v>
      </c>
      <c r="M704" s="65">
        <f>L704/6</f>
        <v>0</v>
      </c>
      <c r="N704" s="12">
        <f>N719+N734</f>
        <v>0</v>
      </c>
      <c r="O704" s="12">
        <f t="shared" ref="O704:S704" si="783">O719+O734</f>
        <v>0</v>
      </c>
      <c r="P704" s="12">
        <f t="shared" si="783"/>
        <v>0</v>
      </c>
      <c r="Q704" s="12">
        <f t="shared" si="783"/>
        <v>0</v>
      </c>
      <c r="R704" s="12">
        <f t="shared" si="783"/>
        <v>0</v>
      </c>
      <c r="S704" s="12">
        <f t="shared" si="783"/>
        <v>0</v>
      </c>
      <c r="T704" s="65">
        <f>SUM(N704:S704)</f>
        <v>0</v>
      </c>
      <c r="U704" s="66">
        <f>T704+L704</f>
        <v>0</v>
      </c>
      <c r="V704" s="12">
        <f t="shared" ref="V704" si="784">V719+V734</f>
        <v>0</v>
      </c>
      <c r="W704" s="38"/>
    </row>
    <row r="705" spans="1:24" s="47" customFormat="1" ht="18" hidden="1" customHeight="1">
      <c r="A705" s="614"/>
      <c r="B705" s="587"/>
      <c r="C705" s="588"/>
      <c r="D705" s="178" t="str">
        <f>серпень!D628</f>
        <v>факт. нат.п-ки 2024</v>
      </c>
      <c r="E705" s="11"/>
      <c r="F705" s="12">
        <f t="shared" ref="F705:K706" si="785">F720+F735</f>
        <v>0</v>
      </c>
      <c r="G705" s="12">
        <f t="shared" si="785"/>
        <v>0</v>
      </c>
      <c r="H705" s="12">
        <f t="shared" si="785"/>
        <v>0</v>
      </c>
      <c r="I705" s="12">
        <f t="shared" si="785"/>
        <v>0</v>
      </c>
      <c r="J705" s="12">
        <f t="shared" si="785"/>
        <v>0</v>
      </c>
      <c r="K705" s="12">
        <f t="shared" si="785"/>
        <v>0</v>
      </c>
      <c r="L705" s="65">
        <f>SUM(F705:K705)</f>
        <v>0</v>
      </c>
      <c r="M705" s="65">
        <f>L705/6</f>
        <v>0</v>
      </c>
      <c r="N705" s="12">
        <f t="shared" ref="N705:S705" si="786">N720+N735</f>
        <v>0</v>
      </c>
      <c r="O705" s="12">
        <f t="shared" si="786"/>
        <v>0</v>
      </c>
      <c r="P705" s="12">
        <f t="shared" si="786"/>
        <v>0</v>
      </c>
      <c r="Q705" s="12">
        <f t="shared" si="786"/>
        <v>0</v>
      </c>
      <c r="R705" s="12">
        <f t="shared" si="786"/>
        <v>0</v>
      </c>
      <c r="S705" s="12">
        <f t="shared" si="786"/>
        <v>0</v>
      </c>
      <c r="T705" s="65">
        <f>SUM(N705:S705)</f>
        <v>0</v>
      </c>
      <c r="U705" s="66">
        <f>T705+L705</f>
        <v>0</v>
      </c>
      <c r="V705" s="12">
        <f t="shared" ref="V705" si="787">V720+V735</f>
        <v>0</v>
      </c>
      <c r="W705" s="38"/>
    </row>
    <row r="706" spans="1:24" s="47" customFormat="1" ht="18" hidden="1" customHeight="1">
      <c r="A706" s="614"/>
      <c r="B706" s="587"/>
      <c r="C706" s="588"/>
      <c r="D706" s="178" t="str">
        <f>серпень!D629</f>
        <v>факт. нат.п-ки 2025</v>
      </c>
      <c r="E706" s="11"/>
      <c r="F706" s="12">
        <f t="shared" si="785"/>
        <v>0</v>
      </c>
      <c r="G706" s="12">
        <f t="shared" si="785"/>
        <v>0</v>
      </c>
      <c r="H706" s="12">
        <f t="shared" si="785"/>
        <v>0</v>
      </c>
      <c r="I706" s="12">
        <f t="shared" si="785"/>
        <v>0</v>
      </c>
      <c r="J706" s="12">
        <f t="shared" si="785"/>
        <v>0</v>
      </c>
      <c r="K706" s="12">
        <f t="shared" si="785"/>
        <v>0</v>
      </c>
      <c r="L706" s="65">
        <f>SUM(F706:K706)</f>
        <v>0</v>
      </c>
      <c r="M706" s="65">
        <f>L706/6</f>
        <v>0</v>
      </c>
      <c r="N706" s="12">
        <f t="shared" ref="N706:S706" si="788">N721+N736</f>
        <v>0</v>
      </c>
      <c r="O706" s="12">
        <f t="shared" si="788"/>
        <v>0</v>
      </c>
      <c r="P706" s="12">
        <f t="shared" si="788"/>
        <v>0</v>
      </c>
      <c r="Q706" s="12">
        <f t="shared" si="788"/>
        <v>0</v>
      </c>
      <c r="R706" s="12">
        <f t="shared" si="788"/>
        <v>0</v>
      </c>
      <c r="S706" s="12">
        <f t="shared" si="788"/>
        <v>0</v>
      </c>
      <c r="T706" s="65">
        <f>SUM(N706:S706)</f>
        <v>0</v>
      </c>
      <c r="U706" s="66">
        <f>T706+L706</f>
        <v>0</v>
      </c>
      <c r="V706" s="12">
        <f t="shared" ref="V706" si="789">V721+V736</f>
        <v>0</v>
      </c>
      <c r="W706" s="38">
        <f>V706-U706</f>
        <v>0</v>
      </c>
    </row>
    <row r="707" spans="1:24" s="47" customFormat="1" ht="18" hidden="1" customHeight="1">
      <c r="A707" s="614"/>
      <c r="B707" s="587"/>
      <c r="C707" s="588"/>
      <c r="D707" s="187" t="str">
        <f>серпень!D630</f>
        <v>тариф, грн.</v>
      </c>
      <c r="E707" s="49"/>
      <c r="F707" s="49">
        <v>6900</v>
      </c>
      <c r="G707" s="49">
        <v>6900</v>
      </c>
      <c r="H707" s="49">
        <v>6900</v>
      </c>
      <c r="I707" s="49">
        <v>6900</v>
      </c>
      <c r="J707" s="49">
        <v>6900</v>
      </c>
      <c r="K707" s="49">
        <v>6900</v>
      </c>
      <c r="L707" s="49" t="e">
        <f>L708/L706*1000</f>
        <v>#DIV/0!</v>
      </c>
      <c r="M707" s="49" t="e">
        <f>M708/M706*1000</f>
        <v>#DIV/0!</v>
      </c>
      <c r="N707" s="49">
        <v>6900</v>
      </c>
      <c r="O707" s="49">
        <v>6900</v>
      </c>
      <c r="P707" s="49">
        <v>6900</v>
      </c>
      <c r="Q707" s="49">
        <v>6900</v>
      </c>
      <c r="R707" s="49">
        <v>6900</v>
      </c>
      <c r="S707" s="49">
        <v>6900</v>
      </c>
      <c r="T707" s="49" t="e">
        <f>T708/T706*1000</f>
        <v>#DIV/0!</v>
      </c>
      <c r="U707" s="49" t="e">
        <f>U708/U706*1000</f>
        <v>#DIV/0!</v>
      </c>
      <c r="V707" s="68" t="e">
        <f>V708/V706*1000</f>
        <v>#DIV/0!</v>
      </c>
      <c r="W707" s="14" t="e">
        <f>W708/W706*1000</f>
        <v>#DIV/0!</v>
      </c>
    </row>
    <row r="708" spans="1:24" s="47" customFormat="1" ht="18" hidden="1" customHeight="1">
      <c r="A708" s="614"/>
      <c r="B708" s="587"/>
      <c r="C708" s="588"/>
      <c r="D708" s="191" t="str">
        <f>серпень!D631</f>
        <v>сума, тис.грн.</v>
      </c>
      <c r="E708" s="52"/>
      <c r="F708" s="52">
        <f>F723+F738</f>
        <v>0</v>
      </c>
      <c r="G708" s="52">
        <f t="shared" ref="G708:K708" si="790">G723+G738</f>
        <v>0</v>
      </c>
      <c r="H708" s="52">
        <f t="shared" si="790"/>
        <v>0</v>
      </c>
      <c r="I708" s="52">
        <f t="shared" si="790"/>
        <v>0</v>
      </c>
      <c r="J708" s="52">
        <f t="shared" si="790"/>
        <v>0</v>
      </c>
      <c r="K708" s="52">
        <f t="shared" si="790"/>
        <v>0</v>
      </c>
      <c r="L708" s="69">
        <f>SUM(F708:K708)</f>
        <v>0</v>
      </c>
      <c r="M708" s="69">
        <f>L708/6</f>
        <v>0</v>
      </c>
      <c r="N708" s="52">
        <f>N723+N738</f>
        <v>0</v>
      </c>
      <c r="O708" s="52">
        <f t="shared" ref="O708:S708" si="791">O723+O738</f>
        <v>0</v>
      </c>
      <c r="P708" s="52">
        <f t="shared" si="791"/>
        <v>0</v>
      </c>
      <c r="Q708" s="52">
        <f t="shared" si="791"/>
        <v>0</v>
      </c>
      <c r="R708" s="52">
        <f t="shared" si="791"/>
        <v>0</v>
      </c>
      <c r="S708" s="52">
        <f t="shared" si="791"/>
        <v>0</v>
      </c>
      <c r="T708" s="69">
        <f>SUM(N708:S708)</f>
        <v>0</v>
      </c>
      <c r="U708" s="69">
        <f>T708+L708</f>
        <v>0</v>
      </c>
      <c r="V708" s="70">
        <f t="shared" ref="V708" si="792">V723+V738</f>
        <v>0</v>
      </c>
      <c r="W708" s="53">
        <f>V708-U708</f>
        <v>0</v>
      </c>
    </row>
    <row r="709" spans="1:24" s="47" customFormat="1" ht="18" hidden="1" customHeight="1">
      <c r="A709" s="614"/>
      <c r="B709" s="587"/>
      <c r="C709" s="588"/>
      <c r="D709" s="174" t="str">
        <f>серпень!D632</f>
        <v>дотація</v>
      </c>
      <c r="E709" s="56"/>
      <c r="F709" s="52">
        <f t="shared" ref="F709:K710" si="793">F724+F739</f>
        <v>0</v>
      </c>
      <c r="G709" s="52">
        <f t="shared" si="793"/>
        <v>0</v>
      </c>
      <c r="H709" s="52">
        <f t="shared" si="793"/>
        <v>0</v>
      </c>
      <c r="I709" s="52">
        <f t="shared" si="793"/>
        <v>0</v>
      </c>
      <c r="J709" s="52">
        <f t="shared" si="793"/>
        <v>0</v>
      </c>
      <c r="K709" s="52">
        <f t="shared" si="793"/>
        <v>0</v>
      </c>
      <c r="L709" s="69">
        <f>SUM(F709:K709)</f>
        <v>0</v>
      </c>
      <c r="M709" s="69">
        <f>L709/6</f>
        <v>0</v>
      </c>
      <c r="N709" s="52">
        <f t="shared" ref="N709:S709" si="794">N724+N739</f>
        <v>0</v>
      </c>
      <c r="O709" s="52">
        <f t="shared" si="794"/>
        <v>0</v>
      </c>
      <c r="P709" s="52">
        <f t="shared" si="794"/>
        <v>0</v>
      </c>
      <c r="Q709" s="52">
        <f t="shared" si="794"/>
        <v>0</v>
      </c>
      <c r="R709" s="52">
        <f t="shared" si="794"/>
        <v>0</v>
      </c>
      <c r="S709" s="52">
        <f t="shared" si="794"/>
        <v>0</v>
      </c>
      <c r="T709" s="69">
        <f>SUM(N709:S709)</f>
        <v>0</v>
      </c>
      <c r="U709" s="69">
        <f>T709+L709</f>
        <v>0</v>
      </c>
      <c r="V709" s="70">
        <f t="shared" ref="V709" si="795">V724+V739</f>
        <v>0</v>
      </c>
      <c r="W709" s="53">
        <f>V709-U709</f>
        <v>0</v>
      </c>
    </row>
    <row r="710" spans="1:24" s="47" customFormat="1" ht="18" hidden="1" customHeight="1">
      <c r="A710" s="614"/>
      <c r="B710" s="587"/>
      <c r="C710" s="588"/>
      <c r="D710" s="174" t="str">
        <f>серпень!D633</f>
        <v>місцевий (план), тис.грн</v>
      </c>
      <c r="E710" s="56"/>
      <c r="F710" s="52">
        <f t="shared" si="793"/>
        <v>0</v>
      </c>
      <c r="G710" s="52">
        <f t="shared" si="793"/>
        <v>0</v>
      </c>
      <c r="H710" s="52">
        <f t="shared" si="793"/>
        <v>0</v>
      </c>
      <c r="I710" s="52">
        <f t="shared" si="793"/>
        <v>0</v>
      </c>
      <c r="J710" s="52">
        <f t="shared" si="793"/>
        <v>0</v>
      </c>
      <c r="K710" s="52">
        <f t="shared" si="793"/>
        <v>0</v>
      </c>
      <c r="L710" s="69">
        <f>SUM(F710:K710)</f>
        <v>0</v>
      </c>
      <c r="M710" s="69">
        <f>L710/6</f>
        <v>0</v>
      </c>
      <c r="N710" s="52">
        <f t="shared" ref="N710:S711" si="796">N725+N740</f>
        <v>0</v>
      </c>
      <c r="O710" s="52">
        <f t="shared" si="796"/>
        <v>0</v>
      </c>
      <c r="P710" s="52">
        <f t="shared" si="796"/>
        <v>0</v>
      </c>
      <c r="Q710" s="52">
        <f t="shared" si="796"/>
        <v>0</v>
      </c>
      <c r="R710" s="52">
        <f t="shared" si="796"/>
        <v>0</v>
      </c>
      <c r="S710" s="52">
        <f t="shared" si="796"/>
        <v>0</v>
      </c>
      <c r="T710" s="69">
        <f>SUM(N710:S710)</f>
        <v>0</v>
      </c>
      <c r="U710" s="69">
        <f>T710+L710</f>
        <v>0</v>
      </c>
      <c r="V710" s="70">
        <f t="shared" ref="V710" si="797">V725+V740</f>
        <v>0</v>
      </c>
      <c r="W710" s="53">
        <f>V710-U710</f>
        <v>0</v>
      </c>
    </row>
    <row r="711" spans="1:24" s="47" customFormat="1" ht="18" hidden="1" customHeight="1">
      <c r="A711" s="614"/>
      <c r="B711" s="587"/>
      <c r="C711" s="588"/>
      <c r="D711" s="178" t="str">
        <f>серпень!D634</f>
        <v>касові нат.п-ки 2025</v>
      </c>
      <c r="E711" s="11"/>
      <c r="F711" s="11">
        <f>F726+F741</f>
        <v>0</v>
      </c>
      <c r="G711" s="11">
        <f t="shared" ref="G711:K711" si="798">G726+G741</f>
        <v>0</v>
      </c>
      <c r="H711" s="11">
        <f t="shared" si="798"/>
        <v>0</v>
      </c>
      <c r="I711" s="11">
        <f t="shared" si="798"/>
        <v>0</v>
      </c>
      <c r="J711" s="11">
        <f t="shared" si="798"/>
        <v>0</v>
      </c>
      <c r="K711" s="11">
        <f t="shared" si="798"/>
        <v>0</v>
      </c>
      <c r="L711" s="65">
        <f>SUM(F711:K711)</f>
        <v>0</v>
      </c>
      <c r="M711" s="65">
        <f>L711/6</f>
        <v>0</v>
      </c>
      <c r="N711" s="11">
        <f>N726+N741</f>
        <v>0</v>
      </c>
      <c r="O711" s="11">
        <f t="shared" si="796"/>
        <v>0</v>
      </c>
      <c r="P711" s="11">
        <f t="shared" si="796"/>
        <v>0</v>
      </c>
      <c r="Q711" s="11">
        <f t="shared" si="796"/>
        <v>0</v>
      </c>
      <c r="R711" s="11">
        <f t="shared" si="796"/>
        <v>0</v>
      </c>
      <c r="S711" s="11">
        <f t="shared" si="796"/>
        <v>0</v>
      </c>
      <c r="T711" s="65">
        <f>SUM(N711:S711)</f>
        <v>0</v>
      </c>
      <c r="U711" s="65">
        <f>T711+L711</f>
        <v>0</v>
      </c>
      <c r="V711" s="11">
        <f t="shared" ref="V711" si="799">V726+V741</f>
        <v>0</v>
      </c>
      <c r="W711" s="38">
        <f>V711-U711</f>
        <v>0</v>
      </c>
      <c r="X711" s="47">
        <f>U706-U711</f>
        <v>0</v>
      </c>
    </row>
    <row r="712" spans="1:24" s="47" customFormat="1" ht="18" hidden="1" customHeight="1">
      <c r="A712" s="614"/>
      <c r="B712" s="587"/>
      <c r="C712" s="588"/>
      <c r="D712" s="187" t="str">
        <f>серпень!D635</f>
        <v>тариф, грн.</v>
      </c>
      <c r="E712" s="49" t="e">
        <f>E713/E711*1000</f>
        <v>#DIV/0!</v>
      </c>
      <c r="F712" s="49">
        <v>6900</v>
      </c>
      <c r="G712" s="49">
        <v>6900</v>
      </c>
      <c r="H712" s="49">
        <v>6900</v>
      </c>
      <c r="I712" s="49">
        <v>6900</v>
      </c>
      <c r="J712" s="49">
        <v>6900</v>
      </c>
      <c r="K712" s="49">
        <v>6900</v>
      </c>
      <c r="L712" s="49" t="e">
        <f>L713/L711*1000</f>
        <v>#DIV/0!</v>
      </c>
      <c r="M712" s="49" t="e">
        <f>M713/M711*1000</f>
        <v>#DIV/0!</v>
      </c>
      <c r="N712" s="49">
        <v>6900</v>
      </c>
      <c r="O712" s="49">
        <v>6900</v>
      </c>
      <c r="P712" s="49">
        <v>6900</v>
      </c>
      <c r="Q712" s="49">
        <v>6900</v>
      </c>
      <c r="R712" s="49">
        <v>6900</v>
      </c>
      <c r="S712" s="49">
        <v>6900</v>
      </c>
      <c r="T712" s="49" t="e">
        <f>T713/T711*1000</f>
        <v>#DIV/0!</v>
      </c>
      <c r="U712" s="49" t="e">
        <f>U713/U711*1000</f>
        <v>#DIV/0!</v>
      </c>
      <c r="V712" s="68" t="e">
        <f>V713/V711*1000</f>
        <v>#DIV/0!</v>
      </c>
      <c r="W712" s="14" t="e">
        <f>W713/W711*1000</f>
        <v>#DIV/0!</v>
      </c>
      <c r="X712" s="59"/>
    </row>
    <row r="713" spans="1:24" s="47" customFormat="1" ht="18" hidden="1" customHeight="1">
      <c r="A713" s="614"/>
      <c r="B713" s="587"/>
      <c r="C713" s="588"/>
      <c r="D713" s="198" t="str">
        <f>серпень!D636</f>
        <v>касові видатки, тис.грн.</v>
      </c>
      <c r="E713" s="71"/>
      <c r="F713" s="61">
        <f>F728+F743</f>
        <v>0</v>
      </c>
      <c r="G713" s="61">
        <f t="shared" ref="G713:K713" si="800">G728+G743</f>
        <v>0</v>
      </c>
      <c r="H713" s="61">
        <f t="shared" si="800"/>
        <v>0</v>
      </c>
      <c r="I713" s="61">
        <f t="shared" si="800"/>
        <v>0</v>
      </c>
      <c r="J713" s="61">
        <f t="shared" si="800"/>
        <v>0</v>
      </c>
      <c r="K713" s="61">
        <f t="shared" si="800"/>
        <v>0</v>
      </c>
      <c r="L713" s="61">
        <f>SUM(F713:K713)</f>
        <v>0</v>
      </c>
      <c r="M713" s="61">
        <f>L713/6</f>
        <v>0</v>
      </c>
      <c r="N713" s="61">
        <f>N728+N743</f>
        <v>0</v>
      </c>
      <c r="O713" s="61">
        <f t="shared" ref="O713:S713" si="801">O728+O743</f>
        <v>0</v>
      </c>
      <c r="P713" s="61">
        <f t="shared" si="801"/>
        <v>0</v>
      </c>
      <c r="Q713" s="61">
        <f t="shared" si="801"/>
        <v>0</v>
      </c>
      <c r="R713" s="61">
        <f t="shared" si="801"/>
        <v>0</v>
      </c>
      <c r="S713" s="61">
        <f t="shared" si="801"/>
        <v>0</v>
      </c>
      <c r="T713" s="61">
        <f>SUM(N713:S713)</f>
        <v>0</v>
      </c>
      <c r="U713" s="61">
        <f>T713+L713</f>
        <v>0</v>
      </c>
      <c r="V713" s="61">
        <f t="shared" ref="V713" si="802">V728+V743</f>
        <v>0</v>
      </c>
      <c r="W713" s="72">
        <f>V713-U713</f>
        <v>0</v>
      </c>
      <c r="X713" s="63">
        <f>U708-U713</f>
        <v>0</v>
      </c>
    </row>
    <row r="714" spans="1:24" s="47" customFormat="1" ht="18" hidden="1" customHeight="1">
      <c r="A714" s="614"/>
      <c r="B714" s="587"/>
      <c r="C714" s="588"/>
      <c r="D714" s="201" t="str">
        <f>серпень!D637</f>
        <v>дотація</v>
      </c>
      <c r="E714" s="71"/>
      <c r="F714" s="61">
        <f t="shared" ref="F714:K715" si="803">F729+F744</f>
        <v>0</v>
      </c>
      <c r="G714" s="61">
        <f t="shared" si="803"/>
        <v>0</v>
      </c>
      <c r="H714" s="61">
        <f t="shared" si="803"/>
        <v>0</v>
      </c>
      <c r="I714" s="61">
        <f t="shared" si="803"/>
        <v>0</v>
      </c>
      <c r="J714" s="61">
        <f t="shared" si="803"/>
        <v>0</v>
      </c>
      <c r="K714" s="61">
        <f t="shared" si="803"/>
        <v>0</v>
      </c>
      <c r="L714" s="61">
        <f>SUM(F714:K714)</f>
        <v>0</v>
      </c>
      <c r="M714" s="61">
        <f>L714/6</f>
        <v>0</v>
      </c>
      <c r="N714" s="61">
        <f t="shared" ref="N714:S714" si="804">N729+N744</f>
        <v>0</v>
      </c>
      <c r="O714" s="61">
        <f t="shared" si="804"/>
        <v>0</v>
      </c>
      <c r="P714" s="61">
        <f t="shared" si="804"/>
        <v>0</v>
      </c>
      <c r="Q714" s="61">
        <f t="shared" si="804"/>
        <v>0</v>
      </c>
      <c r="R714" s="61">
        <f t="shared" si="804"/>
        <v>0</v>
      </c>
      <c r="S714" s="61">
        <f t="shared" si="804"/>
        <v>0</v>
      </c>
      <c r="T714" s="61">
        <f>SUM(N714:S714)</f>
        <v>0</v>
      </c>
      <c r="U714" s="61">
        <f>T714+L714</f>
        <v>0</v>
      </c>
      <c r="V714" s="61">
        <f t="shared" ref="V714" si="805">V729+V744</f>
        <v>0</v>
      </c>
      <c r="W714" s="72">
        <f>V714-U714</f>
        <v>0</v>
      </c>
      <c r="X714" s="63">
        <f>U709-U714</f>
        <v>0</v>
      </c>
    </row>
    <row r="715" spans="1:24" s="47" customFormat="1" ht="18" hidden="1" customHeight="1">
      <c r="A715" s="614"/>
      <c r="B715" s="587"/>
      <c r="C715" s="588"/>
      <c r="D715" s="201" t="str">
        <f>серпень!D638</f>
        <v xml:space="preserve">місцевий </v>
      </c>
      <c r="E715" s="71"/>
      <c r="F715" s="61">
        <f t="shared" si="803"/>
        <v>0</v>
      </c>
      <c r="G715" s="61">
        <f t="shared" si="803"/>
        <v>0</v>
      </c>
      <c r="H715" s="61">
        <f t="shared" si="803"/>
        <v>0</v>
      </c>
      <c r="I715" s="61">
        <f t="shared" si="803"/>
        <v>0</v>
      </c>
      <c r="J715" s="61">
        <f t="shared" si="803"/>
        <v>0</v>
      </c>
      <c r="K715" s="61">
        <f t="shared" si="803"/>
        <v>0</v>
      </c>
      <c r="L715" s="61">
        <f>SUM(F715:K715)</f>
        <v>0</v>
      </c>
      <c r="M715" s="61">
        <f>L715/6</f>
        <v>0</v>
      </c>
      <c r="N715" s="61">
        <f t="shared" ref="N715:S715" si="806">N730+N745</f>
        <v>0</v>
      </c>
      <c r="O715" s="61">
        <f t="shared" si="806"/>
        <v>0</v>
      </c>
      <c r="P715" s="61">
        <f t="shared" si="806"/>
        <v>0</v>
      </c>
      <c r="Q715" s="61">
        <f t="shared" si="806"/>
        <v>0</v>
      </c>
      <c r="R715" s="61">
        <f t="shared" si="806"/>
        <v>0</v>
      </c>
      <c r="S715" s="61">
        <f t="shared" si="806"/>
        <v>0</v>
      </c>
      <c r="T715" s="61">
        <f>SUM(N715:S715)</f>
        <v>0</v>
      </c>
      <c r="U715" s="61">
        <f>T715+L715</f>
        <v>0</v>
      </c>
      <c r="V715" s="61">
        <f t="shared" ref="V715" si="807">V730+V745</f>
        <v>0</v>
      </c>
      <c r="W715" s="72">
        <f>V715-U715</f>
        <v>0</v>
      </c>
      <c r="X715" s="63">
        <f>U710-U715</f>
        <v>0</v>
      </c>
    </row>
    <row r="716" spans="1:24" s="47" customFormat="1" ht="18" hidden="1" customHeight="1">
      <c r="A716" s="614"/>
      <c r="B716" s="587"/>
      <c r="C716" s="588"/>
      <c r="D716" s="202" t="str">
        <f>серпень!D639</f>
        <v>план</v>
      </c>
      <c r="E716" s="42"/>
      <c r="F716" s="42">
        <f t="shared" ref="F716:K716" si="808">F710</f>
        <v>0</v>
      </c>
      <c r="G716" s="42">
        <f t="shared" si="808"/>
        <v>0</v>
      </c>
      <c r="H716" s="42">
        <f t="shared" si="808"/>
        <v>0</v>
      </c>
      <c r="I716" s="42">
        <f t="shared" si="808"/>
        <v>0</v>
      </c>
      <c r="J716" s="42">
        <f t="shared" si="808"/>
        <v>0</v>
      </c>
      <c r="K716" s="42">
        <f t="shared" si="808"/>
        <v>0</v>
      </c>
      <c r="L716" s="42">
        <f>SUM(F716:K716)</f>
        <v>0</v>
      </c>
      <c r="M716" s="42">
        <f>L716/6</f>
        <v>0</v>
      </c>
      <c r="N716" s="42">
        <f t="shared" ref="N716:S716" si="809">N710+N709</f>
        <v>0</v>
      </c>
      <c r="O716" s="42">
        <f t="shared" si="809"/>
        <v>0</v>
      </c>
      <c r="P716" s="42">
        <f t="shared" si="809"/>
        <v>0</v>
      </c>
      <c r="Q716" s="42">
        <f t="shared" si="809"/>
        <v>0</v>
      </c>
      <c r="R716" s="42">
        <f t="shared" si="809"/>
        <v>0</v>
      </c>
      <c r="S716" s="42">
        <f t="shared" si="809"/>
        <v>0</v>
      </c>
      <c r="T716" s="42">
        <f>SUM(N716:S716)</f>
        <v>0</v>
      </c>
      <c r="U716" s="42">
        <f>T716+L716</f>
        <v>0</v>
      </c>
      <c r="V716" s="42">
        <f>V713</f>
        <v>0</v>
      </c>
      <c r="W716" s="42">
        <f>V716-U716</f>
        <v>0</v>
      </c>
    </row>
    <row r="717" spans="1:24" s="47" customFormat="1" ht="18" hidden="1" customHeight="1">
      <c r="A717" s="614"/>
      <c r="B717" s="587"/>
      <c r="C717" s="588"/>
      <c r="D717" s="202" t="str">
        <f>серпень!D640</f>
        <v xml:space="preserve">відхилення </v>
      </c>
      <c r="E717" s="42"/>
      <c r="F717" s="42">
        <f t="shared" ref="F717:K717" si="810">F713-F716</f>
        <v>0</v>
      </c>
      <c r="G717" s="42">
        <f t="shared" si="810"/>
        <v>0</v>
      </c>
      <c r="H717" s="42">
        <f t="shared" si="810"/>
        <v>0</v>
      </c>
      <c r="I717" s="42">
        <f t="shared" si="810"/>
        <v>0</v>
      </c>
      <c r="J717" s="42">
        <f t="shared" si="810"/>
        <v>0</v>
      </c>
      <c r="K717" s="42">
        <f t="shared" si="810"/>
        <v>0</v>
      </c>
      <c r="L717" s="42"/>
      <c r="M717" s="42"/>
      <c r="N717" s="42">
        <f t="shared" ref="N717:S717" si="811">N713-N716</f>
        <v>0</v>
      </c>
      <c r="O717" s="42">
        <f t="shared" si="811"/>
        <v>0</v>
      </c>
      <c r="P717" s="42">
        <f t="shared" si="811"/>
        <v>0</v>
      </c>
      <c r="Q717" s="42">
        <f t="shared" si="811"/>
        <v>0</v>
      </c>
      <c r="R717" s="42">
        <f t="shared" si="811"/>
        <v>0</v>
      </c>
      <c r="S717" s="42">
        <f t="shared" si="811"/>
        <v>0</v>
      </c>
      <c r="T717" s="42"/>
      <c r="U717" s="42"/>
      <c r="V717" s="42"/>
      <c r="W717" s="42"/>
    </row>
    <row r="718" spans="1:24" s="47" customFormat="1" ht="18" hidden="1" customHeight="1">
      <c r="A718" s="614"/>
      <c r="B718" s="589"/>
      <c r="C718" s="590"/>
      <c r="D718" s="202" t="str">
        <f>серпень!D641</f>
        <v>відхилення з наростаючим</v>
      </c>
      <c r="E718" s="42"/>
      <c r="F718" s="42">
        <f>F717</f>
        <v>0</v>
      </c>
      <c r="G718" s="42">
        <f>G717+F718</f>
        <v>0</v>
      </c>
      <c r="H718" s="42">
        <f>H717+G718</f>
        <v>0</v>
      </c>
      <c r="I718" s="42">
        <f>I717+H718</f>
        <v>0</v>
      </c>
      <c r="J718" s="42">
        <f>J717+I718</f>
        <v>0</v>
      </c>
      <c r="K718" s="42">
        <f>K717+J718</f>
        <v>0</v>
      </c>
      <c r="L718" s="42"/>
      <c r="M718" s="42"/>
      <c r="N718" s="42">
        <f>N717+K718</f>
        <v>0</v>
      </c>
      <c r="O718" s="42">
        <f>O717+N718</f>
        <v>0</v>
      </c>
      <c r="P718" s="42">
        <f>P717+O718</f>
        <v>0</v>
      </c>
      <c r="Q718" s="42">
        <f>Q717+P718</f>
        <v>0</v>
      </c>
      <c r="R718" s="42">
        <f>R717+Q718</f>
        <v>0</v>
      </c>
      <c r="S718" s="42">
        <f>S717+R718</f>
        <v>0</v>
      </c>
      <c r="T718" s="42"/>
      <c r="U718" s="42"/>
      <c r="V718" s="42"/>
      <c r="W718" s="42"/>
    </row>
    <row r="719" spans="1:24" s="47" customFormat="1" ht="18" hidden="1" customHeight="1">
      <c r="A719" s="614"/>
      <c r="B719" s="580" t="s">
        <v>125</v>
      </c>
      <c r="C719" s="575"/>
      <c r="D719" s="178" t="str">
        <f>серпень!D642</f>
        <v>факт. нат.п-ки 2023</v>
      </c>
      <c r="E719" s="11"/>
      <c r="F719" s="12"/>
      <c r="G719" s="12"/>
      <c r="H719" s="12"/>
      <c r="I719" s="12"/>
      <c r="J719" s="12"/>
      <c r="K719" s="12"/>
      <c r="L719" s="65">
        <f>SUM(F719:K719)</f>
        <v>0</v>
      </c>
      <c r="M719" s="65">
        <f>L719/6</f>
        <v>0</v>
      </c>
      <c r="N719" s="12"/>
      <c r="O719" s="12"/>
      <c r="P719" s="12"/>
      <c r="Q719" s="12"/>
      <c r="R719" s="12"/>
      <c r="S719" s="12"/>
      <c r="T719" s="65">
        <f>SUM(N719:S719)</f>
        <v>0</v>
      </c>
      <c r="U719" s="66">
        <f>T719+L719</f>
        <v>0</v>
      </c>
      <c r="V719" s="67"/>
      <c r="W719" s="38"/>
    </row>
    <row r="720" spans="1:24" s="47" customFormat="1" ht="18" hidden="1" customHeight="1">
      <c r="A720" s="614"/>
      <c r="B720" s="576"/>
      <c r="C720" s="577"/>
      <c r="D720" s="178" t="str">
        <f>серпень!D643</f>
        <v>факт. нат.п-ки 2024</v>
      </c>
      <c r="E720" s="11"/>
      <c r="F720" s="12"/>
      <c r="G720" s="12"/>
      <c r="H720" s="12"/>
      <c r="I720" s="12"/>
      <c r="J720" s="12"/>
      <c r="K720" s="12"/>
      <c r="L720" s="65">
        <f>SUM(F720:K720)</f>
        <v>0</v>
      </c>
      <c r="M720" s="65">
        <f>L720/6</f>
        <v>0</v>
      </c>
      <c r="N720" s="11"/>
      <c r="O720" s="11"/>
      <c r="P720" s="11"/>
      <c r="Q720" s="11"/>
      <c r="R720" s="11"/>
      <c r="S720" s="11"/>
      <c r="T720" s="65">
        <f>SUM(N720:S720)</f>
        <v>0</v>
      </c>
      <c r="U720" s="66">
        <f>T720+L720</f>
        <v>0</v>
      </c>
      <c r="V720" s="67"/>
      <c r="W720" s="38"/>
    </row>
    <row r="721" spans="1:24" s="47" customFormat="1" ht="18" hidden="1" customHeight="1">
      <c r="A721" s="614"/>
      <c r="B721" s="576"/>
      <c r="C721" s="577"/>
      <c r="D721" s="178" t="str">
        <f>серпень!D644</f>
        <v>факт. нат.п-ки 2025</v>
      </c>
      <c r="E721" s="11"/>
      <c r="F721" s="12"/>
      <c r="G721" s="12"/>
      <c r="H721" s="12"/>
      <c r="I721" s="12"/>
      <c r="J721" s="12"/>
      <c r="K721" s="12"/>
      <c r="L721" s="65">
        <f>SUM(F721:K721)</f>
        <v>0</v>
      </c>
      <c r="M721" s="65">
        <f>L721/6</f>
        <v>0</v>
      </c>
      <c r="N721" s="12"/>
      <c r="O721" s="12"/>
      <c r="P721" s="12"/>
      <c r="Q721" s="12"/>
      <c r="R721" s="12"/>
      <c r="S721" s="11"/>
      <c r="T721" s="65">
        <f>SUM(N721:S721)</f>
        <v>0</v>
      </c>
      <c r="U721" s="66">
        <f>T721+L721</f>
        <v>0</v>
      </c>
      <c r="V721" s="11"/>
      <c r="W721" s="38">
        <f>V721-U721</f>
        <v>0</v>
      </c>
    </row>
    <row r="722" spans="1:24" s="47" customFormat="1" ht="18" hidden="1" customHeight="1">
      <c r="A722" s="614"/>
      <c r="B722" s="576"/>
      <c r="C722" s="577"/>
      <c r="D722" s="187" t="str">
        <f>серпень!D645</f>
        <v>тариф, грн.</v>
      </c>
      <c r="E722" s="49"/>
      <c r="F722" s="49">
        <v>6900</v>
      </c>
      <c r="G722" s="49">
        <v>6900</v>
      </c>
      <c r="H722" s="49">
        <v>6900</v>
      </c>
      <c r="I722" s="49">
        <v>6900</v>
      </c>
      <c r="J722" s="49">
        <v>6900</v>
      </c>
      <c r="K722" s="49">
        <v>6900</v>
      </c>
      <c r="L722" s="49" t="e">
        <f>L723/L721*1000</f>
        <v>#DIV/0!</v>
      </c>
      <c r="M722" s="49" t="e">
        <f>M723/M721*1000</f>
        <v>#DIV/0!</v>
      </c>
      <c r="N722" s="49">
        <v>6900</v>
      </c>
      <c r="O722" s="49">
        <v>6900</v>
      </c>
      <c r="P722" s="49">
        <v>6900</v>
      </c>
      <c r="Q722" s="49">
        <v>6900</v>
      </c>
      <c r="R722" s="49">
        <v>6900</v>
      </c>
      <c r="S722" s="49">
        <v>6900</v>
      </c>
      <c r="T722" s="49" t="e">
        <f>T723/T721*1000</f>
        <v>#DIV/0!</v>
      </c>
      <c r="U722" s="49" t="e">
        <f>U723/U721*1000</f>
        <v>#DIV/0!</v>
      </c>
      <c r="V722" s="68" t="e">
        <f>V723/V721*1000</f>
        <v>#DIV/0!</v>
      </c>
      <c r="W722" s="14" t="e">
        <f>W723/W721*1000</f>
        <v>#DIV/0!</v>
      </c>
    </row>
    <row r="723" spans="1:24" s="47" customFormat="1" ht="18" hidden="1" customHeight="1">
      <c r="A723" s="614"/>
      <c r="B723" s="576"/>
      <c r="C723" s="577"/>
      <c r="D723" s="191" t="str">
        <f>серпень!D646</f>
        <v>сума, тис.грн.</v>
      </c>
      <c r="E723" s="52"/>
      <c r="F723" s="52">
        <f t="shared" ref="F723:K723" si="812">F721*F722/1000</f>
        <v>0</v>
      </c>
      <c r="G723" s="52">
        <f t="shared" si="812"/>
        <v>0</v>
      </c>
      <c r="H723" s="52">
        <f t="shared" si="812"/>
        <v>0</v>
      </c>
      <c r="I723" s="52">
        <f t="shared" si="812"/>
        <v>0</v>
      </c>
      <c r="J723" s="52">
        <f t="shared" si="812"/>
        <v>0</v>
      </c>
      <c r="K723" s="52">
        <f t="shared" si="812"/>
        <v>0</v>
      </c>
      <c r="L723" s="69">
        <f>SUM(F723:K723)</f>
        <v>0</v>
      </c>
      <c r="M723" s="69">
        <f>L723/6</f>
        <v>0</v>
      </c>
      <c r="N723" s="52">
        <f t="shared" ref="N723:S723" si="813">N721*N722/1000</f>
        <v>0</v>
      </c>
      <c r="O723" s="52">
        <f t="shared" si="813"/>
        <v>0</v>
      </c>
      <c r="P723" s="52">
        <f t="shared" si="813"/>
        <v>0</v>
      </c>
      <c r="Q723" s="52">
        <f t="shared" si="813"/>
        <v>0</v>
      </c>
      <c r="R723" s="52">
        <f t="shared" si="813"/>
        <v>0</v>
      </c>
      <c r="S723" s="52">
        <f t="shared" si="813"/>
        <v>0</v>
      </c>
      <c r="T723" s="69">
        <f>SUM(N723:S723)</f>
        <v>0</v>
      </c>
      <c r="U723" s="69">
        <f>T723+L723</f>
        <v>0</v>
      </c>
      <c r="V723" s="70">
        <f>V724+V725</f>
        <v>0</v>
      </c>
      <c r="W723" s="53">
        <f>V723-U723</f>
        <v>0</v>
      </c>
    </row>
    <row r="724" spans="1:24" s="47" customFormat="1" ht="18" hidden="1" customHeight="1">
      <c r="A724" s="614"/>
      <c r="B724" s="576"/>
      <c r="C724" s="577"/>
      <c r="D724" s="174" t="str">
        <f>серпень!D647</f>
        <v>дотація</v>
      </c>
      <c r="E724" s="56"/>
      <c r="F724" s="52"/>
      <c r="G724" s="52"/>
      <c r="H724" s="52"/>
      <c r="I724" s="52"/>
      <c r="J724" s="52"/>
      <c r="K724" s="52"/>
      <c r="L724" s="69">
        <f>SUM(F724:K724)</f>
        <v>0</v>
      </c>
      <c r="M724" s="69">
        <f>L724/6</f>
        <v>0</v>
      </c>
      <c r="N724" s="52"/>
      <c r="O724" s="52"/>
      <c r="P724" s="52"/>
      <c r="Q724" s="52"/>
      <c r="R724" s="52"/>
      <c r="S724" s="52"/>
      <c r="T724" s="69">
        <f>SUM(N724:S724)</f>
        <v>0</v>
      </c>
      <c r="U724" s="69">
        <f>T724+L724</f>
        <v>0</v>
      </c>
      <c r="V724" s="70">
        <v>0</v>
      </c>
      <c r="W724" s="53">
        <f>V724-U724</f>
        <v>0</v>
      </c>
    </row>
    <row r="725" spans="1:24" s="47" customFormat="1" ht="18" hidden="1" customHeight="1">
      <c r="A725" s="614"/>
      <c r="B725" s="576"/>
      <c r="C725" s="577"/>
      <c r="D725" s="174" t="str">
        <f>серпень!D648</f>
        <v>місцевий (план), тис.грн</v>
      </c>
      <c r="E725" s="56"/>
      <c r="F725" s="52"/>
      <c r="G725" s="52"/>
      <c r="H725" s="52"/>
      <c r="I725" s="52"/>
      <c r="J725" s="52"/>
      <c r="K725" s="52"/>
      <c r="L725" s="69">
        <f>SUM(F725:K725)</f>
        <v>0</v>
      </c>
      <c r="M725" s="69">
        <f>L725/6</f>
        <v>0</v>
      </c>
      <c r="N725" s="52"/>
      <c r="O725" s="52"/>
      <c r="P725" s="52"/>
      <c r="Q725" s="52"/>
      <c r="R725" s="52"/>
      <c r="S725" s="52"/>
      <c r="T725" s="69">
        <f>SUM(N725:S725)</f>
        <v>0</v>
      </c>
      <c r="U725" s="69">
        <f>T725+L725</f>
        <v>0</v>
      </c>
      <c r="V725" s="70"/>
      <c r="W725" s="53">
        <f>V725-U725</f>
        <v>0</v>
      </c>
    </row>
    <row r="726" spans="1:24" s="47" customFormat="1" ht="18" hidden="1" customHeight="1">
      <c r="A726" s="614"/>
      <c r="B726" s="576"/>
      <c r="C726" s="577"/>
      <c r="D726" s="178" t="str">
        <f>серпень!D649</f>
        <v>касові нат.п-ки 2025</v>
      </c>
      <c r="E726" s="11"/>
      <c r="F726" s="11"/>
      <c r="G726" s="11"/>
      <c r="H726" s="11"/>
      <c r="I726" s="11"/>
      <c r="J726" s="11"/>
      <c r="K726" s="11"/>
      <c r="L726" s="65">
        <f>SUM(F726:K726)</f>
        <v>0</v>
      </c>
      <c r="M726" s="65">
        <f>L726/6</f>
        <v>0</v>
      </c>
      <c r="N726" s="11"/>
      <c r="O726" s="11"/>
      <c r="P726" s="11"/>
      <c r="Q726" s="11"/>
      <c r="R726" s="11"/>
      <c r="S726" s="11"/>
      <c r="T726" s="65">
        <f>SUM(N726:S726)</f>
        <v>0</v>
      </c>
      <c r="U726" s="65">
        <f>T726+L726</f>
        <v>0</v>
      </c>
      <c r="V726" s="11">
        <f>V721</f>
        <v>0</v>
      </c>
      <c r="W726" s="38">
        <f>V726-U726</f>
        <v>0</v>
      </c>
      <c r="X726" s="47">
        <f>U721-U726</f>
        <v>0</v>
      </c>
    </row>
    <row r="727" spans="1:24" s="47" customFormat="1" ht="18" hidden="1" customHeight="1">
      <c r="A727" s="614"/>
      <c r="B727" s="576"/>
      <c r="C727" s="577"/>
      <c r="D727" s="187" t="str">
        <f>серпень!D650</f>
        <v>тариф, грн.</v>
      </c>
      <c r="E727" s="49" t="e">
        <f>E728/E726*1000</f>
        <v>#DIV/0!</v>
      </c>
      <c r="F727" s="49">
        <v>6900</v>
      </c>
      <c r="G727" s="49">
        <v>6900</v>
      </c>
      <c r="H727" s="49">
        <v>6900</v>
      </c>
      <c r="I727" s="49">
        <v>6900</v>
      </c>
      <c r="J727" s="49">
        <v>6900</v>
      </c>
      <c r="K727" s="49">
        <v>6900</v>
      </c>
      <c r="L727" s="49" t="e">
        <f>L728/L726*1000</f>
        <v>#DIV/0!</v>
      </c>
      <c r="M727" s="49" t="e">
        <f>M728/M726*1000</f>
        <v>#DIV/0!</v>
      </c>
      <c r="N727" s="49">
        <v>6900</v>
      </c>
      <c r="O727" s="49">
        <v>6900</v>
      </c>
      <c r="P727" s="49">
        <v>6900</v>
      </c>
      <c r="Q727" s="49">
        <v>6900</v>
      </c>
      <c r="R727" s="49">
        <v>6900</v>
      </c>
      <c r="S727" s="49">
        <v>6900</v>
      </c>
      <c r="T727" s="49" t="e">
        <f>T728/T726*1000</f>
        <v>#DIV/0!</v>
      </c>
      <c r="U727" s="49" t="e">
        <f>U728/U726*1000</f>
        <v>#DIV/0!</v>
      </c>
      <c r="V727" s="68" t="e">
        <f>V728/V726*1000</f>
        <v>#DIV/0!</v>
      </c>
      <c r="W727" s="14" t="e">
        <f>W728/W726*1000</f>
        <v>#DIV/0!</v>
      </c>
      <c r="X727" s="59"/>
    </row>
    <row r="728" spans="1:24" s="47" customFormat="1" ht="18" hidden="1" customHeight="1">
      <c r="A728" s="614"/>
      <c r="B728" s="576"/>
      <c r="C728" s="577"/>
      <c r="D728" s="198" t="str">
        <f>серпень!D651</f>
        <v>касові видатки, тис.грн.</v>
      </c>
      <c r="E728" s="71"/>
      <c r="F728" s="61">
        <f t="shared" ref="F728:K728" si="814">F726*F727/1000</f>
        <v>0</v>
      </c>
      <c r="G728" s="61">
        <f t="shared" si="814"/>
        <v>0</v>
      </c>
      <c r="H728" s="61">
        <f t="shared" si="814"/>
        <v>0</v>
      </c>
      <c r="I728" s="61">
        <f t="shared" si="814"/>
        <v>0</v>
      </c>
      <c r="J728" s="61">
        <f t="shared" si="814"/>
        <v>0</v>
      </c>
      <c r="K728" s="61">
        <f t="shared" si="814"/>
        <v>0</v>
      </c>
      <c r="L728" s="61">
        <f>SUM(F728:K728)</f>
        <v>0</v>
      </c>
      <c r="M728" s="61">
        <f>L728/6</f>
        <v>0</v>
      </c>
      <c r="N728" s="61">
        <f t="shared" ref="N728:S728" si="815">N726*N727/1000</f>
        <v>0</v>
      </c>
      <c r="O728" s="61">
        <f t="shared" si="815"/>
        <v>0</v>
      </c>
      <c r="P728" s="61">
        <f t="shared" si="815"/>
        <v>0</v>
      </c>
      <c r="Q728" s="61">
        <f t="shared" si="815"/>
        <v>0</v>
      </c>
      <c r="R728" s="61">
        <f t="shared" si="815"/>
        <v>0</v>
      </c>
      <c r="S728" s="61">
        <f t="shared" si="815"/>
        <v>0</v>
      </c>
      <c r="T728" s="61">
        <f>SUM(N728:S728)</f>
        <v>0</v>
      </c>
      <c r="U728" s="61">
        <f>T728+L728</f>
        <v>0</v>
      </c>
      <c r="V728" s="61">
        <f>V723</f>
        <v>0</v>
      </c>
      <c r="W728" s="72">
        <f>V728-U728</f>
        <v>0</v>
      </c>
      <c r="X728" s="63">
        <f>U723-U728</f>
        <v>0</v>
      </c>
    </row>
    <row r="729" spans="1:24" s="47" customFormat="1" ht="18" hidden="1" customHeight="1">
      <c r="A729" s="614"/>
      <c r="B729" s="576"/>
      <c r="C729" s="577"/>
      <c r="D729" s="201" t="str">
        <f>серпень!D652</f>
        <v>дотація</v>
      </c>
      <c r="E729" s="71"/>
      <c r="F729" s="61"/>
      <c r="G729" s="61"/>
      <c r="H729" s="61"/>
      <c r="I729" s="61"/>
      <c r="J729" s="61"/>
      <c r="K729" s="61"/>
      <c r="L729" s="61">
        <f>SUM(F729:K729)</f>
        <v>0</v>
      </c>
      <c r="M729" s="61">
        <f>L729/6</f>
        <v>0</v>
      </c>
      <c r="N729" s="61"/>
      <c r="O729" s="61"/>
      <c r="P729" s="61"/>
      <c r="Q729" s="61"/>
      <c r="R729" s="61"/>
      <c r="S729" s="61"/>
      <c r="T729" s="61">
        <f>SUM(N729:S729)</f>
        <v>0</v>
      </c>
      <c r="U729" s="61">
        <f>T729+L729</f>
        <v>0</v>
      </c>
      <c r="V729" s="61">
        <f>V724</f>
        <v>0</v>
      </c>
      <c r="W729" s="72">
        <f>V729-U729</f>
        <v>0</v>
      </c>
      <c r="X729" s="63">
        <f>U724-U729</f>
        <v>0</v>
      </c>
    </row>
    <row r="730" spans="1:24" s="47" customFormat="1" ht="18" hidden="1" customHeight="1">
      <c r="A730" s="614"/>
      <c r="B730" s="576"/>
      <c r="C730" s="577"/>
      <c r="D730" s="201" t="str">
        <f>серпень!D653</f>
        <v xml:space="preserve">місцевий </v>
      </c>
      <c r="E730" s="71"/>
      <c r="F730" s="61">
        <f t="shared" ref="F730:K730" si="816">F728-F729</f>
        <v>0</v>
      </c>
      <c r="G730" s="61">
        <f t="shared" si="816"/>
        <v>0</v>
      </c>
      <c r="H730" s="61">
        <f t="shared" si="816"/>
        <v>0</v>
      </c>
      <c r="I730" s="61">
        <f t="shared" si="816"/>
        <v>0</v>
      </c>
      <c r="J730" s="61">
        <f t="shared" si="816"/>
        <v>0</v>
      </c>
      <c r="K730" s="61">
        <f t="shared" si="816"/>
        <v>0</v>
      </c>
      <c r="L730" s="61">
        <f>SUM(F730:K730)</f>
        <v>0</v>
      </c>
      <c r="M730" s="61">
        <f>L730/6</f>
        <v>0</v>
      </c>
      <c r="N730" s="61">
        <f t="shared" ref="N730:S730" si="817">N728-N729</f>
        <v>0</v>
      </c>
      <c r="O730" s="61">
        <f t="shared" si="817"/>
        <v>0</v>
      </c>
      <c r="P730" s="61">
        <f t="shared" si="817"/>
        <v>0</v>
      </c>
      <c r="Q730" s="61">
        <f t="shared" si="817"/>
        <v>0</v>
      </c>
      <c r="R730" s="61">
        <f t="shared" si="817"/>
        <v>0</v>
      </c>
      <c r="S730" s="61">
        <f t="shared" si="817"/>
        <v>0</v>
      </c>
      <c r="T730" s="61">
        <f>SUM(N730:S730)</f>
        <v>0</v>
      </c>
      <c r="U730" s="61">
        <f>T730+L730</f>
        <v>0</v>
      </c>
      <c r="V730" s="61">
        <f>V725</f>
        <v>0</v>
      </c>
      <c r="W730" s="72">
        <f>V730-U730</f>
        <v>0</v>
      </c>
      <c r="X730" s="63">
        <f>U725-U730</f>
        <v>0</v>
      </c>
    </row>
    <row r="731" spans="1:24" s="47" customFormat="1" ht="18" hidden="1" customHeight="1">
      <c r="A731" s="614"/>
      <c r="B731" s="576"/>
      <c r="C731" s="577"/>
      <c r="D731" s="202" t="str">
        <f>серпень!D654</f>
        <v>план</v>
      </c>
      <c r="E731" s="42"/>
      <c r="F731" s="42">
        <f t="shared" ref="F731:K731" si="818">F725</f>
        <v>0</v>
      </c>
      <c r="G731" s="42">
        <f t="shared" si="818"/>
        <v>0</v>
      </c>
      <c r="H731" s="42">
        <f t="shared" si="818"/>
        <v>0</v>
      </c>
      <c r="I731" s="42">
        <f t="shared" si="818"/>
        <v>0</v>
      </c>
      <c r="J731" s="42">
        <f t="shared" si="818"/>
        <v>0</v>
      </c>
      <c r="K731" s="42">
        <f t="shared" si="818"/>
        <v>0</v>
      </c>
      <c r="L731" s="42">
        <f>SUM(F731:K731)</f>
        <v>0</v>
      </c>
      <c r="M731" s="42">
        <f>L731/6</f>
        <v>0</v>
      </c>
      <c r="N731" s="42">
        <f t="shared" ref="N731:S731" si="819">N725+N724</f>
        <v>0</v>
      </c>
      <c r="O731" s="42">
        <f t="shared" si="819"/>
        <v>0</v>
      </c>
      <c r="P731" s="42">
        <f t="shared" si="819"/>
        <v>0</v>
      </c>
      <c r="Q731" s="42">
        <f t="shared" si="819"/>
        <v>0</v>
      </c>
      <c r="R731" s="42">
        <f t="shared" si="819"/>
        <v>0</v>
      </c>
      <c r="S731" s="42">
        <f t="shared" si="819"/>
        <v>0</v>
      </c>
      <c r="T731" s="42">
        <f>SUM(N731:S731)</f>
        <v>0</v>
      </c>
      <c r="U731" s="42">
        <f>T731+L731</f>
        <v>0</v>
      </c>
      <c r="V731" s="42">
        <f>V728</f>
        <v>0</v>
      </c>
      <c r="W731" s="42">
        <f>V731-U731</f>
        <v>0</v>
      </c>
    </row>
    <row r="732" spans="1:24" s="47" customFormat="1" ht="18" hidden="1" customHeight="1">
      <c r="A732" s="614"/>
      <c r="B732" s="576"/>
      <c r="C732" s="577"/>
      <c r="D732" s="202" t="str">
        <f>серпень!D655</f>
        <v xml:space="preserve">відхилення </v>
      </c>
      <c r="E732" s="42"/>
      <c r="F732" s="42">
        <f t="shared" ref="F732:K732" si="820">F728-F731</f>
        <v>0</v>
      </c>
      <c r="G732" s="42">
        <f t="shared" si="820"/>
        <v>0</v>
      </c>
      <c r="H732" s="42">
        <f t="shared" si="820"/>
        <v>0</v>
      </c>
      <c r="I732" s="42">
        <f t="shared" si="820"/>
        <v>0</v>
      </c>
      <c r="J732" s="42">
        <f t="shared" si="820"/>
        <v>0</v>
      </c>
      <c r="K732" s="42">
        <f t="shared" si="820"/>
        <v>0</v>
      </c>
      <c r="L732" s="42"/>
      <c r="M732" s="42"/>
      <c r="N732" s="42">
        <f t="shared" ref="N732:S732" si="821">N728-N731</f>
        <v>0</v>
      </c>
      <c r="O732" s="42">
        <f t="shared" si="821"/>
        <v>0</v>
      </c>
      <c r="P732" s="42">
        <f t="shared" si="821"/>
        <v>0</v>
      </c>
      <c r="Q732" s="42">
        <f t="shared" si="821"/>
        <v>0</v>
      </c>
      <c r="R732" s="42">
        <f t="shared" si="821"/>
        <v>0</v>
      </c>
      <c r="S732" s="42">
        <f t="shared" si="821"/>
        <v>0</v>
      </c>
      <c r="T732" s="42"/>
      <c r="U732" s="42"/>
      <c r="V732" s="42"/>
      <c r="W732" s="42"/>
    </row>
    <row r="733" spans="1:24" s="47" customFormat="1" ht="18" hidden="1" customHeight="1">
      <c r="A733" s="614"/>
      <c r="B733" s="578"/>
      <c r="C733" s="579"/>
      <c r="D733" s="202" t="str">
        <f>серпень!D656</f>
        <v>відхилення з наростаючим</v>
      </c>
      <c r="E733" s="42"/>
      <c r="F733" s="42">
        <f>F732</f>
        <v>0</v>
      </c>
      <c r="G733" s="42">
        <f>G732+F733</f>
        <v>0</v>
      </c>
      <c r="H733" s="42">
        <f>H732+G733</f>
        <v>0</v>
      </c>
      <c r="I733" s="42">
        <f>I732+H733</f>
        <v>0</v>
      </c>
      <c r="J733" s="42">
        <f>J732+I733</f>
        <v>0</v>
      </c>
      <c r="K733" s="42">
        <f>K732+J733</f>
        <v>0</v>
      </c>
      <c r="L733" s="42"/>
      <c r="M733" s="42"/>
      <c r="N733" s="42">
        <f>N732+K733</f>
        <v>0</v>
      </c>
      <c r="O733" s="42">
        <f>O732+N733</f>
        <v>0</v>
      </c>
      <c r="P733" s="42">
        <f>P732+O733</f>
        <v>0</v>
      </c>
      <c r="Q733" s="42">
        <f>Q732+P733</f>
        <v>0</v>
      </c>
      <c r="R733" s="42">
        <f>R732+Q733</f>
        <v>0</v>
      </c>
      <c r="S733" s="42">
        <f>S732+R733</f>
        <v>0</v>
      </c>
      <c r="T733" s="42"/>
      <c r="U733" s="42"/>
      <c r="V733" s="42"/>
      <c r="W733" s="42"/>
    </row>
    <row r="734" spans="1:24" s="47" customFormat="1" ht="18" hidden="1" customHeight="1">
      <c r="A734" s="614"/>
      <c r="B734" s="580" t="s">
        <v>124</v>
      </c>
      <c r="C734" s="575"/>
      <c r="D734" s="178" t="str">
        <f>серпень!D657</f>
        <v>факт. нат.п-ки 2023</v>
      </c>
      <c r="E734" s="11"/>
      <c r="F734" s="12"/>
      <c r="G734" s="12"/>
      <c r="H734" s="12"/>
      <c r="I734" s="12"/>
      <c r="J734" s="12"/>
      <c r="K734" s="12"/>
      <c r="L734" s="65">
        <f>SUM(F734:K734)</f>
        <v>0</v>
      </c>
      <c r="M734" s="65">
        <f>L734/6</f>
        <v>0</v>
      </c>
      <c r="N734" s="12"/>
      <c r="O734" s="12"/>
      <c r="P734" s="12"/>
      <c r="Q734" s="12"/>
      <c r="R734" s="12"/>
      <c r="S734" s="12"/>
      <c r="T734" s="65">
        <f>SUM(N734:S734)</f>
        <v>0</v>
      </c>
      <c r="U734" s="66">
        <f>T734+L734</f>
        <v>0</v>
      </c>
      <c r="V734" s="67"/>
      <c r="W734" s="38"/>
    </row>
    <row r="735" spans="1:24" s="47" customFormat="1" ht="18" hidden="1" customHeight="1">
      <c r="A735" s="614"/>
      <c r="B735" s="576"/>
      <c r="C735" s="577"/>
      <c r="D735" s="178" t="str">
        <f>серпень!D658</f>
        <v>факт. нат.п-ки 2024</v>
      </c>
      <c r="E735" s="11"/>
      <c r="F735" s="12"/>
      <c r="G735" s="12"/>
      <c r="H735" s="12"/>
      <c r="I735" s="12"/>
      <c r="J735" s="12"/>
      <c r="K735" s="12"/>
      <c r="L735" s="65">
        <f>SUM(F735:K735)</f>
        <v>0</v>
      </c>
      <c r="M735" s="65">
        <f>L735/6</f>
        <v>0</v>
      </c>
      <c r="N735" s="11"/>
      <c r="O735" s="11"/>
      <c r="P735" s="11"/>
      <c r="Q735" s="11"/>
      <c r="R735" s="11"/>
      <c r="S735" s="11"/>
      <c r="T735" s="65">
        <f>SUM(N735:S735)</f>
        <v>0</v>
      </c>
      <c r="U735" s="66">
        <f>T735+L735</f>
        <v>0</v>
      </c>
      <c r="V735" s="67"/>
      <c r="W735" s="38"/>
    </row>
    <row r="736" spans="1:24" s="47" customFormat="1" ht="18" hidden="1" customHeight="1">
      <c r="A736" s="614"/>
      <c r="B736" s="576"/>
      <c r="C736" s="577"/>
      <c r="D736" s="178" t="str">
        <f>серпень!D659</f>
        <v>факт. нат.п-ки 2025</v>
      </c>
      <c r="E736" s="11"/>
      <c r="F736" s="12"/>
      <c r="G736" s="12"/>
      <c r="H736" s="12"/>
      <c r="I736" s="12"/>
      <c r="J736" s="12"/>
      <c r="K736" s="12"/>
      <c r="L736" s="65">
        <f>SUM(F736:K736)</f>
        <v>0</v>
      </c>
      <c r="M736" s="65">
        <f>L736/6</f>
        <v>0</v>
      </c>
      <c r="N736" s="12"/>
      <c r="O736" s="12"/>
      <c r="P736" s="12"/>
      <c r="Q736" s="12"/>
      <c r="R736" s="12"/>
      <c r="S736" s="11"/>
      <c r="T736" s="65">
        <f>SUM(N736:S736)</f>
        <v>0</v>
      </c>
      <c r="U736" s="66">
        <f>T736+L736</f>
        <v>0</v>
      </c>
      <c r="V736" s="11"/>
      <c r="W736" s="38">
        <f>V736-U736</f>
        <v>0</v>
      </c>
    </row>
    <row r="737" spans="1:24" s="47" customFormat="1" ht="18" hidden="1" customHeight="1">
      <c r="A737" s="614"/>
      <c r="B737" s="576"/>
      <c r="C737" s="577"/>
      <c r="D737" s="187" t="str">
        <f>серпень!D660</f>
        <v>тариф, грн.</v>
      </c>
      <c r="E737" s="49"/>
      <c r="F737" s="49">
        <v>6900</v>
      </c>
      <c r="G737" s="49">
        <v>6900</v>
      </c>
      <c r="H737" s="49">
        <v>6900</v>
      </c>
      <c r="I737" s="49">
        <v>6900</v>
      </c>
      <c r="J737" s="49">
        <v>6900</v>
      </c>
      <c r="K737" s="49">
        <v>6900</v>
      </c>
      <c r="L737" s="49" t="e">
        <f>L738/L736*1000</f>
        <v>#DIV/0!</v>
      </c>
      <c r="M737" s="49" t="e">
        <f>M738/M736*1000</f>
        <v>#DIV/0!</v>
      </c>
      <c r="N737" s="49">
        <v>6900</v>
      </c>
      <c r="O737" s="49">
        <v>6900</v>
      </c>
      <c r="P737" s="49">
        <v>6900</v>
      </c>
      <c r="Q737" s="49">
        <v>6900</v>
      </c>
      <c r="R737" s="49">
        <v>6900</v>
      </c>
      <c r="S737" s="49">
        <v>6900</v>
      </c>
      <c r="T737" s="49" t="e">
        <f>T738/T736*1000</f>
        <v>#DIV/0!</v>
      </c>
      <c r="U737" s="49" t="e">
        <f>U738/U736*1000</f>
        <v>#DIV/0!</v>
      </c>
      <c r="V737" s="68" t="e">
        <f>V738/V736*1000</f>
        <v>#DIV/0!</v>
      </c>
      <c r="W737" s="14" t="e">
        <f>W738/W736*1000</f>
        <v>#DIV/0!</v>
      </c>
    </row>
    <row r="738" spans="1:24" s="47" customFormat="1" ht="18" hidden="1" customHeight="1">
      <c r="A738" s="614"/>
      <c r="B738" s="576"/>
      <c r="C738" s="577"/>
      <c r="D738" s="191" t="str">
        <f>серпень!D661</f>
        <v>сума, тис.грн.</v>
      </c>
      <c r="E738" s="52"/>
      <c r="F738" s="52">
        <f t="shared" ref="F738:K738" si="822">F736*F737/1000</f>
        <v>0</v>
      </c>
      <c r="G738" s="52">
        <f t="shared" si="822"/>
        <v>0</v>
      </c>
      <c r="H738" s="52">
        <f t="shared" si="822"/>
        <v>0</v>
      </c>
      <c r="I738" s="52">
        <f t="shared" si="822"/>
        <v>0</v>
      </c>
      <c r="J738" s="52">
        <f t="shared" si="822"/>
        <v>0</v>
      </c>
      <c r="K738" s="52">
        <f t="shared" si="822"/>
        <v>0</v>
      </c>
      <c r="L738" s="69">
        <f>SUM(F738:K738)</f>
        <v>0</v>
      </c>
      <c r="M738" s="69">
        <f>L738/6</f>
        <v>0</v>
      </c>
      <c r="N738" s="52">
        <f t="shared" ref="N738:S738" si="823">N736*N737/1000</f>
        <v>0</v>
      </c>
      <c r="O738" s="52">
        <f t="shared" si="823"/>
        <v>0</v>
      </c>
      <c r="P738" s="52">
        <f t="shared" si="823"/>
        <v>0</v>
      </c>
      <c r="Q738" s="52">
        <f t="shared" si="823"/>
        <v>0</v>
      </c>
      <c r="R738" s="52">
        <f t="shared" si="823"/>
        <v>0</v>
      </c>
      <c r="S738" s="52">
        <f t="shared" si="823"/>
        <v>0</v>
      </c>
      <c r="T738" s="69">
        <f>SUM(N738:S738)</f>
        <v>0</v>
      </c>
      <c r="U738" s="69">
        <f>T738+L738</f>
        <v>0</v>
      </c>
      <c r="V738" s="70">
        <f>V739+V740</f>
        <v>0</v>
      </c>
      <c r="W738" s="53">
        <f>V738-U738</f>
        <v>0</v>
      </c>
    </row>
    <row r="739" spans="1:24" s="47" customFormat="1" ht="18" hidden="1" customHeight="1">
      <c r="A739" s="614"/>
      <c r="B739" s="576"/>
      <c r="C739" s="577"/>
      <c r="D739" s="174" t="str">
        <f>серпень!D662</f>
        <v>дотація</v>
      </c>
      <c r="E739" s="56"/>
      <c r="F739" s="52"/>
      <c r="G739" s="52"/>
      <c r="H739" s="52"/>
      <c r="I739" s="52"/>
      <c r="J739" s="52"/>
      <c r="K739" s="52"/>
      <c r="L739" s="69">
        <f>SUM(F739:K739)</f>
        <v>0</v>
      </c>
      <c r="M739" s="69">
        <f>L739/6</f>
        <v>0</v>
      </c>
      <c r="N739" s="52"/>
      <c r="O739" s="52"/>
      <c r="P739" s="52"/>
      <c r="Q739" s="52"/>
      <c r="R739" s="52"/>
      <c r="S739" s="52"/>
      <c r="T739" s="69">
        <f>SUM(N739:S739)</f>
        <v>0</v>
      </c>
      <c r="U739" s="69">
        <f>T739+L739</f>
        <v>0</v>
      </c>
      <c r="V739" s="70">
        <v>0</v>
      </c>
      <c r="W739" s="53">
        <f>V739-U739</f>
        <v>0</v>
      </c>
    </row>
    <row r="740" spans="1:24" s="47" customFormat="1" ht="18" hidden="1" customHeight="1">
      <c r="A740" s="614"/>
      <c r="B740" s="576"/>
      <c r="C740" s="577"/>
      <c r="D740" s="174" t="str">
        <f>серпень!D663</f>
        <v>місцевий (план), тис.грн</v>
      </c>
      <c r="E740" s="56"/>
      <c r="F740" s="52"/>
      <c r="G740" s="52"/>
      <c r="H740" s="52"/>
      <c r="I740" s="52"/>
      <c r="J740" s="52"/>
      <c r="K740" s="52"/>
      <c r="L740" s="69">
        <f>SUM(F740:K740)</f>
        <v>0</v>
      </c>
      <c r="M740" s="69">
        <f>L740/6</f>
        <v>0</v>
      </c>
      <c r="N740" s="52"/>
      <c r="O740" s="52"/>
      <c r="P740" s="52"/>
      <c r="Q740" s="52"/>
      <c r="R740" s="52"/>
      <c r="S740" s="52"/>
      <c r="T740" s="69">
        <f>SUM(N740:S740)</f>
        <v>0</v>
      </c>
      <c r="U740" s="69">
        <f>T740+L740</f>
        <v>0</v>
      </c>
      <c r="V740" s="70"/>
      <c r="W740" s="53">
        <f>V740-U740</f>
        <v>0</v>
      </c>
    </row>
    <row r="741" spans="1:24" s="47" customFormat="1" ht="18" hidden="1" customHeight="1">
      <c r="A741" s="614"/>
      <c r="B741" s="576"/>
      <c r="C741" s="577"/>
      <c r="D741" s="178" t="str">
        <f>серпень!D664</f>
        <v>касові нат.п-ки 2025</v>
      </c>
      <c r="E741" s="11"/>
      <c r="F741" s="11"/>
      <c r="G741" s="11"/>
      <c r="H741" s="11"/>
      <c r="I741" s="11"/>
      <c r="J741" s="11"/>
      <c r="K741" s="11"/>
      <c r="L741" s="65">
        <f>SUM(F741:K741)</f>
        <v>0</v>
      </c>
      <c r="M741" s="65">
        <f>L741/6</f>
        <v>0</v>
      </c>
      <c r="N741" s="11"/>
      <c r="O741" s="11"/>
      <c r="P741" s="11"/>
      <c r="Q741" s="11"/>
      <c r="R741" s="11"/>
      <c r="S741" s="11"/>
      <c r="T741" s="65">
        <f>SUM(N741:S741)</f>
        <v>0</v>
      </c>
      <c r="U741" s="65">
        <f>T741+L741</f>
        <v>0</v>
      </c>
      <c r="V741" s="11">
        <f>V736</f>
        <v>0</v>
      </c>
      <c r="W741" s="38">
        <f>V741-U741</f>
        <v>0</v>
      </c>
      <c r="X741" s="47">
        <f>U736-U741</f>
        <v>0</v>
      </c>
    </row>
    <row r="742" spans="1:24" s="47" customFormat="1" ht="18" hidden="1" customHeight="1">
      <c r="A742" s="614"/>
      <c r="B742" s="576"/>
      <c r="C742" s="577"/>
      <c r="D742" s="187" t="str">
        <f>серпень!D665</f>
        <v>тариф, грн.</v>
      </c>
      <c r="E742" s="49" t="e">
        <f>E743/E741*1000</f>
        <v>#DIV/0!</v>
      </c>
      <c r="F742" s="49">
        <v>6900</v>
      </c>
      <c r="G742" s="49">
        <v>6900</v>
      </c>
      <c r="H742" s="49">
        <v>6900</v>
      </c>
      <c r="I742" s="49">
        <v>6900</v>
      </c>
      <c r="J742" s="49">
        <v>6900</v>
      </c>
      <c r="K742" s="49">
        <v>6900</v>
      </c>
      <c r="L742" s="49" t="e">
        <f>L743/L741*1000</f>
        <v>#DIV/0!</v>
      </c>
      <c r="M742" s="49" t="e">
        <f>M743/M741*1000</f>
        <v>#DIV/0!</v>
      </c>
      <c r="N742" s="49">
        <v>6900</v>
      </c>
      <c r="O742" s="49">
        <v>6900</v>
      </c>
      <c r="P742" s="49">
        <v>6900</v>
      </c>
      <c r="Q742" s="49">
        <v>6900</v>
      </c>
      <c r="R742" s="49">
        <v>6900</v>
      </c>
      <c r="S742" s="49">
        <v>6900</v>
      </c>
      <c r="T742" s="49" t="e">
        <f>T743/T741*1000</f>
        <v>#DIV/0!</v>
      </c>
      <c r="U742" s="49" t="e">
        <f>U743/U741*1000</f>
        <v>#DIV/0!</v>
      </c>
      <c r="V742" s="68" t="e">
        <f>V743/V741*1000</f>
        <v>#DIV/0!</v>
      </c>
      <c r="W742" s="14" t="e">
        <f>W743/W741*1000</f>
        <v>#DIV/0!</v>
      </c>
      <c r="X742" s="59"/>
    </row>
    <row r="743" spans="1:24" s="47" customFormat="1" ht="18" hidden="1" customHeight="1">
      <c r="A743" s="614"/>
      <c r="B743" s="576"/>
      <c r="C743" s="577"/>
      <c r="D743" s="198" t="str">
        <f>серпень!D666</f>
        <v>касові видатки, тис.грн.</v>
      </c>
      <c r="E743" s="71"/>
      <c r="F743" s="61">
        <f t="shared" ref="F743:K743" si="824">F741*F742/1000</f>
        <v>0</v>
      </c>
      <c r="G743" s="61">
        <f t="shared" si="824"/>
        <v>0</v>
      </c>
      <c r="H743" s="61">
        <f t="shared" si="824"/>
        <v>0</v>
      </c>
      <c r="I743" s="61">
        <f t="shared" si="824"/>
        <v>0</v>
      </c>
      <c r="J743" s="61">
        <f t="shared" si="824"/>
        <v>0</v>
      </c>
      <c r="K743" s="61">
        <f t="shared" si="824"/>
        <v>0</v>
      </c>
      <c r="L743" s="61">
        <f>SUM(F743:K743)</f>
        <v>0</v>
      </c>
      <c r="M743" s="61">
        <f>L743/6</f>
        <v>0</v>
      </c>
      <c r="N743" s="61">
        <f t="shared" ref="N743:S743" si="825">N741*N742/1000</f>
        <v>0</v>
      </c>
      <c r="O743" s="61">
        <f t="shared" si="825"/>
        <v>0</v>
      </c>
      <c r="P743" s="61">
        <f t="shared" si="825"/>
        <v>0</v>
      </c>
      <c r="Q743" s="61">
        <f t="shared" si="825"/>
        <v>0</v>
      </c>
      <c r="R743" s="61">
        <f t="shared" si="825"/>
        <v>0</v>
      </c>
      <c r="S743" s="61">
        <f t="shared" si="825"/>
        <v>0</v>
      </c>
      <c r="T743" s="61">
        <f>SUM(N743:S743)</f>
        <v>0</v>
      </c>
      <c r="U743" s="61">
        <f>T743+L743</f>
        <v>0</v>
      </c>
      <c r="V743" s="61">
        <f>V738</f>
        <v>0</v>
      </c>
      <c r="W743" s="72">
        <f>V743-U743</f>
        <v>0</v>
      </c>
      <c r="X743" s="63">
        <f>U738-U743</f>
        <v>0</v>
      </c>
    </row>
    <row r="744" spans="1:24" s="47" customFormat="1" ht="18" hidden="1" customHeight="1">
      <c r="A744" s="614"/>
      <c r="B744" s="576"/>
      <c r="C744" s="577"/>
      <c r="D744" s="201" t="str">
        <f>серпень!D667</f>
        <v>дотація</v>
      </c>
      <c r="E744" s="71"/>
      <c r="F744" s="61"/>
      <c r="G744" s="61"/>
      <c r="H744" s="61"/>
      <c r="I744" s="61"/>
      <c r="J744" s="61"/>
      <c r="K744" s="61"/>
      <c r="L744" s="61">
        <f>SUM(F744:K744)</f>
        <v>0</v>
      </c>
      <c r="M744" s="61">
        <f>L744/6</f>
        <v>0</v>
      </c>
      <c r="N744" s="61"/>
      <c r="O744" s="61"/>
      <c r="P744" s="61"/>
      <c r="Q744" s="61"/>
      <c r="R744" s="61"/>
      <c r="S744" s="61"/>
      <c r="T744" s="61">
        <f>SUM(N744:S744)</f>
        <v>0</v>
      </c>
      <c r="U744" s="61">
        <f>T744+L744</f>
        <v>0</v>
      </c>
      <c r="V744" s="61">
        <f>V739</f>
        <v>0</v>
      </c>
      <c r="W744" s="72">
        <f>V744-U744</f>
        <v>0</v>
      </c>
      <c r="X744" s="63">
        <f>U739-U744</f>
        <v>0</v>
      </c>
    </row>
    <row r="745" spans="1:24" s="47" customFormat="1" ht="18" hidden="1" customHeight="1">
      <c r="A745" s="614"/>
      <c r="B745" s="576"/>
      <c r="C745" s="577"/>
      <c r="D745" s="201" t="str">
        <f>серпень!D668</f>
        <v xml:space="preserve">місцевий </v>
      </c>
      <c r="E745" s="71"/>
      <c r="F745" s="61">
        <f t="shared" ref="F745:K745" si="826">F743-F744</f>
        <v>0</v>
      </c>
      <c r="G745" s="61">
        <f t="shared" si="826"/>
        <v>0</v>
      </c>
      <c r="H745" s="61">
        <f t="shared" si="826"/>
        <v>0</v>
      </c>
      <c r="I745" s="61">
        <f t="shared" si="826"/>
        <v>0</v>
      </c>
      <c r="J745" s="61">
        <f t="shared" si="826"/>
        <v>0</v>
      </c>
      <c r="K745" s="61">
        <f t="shared" si="826"/>
        <v>0</v>
      </c>
      <c r="L745" s="61">
        <f>SUM(F745:K745)</f>
        <v>0</v>
      </c>
      <c r="M745" s="61">
        <f>L745/6</f>
        <v>0</v>
      </c>
      <c r="N745" s="61">
        <f t="shared" ref="N745:S745" si="827">N743-N744</f>
        <v>0</v>
      </c>
      <c r="O745" s="61">
        <f t="shared" si="827"/>
        <v>0</v>
      </c>
      <c r="P745" s="61">
        <f t="shared" si="827"/>
        <v>0</v>
      </c>
      <c r="Q745" s="61">
        <f t="shared" si="827"/>
        <v>0</v>
      </c>
      <c r="R745" s="61">
        <f t="shared" si="827"/>
        <v>0</v>
      </c>
      <c r="S745" s="61">
        <f t="shared" si="827"/>
        <v>0</v>
      </c>
      <c r="T745" s="61">
        <f>SUM(N745:S745)</f>
        <v>0</v>
      </c>
      <c r="U745" s="61">
        <f>T745+L745</f>
        <v>0</v>
      </c>
      <c r="V745" s="61">
        <f>V740</f>
        <v>0</v>
      </c>
      <c r="W745" s="72">
        <f>V745-U745</f>
        <v>0</v>
      </c>
      <c r="X745" s="63">
        <f>U740-U745</f>
        <v>0</v>
      </c>
    </row>
    <row r="746" spans="1:24" s="47" customFormat="1" ht="18" hidden="1" customHeight="1">
      <c r="A746" s="614"/>
      <c r="B746" s="576"/>
      <c r="C746" s="577"/>
      <c r="D746" s="202" t="str">
        <f>серпень!D669</f>
        <v>план</v>
      </c>
      <c r="E746" s="42"/>
      <c r="F746" s="42">
        <f t="shared" ref="F746:K746" si="828">F740</f>
        <v>0</v>
      </c>
      <c r="G746" s="42">
        <f t="shared" si="828"/>
        <v>0</v>
      </c>
      <c r="H746" s="42">
        <f t="shared" si="828"/>
        <v>0</v>
      </c>
      <c r="I746" s="42">
        <f t="shared" si="828"/>
        <v>0</v>
      </c>
      <c r="J746" s="42">
        <f t="shared" si="828"/>
        <v>0</v>
      </c>
      <c r="K746" s="42">
        <f t="shared" si="828"/>
        <v>0</v>
      </c>
      <c r="L746" s="42">
        <f>SUM(F746:K746)</f>
        <v>0</v>
      </c>
      <c r="M746" s="42">
        <f>L746/6</f>
        <v>0</v>
      </c>
      <c r="N746" s="42">
        <f t="shared" ref="N746:S746" si="829">N740+N739</f>
        <v>0</v>
      </c>
      <c r="O746" s="42">
        <f t="shared" si="829"/>
        <v>0</v>
      </c>
      <c r="P746" s="42">
        <f t="shared" si="829"/>
        <v>0</v>
      </c>
      <c r="Q746" s="42">
        <f t="shared" si="829"/>
        <v>0</v>
      </c>
      <c r="R746" s="42">
        <f t="shared" si="829"/>
        <v>0</v>
      </c>
      <c r="S746" s="42">
        <f t="shared" si="829"/>
        <v>0</v>
      </c>
      <c r="T746" s="42">
        <f>SUM(N746:S746)</f>
        <v>0</v>
      </c>
      <c r="U746" s="42">
        <f>T746+L746</f>
        <v>0</v>
      </c>
      <c r="V746" s="42">
        <f>V743</f>
        <v>0</v>
      </c>
      <c r="W746" s="42">
        <f>V746-U746</f>
        <v>0</v>
      </c>
    </row>
    <row r="747" spans="1:24" s="47" customFormat="1" ht="18" hidden="1" customHeight="1">
      <c r="A747" s="614"/>
      <c r="B747" s="576"/>
      <c r="C747" s="577"/>
      <c r="D747" s="202" t="str">
        <f>серпень!D670</f>
        <v xml:space="preserve">відхилення </v>
      </c>
      <c r="E747" s="42"/>
      <c r="F747" s="42">
        <f t="shared" ref="F747:K747" si="830">F743-F746</f>
        <v>0</v>
      </c>
      <c r="G747" s="42">
        <f t="shared" si="830"/>
        <v>0</v>
      </c>
      <c r="H747" s="42">
        <f t="shared" si="830"/>
        <v>0</v>
      </c>
      <c r="I747" s="42">
        <f t="shared" si="830"/>
        <v>0</v>
      </c>
      <c r="J747" s="42">
        <f t="shared" si="830"/>
        <v>0</v>
      </c>
      <c r="K747" s="42">
        <f t="shared" si="830"/>
        <v>0</v>
      </c>
      <c r="L747" s="42"/>
      <c r="M747" s="42"/>
      <c r="N747" s="42">
        <f t="shared" ref="N747:S747" si="831">N743-N746</f>
        <v>0</v>
      </c>
      <c r="O747" s="42">
        <f t="shared" si="831"/>
        <v>0</v>
      </c>
      <c r="P747" s="42">
        <f t="shared" si="831"/>
        <v>0</v>
      </c>
      <c r="Q747" s="42">
        <f t="shared" si="831"/>
        <v>0</v>
      </c>
      <c r="R747" s="42">
        <f t="shared" si="831"/>
        <v>0</v>
      </c>
      <c r="S747" s="42">
        <f t="shared" si="831"/>
        <v>0</v>
      </c>
      <c r="T747" s="42"/>
      <c r="U747" s="42"/>
      <c r="V747" s="42"/>
      <c r="W747" s="42"/>
    </row>
    <row r="748" spans="1:24" s="47" customFormat="1" ht="18" hidden="1" customHeight="1">
      <c r="A748" s="615"/>
      <c r="B748" s="578"/>
      <c r="C748" s="579"/>
      <c r="D748" s="202" t="str">
        <f>серпень!D671</f>
        <v>відхилення з наростаючим</v>
      </c>
      <c r="E748" s="42"/>
      <c r="F748" s="42">
        <f>F747</f>
        <v>0</v>
      </c>
      <c r="G748" s="42">
        <f>G747+F748</f>
        <v>0</v>
      </c>
      <c r="H748" s="42">
        <f>H747+G748</f>
        <v>0</v>
      </c>
      <c r="I748" s="42">
        <f>I747+H748</f>
        <v>0</v>
      </c>
      <c r="J748" s="42">
        <f>J747+I748</f>
        <v>0</v>
      </c>
      <c r="K748" s="42">
        <f>K747+J748</f>
        <v>0</v>
      </c>
      <c r="L748" s="42"/>
      <c r="M748" s="42"/>
      <c r="N748" s="42">
        <f>N747+K748</f>
        <v>0</v>
      </c>
      <c r="O748" s="42">
        <f>O747+N748</f>
        <v>0</v>
      </c>
      <c r="P748" s="42">
        <f>P747+O748</f>
        <v>0</v>
      </c>
      <c r="Q748" s="42">
        <f>Q747+P748</f>
        <v>0</v>
      </c>
      <c r="R748" s="42">
        <f>R747+Q748</f>
        <v>0</v>
      </c>
      <c r="S748" s="42">
        <f>S747+R748</f>
        <v>0</v>
      </c>
      <c r="T748" s="42"/>
      <c r="U748" s="42"/>
      <c r="V748" s="42"/>
      <c r="W748" s="42"/>
    </row>
    <row r="749" spans="1:24">
      <c r="L749" s="15"/>
      <c r="M749" s="15"/>
      <c r="N749" s="15"/>
      <c r="T749" s="15"/>
      <c r="U749" s="15"/>
    </row>
    <row r="750" spans="1:24">
      <c r="L750" s="15"/>
      <c r="M750" s="15"/>
      <c r="N750" s="15"/>
      <c r="T750" s="15"/>
      <c r="U750" s="15"/>
    </row>
    <row r="751" spans="1:24">
      <c r="L751" s="15"/>
      <c r="M751" s="15"/>
      <c r="N751" s="15"/>
      <c r="T751" s="15"/>
      <c r="U751" s="15"/>
    </row>
    <row r="752" spans="1:24">
      <c r="L752" s="15"/>
      <c r="M752" s="15"/>
      <c r="N752" s="15"/>
      <c r="T752" s="15"/>
      <c r="U752" s="15"/>
    </row>
    <row r="753" spans="12:21">
      <c r="L753" s="15"/>
      <c r="M753" s="15"/>
      <c r="N753" s="15"/>
      <c r="T753" s="15"/>
      <c r="U753" s="15"/>
    </row>
    <row r="754" spans="12:21">
      <c r="L754" s="15"/>
      <c r="M754" s="15"/>
      <c r="N754" s="15"/>
      <c r="T754" s="15"/>
      <c r="U754" s="15"/>
    </row>
    <row r="755" spans="12:21">
      <c r="L755" s="15"/>
      <c r="M755" s="15"/>
      <c r="N755" s="15"/>
      <c r="T755" s="15"/>
      <c r="U755" s="15"/>
    </row>
    <row r="756" spans="12:21">
      <c r="L756" s="15"/>
      <c r="M756" s="15"/>
      <c r="N756" s="15"/>
      <c r="T756" s="15"/>
      <c r="U756" s="15"/>
    </row>
    <row r="757" spans="12:21">
      <c r="L757" s="15"/>
      <c r="M757" s="15"/>
      <c r="N757" s="15"/>
      <c r="T757" s="15"/>
      <c r="U757" s="15"/>
    </row>
    <row r="758" spans="12:21">
      <c r="L758" s="15"/>
      <c r="M758" s="15"/>
      <c r="N758" s="15"/>
      <c r="T758" s="15"/>
      <c r="U758" s="15"/>
    </row>
    <row r="759" spans="12:21">
      <c r="L759" s="15"/>
      <c r="M759" s="15"/>
      <c r="N759" s="15"/>
      <c r="T759" s="15"/>
      <c r="U759" s="15"/>
    </row>
    <row r="760" spans="12:21">
      <c r="L760" s="15"/>
      <c r="M760" s="15"/>
      <c r="N760" s="15"/>
      <c r="T760" s="15"/>
      <c r="U760" s="15"/>
    </row>
    <row r="761" spans="12:21">
      <c r="L761" s="15"/>
      <c r="M761" s="15"/>
      <c r="N761" s="15"/>
      <c r="T761" s="15"/>
      <c r="U761" s="15"/>
    </row>
    <row r="762" spans="12:21">
      <c r="L762" s="15"/>
      <c r="M762" s="15"/>
      <c r="N762" s="15"/>
      <c r="T762" s="15"/>
      <c r="U762" s="15"/>
    </row>
    <row r="763" spans="12:21">
      <c r="L763" s="15"/>
      <c r="M763" s="15"/>
      <c r="N763" s="15"/>
      <c r="T763" s="15"/>
      <c r="U763" s="15"/>
    </row>
    <row r="764" spans="12:21">
      <c r="L764" s="15"/>
      <c r="M764" s="15"/>
      <c r="N764" s="15"/>
      <c r="T764" s="15"/>
      <c r="U764" s="15"/>
    </row>
    <row r="765" spans="12:21">
      <c r="L765" s="15"/>
      <c r="M765" s="15"/>
      <c r="N765" s="15"/>
      <c r="T765" s="15"/>
      <c r="U765" s="15"/>
    </row>
    <row r="766" spans="12:21">
      <c r="L766" s="15"/>
      <c r="M766" s="15"/>
      <c r="N766" s="15"/>
      <c r="T766" s="15"/>
      <c r="U766" s="15"/>
    </row>
    <row r="767" spans="12:21">
      <c r="L767" s="15"/>
      <c r="M767" s="15"/>
      <c r="N767" s="15"/>
      <c r="T767" s="15"/>
      <c r="U767" s="15"/>
    </row>
    <row r="768" spans="12:21">
      <c r="L768" s="15"/>
      <c r="M768" s="15"/>
      <c r="N768" s="15"/>
      <c r="T768" s="15"/>
      <c r="U768" s="15"/>
    </row>
    <row r="769" spans="12:21">
      <c r="L769" s="15"/>
      <c r="M769" s="15"/>
      <c r="N769" s="15"/>
      <c r="T769" s="15"/>
      <c r="U769" s="15"/>
    </row>
    <row r="770" spans="12:21">
      <c r="L770" s="15"/>
      <c r="M770" s="15"/>
      <c r="N770" s="15"/>
      <c r="T770" s="15"/>
      <c r="U770" s="15"/>
    </row>
    <row r="771" spans="12:21">
      <c r="L771" s="15"/>
      <c r="M771" s="15"/>
      <c r="N771" s="15"/>
      <c r="T771" s="15"/>
      <c r="U771" s="15"/>
    </row>
    <row r="772" spans="12:21">
      <c r="L772" s="15"/>
      <c r="M772" s="15"/>
      <c r="N772" s="15"/>
      <c r="T772" s="15"/>
      <c r="U772" s="15"/>
    </row>
    <row r="773" spans="12:21">
      <c r="L773" s="15"/>
      <c r="M773" s="15"/>
      <c r="N773" s="15"/>
      <c r="T773" s="15"/>
      <c r="U773" s="15"/>
    </row>
    <row r="774" spans="12:21">
      <c r="L774" s="15"/>
      <c r="M774" s="15"/>
      <c r="N774" s="15"/>
      <c r="T774" s="15"/>
      <c r="U774" s="15"/>
    </row>
    <row r="775" spans="12:21">
      <c r="L775" s="15"/>
      <c r="M775" s="15"/>
      <c r="N775" s="15"/>
      <c r="T775" s="15"/>
      <c r="U775" s="15"/>
    </row>
    <row r="776" spans="12:21">
      <c r="L776" s="15"/>
      <c r="M776" s="15"/>
      <c r="N776" s="15"/>
      <c r="T776" s="15"/>
      <c r="U776" s="15"/>
    </row>
    <row r="777" spans="12:21">
      <c r="L777" s="15"/>
      <c r="M777" s="15"/>
      <c r="N777" s="15"/>
      <c r="T777" s="15"/>
      <c r="U777" s="15"/>
    </row>
    <row r="778" spans="12:21">
      <c r="L778" s="15"/>
      <c r="M778" s="15"/>
      <c r="N778" s="15"/>
      <c r="T778" s="15"/>
      <c r="U778" s="15"/>
    </row>
    <row r="779" spans="12:21">
      <c r="L779" s="15"/>
      <c r="M779" s="15"/>
      <c r="N779" s="15"/>
      <c r="T779" s="15"/>
      <c r="U779" s="15"/>
    </row>
    <row r="780" spans="12:21">
      <c r="L780" s="15"/>
      <c r="M780" s="15"/>
      <c r="N780" s="15"/>
      <c r="T780" s="15"/>
      <c r="U780" s="15"/>
    </row>
    <row r="781" spans="12:21">
      <c r="L781" s="15"/>
      <c r="M781" s="15"/>
      <c r="N781" s="15"/>
      <c r="T781" s="15"/>
      <c r="U781" s="15"/>
    </row>
    <row r="782" spans="12:21">
      <c r="L782" s="15"/>
      <c r="M782" s="15"/>
      <c r="N782" s="15"/>
      <c r="T782" s="15"/>
      <c r="U782" s="15"/>
    </row>
    <row r="783" spans="12:21">
      <c r="L783" s="15"/>
      <c r="M783" s="15"/>
      <c r="N783" s="15"/>
      <c r="T783" s="15"/>
      <c r="U783" s="15"/>
    </row>
    <row r="784" spans="12:21">
      <c r="L784" s="15"/>
      <c r="M784" s="15"/>
      <c r="N784" s="15"/>
      <c r="T784" s="15"/>
      <c r="U784" s="15"/>
    </row>
    <row r="785" spans="12:21">
      <c r="L785" s="15"/>
      <c r="M785" s="15"/>
      <c r="N785" s="15"/>
      <c r="T785" s="15"/>
      <c r="U785" s="15"/>
    </row>
    <row r="786" spans="12:21">
      <c r="L786" s="15"/>
      <c r="M786" s="15"/>
      <c r="N786" s="15"/>
      <c r="T786" s="15"/>
      <c r="U786" s="15"/>
    </row>
    <row r="787" spans="12:21">
      <c r="L787" s="15"/>
      <c r="M787" s="15"/>
      <c r="N787" s="15"/>
      <c r="T787" s="15"/>
      <c r="U787" s="15"/>
    </row>
    <row r="788" spans="12:21">
      <c r="L788" s="15"/>
      <c r="M788" s="15"/>
      <c r="N788" s="15"/>
      <c r="T788" s="15"/>
      <c r="U788" s="15"/>
    </row>
    <row r="789" spans="12:21">
      <c r="L789" s="15"/>
      <c r="M789" s="15"/>
      <c r="N789" s="15"/>
      <c r="T789" s="15"/>
      <c r="U789" s="15"/>
    </row>
    <row r="790" spans="12:21">
      <c r="L790" s="15"/>
      <c r="M790" s="15"/>
      <c r="N790" s="15"/>
      <c r="T790" s="15"/>
      <c r="U790" s="15"/>
    </row>
    <row r="791" spans="12:21">
      <c r="L791" s="15"/>
      <c r="M791" s="15"/>
      <c r="N791" s="15"/>
      <c r="T791" s="15"/>
      <c r="U791" s="15"/>
    </row>
    <row r="792" spans="12:21">
      <c r="L792" s="15"/>
      <c r="M792" s="15"/>
      <c r="N792" s="15"/>
      <c r="T792" s="15"/>
      <c r="U792" s="15"/>
    </row>
    <row r="793" spans="12:21">
      <c r="L793" s="15"/>
      <c r="M793" s="15"/>
      <c r="N793" s="15"/>
      <c r="T793" s="15"/>
      <c r="U793" s="15"/>
    </row>
    <row r="794" spans="12:21">
      <c r="L794" s="15"/>
      <c r="M794" s="15"/>
      <c r="N794" s="15"/>
      <c r="T794" s="15"/>
      <c r="U794" s="15"/>
    </row>
    <row r="795" spans="12:21">
      <c r="L795" s="15"/>
      <c r="M795" s="15"/>
      <c r="N795" s="15"/>
      <c r="T795" s="15"/>
      <c r="U795" s="15"/>
    </row>
    <row r="796" spans="12:21">
      <c r="L796" s="15"/>
      <c r="M796" s="15"/>
      <c r="N796" s="15"/>
      <c r="T796" s="15"/>
      <c r="U796" s="15"/>
    </row>
    <row r="797" spans="12:21">
      <c r="L797" s="15"/>
      <c r="M797" s="15"/>
      <c r="N797" s="15"/>
      <c r="T797" s="15"/>
      <c r="U797" s="15"/>
    </row>
    <row r="798" spans="12:21">
      <c r="L798" s="15"/>
      <c r="M798" s="15"/>
      <c r="N798" s="15"/>
      <c r="T798" s="15"/>
      <c r="U798" s="15"/>
    </row>
    <row r="799" spans="12:21">
      <c r="L799" s="15"/>
      <c r="M799" s="15"/>
      <c r="N799" s="15"/>
      <c r="T799" s="15"/>
      <c r="U799" s="15"/>
    </row>
    <row r="800" spans="12:21">
      <c r="L800" s="15"/>
      <c r="M800" s="15"/>
      <c r="N800" s="15"/>
      <c r="T800" s="15"/>
      <c r="U800" s="15"/>
    </row>
    <row r="801" spans="12:21">
      <c r="L801" s="15"/>
      <c r="M801" s="15"/>
      <c r="N801" s="15"/>
      <c r="T801" s="15"/>
      <c r="U801" s="15"/>
    </row>
    <row r="802" spans="12:21">
      <c r="L802" s="15"/>
      <c r="M802" s="15"/>
      <c r="N802" s="15"/>
      <c r="T802" s="15"/>
      <c r="U802" s="15"/>
    </row>
    <row r="803" spans="12:21">
      <c r="L803" s="15"/>
      <c r="M803" s="15"/>
      <c r="N803" s="15"/>
      <c r="T803" s="15"/>
      <c r="U803" s="15"/>
    </row>
    <row r="804" spans="12:21">
      <c r="L804" s="15"/>
      <c r="M804" s="15"/>
      <c r="N804" s="15"/>
      <c r="T804" s="15"/>
      <c r="U804" s="15"/>
    </row>
    <row r="805" spans="12:21">
      <c r="L805" s="15"/>
      <c r="M805" s="15"/>
      <c r="N805" s="15"/>
      <c r="T805" s="15"/>
      <c r="U805" s="15"/>
    </row>
    <row r="806" spans="12:21">
      <c r="L806" s="15"/>
      <c r="M806" s="15"/>
      <c r="N806" s="15"/>
      <c r="T806" s="15"/>
      <c r="U806" s="15"/>
    </row>
    <row r="807" spans="12:21">
      <c r="L807" s="15"/>
      <c r="M807" s="15"/>
      <c r="N807" s="15"/>
      <c r="T807" s="15"/>
      <c r="U807" s="15"/>
    </row>
    <row r="808" spans="12:21">
      <c r="L808" s="15"/>
      <c r="M808" s="15"/>
      <c r="N808" s="15"/>
      <c r="T808" s="15"/>
      <c r="U808" s="15"/>
    </row>
    <row r="809" spans="12:21">
      <c r="L809" s="15"/>
      <c r="M809" s="15"/>
      <c r="N809" s="15"/>
      <c r="T809" s="15"/>
      <c r="U809" s="15"/>
    </row>
    <row r="810" spans="12:21">
      <c r="L810" s="15"/>
      <c r="M810" s="15"/>
      <c r="N810" s="15"/>
      <c r="T810" s="15"/>
      <c r="U810" s="15"/>
    </row>
    <row r="811" spans="12:21">
      <c r="L811" s="15"/>
      <c r="M811" s="15"/>
      <c r="N811" s="15"/>
      <c r="T811" s="15"/>
      <c r="U811" s="15"/>
    </row>
    <row r="812" spans="12:21">
      <c r="L812" s="15"/>
      <c r="M812" s="15"/>
      <c r="N812" s="15"/>
      <c r="T812" s="15"/>
      <c r="U812" s="15"/>
    </row>
    <row r="813" spans="12:21">
      <c r="L813" s="15"/>
      <c r="M813" s="15"/>
      <c r="N813" s="15"/>
      <c r="T813" s="15"/>
      <c r="U813" s="15"/>
    </row>
    <row r="814" spans="12:21">
      <c r="L814" s="15"/>
      <c r="M814" s="15"/>
      <c r="N814" s="15"/>
      <c r="T814" s="15"/>
      <c r="U814" s="15"/>
    </row>
    <row r="815" spans="12:21">
      <c r="L815" s="15"/>
      <c r="M815" s="15"/>
      <c r="N815" s="15"/>
      <c r="T815" s="15"/>
      <c r="U815" s="15"/>
    </row>
    <row r="816" spans="12:21">
      <c r="L816" s="15"/>
      <c r="M816" s="15"/>
      <c r="N816" s="15"/>
      <c r="T816" s="15"/>
      <c r="U816" s="15"/>
    </row>
    <row r="817" spans="12:21">
      <c r="L817" s="15"/>
      <c r="M817" s="15"/>
      <c r="N817" s="15"/>
      <c r="T817" s="15"/>
      <c r="U817" s="15"/>
    </row>
    <row r="818" spans="12:21">
      <c r="L818" s="15"/>
      <c r="M818" s="15"/>
      <c r="N818" s="15"/>
      <c r="T818" s="15"/>
      <c r="U818" s="15"/>
    </row>
    <row r="819" spans="12:21">
      <c r="L819" s="15"/>
      <c r="M819" s="15"/>
      <c r="N819" s="15"/>
      <c r="T819" s="15"/>
      <c r="U819" s="15"/>
    </row>
    <row r="820" spans="12:21">
      <c r="L820" s="15"/>
      <c r="M820" s="15"/>
      <c r="N820" s="15"/>
      <c r="T820" s="15"/>
      <c r="U820" s="15"/>
    </row>
    <row r="821" spans="12:21">
      <c r="L821" s="15"/>
      <c r="M821" s="15"/>
      <c r="N821" s="15"/>
      <c r="T821" s="15"/>
      <c r="U821" s="15"/>
    </row>
    <row r="822" spans="12:21">
      <c r="L822" s="15"/>
      <c r="M822" s="15"/>
      <c r="N822" s="15"/>
      <c r="T822" s="15"/>
      <c r="U822" s="15"/>
    </row>
    <row r="823" spans="12:21">
      <c r="L823" s="15"/>
      <c r="M823" s="15"/>
      <c r="N823" s="15"/>
      <c r="T823" s="15"/>
      <c r="U823" s="15"/>
    </row>
    <row r="824" spans="12:21">
      <c r="L824" s="15"/>
      <c r="M824" s="15"/>
      <c r="N824" s="15"/>
      <c r="T824" s="15"/>
      <c r="U824" s="15"/>
    </row>
    <row r="825" spans="12:21">
      <c r="L825" s="15"/>
      <c r="M825" s="15"/>
      <c r="N825" s="15"/>
      <c r="T825" s="15"/>
      <c r="U825" s="15"/>
    </row>
    <row r="826" spans="12:21">
      <c r="L826" s="15"/>
      <c r="M826" s="15"/>
      <c r="N826" s="15"/>
      <c r="T826" s="15"/>
      <c r="U826" s="15"/>
    </row>
    <row r="827" spans="12:21">
      <c r="L827" s="15"/>
      <c r="M827" s="15"/>
      <c r="N827" s="15"/>
      <c r="T827" s="15"/>
      <c r="U827" s="15"/>
    </row>
    <row r="828" spans="12:21">
      <c r="L828" s="15"/>
      <c r="M828" s="15"/>
      <c r="N828" s="15"/>
      <c r="T828" s="15"/>
      <c r="U828" s="15"/>
    </row>
    <row r="829" spans="12:21">
      <c r="L829" s="15"/>
      <c r="M829" s="15"/>
      <c r="N829" s="15"/>
      <c r="T829" s="15"/>
      <c r="U829" s="15"/>
    </row>
    <row r="830" spans="12:21">
      <c r="L830" s="15"/>
      <c r="M830" s="15"/>
      <c r="N830" s="15"/>
      <c r="T830" s="15"/>
      <c r="U830" s="15"/>
    </row>
    <row r="831" spans="12:21">
      <c r="L831" s="15"/>
      <c r="M831" s="15"/>
      <c r="N831" s="15"/>
      <c r="T831" s="15"/>
      <c r="U831" s="15"/>
    </row>
    <row r="832" spans="12:21">
      <c r="L832" s="15"/>
      <c r="M832" s="15"/>
      <c r="N832" s="15"/>
      <c r="T832" s="15"/>
      <c r="U832" s="15"/>
    </row>
    <row r="833" spans="12:21">
      <c r="L833" s="15"/>
      <c r="M833" s="15"/>
      <c r="N833" s="15"/>
      <c r="T833" s="15"/>
      <c r="U833" s="15"/>
    </row>
    <row r="834" spans="12:21">
      <c r="L834" s="15"/>
      <c r="M834" s="15"/>
      <c r="N834" s="15"/>
      <c r="T834" s="15"/>
      <c r="U834" s="15"/>
    </row>
    <row r="835" spans="12:21">
      <c r="L835" s="15"/>
      <c r="M835" s="15"/>
      <c r="N835" s="15"/>
      <c r="T835" s="15"/>
      <c r="U835" s="15"/>
    </row>
    <row r="836" spans="12:21">
      <c r="L836" s="15"/>
      <c r="M836" s="15"/>
      <c r="N836" s="15"/>
      <c r="T836" s="15"/>
      <c r="U836" s="15"/>
    </row>
    <row r="837" spans="12:21">
      <c r="L837" s="15"/>
      <c r="M837" s="15"/>
      <c r="N837" s="15"/>
      <c r="T837" s="15"/>
      <c r="U837" s="15"/>
    </row>
    <row r="838" spans="12:21">
      <c r="L838" s="15"/>
      <c r="M838" s="15"/>
      <c r="N838" s="15"/>
      <c r="T838" s="15"/>
      <c r="U838" s="15"/>
    </row>
    <row r="839" spans="12:21">
      <c r="L839" s="15"/>
      <c r="M839" s="15"/>
      <c r="N839" s="15"/>
      <c r="T839" s="15"/>
      <c r="U839" s="15"/>
    </row>
    <row r="840" spans="12:21">
      <c r="L840" s="15"/>
      <c r="M840" s="15"/>
      <c r="N840" s="15"/>
      <c r="T840" s="15"/>
      <c r="U840" s="15"/>
    </row>
    <row r="841" spans="12:21">
      <c r="L841" s="15"/>
      <c r="M841" s="15"/>
      <c r="N841" s="15"/>
      <c r="T841" s="15"/>
      <c r="U841" s="15"/>
    </row>
    <row r="842" spans="12:21">
      <c r="L842" s="15"/>
      <c r="M842" s="15"/>
      <c r="N842" s="15"/>
      <c r="T842" s="15"/>
      <c r="U842" s="15"/>
    </row>
    <row r="843" spans="12:21">
      <c r="L843" s="15"/>
      <c r="M843" s="15"/>
      <c r="N843" s="15"/>
      <c r="T843" s="15"/>
      <c r="U843" s="15"/>
    </row>
    <row r="844" spans="12:21">
      <c r="L844" s="15"/>
      <c r="M844" s="15"/>
      <c r="N844" s="15"/>
      <c r="T844" s="15"/>
      <c r="U844" s="15"/>
    </row>
    <row r="845" spans="12:21">
      <c r="L845" s="15"/>
      <c r="M845" s="15"/>
      <c r="N845" s="15"/>
      <c r="T845" s="15"/>
      <c r="U845" s="15"/>
    </row>
    <row r="846" spans="12:21">
      <c r="L846" s="15"/>
      <c r="M846" s="15"/>
      <c r="N846" s="15"/>
      <c r="T846" s="15"/>
      <c r="U846" s="15"/>
    </row>
    <row r="847" spans="12:21">
      <c r="L847" s="15"/>
      <c r="M847" s="15"/>
      <c r="N847" s="15"/>
      <c r="T847" s="15"/>
      <c r="U847" s="15"/>
    </row>
    <row r="848" spans="12:21">
      <c r="L848" s="15"/>
      <c r="M848" s="15"/>
      <c r="N848" s="15"/>
      <c r="T848" s="15"/>
      <c r="U848" s="15"/>
    </row>
    <row r="849" spans="12:21">
      <c r="L849" s="15"/>
      <c r="M849" s="15"/>
      <c r="N849" s="15"/>
      <c r="T849" s="15"/>
      <c r="U849" s="15"/>
    </row>
    <row r="850" spans="12:21">
      <c r="L850" s="15"/>
      <c r="M850" s="15"/>
      <c r="N850" s="15"/>
      <c r="T850" s="15"/>
      <c r="U850" s="15"/>
    </row>
    <row r="851" spans="12:21">
      <c r="L851" s="15"/>
      <c r="M851" s="15"/>
      <c r="N851" s="15"/>
      <c r="T851" s="15"/>
      <c r="U851" s="15"/>
    </row>
    <row r="852" spans="12:21">
      <c r="L852" s="15"/>
      <c r="M852" s="15"/>
      <c r="N852" s="15"/>
      <c r="T852" s="15"/>
      <c r="U852" s="15"/>
    </row>
    <row r="853" spans="12:21">
      <c r="L853" s="15"/>
      <c r="M853" s="15"/>
      <c r="N853" s="15"/>
      <c r="T853" s="15"/>
      <c r="U853" s="15"/>
    </row>
    <row r="854" spans="12:21">
      <c r="L854" s="15"/>
      <c r="M854" s="15"/>
      <c r="N854" s="15"/>
      <c r="T854" s="15"/>
      <c r="U854" s="15"/>
    </row>
    <row r="855" spans="12:21">
      <c r="L855" s="15"/>
      <c r="M855" s="15"/>
      <c r="N855" s="15"/>
      <c r="T855" s="15"/>
      <c r="U855" s="15"/>
    </row>
    <row r="856" spans="12:21">
      <c r="L856" s="15"/>
      <c r="M856" s="15"/>
      <c r="N856" s="15"/>
      <c r="T856" s="15"/>
      <c r="U856" s="15"/>
    </row>
    <row r="857" spans="12:21">
      <c r="L857" s="15"/>
      <c r="M857" s="15"/>
      <c r="N857" s="15"/>
      <c r="T857" s="15"/>
      <c r="U857" s="15"/>
    </row>
    <row r="858" spans="12:21">
      <c r="L858" s="15"/>
      <c r="M858" s="15"/>
      <c r="N858" s="15"/>
      <c r="T858" s="15"/>
      <c r="U858" s="15"/>
    </row>
    <row r="859" spans="12:21">
      <c r="L859" s="15"/>
      <c r="M859" s="15"/>
      <c r="N859" s="15"/>
      <c r="T859" s="15"/>
      <c r="U859" s="15"/>
    </row>
    <row r="860" spans="12:21">
      <c r="L860" s="15"/>
      <c r="M860" s="15"/>
      <c r="N860" s="15"/>
      <c r="T860" s="15"/>
      <c r="U860" s="15"/>
    </row>
    <row r="861" spans="12:21">
      <c r="L861" s="15"/>
      <c r="M861" s="15"/>
      <c r="N861" s="15"/>
      <c r="T861" s="15"/>
      <c r="U861" s="15"/>
    </row>
    <row r="862" spans="12:21">
      <c r="L862" s="15"/>
      <c r="M862" s="15"/>
      <c r="N862" s="15"/>
      <c r="T862" s="15"/>
      <c r="U862" s="15"/>
    </row>
    <row r="863" spans="12:21">
      <c r="L863" s="15"/>
      <c r="M863" s="15"/>
      <c r="N863" s="15"/>
      <c r="T863" s="15"/>
      <c r="U863" s="15"/>
    </row>
    <row r="864" spans="12:21">
      <c r="L864" s="15"/>
      <c r="M864" s="15"/>
      <c r="N864" s="15"/>
      <c r="T864" s="15"/>
      <c r="U864" s="15"/>
    </row>
    <row r="865" spans="12:21">
      <c r="L865" s="15"/>
      <c r="M865" s="15"/>
      <c r="N865" s="15"/>
      <c r="T865" s="15"/>
      <c r="U865" s="15"/>
    </row>
    <row r="866" spans="12:21">
      <c r="L866" s="15"/>
      <c r="M866" s="15"/>
      <c r="N866" s="15"/>
      <c r="T866" s="15"/>
      <c r="U866" s="15"/>
    </row>
    <row r="867" spans="12:21">
      <c r="L867" s="15"/>
      <c r="M867" s="15"/>
      <c r="N867" s="15"/>
      <c r="T867" s="15"/>
      <c r="U867" s="15"/>
    </row>
    <row r="868" spans="12:21">
      <c r="L868" s="15"/>
      <c r="M868" s="15"/>
      <c r="N868" s="15"/>
      <c r="T868" s="15"/>
      <c r="U868" s="15"/>
    </row>
    <row r="869" spans="12:21">
      <c r="L869" s="15"/>
      <c r="M869" s="15"/>
      <c r="N869" s="15"/>
      <c r="T869" s="15"/>
      <c r="U869" s="15"/>
    </row>
    <row r="870" spans="12:21">
      <c r="L870" s="15"/>
      <c r="M870" s="15"/>
      <c r="N870" s="15"/>
      <c r="T870" s="15"/>
      <c r="U870" s="15"/>
    </row>
    <row r="871" spans="12:21">
      <c r="L871" s="15"/>
      <c r="M871" s="15"/>
      <c r="N871" s="15"/>
      <c r="T871" s="15"/>
      <c r="U871" s="15"/>
    </row>
    <row r="872" spans="12:21">
      <c r="L872" s="15"/>
      <c r="M872" s="15"/>
      <c r="N872" s="15"/>
      <c r="T872" s="15"/>
      <c r="U872" s="15"/>
    </row>
    <row r="873" spans="12:21">
      <c r="L873" s="15"/>
      <c r="M873" s="15"/>
      <c r="N873" s="15"/>
      <c r="T873" s="15"/>
      <c r="U873" s="15"/>
    </row>
    <row r="874" spans="12:21">
      <c r="L874" s="15"/>
      <c r="M874" s="15"/>
      <c r="N874" s="15"/>
      <c r="T874" s="15"/>
      <c r="U874" s="15"/>
    </row>
    <row r="875" spans="12:21">
      <c r="L875" s="15"/>
      <c r="M875" s="15"/>
      <c r="N875" s="15"/>
      <c r="T875" s="15"/>
      <c r="U875" s="15"/>
    </row>
    <row r="876" spans="12:21">
      <c r="L876" s="15"/>
      <c r="M876" s="15"/>
      <c r="N876" s="15"/>
      <c r="T876" s="15"/>
      <c r="U876" s="15"/>
    </row>
    <row r="877" spans="12:21">
      <c r="L877" s="15"/>
      <c r="M877" s="15"/>
      <c r="N877" s="15"/>
      <c r="T877" s="15"/>
      <c r="U877" s="15"/>
    </row>
    <row r="878" spans="12:21">
      <c r="L878" s="15"/>
      <c r="M878" s="15"/>
      <c r="N878" s="15"/>
      <c r="T878" s="15"/>
      <c r="U878" s="15"/>
    </row>
    <row r="879" spans="12:21">
      <c r="L879" s="15"/>
      <c r="M879" s="15"/>
      <c r="N879" s="15"/>
      <c r="T879" s="15"/>
      <c r="U879" s="15"/>
    </row>
    <row r="880" spans="12:21">
      <c r="L880" s="15"/>
      <c r="M880" s="15"/>
      <c r="N880" s="15"/>
      <c r="T880" s="15"/>
      <c r="U880" s="15"/>
    </row>
    <row r="881" spans="12:21">
      <c r="L881" s="15"/>
      <c r="M881" s="15"/>
      <c r="N881" s="15"/>
      <c r="T881" s="15"/>
      <c r="U881" s="15"/>
    </row>
    <row r="882" spans="12:21">
      <c r="L882" s="15"/>
      <c r="M882" s="15"/>
      <c r="N882" s="15"/>
      <c r="T882" s="15"/>
      <c r="U882" s="15"/>
    </row>
    <row r="883" spans="12:21">
      <c r="L883" s="15"/>
      <c r="M883" s="15"/>
      <c r="N883" s="15"/>
      <c r="T883" s="15"/>
      <c r="U883" s="15"/>
    </row>
    <row r="884" spans="12:21">
      <c r="L884" s="15"/>
      <c r="M884" s="15"/>
      <c r="N884" s="15"/>
      <c r="T884" s="15"/>
      <c r="U884" s="15"/>
    </row>
    <row r="885" spans="12:21">
      <c r="L885" s="15"/>
      <c r="M885" s="15"/>
      <c r="N885" s="15"/>
      <c r="T885" s="15"/>
      <c r="U885" s="15"/>
    </row>
    <row r="886" spans="12:21">
      <c r="L886" s="15"/>
      <c r="M886" s="15"/>
      <c r="N886" s="15"/>
      <c r="T886" s="15"/>
      <c r="U886" s="15"/>
    </row>
    <row r="887" spans="12:21">
      <c r="L887" s="15"/>
      <c r="M887" s="15"/>
      <c r="N887" s="15"/>
      <c r="T887" s="15"/>
      <c r="U887" s="15"/>
    </row>
    <row r="888" spans="12:21">
      <c r="L888" s="15"/>
      <c r="M888" s="15"/>
      <c r="N888" s="15"/>
      <c r="T888" s="15"/>
      <c r="U888" s="15"/>
    </row>
    <row r="889" spans="12:21">
      <c r="L889" s="15"/>
      <c r="M889" s="15"/>
      <c r="N889" s="15"/>
      <c r="T889" s="15"/>
      <c r="U889" s="15"/>
    </row>
    <row r="890" spans="12:21">
      <c r="L890" s="15"/>
      <c r="M890" s="15"/>
      <c r="N890" s="15"/>
      <c r="T890" s="15"/>
      <c r="U890" s="15"/>
    </row>
    <row r="891" spans="12:21">
      <c r="L891" s="15"/>
      <c r="M891" s="15"/>
      <c r="N891" s="15"/>
      <c r="T891" s="15"/>
      <c r="U891" s="15"/>
    </row>
    <row r="892" spans="12:21">
      <c r="L892" s="15"/>
      <c r="M892" s="15"/>
      <c r="N892" s="15"/>
      <c r="T892" s="15"/>
      <c r="U892" s="15"/>
    </row>
    <row r="893" spans="12:21">
      <c r="L893" s="15"/>
      <c r="M893" s="15"/>
      <c r="N893" s="15"/>
      <c r="T893" s="15"/>
      <c r="U893" s="15"/>
    </row>
    <row r="894" spans="12:21">
      <c r="L894" s="15"/>
      <c r="M894" s="15"/>
      <c r="N894" s="15"/>
      <c r="T894" s="15"/>
      <c r="U894" s="15"/>
    </row>
    <row r="895" spans="12:21">
      <c r="L895" s="15"/>
      <c r="M895" s="15"/>
      <c r="N895" s="15"/>
      <c r="T895" s="15"/>
      <c r="U895" s="15"/>
    </row>
    <row r="896" spans="12:21">
      <c r="L896" s="15"/>
      <c r="M896" s="15"/>
      <c r="N896" s="15"/>
      <c r="T896" s="15"/>
      <c r="U896" s="15"/>
    </row>
    <row r="897" spans="12:21">
      <c r="L897" s="15"/>
      <c r="M897" s="15"/>
      <c r="N897" s="15"/>
      <c r="T897" s="15"/>
      <c r="U897" s="15"/>
    </row>
    <row r="898" spans="12:21">
      <c r="L898" s="15"/>
      <c r="M898" s="15"/>
      <c r="N898" s="15"/>
      <c r="T898" s="15"/>
      <c r="U898" s="15"/>
    </row>
    <row r="899" spans="12:21">
      <c r="L899" s="15"/>
      <c r="M899" s="15"/>
      <c r="N899" s="15"/>
      <c r="T899" s="15"/>
      <c r="U899" s="15"/>
    </row>
    <row r="900" spans="12:21">
      <c r="L900" s="15"/>
      <c r="M900" s="15"/>
      <c r="N900" s="15"/>
      <c r="T900" s="15"/>
      <c r="U900" s="15"/>
    </row>
    <row r="901" spans="12:21">
      <c r="L901" s="15"/>
      <c r="M901" s="15"/>
      <c r="N901" s="15"/>
      <c r="T901" s="15"/>
      <c r="U901" s="15"/>
    </row>
    <row r="902" spans="12:21">
      <c r="L902" s="15"/>
      <c r="M902" s="15"/>
      <c r="N902" s="15"/>
      <c r="T902" s="15"/>
      <c r="U902" s="15"/>
    </row>
    <row r="903" spans="12:21">
      <c r="L903" s="15"/>
      <c r="M903" s="15"/>
      <c r="N903" s="15"/>
      <c r="T903" s="15"/>
      <c r="U903" s="15"/>
    </row>
    <row r="904" spans="12:21">
      <c r="L904" s="15"/>
      <c r="M904" s="15"/>
      <c r="N904" s="15"/>
      <c r="T904" s="15"/>
      <c r="U904" s="15"/>
    </row>
    <row r="905" spans="12:21">
      <c r="L905" s="15"/>
      <c r="M905" s="15"/>
      <c r="N905" s="15"/>
      <c r="T905" s="15"/>
      <c r="U905" s="15"/>
    </row>
    <row r="906" spans="12:21">
      <c r="L906" s="15"/>
      <c r="M906" s="15"/>
      <c r="N906" s="15"/>
      <c r="T906" s="15"/>
      <c r="U906" s="15"/>
    </row>
    <row r="907" spans="12:21">
      <c r="L907" s="15"/>
      <c r="M907" s="15"/>
      <c r="N907" s="15"/>
      <c r="T907" s="15"/>
      <c r="U907" s="15"/>
    </row>
    <row r="908" spans="12:21">
      <c r="L908" s="15"/>
      <c r="M908" s="15"/>
      <c r="N908" s="15"/>
      <c r="T908" s="15"/>
      <c r="U908" s="15"/>
    </row>
    <row r="909" spans="12:21">
      <c r="L909" s="15"/>
      <c r="M909" s="15"/>
      <c r="N909" s="15"/>
      <c r="T909" s="15"/>
      <c r="U909" s="15"/>
    </row>
    <row r="910" spans="12:21">
      <c r="L910" s="15"/>
      <c r="M910" s="15"/>
      <c r="N910" s="15"/>
      <c r="T910" s="15"/>
      <c r="U910" s="15"/>
    </row>
    <row r="911" spans="12:21">
      <c r="L911" s="15"/>
      <c r="M911" s="15"/>
      <c r="N911" s="15"/>
      <c r="T911" s="15"/>
      <c r="U911" s="15"/>
    </row>
    <row r="912" spans="12:21">
      <c r="L912" s="15"/>
      <c r="M912" s="15"/>
      <c r="N912" s="15"/>
      <c r="T912" s="15"/>
      <c r="U912" s="15"/>
    </row>
    <row r="913" spans="12:21">
      <c r="L913" s="15"/>
      <c r="M913" s="15"/>
      <c r="N913" s="15"/>
      <c r="T913" s="15"/>
      <c r="U913" s="15"/>
    </row>
    <row r="914" spans="12:21">
      <c r="L914" s="15"/>
      <c r="M914" s="15"/>
      <c r="N914" s="15"/>
      <c r="T914" s="15"/>
      <c r="U914" s="15"/>
    </row>
    <row r="915" spans="12:21">
      <c r="L915" s="15"/>
      <c r="M915" s="15"/>
      <c r="N915" s="15"/>
      <c r="T915" s="15"/>
      <c r="U915" s="15"/>
    </row>
    <row r="916" spans="12:21">
      <c r="L916" s="15"/>
      <c r="M916" s="15"/>
      <c r="N916" s="15"/>
      <c r="T916" s="15"/>
      <c r="U916" s="15"/>
    </row>
    <row r="917" spans="12:21">
      <c r="L917" s="15"/>
      <c r="M917" s="15"/>
      <c r="N917" s="15"/>
      <c r="T917" s="15"/>
      <c r="U917" s="15"/>
    </row>
    <row r="918" spans="12:21">
      <c r="L918" s="15"/>
      <c r="M918" s="15"/>
      <c r="N918" s="15"/>
      <c r="T918" s="15"/>
      <c r="U918" s="15"/>
    </row>
    <row r="919" spans="12:21">
      <c r="L919" s="15"/>
      <c r="M919" s="15"/>
      <c r="N919" s="15"/>
      <c r="T919" s="15"/>
      <c r="U919" s="15"/>
    </row>
    <row r="920" spans="12:21">
      <c r="L920" s="15"/>
      <c r="M920" s="15"/>
      <c r="N920" s="15"/>
      <c r="T920" s="15"/>
      <c r="U920" s="15"/>
    </row>
    <row r="921" spans="12:21">
      <c r="L921" s="15"/>
      <c r="M921" s="15"/>
      <c r="N921" s="15"/>
      <c r="T921" s="15"/>
      <c r="U921" s="15"/>
    </row>
    <row r="922" spans="12:21">
      <c r="L922" s="15"/>
      <c r="M922" s="15"/>
      <c r="N922" s="15"/>
      <c r="T922" s="15"/>
      <c r="U922" s="15"/>
    </row>
    <row r="923" spans="12:21">
      <c r="L923" s="15"/>
      <c r="M923" s="15"/>
      <c r="N923" s="15"/>
      <c r="T923" s="15"/>
      <c r="U923" s="15"/>
    </row>
    <row r="924" spans="12:21">
      <c r="L924" s="15"/>
      <c r="M924" s="15"/>
      <c r="N924" s="15"/>
      <c r="T924" s="15"/>
      <c r="U924" s="15"/>
    </row>
    <row r="925" spans="12:21">
      <c r="L925" s="15"/>
      <c r="M925" s="15"/>
      <c r="N925" s="15"/>
      <c r="T925" s="15"/>
      <c r="U925" s="15"/>
    </row>
    <row r="926" spans="12:21">
      <c r="L926" s="15"/>
      <c r="M926" s="15"/>
      <c r="N926" s="15"/>
      <c r="T926" s="15"/>
      <c r="U926" s="15"/>
    </row>
    <row r="927" spans="12:21">
      <c r="L927" s="15"/>
      <c r="M927" s="15"/>
      <c r="N927" s="15"/>
      <c r="T927" s="15"/>
      <c r="U927" s="15"/>
    </row>
    <row r="928" spans="12:21">
      <c r="L928" s="15"/>
      <c r="M928" s="15"/>
      <c r="N928" s="15"/>
      <c r="T928" s="15"/>
      <c r="U928" s="15"/>
    </row>
    <row r="929" spans="12:21">
      <c r="L929" s="15"/>
      <c r="M929" s="15"/>
      <c r="N929" s="15"/>
      <c r="T929" s="15"/>
      <c r="U929" s="15"/>
    </row>
    <row r="930" spans="12:21">
      <c r="L930" s="15"/>
      <c r="M930" s="15"/>
      <c r="N930" s="15"/>
      <c r="T930" s="15"/>
      <c r="U930" s="15"/>
    </row>
    <row r="931" spans="12:21">
      <c r="L931" s="15"/>
      <c r="M931" s="15"/>
      <c r="N931" s="15"/>
      <c r="T931" s="15"/>
      <c r="U931" s="15"/>
    </row>
    <row r="932" spans="12:21">
      <c r="L932" s="15"/>
      <c r="M932" s="15"/>
      <c r="N932" s="15"/>
      <c r="T932" s="15"/>
      <c r="U932" s="15"/>
    </row>
    <row r="933" spans="12:21">
      <c r="L933" s="15"/>
      <c r="M933" s="15"/>
      <c r="N933" s="15"/>
      <c r="T933" s="15"/>
      <c r="U933" s="15"/>
    </row>
    <row r="934" spans="12:21">
      <c r="L934" s="15"/>
      <c r="M934" s="15"/>
      <c r="N934" s="15"/>
      <c r="T934" s="15"/>
      <c r="U934" s="15"/>
    </row>
    <row r="935" spans="12:21">
      <c r="L935" s="15"/>
      <c r="M935" s="15"/>
      <c r="N935" s="15"/>
      <c r="T935" s="15"/>
      <c r="U935" s="15"/>
    </row>
    <row r="936" spans="12:21">
      <c r="L936" s="15"/>
      <c r="M936" s="15"/>
      <c r="N936" s="15"/>
      <c r="T936" s="15"/>
      <c r="U936" s="15"/>
    </row>
    <row r="937" spans="12:21">
      <c r="L937" s="15"/>
      <c r="M937" s="15"/>
      <c r="N937" s="15"/>
      <c r="T937" s="15"/>
      <c r="U937" s="15"/>
    </row>
    <row r="938" spans="12:21">
      <c r="L938" s="15"/>
      <c r="M938" s="15"/>
      <c r="N938" s="15"/>
      <c r="T938" s="15"/>
      <c r="U938" s="15"/>
    </row>
    <row r="939" spans="12:21">
      <c r="L939" s="15"/>
      <c r="M939" s="15"/>
      <c r="N939" s="15"/>
      <c r="T939" s="15"/>
      <c r="U939" s="15"/>
    </row>
    <row r="940" spans="12:21">
      <c r="L940" s="15"/>
      <c r="M940" s="15"/>
      <c r="N940" s="15"/>
      <c r="T940" s="15"/>
      <c r="U940" s="15"/>
    </row>
    <row r="941" spans="12:21">
      <c r="L941" s="15"/>
      <c r="M941" s="15"/>
      <c r="N941" s="15"/>
      <c r="T941" s="15"/>
      <c r="U941" s="15"/>
    </row>
    <row r="942" spans="12:21">
      <c r="L942" s="15"/>
      <c r="M942" s="15"/>
      <c r="N942" s="15"/>
      <c r="T942" s="15"/>
      <c r="U942" s="15"/>
    </row>
    <row r="943" spans="12:21">
      <c r="L943" s="15"/>
      <c r="M943" s="15"/>
      <c r="N943" s="15"/>
      <c r="T943" s="15"/>
      <c r="U943" s="15"/>
    </row>
    <row r="944" spans="12:21">
      <c r="L944" s="15"/>
      <c r="M944" s="15"/>
      <c r="N944" s="15"/>
      <c r="T944" s="15"/>
      <c r="U944" s="15"/>
    </row>
    <row r="945" spans="12:21">
      <c r="L945" s="15"/>
      <c r="M945" s="15"/>
      <c r="N945" s="15"/>
      <c r="T945" s="15"/>
      <c r="U945" s="15"/>
    </row>
    <row r="946" spans="12:21">
      <c r="L946" s="15"/>
      <c r="M946" s="15"/>
      <c r="N946" s="15"/>
      <c r="T946" s="15"/>
      <c r="U946" s="15"/>
    </row>
    <row r="947" spans="12:21">
      <c r="L947" s="15"/>
      <c r="M947" s="15"/>
      <c r="N947" s="15"/>
      <c r="T947" s="15"/>
      <c r="U947" s="15"/>
    </row>
    <row r="948" spans="12:21">
      <c r="L948" s="15"/>
      <c r="M948" s="15"/>
      <c r="N948" s="15"/>
      <c r="T948" s="15"/>
      <c r="U948" s="15"/>
    </row>
    <row r="949" spans="12:21">
      <c r="L949" s="15"/>
      <c r="M949" s="15"/>
      <c r="N949" s="15"/>
      <c r="T949" s="15"/>
      <c r="U949" s="15"/>
    </row>
    <row r="950" spans="12:21">
      <c r="L950" s="15"/>
      <c r="M950" s="15"/>
      <c r="N950" s="15"/>
      <c r="T950" s="15"/>
      <c r="U950" s="15"/>
    </row>
    <row r="951" spans="12:21">
      <c r="L951" s="15"/>
      <c r="M951" s="15"/>
      <c r="N951" s="15"/>
      <c r="T951" s="15"/>
      <c r="U951" s="15"/>
    </row>
    <row r="952" spans="12:21">
      <c r="L952" s="15"/>
      <c r="M952" s="15"/>
      <c r="N952" s="15"/>
      <c r="T952" s="15"/>
      <c r="U952" s="15"/>
    </row>
    <row r="953" spans="12:21">
      <c r="L953" s="15"/>
      <c r="M953" s="15"/>
      <c r="N953" s="15"/>
      <c r="T953" s="15"/>
      <c r="U953" s="15"/>
    </row>
    <row r="954" spans="12:21">
      <c r="L954" s="15"/>
      <c r="M954" s="15"/>
      <c r="N954" s="15"/>
      <c r="T954" s="15"/>
      <c r="U954" s="15"/>
    </row>
    <row r="955" spans="12:21">
      <c r="L955" s="15"/>
      <c r="M955" s="15"/>
      <c r="N955" s="15"/>
      <c r="T955" s="15"/>
      <c r="U955" s="15"/>
    </row>
    <row r="956" spans="12:21">
      <c r="L956" s="15"/>
      <c r="M956" s="15"/>
      <c r="N956" s="15"/>
      <c r="T956" s="15"/>
      <c r="U956" s="15"/>
    </row>
    <row r="957" spans="12:21">
      <c r="L957" s="15"/>
      <c r="M957" s="15"/>
      <c r="N957" s="15"/>
      <c r="T957" s="15"/>
      <c r="U957" s="15"/>
    </row>
    <row r="958" spans="12:21">
      <c r="L958" s="15"/>
      <c r="M958" s="15"/>
      <c r="N958" s="15"/>
      <c r="T958" s="15"/>
      <c r="U958" s="15"/>
    </row>
    <row r="959" spans="12:21">
      <c r="L959" s="15"/>
      <c r="M959" s="15"/>
      <c r="N959" s="15"/>
      <c r="T959" s="15"/>
      <c r="U959" s="15"/>
    </row>
    <row r="960" spans="12:21">
      <c r="L960" s="15"/>
      <c r="M960" s="15"/>
      <c r="N960" s="15"/>
      <c r="T960" s="15"/>
      <c r="U960" s="15"/>
    </row>
    <row r="961" spans="12:21">
      <c r="L961" s="15"/>
      <c r="M961" s="15"/>
      <c r="N961" s="15"/>
      <c r="T961" s="15"/>
      <c r="U961" s="15"/>
    </row>
    <row r="962" spans="12:21">
      <c r="L962" s="15"/>
      <c r="M962" s="15"/>
      <c r="N962" s="15"/>
      <c r="T962" s="15"/>
      <c r="U962" s="15"/>
    </row>
    <row r="963" spans="12:21">
      <c r="L963" s="15"/>
      <c r="M963" s="15"/>
      <c r="N963" s="15"/>
      <c r="T963" s="15"/>
      <c r="U963" s="15"/>
    </row>
    <row r="964" spans="12:21">
      <c r="L964" s="15"/>
      <c r="M964" s="15"/>
      <c r="N964" s="15"/>
      <c r="T964" s="15"/>
      <c r="U964" s="15"/>
    </row>
    <row r="965" spans="12:21">
      <c r="L965" s="15"/>
      <c r="M965" s="15"/>
      <c r="N965" s="15"/>
      <c r="T965" s="15"/>
      <c r="U965" s="15"/>
    </row>
    <row r="966" spans="12:21">
      <c r="L966" s="15"/>
      <c r="M966" s="15"/>
      <c r="N966" s="15"/>
      <c r="T966" s="15"/>
      <c r="U966" s="15"/>
    </row>
    <row r="967" spans="12:21">
      <c r="L967" s="15"/>
      <c r="M967" s="15"/>
      <c r="N967" s="15"/>
      <c r="T967" s="15"/>
      <c r="U967" s="15"/>
    </row>
    <row r="968" spans="12:21">
      <c r="L968" s="15"/>
      <c r="M968" s="15"/>
      <c r="N968" s="15"/>
      <c r="T968" s="15"/>
      <c r="U968" s="15"/>
    </row>
    <row r="969" spans="12:21">
      <c r="L969" s="15"/>
      <c r="M969" s="15"/>
      <c r="N969" s="15"/>
      <c r="T969" s="15"/>
      <c r="U969" s="15"/>
    </row>
    <row r="970" spans="12:21">
      <c r="L970" s="15"/>
      <c r="M970" s="15"/>
      <c r="N970" s="15"/>
      <c r="T970" s="15"/>
      <c r="U970" s="15"/>
    </row>
    <row r="971" spans="12:21">
      <c r="L971" s="15"/>
      <c r="M971" s="15"/>
      <c r="N971" s="15"/>
      <c r="T971" s="15"/>
      <c r="U971" s="15"/>
    </row>
    <row r="972" spans="12:21">
      <c r="L972" s="15"/>
      <c r="M972" s="15"/>
      <c r="N972" s="15"/>
      <c r="T972" s="15"/>
      <c r="U972" s="15"/>
    </row>
    <row r="973" spans="12:21">
      <c r="L973" s="15"/>
      <c r="M973" s="15"/>
      <c r="N973" s="15"/>
      <c r="T973" s="15"/>
      <c r="U973" s="15"/>
    </row>
    <row r="974" spans="12:21">
      <c r="L974" s="15"/>
      <c r="M974" s="15"/>
      <c r="N974" s="15"/>
      <c r="T974" s="15"/>
      <c r="U974" s="15"/>
    </row>
    <row r="975" spans="12:21">
      <c r="L975" s="15"/>
      <c r="M975" s="15"/>
      <c r="N975" s="15"/>
      <c r="T975" s="15"/>
      <c r="U975" s="15"/>
    </row>
    <row r="976" spans="12:21">
      <c r="L976" s="15"/>
      <c r="M976" s="15"/>
      <c r="N976" s="15"/>
      <c r="T976" s="15"/>
      <c r="U976" s="15"/>
    </row>
    <row r="977" spans="12:21">
      <c r="L977" s="15"/>
      <c r="M977" s="15"/>
      <c r="N977" s="15"/>
      <c r="T977" s="15"/>
      <c r="U977" s="15"/>
    </row>
    <row r="978" spans="12:21">
      <c r="L978" s="15"/>
      <c r="M978" s="15"/>
      <c r="N978" s="15"/>
      <c r="T978" s="15"/>
      <c r="U978" s="15"/>
    </row>
    <row r="979" spans="12:21">
      <c r="L979" s="15"/>
      <c r="M979" s="15"/>
      <c r="N979" s="15"/>
      <c r="T979" s="15"/>
      <c r="U979" s="15"/>
    </row>
    <row r="980" spans="12:21">
      <c r="L980" s="15"/>
      <c r="M980" s="15"/>
      <c r="N980" s="15"/>
      <c r="T980" s="15"/>
      <c r="U980" s="15"/>
    </row>
    <row r="981" spans="12:21">
      <c r="L981" s="15"/>
      <c r="M981" s="15"/>
      <c r="N981" s="15"/>
      <c r="T981" s="15"/>
      <c r="U981" s="15"/>
    </row>
    <row r="982" spans="12:21">
      <c r="L982" s="15"/>
      <c r="M982" s="15"/>
      <c r="N982" s="15"/>
      <c r="T982" s="15"/>
      <c r="U982" s="15"/>
    </row>
    <row r="983" spans="12:21">
      <c r="L983" s="15"/>
      <c r="M983" s="15"/>
      <c r="N983" s="15"/>
      <c r="T983" s="15"/>
      <c r="U983" s="15"/>
    </row>
    <row r="984" spans="12:21">
      <c r="L984" s="15"/>
      <c r="M984" s="15"/>
      <c r="N984" s="15"/>
      <c r="T984" s="15"/>
      <c r="U984" s="15"/>
    </row>
    <row r="985" spans="12:21">
      <c r="L985" s="15"/>
      <c r="M985" s="15"/>
      <c r="N985" s="15"/>
      <c r="T985" s="15"/>
      <c r="U985" s="15"/>
    </row>
    <row r="986" spans="12:21">
      <c r="L986" s="15"/>
      <c r="M986" s="15"/>
      <c r="N986" s="15"/>
      <c r="T986" s="15"/>
      <c r="U986" s="15"/>
    </row>
    <row r="987" spans="12:21">
      <c r="L987" s="15"/>
      <c r="M987" s="15"/>
      <c r="N987" s="15"/>
      <c r="T987" s="15"/>
      <c r="U987" s="15"/>
    </row>
    <row r="988" spans="12:21">
      <c r="L988" s="15"/>
      <c r="M988" s="15"/>
      <c r="N988" s="15"/>
      <c r="T988" s="15"/>
      <c r="U988" s="15"/>
    </row>
    <row r="989" spans="12:21">
      <c r="L989" s="15"/>
      <c r="M989" s="15"/>
      <c r="N989" s="15"/>
      <c r="T989" s="15"/>
      <c r="U989" s="15"/>
    </row>
    <row r="990" spans="12:21">
      <c r="L990" s="15"/>
      <c r="M990" s="15"/>
      <c r="N990" s="15"/>
      <c r="T990" s="15"/>
      <c r="U990" s="15"/>
    </row>
    <row r="991" spans="12:21">
      <c r="L991" s="15"/>
      <c r="M991" s="15"/>
      <c r="N991" s="15"/>
      <c r="T991" s="15"/>
      <c r="U991" s="15"/>
    </row>
    <row r="992" spans="12:21">
      <c r="L992" s="15"/>
      <c r="M992" s="15"/>
      <c r="N992" s="15"/>
      <c r="T992" s="15"/>
      <c r="U992" s="15"/>
    </row>
    <row r="993" spans="12:21">
      <c r="L993" s="15"/>
      <c r="M993" s="15"/>
      <c r="N993" s="15"/>
      <c r="T993" s="15"/>
      <c r="U993" s="15"/>
    </row>
    <row r="994" spans="12:21">
      <c r="L994" s="15"/>
      <c r="M994" s="15"/>
      <c r="N994" s="15"/>
      <c r="T994" s="15"/>
      <c r="U994" s="15"/>
    </row>
    <row r="995" spans="12:21">
      <c r="L995" s="15"/>
      <c r="M995" s="15"/>
      <c r="N995" s="15"/>
      <c r="T995" s="15"/>
      <c r="U995" s="15"/>
    </row>
    <row r="996" spans="12:21">
      <c r="L996" s="15"/>
      <c r="M996" s="15"/>
      <c r="N996" s="15"/>
      <c r="T996" s="15"/>
      <c r="U996" s="15"/>
    </row>
    <row r="997" spans="12:21">
      <c r="L997" s="15"/>
      <c r="M997" s="15"/>
      <c r="N997" s="15"/>
      <c r="T997" s="15"/>
      <c r="U997" s="15"/>
    </row>
    <row r="998" spans="12:21">
      <c r="L998" s="15"/>
      <c r="M998" s="15"/>
      <c r="N998" s="15"/>
      <c r="T998" s="15"/>
      <c r="U998" s="15"/>
    </row>
    <row r="999" spans="12:21">
      <c r="L999" s="15"/>
      <c r="M999" s="15"/>
      <c r="N999" s="15"/>
      <c r="T999" s="15"/>
      <c r="U999" s="15"/>
    </row>
    <row r="1000" spans="12:21">
      <c r="L1000" s="15"/>
      <c r="M1000" s="15"/>
      <c r="N1000" s="15"/>
      <c r="T1000" s="15"/>
      <c r="U1000" s="15"/>
    </row>
    <row r="1001" spans="12:21">
      <c r="L1001" s="15"/>
      <c r="M1001" s="15"/>
      <c r="N1001" s="15"/>
      <c r="T1001" s="15"/>
      <c r="U1001" s="15"/>
    </row>
    <row r="1002" spans="12:21">
      <c r="L1002" s="15"/>
      <c r="M1002" s="15"/>
      <c r="N1002" s="15"/>
      <c r="T1002" s="15"/>
      <c r="U1002" s="15"/>
    </row>
    <row r="1003" spans="12:21">
      <c r="L1003" s="15"/>
      <c r="M1003" s="15"/>
      <c r="N1003" s="15"/>
      <c r="T1003" s="15"/>
      <c r="U1003" s="15"/>
    </row>
    <row r="1004" spans="12:21">
      <c r="L1004" s="15"/>
      <c r="M1004" s="15"/>
      <c r="N1004" s="15"/>
      <c r="T1004" s="15"/>
      <c r="U1004" s="15"/>
    </row>
    <row r="1005" spans="12:21">
      <c r="L1005" s="15"/>
      <c r="M1005" s="15"/>
      <c r="N1005" s="15"/>
      <c r="T1005" s="15"/>
      <c r="U1005" s="15"/>
    </row>
    <row r="1006" spans="12:21">
      <c r="L1006" s="15"/>
      <c r="M1006" s="15"/>
      <c r="N1006" s="15"/>
      <c r="T1006" s="15"/>
      <c r="U1006" s="15"/>
    </row>
    <row r="1007" spans="12:21">
      <c r="L1007" s="15"/>
      <c r="M1007" s="15"/>
      <c r="N1007" s="15"/>
      <c r="T1007" s="15"/>
      <c r="U1007" s="15"/>
    </row>
    <row r="1008" spans="12:21">
      <c r="L1008" s="15"/>
      <c r="M1008" s="15"/>
      <c r="N1008" s="15"/>
      <c r="T1008" s="15"/>
      <c r="U1008" s="15"/>
    </row>
    <row r="1009" spans="12:21">
      <c r="L1009" s="15"/>
      <c r="M1009" s="15"/>
      <c r="N1009" s="15"/>
      <c r="T1009" s="15"/>
      <c r="U1009" s="15"/>
    </row>
    <row r="1010" spans="12:21">
      <c r="L1010" s="15"/>
      <c r="M1010" s="15"/>
      <c r="N1010" s="15"/>
      <c r="T1010" s="15"/>
      <c r="U1010" s="15"/>
    </row>
    <row r="1011" spans="12:21">
      <c r="L1011" s="15"/>
      <c r="M1011" s="15"/>
      <c r="N1011" s="15"/>
      <c r="T1011" s="15"/>
      <c r="U1011" s="15"/>
    </row>
    <row r="1012" spans="12:21">
      <c r="L1012" s="15"/>
      <c r="M1012" s="15"/>
      <c r="N1012" s="15"/>
      <c r="T1012" s="15"/>
      <c r="U1012" s="15"/>
    </row>
    <row r="1013" spans="12:21">
      <c r="L1013" s="15"/>
      <c r="M1013" s="15"/>
      <c r="N1013" s="15"/>
      <c r="T1013" s="15"/>
      <c r="U1013" s="15"/>
    </row>
    <row r="1014" spans="12:21">
      <c r="L1014" s="15"/>
      <c r="M1014" s="15"/>
      <c r="N1014" s="15"/>
      <c r="T1014" s="15"/>
      <c r="U1014" s="15"/>
    </row>
    <row r="1015" spans="12:21">
      <c r="L1015" s="15"/>
      <c r="M1015" s="15"/>
      <c r="N1015" s="15"/>
      <c r="T1015" s="15"/>
      <c r="U1015" s="15"/>
    </row>
    <row r="1016" spans="12:21">
      <c r="L1016" s="15"/>
      <c r="M1016" s="15"/>
      <c r="N1016" s="15"/>
      <c r="T1016" s="15"/>
      <c r="U1016" s="15"/>
    </row>
    <row r="1017" spans="12:21">
      <c r="L1017" s="15"/>
      <c r="M1017" s="15"/>
      <c r="N1017" s="15"/>
      <c r="T1017" s="15"/>
      <c r="U1017" s="15"/>
    </row>
    <row r="1018" spans="12:21">
      <c r="L1018" s="15"/>
      <c r="M1018" s="15"/>
      <c r="N1018" s="15"/>
      <c r="T1018" s="15"/>
      <c r="U1018" s="15"/>
    </row>
    <row r="1019" spans="12:21">
      <c r="L1019" s="15"/>
      <c r="M1019" s="15"/>
      <c r="N1019" s="15"/>
      <c r="T1019" s="15"/>
      <c r="U1019" s="15"/>
    </row>
    <row r="1020" spans="12:21">
      <c r="L1020" s="15"/>
      <c r="M1020" s="15"/>
      <c r="N1020" s="15"/>
      <c r="T1020" s="15"/>
      <c r="U1020" s="15"/>
    </row>
    <row r="1021" spans="12:21">
      <c r="L1021" s="15"/>
      <c r="M1021" s="15"/>
      <c r="N1021" s="15"/>
      <c r="T1021" s="15"/>
      <c r="U1021" s="15"/>
    </row>
    <row r="1022" spans="12:21">
      <c r="L1022" s="15"/>
      <c r="M1022" s="15"/>
      <c r="N1022" s="15"/>
      <c r="T1022" s="15"/>
      <c r="U1022" s="15"/>
    </row>
    <row r="1023" spans="12:21">
      <c r="L1023" s="15"/>
      <c r="M1023" s="15"/>
      <c r="N1023" s="15"/>
      <c r="T1023" s="15"/>
      <c r="U1023" s="15"/>
    </row>
    <row r="1024" spans="12:21">
      <c r="L1024" s="15"/>
      <c r="M1024" s="15"/>
      <c r="N1024" s="15"/>
      <c r="T1024" s="15"/>
      <c r="U1024" s="15"/>
    </row>
    <row r="1025" spans="12:21">
      <c r="L1025" s="15"/>
      <c r="M1025" s="15"/>
      <c r="N1025" s="15"/>
      <c r="T1025" s="15"/>
      <c r="U1025" s="15"/>
    </row>
    <row r="1026" spans="12:21">
      <c r="L1026" s="15"/>
      <c r="M1026" s="15"/>
      <c r="N1026" s="15"/>
      <c r="T1026" s="15"/>
      <c r="U1026" s="15"/>
    </row>
    <row r="1027" spans="12:21">
      <c r="L1027" s="15"/>
      <c r="M1027" s="15"/>
      <c r="N1027" s="15"/>
      <c r="T1027" s="15"/>
      <c r="U1027" s="15"/>
    </row>
    <row r="1028" spans="12:21">
      <c r="L1028" s="15"/>
      <c r="M1028" s="15"/>
      <c r="N1028" s="15"/>
      <c r="T1028" s="15"/>
      <c r="U1028" s="15"/>
    </row>
    <row r="1029" spans="12:21">
      <c r="L1029" s="15"/>
      <c r="M1029" s="15"/>
      <c r="N1029" s="15"/>
      <c r="T1029" s="15"/>
      <c r="U1029" s="15"/>
    </row>
    <row r="1030" spans="12:21">
      <c r="L1030" s="15"/>
      <c r="M1030" s="15"/>
      <c r="N1030" s="15"/>
      <c r="T1030" s="15"/>
      <c r="U1030" s="15"/>
    </row>
    <row r="1031" spans="12:21">
      <c r="L1031" s="15"/>
      <c r="M1031" s="15"/>
      <c r="N1031" s="15"/>
      <c r="T1031" s="15"/>
      <c r="U1031" s="15"/>
    </row>
    <row r="1032" spans="12:21">
      <c r="L1032" s="15"/>
      <c r="M1032" s="15"/>
      <c r="N1032" s="15"/>
      <c r="T1032" s="15"/>
      <c r="U1032" s="15"/>
    </row>
    <row r="1033" spans="12:21">
      <c r="L1033" s="15"/>
      <c r="M1033" s="15"/>
      <c r="N1033" s="15"/>
      <c r="T1033" s="15"/>
      <c r="U1033" s="15"/>
    </row>
    <row r="1034" spans="12:21">
      <c r="L1034" s="15"/>
      <c r="M1034" s="15"/>
      <c r="N1034" s="15"/>
      <c r="T1034" s="15"/>
      <c r="U1034" s="15"/>
    </row>
    <row r="1035" spans="12:21">
      <c r="L1035" s="15"/>
      <c r="M1035" s="15"/>
      <c r="N1035" s="15"/>
      <c r="T1035" s="15"/>
      <c r="U1035" s="15"/>
    </row>
    <row r="1036" spans="12:21">
      <c r="L1036" s="15"/>
      <c r="M1036" s="15"/>
      <c r="N1036" s="15"/>
      <c r="T1036" s="15"/>
      <c r="U1036" s="15"/>
    </row>
    <row r="1037" spans="12:21">
      <c r="L1037" s="15"/>
      <c r="M1037" s="15"/>
      <c r="N1037" s="15"/>
      <c r="T1037" s="15"/>
      <c r="U1037" s="15"/>
    </row>
    <row r="1038" spans="12:21">
      <c r="L1038" s="15"/>
      <c r="M1038" s="15"/>
      <c r="N1038" s="15"/>
      <c r="T1038" s="15"/>
      <c r="U1038" s="15"/>
    </row>
    <row r="1039" spans="12:21">
      <c r="L1039" s="15"/>
      <c r="M1039" s="15"/>
      <c r="N1039" s="15"/>
      <c r="T1039" s="15"/>
      <c r="U1039" s="15"/>
    </row>
    <row r="1040" spans="12:21">
      <c r="L1040" s="15"/>
      <c r="M1040" s="15"/>
      <c r="N1040" s="15"/>
      <c r="T1040" s="15"/>
      <c r="U1040" s="15"/>
    </row>
    <row r="1041" spans="12:21">
      <c r="L1041" s="15"/>
      <c r="M1041" s="15"/>
      <c r="N1041" s="15"/>
      <c r="T1041" s="15"/>
      <c r="U1041" s="15"/>
    </row>
    <row r="1042" spans="12:21">
      <c r="L1042" s="15"/>
      <c r="M1042" s="15"/>
      <c r="N1042" s="15"/>
      <c r="T1042" s="15"/>
      <c r="U1042" s="15"/>
    </row>
    <row r="1043" spans="12:21">
      <c r="L1043" s="15"/>
      <c r="M1043" s="15"/>
      <c r="N1043" s="15"/>
      <c r="T1043" s="15"/>
      <c r="U1043" s="15"/>
    </row>
    <row r="1044" spans="12:21">
      <c r="L1044" s="15"/>
      <c r="M1044" s="15"/>
      <c r="N1044" s="15"/>
      <c r="T1044" s="15"/>
      <c r="U1044" s="15"/>
    </row>
    <row r="1045" spans="12:21">
      <c r="L1045" s="15"/>
      <c r="M1045" s="15"/>
      <c r="N1045" s="15"/>
      <c r="T1045" s="15"/>
      <c r="U1045" s="15"/>
    </row>
    <row r="1046" spans="12:21">
      <c r="L1046" s="15"/>
      <c r="M1046" s="15"/>
      <c r="N1046" s="15"/>
      <c r="T1046" s="15"/>
      <c r="U1046" s="15"/>
    </row>
    <row r="1047" spans="12:21">
      <c r="L1047" s="15"/>
      <c r="M1047" s="15"/>
      <c r="N1047" s="15"/>
      <c r="T1047" s="15"/>
      <c r="U1047" s="15"/>
    </row>
    <row r="1048" spans="12:21">
      <c r="L1048" s="15"/>
      <c r="M1048" s="15"/>
      <c r="N1048" s="15"/>
      <c r="T1048" s="15"/>
      <c r="U1048" s="15"/>
    </row>
    <row r="1049" spans="12:21">
      <c r="L1049" s="15"/>
      <c r="M1049" s="15"/>
      <c r="N1049" s="15"/>
      <c r="T1049" s="15"/>
      <c r="U1049" s="15"/>
    </row>
    <row r="1050" spans="12:21">
      <c r="L1050" s="15"/>
      <c r="M1050" s="15"/>
      <c r="N1050" s="15"/>
      <c r="T1050" s="15"/>
      <c r="U1050" s="15"/>
    </row>
    <row r="1051" spans="12:21">
      <c r="L1051" s="15"/>
      <c r="M1051" s="15"/>
      <c r="N1051" s="15"/>
      <c r="T1051" s="15"/>
      <c r="U1051" s="15"/>
    </row>
    <row r="1052" spans="12:21">
      <c r="L1052" s="15"/>
      <c r="M1052" s="15"/>
      <c r="N1052" s="15"/>
      <c r="T1052" s="15"/>
      <c r="U1052" s="15"/>
    </row>
    <row r="1053" spans="12:21">
      <c r="L1053" s="15"/>
      <c r="M1053" s="15"/>
      <c r="N1053" s="15"/>
      <c r="T1053" s="15"/>
      <c r="U1053" s="15"/>
    </row>
    <row r="1054" spans="12:21">
      <c r="L1054" s="15"/>
      <c r="M1054" s="15"/>
      <c r="N1054" s="15"/>
      <c r="T1054" s="15"/>
      <c r="U1054" s="15"/>
    </row>
    <row r="1055" spans="12:21">
      <c r="L1055" s="15"/>
      <c r="M1055" s="15"/>
      <c r="N1055" s="15"/>
      <c r="T1055" s="15"/>
      <c r="U1055" s="15"/>
    </row>
    <row r="1056" spans="12:21">
      <c r="L1056" s="15"/>
      <c r="M1056" s="15"/>
      <c r="N1056" s="15"/>
      <c r="T1056" s="15"/>
      <c r="U1056" s="15"/>
    </row>
    <row r="1057" spans="12:21">
      <c r="L1057" s="15"/>
      <c r="M1057" s="15"/>
      <c r="N1057" s="15"/>
      <c r="T1057" s="15"/>
      <c r="U1057" s="15"/>
    </row>
    <row r="1058" spans="12:21">
      <c r="L1058" s="15"/>
      <c r="M1058" s="15"/>
      <c r="N1058" s="15"/>
      <c r="T1058" s="15"/>
      <c r="U1058" s="15"/>
    </row>
    <row r="1059" spans="12:21">
      <c r="L1059" s="15"/>
      <c r="M1059" s="15"/>
      <c r="N1059" s="15"/>
      <c r="T1059" s="15"/>
      <c r="U1059" s="15"/>
    </row>
    <row r="1060" spans="12:21">
      <c r="L1060" s="15"/>
      <c r="M1060" s="15"/>
      <c r="N1060" s="15"/>
      <c r="T1060" s="15"/>
      <c r="U1060" s="15"/>
    </row>
    <row r="1061" spans="12:21">
      <c r="L1061" s="15"/>
      <c r="M1061" s="15"/>
      <c r="N1061" s="15"/>
      <c r="T1061" s="15"/>
      <c r="U1061" s="15"/>
    </row>
    <row r="1062" spans="12:21">
      <c r="L1062" s="15"/>
      <c r="M1062" s="15"/>
      <c r="N1062" s="15"/>
      <c r="T1062" s="15"/>
      <c r="U1062" s="15"/>
    </row>
    <row r="1063" spans="12:21">
      <c r="L1063" s="15"/>
      <c r="M1063" s="15"/>
      <c r="N1063" s="15"/>
      <c r="T1063" s="15"/>
      <c r="U1063" s="15"/>
    </row>
    <row r="1064" spans="12:21">
      <c r="L1064" s="15"/>
      <c r="M1064" s="15"/>
      <c r="N1064" s="15"/>
      <c r="T1064" s="15"/>
      <c r="U1064" s="15"/>
    </row>
    <row r="1065" spans="12:21">
      <c r="L1065" s="15"/>
      <c r="M1065" s="15"/>
      <c r="N1065" s="15"/>
      <c r="T1065" s="15"/>
      <c r="U1065" s="15"/>
    </row>
    <row r="1066" spans="12:21">
      <c r="L1066" s="15"/>
      <c r="M1066" s="15"/>
      <c r="N1066" s="15"/>
      <c r="T1066" s="15"/>
      <c r="U1066" s="15"/>
    </row>
    <row r="1067" spans="12:21">
      <c r="L1067" s="15"/>
      <c r="M1067" s="15"/>
      <c r="N1067" s="15"/>
      <c r="T1067" s="15"/>
      <c r="U1067" s="15"/>
    </row>
    <row r="1068" spans="12:21">
      <c r="L1068" s="15"/>
      <c r="M1068" s="15"/>
      <c r="N1068" s="15"/>
      <c r="T1068" s="15"/>
      <c r="U1068" s="15"/>
    </row>
    <row r="1069" spans="12:21">
      <c r="L1069" s="15"/>
      <c r="M1069" s="15"/>
      <c r="N1069" s="15"/>
      <c r="T1069" s="15"/>
      <c r="U1069" s="15"/>
    </row>
    <row r="1070" spans="12:21">
      <c r="L1070" s="15"/>
      <c r="M1070" s="15"/>
      <c r="N1070" s="15"/>
      <c r="T1070" s="15"/>
      <c r="U1070" s="15"/>
    </row>
    <row r="1071" spans="12:21">
      <c r="L1071" s="15"/>
      <c r="M1071" s="15"/>
      <c r="N1071" s="15"/>
      <c r="T1071" s="15"/>
      <c r="U1071" s="15"/>
    </row>
    <row r="1072" spans="12:21">
      <c r="L1072" s="15"/>
      <c r="M1072" s="15"/>
      <c r="N1072" s="15"/>
      <c r="T1072" s="15"/>
      <c r="U1072" s="15"/>
    </row>
    <row r="1073" spans="12:21">
      <c r="L1073" s="15"/>
      <c r="M1073" s="15"/>
      <c r="N1073" s="15"/>
      <c r="T1073" s="15"/>
      <c r="U1073" s="15"/>
    </row>
    <row r="1074" spans="12:21">
      <c r="L1074" s="15"/>
      <c r="M1074" s="15"/>
      <c r="N1074" s="15"/>
      <c r="T1074" s="15"/>
      <c r="U1074" s="15"/>
    </row>
    <row r="1075" spans="12:21">
      <c r="L1075" s="15"/>
      <c r="M1075" s="15"/>
      <c r="N1075" s="15"/>
      <c r="T1075" s="15"/>
      <c r="U1075" s="15"/>
    </row>
    <row r="1076" spans="12:21">
      <c r="L1076" s="15"/>
      <c r="M1076" s="15"/>
      <c r="N1076" s="15"/>
      <c r="T1076" s="15"/>
      <c r="U1076" s="15"/>
    </row>
    <row r="1077" spans="12:21">
      <c r="L1077" s="15"/>
      <c r="M1077" s="15"/>
      <c r="N1077" s="15"/>
      <c r="T1077" s="15"/>
      <c r="U1077" s="15"/>
    </row>
    <row r="1078" spans="12:21">
      <c r="L1078" s="15"/>
      <c r="M1078" s="15"/>
      <c r="N1078" s="15"/>
      <c r="T1078" s="15"/>
      <c r="U1078" s="15"/>
    </row>
    <row r="1079" spans="12:21">
      <c r="L1079" s="15"/>
      <c r="M1079" s="15"/>
      <c r="N1079" s="15"/>
      <c r="T1079" s="15"/>
      <c r="U1079" s="15"/>
    </row>
    <row r="1080" spans="12:21">
      <c r="L1080" s="15"/>
      <c r="M1080" s="15"/>
      <c r="N1080" s="15"/>
      <c r="T1080" s="15"/>
      <c r="U1080" s="15"/>
    </row>
    <row r="1081" spans="12:21">
      <c r="L1081" s="15"/>
      <c r="M1081" s="15"/>
      <c r="N1081" s="15"/>
      <c r="T1081" s="15"/>
      <c r="U1081" s="15"/>
    </row>
    <row r="1082" spans="12:21">
      <c r="L1082" s="15"/>
      <c r="M1082" s="15"/>
      <c r="N1082" s="15"/>
      <c r="T1082" s="15"/>
      <c r="U1082" s="15"/>
    </row>
    <row r="1083" spans="12:21">
      <c r="L1083" s="15"/>
      <c r="M1083" s="15"/>
      <c r="N1083" s="15"/>
      <c r="T1083" s="15"/>
      <c r="U1083" s="15"/>
    </row>
    <row r="1084" spans="12:21">
      <c r="L1084" s="15"/>
      <c r="M1084" s="15"/>
      <c r="N1084" s="15"/>
      <c r="T1084" s="15"/>
      <c r="U1084" s="15"/>
    </row>
    <row r="1085" spans="12:21">
      <c r="L1085" s="15"/>
      <c r="M1085" s="15"/>
      <c r="N1085" s="15"/>
      <c r="T1085" s="15"/>
      <c r="U1085" s="15"/>
    </row>
    <row r="1086" spans="12:21">
      <c r="L1086" s="15"/>
      <c r="M1086" s="15"/>
      <c r="N1086" s="15"/>
      <c r="T1086" s="15"/>
      <c r="U1086" s="15"/>
    </row>
    <row r="1087" spans="12:21">
      <c r="L1087" s="15"/>
      <c r="M1087" s="15"/>
      <c r="N1087" s="15"/>
      <c r="T1087" s="15"/>
      <c r="U1087" s="15"/>
    </row>
    <row r="1088" spans="12:21">
      <c r="L1088" s="15"/>
      <c r="M1088" s="15"/>
      <c r="N1088" s="15"/>
      <c r="T1088" s="15"/>
      <c r="U1088" s="15"/>
    </row>
    <row r="1089" spans="12:21">
      <c r="L1089" s="15"/>
      <c r="M1089" s="15"/>
      <c r="N1089" s="15"/>
      <c r="T1089" s="15"/>
      <c r="U1089" s="15"/>
    </row>
    <row r="1090" spans="12:21">
      <c r="L1090" s="15"/>
      <c r="M1090" s="15"/>
      <c r="N1090" s="15"/>
      <c r="T1090" s="15"/>
      <c r="U1090" s="15"/>
    </row>
    <row r="1091" spans="12:21">
      <c r="L1091" s="15"/>
      <c r="M1091" s="15"/>
      <c r="N1091" s="15"/>
      <c r="T1091" s="15"/>
      <c r="U1091" s="15"/>
    </row>
    <row r="1092" spans="12:21">
      <c r="L1092" s="15"/>
      <c r="M1092" s="15"/>
      <c r="N1092" s="15"/>
      <c r="T1092" s="15"/>
      <c r="U1092" s="15"/>
    </row>
    <row r="1093" spans="12:21">
      <c r="L1093" s="15"/>
      <c r="M1093" s="15"/>
      <c r="N1093" s="15"/>
      <c r="T1093" s="15"/>
      <c r="U1093" s="15"/>
    </row>
    <row r="1094" spans="12:21">
      <c r="L1094" s="15"/>
      <c r="M1094" s="15"/>
      <c r="N1094" s="15"/>
      <c r="T1094" s="15"/>
      <c r="U1094" s="15"/>
    </row>
    <row r="1095" spans="12:21">
      <c r="L1095" s="15"/>
      <c r="M1095" s="15"/>
      <c r="N1095" s="15"/>
      <c r="T1095" s="15"/>
      <c r="U1095" s="15"/>
    </row>
    <row r="1096" spans="12:21">
      <c r="L1096" s="15"/>
      <c r="M1096" s="15"/>
      <c r="N1096" s="15"/>
      <c r="T1096" s="15"/>
      <c r="U1096" s="15"/>
    </row>
    <row r="1097" spans="12:21">
      <c r="L1097" s="15"/>
      <c r="M1097" s="15"/>
      <c r="N1097" s="15"/>
      <c r="T1097" s="15"/>
      <c r="U1097" s="15"/>
    </row>
    <row r="1098" spans="12:21">
      <c r="L1098" s="15"/>
      <c r="M1098" s="15"/>
      <c r="N1098" s="15"/>
      <c r="T1098" s="15"/>
      <c r="U1098" s="15"/>
    </row>
    <row r="1099" spans="12:21">
      <c r="L1099" s="15"/>
      <c r="M1099" s="15"/>
      <c r="N1099" s="15"/>
      <c r="T1099" s="15"/>
      <c r="U1099" s="15"/>
    </row>
    <row r="1100" spans="12:21">
      <c r="L1100" s="15"/>
      <c r="M1100" s="15"/>
      <c r="N1100" s="15"/>
      <c r="T1100" s="15"/>
      <c r="U1100" s="15"/>
    </row>
    <row r="1101" spans="12:21">
      <c r="L1101" s="15"/>
      <c r="M1101" s="15"/>
      <c r="N1101" s="15"/>
      <c r="T1101" s="15"/>
      <c r="U1101" s="15"/>
    </row>
    <row r="1102" spans="12:21">
      <c r="L1102" s="15"/>
      <c r="M1102" s="15"/>
      <c r="N1102" s="15"/>
      <c r="T1102" s="15"/>
      <c r="U1102" s="15"/>
    </row>
    <row r="1103" spans="12:21">
      <c r="L1103" s="15"/>
      <c r="M1103" s="15"/>
      <c r="N1103" s="15"/>
      <c r="T1103" s="15"/>
      <c r="U1103" s="15"/>
    </row>
    <row r="1104" spans="12:21">
      <c r="L1104" s="15"/>
      <c r="M1104" s="15"/>
      <c r="N1104" s="15"/>
      <c r="T1104" s="15"/>
      <c r="U1104" s="15"/>
    </row>
    <row r="1105" spans="12:21">
      <c r="L1105" s="15"/>
      <c r="M1105" s="15"/>
      <c r="N1105" s="15"/>
      <c r="T1105" s="15"/>
      <c r="U1105" s="15"/>
    </row>
    <row r="1106" spans="12:21">
      <c r="L1106" s="15"/>
      <c r="M1106" s="15"/>
      <c r="N1106" s="15"/>
      <c r="T1106" s="15"/>
      <c r="U1106" s="15"/>
    </row>
    <row r="1107" spans="12:21">
      <c r="L1107" s="15"/>
      <c r="M1107" s="15"/>
      <c r="N1107" s="15"/>
      <c r="T1107" s="15"/>
      <c r="U1107" s="15"/>
    </row>
    <row r="1108" spans="12:21">
      <c r="L1108" s="15"/>
      <c r="M1108" s="15"/>
      <c r="N1108" s="15"/>
      <c r="T1108" s="15"/>
      <c r="U1108" s="15"/>
    </row>
    <row r="1109" spans="12:21">
      <c r="L1109" s="15"/>
      <c r="M1109" s="15"/>
      <c r="N1109" s="15"/>
      <c r="T1109" s="15"/>
      <c r="U1109" s="15"/>
    </row>
    <row r="1110" spans="12:21">
      <c r="L1110" s="15"/>
      <c r="M1110" s="15"/>
      <c r="N1110" s="15"/>
      <c r="T1110" s="15"/>
      <c r="U1110" s="15"/>
    </row>
    <row r="1111" spans="12:21">
      <c r="L1111" s="15"/>
      <c r="M1111" s="15"/>
      <c r="N1111" s="15"/>
      <c r="T1111" s="15"/>
      <c r="U1111" s="15"/>
    </row>
    <row r="1112" spans="12:21">
      <c r="L1112" s="15"/>
      <c r="M1112" s="15"/>
      <c r="N1112" s="15"/>
      <c r="T1112" s="15"/>
      <c r="U1112" s="15"/>
    </row>
    <row r="1113" spans="12:21">
      <c r="L1113" s="15"/>
      <c r="M1113" s="15"/>
      <c r="N1113" s="15"/>
      <c r="T1113" s="15"/>
      <c r="U1113" s="15"/>
    </row>
    <row r="1114" spans="12:21">
      <c r="L1114" s="15"/>
      <c r="M1114" s="15"/>
      <c r="N1114" s="15"/>
      <c r="T1114" s="15"/>
      <c r="U1114" s="15"/>
    </row>
    <row r="1115" spans="12:21">
      <c r="L1115" s="15"/>
      <c r="M1115" s="15"/>
      <c r="N1115" s="15"/>
      <c r="T1115" s="15"/>
      <c r="U1115" s="15"/>
    </row>
    <row r="1116" spans="12:21">
      <c r="L1116" s="15"/>
      <c r="M1116" s="15"/>
      <c r="N1116" s="15"/>
      <c r="T1116" s="15"/>
      <c r="U1116" s="15"/>
    </row>
    <row r="1117" spans="12:21">
      <c r="L1117" s="15"/>
      <c r="M1117" s="15"/>
      <c r="N1117" s="15"/>
      <c r="T1117" s="15"/>
      <c r="U1117" s="15"/>
    </row>
    <row r="1118" spans="12:21">
      <c r="L1118" s="15"/>
      <c r="M1118" s="15"/>
      <c r="N1118" s="15"/>
      <c r="T1118" s="15"/>
      <c r="U1118" s="15"/>
    </row>
    <row r="1119" spans="12:21">
      <c r="L1119" s="15"/>
      <c r="M1119" s="15"/>
      <c r="N1119" s="15"/>
      <c r="T1119" s="15"/>
      <c r="U1119" s="15"/>
    </row>
    <row r="1120" spans="12:21">
      <c r="L1120" s="15"/>
      <c r="M1120" s="15"/>
      <c r="N1120" s="15"/>
      <c r="T1120" s="15"/>
      <c r="U1120" s="15"/>
    </row>
    <row r="1121" spans="12:21">
      <c r="L1121" s="15"/>
      <c r="M1121" s="15"/>
      <c r="N1121" s="15"/>
      <c r="T1121" s="15"/>
      <c r="U1121" s="15"/>
    </row>
    <row r="1122" spans="12:21">
      <c r="L1122" s="15"/>
      <c r="M1122" s="15"/>
      <c r="N1122" s="15"/>
      <c r="T1122" s="15"/>
      <c r="U1122" s="15"/>
    </row>
    <row r="1123" spans="12:21">
      <c r="L1123" s="15"/>
      <c r="M1123" s="15"/>
      <c r="N1123" s="15"/>
      <c r="T1123" s="15"/>
      <c r="U1123" s="15"/>
    </row>
    <row r="1124" spans="12:21">
      <c r="L1124" s="15"/>
      <c r="M1124" s="15"/>
      <c r="N1124" s="15"/>
      <c r="T1124" s="15"/>
      <c r="U1124" s="15"/>
    </row>
    <row r="1125" spans="12:21">
      <c r="L1125" s="15"/>
      <c r="M1125" s="15"/>
      <c r="N1125" s="15"/>
      <c r="T1125" s="15"/>
      <c r="U1125" s="15"/>
    </row>
    <row r="1126" spans="12:21">
      <c r="L1126" s="15"/>
      <c r="M1126" s="15"/>
      <c r="N1126" s="15"/>
      <c r="T1126" s="15"/>
      <c r="U1126" s="15"/>
    </row>
    <row r="1127" spans="12:21">
      <c r="L1127" s="15"/>
      <c r="M1127" s="15"/>
      <c r="N1127" s="15"/>
      <c r="T1127" s="15"/>
      <c r="U1127" s="15"/>
    </row>
    <row r="1128" spans="12:21">
      <c r="L1128" s="15"/>
      <c r="M1128" s="15"/>
      <c r="N1128" s="15"/>
      <c r="T1128" s="15"/>
      <c r="U1128" s="15"/>
    </row>
    <row r="1129" spans="12:21">
      <c r="L1129" s="15"/>
      <c r="M1129" s="15"/>
      <c r="N1129" s="15"/>
      <c r="T1129" s="15"/>
      <c r="U1129" s="15"/>
    </row>
    <row r="1130" spans="12:21">
      <c r="L1130" s="15"/>
      <c r="M1130" s="15"/>
      <c r="N1130" s="15"/>
      <c r="T1130" s="15"/>
      <c r="U1130" s="15"/>
    </row>
    <row r="1131" spans="12:21">
      <c r="L1131" s="15"/>
      <c r="M1131" s="15"/>
      <c r="N1131" s="15"/>
      <c r="T1131" s="15"/>
      <c r="U1131" s="15"/>
    </row>
    <row r="1132" spans="12:21">
      <c r="L1132" s="15"/>
      <c r="M1132" s="15"/>
      <c r="N1132" s="15"/>
      <c r="T1132" s="15"/>
      <c r="U1132" s="15"/>
    </row>
    <row r="1133" spans="12:21">
      <c r="L1133" s="15"/>
      <c r="M1133" s="15"/>
      <c r="N1133" s="15"/>
      <c r="T1133" s="15"/>
      <c r="U1133" s="15"/>
    </row>
    <row r="1134" spans="12:21">
      <c r="L1134" s="15"/>
      <c r="M1134" s="15"/>
      <c r="N1134" s="15"/>
      <c r="T1134" s="15"/>
      <c r="U1134" s="15"/>
    </row>
    <row r="1135" spans="12:21">
      <c r="L1135" s="15"/>
      <c r="M1135" s="15"/>
      <c r="N1135" s="15"/>
      <c r="T1135" s="15"/>
      <c r="U1135" s="15"/>
    </row>
    <row r="1136" spans="12:21">
      <c r="L1136" s="15"/>
      <c r="M1136" s="15"/>
      <c r="N1136" s="15"/>
      <c r="T1136" s="15"/>
      <c r="U1136" s="15"/>
    </row>
    <row r="1137" spans="12:21">
      <c r="L1137" s="15"/>
      <c r="M1137" s="15"/>
      <c r="N1137" s="15"/>
      <c r="T1137" s="15"/>
      <c r="U1137" s="15"/>
    </row>
    <row r="1138" spans="12:21">
      <c r="L1138" s="15"/>
      <c r="M1138" s="15"/>
      <c r="N1138" s="15"/>
      <c r="T1138" s="15"/>
      <c r="U1138" s="15"/>
    </row>
    <row r="1139" spans="12:21">
      <c r="L1139" s="15"/>
      <c r="M1139" s="15"/>
      <c r="N1139" s="15"/>
      <c r="T1139" s="15"/>
      <c r="U1139" s="15"/>
    </row>
    <row r="1140" spans="12:21">
      <c r="L1140" s="15"/>
      <c r="M1140" s="15"/>
      <c r="N1140" s="15"/>
      <c r="T1140" s="15"/>
      <c r="U1140" s="15"/>
    </row>
    <row r="1141" spans="12:21">
      <c r="L1141" s="15"/>
      <c r="M1141" s="15"/>
      <c r="N1141" s="15"/>
      <c r="T1141" s="15"/>
      <c r="U1141" s="15"/>
    </row>
    <row r="1142" spans="12:21">
      <c r="L1142" s="15"/>
      <c r="M1142" s="15"/>
      <c r="N1142" s="15"/>
      <c r="T1142" s="15"/>
      <c r="U1142" s="15"/>
    </row>
    <row r="1143" spans="12:21">
      <c r="L1143" s="15"/>
      <c r="M1143" s="15"/>
      <c r="N1143" s="15"/>
      <c r="T1143" s="15"/>
      <c r="U1143" s="15"/>
    </row>
    <row r="1144" spans="12:21">
      <c r="L1144" s="15"/>
      <c r="M1144" s="15"/>
      <c r="N1144" s="15"/>
      <c r="T1144" s="15"/>
      <c r="U1144" s="15"/>
    </row>
    <row r="1145" spans="12:21">
      <c r="L1145" s="15"/>
      <c r="M1145" s="15"/>
      <c r="N1145" s="15"/>
      <c r="T1145" s="15"/>
      <c r="U1145" s="15"/>
    </row>
    <row r="1146" spans="12:21">
      <c r="L1146" s="15"/>
      <c r="M1146" s="15"/>
      <c r="N1146" s="15"/>
      <c r="T1146" s="15"/>
      <c r="U1146" s="15"/>
    </row>
    <row r="1147" spans="12:21">
      <c r="L1147" s="15"/>
      <c r="M1147" s="15"/>
      <c r="N1147" s="15"/>
      <c r="T1147" s="15"/>
      <c r="U1147" s="15"/>
    </row>
    <row r="1148" spans="12:21">
      <c r="L1148" s="15"/>
      <c r="M1148" s="15"/>
      <c r="N1148" s="15"/>
      <c r="T1148" s="15"/>
      <c r="U1148" s="15"/>
    </row>
    <row r="1149" spans="12:21">
      <c r="L1149" s="15"/>
      <c r="M1149" s="15"/>
      <c r="N1149" s="15"/>
      <c r="T1149" s="15"/>
      <c r="U1149" s="15"/>
    </row>
    <row r="1150" spans="12:21">
      <c r="L1150" s="15"/>
      <c r="M1150" s="15"/>
      <c r="N1150" s="15"/>
      <c r="T1150" s="15"/>
      <c r="U1150" s="15"/>
    </row>
    <row r="1151" spans="12:21">
      <c r="L1151" s="15"/>
      <c r="M1151" s="15"/>
      <c r="N1151" s="15"/>
      <c r="T1151" s="15"/>
      <c r="U1151" s="15"/>
    </row>
    <row r="1152" spans="12:21">
      <c r="L1152" s="15"/>
      <c r="M1152" s="15"/>
      <c r="N1152" s="15"/>
      <c r="T1152" s="15"/>
      <c r="U1152" s="15"/>
    </row>
    <row r="1153" spans="12:21">
      <c r="L1153" s="15"/>
      <c r="M1153" s="15"/>
      <c r="N1153" s="15"/>
      <c r="T1153" s="15"/>
      <c r="U1153" s="15"/>
    </row>
    <row r="1154" spans="12:21">
      <c r="L1154" s="15"/>
      <c r="M1154" s="15"/>
      <c r="N1154" s="15"/>
      <c r="T1154" s="15"/>
      <c r="U1154" s="15"/>
    </row>
    <row r="1155" spans="12:21">
      <c r="L1155" s="15"/>
      <c r="M1155" s="15"/>
      <c r="N1155" s="15"/>
      <c r="T1155" s="15"/>
      <c r="U1155" s="15"/>
    </row>
    <row r="1156" spans="12:21">
      <c r="L1156" s="15"/>
      <c r="M1156" s="15"/>
      <c r="N1156" s="15"/>
      <c r="T1156" s="15"/>
      <c r="U1156" s="15"/>
    </row>
    <row r="1157" spans="12:21">
      <c r="L1157" s="15"/>
      <c r="M1157" s="15"/>
      <c r="N1157" s="15"/>
      <c r="T1157" s="15"/>
      <c r="U1157" s="15"/>
    </row>
    <row r="1158" spans="12:21">
      <c r="L1158" s="15"/>
      <c r="M1158" s="15"/>
      <c r="N1158" s="15"/>
      <c r="T1158" s="15"/>
      <c r="U1158" s="15"/>
    </row>
    <row r="1159" spans="12:21">
      <c r="L1159" s="15"/>
      <c r="M1159" s="15"/>
      <c r="N1159" s="15"/>
      <c r="T1159" s="15"/>
      <c r="U1159" s="15"/>
    </row>
    <row r="1160" spans="12:21">
      <c r="L1160" s="15"/>
      <c r="M1160" s="15"/>
      <c r="N1160" s="15"/>
      <c r="T1160" s="15"/>
      <c r="U1160" s="15"/>
    </row>
    <row r="1161" spans="12:21">
      <c r="L1161" s="15"/>
      <c r="M1161" s="15"/>
      <c r="N1161" s="15"/>
      <c r="T1161" s="15"/>
      <c r="U1161" s="15"/>
    </row>
    <row r="1162" spans="12:21">
      <c r="L1162" s="15"/>
      <c r="M1162" s="15"/>
      <c r="N1162" s="15"/>
      <c r="T1162" s="15"/>
      <c r="U1162" s="15"/>
    </row>
    <row r="1163" spans="12:21">
      <c r="L1163" s="15"/>
      <c r="M1163" s="15"/>
      <c r="N1163" s="15"/>
      <c r="T1163" s="15"/>
      <c r="U1163" s="15"/>
    </row>
    <row r="1164" spans="12:21">
      <c r="L1164" s="15"/>
      <c r="M1164" s="15"/>
      <c r="N1164" s="15"/>
      <c r="T1164" s="15"/>
      <c r="U1164" s="15"/>
    </row>
    <row r="1165" spans="12:21">
      <c r="L1165" s="15"/>
      <c r="M1165" s="15"/>
      <c r="N1165" s="15"/>
      <c r="T1165" s="15"/>
      <c r="U1165" s="15"/>
    </row>
    <row r="1166" spans="12:21">
      <c r="L1166" s="15"/>
      <c r="M1166" s="15"/>
      <c r="N1166" s="15"/>
      <c r="T1166" s="15"/>
      <c r="U1166" s="15"/>
    </row>
    <row r="1167" spans="12:21">
      <c r="L1167" s="15"/>
      <c r="M1167" s="15"/>
      <c r="N1167" s="15"/>
      <c r="T1167" s="15"/>
      <c r="U1167" s="15"/>
    </row>
    <row r="1168" spans="12:21">
      <c r="L1168" s="15"/>
      <c r="M1168" s="15"/>
      <c r="N1168" s="15"/>
      <c r="T1168" s="15"/>
      <c r="U1168" s="15"/>
    </row>
    <row r="1169" spans="12:21">
      <c r="L1169" s="15"/>
      <c r="M1169" s="15"/>
      <c r="N1169" s="15"/>
      <c r="T1169" s="15"/>
      <c r="U1169" s="15"/>
    </row>
    <row r="1170" spans="12:21">
      <c r="L1170" s="15"/>
      <c r="M1170" s="15"/>
      <c r="N1170" s="15"/>
      <c r="T1170" s="15"/>
      <c r="U1170" s="15"/>
    </row>
    <row r="1171" spans="12:21">
      <c r="L1171" s="15"/>
      <c r="M1171" s="15"/>
      <c r="N1171" s="15"/>
      <c r="T1171" s="15"/>
      <c r="U1171" s="15"/>
    </row>
    <row r="1172" spans="12:21">
      <c r="L1172" s="15"/>
      <c r="M1172" s="15"/>
      <c r="N1172" s="15"/>
      <c r="T1172" s="15"/>
      <c r="U1172" s="15"/>
    </row>
    <row r="1173" spans="12:21">
      <c r="L1173" s="15"/>
      <c r="M1173" s="15"/>
      <c r="N1173" s="15"/>
      <c r="T1173" s="15"/>
      <c r="U1173" s="15"/>
    </row>
    <row r="1174" spans="12:21">
      <c r="L1174" s="15"/>
      <c r="M1174" s="15"/>
      <c r="N1174" s="15"/>
      <c r="T1174" s="15"/>
      <c r="U1174" s="15"/>
    </row>
    <row r="1175" spans="12:21">
      <c r="L1175" s="15"/>
      <c r="M1175" s="15"/>
      <c r="N1175" s="15"/>
      <c r="T1175" s="15"/>
      <c r="U1175" s="15"/>
    </row>
    <row r="1176" spans="12:21">
      <c r="L1176" s="15"/>
      <c r="M1176" s="15"/>
      <c r="N1176" s="15"/>
      <c r="T1176" s="15"/>
      <c r="U1176" s="15"/>
    </row>
    <row r="1177" spans="12:21">
      <c r="L1177" s="15"/>
      <c r="M1177" s="15"/>
      <c r="N1177" s="15"/>
      <c r="T1177" s="15"/>
      <c r="U1177" s="15"/>
    </row>
    <row r="1178" spans="12:21">
      <c r="L1178" s="15"/>
      <c r="M1178" s="15"/>
      <c r="N1178" s="15"/>
      <c r="T1178" s="15"/>
      <c r="U1178" s="15"/>
    </row>
    <row r="1179" spans="12:21">
      <c r="L1179" s="15"/>
      <c r="M1179" s="15"/>
      <c r="N1179" s="15"/>
      <c r="T1179" s="15"/>
      <c r="U1179" s="15"/>
    </row>
    <row r="1180" spans="12:21">
      <c r="L1180" s="15"/>
      <c r="M1180" s="15"/>
      <c r="N1180" s="15"/>
      <c r="T1180" s="15"/>
      <c r="U1180" s="15"/>
    </row>
    <row r="1181" spans="12:21">
      <c r="L1181" s="15"/>
      <c r="M1181" s="15"/>
      <c r="N1181" s="15"/>
      <c r="T1181" s="15"/>
      <c r="U1181" s="15"/>
    </row>
    <row r="1182" spans="12:21">
      <c r="L1182" s="15"/>
      <c r="M1182" s="15"/>
      <c r="N1182" s="15"/>
      <c r="T1182" s="15"/>
      <c r="U1182" s="15"/>
    </row>
    <row r="1183" spans="12:21">
      <c r="L1183" s="15"/>
      <c r="M1183" s="15"/>
      <c r="N1183" s="15"/>
      <c r="T1183" s="15"/>
      <c r="U1183" s="15"/>
    </row>
    <row r="1184" spans="12:21">
      <c r="L1184" s="15"/>
      <c r="M1184" s="15"/>
      <c r="N1184" s="15"/>
      <c r="T1184" s="15"/>
      <c r="U1184" s="15"/>
    </row>
    <row r="1185" spans="12:21">
      <c r="L1185" s="15"/>
      <c r="M1185" s="15"/>
      <c r="N1185" s="15"/>
      <c r="T1185" s="15"/>
      <c r="U1185" s="15"/>
    </row>
    <row r="1186" spans="12:21">
      <c r="L1186" s="15"/>
      <c r="M1186" s="15"/>
      <c r="N1186" s="15"/>
      <c r="T1186" s="15"/>
      <c r="U1186" s="15"/>
    </row>
    <row r="1187" spans="12:21">
      <c r="L1187" s="15"/>
      <c r="M1187" s="15"/>
      <c r="N1187" s="15"/>
      <c r="T1187" s="15"/>
      <c r="U1187" s="15"/>
    </row>
    <row r="1188" spans="12:21">
      <c r="L1188" s="15"/>
      <c r="M1188" s="15"/>
      <c r="N1188" s="15"/>
      <c r="T1188" s="15"/>
      <c r="U1188" s="15"/>
    </row>
    <row r="1189" spans="12:21">
      <c r="L1189" s="15"/>
      <c r="M1189" s="15"/>
      <c r="N1189" s="15"/>
      <c r="T1189" s="15"/>
      <c r="U1189" s="15"/>
    </row>
    <row r="1190" spans="12:21">
      <c r="L1190" s="15"/>
      <c r="M1190" s="15"/>
      <c r="N1190" s="15"/>
      <c r="T1190" s="15"/>
      <c r="U1190" s="15"/>
    </row>
    <row r="1191" spans="12:21">
      <c r="L1191" s="15"/>
      <c r="M1191" s="15"/>
      <c r="N1191" s="15"/>
      <c r="T1191" s="15"/>
      <c r="U1191" s="15"/>
    </row>
    <row r="1192" spans="12:21">
      <c r="L1192" s="15"/>
      <c r="M1192" s="15"/>
      <c r="N1192" s="15"/>
      <c r="T1192" s="15"/>
      <c r="U1192" s="15"/>
    </row>
    <row r="1193" spans="12:21">
      <c r="L1193" s="15"/>
      <c r="M1193" s="15"/>
      <c r="N1193" s="15"/>
      <c r="T1193" s="15"/>
      <c r="U1193" s="15"/>
    </row>
    <row r="1194" spans="12:21">
      <c r="L1194" s="15"/>
      <c r="M1194" s="15"/>
      <c r="N1194" s="15"/>
      <c r="T1194" s="15"/>
      <c r="U1194" s="15"/>
    </row>
    <row r="1195" spans="12:21">
      <c r="L1195" s="15"/>
      <c r="M1195" s="15"/>
      <c r="N1195" s="15"/>
      <c r="T1195" s="15"/>
      <c r="U1195" s="15"/>
    </row>
    <row r="1196" spans="12:21">
      <c r="L1196" s="15"/>
      <c r="M1196" s="15"/>
      <c r="N1196" s="15"/>
      <c r="T1196" s="15"/>
      <c r="U1196" s="15"/>
    </row>
    <row r="1197" spans="12:21">
      <c r="L1197" s="15"/>
      <c r="M1197" s="15"/>
      <c r="N1197" s="15"/>
      <c r="T1197" s="15"/>
      <c r="U1197" s="15"/>
    </row>
    <row r="1198" spans="12:21">
      <c r="L1198" s="15"/>
      <c r="M1198" s="15"/>
      <c r="N1198" s="15"/>
      <c r="T1198" s="15"/>
      <c r="U1198" s="15"/>
    </row>
    <row r="1199" spans="12:21">
      <c r="L1199" s="15"/>
      <c r="M1199" s="15"/>
      <c r="N1199" s="15"/>
      <c r="T1199" s="15"/>
      <c r="U1199" s="15"/>
    </row>
    <row r="1200" spans="12:21">
      <c r="L1200" s="15"/>
      <c r="M1200" s="15"/>
      <c r="N1200" s="15"/>
      <c r="T1200" s="15"/>
      <c r="U1200" s="15"/>
    </row>
    <row r="1201" spans="12:21">
      <c r="L1201" s="15"/>
      <c r="M1201" s="15"/>
      <c r="N1201" s="15"/>
      <c r="T1201" s="15"/>
      <c r="U1201" s="15"/>
    </row>
    <row r="1202" spans="12:21">
      <c r="L1202" s="15"/>
      <c r="M1202" s="15"/>
      <c r="N1202" s="15"/>
      <c r="T1202" s="15"/>
      <c r="U1202" s="15"/>
    </row>
    <row r="1203" spans="12:21">
      <c r="L1203" s="15"/>
      <c r="M1203" s="15"/>
      <c r="N1203" s="15"/>
      <c r="T1203" s="15"/>
      <c r="U1203" s="15"/>
    </row>
    <row r="1204" spans="12:21">
      <c r="L1204" s="15"/>
      <c r="M1204" s="15"/>
      <c r="N1204" s="15"/>
      <c r="T1204" s="15"/>
      <c r="U1204" s="15"/>
    </row>
    <row r="1205" spans="12:21">
      <c r="L1205" s="15"/>
      <c r="M1205" s="15"/>
      <c r="N1205" s="15"/>
      <c r="T1205" s="15"/>
      <c r="U1205" s="15"/>
    </row>
    <row r="1206" spans="12:21">
      <c r="L1206" s="15"/>
      <c r="M1206" s="15"/>
      <c r="N1206" s="15"/>
      <c r="T1206" s="15"/>
      <c r="U1206" s="15"/>
    </row>
    <row r="1207" spans="12:21">
      <c r="L1207" s="15"/>
      <c r="M1207" s="15"/>
      <c r="N1207" s="15"/>
      <c r="T1207" s="15"/>
      <c r="U1207" s="15"/>
    </row>
    <row r="1208" spans="12:21">
      <c r="L1208" s="15"/>
      <c r="M1208" s="15"/>
      <c r="N1208" s="15"/>
      <c r="T1208" s="15"/>
      <c r="U1208" s="15"/>
    </row>
    <row r="1209" spans="12:21">
      <c r="L1209" s="15"/>
      <c r="M1209" s="15"/>
      <c r="N1209" s="15"/>
      <c r="T1209" s="15"/>
      <c r="U1209" s="15"/>
    </row>
    <row r="1210" spans="12:21">
      <c r="L1210" s="15"/>
      <c r="M1210" s="15"/>
      <c r="N1210" s="15"/>
      <c r="T1210" s="15"/>
      <c r="U1210" s="15"/>
    </row>
    <row r="1211" spans="12:21">
      <c r="L1211" s="15"/>
      <c r="M1211" s="15"/>
      <c r="N1211" s="15"/>
      <c r="T1211" s="15"/>
      <c r="U1211" s="15"/>
    </row>
    <row r="1212" spans="12:21">
      <c r="L1212" s="15"/>
      <c r="M1212" s="15"/>
      <c r="N1212" s="15"/>
      <c r="T1212" s="15"/>
      <c r="U1212" s="15"/>
    </row>
    <row r="1213" spans="12:21">
      <c r="L1213" s="15"/>
      <c r="M1213" s="15"/>
      <c r="N1213" s="15"/>
      <c r="T1213" s="15"/>
      <c r="U1213" s="15"/>
    </row>
    <row r="1214" spans="12:21">
      <c r="L1214" s="15"/>
      <c r="M1214" s="15"/>
      <c r="N1214" s="15"/>
      <c r="T1214" s="15"/>
      <c r="U1214" s="15"/>
    </row>
    <row r="1215" spans="12:21">
      <c r="L1215" s="15"/>
      <c r="M1215" s="15"/>
      <c r="N1215" s="15"/>
      <c r="T1215" s="15"/>
      <c r="U1215" s="15"/>
    </row>
    <row r="1216" spans="12:21">
      <c r="L1216" s="15"/>
      <c r="M1216" s="15"/>
      <c r="N1216" s="15"/>
      <c r="T1216" s="15"/>
      <c r="U1216" s="15"/>
    </row>
    <row r="1217" spans="12:21">
      <c r="L1217" s="15"/>
      <c r="M1217" s="15"/>
      <c r="N1217" s="15"/>
      <c r="T1217" s="15"/>
      <c r="U1217" s="15"/>
    </row>
    <row r="1218" spans="12:21">
      <c r="L1218" s="15"/>
      <c r="M1218" s="15"/>
      <c r="N1218" s="15"/>
      <c r="T1218" s="15"/>
      <c r="U1218" s="15"/>
    </row>
    <row r="1219" spans="12:21">
      <c r="L1219" s="15"/>
      <c r="M1219" s="15"/>
      <c r="N1219" s="15"/>
      <c r="T1219" s="15"/>
      <c r="U1219" s="15"/>
    </row>
    <row r="1220" spans="12:21">
      <c r="L1220" s="15"/>
      <c r="M1220" s="15"/>
      <c r="N1220" s="15"/>
      <c r="T1220" s="15"/>
      <c r="U1220" s="15"/>
    </row>
    <row r="1221" spans="12:21">
      <c r="L1221" s="15"/>
      <c r="M1221" s="15"/>
      <c r="N1221" s="15"/>
      <c r="T1221" s="15"/>
      <c r="U1221" s="15"/>
    </row>
    <row r="1222" spans="12:21">
      <c r="L1222" s="15"/>
      <c r="M1222" s="15"/>
      <c r="N1222" s="15"/>
      <c r="T1222" s="15"/>
      <c r="U1222" s="15"/>
    </row>
    <row r="1223" spans="12:21">
      <c r="L1223" s="15"/>
      <c r="M1223" s="15"/>
      <c r="N1223" s="15"/>
      <c r="T1223" s="15"/>
      <c r="U1223" s="15"/>
    </row>
    <row r="1224" spans="12:21">
      <c r="L1224" s="15"/>
      <c r="M1224" s="15"/>
      <c r="N1224" s="15"/>
      <c r="T1224" s="15"/>
      <c r="U1224" s="15"/>
    </row>
    <row r="1225" spans="12:21">
      <c r="L1225" s="15"/>
      <c r="M1225" s="15"/>
      <c r="N1225" s="15"/>
      <c r="T1225" s="15"/>
      <c r="U1225" s="15"/>
    </row>
    <row r="1226" spans="12:21">
      <c r="L1226" s="15"/>
      <c r="M1226" s="15"/>
      <c r="N1226" s="15"/>
      <c r="T1226" s="15"/>
      <c r="U1226" s="15"/>
    </row>
    <row r="1227" spans="12:21">
      <c r="L1227" s="15"/>
      <c r="M1227" s="15"/>
      <c r="N1227" s="15"/>
      <c r="T1227" s="15"/>
      <c r="U1227" s="15"/>
    </row>
    <row r="1228" spans="12:21">
      <c r="L1228" s="15"/>
      <c r="M1228" s="15"/>
      <c r="N1228" s="15"/>
      <c r="T1228" s="15"/>
      <c r="U1228" s="15"/>
    </row>
    <row r="1229" spans="12:21">
      <c r="L1229" s="15"/>
      <c r="M1229" s="15"/>
      <c r="N1229" s="15"/>
      <c r="T1229" s="15"/>
      <c r="U1229" s="15"/>
    </row>
    <row r="1230" spans="12:21">
      <c r="L1230" s="15"/>
      <c r="M1230" s="15"/>
      <c r="N1230" s="15"/>
      <c r="T1230" s="15"/>
      <c r="U1230" s="15"/>
    </row>
    <row r="1231" spans="12:21">
      <c r="L1231" s="15"/>
      <c r="M1231" s="15"/>
      <c r="N1231" s="15"/>
      <c r="T1231" s="15"/>
      <c r="U1231" s="15"/>
    </row>
    <row r="1232" spans="12:21">
      <c r="L1232" s="15"/>
      <c r="M1232" s="15"/>
      <c r="N1232" s="15"/>
      <c r="T1232" s="15"/>
      <c r="U1232" s="15"/>
    </row>
    <row r="1233" spans="12:21">
      <c r="L1233" s="15"/>
      <c r="M1233" s="15"/>
      <c r="N1233" s="15"/>
      <c r="T1233" s="15"/>
      <c r="U1233" s="15"/>
    </row>
    <row r="1234" spans="12:21">
      <c r="L1234" s="15"/>
      <c r="M1234" s="15"/>
      <c r="N1234" s="15"/>
      <c r="T1234" s="15"/>
      <c r="U1234" s="15"/>
    </row>
    <row r="1235" spans="12:21">
      <c r="L1235" s="15"/>
      <c r="M1235" s="15"/>
      <c r="N1235" s="15"/>
      <c r="T1235" s="15"/>
      <c r="U1235" s="15"/>
    </row>
    <row r="1236" spans="12:21">
      <c r="L1236" s="15"/>
      <c r="M1236" s="15"/>
      <c r="N1236" s="15"/>
      <c r="T1236" s="15"/>
      <c r="U1236" s="15"/>
    </row>
    <row r="1237" spans="12:21">
      <c r="L1237" s="15"/>
      <c r="M1237" s="15"/>
      <c r="N1237" s="15"/>
      <c r="T1237" s="15"/>
      <c r="U1237" s="15"/>
    </row>
    <row r="1238" spans="12:21">
      <c r="L1238" s="15"/>
      <c r="M1238" s="15"/>
      <c r="N1238" s="15"/>
      <c r="T1238" s="15"/>
      <c r="U1238" s="15"/>
    </row>
    <row r="1239" spans="12:21">
      <c r="L1239" s="15"/>
      <c r="M1239" s="15"/>
      <c r="N1239" s="15"/>
      <c r="T1239" s="15"/>
      <c r="U1239" s="15"/>
    </row>
    <row r="1240" spans="12:21">
      <c r="L1240" s="15"/>
      <c r="M1240" s="15"/>
      <c r="N1240" s="15"/>
      <c r="T1240" s="15"/>
      <c r="U1240" s="15"/>
    </row>
    <row r="1241" spans="12:21">
      <c r="L1241" s="15"/>
      <c r="M1241" s="15"/>
      <c r="N1241" s="15"/>
      <c r="T1241" s="15"/>
      <c r="U1241" s="15"/>
    </row>
    <row r="1242" spans="12:21">
      <c r="L1242" s="15"/>
      <c r="M1242" s="15"/>
      <c r="N1242" s="15"/>
      <c r="T1242" s="15"/>
      <c r="U1242" s="15"/>
    </row>
    <row r="1243" spans="12:21">
      <c r="L1243" s="15"/>
      <c r="M1243" s="15"/>
      <c r="N1243" s="15"/>
      <c r="T1243" s="15"/>
      <c r="U1243" s="15"/>
    </row>
    <row r="1244" spans="12:21">
      <c r="L1244" s="15"/>
      <c r="M1244" s="15"/>
      <c r="N1244" s="15"/>
      <c r="T1244" s="15"/>
      <c r="U1244" s="15"/>
    </row>
    <row r="1245" spans="12:21">
      <c r="L1245" s="15"/>
      <c r="M1245" s="15"/>
      <c r="N1245" s="15"/>
      <c r="T1245" s="15"/>
      <c r="U1245" s="15"/>
    </row>
    <row r="1246" spans="12:21">
      <c r="L1246" s="15"/>
      <c r="M1246" s="15"/>
      <c r="N1246" s="15"/>
      <c r="T1246" s="15"/>
      <c r="U1246" s="15"/>
    </row>
    <row r="1247" spans="12:21">
      <c r="L1247" s="15"/>
      <c r="M1247" s="15"/>
      <c r="N1247" s="15"/>
      <c r="T1247" s="15"/>
      <c r="U1247" s="15"/>
    </row>
    <row r="1248" spans="12:21">
      <c r="L1248" s="15"/>
      <c r="M1248" s="15"/>
      <c r="N1248" s="15"/>
      <c r="T1248" s="15"/>
      <c r="U1248" s="15"/>
    </row>
    <row r="1249" spans="12:21">
      <c r="L1249" s="15"/>
      <c r="M1249" s="15"/>
      <c r="N1249" s="15"/>
      <c r="T1249" s="15"/>
      <c r="U1249" s="15"/>
    </row>
    <row r="1250" spans="12:21">
      <c r="L1250" s="15"/>
      <c r="M1250" s="15"/>
      <c r="N1250" s="15"/>
      <c r="T1250" s="15"/>
      <c r="U1250" s="15"/>
    </row>
    <row r="1251" spans="12:21">
      <c r="L1251" s="15"/>
      <c r="M1251" s="15"/>
      <c r="N1251" s="15"/>
      <c r="T1251" s="15"/>
      <c r="U1251" s="15"/>
    </row>
    <row r="1252" spans="12:21">
      <c r="L1252" s="15"/>
      <c r="M1252" s="15"/>
      <c r="N1252" s="15"/>
      <c r="T1252" s="15"/>
      <c r="U1252" s="15"/>
    </row>
    <row r="1253" spans="12:21">
      <c r="L1253" s="15"/>
      <c r="M1253" s="15"/>
      <c r="N1253" s="15"/>
      <c r="T1253" s="15"/>
      <c r="U1253" s="15"/>
    </row>
    <row r="1254" spans="12:21">
      <c r="L1254" s="15"/>
      <c r="M1254" s="15"/>
      <c r="N1254" s="15"/>
      <c r="T1254" s="15"/>
      <c r="U1254" s="15"/>
    </row>
    <row r="1255" spans="12:21">
      <c r="L1255" s="15"/>
      <c r="M1255" s="15"/>
      <c r="N1255" s="15"/>
      <c r="T1255" s="15"/>
      <c r="U1255" s="15"/>
    </row>
    <row r="1256" spans="12:21">
      <c r="L1256" s="15"/>
      <c r="M1256" s="15"/>
      <c r="N1256" s="15"/>
      <c r="T1256" s="15"/>
      <c r="U1256" s="15"/>
    </row>
    <row r="1257" spans="12:21">
      <c r="L1257" s="15"/>
      <c r="M1257" s="15"/>
      <c r="N1257" s="15"/>
      <c r="T1257" s="15"/>
      <c r="U1257" s="15"/>
    </row>
    <row r="1258" spans="12:21">
      <c r="L1258" s="15"/>
      <c r="M1258" s="15"/>
      <c r="N1258" s="15"/>
      <c r="T1258" s="15"/>
      <c r="U1258" s="15"/>
    </row>
    <row r="1259" spans="12:21">
      <c r="L1259" s="15"/>
      <c r="M1259" s="15"/>
      <c r="N1259" s="15"/>
      <c r="T1259" s="15"/>
      <c r="U1259" s="15"/>
    </row>
    <row r="1260" spans="12:21">
      <c r="L1260" s="15"/>
      <c r="M1260" s="15"/>
      <c r="N1260" s="15"/>
      <c r="T1260" s="15"/>
      <c r="U1260" s="15"/>
    </row>
    <row r="1261" spans="12:21">
      <c r="L1261" s="15"/>
      <c r="M1261" s="15"/>
      <c r="N1261" s="15"/>
      <c r="T1261" s="15"/>
      <c r="U1261" s="15"/>
    </row>
    <row r="1262" spans="12:21">
      <c r="L1262" s="15"/>
      <c r="M1262" s="15"/>
      <c r="N1262" s="15"/>
      <c r="T1262" s="15"/>
      <c r="U1262" s="15"/>
    </row>
    <row r="1263" spans="12:21">
      <c r="L1263" s="15"/>
      <c r="M1263" s="15"/>
      <c r="N1263" s="15"/>
      <c r="T1263" s="15"/>
      <c r="U1263" s="15"/>
    </row>
    <row r="1264" spans="12:21">
      <c r="L1264" s="15"/>
      <c r="M1264" s="15"/>
      <c r="N1264" s="15"/>
      <c r="T1264" s="15"/>
      <c r="U1264" s="15"/>
    </row>
    <row r="1265" spans="12:21">
      <c r="L1265" s="15"/>
      <c r="M1265" s="15"/>
      <c r="N1265" s="15"/>
      <c r="T1265" s="15"/>
      <c r="U1265" s="15"/>
    </row>
    <row r="1266" spans="12:21">
      <c r="L1266" s="15"/>
      <c r="M1266" s="15"/>
      <c r="N1266" s="15"/>
      <c r="T1266" s="15"/>
      <c r="U1266" s="15"/>
    </row>
    <row r="1267" spans="12:21">
      <c r="L1267" s="15"/>
      <c r="M1267" s="15"/>
      <c r="N1267" s="15"/>
      <c r="T1267" s="15"/>
      <c r="U1267" s="15"/>
    </row>
    <row r="1268" spans="12:21">
      <c r="L1268" s="15"/>
      <c r="M1268" s="15"/>
      <c r="N1268" s="15"/>
      <c r="T1268" s="15"/>
      <c r="U1268" s="15"/>
    </row>
    <row r="1269" spans="12:21">
      <c r="L1269" s="15"/>
      <c r="M1269" s="15"/>
      <c r="N1269" s="15"/>
      <c r="T1269" s="15"/>
      <c r="U1269" s="15"/>
    </row>
    <row r="1270" spans="12:21">
      <c r="L1270" s="15"/>
      <c r="M1270" s="15"/>
      <c r="N1270" s="15"/>
      <c r="T1270" s="15"/>
      <c r="U1270" s="15"/>
    </row>
    <row r="1271" spans="12:21">
      <c r="L1271" s="15"/>
      <c r="M1271" s="15"/>
      <c r="N1271" s="15"/>
      <c r="T1271" s="15"/>
      <c r="U1271" s="15"/>
    </row>
    <row r="1272" spans="12:21">
      <c r="L1272" s="15"/>
      <c r="M1272" s="15"/>
      <c r="N1272" s="15"/>
      <c r="T1272" s="15"/>
      <c r="U1272" s="15"/>
    </row>
    <row r="1273" spans="12:21">
      <c r="L1273" s="15"/>
      <c r="M1273" s="15"/>
      <c r="N1273" s="15"/>
      <c r="T1273" s="15"/>
      <c r="U1273" s="15"/>
    </row>
    <row r="1274" spans="12:21">
      <c r="L1274" s="15"/>
      <c r="M1274" s="15"/>
      <c r="N1274" s="15"/>
      <c r="T1274" s="15"/>
      <c r="U1274" s="15"/>
    </row>
    <row r="1275" spans="12:21">
      <c r="L1275" s="15"/>
      <c r="M1275" s="15"/>
      <c r="N1275" s="15"/>
      <c r="T1275" s="15"/>
      <c r="U1275" s="15"/>
    </row>
    <row r="1276" spans="12:21">
      <c r="L1276" s="15"/>
      <c r="M1276" s="15"/>
      <c r="N1276" s="15"/>
      <c r="T1276" s="15"/>
      <c r="U1276" s="15"/>
    </row>
    <row r="1277" spans="12:21">
      <c r="L1277" s="15"/>
      <c r="M1277" s="15"/>
      <c r="N1277" s="15"/>
      <c r="T1277" s="15"/>
      <c r="U1277" s="15"/>
    </row>
    <row r="1278" spans="12:21">
      <c r="L1278" s="15"/>
      <c r="M1278" s="15"/>
      <c r="N1278" s="15"/>
      <c r="T1278" s="15"/>
      <c r="U1278" s="15"/>
    </row>
    <row r="1279" spans="12:21">
      <c r="L1279" s="15"/>
      <c r="M1279" s="15"/>
      <c r="N1279" s="15"/>
      <c r="T1279" s="15"/>
      <c r="U1279" s="15"/>
    </row>
    <row r="1280" spans="12:21">
      <c r="L1280" s="15"/>
      <c r="M1280" s="15"/>
      <c r="N1280" s="15"/>
      <c r="T1280" s="15"/>
      <c r="U1280" s="15"/>
    </row>
    <row r="1281" spans="12:21">
      <c r="L1281" s="15"/>
      <c r="M1281" s="15"/>
      <c r="N1281" s="15"/>
      <c r="T1281" s="15"/>
      <c r="U1281" s="15"/>
    </row>
    <row r="1282" spans="12:21">
      <c r="L1282" s="15"/>
      <c r="M1282" s="15"/>
      <c r="N1282" s="15"/>
      <c r="T1282" s="15"/>
      <c r="U1282" s="15"/>
    </row>
    <row r="1283" spans="12:21">
      <c r="L1283" s="15"/>
      <c r="M1283" s="15"/>
      <c r="N1283" s="15"/>
      <c r="T1283" s="15"/>
      <c r="U1283" s="15"/>
    </row>
    <row r="1284" spans="12:21">
      <c r="L1284" s="15"/>
      <c r="M1284" s="15"/>
      <c r="N1284" s="15"/>
      <c r="T1284" s="15"/>
      <c r="U1284" s="15"/>
    </row>
    <row r="1285" spans="12:21">
      <c r="L1285" s="15"/>
      <c r="M1285" s="15"/>
      <c r="N1285" s="15"/>
      <c r="T1285" s="15"/>
      <c r="U1285" s="15"/>
    </row>
    <row r="1286" spans="12:21">
      <c r="L1286" s="15"/>
      <c r="M1286" s="15"/>
      <c r="N1286" s="15"/>
      <c r="T1286" s="15"/>
      <c r="U1286" s="15"/>
    </row>
    <row r="1287" spans="12:21">
      <c r="L1287" s="15"/>
      <c r="M1287" s="15"/>
      <c r="N1287" s="15"/>
      <c r="T1287" s="15"/>
      <c r="U1287" s="15"/>
    </row>
    <row r="1288" spans="12:21">
      <c r="L1288" s="15"/>
      <c r="M1288" s="15"/>
      <c r="N1288" s="15"/>
      <c r="T1288" s="15"/>
      <c r="U1288" s="15"/>
    </row>
    <row r="1289" spans="12:21">
      <c r="L1289" s="15"/>
      <c r="M1289" s="15"/>
      <c r="N1289" s="15"/>
      <c r="T1289" s="15"/>
      <c r="U1289" s="15"/>
    </row>
    <row r="1290" spans="12:21">
      <c r="L1290" s="15"/>
      <c r="M1290" s="15"/>
      <c r="N1290" s="15"/>
      <c r="T1290" s="15"/>
      <c r="U1290" s="15"/>
    </row>
    <row r="1291" spans="12:21">
      <c r="L1291" s="15"/>
      <c r="M1291" s="15"/>
      <c r="N1291" s="15"/>
      <c r="T1291" s="15"/>
      <c r="U1291" s="15"/>
    </row>
    <row r="1292" spans="12:21">
      <c r="L1292" s="15"/>
      <c r="M1292" s="15"/>
      <c r="N1292" s="15"/>
      <c r="T1292" s="15"/>
      <c r="U1292" s="15"/>
    </row>
    <row r="1293" spans="12:21">
      <c r="L1293" s="15"/>
      <c r="M1293" s="15"/>
      <c r="N1293" s="15"/>
      <c r="T1293" s="15"/>
      <c r="U1293" s="15"/>
    </row>
    <row r="1294" spans="12:21">
      <c r="L1294" s="15"/>
      <c r="M1294" s="15"/>
      <c r="N1294" s="15"/>
      <c r="T1294" s="15"/>
      <c r="U1294" s="15"/>
    </row>
    <row r="1295" spans="12:21">
      <c r="L1295" s="15"/>
      <c r="M1295" s="15"/>
      <c r="N1295" s="15"/>
      <c r="T1295" s="15"/>
      <c r="U1295" s="15"/>
    </row>
    <row r="1296" spans="12:21">
      <c r="L1296" s="15"/>
      <c r="M1296" s="15"/>
      <c r="N1296" s="15"/>
      <c r="T1296" s="15"/>
      <c r="U1296" s="15"/>
    </row>
    <row r="1297" spans="12:21">
      <c r="L1297" s="15"/>
      <c r="M1297" s="15"/>
      <c r="N1297" s="15"/>
      <c r="T1297" s="15"/>
      <c r="U1297" s="15"/>
    </row>
    <row r="1298" spans="12:21">
      <c r="L1298" s="15"/>
      <c r="M1298" s="15"/>
      <c r="N1298" s="15"/>
      <c r="T1298" s="15"/>
      <c r="U1298" s="15"/>
    </row>
    <row r="1299" spans="12:21">
      <c r="L1299" s="15"/>
      <c r="M1299" s="15"/>
      <c r="N1299" s="15"/>
      <c r="T1299" s="15"/>
      <c r="U1299" s="15"/>
    </row>
    <row r="1300" spans="12:21">
      <c r="L1300" s="15"/>
      <c r="M1300" s="15"/>
      <c r="N1300" s="15"/>
      <c r="T1300" s="15"/>
      <c r="U1300" s="15"/>
    </row>
    <row r="1301" spans="12:21">
      <c r="L1301" s="15"/>
      <c r="M1301" s="15"/>
      <c r="N1301" s="15"/>
      <c r="T1301" s="15"/>
      <c r="U1301" s="15"/>
    </row>
    <row r="1302" spans="12:21">
      <c r="L1302" s="15"/>
      <c r="M1302" s="15"/>
      <c r="N1302" s="15"/>
      <c r="T1302" s="15"/>
      <c r="U1302" s="15"/>
    </row>
    <row r="1303" spans="12:21">
      <c r="L1303" s="15"/>
      <c r="M1303" s="15"/>
      <c r="N1303" s="15"/>
      <c r="T1303" s="15"/>
      <c r="U1303" s="15"/>
    </row>
    <row r="1304" spans="12:21">
      <c r="L1304" s="15"/>
      <c r="M1304" s="15"/>
      <c r="N1304" s="15"/>
      <c r="T1304" s="15"/>
      <c r="U1304" s="15"/>
    </row>
    <row r="1305" spans="12:21">
      <c r="L1305" s="15"/>
      <c r="M1305" s="15"/>
      <c r="N1305" s="15"/>
      <c r="T1305" s="15"/>
      <c r="U1305" s="15"/>
    </row>
    <row r="1306" spans="12:21">
      <c r="L1306" s="15"/>
      <c r="M1306" s="15"/>
      <c r="N1306" s="15"/>
      <c r="T1306" s="15"/>
      <c r="U1306" s="15"/>
    </row>
    <row r="1307" spans="12:21">
      <c r="L1307" s="15"/>
      <c r="M1307" s="15"/>
      <c r="N1307" s="15"/>
      <c r="T1307" s="15"/>
      <c r="U1307" s="15"/>
    </row>
    <row r="1308" spans="12:21">
      <c r="L1308" s="15"/>
      <c r="M1308" s="15"/>
      <c r="N1308" s="15"/>
      <c r="T1308" s="15"/>
      <c r="U1308" s="15"/>
    </row>
    <row r="1309" spans="12:21">
      <c r="L1309" s="15"/>
      <c r="M1309" s="15"/>
      <c r="N1309" s="15"/>
      <c r="T1309" s="15"/>
      <c r="U1309" s="15"/>
    </row>
    <row r="1310" spans="12:21">
      <c r="L1310" s="15"/>
      <c r="M1310" s="15"/>
      <c r="N1310" s="15"/>
      <c r="T1310" s="15"/>
      <c r="U1310" s="15"/>
    </row>
    <row r="1311" spans="12:21">
      <c r="L1311" s="15"/>
      <c r="M1311" s="15"/>
      <c r="N1311" s="15"/>
      <c r="T1311" s="15"/>
      <c r="U1311" s="15"/>
    </row>
    <row r="1312" spans="12:21">
      <c r="L1312" s="15"/>
      <c r="M1312" s="15"/>
      <c r="N1312" s="15"/>
      <c r="T1312" s="15"/>
      <c r="U1312" s="15"/>
    </row>
    <row r="1313" spans="12:21">
      <c r="L1313" s="15"/>
      <c r="M1313" s="15"/>
      <c r="N1313" s="15"/>
      <c r="T1313" s="15"/>
      <c r="U1313" s="15"/>
    </row>
    <row r="1314" spans="12:21">
      <c r="L1314" s="15"/>
      <c r="M1314" s="15"/>
      <c r="N1314" s="15"/>
      <c r="T1314" s="15"/>
      <c r="U1314" s="15"/>
    </row>
    <row r="1315" spans="12:21">
      <c r="L1315" s="15"/>
      <c r="M1315" s="15"/>
      <c r="N1315" s="15"/>
      <c r="T1315" s="15"/>
      <c r="U1315" s="15"/>
    </row>
    <row r="1316" spans="12:21">
      <c r="L1316" s="15"/>
      <c r="M1316" s="15"/>
      <c r="N1316" s="15"/>
      <c r="T1316" s="15"/>
      <c r="U1316" s="15"/>
    </row>
    <row r="1317" spans="12:21">
      <c r="L1317" s="15"/>
      <c r="M1317" s="15"/>
      <c r="N1317" s="15"/>
      <c r="T1317" s="15"/>
      <c r="U1317" s="15"/>
    </row>
    <row r="1318" spans="12:21">
      <c r="L1318" s="15"/>
      <c r="M1318" s="15"/>
      <c r="N1318" s="15"/>
      <c r="T1318" s="15"/>
      <c r="U1318" s="15"/>
    </row>
    <row r="1319" spans="12:21">
      <c r="L1319" s="15"/>
      <c r="M1319" s="15"/>
      <c r="N1319" s="15"/>
      <c r="T1319" s="15"/>
      <c r="U1319" s="15"/>
    </row>
    <row r="1320" spans="12:21">
      <c r="L1320" s="15"/>
      <c r="M1320" s="15"/>
      <c r="N1320" s="15"/>
      <c r="T1320" s="15"/>
      <c r="U1320" s="15"/>
    </row>
    <row r="1321" spans="12:21">
      <c r="L1321" s="15"/>
      <c r="M1321" s="15"/>
      <c r="N1321" s="15"/>
      <c r="T1321" s="15"/>
      <c r="U1321" s="15"/>
    </row>
    <row r="1322" spans="12:21">
      <c r="L1322" s="15"/>
      <c r="M1322" s="15"/>
      <c r="N1322" s="15"/>
      <c r="T1322" s="15"/>
      <c r="U1322" s="15"/>
    </row>
    <row r="1323" spans="12:21">
      <c r="L1323" s="15"/>
      <c r="M1323" s="15"/>
      <c r="N1323" s="15"/>
      <c r="T1323" s="15"/>
      <c r="U1323" s="15"/>
    </row>
    <row r="1324" spans="12:21">
      <c r="L1324" s="15"/>
      <c r="M1324" s="15"/>
      <c r="N1324" s="15"/>
      <c r="T1324" s="15"/>
      <c r="U1324" s="15"/>
    </row>
    <row r="1325" spans="12:21">
      <c r="L1325" s="15"/>
      <c r="M1325" s="15"/>
      <c r="N1325" s="15"/>
      <c r="T1325" s="15"/>
      <c r="U1325" s="15"/>
    </row>
    <row r="1326" spans="12:21">
      <c r="L1326" s="15"/>
      <c r="M1326" s="15"/>
      <c r="N1326" s="15"/>
      <c r="T1326" s="15"/>
      <c r="U1326" s="15"/>
    </row>
    <row r="1327" spans="12:21">
      <c r="L1327" s="15"/>
      <c r="M1327" s="15"/>
      <c r="N1327" s="15"/>
      <c r="T1327" s="15"/>
      <c r="U1327" s="15"/>
    </row>
    <row r="1328" spans="12:21">
      <c r="L1328" s="15"/>
      <c r="M1328" s="15"/>
      <c r="N1328" s="15"/>
      <c r="T1328" s="15"/>
      <c r="U1328" s="15"/>
    </row>
    <row r="1329" spans="12:21">
      <c r="L1329" s="15"/>
      <c r="M1329" s="15"/>
      <c r="N1329" s="15"/>
      <c r="T1329" s="15"/>
      <c r="U1329" s="15"/>
    </row>
    <row r="1330" spans="12:21">
      <c r="L1330" s="15"/>
      <c r="M1330" s="15"/>
      <c r="N1330" s="15"/>
      <c r="T1330" s="15"/>
      <c r="U1330" s="15"/>
    </row>
    <row r="1331" spans="12:21">
      <c r="L1331" s="15"/>
      <c r="M1331" s="15"/>
      <c r="N1331" s="15"/>
      <c r="T1331" s="15"/>
      <c r="U1331" s="15"/>
    </row>
    <row r="1332" spans="12:21">
      <c r="L1332" s="15"/>
      <c r="M1332" s="15"/>
      <c r="N1332" s="15"/>
      <c r="T1332" s="15"/>
      <c r="U1332" s="15"/>
    </row>
    <row r="1333" spans="12:21">
      <c r="L1333" s="15"/>
      <c r="M1333" s="15"/>
      <c r="N1333" s="15"/>
      <c r="T1333" s="15"/>
      <c r="U1333" s="15"/>
    </row>
    <row r="1334" spans="12:21">
      <c r="L1334" s="15"/>
      <c r="M1334" s="15"/>
      <c r="N1334" s="15"/>
      <c r="T1334" s="15"/>
      <c r="U1334" s="15"/>
    </row>
    <row r="1335" spans="12:21">
      <c r="L1335" s="15"/>
      <c r="M1335" s="15"/>
      <c r="N1335" s="15"/>
      <c r="T1335" s="15"/>
      <c r="U1335" s="15"/>
    </row>
    <row r="1336" spans="12:21">
      <c r="L1336" s="15"/>
      <c r="M1336" s="15"/>
      <c r="N1336" s="15"/>
      <c r="T1336" s="15"/>
      <c r="U1336" s="15"/>
    </row>
    <row r="1337" spans="12:21">
      <c r="L1337" s="15"/>
      <c r="M1337" s="15"/>
      <c r="N1337" s="15"/>
      <c r="T1337" s="15"/>
      <c r="U1337" s="15"/>
    </row>
    <row r="1338" spans="12:21">
      <c r="L1338" s="15"/>
      <c r="M1338" s="15"/>
      <c r="N1338" s="15"/>
      <c r="T1338" s="15"/>
      <c r="U1338" s="15"/>
    </row>
    <row r="1339" spans="12:21">
      <c r="L1339" s="15"/>
      <c r="M1339" s="15"/>
      <c r="N1339" s="15"/>
      <c r="T1339" s="15"/>
      <c r="U1339" s="15"/>
    </row>
    <row r="1340" spans="12:21">
      <c r="L1340" s="15"/>
      <c r="M1340" s="15"/>
      <c r="N1340" s="15"/>
      <c r="T1340" s="15"/>
      <c r="U1340" s="15"/>
    </row>
    <row r="1341" spans="12:21">
      <c r="L1341" s="15"/>
      <c r="M1341" s="15"/>
      <c r="N1341" s="15"/>
      <c r="T1341" s="15"/>
      <c r="U1341" s="15"/>
    </row>
    <row r="1342" spans="12:21">
      <c r="L1342" s="15"/>
      <c r="M1342" s="15"/>
      <c r="N1342" s="15"/>
      <c r="T1342" s="15"/>
      <c r="U1342" s="15"/>
    </row>
    <row r="1343" spans="12:21">
      <c r="L1343" s="15"/>
      <c r="M1343" s="15"/>
      <c r="N1343" s="15"/>
      <c r="T1343" s="15"/>
      <c r="U1343" s="15"/>
    </row>
    <row r="1344" spans="12:21">
      <c r="L1344" s="15"/>
      <c r="M1344" s="15"/>
      <c r="N1344" s="15"/>
      <c r="T1344" s="15"/>
      <c r="U1344" s="15"/>
    </row>
    <row r="1345" spans="12:21">
      <c r="L1345" s="15"/>
      <c r="M1345" s="15"/>
      <c r="N1345" s="15"/>
      <c r="T1345" s="15"/>
      <c r="U1345" s="15"/>
    </row>
    <row r="1346" spans="12:21">
      <c r="L1346" s="15"/>
      <c r="M1346" s="15"/>
      <c r="N1346" s="15"/>
      <c r="T1346" s="15"/>
      <c r="U1346" s="15"/>
    </row>
    <row r="1347" spans="12:21">
      <c r="L1347" s="15"/>
      <c r="M1347" s="15"/>
      <c r="N1347" s="15"/>
      <c r="T1347" s="15"/>
      <c r="U1347" s="15"/>
    </row>
    <row r="1348" spans="12:21">
      <c r="L1348" s="15"/>
      <c r="M1348" s="15"/>
      <c r="N1348" s="15"/>
      <c r="T1348" s="15"/>
      <c r="U1348" s="15"/>
    </row>
    <row r="1349" spans="12:21">
      <c r="L1349" s="15"/>
      <c r="M1349" s="15"/>
      <c r="N1349" s="15"/>
      <c r="T1349" s="15"/>
      <c r="U1349" s="15"/>
    </row>
    <row r="1350" spans="12:21">
      <c r="L1350" s="15"/>
      <c r="M1350" s="15"/>
      <c r="N1350" s="15"/>
      <c r="T1350" s="15"/>
      <c r="U1350" s="15"/>
    </row>
    <row r="1351" spans="12:21">
      <c r="L1351" s="15"/>
      <c r="M1351" s="15"/>
      <c r="N1351" s="15"/>
      <c r="T1351" s="15"/>
      <c r="U1351" s="15"/>
    </row>
    <row r="1352" spans="12:21">
      <c r="L1352" s="15"/>
      <c r="M1352" s="15"/>
      <c r="N1352" s="15"/>
      <c r="T1352" s="15"/>
      <c r="U1352" s="15"/>
    </row>
    <row r="1353" spans="12:21">
      <c r="L1353" s="15"/>
      <c r="M1353" s="15"/>
      <c r="N1353" s="15"/>
      <c r="T1353" s="15"/>
      <c r="U1353" s="15"/>
    </row>
    <row r="1354" spans="12:21">
      <c r="L1354" s="15"/>
      <c r="M1354" s="15"/>
      <c r="N1354" s="15"/>
      <c r="T1354" s="15"/>
      <c r="U1354" s="15"/>
    </row>
    <row r="1355" spans="12:21">
      <c r="L1355" s="15"/>
      <c r="M1355" s="15"/>
      <c r="N1355" s="15"/>
      <c r="T1355" s="15"/>
      <c r="U1355" s="15"/>
    </row>
    <row r="1356" spans="12:21">
      <c r="L1356" s="15"/>
      <c r="M1356" s="15"/>
      <c r="N1356" s="15"/>
      <c r="T1356" s="15"/>
      <c r="U1356" s="15"/>
    </row>
    <row r="1357" spans="12:21">
      <c r="L1357" s="15"/>
      <c r="M1357" s="15"/>
      <c r="N1357" s="15"/>
      <c r="T1357" s="15"/>
      <c r="U1357" s="15"/>
    </row>
    <row r="1358" spans="12:21">
      <c r="L1358" s="15"/>
      <c r="M1358" s="15"/>
      <c r="N1358" s="15"/>
      <c r="T1358" s="15"/>
      <c r="U1358" s="15"/>
    </row>
    <row r="1359" spans="12:21">
      <c r="L1359" s="15"/>
      <c r="M1359" s="15"/>
      <c r="N1359" s="15"/>
      <c r="T1359" s="15"/>
      <c r="U1359" s="15"/>
    </row>
    <row r="1360" spans="12:21">
      <c r="L1360" s="15"/>
      <c r="M1360" s="15"/>
      <c r="N1360" s="15"/>
      <c r="T1360" s="15"/>
      <c r="U1360" s="15"/>
    </row>
    <row r="1361" spans="12:21">
      <c r="L1361" s="15"/>
      <c r="M1361" s="15"/>
      <c r="N1361" s="15"/>
      <c r="T1361" s="15"/>
      <c r="U1361" s="15"/>
    </row>
    <row r="1362" spans="12:21">
      <c r="L1362" s="15"/>
      <c r="M1362" s="15"/>
      <c r="N1362" s="15"/>
      <c r="T1362" s="15"/>
      <c r="U1362" s="15"/>
    </row>
    <row r="1363" spans="12:21">
      <c r="L1363" s="15"/>
      <c r="M1363" s="15"/>
      <c r="N1363" s="15"/>
      <c r="T1363" s="15"/>
      <c r="U1363" s="15"/>
    </row>
    <row r="1364" spans="12:21">
      <c r="L1364" s="15"/>
      <c r="M1364" s="15"/>
      <c r="N1364" s="15"/>
      <c r="T1364" s="15"/>
      <c r="U1364" s="15"/>
    </row>
    <row r="1365" spans="12:21">
      <c r="L1365" s="15"/>
      <c r="M1365" s="15"/>
      <c r="N1365" s="15"/>
      <c r="T1365" s="15"/>
      <c r="U1365" s="15"/>
    </row>
    <row r="1366" spans="12:21">
      <c r="L1366" s="15"/>
      <c r="M1366" s="15"/>
      <c r="N1366" s="15"/>
      <c r="T1366" s="15"/>
      <c r="U1366" s="15"/>
    </row>
    <row r="1367" spans="12:21">
      <c r="L1367" s="15"/>
      <c r="M1367" s="15"/>
      <c r="N1367" s="15"/>
      <c r="T1367" s="15"/>
      <c r="U1367" s="15"/>
    </row>
    <row r="1368" spans="12:21">
      <c r="L1368" s="15"/>
      <c r="M1368" s="15"/>
      <c r="N1368" s="15"/>
      <c r="T1368" s="15"/>
      <c r="U1368" s="15"/>
    </row>
    <row r="1369" spans="12:21">
      <c r="L1369" s="15"/>
      <c r="M1369" s="15"/>
      <c r="N1369" s="15"/>
      <c r="T1369" s="15"/>
      <c r="U1369" s="15"/>
    </row>
    <row r="1370" spans="12:21">
      <c r="L1370" s="15"/>
      <c r="M1370" s="15"/>
      <c r="N1370" s="15"/>
      <c r="T1370" s="15"/>
      <c r="U1370" s="15"/>
    </row>
    <row r="1371" spans="12:21">
      <c r="L1371" s="15"/>
      <c r="M1371" s="15"/>
      <c r="N1371" s="15"/>
      <c r="T1371" s="15"/>
      <c r="U1371" s="15"/>
    </row>
    <row r="1372" spans="12:21">
      <c r="L1372" s="15"/>
      <c r="M1372" s="15"/>
      <c r="N1372" s="15"/>
      <c r="T1372" s="15"/>
      <c r="U1372" s="15"/>
    </row>
    <row r="1373" spans="12:21">
      <c r="L1373" s="15"/>
      <c r="M1373" s="15"/>
      <c r="N1373" s="15"/>
      <c r="T1373" s="15"/>
      <c r="U1373" s="15"/>
    </row>
    <row r="1374" spans="12:21">
      <c r="L1374" s="15"/>
      <c r="M1374" s="15"/>
      <c r="N1374" s="15"/>
      <c r="T1374" s="15"/>
      <c r="U1374" s="15"/>
    </row>
    <row r="1375" spans="12:21">
      <c r="L1375" s="15"/>
      <c r="M1375" s="15"/>
      <c r="N1375" s="15"/>
      <c r="T1375" s="15"/>
      <c r="U1375" s="15"/>
    </row>
    <row r="1376" spans="12:21">
      <c r="L1376" s="15"/>
      <c r="M1376" s="15"/>
      <c r="N1376" s="15"/>
      <c r="T1376" s="15"/>
      <c r="U1376" s="15"/>
    </row>
    <row r="1377" spans="12:21">
      <c r="L1377" s="15"/>
      <c r="M1377" s="15"/>
      <c r="N1377" s="15"/>
      <c r="T1377" s="15"/>
      <c r="U1377" s="15"/>
    </row>
    <row r="1378" spans="12:21">
      <c r="L1378" s="15"/>
      <c r="M1378" s="15"/>
      <c r="N1378" s="15"/>
      <c r="T1378" s="15"/>
      <c r="U1378" s="15"/>
    </row>
    <row r="1379" spans="12:21">
      <c r="L1379" s="15"/>
      <c r="M1379" s="15"/>
      <c r="N1379" s="15"/>
      <c r="T1379" s="15"/>
      <c r="U1379" s="15"/>
    </row>
    <row r="1380" spans="12:21">
      <c r="L1380" s="15"/>
      <c r="M1380" s="15"/>
      <c r="N1380" s="15"/>
      <c r="T1380" s="15"/>
      <c r="U1380" s="15"/>
    </row>
    <row r="1381" spans="12:21">
      <c r="L1381" s="15"/>
      <c r="M1381" s="15"/>
      <c r="N1381" s="15"/>
      <c r="T1381" s="15"/>
      <c r="U1381" s="15"/>
    </row>
    <row r="1382" spans="12:21">
      <c r="L1382" s="15"/>
      <c r="M1382" s="15"/>
      <c r="N1382" s="15"/>
      <c r="T1382" s="15"/>
      <c r="U1382" s="15"/>
    </row>
    <row r="1383" spans="12:21">
      <c r="L1383" s="15"/>
      <c r="M1383" s="15"/>
      <c r="N1383" s="15"/>
      <c r="T1383" s="15"/>
      <c r="U1383" s="15"/>
    </row>
    <row r="1384" spans="12:21">
      <c r="L1384" s="15"/>
      <c r="M1384" s="15"/>
      <c r="N1384" s="15"/>
      <c r="T1384" s="15"/>
      <c r="U1384" s="15"/>
    </row>
    <row r="1385" spans="12:21">
      <c r="L1385" s="15"/>
      <c r="M1385" s="15"/>
      <c r="N1385" s="15"/>
      <c r="T1385" s="15"/>
      <c r="U1385" s="15"/>
    </row>
    <row r="1386" spans="12:21">
      <c r="L1386" s="15"/>
      <c r="M1386" s="15"/>
      <c r="N1386" s="15"/>
      <c r="T1386" s="15"/>
      <c r="U1386" s="15"/>
    </row>
    <row r="1387" spans="12:21">
      <c r="L1387" s="15"/>
      <c r="M1387" s="15"/>
      <c r="N1387" s="15"/>
      <c r="T1387" s="15"/>
      <c r="U1387" s="15"/>
    </row>
    <row r="1388" spans="12:21">
      <c r="L1388" s="15"/>
      <c r="M1388" s="15"/>
      <c r="N1388" s="15"/>
      <c r="T1388" s="15"/>
      <c r="U1388" s="15"/>
    </row>
    <row r="1389" spans="12:21">
      <c r="L1389" s="15"/>
      <c r="M1389" s="15"/>
      <c r="N1389" s="15"/>
      <c r="T1389" s="15"/>
      <c r="U1389" s="15"/>
    </row>
    <row r="1390" spans="12:21">
      <c r="L1390" s="15"/>
      <c r="M1390" s="15"/>
      <c r="N1390" s="15"/>
      <c r="T1390" s="15"/>
      <c r="U1390" s="15"/>
    </row>
    <row r="1391" spans="12:21">
      <c r="L1391" s="15"/>
      <c r="M1391" s="15"/>
      <c r="N1391" s="15"/>
      <c r="T1391" s="15"/>
      <c r="U1391" s="15"/>
    </row>
    <row r="1392" spans="12:21">
      <c r="L1392" s="15"/>
      <c r="M1392" s="15"/>
      <c r="N1392" s="15"/>
      <c r="T1392" s="15"/>
      <c r="U1392" s="15"/>
    </row>
    <row r="1393" spans="12:21">
      <c r="L1393" s="15"/>
      <c r="M1393" s="15"/>
      <c r="N1393" s="15"/>
      <c r="T1393" s="15"/>
      <c r="U1393" s="15"/>
    </row>
    <row r="1394" spans="12:21">
      <c r="L1394" s="15"/>
      <c r="M1394" s="15"/>
      <c r="N1394" s="15"/>
      <c r="T1394" s="15"/>
      <c r="U1394" s="15"/>
    </row>
    <row r="1395" spans="12:21">
      <c r="L1395" s="15"/>
      <c r="M1395" s="15"/>
      <c r="N1395" s="15"/>
      <c r="T1395" s="15"/>
      <c r="U1395" s="15"/>
    </row>
    <row r="1396" spans="12:21">
      <c r="L1396" s="15"/>
      <c r="M1396" s="15"/>
      <c r="N1396" s="15"/>
      <c r="T1396" s="15"/>
      <c r="U1396" s="15"/>
    </row>
    <row r="1397" spans="12:21">
      <c r="L1397" s="15"/>
      <c r="M1397" s="15"/>
      <c r="N1397" s="15"/>
      <c r="T1397" s="15"/>
      <c r="U1397" s="15"/>
    </row>
    <row r="1398" spans="12:21">
      <c r="L1398" s="15"/>
      <c r="M1398" s="15"/>
      <c r="N1398" s="15"/>
      <c r="T1398" s="15"/>
      <c r="U1398" s="15"/>
    </row>
    <row r="1399" spans="12:21">
      <c r="L1399" s="15"/>
      <c r="M1399" s="15"/>
      <c r="N1399" s="15"/>
      <c r="T1399" s="15"/>
      <c r="U1399" s="15"/>
    </row>
    <row r="1400" spans="12:21">
      <c r="L1400" s="15"/>
      <c r="M1400" s="15"/>
      <c r="N1400" s="15"/>
      <c r="T1400" s="15"/>
      <c r="U1400" s="15"/>
    </row>
    <row r="1401" spans="12:21">
      <c r="L1401" s="15"/>
      <c r="M1401" s="15"/>
      <c r="N1401" s="15"/>
      <c r="T1401" s="15"/>
      <c r="U1401" s="15"/>
    </row>
    <row r="1402" spans="12:21">
      <c r="L1402" s="15"/>
      <c r="M1402" s="15"/>
      <c r="N1402" s="15"/>
      <c r="T1402" s="15"/>
      <c r="U1402" s="15"/>
    </row>
    <row r="1403" spans="12:21">
      <c r="L1403" s="15"/>
      <c r="M1403" s="15"/>
      <c r="N1403" s="15"/>
      <c r="T1403" s="15"/>
      <c r="U1403" s="15"/>
    </row>
    <row r="1404" spans="12:21">
      <c r="L1404" s="15"/>
      <c r="M1404" s="15"/>
      <c r="N1404" s="15"/>
      <c r="T1404" s="15"/>
      <c r="U1404" s="15"/>
    </row>
    <row r="1405" spans="12:21">
      <c r="L1405" s="15"/>
      <c r="M1405" s="15"/>
      <c r="N1405" s="15"/>
      <c r="T1405" s="15"/>
      <c r="U1405" s="15"/>
    </row>
    <row r="1406" spans="12:21">
      <c r="L1406" s="15"/>
      <c r="M1406" s="15"/>
      <c r="N1406" s="15"/>
      <c r="T1406" s="15"/>
      <c r="U1406" s="15"/>
    </row>
    <row r="1407" spans="12:21">
      <c r="L1407" s="15"/>
      <c r="M1407" s="15"/>
      <c r="N1407" s="15"/>
      <c r="T1407" s="15"/>
      <c r="U1407" s="15"/>
    </row>
    <row r="1408" spans="12:21">
      <c r="L1408" s="15"/>
      <c r="M1408" s="15"/>
      <c r="N1408" s="15"/>
      <c r="T1408" s="15"/>
      <c r="U1408" s="15"/>
    </row>
    <row r="1409" spans="12:21">
      <c r="L1409" s="15"/>
      <c r="M1409" s="15"/>
      <c r="N1409" s="15"/>
      <c r="T1409" s="15"/>
      <c r="U1409" s="15"/>
    </row>
    <row r="1410" spans="12:21">
      <c r="L1410" s="15"/>
      <c r="M1410" s="15"/>
      <c r="N1410" s="15"/>
      <c r="T1410" s="15"/>
      <c r="U1410" s="15"/>
    </row>
    <row r="1411" spans="12:21">
      <c r="L1411" s="15"/>
      <c r="M1411" s="15"/>
      <c r="N1411" s="15"/>
      <c r="T1411" s="15"/>
      <c r="U1411" s="15"/>
    </row>
    <row r="1412" spans="12:21">
      <c r="L1412" s="15"/>
      <c r="M1412" s="15"/>
      <c r="N1412" s="15"/>
      <c r="T1412" s="15"/>
      <c r="U1412" s="15"/>
    </row>
    <row r="1413" spans="12:21">
      <c r="L1413" s="15"/>
      <c r="M1413" s="15"/>
      <c r="N1413" s="15"/>
      <c r="T1413" s="15"/>
      <c r="U1413" s="15"/>
    </row>
    <row r="1414" spans="12:21">
      <c r="L1414" s="15"/>
      <c r="M1414" s="15"/>
      <c r="N1414" s="15"/>
      <c r="T1414" s="15"/>
      <c r="U1414" s="15"/>
    </row>
    <row r="1415" spans="12:21">
      <c r="L1415" s="15"/>
      <c r="M1415" s="15"/>
      <c r="N1415" s="15"/>
      <c r="T1415" s="15"/>
      <c r="U1415" s="15"/>
    </row>
    <row r="1416" spans="12:21">
      <c r="L1416" s="15"/>
      <c r="M1416" s="15"/>
      <c r="N1416" s="15"/>
      <c r="T1416" s="15"/>
      <c r="U1416" s="15"/>
    </row>
    <row r="1417" spans="12:21">
      <c r="L1417" s="15"/>
      <c r="M1417" s="15"/>
      <c r="N1417" s="15"/>
      <c r="T1417" s="15"/>
      <c r="U1417" s="15"/>
    </row>
    <row r="1418" spans="12:21">
      <c r="L1418" s="15"/>
      <c r="M1418" s="15"/>
      <c r="N1418" s="15"/>
      <c r="T1418" s="15"/>
      <c r="U1418" s="15"/>
    </row>
    <row r="1419" spans="12:21">
      <c r="L1419" s="15"/>
      <c r="M1419" s="15"/>
      <c r="N1419" s="15"/>
      <c r="T1419" s="15"/>
      <c r="U1419" s="15"/>
    </row>
    <row r="1420" spans="12:21">
      <c r="L1420" s="15"/>
      <c r="M1420" s="15"/>
      <c r="N1420" s="15"/>
      <c r="T1420" s="15"/>
      <c r="U1420" s="15"/>
    </row>
    <row r="1421" spans="12:21">
      <c r="L1421" s="15"/>
      <c r="M1421" s="15"/>
      <c r="N1421" s="15"/>
      <c r="T1421" s="15"/>
      <c r="U1421" s="15"/>
    </row>
    <row r="1422" spans="12:21">
      <c r="L1422" s="15"/>
      <c r="M1422" s="15"/>
      <c r="N1422" s="15"/>
      <c r="T1422" s="15"/>
      <c r="U1422" s="15"/>
    </row>
    <row r="1423" spans="12:21">
      <c r="L1423" s="15"/>
      <c r="M1423" s="15"/>
      <c r="N1423" s="15"/>
      <c r="T1423" s="15"/>
      <c r="U1423" s="15"/>
    </row>
    <row r="1424" spans="12:21">
      <c r="L1424" s="15"/>
      <c r="M1424" s="15"/>
      <c r="N1424" s="15"/>
      <c r="T1424" s="15"/>
      <c r="U1424" s="15"/>
    </row>
    <row r="1425" spans="12:21">
      <c r="L1425" s="15"/>
      <c r="M1425" s="15"/>
      <c r="N1425" s="15"/>
      <c r="T1425" s="15"/>
      <c r="U1425" s="15"/>
    </row>
    <row r="1426" spans="12:21">
      <c r="L1426" s="15"/>
      <c r="M1426" s="15"/>
      <c r="N1426" s="15"/>
      <c r="T1426" s="15"/>
      <c r="U1426" s="15"/>
    </row>
    <row r="1427" spans="12:21">
      <c r="L1427" s="15"/>
      <c r="M1427" s="15"/>
      <c r="N1427" s="15"/>
      <c r="T1427" s="15"/>
      <c r="U1427" s="15"/>
    </row>
    <row r="1428" spans="12:21">
      <c r="L1428" s="15"/>
      <c r="M1428" s="15"/>
      <c r="N1428" s="15"/>
      <c r="T1428" s="15"/>
      <c r="U1428" s="15"/>
    </row>
    <row r="1429" spans="12:21">
      <c r="L1429" s="15"/>
      <c r="M1429" s="15"/>
      <c r="N1429" s="15"/>
      <c r="T1429" s="15"/>
      <c r="U1429" s="15"/>
    </row>
    <row r="1430" spans="12:21">
      <c r="L1430" s="15"/>
      <c r="M1430" s="15"/>
      <c r="N1430" s="15"/>
      <c r="T1430" s="15"/>
      <c r="U1430" s="15"/>
    </row>
    <row r="1431" spans="12:21">
      <c r="L1431" s="15"/>
      <c r="M1431" s="15"/>
      <c r="N1431" s="15"/>
      <c r="T1431" s="15"/>
      <c r="U1431" s="15"/>
    </row>
    <row r="1432" spans="12:21">
      <c r="L1432" s="15"/>
      <c r="M1432" s="15"/>
      <c r="N1432" s="15"/>
      <c r="T1432" s="15"/>
      <c r="U1432" s="15"/>
    </row>
    <row r="1433" spans="12:21">
      <c r="L1433" s="15"/>
      <c r="M1433" s="15"/>
      <c r="N1433" s="15"/>
      <c r="T1433" s="15"/>
      <c r="U1433" s="15"/>
    </row>
    <row r="1434" spans="12:21">
      <c r="L1434" s="15"/>
      <c r="M1434" s="15"/>
      <c r="N1434" s="15"/>
      <c r="T1434" s="15"/>
      <c r="U1434" s="15"/>
    </row>
    <row r="1435" spans="12:21">
      <c r="L1435" s="15"/>
      <c r="M1435" s="15"/>
      <c r="N1435" s="15"/>
      <c r="T1435" s="15"/>
      <c r="U1435" s="15"/>
    </row>
    <row r="1436" spans="12:21">
      <c r="L1436" s="15"/>
      <c r="M1436" s="15"/>
      <c r="N1436" s="15"/>
      <c r="T1436" s="15"/>
      <c r="U1436" s="15"/>
    </row>
    <row r="1437" spans="12:21">
      <c r="L1437" s="15"/>
      <c r="M1437" s="15"/>
      <c r="N1437" s="15"/>
      <c r="T1437" s="15"/>
      <c r="U1437" s="15"/>
    </row>
    <row r="1438" spans="12:21">
      <c r="L1438" s="15"/>
      <c r="M1438" s="15"/>
      <c r="N1438" s="15"/>
      <c r="T1438" s="15"/>
      <c r="U1438" s="15"/>
    </row>
    <row r="1439" spans="12:21">
      <c r="L1439" s="15"/>
      <c r="M1439" s="15"/>
      <c r="N1439" s="15"/>
      <c r="T1439" s="15"/>
      <c r="U1439" s="15"/>
    </row>
    <row r="1440" spans="12:21">
      <c r="L1440" s="15"/>
      <c r="M1440" s="15"/>
      <c r="N1440" s="15"/>
      <c r="T1440" s="15"/>
      <c r="U1440" s="15"/>
    </row>
    <row r="1441" spans="12:21">
      <c r="L1441" s="15"/>
      <c r="M1441" s="15"/>
      <c r="N1441" s="15"/>
      <c r="T1441" s="15"/>
      <c r="U1441" s="15"/>
    </row>
    <row r="1442" spans="12:21">
      <c r="L1442" s="15"/>
      <c r="M1442" s="15"/>
      <c r="N1442" s="15"/>
      <c r="T1442" s="15"/>
      <c r="U1442" s="15"/>
    </row>
    <row r="1443" spans="12:21">
      <c r="L1443" s="15"/>
      <c r="M1443" s="15"/>
      <c r="N1443" s="15"/>
      <c r="T1443" s="15"/>
      <c r="U1443" s="15"/>
    </row>
    <row r="1444" spans="12:21">
      <c r="L1444" s="15"/>
      <c r="M1444" s="15"/>
      <c r="N1444" s="15"/>
      <c r="T1444" s="15"/>
      <c r="U1444" s="15"/>
    </row>
    <row r="1445" spans="12:21">
      <c r="L1445" s="15"/>
      <c r="M1445" s="15"/>
      <c r="N1445" s="15"/>
      <c r="T1445" s="15"/>
      <c r="U1445" s="15"/>
    </row>
    <row r="1446" spans="12:21">
      <c r="L1446" s="15"/>
      <c r="M1446" s="15"/>
      <c r="N1446" s="15"/>
      <c r="T1446" s="15"/>
      <c r="U1446" s="15"/>
    </row>
    <row r="1447" spans="12:21">
      <c r="L1447" s="15"/>
      <c r="M1447" s="15"/>
      <c r="N1447" s="15"/>
      <c r="T1447" s="15"/>
      <c r="U1447" s="15"/>
    </row>
    <row r="1448" spans="12:21">
      <c r="L1448" s="15"/>
      <c r="M1448" s="15"/>
      <c r="N1448" s="15"/>
      <c r="T1448" s="15"/>
      <c r="U1448" s="15"/>
    </row>
    <row r="1449" spans="12:21">
      <c r="L1449" s="15"/>
      <c r="M1449" s="15"/>
      <c r="N1449" s="15"/>
      <c r="T1449" s="15"/>
      <c r="U1449" s="15"/>
    </row>
    <row r="1450" spans="12:21">
      <c r="L1450" s="15"/>
      <c r="M1450" s="15"/>
      <c r="N1450" s="15"/>
      <c r="T1450" s="15"/>
      <c r="U1450" s="15"/>
    </row>
    <row r="1451" spans="12:21">
      <c r="L1451" s="15"/>
      <c r="M1451" s="15"/>
      <c r="N1451" s="15"/>
      <c r="T1451" s="15"/>
      <c r="U1451" s="15"/>
    </row>
    <row r="1452" spans="12:21">
      <c r="L1452" s="15"/>
      <c r="M1452" s="15"/>
      <c r="N1452" s="15"/>
      <c r="T1452" s="15"/>
      <c r="U1452" s="15"/>
    </row>
    <row r="1453" spans="12:21">
      <c r="L1453" s="15"/>
      <c r="M1453" s="15"/>
      <c r="N1453" s="15"/>
      <c r="T1453" s="15"/>
      <c r="U1453" s="15"/>
    </row>
    <row r="1454" spans="12:21">
      <c r="L1454" s="15"/>
      <c r="M1454" s="15"/>
      <c r="N1454" s="15"/>
      <c r="T1454" s="15"/>
      <c r="U1454" s="15"/>
    </row>
    <row r="1455" spans="12:21">
      <c r="L1455" s="15"/>
      <c r="M1455" s="15"/>
      <c r="N1455" s="15"/>
      <c r="T1455" s="15"/>
      <c r="U1455" s="15"/>
    </row>
    <row r="1456" spans="12:21">
      <c r="L1456" s="15"/>
      <c r="M1456" s="15"/>
      <c r="N1456" s="15"/>
      <c r="T1456" s="15"/>
      <c r="U1456" s="15"/>
    </row>
    <row r="1457" spans="12:21">
      <c r="L1457" s="15"/>
      <c r="M1457" s="15"/>
      <c r="N1457" s="15"/>
      <c r="T1457" s="15"/>
      <c r="U1457" s="15"/>
    </row>
    <row r="1458" spans="12:21">
      <c r="L1458" s="15"/>
      <c r="M1458" s="15"/>
      <c r="N1458" s="15"/>
      <c r="T1458" s="15"/>
      <c r="U1458" s="15"/>
    </row>
    <row r="1459" spans="12:21">
      <c r="L1459" s="15"/>
      <c r="M1459" s="15"/>
      <c r="N1459" s="15"/>
      <c r="T1459" s="15"/>
      <c r="U1459" s="15"/>
    </row>
    <row r="1460" spans="12:21">
      <c r="L1460" s="15"/>
      <c r="M1460" s="15"/>
      <c r="N1460" s="15"/>
      <c r="T1460" s="15"/>
      <c r="U1460" s="15"/>
    </row>
    <row r="1461" spans="12:21">
      <c r="L1461" s="15"/>
      <c r="M1461" s="15"/>
      <c r="N1461" s="15"/>
      <c r="T1461" s="15"/>
      <c r="U1461" s="15"/>
    </row>
    <row r="1462" spans="12:21">
      <c r="L1462" s="15"/>
      <c r="M1462" s="15"/>
      <c r="N1462" s="15"/>
      <c r="T1462" s="15"/>
      <c r="U1462" s="15"/>
    </row>
    <row r="1463" spans="12:21">
      <c r="L1463" s="15"/>
      <c r="M1463" s="15"/>
      <c r="N1463" s="15"/>
      <c r="T1463" s="15"/>
      <c r="U1463" s="15"/>
    </row>
    <row r="1464" spans="12:21">
      <c r="L1464" s="15"/>
      <c r="M1464" s="15"/>
      <c r="N1464" s="15"/>
      <c r="T1464" s="15"/>
      <c r="U1464" s="15"/>
    </row>
    <row r="1465" spans="12:21">
      <c r="L1465" s="15"/>
      <c r="M1465" s="15"/>
      <c r="N1465" s="15"/>
      <c r="T1465" s="15"/>
      <c r="U1465" s="15"/>
    </row>
    <row r="1466" spans="12:21">
      <c r="L1466" s="15"/>
      <c r="M1466" s="15"/>
      <c r="N1466" s="15"/>
      <c r="T1466" s="15"/>
      <c r="U1466" s="15"/>
    </row>
    <row r="1467" spans="12:21">
      <c r="L1467" s="15"/>
      <c r="M1467" s="15"/>
      <c r="N1467" s="15"/>
      <c r="T1467" s="15"/>
      <c r="U1467" s="15"/>
    </row>
    <row r="1468" spans="12:21">
      <c r="L1468" s="15"/>
      <c r="M1468" s="15"/>
      <c r="N1468" s="15"/>
      <c r="T1468" s="15"/>
      <c r="U1468" s="15"/>
    </row>
    <row r="1469" spans="12:21">
      <c r="L1469" s="15"/>
      <c r="M1469" s="15"/>
      <c r="N1469" s="15"/>
      <c r="T1469" s="15"/>
      <c r="U1469" s="15"/>
    </row>
    <row r="1470" spans="12:21">
      <c r="L1470" s="15"/>
      <c r="M1470" s="15"/>
      <c r="N1470" s="15"/>
      <c r="T1470" s="15"/>
      <c r="U1470" s="15"/>
    </row>
    <row r="1471" spans="12:21">
      <c r="L1471" s="15"/>
      <c r="M1471" s="15"/>
      <c r="N1471" s="15"/>
      <c r="T1471" s="15"/>
      <c r="U1471" s="15"/>
    </row>
    <row r="1472" spans="12:21">
      <c r="L1472" s="15"/>
      <c r="M1472" s="15"/>
      <c r="N1472" s="15"/>
      <c r="T1472" s="15"/>
      <c r="U1472" s="15"/>
    </row>
    <row r="1473" spans="12:21">
      <c r="L1473" s="15"/>
      <c r="M1473" s="15"/>
      <c r="N1473" s="15"/>
      <c r="T1473" s="15"/>
      <c r="U1473" s="15"/>
    </row>
    <row r="1474" spans="12:21">
      <c r="L1474" s="15"/>
      <c r="M1474" s="15"/>
      <c r="N1474" s="15"/>
      <c r="T1474" s="15"/>
      <c r="U1474" s="15"/>
    </row>
    <row r="1475" spans="12:21">
      <c r="L1475" s="15"/>
      <c r="M1475" s="15"/>
      <c r="N1475" s="15"/>
      <c r="T1475" s="15"/>
      <c r="U1475" s="15"/>
    </row>
    <row r="1476" spans="12:21">
      <c r="L1476" s="15"/>
      <c r="M1476" s="15"/>
      <c r="N1476" s="15"/>
      <c r="T1476" s="15"/>
      <c r="U1476" s="15"/>
    </row>
    <row r="1477" spans="12:21">
      <c r="L1477" s="15"/>
      <c r="M1477" s="15"/>
      <c r="N1477" s="15"/>
      <c r="T1477" s="15"/>
      <c r="U1477" s="15"/>
    </row>
    <row r="1478" spans="12:21">
      <c r="L1478" s="15"/>
      <c r="M1478" s="15"/>
      <c r="N1478" s="15"/>
      <c r="T1478" s="15"/>
      <c r="U1478" s="15"/>
    </row>
    <row r="1479" spans="12:21">
      <c r="L1479" s="15"/>
      <c r="M1479" s="15"/>
      <c r="N1479" s="15"/>
      <c r="T1479" s="15"/>
      <c r="U1479" s="15"/>
    </row>
    <row r="1480" spans="12:21">
      <c r="L1480" s="15"/>
      <c r="M1480" s="15"/>
      <c r="N1480" s="15"/>
      <c r="T1480" s="15"/>
      <c r="U1480" s="15"/>
    </row>
    <row r="1481" spans="12:21">
      <c r="L1481" s="15"/>
      <c r="M1481" s="15"/>
      <c r="N1481" s="15"/>
      <c r="T1481" s="15"/>
      <c r="U1481" s="15"/>
    </row>
    <row r="1482" spans="12:21">
      <c r="L1482" s="15"/>
      <c r="M1482" s="15"/>
      <c r="N1482" s="15"/>
      <c r="T1482" s="15"/>
      <c r="U1482" s="15"/>
    </row>
    <row r="1483" spans="12:21">
      <c r="L1483" s="15"/>
      <c r="M1483" s="15"/>
      <c r="N1483" s="15"/>
      <c r="T1483" s="15"/>
      <c r="U1483" s="15"/>
    </row>
    <row r="1484" spans="12:21">
      <c r="L1484" s="15"/>
      <c r="M1484" s="15"/>
      <c r="N1484" s="15"/>
      <c r="T1484" s="15"/>
      <c r="U1484" s="15"/>
    </row>
    <row r="1485" spans="12:21">
      <c r="L1485" s="15"/>
      <c r="M1485" s="15"/>
      <c r="N1485" s="15"/>
      <c r="T1485" s="15"/>
      <c r="U1485" s="15"/>
    </row>
    <row r="1486" spans="12:21">
      <c r="L1486" s="15"/>
      <c r="M1486" s="15"/>
      <c r="N1486" s="15"/>
      <c r="T1486" s="15"/>
      <c r="U1486" s="15"/>
    </row>
    <row r="1487" spans="12:21">
      <c r="L1487" s="15"/>
      <c r="M1487" s="15"/>
      <c r="N1487" s="15"/>
      <c r="T1487" s="15"/>
      <c r="U1487" s="15"/>
    </row>
    <row r="1488" spans="12:21">
      <c r="L1488" s="15"/>
      <c r="M1488" s="15"/>
      <c r="N1488" s="15"/>
      <c r="T1488" s="15"/>
      <c r="U1488" s="15"/>
    </row>
    <row r="1489" spans="12:21">
      <c r="L1489" s="15"/>
      <c r="M1489" s="15"/>
      <c r="N1489" s="15"/>
      <c r="T1489" s="15"/>
      <c r="U1489" s="15"/>
    </row>
    <row r="1490" spans="12:21">
      <c r="L1490" s="15"/>
      <c r="M1490" s="15"/>
      <c r="N1490" s="15"/>
      <c r="T1490" s="15"/>
      <c r="U1490" s="15"/>
    </row>
    <row r="1491" spans="12:21">
      <c r="L1491" s="15"/>
      <c r="M1491" s="15"/>
      <c r="N1491" s="15"/>
      <c r="T1491" s="15"/>
      <c r="U1491" s="15"/>
    </row>
    <row r="1492" spans="12:21">
      <c r="L1492" s="15"/>
      <c r="M1492" s="15"/>
      <c r="N1492" s="15"/>
      <c r="T1492" s="15"/>
      <c r="U1492" s="15"/>
    </row>
    <row r="1493" spans="12:21">
      <c r="L1493" s="15"/>
      <c r="M1493" s="15"/>
      <c r="N1493" s="15"/>
      <c r="T1493" s="15"/>
      <c r="U1493" s="15"/>
    </row>
    <row r="1494" spans="12:21">
      <c r="L1494" s="15"/>
      <c r="M1494" s="15"/>
      <c r="N1494" s="15"/>
      <c r="T1494" s="15"/>
      <c r="U1494" s="15"/>
    </row>
    <row r="1495" spans="12:21">
      <c r="L1495" s="15"/>
      <c r="M1495" s="15"/>
      <c r="N1495" s="15"/>
      <c r="T1495" s="15"/>
      <c r="U1495" s="15"/>
    </row>
    <row r="1496" spans="12:21">
      <c r="L1496" s="15"/>
      <c r="M1496" s="15"/>
      <c r="N1496" s="15"/>
      <c r="T1496" s="15"/>
      <c r="U1496" s="15"/>
    </row>
    <row r="1497" spans="12:21">
      <c r="L1497" s="15"/>
      <c r="M1497" s="15"/>
      <c r="N1497" s="15"/>
      <c r="T1497" s="15"/>
      <c r="U1497" s="15"/>
    </row>
    <row r="1498" spans="12:21">
      <c r="L1498" s="15"/>
      <c r="M1498" s="15"/>
      <c r="N1498" s="15"/>
      <c r="T1498" s="15"/>
      <c r="U1498" s="15"/>
    </row>
    <row r="1499" spans="12:21">
      <c r="L1499" s="15"/>
      <c r="M1499" s="15"/>
      <c r="N1499" s="15"/>
      <c r="T1499" s="15"/>
      <c r="U1499" s="15"/>
    </row>
    <row r="1500" spans="12:21">
      <c r="L1500" s="15"/>
      <c r="M1500" s="15"/>
      <c r="N1500" s="15"/>
      <c r="T1500" s="15"/>
      <c r="U1500" s="15"/>
    </row>
    <row r="1501" spans="12:21">
      <c r="L1501" s="15"/>
      <c r="M1501" s="15"/>
      <c r="N1501" s="15"/>
      <c r="T1501" s="15"/>
      <c r="U1501" s="15"/>
    </row>
    <row r="1502" spans="12:21">
      <c r="L1502" s="15"/>
      <c r="M1502" s="15"/>
      <c r="N1502" s="15"/>
      <c r="T1502" s="15"/>
      <c r="U1502" s="15"/>
    </row>
    <row r="1503" spans="12:21">
      <c r="L1503" s="15"/>
      <c r="M1503" s="15"/>
      <c r="N1503" s="15"/>
      <c r="T1503" s="15"/>
      <c r="U1503" s="15"/>
    </row>
    <row r="1504" spans="12:21">
      <c r="L1504" s="15"/>
      <c r="M1504" s="15"/>
      <c r="N1504" s="15"/>
      <c r="T1504" s="15"/>
      <c r="U1504" s="15"/>
    </row>
    <row r="1505" spans="12:21">
      <c r="L1505" s="15"/>
      <c r="M1505" s="15"/>
      <c r="N1505" s="15"/>
      <c r="T1505" s="15"/>
      <c r="U1505" s="15"/>
    </row>
    <row r="1506" spans="12:21">
      <c r="L1506" s="15"/>
      <c r="M1506" s="15"/>
      <c r="N1506" s="15"/>
      <c r="T1506" s="15"/>
      <c r="U1506" s="15"/>
    </row>
    <row r="1507" spans="12:21">
      <c r="L1507" s="15"/>
      <c r="M1507" s="15"/>
      <c r="N1507" s="15"/>
      <c r="T1507" s="15"/>
      <c r="U1507" s="15"/>
    </row>
    <row r="1508" spans="12:21">
      <c r="L1508" s="15"/>
      <c r="M1508" s="15"/>
      <c r="N1508" s="15"/>
      <c r="T1508" s="15"/>
      <c r="U1508" s="15"/>
    </row>
    <row r="1509" spans="12:21">
      <c r="L1509" s="15"/>
      <c r="M1509" s="15"/>
      <c r="N1509" s="15"/>
      <c r="T1509" s="15"/>
      <c r="U1509" s="15"/>
    </row>
    <row r="1510" spans="12:21">
      <c r="L1510" s="15"/>
      <c r="M1510" s="15"/>
      <c r="N1510" s="15"/>
      <c r="T1510" s="15"/>
      <c r="U1510" s="15"/>
    </row>
    <row r="1511" spans="12:21">
      <c r="L1511" s="15"/>
      <c r="M1511" s="15"/>
      <c r="N1511" s="15"/>
      <c r="T1511" s="15"/>
      <c r="U1511" s="15"/>
    </row>
    <row r="1512" spans="12:21">
      <c r="L1512" s="15"/>
      <c r="M1512" s="15"/>
      <c r="N1512" s="15"/>
      <c r="T1512" s="15"/>
      <c r="U1512" s="15"/>
    </row>
    <row r="1513" spans="12:21">
      <c r="L1513" s="15"/>
      <c r="M1513" s="15"/>
      <c r="N1513" s="15"/>
      <c r="T1513" s="15"/>
      <c r="U1513" s="15"/>
    </row>
    <row r="1514" spans="12:21">
      <c r="L1514" s="15"/>
      <c r="M1514" s="15"/>
      <c r="N1514" s="15"/>
      <c r="T1514" s="15"/>
      <c r="U1514" s="15"/>
    </row>
    <row r="1515" spans="12:21">
      <c r="L1515" s="15"/>
      <c r="M1515" s="15"/>
      <c r="N1515" s="15"/>
      <c r="T1515" s="15"/>
      <c r="U1515" s="15"/>
    </row>
    <row r="1516" spans="12:21">
      <c r="L1516" s="15"/>
      <c r="M1516" s="15"/>
      <c r="N1516" s="15"/>
      <c r="T1516" s="15"/>
      <c r="U1516" s="15"/>
    </row>
    <row r="1517" spans="12:21">
      <c r="L1517" s="15"/>
      <c r="M1517" s="15"/>
      <c r="N1517" s="15"/>
      <c r="T1517" s="15"/>
      <c r="U1517" s="15"/>
    </row>
    <row r="1518" spans="12:21">
      <c r="L1518" s="15"/>
      <c r="M1518" s="15"/>
      <c r="N1518" s="15"/>
      <c r="T1518" s="15"/>
      <c r="U1518" s="15"/>
    </row>
    <row r="1519" spans="12:21">
      <c r="L1519" s="15"/>
      <c r="M1519" s="15"/>
      <c r="N1519" s="15"/>
      <c r="T1519" s="15"/>
      <c r="U1519" s="15"/>
    </row>
    <row r="1520" spans="12:21">
      <c r="L1520" s="15"/>
      <c r="M1520" s="15"/>
      <c r="N1520" s="15"/>
      <c r="T1520" s="15"/>
      <c r="U1520" s="15"/>
    </row>
    <row r="1521" spans="12:21">
      <c r="L1521" s="15"/>
      <c r="M1521" s="15"/>
      <c r="N1521" s="15"/>
      <c r="T1521" s="15"/>
      <c r="U1521" s="15"/>
    </row>
    <row r="1522" spans="12:21">
      <c r="L1522" s="15"/>
      <c r="M1522" s="15"/>
      <c r="N1522" s="15"/>
      <c r="T1522" s="15"/>
      <c r="U1522" s="15"/>
    </row>
    <row r="1523" spans="12:21">
      <c r="L1523" s="15"/>
      <c r="M1523" s="15"/>
      <c r="N1523" s="15"/>
      <c r="T1523" s="15"/>
      <c r="U1523" s="15"/>
    </row>
    <row r="1524" spans="12:21">
      <c r="L1524" s="15"/>
      <c r="M1524" s="15"/>
      <c r="N1524" s="15"/>
      <c r="T1524" s="15"/>
      <c r="U1524" s="15"/>
    </row>
    <row r="1525" spans="12:21">
      <c r="L1525" s="15"/>
      <c r="M1525" s="15"/>
      <c r="N1525" s="15"/>
      <c r="T1525" s="15"/>
      <c r="U1525" s="15"/>
    </row>
    <row r="1526" spans="12:21">
      <c r="L1526" s="15"/>
      <c r="M1526" s="15"/>
      <c r="N1526" s="15"/>
      <c r="T1526" s="15"/>
      <c r="U1526" s="15"/>
    </row>
    <row r="1527" spans="12:21">
      <c r="L1527" s="15"/>
      <c r="M1527" s="15"/>
      <c r="N1527" s="15"/>
      <c r="T1527" s="15"/>
      <c r="U1527" s="15"/>
    </row>
    <row r="1528" spans="12:21">
      <c r="L1528" s="15"/>
      <c r="M1528" s="15"/>
      <c r="N1528" s="15"/>
      <c r="T1528" s="15"/>
      <c r="U1528" s="15"/>
    </row>
    <row r="1529" spans="12:21">
      <c r="L1529" s="15"/>
      <c r="M1529" s="15"/>
      <c r="N1529" s="15"/>
      <c r="T1529" s="15"/>
      <c r="U1529" s="15"/>
    </row>
    <row r="1530" spans="12:21">
      <c r="L1530" s="15"/>
      <c r="M1530" s="15"/>
      <c r="N1530" s="15"/>
      <c r="T1530" s="15"/>
      <c r="U1530" s="15"/>
    </row>
    <row r="1531" spans="12:21">
      <c r="L1531" s="15"/>
      <c r="M1531" s="15"/>
      <c r="N1531" s="15"/>
      <c r="T1531" s="15"/>
      <c r="U1531" s="15"/>
    </row>
    <row r="1532" spans="12:21">
      <c r="L1532" s="15"/>
      <c r="M1532" s="15"/>
      <c r="N1532" s="15"/>
      <c r="T1532" s="15"/>
      <c r="U1532" s="15"/>
    </row>
    <row r="1533" spans="12:21">
      <c r="L1533" s="15"/>
      <c r="M1533" s="15"/>
      <c r="N1533" s="15"/>
      <c r="T1533" s="15"/>
      <c r="U1533" s="15"/>
    </row>
    <row r="1534" spans="12:21">
      <c r="L1534" s="15"/>
      <c r="M1534" s="15"/>
      <c r="N1534" s="15"/>
      <c r="T1534" s="15"/>
      <c r="U1534" s="15"/>
    </row>
    <row r="1535" spans="12:21">
      <c r="L1535" s="15"/>
      <c r="M1535" s="15"/>
      <c r="N1535" s="15"/>
      <c r="T1535" s="15"/>
      <c r="U1535" s="15"/>
    </row>
    <row r="1536" spans="12:21">
      <c r="L1536" s="15"/>
      <c r="M1536" s="15"/>
      <c r="N1536" s="15"/>
      <c r="T1536" s="15"/>
      <c r="U1536" s="15"/>
    </row>
    <row r="1537" spans="12:21">
      <c r="L1537" s="15"/>
      <c r="M1537" s="15"/>
      <c r="N1537" s="15"/>
      <c r="T1537" s="15"/>
      <c r="U1537" s="15"/>
    </row>
    <row r="1538" spans="12:21">
      <c r="L1538" s="15"/>
      <c r="M1538" s="15"/>
      <c r="N1538" s="15"/>
      <c r="T1538" s="15"/>
      <c r="U1538" s="15"/>
    </row>
    <row r="1539" spans="12:21">
      <c r="L1539" s="15"/>
      <c r="M1539" s="15"/>
      <c r="N1539" s="15"/>
      <c r="T1539" s="15"/>
      <c r="U1539" s="15"/>
    </row>
    <row r="1540" spans="12:21">
      <c r="L1540" s="15"/>
      <c r="M1540" s="15"/>
      <c r="N1540" s="15"/>
      <c r="T1540" s="15"/>
      <c r="U1540" s="15"/>
    </row>
    <row r="1541" spans="12:21">
      <c r="L1541" s="15"/>
      <c r="M1541" s="15"/>
      <c r="N1541" s="15"/>
      <c r="T1541" s="15"/>
      <c r="U1541" s="15"/>
    </row>
    <row r="1542" spans="12:21">
      <c r="L1542" s="15"/>
      <c r="M1542" s="15"/>
      <c r="N1542" s="15"/>
      <c r="T1542" s="15"/>
      <c r="U1542" s="15"/>
    </row>
    <row r="1543" spans="12:21">
      <c r="L1543" s="15"/>
      <c r="M1543" s="15"/>
      <c r="N1543" s="15"/>
      <c r="T1543" s="15"/>
      <c r="U1543" s="15"/>
    </row>
    <row r="1544" spans="12:21">
      <c r="L1544" s="15"/>
      <c r="M1544" s="15"/>
      <c r="N1544" s="15"/>
      <c r="T1544" s="15"/>
      <c r="U1544" s="15"/>
    </row>
    <row r="1545" spans="12:21">
      <c r="L1545" s="15"/>
      <c r="M1545" s="15"/>
      <c r="N1545" s="15"/>
      <c r="T1545" s="15"/>
      <c r="U1545" s="15"/>
    </row>
    <row r="1546" spans="12:21">
      <c r="L1546" s="15"/>
      <c r="M1546" s="15"/>
      <c r="N1546" s="15"/>
      <c r="T1546" s="15"/>
      <c r="U1546" s="15"/>
    </row>
    <row r="1547" spans="12:21">
      <c r="L1547" s="15"/>
      <c r="M1547" s="15"/>
      <c r="N1547" s="15"/>
      <c r="T1547" s="15"/>
      <c r="U1547" s="15"/>
    </row>
    <row r="1548" spans="12:21">
      <c r="L1548" s="15"/>
      <c r="M1548" s="15"/>
      <c r="N1548" s="15"/>
      <c r="T1548" s="15"/>
      <c r="U1548" s="15"/>
    </row>
    <row r="1549" spans="12:21">
      <c r="L1549" s="15"/>
      <c r="M1549" s="15"/>
      <c r="N1549" s="15"/>
      <c r="T1549" s="15"/>
      <c r="U1549" s="15"/>
    </row>
    <row r="1550" spans="12:21">
      <c r="L1550" s="15"/>
      <c r="M1550" s="15"/>
      <c r="N1550" s="15"/>
      <c r="T1550" s="15"/>
      <c r="U1550" s="15"/>
    </row>
    <row r="1551" spans="12:21">
      <c r="L1551" s="15"/>
      <c r="M1551" s="15"/>
      <c r="N1551" s="15"/>
      <c r="T1551" s="15"/>
      <c r="U1551" s="15"/>
    </row>
    <row r="1552" spans="12:21">
      <c r="L1552" s="15"/>
      <c r="M1552" s="15"/>
      <c r="N1552" s="15"/>
      <c r="T1552" s="15"/>
      <c r="U1552" s="15"/>
    </row>
    <row r="1553" spans="12:21">
      <c r="L1553" s="15"/>
      <c r="M1553" s="15"/>
      <c r="N1553" s="15"/>
      <c r="T1553" s="15"/>
      <c r="U1553" s="15"/>
    </row>
    <row r="1554" spans="12:21">
      <c r="L1554" s="15"/>
      <c r="M1554" s="15"/>
      <c r="N1554" s="15"/>
      <c r="T1554" s="15"/>
      <c r="U1554" s="15"/>
    </row>
    <row r="1555" spans="12:21">
      <c r="L1555" s="15"/>
      <c r="M1555" s="15"/>
      <c r="N1555" s="15"/>
      <c r="T1555" s="15"/>
      <c r="U1555" s="15"/>
    </row>
    <row r="1556" spans="12:21">
      <c r="L1556" s="15"/>
      <c r="M1556" s="15"/>
      <c r="N1556" s="15"/>
      <c r="T1556" s="15"/>
      <c r="U1556" s="15"/>
    </row>
    <row r="1557" spans="12:21">
      <c r="L1557" s="15"/>
      <c r="M1557" s="15"/>
      <c r="N1557" s="15"/>
      <c r="T1557" s="15"/>
      <c r="U1557" s="15"/>
    </row>
    <row r="1558" spans="12:21">
      <c r="L1558" s="15"/>
      <c r="M1558" s="15"/>
      <c r="N1558" s="15"/>
      <c r="T1558" s="15"/>
      <c r="U1558" s="15"/>
    </row>
    <row r="1559" spans="12:21">
      <c r="L1559" s="15"/>
      <c r="M1559" s="15"/>
      <c r="N1559" s="15"/>
      <c r="T1559" s="15"/>
      <c r="U1559" s="15"/>
    </row>
    <row r="1560" spans="12:21">
      <c r="L1560" s="15"/>
      <c r="M1560" s="15"/>
      <c r="N1560" s="15"/>
      <c r="T1560" s="15"/>
      <c r="U1560" s="15"/>
    </row>
    <row r="1561" spans="12:21">
      <c r="L1561" s="15"/>
      <c r="M1561" s="15"/>
      <c r="N1561" s="15"/>
      <c r="T1561" s="15"/>
      <c r="U1561" s="15"/>
    </row>
    <row r="1562" spans="12:21">
      <c r="L1562" s="15"/>
      <c r="M1562" s="15"/>
      <c r="N1562" s="15"/>
      <c r="T1562" s="15"/>
      <c r="U1562" s="15"/>
    </row>
    <row r="1563" spans="12:21">
      <c r="L1563" s="15"/>
      <c r="M1563" s="15"/>
      <c r="N1563" s="15"/>
      <c r="T1563" s="15"/>
      <c r="U1563" s="15"/>
    </row>
    <row r="1564" spans="12:21">
      <c r="L1564" s="15"/>
      <c r="M1564" s="15"/>
      <c r="N1564" s="15"/>
      <c r="T1564" s="15"/>
      <c r="U1564" s="15"/>
    </row>
    <row r="1565" spans="12:21">
      <c r="L1565" s="15"/>
      <c r="M1565" s="15"/>
      <c r="N1565" s="15"/>
      <c r="T1565" s="15"/>
      <c r="U1565" s="15"/>
    </row>
    <row r="1566" spans="12:21">
      <c r="L1566" s="15"/>
      <c r="M1566" s="15"/>
      <c r="N1566" s="15"/>
      <c r="T1566" s="15"/>
      <c r="U1566" s="15"/>
    </row>
    <row r="1567" spans="12:21">
      <c r="L1567" s="15"/>
      <c r="M1567" s="15"/>
      <c r="N1567" s="15"/>
      <c r="T1567" s="15"/>
      <c r="U1567" s="15"/>
    </row>
    <row r="1568" spans="12:21">
      <c r="L1568" s="15"/>
      <c r="M1568" s="15"/>
      <c r="N1568" s="15"/>
      <c r="T1568" s="15"/>
      <c r="U1568" s="15"/>
    </row>
    <row r="1569" spans="12:21">
      <c r="L1569" s="15"/>
      <c r="M1569" s="15"/>
      <c r="N1569" s="15"/>
      <c r="T1569" s="15"/>
      <c r="U1569" s="15"/>
    </row>
    <row r="1570" spans="12:21">
      <c r="L1570" s="15"/>
      <c r="M1570" s="15"/>
      <c r="N1570" s="15"/>
      <c r="T1570" s="15"/>
      <c r="U1570" s="15"/>
    </row>
    <row r="1571" spans="12:21">
      <c r="L1571" s="15"/>
      <c r="M1571" s="15"/>
      <c r="N1571" s="15"/>
      <c r="T1571" s="15"/>
      <c r="U1571" s="15"/>
    </row>
    <row r="1572" spans="12:21">
      <c r="L1572" s="15"/>
      <c r="M1572" s="15"/>
      <c r="N1572" s="15"/>
      <c r="T1572" s="15"/>
      <c r="U1572" s="15"/>
    </row>
    <row r="1573" spans="12:21">
      <c r="L1573" s="15"/>
      <c r="M1573" s="15"/>
      <c r="N1573" s="15"/>
      <c r="T1573" s="15"/>
      <c r="U1573" s="15"/>
    </row>
    <row r="1574" spans="12:21">
      <c r="L1574" s="15"/>
      <c r="M1574" s="15"/>
      <c r="N1574" s="15"/>
      <c r="T1574" s="15"/>
      <c r="U1574" s="15"/>
    </row>
    <row r="1575" spans="12:21">
      <c r="L1575" s="15"/>
      <c r="M1575" s="15"/>
      <c r="N1575" s="15"/>
      <c r="T1575" s="15"/>
      <c r="U1575" s="15"/>
    </row>
    <row r="1576" spans="12:21">
      <c r="L1576" s="15"/>
      <c r="M1576" s="15"/>
      <c r="N1576" s="15"/>
      <c r="T1576" s="15"/>
      <c r="U1576" s="15"/>
    </row>
    <row r="1577" spans="12:21">
      <c r="L1577" s="15"/>
      <c r="M1577" s="15"/>
      <c r="N1577" s="15"/>
      <c r="T1577" s="15"/>
      <c r="U1577" s="15"/>
    </row>
    <row r="1578" spans="12:21">
      <c r="L1578" s="15"/>
      <c r="M1578" s="15"/>
      <c r="N1578" s="15"/>
      <c r="T1578" s="15"/>
      <c r="U1578" s="15"/>
    </row>
    <row r="1579" spans="12:21">
      <c r="L1579" s="15"/>
      <c r="M1579" s="15"/>
      <c r="N1579" s="15"/>
      <c r="T1579" s="15"/>
      <c r="U1579" s="15"/>
    </row>
    <row r="1580" spans="12:21">
      <c r="L1580" s="15"/>
      <c r="M1580" s="15"/>
      <c r="N1580" s="15"/>
      <c r="T1580" s="15"/>
      <c r="U1580" s="15"/>
    </row>
    <row r="1581" spans="12:21">
      <c r="L1581" s="15"/>
      <c r="M1581" s="15"/>
      <c r="N1581" s="15"/>
      <c r="T1581" s="15"/>
      <c r="U1581" s="15"/>
    </row>
    <row r="1582" spans="12:21">
      <c r="L1582" s="15"/>
      <c r="M1582" s="15"/>
      <c r="N1582" s="15"/>
      <c r="T1582" s="15"/>
      <c r="U1582" s="15"/>
    </row>
    <row r="1583" spans="12:21">
      <c r="L1583" s="15"/>
      <c r="M1583" s="15"/>
      <c r="N1583" s="15"/>
      <c r="T1583" s="15"/>
      <c r="U1583" s="15"/>
    </row>
    <row r="1584" spans="12:21">
      <c r="L1584" s="15"/>
      <c r="M1584" s="15"/>
      <c r="N1584" s="15"/>
      <c r="T1584" s="15"/>
      <c r="U1584" s="15"/>
    </row>
    <row r="1585" spans="12:21">
      <c r="L1585" s="15"/>
      <c r="M1585" s="15"/>
      <c r="N1585" s="15"/>
      <c r="T1585" s="15"/>
      <c r="U1585" s="15"/>
    </row>
    <row r="1586" spans="12:21">
      <c r="L1586" s="15"/>
      <c r="M1586" s="15"/>
      <c r="N1586" s="15"/>
      <c r="T1586" s="15"/>
      <c r="U1586" s="15"/>
    </row>
    <row r="1587" spans="12:21">
      <c r="L1587" s="15"/>
      <c r="M1587" s="15"/>
      <c r="N1587" s="15"/>
      <c r="T1587" s="15"/>
      <c r="U1587" s="15"/>
    </row>
    <row r="1588" spans="12:21">
      <c r="L1588" s="15"/>
      <c r="M1588" s="15"/>
      <c r="N1588" s="15"/>
      <c r="T1588" s="15"/>
      <c r="U1588" s="15"/>
    </row>
    <row r="1589" spans="12:21">
      <c r="L1589" s="15"/>
      <c r="M1589" s="15"/>
      <c r="N1589" s="15"/>
      <c r="T1589" s="15"/>
      <c r="U1589" s="15"/>
    </row>
    <row r="1590" spans="12:21">
      <c r="L1590" s="15"/>
      <c r="M1590" s="15"/>
      <c r="N1590" s="15"/>
      <c r="T1590" s="15"/>
      <c r="U1590" s="15"/>
    </row>
    <row r="1591" spans="12:21">
      <c r="L1591" s="15"/>
      <c r="M1591" s="15"/>
      <c r="N1591" s="15"/>
      <c r="T1591" s="15"/>
      <c r="U1591" s="15"/>
    </row>
    <row r="1592" spans="12:21">
      <c r="L1592" s="15"/>
      <c r="M1592" s="15"/>
      <c r="N1592" s="15"/>
      <c r="T1592" s="15"/>
      <c r="U1592" s="15"/>
    </row>
    <row r="1593" spans="12:21">
      <c r="L1593" s="15"/>
      <c r="M1593" s="15"/>
      <c r="N1593" s="15"/>
      <c r="T1593" s="15"/>
      <c r="U1593" s="15"/>
    </row>
    <row r="1594" spans="12:21">
      <c r="L1594" s="15"/>
      <c r="M1594" s="15"/>
      <c r="N1594" s="15"/>
      <c r="T1594" s="15"/>
      <c r="U1594" s="15"/>
    </row>
    <row r="1595" spans="12:21">
      <c r="L1595" s="15"/>
      <c r="M1595" s="15"/>
      <c r="N1595" s="15"/>
      <c r="T1595" s="15"/>
      <c r="U1595" s="15"/>
    </row>
    <row r="1596" spans="12:21">
      <c r="L1596" s="15"/>
      <c r="M1596" s="15"/>
      <c r="N1596" s="15"/>
      <c r="T1596" s="15"/>
      <c r="U1596" s="15"/>
    </row>
    <row r="1597" spans="12:21">
      <c r="L1597" s="15"/>
      <c r="M1597" s="15"/>
      <c r="N1597" s="15"/>
      <c r="T1597" s="15"/>
      <c r="U1597" s="15"/>
    </row>
    <row r="1598" spans="12:21">
      <c r="L1598" s="15"/>
      <c r="M1598" s="15"/>
      <c r="N1598" s="15"/>
      <c r="T1598" s="15"/>
      <c r="U1598" s="15"/>
    </row>
    <row r="1599" spans="12:21">
      <c r="L1599" s="15"/>
      <c r="M1599" s="15"/>
      <c r="N1599" s="15"/>
      <c r="T1599" s="15"/>
      <c r="U1599" s="15"/>
    </row>
    <row r="1600" spans="12:21">
      <c r="L1600" s="15"/>
      <c r="M1600" s="15"/>
      <c r="N1600" s="15"/>
      <c r="T1600" s="15"/>
      <c r="U1600" s="15"/>
    </row>
    <row r="1601" spans="12:21">
      <c r="L1601" s="15"/>
      <c r="M1601" s="15"/>
      <c r="N1601" s="15"/>
      <c r="T1601" s="15"/>
      <c r="U1601" s="15"/>
    </row>
    <row r="1602" spans="12:21">
      <c r="L1602" s="15"/>
      <c r="M1602" s="15"/>
      <c r="N1602" s="15"/>
      <c r="T1602" s="15"/>
      <c r="U1602" s="15"/>
    </row>
    <row r="1603" spans="12:21">
      <c r="L1603" s="15"/>
      <c r="M1603" s="15"/>
      <c r="N1603" s="15"/>
      <c r="T1603" s="15"/>
      <c r="U1603" s="15"/>
    </row>
    <row r="1604" spans="12:21">
      <c r="L1604" s="15"/>
      <c r="M1604" s="15"/>
      <c r="N1604" s="15"/>
      <c r="T1604" s="15"/>
      <c r="U1604" s="15"/>
    </row>
    <row r="1605" spans="12:21">
      <c r="L1605" s="15"/>
      <c r="M1605" s="15"/>
      <c r="N1605" s="15"/>
      <c r="T1605" s="15"/>
      <c r="U1605" s="15"/>
    </row>
    <row r="1606" spans="12:21">
      <c r="L1606" s="15"/>
      <c r="M1606" s="15"/>
      <c r="N1606" s="15"/>
      <c r="T1606" s="15"/>
      <c r="U1606" s="15"/>
    </row>
    <row r="1607" spans="12:21">
      <c r="L1607" s="15"/>
      <c r="M1607" s="15"/>
      <c r="N1607" s="15"/>
      <c r="T1607" s="15"/>
      <c r="U1607" s="15"/>
    </row>
    <row r="1608" spans="12:21">
      <c r="L1608" s="15"/>
      <c r="M1608" s="15"/>
      <c r="N1608" s="15"/>
      <c r="T1608" s="15"/>
      <c r="U1608" s="15"/>
    </row>
    <row r="1609" spans="12:21">
      <c r="L1609" s="15"/>
      <c r="M1609" s="15"/>
      <c r="N1609" s="15"/>
      <c r="T1609" s="15"/>
      <c r="U1609" s="15"/>
    </row>
    <row r="1610" spans="12:21">
      <c r="L1610" s="15"/>
      <c r="M1610" s="15"/>
      <c r="N1610" s="15"/>
      <c r="T1610" s="15"/>
      <c r="U1610" s="15"/>
    </row>
    <row r="1611" spans="12:21">
      <c r="L1611" s="15"/>
      <c r="M1611" s="15"/>
      <c r="N1611" s="15"/>
      <c r="T1611" s="15"/>
      <c r="U1611" s="15"/>
    </row>
    <row r="1612" spans="12:21">
      <c r="L1612" s="15"/>
      <c r="M1612" s="15"/>
      <c r="N1612" s="15"/>
      <c r="T1612" s="15"/>
      <c r="U1612" s="15"/>
    </row>
    <row r="1613" spans="12:21">
      <c r="L1613" s="15"/>
      <c r="M1613" s="15"/>
      <c r="N1613" s="15"/>
      <c r="T1613" s="15"/>
      <c r="U1613" s="15"/>
    </row>
    <row r="1614" spans="12:21">
      <c r="L1614" s="15"/>
      <c r="M1614" s="15"/>
      <c r="N1614" s="15"/>
      <c r="T1614" s="15"/>
      <c r="U1614" s="15"/>
    </row>
    <row r="1615" spans="12:21">
      <c r="L1615" s="15"/>
      <c r="M1615" s="15"/>
      <c r="N1615" s="15"/>
      <c r="T1615" s="15"/>
      <c r="U1615" s="15"/>
    </row>
    <row r="1616" spans="12:21">
      <c r="L1616" s="15"/>
      <c r="M1616" s="15"/>
      <c r="N1616" s="15"/>
      <c r="T1616" s="15"/>
      <c r="U1616" s="15"/>
    </row>
    <row r="1617" spans="12:21">
      <c r="L1617" s="15"/>
      <c r="M1617" s="15"/>
      <c r="N1617" s="15"/>
      <c r="T1617" s="15"/>
      <c r="U1617" s="15"/>
    </row>
    <row r="1618" spans="12:21">
      <c r="L1618" s="15"/>
      <c r="M1618" s="15"/>
      <c r="N1618" s="15"/>
      <c r="T1618" s="15"/>
      <c r="U1618" s="15"/>
    </row>
    <row r="1619" spans="12:21">
      <c r="L1619" s="15"/>
      <c r="M1619" s="15"/>
      <c r="N1619" s="15"/>
      <c r="T1619" s="15"/>
      <c r="U1619" s="15"/>
    </row>
    <row r="1620" spans="12:21">
      <c r="L1620" s="15"/>
      <c r="M1620" s="15"/>
      <c r="N1620" s="15"/>
      <c r="T1620" s="15"/>
      <c r="U1620" s="15"/>
    </row>
    <row r="1621" spans="12:21">
      <c r="L1621" s="15"/>
      <c r="M1621" s="15"/>
      <c r="N1621" s="15"/>
      <c r="T1621" s="15"/>
      <c r="U1621" s="15"/>
    </row>
    <row r="1622" spans="12:21">
      <c r="L1622" s="15"/>
      <c r="M1622" s="15"/>
      <c r="N1622" s="15"/>
      <c r="T1622" s="15"/>
      <c r="U1622" s="15"/>
    </row>
    <row r="1623" spans="12:21">
      <c r="L1623" s="15"/>
      <c r="M1623" s="15"/>
      <c r="N1623" s="15"/>
      <c r="T1623" s="15"/>
      <c r="U1623" s="15"/>
    </row>
    <row r="1624" spans="12:21">
      <c r="L1624" s="15"/>
      <c r="M1624" s="15"/>
      <c r="N1624" s="15"/>
      <c r="T1624" s="15"/>
      <c r="U1624" s="15"/>
    </row>
    <row r="1625" spans="12:21">
      <c r="L1625" s="15"/>
      <c r="M1625" s="15"/>
      <c r="N1625" s="15"/>
      <c r="T1625" s="15"/>
      <c r="U1625" s="15"/>
    </row>
    <row r="1626" spans="12:21">
      <c r="L1626" s="15"/>
      <c r="M1626" s="15"/>
      <c r="N1626" s="15"/>
      <c r="T1626" s="15"/>
      <c r="U1626" s="15"/>
    </row>
    <row r="1627" spans="12:21">
      <c r="L1627" s="15"/>
      <c r="M1627" s="15"/>
      <c r="N1627" s="15"/>
      <c r="T1627" s="15"/>
      <c r="U1627" s="15"/>
    </row>
    <row r="1628" spans="12:21">
      <c r="L1628" s="15"/>
      <c r="M1628" s="15"/>
      <c r="N1628" s="15"/>
      <c r="T1628" s="15"/>
      <c r="U1628" s="15"/>
    </row>
    <row r="1629" spans="12:21">
      <c r="L1629" s="15"/>
      <c r="M1629" s="15"/>
      <c r="N1629" s="15"/>
      <c r="T1629" s="15"/>
      <c r="U1629" s="15"/>
    </row>
    <row r="1630" spans="12:21">
      <c r="L1630" s="15"/>
      <c r="M1630" s="15"/>
      <c r="N1630" s="15"/>
      <c r="T1630" s="15"/>
      <c r="U1630" s="15"/>
    </row>
    <row r="1631" spans="12:21">
      <c r="L1631" s="15"/>
      <c r="M1631" s="15"/>
      <c r="N1631" s="15"/>
      <c r="T1631" s="15"/>
      <c r="U1631" s="15"/>
    </row>
    <row r="1632" spans="12:21">
      <c r="L1632" s="15"/>
      <c r="M1632" s="15"/>
      <c r="N1632" s="15"/>
      <c r="T1632" s="15"/>
      <c r="U1632" s="15"/>
    </row>
    <row r="1633" spans="12:21">
      <c r="L1633" s="15"/>
      <c r="M1633" s="15"/>
      <c r="N1633" s="15"/>
      <c r="T1633" s="15"/>
      <c r="U1633" s="15"/>
    </row>
    <row r="1634" spans="12:21">
      <c r="L1634" s="15"/>
      <c r="M1634" s="15"/>
      <c r="N1634" s="15"/>
      <c r="T1634" s="15"/>
      <c r="U1634" s="15"/>
    </row>
    <row r="1635" spans="12:21">
      <c r="L1635" s="15"/>
      <c r="M1635" s="15"/>
      <c r="N1635" s="15"/>
      <c r="T1635" s="15"/>
      <c r="U1635" s="15"/>
    </row>
    <row r="1636" spans="12:21">
      <c r="L1636" s="15"/>
      <c r="M1636" s="15"/>
      <c r="N1636" s="15"/>
      <c r="T1636" s="15"/>
      <c r="U1636" s="15"/>
    </row>
    <row r="1637" spans="12:21">
      <c r="L1637" s="15"/>
      <c r="M1637" s="15"/>
      <c r="N1637" s="15"/>
      <c r="T1637" s="15"/>
      <c r="U1637" s="15"/>
    </row>
    <row r="1638" spans="12:21">
      <c r="L1638" s="15"/>
      <c r="M1638" s="15"/>
      <c r="N1638" s="15"/>
      <c r="T1638" s="15"/>
      <c r="U1638" s="15"/>
    </row>
    <row r="1639" spans="12:21">
      <c r="L1639" s="15"/>
      <c r="M1639" s="15"/>
      <c r="N1639" s="15"/>
      <c r="T1639" s="15"/>
      <c r="U1639" s="15"/>
    </row>
    <row r="1640" spans="12:21">
      <c r="L1640" s="15"/>
      <c r="M1640" s="15"/>
      <c r="N1640" s="15"/>
      <c r="T1640" s="15"/>
      <c r="U1640" s="15"/>
    </row>
    <row r="1641" spans="12:21">
      <c r="L1641" s="15"/>
      <c r="M1641" s="15"/>
      <c r="N1641" s="15"/>
      <c r="T1641" s="15"/>
      <c r="U1641" s="15"/>
    </row>
    <row r="1642" spans="12:21">
      <c r="L1642" s="15"/>
      <c r="M1642" s="15"/>
      <c r="N1642" s="15"/>
      <c r="T1642" s="15"/>
      <c r="U1642" s="15"/>
    </row>
    <row r="1643" spans="12:21">
      <c r="L1643" s="15"/>
      <c r="M1643" s="15"/>
      <c r="N1643" s="15"/>
      <c r="T1643" s="15"/>
      <c r="U1643" s="15"/>
    </row>
    <row r="1644" spans="12:21">
      <c r="L1644" s="15"/>
      <c r="M1644" s="15"/>
      <c r="N1644" s="15"/>
      <c r="T1644" s="15"/>
      <c r="U1644" s="15"/>
    </row>
    <row r="1645" spans="12:21">
      <c r="L1645" s="15"/>
      <c r="M1645" s="15"/>
      <c r="N1645" s="15"/>
      <c r="T1645" s="15"/>
      <c r="U1645" s="15"/>
    </row>
    <row r="1646" spans="12:21">
      <c r="L1646" s="15"/>
      <c r="M1646" s="15"/>
      <c r="N1646" s="15"/>
      <c r="T1646" s="15"/>
      <c r="U1646" s="15"/>
    </row>
    <row r="1647" spans="12:21">
      <c r="L1647" s="15"/>
      <c r="M1647" s="15"/>
      <c r="N1647" s="15"/>
      <c r="T1647" s="15"/>
      <c r="U1647" s="15"/>
    </row>
    <row r="1648" spans="12:21">
      <c r="L1648" s="15"/>
      <c r="M1648" s="15"/>
      <c r="N1648" s="15"/>
      <c r="T1648" s="15"/>
      <c r="U1648" s="15"/>
    </row>
    <row r="1649" spans="12:21">
      <c r="L1649" s="15"/>
      <c r="M1649" s="15"/>
      <c r="N1649" s="15"/>
      <c r="T1649" s="15"/>
      <c r="U1649" s="15"/>
    </row>
    <row r="1650" spans="12:21">
      <c r="L1650" s="15"/>
      <c r="M1650" s="15"/>
      <c r="N1650" s="15"/>
      <c r="T1650" s="15"/>
      <c r="U1650" s="15"/>
    </row>
    <row r="1651" spans="12:21">
      <c r="L1651" s="15"/>
      <c r="M1651" s="15"/>
      <c r="N1651" s="15"/>
      <c r="T1651" s="15"/>
      <c r="U1651" s="15"/>
    </row>
    <row r="1652" spans="12:21">
      <c r="L1652" s="15"/>
      <c r="M1652" s="15"/>
      <c r="N1652" s="15"/>
      <c r="T1652" s="15"/>
      <c r="U1652" s="15"/>
    </row>
    <row r="1653" spans="12:21">
      <c r="L1653" s="15"/>
      <c r="M1653" s="15"/>
      <c r="N1653" s="15"/>
      <c r="T1653" s="15"/>
      <c r="U1653" s="15"/>
    </row>
    <row r="1654" spans="12:21">
      <c r="L1654" s="15"/>
      <c r="M1654" s="15"/>
      <c r="N1654" s="15"/>
      <c r="T1654" s="15"/>
      <c r="U1654" s="15"/>
    </row>
    <row r="1655" spans="12:21">
      <c r="L1655" s="15"/>
      <c r="M1655" s="15"/>
      <c r="N1655" s="15"/>
      <c r="T1655" s="15"/>
      <c r="U1655" s="15"/>
    </row>
    <row r="1656" spans="12:21">
      <c r="L1656" s="15"/>
      <c r="M1656" s="15"/>
      <c r="N1656" s="15"/>
      <c r="T1656" s="15"/>
      <c r="U1656" s="15"/>
    </row>
    <row r="1657" spans="12:21">
      <c r="L1657" s="15"/>
      <c r="M1657" s="15"/>
      <c r="N1657" s="15"/>
      <c r="T1657" s="15"/>
      <c r="U1657" s="15"/>
    </row>
    <row r="1658" spans="12:21">
      <c r="L1658" s="15"/>
      <c r="M1658" s="15"/>
      <c r="N1658" s="15"/>
      <c r="T1658" s="15"/>
      <c r="U1658" s="15"/>
    </row>
    <row r="1659" spans="12:21">
      <c r="L1659" s="15"/>
      <c r="M1659" s="15"/>
      <c r="N1659" s="15"/>
      <c r="T1659" s="15"/>
      <c r="U1659" s="15"/>
    </row>
    <row r="1660" spans="12:21">
      <c r="L1660" s="15"/>
      <c r="M1660" s="15"/>
      <c r="N1660" s="15"/>
      <c r="T1660" s="15"/>
      <c r="U1660" s="15"/>
    </row>
    <row r="1661" spans="12:21">
      <c r="L1661" s="15"/>
      <c r="M1661" s="15"/>
      <c r="N1661" s="15"/>
      <c r="T1661" s="15"/>
      <c r="U1661" s="15"/>
    </row>
    <row r="1662" spans="12:21">
      <c r="L1662" s="15"/>
      <c r="M1662" s="15"/>
      <c r="N1662" s="15"/>
      <c r="T1662" s="15"/>
      <c r="U1662" s="15"/>
    </row>
    <row r="1663" spans="12:21">
      <c r="L1663" s="15"/>
      <c r="M1663" s="15"/>
      <c r="N1663" s="15"/>
      <c r="T1663" s="15"/>
      <c r="U1663" s="15"/>
    </row>
    <row r="1664" spans="12:21">
      <c r="L1664" s="15"/>
      <c r="M1664" s="15"/>
      <c r="N1664" s="15"/>
      <c r="T1664" s="15"/>
      <c r="U1664" s="15"/>
    </row>
    <row r="1665" spans="12:21">
      <c r="L1665" s="15"/>
      <c r="M1665" s="15"/>
      <c r="N1665" s="15"/>
      <c r="T1665" s="15"/>
      <c r="U1665" s="15"/>
    </row>
    <row r="1666" spans="12:21">
      <c r="L1666" s="15"/>
      <c r="M1666" s="15"/>
      <c r="N1666" s="15"/>
      <c r="T1666" s="15"/>
      <c r="U1666" s="15"/>
    </row>
    <row r="1667" spans="12:21">
      <c r="L1667" s="15"/>
      <c r="M1667" s="15"/>
      <c r="N1667" s="15"/>
      <c r="T1667" s="15"/>
      <c r="U1667" s="15"/>
    </row>
    <row r="1668" spans="12:21">
      <c r="L1668" s="15"/>
      <c r="M1668" s="15"/>
      <c r="N1668" s="15"/>
      <c r="T1668" s="15"/>
      <c r="U1668" s="15"/>
    </row>
    <row r="1669" spans="12:21">
      <c r="L1669" s="15"/>
      <c r="M1669" s="15"/>
      <c r="N1669" s="15"/>
      <c r="T1669" s="15"/>
      <c r="U1669" s="15"/>
    </row>
    <row r="1670" spans="12:21">
      <c r="L1670" s="15"/>
      <c r="M1670" s="15"/>
      <c r="N1670" s="15"/>
      <c r="T1670" s="15"/>
      <c r="U1670" s="15"/>
    </row>
    <row r="1671" spans="12:21">
      <c r="L1671" s="15"/>
      <c r="M1671" s="15"/>
      <c r="N1671" s="15"/>
      <c r="T1671" s="15"/>
      <c r="U1671" s="15"/>
    </row>
    <row r="1672" spans="12:21">
      <c r="L1672" s="15"/>
      <c r="M1672" s="15"/>
      <c r="N1672" s="15"/>
      <c r="T1672" s="15"/>
      <c r="U1672" s="15"/>
    </row>
    <row r="1673" spans="12:21">
      <c r="L1673" s="15"/>
      <c r="M1673" s="15"/>
      <c r="N1673" s="15"/>
      <c r="T1673" s="15"/>
      <c r="U1673" s="15"/>
    </row>
    <row r="1674" spans="12:21">
      <c r="L1674" s="15"/>
      <c r="M1674" s="15"/>
      <c r="N1674" s="15"/>
      <c r="T1674" s="15"/>
      <c r="U1674" s="15"/>
    </row>
    <row r="1675" spans="12:21">
      <c r="L1675" s="15"/>
      <c r="M1675" s="15"/>
      <c r="N1675" s="15"/>
      <c r="T1675" s="15"/>
      <c r="U1675" s="15"/>
    </row>
    <row r="1676" spans="12:21">
      <c r="L1676" s="15"/>
      <c r="M1676" s="15"/>
      <c r="N1676" s="15"/>
      <c r="T1676" s="15"/>
      <c r="U1676" s="15"/>
    </row>
    <row r="1677" spans="12:21">
      <c r="L1677" s="15"/>
      <c r="M1677" s="15"/>
      <c r="N1677" s="15"/>
      <c r="T1677" s="15"/>
      <c r="U1677" s="15"/>
    </row>
    <row r="1678" spans="12:21">
      <c r="L1678" s="15"/>
      <c r="M1678" s="15"/>
      <c r="N1678" s="15"/>
      <c r="T1678" s="15"/>
      <c r="U1678" s="15"/>
    </row>
    <row r="1679" spans="12:21">
      <c r="L1679" s="15"/>
      <c r="M1679" s="15"/>
      <c r="N1679" s="15"/>
      <c r="T1679" s="15"/>
      <c r="U1679" s="15"/>
    </row>
    <row r="1680" spans="12:21">
      <c r="L1680" s="15"/>
      <c r="M1680" s="15"/>
      <c r="N1680" s="15"/>
      <c r="T1680" s="15"/>
      <c r="U1680" s="15"/>
    </row>
    <row r="1681" spans="12:21">
      <c r="L1681" s="15"/>
      <c r="M1681" s="15"/>
      <c r="N1681" s="15"/>
      <c r="T1681" s="15"/>
      <c r="U1681" s="15"/>
    </row>
    <row r="1682" spans="12:21">
      <c r="L1682" s="15"/>
      <c r="M1682" s="15"/>
      <c r="N1682" s="15"/>
      <c r="T1682" s="15"/>
      <c r="U1682" s="15"/>
    </row>
    <row r="1683" spans="12:21">
      <c r="L1683" s="15"/>
      <c r="M1683" s="15"/>
      <c r="N1683" s="15"/>
      <c r="T1683" s="15"/>
      <c r="U1683" s="15"/>
    </row>
    <row r="1684" spans="12:21">
      <c r="L1684" s="15"/>
      <c r="M1684" s="15"/>
      <c r="N1684" s="15"/>
      <c r="T1684" s="15"/>
      <c r="U1684" s="15"/>
    </row>
    <row r="1685" spans="12:21">
      <c r="L1685" s="15"/>
      <c r="M1685" s="15"/>
      <c r="N1685" s="15"/>
      <c r="T1685" s="15"/>
      <c r="U1685" s="15"/>
    </row>
    <row r="1686" spans="12:21">
      <c r="L1686" s="15"/>
      <c r="M1686" s="15"/>
      <c r="N1686" s="15"/>
      <c r="T1686" s="15"/>
      <c r="U1686" s="15"/>
    </row>
    <row r="1687" spans="12:21">
      <c r="L1687" s="15"/>
      <c r="M1687" s="15"/>
      <c r="N1687" s="15"/>
      <c r="T1687" s="15"/>
      <c r="U1687" s="15"/>
    </row>
    <row r="1688" spans="12:21">
      <c r="L1688" s="15"/>
      <c r="M1688" s="15"/>
      <c r="N1688" s="15"/>
      <c r="T1688" s="15"/>
      <c r="U1688" s="15"/>
    </row>
    <row r="1689" spans="12:21">
      <c r="L1689" s="15"/>
      <c r="M1689" s="15"/>
      <c r="N1689" s="15"/>
      <c r="T1689" s="15"/>
      <c r="U1689" s="15"/>
    </row>
    <row r="1690" spans="12:21">
      <c r="L1690" s="15"/>
      <c r="M1690" s="15"/>
      <c r="N1690" s="15"/>
      <c r="T1690" s="15"/>
      <c r="U1690" s="15"/>
    </row>
    <row r="1691" spans="12:21">
      <c r="L1691" s="15"/>
      <c r="M1691" s="15"/>
      <c r="N1691" s="15"/>
      <c r="T1691" s="15"/>
      <c r="U1691" s="15"/>
    </row>
    <row r="1692" spans="12:21">
      <c r="L1692" s="15"/>
      <c r="M1692" s="15"/>
      <c r="N1692" s="15"/>
      <c r="T1692" s="15"/>
      <c r="U1692" s="15"/>
    </row>
    <row r="1693" spans="12:21">
      <c r="L1693" s="15"/>
      <c r="M1693" s="15"/>
      <c r="N1693" s="15"/>
      <c r="T1693" s="15"/>
      <c r="U1693" s="15"/>
    </row>
    <row r="1694" spans="12:21">
      <c r="L1694" s="15"/>
      <c r="M1694" s="15"/>
      <c r="N1694" s="15"/>
      <c r="T1694" s="15"/>
      <c r="U1694" s="15"/>
    </row>
    <row r="1695" spans="12:21">
      <c r="L1695" s="15"/>
      <c r="M1695" s="15"/>
      <c r="N1695" s="15"/>
      <c r="T1695" s="15"/>
      <c r="U1695" s="15"/>
    </row>
    <row r="1696" spans="12:21">
      <c r="L1696" s="15"/>
      <c r="M1696" s="15"/>
      <c r="N1696" s="15"/>
      <c r="T1696" s="15"/>
      <c r="U1696" s="15"/>
    </row>
    <row r="1697" spans="12:21">
      <c r="L1697" s="15"/>
      <c r="M1697" s="15"/>
      <c r="N1697" s="15"/>
      <c r="T1697" s="15"/>
      <c r="U1697" s="15"/>
    </row>
    <row r="1698" spans="12:21">
      <c r="L1698" s="15"/>
      <c r="M1698" s="15"/>
      <c r="N1698" s="15"/>
      <c r="T1698" s="15"/>
      <c r="U1698" s="15"/>
    </row>
    <row r="1699" spans="12:21">
      <c r="L1699" s="15"/>
      <c r="M1699" s="15"/>
      <c r="N1699" s="15"/>
      <c r="T1699" s="15"/>
      <c r="U1699" s="15"/>
    </row>
    <row r="1700" spans="12:21">
      <c r="L1700" s="15"/>
      <c r="M1700" s="15"/>
      <c r="N1700" s="15"/>
      <c r="T1700" s="15"/>
      <c r="U1700" s="15"/>
    </row>
    <row r="1701" spans="12:21">
      <c r="L1701" s="15"/>
      <c r="M1701" s="15"/>
      <c r="N1701" s="15"/>
      <c r="T1701" s="15"/>
      <c r="U1701" s="15"/>
    </row>
    <row r="1702" spans="12:21">
      <c r="L1702" s="15"/>
      <c r="M1702" s="15"/>
      <c r="N1702" s="15"/>
      <c r="T1702" s="15"/>
      <c r="U1702" s="15"/>
    </row>
    <row r="1703" spans="12:21">
      <c r="L1703" s="15"/>
      <c r="M1703" s="15"/>
      <c r="N1703" s="15"/>
      <c r="T1703" s="15"/>
      <c r="U1703" s="15"/>
    </row>
    <row r="1704" spans="12:21">
      <c r="L1704" s="15"/>
      <c r="M1704" s="15"/>
      <c r="N1704" s="15"/>
      <c r="T1704" s="15"/>
      <c r="U1704" s="15"/>
    </row>
    <row r="1705" spans="12:21">
      <c r="L1705" s="15"/>
      <c r="M1705" s="15"/>
      <c r="N1705" s="15"/>
      <c r="T1705" s="15"/>
      <c r="U1705" s="15"/>
    </row>
    <row r="1706" spans="12:21">
      <c r="L1706" s="15"/>
      <c r="M1706" s="15"/>
      <c r="N1706" s="15"/>
      <c r="T1706" s="15"/>
      <c r="U1706" s="15"/>
    </row>
    <row r="1707" spans="12:21">
      <c r="L1707" s="15"/>
      <c r="M1707" s="15"/>
      <c r="N1707" s="15"/>
      <c r="T1707" s="15"/>
      <c r="U1707" s="15"/>
    </row>
    <row r="1708" spans="12:21">
      <c r="L1708" s="15"/>
      <c r="M1708" s="15"/>
      <c r="N1708" s="15"/>
      <c r="T1708" s="15"/>
      <c r="U1708" s="15"/>
    </row>
    <row r="1709" spans="12:21">
      <c r="L1709" s="15"/>
      <c r="M1709" s="15"/>
      <c r="N1709" s="15"/>
      <c r="T1709" s="15"/>
      <c r="U1709" s="15"/>
    </row>
    <row r="1710" spans="12:21">
      <c r="L1710" s="15"/>
      <c r="M1710" s="15"/>
      <c r="N1710" s="15"/>
      <c r="T1710" s="15"/>
      <c r="U1710" s="15"/>
    </row>
    <row r="1711" spans="12:21">
      <c r="L1711" s="15"/>
      <c r="M1711" s="15"/>
      <c r="N1711" s="15"/>
      <c r="T1711" s="15"/>
      <c r="U1711" s="15"/>
    </row>
    <row r="1712" spans="12:21">
      <c r="L1712" s="15"/>
      <c r="M1712" s="15"/>
      <c r="N1712" s="15"/>
      <c r="T1712" s="15"/>
      <c r="U1712" s="15"/>
    </row>
    <row r="1713" spans="12:21">
      <c r="L1713" s="15"/>
      <c r="M1713" s="15"/>
      <c r="N1713" s="15"/>
      <c r="T1713" s="15"/>
      <c r="U1713" s="15"/>
    </row>
    <row r="1714" spans="12:21">
      <c r="L1714" s="15"/>
      <c r="M1714" s="15"/>
      <c r="N1714" s="15"/>
      <c r="T1714" s="15"/>
      <c r="U1714" s="15"/>
    </row>
    <row r="1715" spans="12:21">
      <c r="L1715" s="15"/>
      <c r="M1715" s="15"/>
      <c r="N1715" s="15"/>
      <c r="T1715" s="15"/>
      <c r="U1715" s="15"/>
    </row>
    <row r="1716" spans="12:21">
      <c r="L1716" s="15"/>
      <c r="M1716" s="15"/>
      <c r="N1716" s="15"/>
      <c r="T1716" s="15"/>
      <c r="U1716" s="15"/>
    </row>
    <row r="1717" spans="12:21">
      <c r="L1717" s="15"/>
      <c r="M1717" s="15"/>
      <c r="N1717" s="15"/>
      <c r="T1717" s="15"/>
      <c r="U1717" s="15"/>
    </row>
    <row r="1718" spans="12:21">
      <c r="L1718" s="15"/>
      <c r="M1718" s="15"/>
      <c r="N1718" s="15"/>
      <c r="T1718" s="15"/>
      <c r="U1718" s="15"/>
    </row>
    <row r="1719" spans="12:21">
      <c r="L1719" s="15"/>
      <c r="M1719" s="15"/>
      <c r="N1719" s="15"/>
      <c r="T1719" s="15"/>
      <c r="U1719" s="15"/>
    </row>
    <row r="1720" spans="12:21">
      <c r="L1720" s="15"/>
      <c r="M1720" s="15"/>
      <c r="N1720" s="15"/>
      <c r="T1720" s="15"/>
      <c r="U1720" s="15"/>
    </row>
    <row r="1721" spans="12:21">
      <c r="L1721" s="15"/>
      <c r="M1721" s="15"/>
      <c r="N1721" s="15"/>
      <c r="T1721" s="15"/>
      <c r="U1721" s="15"/>
    </row>
    <row r="1722" spans="12:21">
      <c r="L1722" s="15"/>
      <c r="M1722" s="15"/>
      <c r="N1722" s="15"/>
      <c r="T1722" s="15"/>
      <c r="U1722" s="15"/>
    </row>
    <row r="1723" spans="12:21">
      <c r="L1723" s="15"/>
      <c r="M1723" s="15"/>
      <c r="N1723" s="15"/>
      <c r="T1723" s="15"/>
      <c r="U1723" s="15"/>
    </row>
    <row r="1724" spans="12:21">
      <c r="L1724" s="15"/>
      <c r="M1724" s="15"/>
      <c r="N1724" s="15"/>
      <c r="T1724" s="15"/>
      <c r="U1724" s="15"/>
    </row>
    <row r="1725" spans="12:21">
      <c r="L1725" s="15"/>
      <c r="M1725" s="15"/>
      <c r="N1725" s="15"/>
      <c r="T1725" s="15"/>
      <c r="U1725" s="15"/>
    </row>
    <row r="1726" spans="12:21">
      <c r="L1726" s="15"/>
      <c r="M1726" s="15"/>
      <c r="N1726" s="15"/>
      <c r="T1726" s="15"/>
      <c r="U1726" s="15"/>
    </row>
    <row r="1727" spans="12:21">
      <c r="L1727" s="15"/>
      <c r="M1727" s="15"/>
      <c r="N1727" s="15"/>
      <c r="T1727" s="15"/>
      <c r="U1727" s="15"/>
    </row>
    <row r="1728" spans="12:21">
      <c r="L1728" s="15"/>
      <c r="M1728" s="15"/>
      <c r="N1728" s="15"/>
      <c r="T1728" s="15"/>
      <c r="U1728" s="15"/>
    </row>
    <row r="1729" spans="12:21">
      <c r="L1729" s="15"/>
      <c r="M1729" s="15"/>
      <c r="N1729" s="15"/>
      <c r="T1729" s="15"/>
      <c r="U1729" s="15"/>
    </row>
    <row r="1730" spans="12:21">
      <c r="L1730" s="15"/>
      <c r="M1730" s="15"/>
      <c r="N1730" s="15"/>
      <c r="T1730" s="15"/>
      <c r="U1730" s="15"/>
    </row>
    <row r="1731" spans="12:21">
      <c r="L1731" s="15"/>
      <c r="M1731" s="15"/>
      <c r="N1731" s="15"/>
      <c r="T1731" s="15"/>
      <c r="U1731" s="15"/>
    </row>
    <row r="1732" spans="12:21">
      <c r="L1732" s="15"/>
      <c r="M1732" s="15"/>
      <c r="N1732" s="15"/>
      <c r="T1732" s="15"/>
      <c r="U1732" s="15"/>
    </row>
    <row r="1733" spans="12:21">
      <c r="L1733" s="15"/>
      <c r="M1733" s="15"/>
      <c r="N1733" s="15"/>
      <c r="T1733" s="15"/>
      <c r="U1733" s="15"/>
    </row>
    <row r="1734" spans="12:21">
      <c r="L1734" s="15"/>
      <c r="M1734" s="15"/>
      <c r="N1734" s="15"/>
      <c r="T1734" s="15"/>
      <c r="U1734" s="15"/>
    </row>
    <row r="1735" spans="12:21">
      <c r="L1735" s="15"/>
      <c r="M1735" s="15"/>
      <c r="N1735" s="15"/>
      <c r="T1735" s="15"/>
      <c r="U1735" s="15"/>
    </row>
    <row r="1736" spans="12:21">
      <c r="L1736" s="15"/>
      <c r="M1736" s="15"/>
      <c r="N1736" s="15"/>
      <c r="T1736" s="15"/>
      <c r="U1736" s="15"/>
    </row>
    <row r="1737" spans="12:21">
      <c r="L1737" s="15"/>
      <c r="M1737" s="15"/>
      <c r="N1737" s="15"/>
      <c r="T1737" s="15"/>
      <c r="U1737" s="15"/>
    </row>
    <row r="1738" spans="12:21">
      <c r="L1738" s="15"/>
      <c r="M1738" s="15"/>
      <c r="N1738" s="15"/>
      <c r="T1738" s="15"/>
      <c r="U1738" s="15"/>
    </row>
    <row r="1739" spans="12:21">
      <c r="L1739" s="15"/>
      <c r="M1739" s="15"/>
      <c r="N1739" s="15"/>
      <c r="T1739" s="15"/>
      <c r="U1739" s="15"/>
    </row>
    <row r="1740" spans="12:21">
      <c r="L1740" s="15"/>
      <c r="M1740" s="15"/>
      <c r="N1740" s="15"/>
      <c r="T1740" s="15"/>
      <c r="U1740" s="15"/>
    </row>
    <row r="1741" spans="12:21">
      <c r="L1741" s="15"/>
      <c r="M1741" s="15"/>
      <c r="N1741" s="15"/>
      <c r="T1741" s="15"/>
      <c r="U1741" s="15"/>
    </row>
    <row r="1742" spans="12:21">
      <c r="L1742" s="15"/>
      <c r="M1742" s="15"/>
      <c r="N1742" s="15"/>
      <c r="T1742" s="15"/>
      <c r="U1742" s="15"/>
    </row>
    <row r="1743" spans="12:21">
      <c r="L1743" s="15"/>
      <c r="M1743" s="15"/>
      <c r="N1743" s="15"/>
      <c r="T1743" s="15"/>
      <c r="U1743" s="15"/>
    </row>
    <row r="1744" spans="12:21">
      <c r="L1744" s="15"/>
      <c r="M1744" s="15"/>
      <c r="N1744" s="15"/>
      <c r="T1744" s="15"/>
      <c r="U1744" s="15"/>
    </row>
    <row r="1745" spans="12:21">
      <c r="L1745" s="15"/>
      <c r="M1745" s="15"/>
      <c r="N1745" s="15"/>
      <c r="T1745" s="15"/>
      <c r="U1745" s="15"/>
    </row>
    <row r="1746" spans="12:21">
      <c r="L1746" s="15"/>
      <c r="M1746" s="15"/>
      <c r="N1746" s="15"/>
      <c r="T1746" s="15"/>
      <c r="U1746" s="15"/>
    </row>
    <row r="1747" spans="12:21">
      <c r="L1747" s="15"/>
      <c r="M1747" s="15"/>
      <c r="N1747" s="15"/>
      <c r="T1747" s="15"/>
      <c r="U1747" s="15"/>
    </row>
    <row r="1748" spans="12:21">
      <c r="L1748" s="15"/>
      <c r="M1748" s="15"/>
      <c r="N1748" s="15"/>
      <c r="T1748" s="15"/>
      <c r="U1748" s="15"/>
    </row>
    <row r="1749" spans="12:21">
      <c r="L1749" s="15"/>
      <c r="M1749" s="15"/>
      <c r="N1749" s="15"/>
      <c r="T1749" s="15"/>
      <c r="U1749" s="15"/>
    </row>
    <row r="1750" spans="12:21">
      <c r="L1750" s="15"/>
      <c r="M1750" s="15"/>
      <c r="N1750" s="15"/>
      <c r="T1750" s="15"/>
      <c r="U1750" s="15"/>
    </row>
    <row r="1751" spans="12:21">
      <c r="L1751" s="15"/>
      <c r="M1751" s="15"/>
      <c r="N1751" s="15"/>
      <c r="T1751" s="15"/>
      <c r="U1751" s="15"/>
    </row>
    <row r="1752" spans="12:21">
      <c r="L1752" s="15"/>
      <c r="M1752" s="15"/>
      <c r="N1752" s="15"/>
      <c r="T1752" s="15"/>
      <c r="U1752" s="15"/>
    </row>
    <row r="1753" spans="12:21">
      <c r="L1753" s="15"/>
      <c r="M1753" s="15"/>
      <c r="N1753" s="15"/>
      <c r="T1753" s="15"/>
      <c r="U1753" s="15"/>
    </row>
    <row r="1754" spans="12:21">
      <c r="L1754" s="15"/>
      <c r="M1754" s="15"/>
      <c r="N1754" s="15"/>
      <c r="T1754" s="15"/>
      <c r="U1754" s="15"/>
    </row>
    <row r="1755" spans="12:21">
      <c r="L1755" s="15"/>
      <c r="M1755" s="15"/>
      <c r="N1755" s="15"/>
      <c r="T1755" s="15"/>
      <c r="U1755" s="15"/>
    </row>
    <row r="1756" spans="12:21">
      <c r="L1756" s="15"/>
      <c r="M1756" s="15"/>
      <c r="N1756" s="15"/>
      <c r="T1756" s="15"/>
      <c r="U1756" s="15"/>
    </row>
    <row r="1757" spans="12:21">
      <c r="L1757" s="15"/>
      <c r="M1757" s="15"/>
      <c r="N1757" s="15"/>
      <c r="T1757" s="15"/>
      <c r="U1757" s="15"/>
    </row>
    <row r="1758" spans="12:21">
      <c r="L1758" s="15"/>
      <c r="M1758" s="15"/>
      <c r="N1758" s="15"/>
      <c r="T1758" s="15"/>
      <c r="U1758" s="15"/>
    </row>
    <row r="1759" spans="12:21">
      <c r="L1759" s="15"/>
      <c r="M1759" s="15"/>
      <c r="N1759" s="15"/>
      <c r="T1759" s="15"/>
      <c r="U1759" s="15"/>
    </row>
    <row r="1760" spans="12:21">
      <c r="L1760" s="15"/>
      <c r="M1760" s="15"/>
      <c r="N1760" s="15"/>
      <c r="T1760" s="15"/>
      <c r="U1760" s="15"/>
    </row>
    <row r="1761" spans="12:21">
      <c r="L1761" s="15"/>
      <c r="M1761" s="15"/>
      <c r="N1761" s="15"/>
      <c r="T1761" s="15"/>
      <c r="U1761" s="15"/>
    </row>
    <row r="1762" spans="12:21">
      <c r="L1762" s="15"/>
      <c r="M1762" s="15"/>
      <c r="N1762" s="15"/>
      <c r="T1762" s="15"/>
      <c r="U1762" s="15"/>
    </row>
    <row r="1763" spans="12:21">
      <c r="L1763" s="15"/>
      <c r="M1763" s="15"/>
      <c r="N1763" s="15"/>
      <c r="T1763" s="15"/>
      <c r="U1763" s="15"/>
    </row>
    <row r="1764" spans="12:21">
      <c r="L1764" s="15"/>
      <c r="M1764" s="15"/>
      <c r="N1764" s="15"/>
      <c r="T1764" s="15"/>
      <c r="U1764" s="15"/>
    </row>
    <row r="1765" spans="12:21">
      <c r="L1765" s="15"/>
      <c r="M1765" s="15"/>
      <c r="N1765" s="15"/>
      <c r="T1765" s="15"/>
      <c r="U1765" s="15"/>
    </row>
    <row r="1766" spans="12:21">
      <c r="L1766" s="15"/>
      <c r="M1766" s="15"/>
      <c r="N1766" s="15"/>
      <c r="T1766" s="15"/>
      <c r="U1766" s="15"/>
    </row>
    <row r="1767" spans="12:21">
      <c r="L1767" s="15"/>
      <c r="M1767" s="15"/>
      <c r="N1767" s="15"/>
      <c r="T1767" s="15"/>
      <c r="U1767" s="15"/>
    </row>
    <row r="1768" spans="12:21">
      <c r="L1768" s="15"/>
      <c r="M1768" s="15"/>
      <c r="N1768" s="15"/>
      <c r="T1768" s="15"/>
      <c r="U1768" s="15"/>
    </row>
    <row r="1769" spans="12:21">
      <c r="L1769" s="15"/>
      <c r="M1769" s="15"/>
      <c r="N1769" s="15"/>
      <c r="T1769" s="15"/>
      <c r="U1769" s="15"/>
    </row>
    <row r="1770" spans="12:21">
      <c r="L1770" s="15"/>
      <c r="M1770" s="15"/>
      <c r="N1770" s="15"/>
      <c r="T1770" s="15"/>
      <c r="U1770" s="15"/>
    </row>
    <row r="1771" spans="12:21">
      <c r="L1771" s="15"/>
      <c r="M1771" s="15"/>
      <c r="N1771" s="15"/>
      <c r="T1771" s="15"/>
      <c r="U1771" s="15"/>
    </row>
    <row r="1772" spans="12:21">
      <c r="L1772" s="15"/>
      <c r="M1772" s="15"/>
      <c r="N1772" s="15"/>
      <c r="T1772" s="15"/>
      <c r="U1772" s="15"/>
    </row>
    <row r="1773" spans="12:21">
      <c r="L1773" s="15"/>
      <c r="M1773" s="15"/>
      <c r="N1773" s="15"/>
      <c r="T1773" s="15"/>
      <c r="U1773" s="15"/>
    </row>
    <row r="1774" spans="12:21">
      <c r="L1774" s="15"/>
      <c r="M1774" s="15"/>
      <c r="N1774" s="15"/>
      <c r="T1774" s="15"/>
      <c r="U1774" s="15"/>
    </row>
    <row r="1775" spans="12:21">
      <c r="L1775" s="15"/>
      <c r="M1775" s="15"/>
      <c r="N1775" s="15"/>
      <c r="T1775" s="15"/>
      <c r="U1775" s="15"/>
    </row>
    <row r="1776" spans="12:21">
      <c r="L1776" s="15"/>
      <c r="M1776" s="15"/>
      <c r="N1776" s="15"/>
      <c r="T1776" s="15"/>
      <c r="U1776" s="15"/>
    </row>
    <row r="1777" spans="12:21">
      <c r="L1777" s="15"/>
      <c r="M1777" s="15"/>
      <c r="N1777" s="15"/>
      <c r="T1777" s="15"/>
      <c r="U1777" s="15"/>
    </row>
    <row r="1778" spans="12:21">
      <c r="L1778" s="15"/>
      <c r="M1778" s="15"/>
      <c r="N1778" s="15"/>
      <c r="T1778" s="15"/>
      <c r="U1778" s="15"/>
    </row>
    <row r="1779" spans="12:21">
      <c r="L1779" s="15"/>
      <c r="M1779" s="15"/>
      <c r="N1779" s="15"/>
      <c r="T1779" s="15"/>
      <c r="U1779" s="15"/>
    </row>
    <row r="1780" spans="12:21">
      <c r="L1780" s="15"/>
      <c r="M1780" s="15"/>
      <c r="N1780" s="15"/>
      <c r="T1780" s="15"/>
      <c r="U1780" s="15"/>
    </row>
    <row r="1781" spans="12:21">
      <c r="L1781" s="15"/>
      <c r="M1781" s="15"/>
      <c r="N1781" s="15"/>
      <c r="T1781" s="15"/>
      <c r="U1781" s="15"/>
    </row>
    <row r="1782" spans="12:21">
      <c r="L1782" s="15"/>
      <c r="M1782" s="15"/>
      <c r="N1782" s="15"/>
      <c r="T1782" s="15"/>
      <c r="U1782" s="15"/>
    </row>
    <row r="1783" spans="12:21">
      <c r="L1783" s="15"/>
      <c r="M1783" s="15"/>
      <c r="N1783" s="15"/>
      <c r="T1783" s="15"/>
      <c r="U1783" s="15"/>
    </row>
    <row r="1784" spans="12:21">
      <c r="L1784" s="15"/>
      <c r="M1784" s="15"/>
      <c r="N1784" s="15"/>
      <c r="T1784" s="15"/>
      <c r="U1784" s="15"/>
    </row>
    <row r="1785" spans="12:21">
      <c r="L1785" s="15"/>
      <c r="M1785" s="15"/>
      <c r="N1785" s="15"/>
      <c r="T1785" s="15"/>
      <c r="U1785" s="15"/>
    </row>
    <row r="1786" spans="12:21">
      <c r="L1786" s="15"/>
      <c r="M1786" s="15"/>
      <c r="N1786" s="15"/>
      <c r="T1786" s="15"/>
      <c r="U1786" s="15"/>
    </row>
    <row r="1787" spans="12:21">
      <c r="L1787" s="15"/>
      <c r="M1787" s="15"/>
      <c r="N1787" s="15"/>
      <c r="T1787" s="15"/>
      <c r="U1787" s="15"/>
    </row>
    <row r="1788" spans="12:21">
      <c r="L1788" s="15"/>
      <c r="M1788" s="15"/>
      <c r="N1788" s="15"/>
      <c r="T1788" s="15"/>
      <c r="U1788" s="15"/>
    </row>
    <row r="1789" spans="12:21">
      <c r="L1789" s="15"/>
      <c r="M1789" s="15"/>
      <c r="N1789" s="15"/>
      <c r="T1789" s="15"/>
      <c r="U1789" s="15"/>
    </row>
    <row r="1790" spans="12:21">
      <c r="L1790" s="15"/>
      <c r="M1790" s="15"/>
      <c r="N1790" s="15"/>
      <c r="T1790" s="15"/>
      <c r="U1790" s="15"/>
    </row>
    <row r="1791" spans="12:21">
      <c r="L1791" s="15"/>
      <c r="M1791" s="15"/>
      <c r="N1791" s="15"/>
      <c r="T1791" s="15"/>
      <c r="U1791" s="15"/>
    </row>
    <row r="1792" spans="12:21">
      <c r="L1792" s="15"/>
      <c r="M1792" s="15"/>
      <c r="N1792" s="15"/>
      <c r="T1792" s="15"/>
      <c r="U1792" s="15"/>
    </row>
    <row r="1793" spans="12:21">
      <c r="L1793" s="15"/>
      <c r="M1793" s="15"/>
      <c r="N1793" s="15"/>
      <c r="T1793" s="15"/>
      <c r="U1793" s="15"/>
    </row>
    <row r="1794" spans="12:21">
      <c r="L1794" s="15"/>
      <c r="M1794" s="15"/>
      <c r="N1794" s="15"/>
      <c r="T1794" s="15"/>
      <c r="U1794" s="15"/>
    </row>
    <row r="1795" spans="12:21">
      <c r="L1795" s="15"/>
      <c r="M1795" s="15"/>
      <c r="N1795" s="15"/>
      <c r="T1795" s="15"/>
      <c r="U1795" s="15"/>
    </row>
    <row r="1796" spans="12:21">
      <c r="L1796" s="15"/>
      <c r="M1796" s="15"/>
      <c r="N1796" s="15"/>
      <c r="T1796" s="15"/>
      <c r="U1796" s="15"/>
    </row>
    <row r="1797" spans="12:21">
      <c r="L1797" s="15"/>
      <c r="M1797" s="15"/>
      <c r="N1797" s="15"/>
      <c r="T1797" s="15"/>
      <c r="U1797" s="15"/>
    </row>
    <row r="1798" spans="12:21">
      <c r="L1798" s="15"/>
      <c r="M1798" s="15"/>
      <c r="N1798" s="15"/>
      <c r="T1798" s="15"/>
      <c r="U1798" s="15"/>
    </row>
    <row r="1799" spans="12:21">
      <c r="L1799" s="15"/>
      <c r="M1799" s="15"/>
      <c r="N1799" s="15"/>
      <c r="T1799" s="15"/>
      <c r="U1799" s="15"/>
    </row>
    <row r="1800" spans="12:21">
      <c r="L1800" s="15"/>
      <c r="M1800" s="15"/>
      <c r="N1800" s="15"/>
      <c r="T1800" s="15"/>
      <c r="U1800" s="15"/>
    </row>
    <row r="1801" spans="12:21">
      <c r="L1801" s="15"/>
      <c r="M1801" s="15"/>
      <c r="N1801" s="15"/>
      <c r="T1801" s="15"/>
      <c r="U1801" s="15"/>
    </row>
    <row r="1802" spans="12:21">
      <c r="L1802" s="15"/>
      <c r="M1802" s="15"/>
      <c r="N1802" s="15"/>
      <c r="T1802" s="15"/>
      <c r="U1802" s="15"/>
    </row>
    <row r="1803" spans="12:21">
      <c r="L1803" s="15"/>
      <c r="M1803" s="15"/>
      <c r="N1803" s="15"/>
      <c r="T1803" s="15"/>
      <c r="U1803" s="15"/>
    </row>
    <row r="1804" spans="12:21">
      <c r="L1804" s="15"/>
      <c r="M1804" s="15"/>
      <c r="N1804" s="15"/>
      <c r="T1804" s="15"/>
      <c r="U1804" s="15"/>
    </row>
    <row r="1805" spans="12:21">
      <c r="L1805" s="15"/>
      <c r="M1805" s="15"/>
      <c r="N1805" s="15"/>
      <c r="T1805" s="15"/>
      <c r="U1805" s="15"/>
    </row>
    <row r="1806" spans="12:21">
      <c r="L1806" s="15"/>
      <c r="M1806" s="15"/>
      <c r="N1806" s="15"/>
      <c r="T1806" s="15"/>
      <c r="U1806" s="15"/>
    </row>
    <row r="1807" spans="12:21">
      <c r="L1807" s="15"/>
      <c r="M1807" s="15"/>
      <c r="N1807" s="15"/>
      <c r="T1807" s="15"/>
      <c r="U1807" s="15"/>
    </row>
    <row r="1808" spans="12:21">
      <c r="L1808" s="15"/>
      <c r="M1808" s="15"/>
      <c r="N1808" s="15"/>
      <c r="T1808" s="15"/>
      <c r="U1808" s="15"/>
    </row>
    <row r="1809" spans="12:21">
      <c r="L1809" s="15"/>
      <c r="M1809" s="15"/>
      <c r="N1809" s="15"/>
      <c r="T1809" s="15"/>
      <c r="U1809" s="15"/>
    </row>
    <row r="1810" spans="12:21">
      <c r="L1810" s="15"/>
      <c r="M1810" s="15"/>
      <c r="N1810" s="15"/>
      <c r="T1810" s="15"/>
      <c r="U1810" s="15"/>
    </row>
    <row r="1811" spans="12:21">
      <c r="L1811" s="15"/>
      <c r="M1811" s="15"/>
      <c r="N1811" s="15"/>
      <c r="T1811" s="15"/>
      <c r="U1811" s="15"/>
    </row>
    <row r="1812" spans="12:21">
      <c r="L1812" s="15"/>
      <c r="M1812" s="15"/>
      <c r="N1812" s="15"/>
      <c r="T1812" s="15"/>
      <c r="U1812" s="15"/>
    </row>
    <row r="1813" spans="12:21">
      <c r="L1813" s="15"/>
      <c r="M1813" s="15"/>
      <c r="N1813" s="15"/>
      <c r="T1813" s="15"/>
      <c r="U1813" s="15"/>
    </row>
    <row r="1814" spans="12:21">
      <c r="L1814" s="15"/>
      <c r="M1814" s="15"/>
      <c r="N1814" s="15"/>
      <c r="T1814" s="15"/>
      <c r="U1814" s="15"/>
    </row>
    <row r="1815" spans="12:21">
      <c r="L1815" s="15"/>
      <c r="M1815" s="15"/>
      <c r="N1815" s="15"/>
      <c r="T1815" s="15"/>
      <c r="U1815" s="15"/>
    </row>
    <row r="1816" spans="12:21">
      <c r="L1816" s="15"/>
      <c r="M1816" s="15"/>
      <c r="N1816" s="15"/>
      <c r="T1816" s="15"/>
      <c r="U1816" s="15"/>
    </row>
    <row r="1817" spans="12:21">
      <c r="L1817" s="15"/>
      <c r="M1817" s="15"/>
      <c r="N1817" s="15"/>
      <c r="T1817" s="15"/>
      <c r="U1817" s="15"/>
    </row>
    <row r="1818" spans="12:21">
      <c r="L1818" s="15"/>
      <c r="M1818" s="15"/>
      <c r="N1818" s="15"/>
      <c r="T1818" s="15"/>
      <c r="U1818" s="15"/>
    </row>
    <row r="1819" spans="12:21">
      <c r="L1819" s="15"/>
      <c r="M1819" s="15"/>
      <c r="N1819" s="15"/>
      <c r="T1819" s="15"/>
      <c r="U1819" s="15"/>
    </row>
    <row r="1820" spans="12:21">
      <c r="L1820" s="15"/>
      <c r="M1820" s="15"/>
      <c r="N1820" s="15"/>
      <c r="T1820" s="15"/>
      <c r="U1820" s="15"/>
    </row>
    <row r="1821" spans="12:21">
      <c r="L1821" s="15"/>
      <c r="M1821" s="15"/>
      <c r="N1821" s="15"/>
      <c r="T1821" s="15"/>
      <c r="U1821" s="15"/>
    </row>
    <row r="1822" spans="12:21">
      <c r="L1822" s="15"/>
      <c r="M1822" s="15"/>
      <c r="N1822" s="15"/>
      <c r="T1822" s="15"/>
      <c r="U1822" s="15"/>
    </row>
    <row r="1823" spans="12:21">
      <c r="L1823" s="15"/>
      <c r="M1823" s="15"/>
      <c r="N1823" s="15"/>
      <c r="T1823" s="15"/>
      <c r="U1823" s="15"/>
    </row>
    <row r="1824" spans="12:21">
      <c r="L1824" s="15"/>
      <c r="M1824" s="15"/>
      <c r="N1824" s="15"/>
      <c r="T1824" s="15"/>
      <c r="U1824" s="15"/>
    </row>
    <row r="1825" spans="12:21">
      <c r="L1825" s="15"/>
      <c r="M1825" s="15"/>
      <c r="N1825" s="15"/>
      <c r="T1825" s="15"/>
      <c r="U1825" s="15"/>
    </row>
    <row r="1826" spans="12:21">
      <c r="L1826" s="15"/>
      <c r="M1826" s="15"/>
      <c r="N1826" s="15"/>
      <c r="T1826" s="15"/>
      <c r="U1826" s="15"/>
    </row>
    <row r="1827" spans="12:21">
      <c r="L1827" s="15"/>
      <c r="M1827" s="15"/>
      <c r="N1827" s="15"/>
      <c r="T1827" s="15"/>
      <c r="U1827" s="15"/>
    </row>
    <row r="1828" spans="12:21">
      <c r="L1828" s="15"/>
      <c r="M1828" s="15"/>
      <c r="N1828" s="15"/>
      <c r="T1828" s="15"/>
      <c r="U1828" s="15"/>
    </row>
    <row r="1829" spans="12:21">
      <c r="L1829" s="15"/>
      <c r="M1829" s="15"/>
      <c r="N1829" s="15"/>
      <c r="T1829" s="15"/>
      <c r="U1829" s="15"/>
    </row>
    <row r="1830" spans="12:21">
      <c r="L1830" s="15"/>
      <c r="M1830" s="15"/>
      <c r="N1830" s="15"/>
      <c r="T1830" s="15"/>
      <c r="U1830" s="15"/>
    </row>
    <row r="1831" spans="12:21">
      <c r="L1831" s="15"/>
      <c r="M1831" s="15"/>
      <c r="N1831" s="15"/>
      <c r="T1831" s="15"/>
      <c r="U1831" s="15"/>
    </row>
    <row r="1832" spans="12:21">
      <c r="L1832" s="15"/>
      <c r="M1832" s="15"/>
      <c r="N1832" s="15"/>
      <c r="T1832" s="15"/>
      <c r="U1832" s="15"/>
    </row>
    <row r="1833" spans="12:21">
      <c r="L1833" s="15"/>
      <c r="M1833" s="15"/>
      <c r="N1833" s="15"/>
      <c r="T1833" s="15"/>
      <c r="U1833" s="15"/>
    </row>
    <row r="1834" spans="12:21">
      <c r="L1834" s="15"/>
      <c r="M1834" s="15"/>
      <c r="N1834" s="15"/>
      <c r="T1834" s="15"/>
      <c r="U1834" s="15"/>
    </row>
    <row r="1835" spans="12:21">
      <c r="L1835" s="15"/>
      <c r="M1835" s="15"/>
      <c r="N1835" s="15"/>
      <c r="T1835" s="15"/>
      <c r="U1835" s="15"/>
    </row>
    <row r="1836" spans="12:21">
      <c r="L1836" s="15"/>
      <c r="M1836" s="15"/>
      <c r="N1836" s="15"/>
      <c r="T1836" s="15"/>
      <c r="U1836" s="15"/>
    </row>
    <row r="1837" spans="12:21">
      <c r="L1837" s="15"/>
      <c r="M1837" s="15"/>
      <c r="N1837" s="15"/>
      <c r="T1837" s="15"/>
      <c r="U1837" s="15"/>
    </row>
    <row r="1838" spans="12:21">
      <c r="L1838" s="15"/>
      <c r="M1838" s="15"/>
      <c r="N1838" s="15"/>
      <c r="T1838" s="15"/>
      <c r="U1838" s="15"/>
    </row>
    <row r="1839" spans="12:21">
      <c r="L1839" s="15"/>
      <c r="M1839" s="15"/>
      <c r="N1839" s="15"/>
      <c r="T1839" s="15"/>
      <c r="U1839" s="15"/>
    </row>
    <row r="1840" spans="12:21">
      <c r="L1840" s="15"/>
      <c r="M1840" s="15"/>
      <c r="N1840" s="15"/>
      <c r="T1840" s="15"/>
      <c r="U1840" s="15"/>
    </row>
    <row r="1841" spans="12:21">
      <c r="L1841" s="15"/>
      <c r="M1841" s="15"/>
      <c r="N1841" s="15"/>
      <c r="T1841" s="15"/>
      <c r="U1841" s="15"/>
    </row>
    <row r="1842" spans="12:21">
      <c r="L1842" s="15"/>
      <c r="M1842" s="15"/>
      <c r="N1842" s="15"/>
      <c r="T1842" s="15"/>
      <c r="U1842" s="15"/>
    </row>
    <row r="1843" spans="12:21">
      <c r="L1843" s="15"/>
      <c r="M1843" s="15"/>
      <c r="N1843" s="15"/>
      <c r="T1843" s="15"/>
      <c r="U1843" s="15"/>
    </row>
    <row r="1844" spans="12:21">
      <c r="L1844" s="15"/>
      <c r="M1844" s="15"/>
      <c r="N1844" s="15"/>
      <c r="T1844" s="15"/>
      <c r="U1844" s="15"/>
    </row>
    <row r="1845" spans="12:21">
      <c r="L1845" s="15"/>
      <c r="M1845" s="15"/>
      <c r="N1845" s="15"/>
      <c r="T1845" s="15"/>
      <c r="U1845" s="15"/>
    </row>
    <row r="1846" spans="12:21">
      <c r="L1846" s="15"/>
      <c r="M1846" s="15"/>
      <c r="N1846" s="15"/>
      <c r="T1846" s="15"/>
      <c r="U1846" s="15"/>
    </row>
    <row r="1847" spans="12:21">
      <c r="L1847" s="15"/>
      <c r="M1847" s="15"/>
      <c r="N1847" s="15"/>
      <c r="T1847" s="15"/>
      <c r="U1847" s="15"/>
    </row>
    <row r="1848" spans="12:21">
      <c r="L1848" s="15"/>
      <c r="M1848" s="15"/>
      <c r="N1848" s="15"/>
      <c r="T1848" s="15"/>
      <c r="U1848" s="15"/>
    </row>
    <row r="1849" spans="12:21">
      <c r="L1849" s="15"/>
      <c r="M1849" s="15"/>
      <c r="N1849" s="15"/>
      <c r="T1849" s="15"/>
      <c r="U1849" s="15"/>
    </row>
    <row r="1850" spans="12:21">
      <c r="L1850" s="15"/>
      <c r="M1850" s="15"/>
      <c r="N1850" s="15"/>
      <c r="T1850" s="15"/>
      <c r="U1850" s="15"/>
    </row>
    <row r="1851" spans="12:21">
      <c r="L1851" s="15"/>
      <c r="M1851" s="15"/>
      <c r="N1851" s="15"/>
      <c r="T1851" s="15"/>
      <c r="U1851" s="15"/>
    </row>
    <row r="1852" spans="12:21">
      <c r="L1852" s="15"/>
      <c r="M1852" s="15"/>
      <c r="N1852" s="15"/>
      <c r="T1852" s="15"/>
      <c r="U1852" s="15"/>
    </row>
    <row r="1853" spans="12:21">
      <c r="L1853" s="15"/>
      <c r="M1853" s="15"/>
      <c r="N1853" s="15"/>
      <c r="T1853" s="15"/>
      <c r="U1853" s="15"/>
    </row>
    <row r="1854" spans="12:21">
      <c r="L1854" s="15"/>
      <c r="M1854" s="15"/>
      <c r="N1854" s="15"/>
      <c r="T1854" s="15"/>
      <c r="U1854" s="15"/>
    </row>
    <row r="1855" spans="12:21">
      <c r="L1855" s="15"/>
      <c r="M1855" s="15"/>
      <c r="N1855" s="15"/>
      <c r="T1855" s="15"/>
      <c r="U1855" s="15"/>
    </row>
    <row r="1856" spans="12:21">
      <c r="L1856" s="15"/>
      <c r="M1856" s="15"/>
      <c r="N1856" s="15"/>
      <c r="T1856" s="15"/>
      <c r="U1856" s="15"/>
    </row>
    <row r="1857" spans="12:21">
      <c r="L1857" s="15"/>
      <c r="M1857" s="15"/>
      <c r="N1857" s="15"/>
      <c r="T1857" s="15"/>
      <c r="U1857" s="15"/>
    </row>
    <row r="1858" spans="12:21">
      <c r="L1858" s="15"/>
      <c r="M1858" s="15"/>
      <c r="N1858" s="15"/>
      <c r="T1858" s="15"/>
      <c r="U1858" s="15"/>
    </row>
    <row r="1859" spans="12:21">
      <c r="L1859" s="15"/>
      <c r="M1859" s="15"/>
      <c r="N1859" s="15"/>
      <c r="T1859" s="15"/>
      <c r="U1859" s="15"/>
    </row>
    <row r="1860" spans="12:21">
      <c r="L1860" s="15"/>
      <c r="M1860" s="15"/>
      <c r="N1860" s="15"/>
      <c r="T1860" s="15"/>
      <c r="U1860" s="15"/>
    </row>
    <row r="1861" spans="12:21">
      <c r="L1861" s="15"/>
      <c r="M1861" s="15"/>
      <c r="N1861" s="15"/>
      <c r="T1861" s="15"/>
      <c r="U1861" s="15"/>
    </row>
    <row r="1862" spans="12:21">
      <c r="L1862" s="15"/>
      <c r="M1862" s="15"/>
      <c r="N1862" s="15"/>
      <c r="T1862" s="15"/>
      <c r="U1862" s="15"/>
    </row>
    <row r="1863" spans="12:21">
      <c r="L1863" s="15"/>
      <c r="M1863" s="15"/>
      <c r="N1863" s="15"/>
      <c r="T1863" s="15"/>
      <c r="U1863" s="15"/>
    </row>
    <row r="1864" spans="12:21">
      <c r="L1864" s="15"/>
      <c r="M1864" s="15"/>
      <c r="N1864" s="15"/>
      <c r="T1864" s="15"/>
      <c r="U1864" s="15"/>
    </row>
    <row r="1865" spans="12:21">
      <c r="L1865" s="15"/>
      <c r="M1865" s="15"/>
      <c r="N1865" s="15"/>
      <c r="T1865" s="15"/>
      <c r="U1865" s="15"/>
    </row>
    <row r="1866" spans="12:21">
      <c r="L1866" s="15"/>
      <c r="M1866" s="15"/>
      <c r="N1866" s="15"/>
      <c r="T1866" s="15"/>
      <c r="U1866" s="15"/>
    </row>
    <row r="1867" spans="12:21">
      <c r="L1867" s="15"/>
      <c r="M1867" s="15"/>
      <c r="N1867" s="15"/>
      <c r="T1867" s="15"/>
      <c r="U1867" s="15"/>
    </row>
    <row r="1868" spans="12:21">
      <c r="L1868" s="15"/>
      <c r="M1868" s="15"/>
      <c r="N1868" s="15"/>
      <c r="T1868" s="15"/>
      <c r="U1868" s="15"/>
    </row>
    <row r="1869" spans="12:21">
      <c r="L1869" s="15"/>
      <c r="M1869" s="15"/>
      <c r="N1869" s="15"/>
      <c r="T1869" s="15"/>
      <c r="U1869" s="15"/>
    </row>
    <row r="1870" spans="12:21">
      <c r="L1870" s="15"/>
      <c r="M1870" s="15"/>
      <c r="N1870" s="15"/>
      <c r="T1870" s="15"/>
      <c r="U1870" s="15"/>
    </row>
    <row r="1871" spans="12:21">
      <c r="L1871" s="15"/>
      <c r="M1871" s="15"/>
      <c r="N1871" s="15"/>
      <c r="T1871" s="15"/>
      <c r="U1871" s="15"/>
    </row>
    <row r="1872" spans="12:21">
      <c r="L1872" s="15"/>
      <c r="M1872" s="15"/>
      <c r="N1872" s="15"/>
      <c r="T1872" s="15"/>
      <c r="U1872" s="15"/>
    </row>
    <row r="1873" spans="12:21">
      <c r="L1873" s="15"/>
      <c r="M1873" s="15"/>
      <c r="N1873" s="15"/>
      <c r="T1873" s="15"/>
      <c r="U1873" s="15"/>
    </row>
    <row r="1874" spans="12:21">
      <c r="L1874" s="15"/>
      <c r="M1874" s="15"/>
      <c r="N1874" s="15"/>
      <c r="T1874" s="15"/>
      <c r="U1874" s="15"/>
    </row>
    <row r="1875" spans="12:21">
      <c r="L1875" s="15"/>
      <c r="M1875" s="15"/>
      <c r="N1875" s="15"/>
      <c r="T1875" s="15"/>
      <c r="U1875" s="15"/>
    </row>
    <row r="1876" spans="12:21">
      <c r="L1876" s="15"/>
      <c r="M1876" s="15"/>
      <c r="N1876" s="15"/>
      <c r="T1876" s="15"/>
      <c r="U1876" s="15"/>
    </row>
    <row r="1877" spans="12:21">
      <c r="L1877" s="15"/>
      <c r="M1877" s="15"/>
      <c r="N1877" s="15"/>
      <c r="T1877" s="15"/>
      <c r="U1877" s="15"/>
    </row>
    <row r="1878" spans="12:21">
      <c r="L1878" s="15"/>
      <c r="M1878" s="15"/>
      <c r="N1878" s="15"/>
      <c r="T1878" s="15"/>
      <c r="U1878" s="15"/>
    </row>
    <row r="1879" spans="12:21">
      <c r="L1879" s="15"/>
      <c r="M1879" s="15"/>
      <c r="N1879" s="15"/>
      <c r="T1879" s="15"/>
      <c r="U1879" s="15"/>
    </row>
    <row r="1880" spans="12:21">
      <c r="L1880" s="15"/>
      <c r="M1880" s="15"/>
      <c r="N1880" s="15"/>
      <c r="T1880" s="15"/>
      <c r="U1880" s="15"/>
    </row>
    <row r="1881" spans="12:21">
      <c r="L1881" s="15"/>
      <c r="M1881" s="15"/>
      <c r="N1881" s="15"/>
      <c r="T1881" s="15"/>
      <c r="U1881" s="15"/>
    </row>
    <row r="1882" spans="12:21">
      <c r="L1882" s="15"/>
      <c r="M1882" s="15"/>
      <c r="N1882" s="15"/>
      <c r="T1882" s="15"/>
      <c r="U1882" s="15"/>
    </row>
    <row r="1883" spans="12:21">
      <c r="L1883" s="15"/>
      <c r="M1883" s="15"/>
      <c r="N1883" s="15"/>
      <c r="T1883" s="15"/>
      <c r="U1883" s="15"/>
    </row>
    <row r="1884" spans="12:21">
      <c r="L1884" s="15"/>
      <c r="M1884" s="15"/>
      <c r="N1884" s="15"/>
      <c r="T1884" s="15"/>
      <c r="U1884" s="15"/>
    </row>
    <row r="1885" spans="12:21">
      <c r="L1885" s="15"/>
      <c r="M1885" s="15"/>
      <c r="N1885" s="15"/>
      <c r="T1885" s="15"/>
      <c r="U1885" s="15"/>
    </row>
    <row r="1886" spans="12:21">
      <c r="L1886" s="15"/>
      <c r="M1886" s="15"/>
      <c r="N1886" s="15"/>
      <c r="T1886" s="15"/>
      <c r="U1886" s="15"/>
    </row>
    <row r="1887" spans="12:21">
      <c r="L1887" s="15"/>
      <c r="M1887" s="15"/>
      <c r="N1887" s="15"/>
      <c r="T1887" s="15"/>
      <c r="U1887" s="15"/>
    </row>
    <row r="1888" spans="12:21">
      <c r="L1888" s="15"/>
      <c r="M1888" s="15"/>
      <c r="N1888" s="15"/>
      <c r="T1888" s="15"/>
      <c r="U1888" s="15"/>
    </row>
    <row r="1889" spans="12:21">
      <c r="L1889" s="15"/>
      <c r="M1889" s="15"/>
      <c r="N1889" s="15"/>
      <c r="T1889" s="15"/>
      <c r="U1889" s="15"/>
    </row>
    <row r="1890" spans="12:21">
      <c r="L1890" s="15"/>
      <c r="M1890" s="15"/>
      <c r="N1890" s="15"/>
      <c r="T1890" s="15"/>
      <c r="U1890" s="15"/>
    </row>
    <row r="1891" spans="12:21">
      <c r="L1891" s="15"/>
      <c r="M1891" s="15"/>
      <c r="N1891" s="15"/>
      <c r="T1891" s="15"/>
      <c r="U1891" s="15"/>
    </row>
    <row r="1892" spans="12:21">
      <c r="L1892" s="15"/>
      <c r="M1892" s="15"/>
      <c r="N1892" s="15"/>
      <c r="T1892" s="15"/>
      <c r="U1892" s="15"/>
    </row>
    <row r="1893" spans="12:21">
      <c r="L1893" s="15"/>
      <c r="M1893" s="15"/>
      <c r="N1893" s="15"/>
      <c r="T1893" s="15"/>
      <c r="U1893" s="15"/>
    </row>
    <row r="1894" spans="12:21">
      <c r="L1894" s="15"/>
      <c r="M1894" s="15"/>
      <c r="N1894" s="15"/>
      <c r="T1894" s="15"/>
      <c r="U1894" s="15"/>
    </row>
    <row r="1895" spans="12:21">
      <c r="L1895" s="15"/>
      <c r="M1895" s="15"/>
      <c r="N1895" s="15"/>
      <c r="T1895" s="15"/>
      <c r="U1895" s="15"/>
    </row>
    <row r="1896" spans="12:21">
      <c r="L1896" s="15"/>
      <c r="M1896" s="15"/>
      <c r="N1896" s="15"/>
      <c r="T1896" s="15"/>
      <c r="U1896" s="15"/>
    </row>
    <row r="1897" spans="12:21">
      <c r="L1897" s="15"/>
      <c r="M1897" s="15"/>
      <c r="N1897" s="15"/>
      <c r="T1897" s="15"/>
      <c r="U1897" s="15"/>
    </row>
    <row r="1898" spans="12:21">
      <c r="L1898" s="15"/>
      <c r="M1898" s="15"/>
      <c r="N1898" s="15"/>
      <c r="T1898" s="15"/>
      <c r="U1898" s="15"/>
    </row>
    <row r="1899" spans="12:21">
      <c r="L1899" s="15"/>
      <c r="M1899" s="15"/>
      <c r="N1899" s="15"/>
      <c r="T1899" s="15"/>
      <c r="U1899" s="15"/>
    </row>
    <row r="1900" spans="12:21">
      <c r="L1900" s="15"/>
      <c r="M1900" s="15"/>
      <c r="N1900" s="15"/>
      <c r="T1900" s="15"/>
      <c r="U1900" s="15"/>
    </row>
    <row r="1901" spans="12:21">
      <c r="L1901" s="15"/>
      <c r="M1901" s="15"/>
      <c r="N1901" s="15"/>
      <c r="T1901" s="15"/>
      <c r="U1901" s="15"/>
    </row>
    <row r="1902" spans="12:21">
      <c r="L1902" s="15"/>
      <c r="M1902" s="15"/>
      <c r="N1902" s="15"/>
      <c r="T1902" s="15"/>
      <c r="U1902" s="15"/>
    </row>
    <row r="1903" spans="12:21">
      <c r="L1903" s="15"/>
      <c r="M1903" s="15"/>
      <c r="N1903" s="15"/>
      <c r="T1903" s="15"/>
      <c r="U1903" s="15"/>
    </row>
    <row r="1904" spans="12:21">
      <c r="L1904" s="15"/>
      <c r="M1904" s="15"/>
      <c r="N1904" s="15"/>
      <c r="T1904" s="15"/>
      <c r="U1904" s="15"/>
    </row>
    <row r="1905" spans="12:21">
      <c r="L1905" s="15"/>
      <c r="M1905" s="15"/>
      <c r="N1905" s="15"/>
      <c r="T1905" s="15"/>
      <c r="U1905" s="15"/>
    </row>
    <row r="1906" spans="12:21">
      <c r="N1906" s="15"/>
    </row>
  </sheetData>
  <mergeCells count="72">
    <mergeCell ref="B734:C748"/>
    <mergeCell ref="A516:A748"/>
    <mergeCell ref="A208:A252"/>
    <mergeCell ref="A330:A346"/>
    <mergeCell ref="A347:A408"/>
    <mergeCell ref="B501:C515"/>
    <mergeCell ref="B516:C532"/>
    <mergeCell ref="B533:C549"/>
    <mergeCell ref="B550:C566"/>
    <mergeCell ref="B486:C500"/>
    <mergeCell ref="C270:C284"/>
    <mergeCell ref="C300:C314"/>
    <mergeCell ref="A253:A329"/>
    <mergeCell ref="B253:C269"/>
    <mergeCell ref="B270:B299"/>
    <mergeCell ref="A409:A470"/>
    <mergeCell ref="B193:C207"/>
    <mergeCell ref="B208:C222"/>
    <mergeCell ref="B223:C237"/>
    <mergeCell ref="B238:C252"/>
    <mergeCell ref="B719:C733"/>
    <mergeCell ref="B347:C363"/>
    <mergeCell ref="C315:C329"/>
    <mergeCell ref="C285:C299"/>
    <mergeCell ref="B426:C440"/>
    <mergeCell ref="B456:C470"/>
    <mergeCell ref="B379:C393"/>
    <mergeCell ref="B364:C378"/>
    <mergeCell ref="B394:C408"/>
    <mergeCell ref="B300:B329"/>
    <mergeCell ref="B330:C346"/>
    <mergeCell ref="B471:C485"/>
    <mergeCell ref="A471:A515"/>
    <mergeCell ref="B441:C455"/>
    <mergeCell ref="B409:C425"/>
    <mergeCell ref="V1:W1"/>
    <mergeCell ref="C5:W5"/>
    <mergeCell ref="C6:W6"/>
    <mergeCell ref="C7:W7"/>
    <mergeCell ref="W13:W14"/>
    <mergeCell ref="A15:W15"/>
    <mergeCell ref="A16:C18"/>
    <mergeCell ref="A19:C21"/>
    <mergeCell ref="A22:A207"/>
    <mergeCell ref="C88:C102"/>
    <mergeCell ref="C133:C147"/>
    <mergeCell ref="A13:C14"/>
    <mergeCell ref="D13:D14"/>
    <mergeCell ref="E13:E14"/>
    <mergeCell ref="F13:U13"/>
    <mergeCell ref="V13:V14"/>
    <mergeCell ref="C73:C87"/>
    <mergeCell ref="C103:C117"/>
    <mergeCell ref="B163:C177"/>
    <mergeCell ref="B178:C192"/>
    <mergeCell ref="B22:C38"/>
    <mergeCell ref="B39:C55"/>
    <mergeCell ref="B56:C72"/>
    <mergeCell ref="B73:B117"/>
    <mergeCell ref="B118:B162"/>
    <mergeCell ref="C118:C132"/>
    <mergeCell ref="C148:C162"/>
    <mergeCell ref="B704:C718"/>
    <mergeCell ref="B567:C581"/>
    <mergeCell ref="B597:C611"/>
    <mergeCell ref="B627:C643"/>
    <mergeCell ref="B644:C658"/>
    <mergeCell ref="B674:C688"/>
    <mergeCell ref="B582:C596"/>
    <mergeCell ref="B612:C626"/>
    <mergeCell ref="B659:C673"/>
    <mergeCell ref="B689:C703"/>
  </mergeCells>
  <pageMargins left="0.19685039370078741" right="0.19685039370078741" top="0.19685039370078741" bottom="0.19685039370078741" header="0.19685039370078741" footer="0.19685039370078741"/>
  <pageSetup paperSize="9" scale="27" fitToHeight="2" orientation="portrait" r:id="rId1"/>
  <rowBreaks count="3" manualBreakCount="3">
    <brk id="363" max="22" man="1"/>
    <brk id="581" max="22" man="1"/>
    <brk id="596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C000"/>
  </sheetPr>
  <dimension ref="A1:AB1891"/>
  <sheetViews>
    <sheetView view="pageBreakPreview" zoomScale="70" zoomScaleNormal="70" zoomScaleSheetLayoutView="70" workbookViewId="0">
      <pane xSplit="5" ySplit="15" topLeftCell="I488" activePane="bottomRight" state="frozen"/>
      <selection activeCell="C5" sqref="C5:W5"/>
      <selection pane="topRight" activeCell="C5" sqref="C5:W5"/>
      <selection pane="bottomLeft" activeCell="C5" sqref="C5:W5"/>
      <selection pane="bottomRight" activeCell="P496" sqref="P496"/>
    </sheetView>
  </sheetViews>
  <sheetFormatPr defaultColWidth="9.33203125" defaultRowHeight="12.55"/>
  <cols>
    <col min="1" max="1" width="10.44140625" style="249" customWidth="1"/>
    <col min="2" max="2" width="6.44140625" style="249" customWidth="1"/>
    <col min="3" max="3" width="7" style="155" customWidth="1"/>
    <col min="4" max="4" width="33.5546875" style="155" customWidth="1"/>
    <col min="5" max="5" width="16.33203125" style="1" customWidth="1"/>
    <col min="6" max="6" width="12.44140625" style="15" customWidth="1"/>
    <col min="7" max="7" width="11.44140625" style="15" customWidth="1"/>
    <col min="8" max="8" width="12.88671875" style="15" customWidth="1"/>
    <col min="9" max="11" width="11.44140625" style="15" customWidth="1"/>
    <col min="12" max="12" width="12" style="16" customWidth="1"/>
    <col min="13" max="13" width="11.44140625" style="16" customWidth="1"/>
    <col min="14" max="14" width="11.6640625" style="17" customWidth="1"/>
    <col min="15" max="17" width="11.44140625" style="15" customWidth="1"/>
    <col min="18" max="18" width="13" style="15" customWidth="1"/>
    <col min="19" max="19" width="12.6640625" style="15" customWidth="1"/>
    <col min="20" max="20" width="13.44140625" style="16" customWidth="1"/>
    <col min="21" max="21" width="13.5546875" style="16" customWidth="1"/>
    <col min="22" max="22" width="15.44140625" style="78" customWidth="1"/>
    <col min="23" max="23" width="15.44140625" style="15" customWidth="1"/>
    <col min="24" max="24" width="15.44140625" style="13" customWidth="1"/>
    <col min="25" max="25" width="10" style="13" bestFit="1" customWidth="1"/>
    <col min="26" max="26" width="14.109375" style="13" customWidth="1"/>
    <col min="27" max="27" width="13.5546875" style="13" customWidth="1"/>
    <col min="28" max="16384" width="9.33203125" style="13"/>
  </cols>
  <sheetData>
    <row r="1" spans="1:27" s="3" customFormat="1" ht="36.950000000000003" customHeight="1">
      <c r="A1" s="543" t="s">
        <v>84</v>
      </c>
      <c r="B1" s="155"/>
      <c r="C1" s="155"/>
      <c r="D1" s="155"/>
      <c r="E1" s="519" t="s">
        <v>131</v>
      </c>
      <c r="F1" s="472">
        <v>3579</v>
      </c>
      <c r="G1" s="472">
        <v>679805</v>
      </c>
      <c r="H1" s="472">
        <v>1021823</v>
      </c>
      <c r="I1" s="472">
        <v>594995</v>
      </c>
      <c r="J1" s="472">
        <v>44507</v>
      </c>
      <c r="K1" s="472">
        <v>134061</v>
      </c>
      <c r="L1" s="472"/>
      <c r="M1" s="472"/>
      <c r="N1" s="472">
        <v>967</v>
      </c>
      <c r="O1" s="472">
        <v>902</v>
      </c>
      <c r="P1" s="472">
        <v>119820</v>
      </c>
      <c r="Q1" s="472">
        <v>140301</v>
      </c>
      <c r="R1" s="472">
        <v>184528</v>
      </c>
      <c r="S1" s="472">
        <v>1117652</v>
      </c>
      <c r="T1" s="472">
        <v>4042940</v>
      </c>
      <c r="U1" s="329">
        <v>4042940</v>
      </c>
      <c r="V1" s="681" t="s">
        <v>3</v>
      </c>
      <c r="W1" s="681"/>
      <c r="Y1" s="311"/>
      <c r="Z1" s="310"/>
      <c r="AA1" s="312"/>
    </row>
    <row r="2" spans="1:27" s="3" customFormat="1" ht="17.7" customHeight="1">
      <c r="A2" s="155"/>
      <c r="B2" s="155"/>
      <c r="C2" s="39"/>
      <c r="D2" s="159"/>
      <c r="E2" s="385"/>
      <c r="F2" s="476">
        <f>F1/1000</f>
        <v>3.5790000000000002</v>
      </c>
      <c r="G2" s="476">
        <f t="shared" ref="G2:K2" si="0">G1/1000</f>
        <v>679.80499999999995</v>
      </c>
      <c r="H2" s="476">
        <f t="shared" si="0"/>
        <v>1021.823</v>
      </c>
      <c r="I2" s="476">
        <f t="shared" si="0"/>
        <v>594.995</v>
      </c>
      <c r="J2" s="476">
        <f t="shared" si="0"/>
        <v>44.506999999999998</v>
      </c>
      <c r="K2" s="476">
        <f t="shared" si="0"/>
        <v>134.06100000000001</v>
      </c>
      <c r="L2" s="476"/>
      <c r="M2" s="476"/>
      <c r="N2" s="476">
        <f>N1/1000</f>
        <v>0.96699999999999997</v>
      </c>
      <c r="O2" s="476">
        <f t="shared" ref="O2:S2" si="1">O1/1000</f>
        <v>0.90200000000000002</v>
      </c>
      <c r="P2" s="476">
        <f t="shared" si="1"/>
        <v>119.82</v>
      </c>
      <c r="Q2" s="476">
        <f t="shared" si="1"/>
        <v>140.30099999999999</v>
      </c>
      <c r="R2" s="476">
        <f t="shared" si="1"/>
        <v>184.52799999999999</v>
      </c>
      <c r="S2" s="476">
        <f t="shared" si="1"/>
        <v>1117.652</v>
      </c>
      <c r="T2" s="479">
        <f>SUM(F2:S2)</f>
        <v>4042.94</v>
      </c>
      <c r="U2" s="329">
        <f>U1/1000</f>
        <v>4042.94</v>
      </c>
      <c r="V2" s="515"/>
      <c r="W2" s="515"/>
      <c r="Y2" s="163"/>
      <c r="Z2" s="293"/>
      <c r="AA2" s="270"/>
    </row>
    <row r="3" spans="1:27" s="3" customFormat="1" ht="17.7" customHeight="1">
      <c r="A3" s="155"/>
      <c r="B3" s="155"/>
      <c r="C3" s="39"/>
      <c r="D3" s="159"/>
      <c r="E3" s="385"/>
      <c r="F3" s="477">
        <f>F2-F17-F18</f>
        <v>0</v>
      </c>
      <c r="G3" s="477">
        <f t="shared" ref="G3:K3" si="2">G2-G17-G18</f>
        <v>0</v>
      </c>
      <c r="H3" s="477">
        <f t="shared" si="2"/>
        <v>0</v>
      </c>
      <c r="I3" s="477">
        <f t="shared" si="2"/>
        <v>0</v>
      </c>
      <c r="J3" s="477">
        <f t="shared" si="2"/>
        <v>0</v>
      </c>
      <c r="K3" s="477">
        <f t="shared" si="2"/>
        <v>0</v>
      </c>
      <c r="L3" s="477"/>
      <c r="M3" s="477"/>
      <c r="N3" s="477">
        <f>N2-N17-N18</f>
        <v>0</v>
      </c>
      <c r="O3" s="477">
        <f t="shared" ref="O3" si="3">O2-O17-O18</f>
        <v>0</v>
      </c>
      <c r="P3" s="477">
        <f t="shared" ref="P3" si="4">P2-P17-P18</f>
        <v>0</v>
      </c>
      <c r="Q3" s="477">
        <f t="shared" ref="Q3" si="5">Q2-Q17-Q18</f>
        <v>0</v>
      </c>
      <c r="R3" s="477">
        <f t="shared" ref="R3" si="6">R2-R17-R18</f>
        <v>0</v>
      </c>
      <c r="S3" s="477">
        <f t="shared" ref="S3" si="7">S2-S17-S18</f>
        <v>0</v>
      </c>
      <c r="T3" s="478">
        <f>SUM(F3:S3)</f>
        <v>0</v>
      </c>
      <c r="U3" s="329">
        <f>U2-V16</f>
        <v>0</v>
      </c>
      <c r="V3" s="77"/>
      <c r="W3" s="1"/>
      <c r="Y3" s="163"/>
      <c r="Z3" s="293"/>
      <c r="AA3" s="270"/>
    </row>
    <row r="4" spans="1:27" s="3" customFormat="1" ht="21.95" customHeight="1">
      <c r="A4" s="155"/>
      <c r="B4" s="155"/>
      <c r="C4" s="39"/>
      <c r="D4" s="159"/>
      <c r="E4" s="4"/>
      <c r="F4" s="426"/>
      <c r="G4" s="426"/>
      <c r="H4" s="426"/>
      <c r="I4" s="42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77"/>
      <c r="W4" s="1"/>
      <c r="Y4" s="163"/>
      <c r="Z4" s="293"/>
      <c r="AA4" s="270"/>
    </row>
    <row r="5" spans="1:27" s="3" customFormat="1" ht="17.7" customHeight="1">
      <c r="A5" s="155"/>
      <c r="B5" s="155"/>
      <c r="C5" s="39"/>
      <c r="D5" s="159"/>
      <c r="E5" s="4"/>
      <c r="F5" s="426"/>
      <c r="G5" s="426"/>
      <c r="H5" s="426"/>
      <c r="I5" s="42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77"/>
      <c r="W5" s="1"/>
      <c r="Y5" s="163"/>
      <c r="Z5" s="293"/>
      <c r="AA5" s="270"/>
    </row>
    <row r="6" spans="1:27" s="7" customFormat="1" ht="23.8" customHeight="1">
      <c r="A6" s="162"/>
      <c r="B6" s="162"/>
      <c r="C6" s="680" t="s">
        <v>85</v>
      </c>
      <c r="D6" s="680"/>
      <c r="E6" s="680"/>
      <c r="F6" s="680"/>
      <c r="G6" s="680"/>
      <c r="H6" s="680"/>
      <c r="I6" s="680"/>
      <c r="J6" s="680"/>
      <c r="K6" s="680"/>
      <c r="L6" s="680"/>
      <c r="M6" s="680"/>
      <c r="N6" s="680"/>
      <c r="O6" s="680"/>
      <c r="P6" s="680"/>
      <c r="Q6" s="680"/>
      <c r="R6" s="680"/>
      <c r="S6" s="680"/>
      <c r="T6" s="680"/>
      <c r="U6" s="680"/>
      <c r="V6" s="680"/>
      <c r="W6" s="680"/>
      <c r="Y6" s="163"/>
      <c r="Z6" s="293"/>
      <c r="AA6" s="270"/>
    </row>
    <row r="7" spans="1:27" s="7" customFormat="1" ht="22.55" customHeight="1">
      <c r="A7" s="162"/>
      <c r="B7" s="162"/>
      <c r="C7" s="674" t="s">
        <v>45</v>
      </c>
      <c r="D7" s="674"/>
      <c r="E7" s="674"/>
      <c r="F7" s="674"/>
      <c r="G7" s="674"/>
      <c r="H7" s="674"/>
      <c r="I7" s="674"/>
      <c r="J7" s="674"/>
      <c r="K7" s="674"/>
      <c r="L7" s="674"/>
      <c r="M7" s="674"/>
      <c r="N7" s="674"/>
      <c r="O7" s="674"/>
      <c r="P7" s="674"/>
      <c r="Q7" s="674"/>
      <c r="R7" s="674"/>
      <c r="S7" s="674"/>
      <c r="T7" s="674"/>
      <c r="U7" s="674"/>
      <c r="V7" s="674"/>
      <c r="W7" s="674"/>
      <c r="Y7" s="163"/>
      <c r="Z7" s="293"/>
      <c r="AA7" s="270"/>
    </row>
    <row r="8" spans="1:27" s="7" customFormat="1" ht="19.45" customHeight="1">
      <c r="A8" s="162"/>
      <c r="B8" s="162"/>
      <c r="C8" s="613" t="str">
        <f>серпень!C8</f>
        <v>станом на 01.09.2025</v>
      </c>
      <c r="D8" s="613"/>
      <c r="E8" s="613"/>
      <c r="F8" s="613"/>
      <c r="G8" s="613"/>
      <c r="H8" s="613"/>
      <c r="I8" s="613"/>
      <c r="J8" s="613"/>
      <c r="K8" s="613"/>
      <c r="L8" s="613"/>
      <c r="M8" s="613"/>
      <c r="N8" s="613"/>
      <c r="O8" s="613"/>
      <c r="P8" s="613"/>
      <c r="Q8" s="613"/>
      <c r="R8" s="613"/>
      <c r="S8" s="613"/>
      <c r="T8" s="613"/>
      <c r="U8" s="613"/>
      <c r="V8" s="613"/>
      <c r="W8" s="613"/>
      <c r="Y8" s="163"/>
      <c r="Z8" s="293"/>
      <c r="AA8" s="270"/>
    </row>
    <row r="9" spans="1:27" s="7" customFormat="1" ht="15.65">
      <c r="A9" s="162"/>
      <c r="B9" s="162"/>
      <c r="C9" s="162"/>
      <c r="D9" s="674"/>
      <c r="E9" s="674"/>
      <c r="F9" s="674"/>
      <c r="G9" s="674"/>
      <c r="H9" s="674"/>
      <c r="I9" s="674"/>
      <c r="J9" s="674"/>
      <c r="K9" s="674"/>
      <c r="L9" s="674"/>
      <c r="M9" s="674"/>
      <c r="N9" s="674"/>
      <c r="O9" s="674"/>
      <c r="P9" s="674"/>
      <c r="Q9" s="674"/>
      <c r="R9" s="674"/>
      <c r="S9" s="674"/>
      <c r="T9" s="674"/>
      <c r="U9" s="674"/>
      <c r="V9" s="79"/>
      <c r="W9" s="6"/>
    </row>
    <row r="10" spans="1:27" s="3" customFormat="1" ht="20.7" customHeight="1">
      <c r="A10" s="155"/>
      <c r="B10" s="155"/>
      <c r="C10" s="155"/>
      <c r="D10" s="164"/>
      <c r="E10" s="518" t="s">
        <v>126</v>
      </c>
      <c r="F10" s="376">
        <v>2927</v>
      </c>
      <c r="G10" s="376">
        <v>839026.4</v>
      </c>
      <c r="H10" s="376">
        <v>1024518.95</v>
      </c>
      <c r="I10" s="376">
        <v>313492.99</v>
      </c>
      <c r="J10" s="328">
        <v>-4309.5200000000004</v>
      </c>
      <c r="K10" s="376">
        <v>125739.6</v>
      </c>
      <c r="L10" s="1"/>
      <c r="M10" s="1"/>
      <c r="N10" s="376">
        <v>-301817.87</v>
      </c>
      <c r="O10" s="376">
        <v>164174.26999999999</v>
      </c>
      <c r="P10" s="376"/>
      <c r="Q10" s="376"/>
      <c r="R10" s="376"/>
      <c r="S10" s="376"/>
      <c r="T10" s="1"/>
      <c r="U10" s="1"/>
      <c r="V10" s="77"/>
      <c r="W10" s="1"/>
    </row>
    <row r="11" spans="1:27" s="3" customFormat="1" ht="13.15" customHeight="1">
      <c r="A11" s="155"/>
      <c r="B11" s="155"/>
      <c r="C11" s="155"/>
      <c r="D11" s="164"/>
      <c r="E11" s="1"/>
      <c r="F11" s="328">
        <f>F10/1000</f>
        <v>2.927</v>
      </c>
      <c r="G11" s="328">
        <f t="shared" ref="G11:K11" si="8">G10/1000</f>
        <v>839.02599999999995</v>
      </c>
      <c r="H11" s="328">
        <f t="shared" si="8"/>
        <v>1024.519</v>
      </c>
      <c r="I11" s="328">
        <f t="shared" si="8"/>
        <v>313.49299999999999</v>
      </c>
      <c r="J11" s="328">
        <f t="shared" si="8"/>
        <v>-4.3099999999999996</v>
      </c>
      <c r="K11" s="328">
        <f t="shared" si="8"/>
        <v>125.74</v>
      </c>
      <c r="L11" s="1"/>
      <c r="M11" s="1"/>
      <c r="N11" s="328">
        <f>N10/1000</f>
        <v>-301.81799999999998</v>
      </c>
      <c r="O11" s="328">
        <f t="shared" ref="O11:S11" si="9">O10/1000</f>
        <v>164.17400000000001</v>
      </c>
      <c r="P11" s="328">
        <f t="shared" si="9"/>
        <v>0</v>
      </c>
      <c r="Q11" s="328">
        <f t="shared" si="9"/>
        <v>0</v>
      </c>
      <c r="R11" s="328">
        <f t="shared" si="9"/>
        <v>0</v>
      </c>
      <c r="S11" s="328">
        <f t="shared" si="9"/>
        <v>0</v>
      </c>
      <c r="T11" s="1"/>
      <c r="U11" s="1"/>
      <c r="V11" s="393"/>
      <c r="W11" s="1"/>
    </row>
    <row r="12" spans="1:27" s="36" customFormat="1" ht="16.3" customHeight="1">
      <c r="A12" s="525"/>
      <c r="B12" s="525"/>
      <c r="C12" s="525"/>
      <c r="D12" s="526"/>
      <c r="E12" s="527"/>
      <c r="F12" s="534">
        <f>F11-F19</f>
        <v>0</v>
      </c>
      <c r="G12" s="534">
        <f t="shared" ref="G12:K12" si="10">G11-G19</f>
        <v>-2E-3</v>
      </c>
      <c r="H12" s="534">
        <f t="shared" si="10"/>
        <v>0</v>
      </c>
      <c r="I12" s="534">
        <f t="shared" si="10"/>
        <v>0</v>
      </c>
      <c r="J12" s="534">
        <f t="shared" si="10"/>
        <v>0</v>
      </c>
      <c r="K12" s="534">
        <f t="shared" si="10"/>
        <v>0</v>
      </c>
      <c r="L12" s="527"/>
      <c r="M12" s="527"/>
      <c r="N12" s="534">
        <f>N11-N19</f>
        <v>0</v>
      </c>
      <c r="O12" s="534">
        <f t="shared" ref="O12" si="11">O11-O19</f>
        <v>-1E-3</v>
      </c>
      <c r="P12" s="534">
        <f t="shared" ref="P12" si="12">P11-P19</f>
        <v>-228.94</v>
      </c>
      <c r="Q12" s="534">
        <f t="shared" ref="Q12" si="13">Q11-Q19</f>
        <v>-153.07</v>
      </c>
      <c r="R12" s="534">
        <f t="shared" ref="R12" si="14">R11-R19</f>
        <v>-217.738</v>
      </c>
      <c r="S12" s="534">
        <f t="shared" ref="S12" si="15">S11-S19</f>
        <v>-2157.5050000000001</v>
      </c>
      <c r="T12" s="527">
        <f>SUM(F12:S12)</f>
        <v>-2757.2559999999999</v>
      </c>
      <c r="U12" s="527"/>
      <c r="V12" s="528"/>
      <c r="W12" s="527"/>
    </row>
    <row r="13" spans="1:27" s="3" customFormat="1" ht="39.450000000000003" customHeight="1">
      <c r="A13" s="668" t="s">
        <v>5</v>
      </c>
      <c r="B13" s="668"/>
      <c r="C13" s="668"/>
      <c r="D13" s="668"/>
      <c r="E13" s="648" t="str">
        <f>серпень!E13</f>
        <v>оплата в січні 2025 за грудень 2024 року/в грудні 2024за січень 2025</v>
      </c>
      <c r="F13" s="675" t="s">
        <v>6</v>
      </c>
      <c r="G13" s="675"/>
      <c r="H13" s="675"/>
      <c r="I13" s="675"/>
      <c r="J13" s="675"/>
      <c r="K13" s="675"/>
      <c r="L13" s="675"/>
      <c r="M13" s="675"/>
      <c r="N13" s="675"/>
      <c r="O13" s="675"/>
      <c r="P13" s="675"/>
      <c r="Q13" s="675"/>
      <c r="R13" s="675"/>
      <c r="S13" s="675"/>
      <c r="T13" s="675"/>
      <c r="U13" s="675"/>
      <c r="V13" s="676" t="s">
        <v>7</v>
      </c>
      <c r="W13" s="676" t="s">
        <v>8</v>
      </c>
    </row>
    <row r="14" spans="1:27" s="3" customFormat="1" ht="51.05" customHeight="1">
      <c r="A14" s="668"/>
      <c r="B14" s="668"/>
      <c r="C14" s="668"/>
      <c r="D14" s="672"/>
      <c r="E14" s="649"/>
      <c r="F14" s="8" t="s">
        <v>9</v>
      </c>
      <c r="G14" s="8" t="s">
        <v>10</v>
      </c>
      <c r="H14" s="8" t="s">
        <v>11</v>
      </c>
      <c r="I14" s="8" t="s">
        <v>12</v>
      </c>
      <c r="J14" s="8" t="s">
        <v>13</v>
      </c>
      <c r="K14" s="8" t="s">
        <v>14</v>
      </c>
      <c r="L14" s="9" t="s">
        <v>15</v>
      </c>
      <c r="M14" s="9" t="s">
        <v>16</v>
      </c>
      <c r="N14" s="8" t="s">
        <v>17</v>
      </c>
      <c r="O14" s="8" t="s">
        <v>18</v>
      </c>
      <c r="P14" s="8" t="s">
        <v>19</v>
      </c>
      <c r="Q14" s="8" t="s">
        <v>20</v>
      </c>
      <c r="R14" s="8" t="s">
        <v>21</v>
      </c>
      <c r="S14" s="8" t="s">
        <v>22</v>
      </c>
      <c r="T14" s="9" t="s">
        <v>23</v>
      </c>
      <c r="U14" s="9" t="s">
        <v>2</v>
      </c>
      <c r="V14" s="676"/>
      <c r="W14" s="676"/>
    </row>
    <row r="15" spans="1:27" s="18" customFormat="1" ht="18.649999999999999" customHeight="1">
      <c r="A15" s="677" t="s">
        <v>94</v>
      </c>
      <c r="B15" s="678"/>
      <c r="C15" s="678"/>
      <c r="D15" s="678"/>
      <c r="E15" s="678"/>
      <c r="F15" s="678"/>
      <c r="G15" s="678"/>
      <c r="H15" s="678"/>
      <c r="I15" s="678"/>
      <c r="J15" s="678"/>
      <c r="K15" s="678"/>
      <c r="L15" s="678"/>
      <c r="M15" s="678"/>
      <c r="N15" s="678"/>
      <c r="O15" s="678"/>
      <c r="P15" s="678"/>
      <c r="Q15" s="678"/>
      <c r="R15" s="678"/>
      <c r="S15" s="678"/>
      <c r="T15" s="678"/>
      <c r="U15" s="678"/>
      <c r="V15" s="678"/>
      <c r="W15" s="679"/>
      <c r="X15" s="37"/>
    </row>
    <row r="16" spans="1:27" s="173" customFormat="1" ht="18" customHeight="1">
      <c r="A16" s="621">
        <v>2270</v>
      </c>
      <c r="B16" s="622"/>
      <c r="C16" s="623"/>
      <c r="D16" s="170" t="s">
        <v>0</v>
      </c>
      <c r="E16" s="171"/>
      <c r="F16" s="171">
        <f>F28+F336+F475+F522</f>
        <v>608.149</v>
      </c>
      <c r="G16" s="171">
        <f t="shared" ref="G16:K16" si="16">G28+G336+G475+G522</f>
        <v>471.15300000000002</v>
      </c>
      <c r="H16" s="171">
        <f t="shared" si="16"/>
        <v>555.81399999999996</v>
      </c>
      <c r="I16" s="171">
        <f t="shared" si="16"/>
        <v>137.209</v>
      </c>
      <c r="J16" s="171">
        <f t="shared" si="16"/>
        <v>224.05500000000001</v>
      </c>
      <c r="K16" s="171">
        <f t="shared" si="16"/>
        <v>110.108</v>
      </c>
      <c r="L16" s="171">
        <f t="shared" ref="L16:L18" si="17">SUM(F16:K16)</f>
        <v>2106.4879999999998</v>
      </c>
      <c r="M16" s="171">
        <f t="shared" ref="M16:M18" si="18">L16/6</f>
        <v>351.08100000000002</v>
      </c>
      <c r="N16" s="171">
        <f>N28+N336+N475+N522</f>
        <v>158.06299999999999</v>
      </c>
      <c r="O16" s="171">
        <f t="shared" ref="O16:S16" si="19">O28+O336+O475+O522</f>
        <v>122.057</v>
      </c>
      <c r="P16" s="171">
        <f t="shared" si="19"/>
        <v>151.55000000000001</v>
      </c>
      <c r="Q16" s="171">
        <f t="shared" si="19"/>
        <v>215.91499999999999</v>
      </c>
      <c r="R16" s="171">
        <f t="shared" si="19"/>
        <v>932.70500000000004</v>
      </c>
      <c r="S16" s="171">
        <f t="shared" si="19"/>
        <v>1234.229</v>
      </c>
      <c r="T16" s="171">
        <f t="shared" ref="T16:T18" si="20">SUM(N16:S16)</f>
        <v>2814.5189999999998</v>
      </c>
      <c r="U16" s="171">
        <f>T16+L16</f>
        <v>4921.0069999999996</v>
      </c>
      <c r="V16" s="171">
        <f t="shared" ref="V16" si="21">V28+V336+V475+V522</f>
        <v>4042.94</v>
      </c>
      <c r="W16" s="171">
        <f t="shared" ref="W16:W18" si="22">V16-U16</f>
        <v>-878.06700000000001</v>
      </c>
      <c r="X16" s="172"/>
    </row>
    <row r="17" spans="1:25" s="173" customFormat="1" ht="18" customHeight="1">
      <c r="A17" s="624"/>
      <c r="B17" s="625"/>
      <c r="C17" s="626"/>
      <c r="D17" s="174" t="s">
        <v>55</v>
      </c>
      <c r="E17" s="171"/>
      <c r="F17" s="171">
        <f t="shared" ref="F17:K17" si="23">F29+F337+F476+F540</f>
        <v>0</v>
      </c>
      <c r="G17" s="171">
        <f t="shared" si="23"/>
        <v>0</v>
      </c>
      <c r="H17" s="171">
        <f t="shared" si="23"/>
        <v>0</v>
      </c>
      <c r="I17" s="171">
        <f t="shared" si="23"/>
        <v>0</v>
      </c>
      <c r="J17" s="171">
        <f t="shared" si="23"/>
        <v>0</v>
      </c>
      <c r="K17" s="171">
        <f t="shared" si="23"/>
        <v>0</v>
      </c>
      <c r="L17" s="171">
        <f t="shared" si="17"/>
        <v>0</v>
      </c>
      <c r="M17" s="171">
        <f>L17/6</f>
        <v>0</v>
      </c>
      <c r="N17" s="171">
        <f t="shared" ref="N17:S17" si="24">N29+N337+N476+N540</f>
        <v>0</v>
      </c>
      <c r="O17" s="171">
        <f t="shared" si="24"/>
        <v>0</v>
      </c>
      <c r="P17" s="171">
        <f t="shared" si="24"/>
        <v>0</v>
      </c>
      <c r="Q17" s="171">
        <f t="shared" si="24"/>
        <v>0</v>
      </c>
      <c r="R17" s="171">
        <f t="shared" si="24"/>
        <v>0</v>
      </c>
      <c r="S17" s="171">
        <f t="shared" si="24"/>
        <v>0</v>
      </c>
      <c r="T17" s="171">
        <f t="shared" si="20"/>
        <v>0</v>
      </c>
      <c r="U17" s="171">
        <f>T17+L17</f>
        <v>0</v>
      </c>
      <c r="V17" s="171">
        <f>V29+V337+V476+V540</f>
        <v>0</v>
      </c>
      <c r="W17" s="171">
        <f t="shared" si="22"/>
        <v>0</v>
      </c>
      <c r="X17" s="172"/>
    </row>
    <row r="18" spans="1:25" s="173" customFormat="1" ht="18" customHeight="1">
      <c r="A18" s="627"/>
      <c r="B18" s="628"/>
      <c r="C18" s="629"/>
      <c r="D18" s="170" t="s">
        <v>24</v>
      </c>
      <c r="E18" s="171"/>
      <c r="F18" s="171">
        <f>F30+F338+F477+F524</f>
        <v>3.5790000000000002</v>
      </c>
      <c r="G18" s="171">
        <f t="shared" ref="G18:K18" si="25">G30+G338+G477+G524</f>
        <v>679.80499999999995</v>
      </c>
      <c r="H18" s="171">
        <f t="shared" si="25"/>
        <v>1021.823</v>
      </c>
      <c r="I18" s="171">
        <f t="shared" si="25"/>
        <v>594.995</v>
      </c>
      <c r="J18" s="171">
        <f t="shared" si="25"/>
        <v>44.506999999999998</v>
      </c>
      <c r="K18" s="171">
        <f t="shared" si="25"/>
        <v>134.06100000000001</v>
      </c>
      <c r="L18" s="171">
        <f t="shared" si="17"/>
        <v>2478.77</v>
      </c>
      <c r="M18" s="171">
        <f t="shared" si="18"/>
        <v>413.12799999999999</v>
      </c>
      <c r="N18" s="171">
        <f t="shared" ref="N18:S18" si="26">N30+N338+N477+N524</f>
        <v>0.96699999999999997</v>
      </c>
      <c r="O18" s="171">
        <f t="shared" si="26"/>
        <v>0.90200000000000002</v>
      </c>
      <c r="P18" s="171">
        <f t="shared" si="26"/>
        <v>119.82</v>
      </c>
      <c r="Q18" s="171">
        <f t="shared" si="26"/>
        <v>140.30099999999999</v>
      </c>
      <c r="R18" s="171">
        <f t="shared" si="26"/>
        <v>184.52799999999999</v>
      </c>
      <c r="S18" s="171">
        <f t="shared" si="26"/>
        <v>1117.652</v>
      </c>
      <c r="T18" s="171">
        <f t="shared" si="20"/>
        <v>1564.17</v>
      </c>
      <c r="U18" s="171">
        <f>T18+L18</f>
        <v>4042.94</v>
      </c>
      <c r="V18" s="171">
        <f>V30+V338+V477+V524</f>
        <v>4042.94</v>
      </c>
      <c r="W18" s="171">
        <f t="shared" si="22"/>
        <v>0</v>
      </c>
      <c r="X18" s="172"/>
    </row>
    <row r="19" spans="1:25" s="116" customFormat="1" ht="14.4" customHeight="1">
      <c r="A19" s="630">
        <v>2270</v>
      </c>
      <c r="B19" s="631"/>
      <c r="C19" s="632"/>
      <c r="D19" s="115" t="s">
        <v>25</v>
      </c>
      <c r="E19" s="62">
        <f t="shared" ref="E19:K19" si="27">E33+E341+E480+E527</f>
        <v>0</v>
      </c>
      <c r="F19" s="62">
        <f>F33+F341+F480+F527</f>
        <v>2.927</v>
      </c>
      <c r="G19" s="62">
        <f t="shared" si="27"/>
        <v>839.02800000000002</v>
      </c>
      <c r="H19" s="62">
        <f t="shared" si="27"/>
        <v>1024.519</v>
      </c>
      <c r="I19" s="62">
        <f>I33+I341+I480+I527</f>
        <v>313.49299999999999</v>
      </c>
      <c r="J19" s="62">
        <f t="shared" si="27"/>
        <v>-4.3099999999999996</v>
      </c>
      <c r="K19" s="62">
        <f t="shared" si="27"/>
        <v>125.74</v>
      </c>
      <c r="L19" s="62">
        <f t="shared" ref="L19:L21" si="28">SUM(F19:K19)</f>
        <v>2301.3969999999999</v>
      </c>
      <c r="M19" s="62">
        <f t="shared" ref="M19:M21" si="29">L19/6</f>
        <v>383.56599999999997</v>
      </c>
      <c r="N19" s="62">
        <f t="shared" ref="N19:S21" si="30">N33+N341+N480+N527</f>
        <v>-301.81799999999998</v>
      </c>
      <c r="O19" s="62">
        <f t="shared" si="30"/>
        <v>164.17500000000001</v>
      </c>
      <c r="P19" s="62">
        <f t="shared" si="30"/>
        <v>228.94</v>
      </c>
      <c r="Q19" s="62">
        <f t="shared" si="30"/>
        <v>153.07</v>
      </c>
      <c r="R19" s="62">
        <f t="shared" si="30"/>
        <v>217.738</v>
      </c>
      <c r="S19" s="62">
        <f t="shared" si="30"/>
        <v>2157.5050000000001</v>
      </c>
      <c r="T19" s="62">
        <f t="shared" ref="T19:T21" si="31">SUM(N19:S19)</f>
        <v>2619.61</v>
      </c>
      <c r="U19" s="62">
        <f t="shared" ref="U19:U21" si="32">T19+L19</f>
        <v>4921.0069999999996</v>
      </c>
      <c r="V19" s="62">
        <f>V33+V341+V480+V527</f>
        <v>4042.94</v>
      </c>
      <c r="W19" s="62">
        <f t="shared" ref="W19:W21" si="33">V19-U19</f>
        <v>-878.06700000000001</v>
      </c>
      <c r="X19" s="63">
        <f>U16-U19</f>
        <v>0</v>
      </c>
    </row>
    <row r="20" spans="1:25" s="116" customFormat="1" ht="18" customHeight="1">
      <c r="A20" s="633"/>
      <c r="B20" s="634"/>
      <c r="C20" s="635"/>
      <c r="D20" s="115" t="s">
        <v>55</v>
      </c>
      <c r="E20" s="62"/>
      <c r="F20" s="62">
        <f>F34+F342+F481+F528</f>
        <v>0</v>
      </c>
      <c r="G20" s="62">
        <f>G34+G342+G481+G528</f>
        <v>0</v>
      </c>
      <c r="H20" s="62">
        <f>H34+H342+H481+H528</f>
        <v>0</v>
      </c>
      <c r="I20" s="62">
        <f>I34+I342+I481+I528</f>
        <v>0</v>
      </c>
      <c r="J20" s="62">
        <f>J34+J342+J481+J528</f>
        <v>0</v>
      </c>
      <c r="K20" s="62">
        <f>K34+K342+K481+K528</f>
        <v>0</v>
      </c>
      <c r="L20" s="62">
        <f t="shared" si="28"/>
        <v>0</v>
      </c>
      <c r="M20" s="62">
        <f t="shared" si="29"/>
        <v>0</v>
      </c>
      <c r="N20" s="62">
        <f t="shared" si="30"/>
        <v>0</v>
      </c>
      <c r="O20" s="62">
        <f t="shared" si="30"/>
        <v>0</v>
      </c>
      <c r="P20" s="62">
        <f t="shared" si="30"/>
        <v>0</v>
      </c>
      <c r="Q20" s="62">
        <f t="shared" si="30"/>
        <v>0</v>
      </c>
      <c r="R20" s="62">
        <f t="shared" si="30"/>
        <v>0</v>
      </c>
      <c r="S20" s="62">
        <f t="shared" si="30"/>
        <v>0</v>
      </c>
      <c r="T20" s="62">
        <f t="shared" si="31"/>
        <v>0</v>
      </c>
      <c r="U20" s="62">
        <f t="shared" si="32"/>
        <v>0</v>
      </c>
      <c r="V20" s="62">
        <f>V34+V342+V481+V528</f>
        <v>0</v>
      </c>
      <c r="W20" s="62">
        <f t="shared" si="33"/>
        <v>0</v>
      </c>
      <c r="X20" s="63">
        <f>U17-U20</f>
        <v>0</v>
      </c>
    </row>
    <row r="21" spans="1:25" s="116" customFormat="1" ht="18" customHeight="1">
      <c r="A21" s="636"/>
      <c r="B21" s="637"/>
      <c r="C21" s="638"/>
      <c r="D21" s="115" t="s">
        <v>24</v>
      </c>
      <c r="E21" s="62"/>
      <c r="F21" s="62">
        <f>F35+F343+F482+F529</f>
        <v>2.927</v>
      </c>
      <c r="G21" s="62">
        <f>G35+G343+G482+G529</f>
        <v>839.02800000000002</v>
      </c>
      <c r="H21" s="62">
        <f>H35+H343+H482+H529</f>
        <v>1024.519</v>
      </c>
      <c r="I21" s="62">
        <f>I35+I343+I482+I529</f>
        <v>313.49299999999999</v>
      </c>
      <c r="J21" s="62">
        <f>J35+J343+J482+J529</f>
        <v>-4.3099999999999996</v>
      </c>
      <c r="K21" s="62">
        <f>K35+K343+K482+K529</f>
        <v>125.74</v>
      </c>
      <c r="L21" s="62">
        <f t="shared" si="28"/>
        <v>2301.3969999999999</v>
      </c>
      <c r="M21" s="62">
        <f t="shared" si="29"/>
        <v>383.56599999999997</v>
      </c>
      <c r="N21" s="62">
        <f t="shared" si="30"/>
        <v>-301.81799999999998</v>
      </c>
      <c r="O21" s="62">
        <f t="shared" si="30"/>
        <v>164.17500000000001</v>
      </c>
      <c r="P21" s="62">
        <f t="shared" si="30"/>
        <v>228.94</v>
      </c>
      <c r="Q21" s="62">
        <f t="shared" si="30"/>
        <v>153.07</v>
      </c>
      <c r="R21" s="62">
        <f t="shared" si="30"/>
        <v>217.738</v>
      </c>
      <c r="S21" s="62">
        <f t="shared" si="30"/>
        <v>2157.5050000000001</v>
      </c>
      <c r="T21" s="62">
        <f t="shared" si="31"/>
        <v>2619.61</v>
      </c>
      <c r="U21" s="62">
        <f t="shared" si="32"/>
        <v>4921.0069999999996</v>
      </c>
      <c r="V21" s="62">
        <f>V35+V343+V482+V529</f>
        <v>4042.94</v>
      </c>
      <c r="W21" s="62">
        <f t="shared" si="33"/>
        <v>-878.06700000000001</v>
      </c>
      <c r="X21" s="63">
        <f>U18-U21</f>
        <v>-878.06700000000001</v>
      </c>
    </row>
    <row r="22" spans="1:25" s="186" customFormat="1" ht="18" customHeight="1">
      <c r="A22" s="609">
        <v>2271</v>
      </c>
      <c r="B22" s="580" t="s">
        <v>86</v>
      </c>
      <c r="C22" s="575"/>
      <c r="D22" s="178" t="str">
        <f>серпень!D22</f>
        <v>факт. нат.п-ки 2023</v>
      </c>
      <c r="E22" s="179"/>
      <c r="F22" s="522">
        <f t="shared" ref="F22:K23" si="34">F56+F163+F208+F253</f>
        <v>207</v>
      </c>
      <c r="G22" s="522">
        <f t="shared" si="34"/>
        <v>145.30000000000001</v>
      </c>
      <c r="H22" s="522">
        <f t="shared" si="34"/>
        <v>83</v>
      </c>
      <c r="I22" s="522">
        <f t="shared" si="34"/>
        <v>0.8</v>
      </c>
      <c r="J22" s="522">
        <f t="shared" si="34"/>
        <v>0.8</v>
      </c>
      <c r="K22" s="522">
        <f t="shared" si="34"/>
        <v>0.8</v>
      </c>
      <c r="L22" s="326">
        <f t="shared" ref="L22:L23" si="35">SUM(F22:K22)</f>
        <v>437.7</v>
      </c>
      <c r="M22" s="326">
        <f>L22/6</f>
        <v>72.95</v>
      </c>
      <c r="N22" s="522">
        <f t="shared" ref="N22:S24" si="36">N56+N163+N208+N253</f>
        <v>0.8</v>
      </c>
      <c r="O22" s="522">
        <f t="shared" si="36"/>
        <v>0.9</v>
      </c>
      <c r="P22" s="522">
        <f t="shared" si="36"/>
        <v>0.1</v>
      </c>
      <c r="Q22" s="522">
        <f t="shared" si="36"/>
        <v>0.8</v>
      </c>
      <c r="R22" s="522">
        <f t="shared" si="36"/>
        <v>80.099999999999994</v>
      </c>
      <c r="S22" s="522">
        <f t="shared" si="36"/>
        <v>197.4</v>
      </c>
      <c r="T22" s="326">
        <f t="shared" ref="T22:T23" si="37">SUM(N22:S22)</f>
        <v>280.10000000000002</v>
      </c>
      <c r="U22" s="326">
        <f>T22+L22</f>
        <v>717.8</v>
      </c>
      <c r="V22" s="523">
        <f>V56+V163+V208+V253</f>
        <v>708.8</v>
      </c>
      <c r="W22" s="523"/>
      <c r="X22" s="185"/>
    </row>
    <row r="23" spans="1:25" s="186" customFormat="1" ht="18" customHeight="1">
      <c r="A23" s="610"/>
      <c r="B23" s="576"/>
      <c r="C23" s="577"/>
      <c r="D23" s="178" t="str">
        <f>серпень!D23</f>
        <v>факт. нат.п-ки 2024</v>
      </c>
      <c r="E23" s="179"/>
      <c r="F23" s="522">
        <f t="shared" si="34"/>
        <v>149</v>
      </c>
      <c r="G23" s="522">
        <f t="shared" si="34"/>
        <v>101.9</v>
      </c>
      <c r="H23" s="522">
        <f t="shared" si="34"/>
        <v>70.599999999999994</v>
      </c>
      <c r="I23" s="522">
        <f t="shared" si="34"/>
        <v>0.4</v>
      </c>
      <c r="J23" s="522">
        <f t="shared" si="34"/>
        <v>0.4</v>
      </c>
      <c r="K23" s="522">
        <f t="shared" si="34"/>
        <v>0.4</v>
      </c>
      <c r="L23" s="326">
        <f t="shared" si="35"/>
        <v>322.7</v>
      </c>
      <c r="M23" s="326">
        <f>L23/6</f>
        <v>53.783000000000001</v>
      </c>
      <c r="N23" s="522">
        <f t="shared" si="36"/>
        <v>0.4</v>
      </c>
      <c r="O23" s="522">
        <f t="shared" si="36"/>
        <v>0.4</v>
      </c>
      <c r="P23" s="522">
        <f t="shared" si="36"/>
        <v>0.8</v>
      </c>
      <c r="Q23" s="522">
        <f t="shared" si="36"/>
        <v>0.8</v>
      </c>
      <c r="R23" s="522">
        <f t="shared" si="36"/>
        <v>214.2</v>
      </c>
      <c r="S23" s="522">
        <f t="shared" si="36"/>
        <v>264.8</v>
      </c>
      <c r="T23" s="326">
        <f t="shared" si="37"/>
        <v>481.4</v>
      </c>
      <c r="U23" s="326">
        <f t="shared" ref="U23:U24" si="38">T23+L23</f>
        <v>804.1</v>
      </c>
      <c r="V23" s="523">
        <f>V57+V164+V209+V254</f>
        <v>797.7</v>
      </c>
      <c r="W23" s="523"/>
      <c r="X23" s="185"/>
    </row>
    <row r="24" spans="1:25" s="186" customFormat="1" ht="18" customHeight="1">
      <c r="A24" s="610"/>
      <c r="B24" s="576"/>
      <c r="C24" s="577"/>
      <c r="D24" s="178" t="str">
        <f>серпень!D24</f>
        <v>факт. нат.п-ки 2025</v>
      </c>
      <c r="E24" s="179"/>
      <c r="F24" s="522">
        <f>F41</f>
        <v>161.46100000000001</v>
      </c>
      <c r="G24" s="522">
        <f t="shared" ref="G24:K24" si="39">G41</f>
        <v>116.539</v>
      </c>
      <c r="H24" s="522">
        <f t="shared" si="39"/>
        <v>116.041</v>
      </c>
      <c r="I24" s="522">
        <f t="shared" si="39"/>
        <v>0</v>
      </c>
      <c r="J24" s="522">
        <f t="shared" si="39"/>
        <v>0</v>
      </c>
      <c r="K24" s="522">
        <f t="shared" si="39"/>
        <v>0</v>
      </c>
      <c r="L24" s="326">
        <f t="shared" ref="L24" si="40">SUM(F24:K24)</f>
        <v>394.041</v>
      </c>
      <c r="M24" s="326">
        <f>L24/6</f>
        <v>65.674000000000007</v>
      </c>
      <c r="N24" s="522">
        <f>N58+N165+N210+N255</f>
        <v>0</v>
      </c>
      <c r="O24" s="522">
        <f>O58+O165+O210+O255</f>
        <v>0</v>
      </c>
      <c r="P24" s="522">
        <f t="shared" si="36"/>
        <v>0</v>
      </c>
      <c r="Q24" s="522">
        <f t="shared" si="36"/>
        <v>0</v>
      </c>
      <c r="R24" s="522">
        <f t="shared" si="36"/>
        <v>164.2</v>
      </c>
      <c r="S24" s="522">
        <f t="shared" si="36"/>
        <v>264</v>
      </c>
      <c r="T24" s="326">
        <f t="shared" ref="T24" si="41">SUM(N24:S24)</f>
        <v>428.2</v>
      </c>
      <c r="U24" s="326">
        <f t="shared" si="38"/>
        <v>822.24099999999999</v>
      </c>
      <c r="V24" s="523">
        <f>V58+V165+V210+V255</f>
        <v>748.3</v>
      </c>
      <c r="W24" s="523">
        <f>V24-U24</f>
        <v>-73.941000000000003</v>
      </c>
      <c r="X24" s="185"/>
    </row>
    <row r="25" spans="1:25" s="190" customFormat="1" ht="18" customHeight="1">
      <c r="A25" s="610"/>
      <c r="B25" s="576"/>
      <c r="C25" s="577"/>
      <c r="D25" s="187" t="str">
        <f>серпень!D25</f>
        <v>тариф, грн.</v>
      </c>
      <c r="E25" s="188"/>
      <c r="F25" s="188">
        <f>F26/F24*1000</f>
        <v>3096.37</v>
      </c>
      <c r="G25" s="188">
        <f t="shared" ref="G25:W25" si="42">G26/G24*1000</f>
        <v>3096.268</v>
      </c>
      <c r="H25" s="188">
        <f t="shared" si="42"/>
        <v>2814.5740000000001</v>
      </c>
      <c r="I25" s="188" t="e">
        <f t="shared" si="42"/>
        <v>#DIV/0!</v>
      </c>
      <c r="J25" s="188" t="e">
        <f t="shared" si="42"/>
        <v>#DIV/0!</v>
      </c>
      <c r="K25" s="188" t="e">
        <f t="shared" si="42"/>
        <v>#DIV/0!</v>
      </c>
      <c r="L25" s="188">
        <f t="shared" si="42"/>
        <v>3013.3539999999998</v>
      </c>
      <c r="M25" s="188">
        <f t="shared" si="42"/>
        <v>3013.3389999999999</v>
      </c>
      <c r="N25" s="188" t="e">
        <f t="shared" si="42"/>
        <v>#DIV/0!</v>
      </c>
      <c r="O25" s="188" t="e">
        <f>O26/O24*1000</f>
        <v>#DIV/0!</v>
      </c>
      <c r="P25" s="188" t="e">
        <f>P26/P24*1000</f>
        <v>#DIV/0!</v>
      </c>
      <c r="Q25" s="188" t="e">
        <f>Q26/Q24*1000</f>
        <v>#DIV/0!</v>
      </c>
      <c r="R25" s="188">
        <f>R26/R24*1000</f>
        <v>3096.37</v>
      </c>
      <c r="S25" s="188">
        <f>S26/S24*1000</f>
        <v>3097.0149999999999</v>
      </c>
      <c r="T25" s="188">
        <f t="shared" si="42"/>
        <v>3096.768</v>
      </c>
      <c r="U25" s="188">
        <f t="shared" si="42"/>
        <v>3056.7939999999999</v>
      </c>
      <c r="V25" s="188">
        <f t="shared" si="42"/>
        <v>2926.4720000000002</v>
      </c>
      <c r="W25" s="189">
        <f t="shared" si="42"/>
        <v>4375.6779999999999</v>
      </c>
      <c r="X25" s="185"/>
    </row>
    <row r="26" spans="1:25" s="196" customFormat="1" ht="18" customHeight="1">
      <c r="A26" s="610"/>
      <c r="B26" s="576"/>
      <c r="C26" s="577"/>
      <c r="D26" s="191" t="str">
        <f>серпень!D26</f>
        <v>сума, тис.грн.</v>
      </c>
      <c r="E26" s="192"/>
      <c r="F26" s="193">
        <f>F60+F167+F212+F257</f>
        <v>499.94299999999998</v>
      </c>
      <c r="G26" s="193">
        <f t="shared" ref="G26:K26" si="43">G60+G167+G212+G257</f>
        <v>360.83600000000001</v>
      </c>
      <c r="H26" s="193">
        <f t="shared" si="43"/>
        <v>326.60599999999999</v>
      </c>
      <c r="I26" s="193">
        <f t="shared" si="43"/>
        <v>0</v>
      </c>
      <c r="J26" s="193">
        <f t="shared" si="43"/>
        <v>0</v>
      </c>
      <c r="K26" s="193">
        <f t="shared" si="43"/>
        <v>0</v>
      </c>
      <c r="L26" s="194">
        <f t="shared" ref="L26:L31" si="44">SUM(F26:K26)</f>
        <v>1187.385</v>
      </c>
      <c r="M26" s="194">
        <f t="shared" ref="M26:M31" si="45">L26/6</f>
        <v>197.898</v>
      </c>
      <c r="N26" s="193">
        <f t="shared" ref="N26:S26" si="46">N60+N167+N212+N257</f>
        <v>0</v>
      </c>
      <c r="O26" s="193">
        <f t="shared" si="46"/>
        <v>0</v>
      </c>
      <c r="P26" s="193">
        <f t="shared" si="46"/>
        <v>0</v>
      </c>
      <c r="Q26" s="193">
        <f t="shared" si="46"/>
        <v>0</v>
      </c>
      <c r="R26" s="193">
        <f t="shared" si="46"/>
        <v>508.42399999999998</v>
      </c>
      <c r="S26" s="193">
        <f t="shared" si="46"/>
        <v>817.61199999999997</v>
      </c>
      <c r="T26" s="194">
        <f>SUM(N26:S26)</f>
        <v>1326.0360000000001</v>
      </c>
      <c r="U26" s="194">
        <f>T26+L26</f>
        <v>2513.4209999999998</v>
      </c>
      <c r="V26" s="171">
        <f>V60+V167+V212+V257</f>
        <v>2189.8789999999999</v>
      </c>
      <c r="W26" s="193">
        <f>W60+W167+W212+W257</f>
        <v>-323.54199999999997</v>
      </c>
      <c r="X26" s="195"/>
    </row>
    <row r="27" spans="1:25" s="196" customFormat="1" ht="18" customHeight="1">
      <c r="A27" s="610"/>
      <c r="B27" s="576"/>
      <c r="C27" s="577"/>
      <c r="D27" s="174" t="str">
        <f>серпень!D27</f>
        <v>абоненська плата, тис.грн.</v>
      </c>
      <c r="E27" s="192"/>
      <c r="F27" s="278">
        <f>F44+F258</f>
        <v>84.403999999999996</v>
      </c>
      <c r="G27" s="278">
        <f t="shared" ref="G27:K27" si="47">G44+G258</f>
        <v>84.724000000000004</v>
      </c>
      <c r="H27" s="278">
        <f t="shared" si="47"/>
        <v>84.724000000000004</v>
      </c>
      <c r="I27" s="278">
        <f t="shared" si="47"/>
        <v>84.724000000000004</v>
      </c>
      <c r="J27" s="278">
        <f t="shared" si="47"/>
        <v>84.724000000000004</v>
      </c>
      <c r="K27" s="278">
        <f t="shared" si="47"/>
        <v>84.724000000000004</v>
      </c>
      <c r="L27" s="194">
        <f t="shared" si="44"/>
        <v>508.024</v>
      </c>
      <c r="M27" s="194">
        <f t="shared" si="45"/>
        <v>84.671000000000006</v>
      </c>
      <c r="N27" s="278">
        <f>N44+N258</f>
        <v>84.724000000000004</v>
      </c>
      <c r="O27" s="278">
        <f t="shared" ref="O27:S27" si="48">O44+O258</f>
        <v>84.724000000000004</v>
      </c>
      <c r="P27" s="278">
        <f t="shared" si="48"/>
        <v>84.944000000000003</v>
      </c>
      <c r="Q27" s="278">
        <f t="shared" si="48"/>
        <v>84.944000000000003</v>
      </c>
      <c r="R27" s="278">
        <f t="shared" si="48"/>
        <v>84.944000000000003</v>
      </c>
      <c r="S27" s="278">
        <f t="shared" si="48"/>
        <v>84.944000000000003</v>
      </c>
      <c r="T27" s="194">
        <f>SUM(N27:S27)</f>
        <v>509.22399999999999</v>
      </c>
      <c r="U27" s="194">
        <f>T27+L27</f>
        <v>1017.248</v>
      </c>
      <c r="V27" s="171">
        <f t="shared" ref="V27" si="49">V44+V258</f>
        <v>1015.476</v>
      </c>
      <c r="W27" s="193">
        <f>W61+W168+W213+W258</f>
        <v>-1.772</v>
      </c>
      <c r="X27" s="195"/>
    </row>
    <row r="28" spans="1:25" s="196" customFormat="1" ht="18" customHeight="1">
      <c r="A28" s="610"/>
      <c r="B28" s="576"/>
      <c r="C28" s="577"/>
      <c r="D28" s="174" t="str">
        <f>серпень!D28</f>
        <v>разом сума тис. грн+абонплата</v>
      </c>
      <c r="E28" s="192"/>
      <c r="F28" s="278">
        <f>F62+F167+F212+F259</f>
        <v>584.34699999999998</v>
      </c>
      <c r="G28" s="278">
        <f t="shared" ref="G28:K28" si="50">G62+G167+G212+G259</f>
        <v>445.56</v>
      </c>
      <c r="H28" s="278">
        <f t="shared" si="50"/>
        <v>411.33</v>
      </c>
      <c r="I28" s="278">
        <f t="shared" si="50"/>
        <v>84.724000000000004</v>
      </c>
      <c r="J28" s="278">
        <f t="shared" si="50"/>
        <v>84.724000000000004</v>
      </c>
      <c r="K28" s="278">
        <f t="shared" si="50"/>
        <v>84.724000000000004</v>
      </c>
      <c r="L28" s="194">
        <f t="shared" si="44"/>
        <v>1695.4090000000001</v>
      </c>
      <c r="M28" s="194">
        <f t="shared" si="45"/>
        <v>282.56799999999998</v>
      </c>
      <c r="N28" s="278">
        <f>N62+N167+N212+N259</f>
        <v>84.724000000000004</v>
      </c>
      <c r="O28" s="278">
        <f t="shared" ref="O28:R28" si="51">O62+O167+O212+O259</f>
        <v>84.724000000000004</v>
      </c>
      <c r="P28" s="278">
        <f t="shared" si="51"/>
        <v>84.944000000000003</v>
      </c>
      <c r="Q28" s="278">
        <f t="shared" si="51"/>
        <v>84.944000000000003</v>
      </c>
      <c r="R28" s="278">
        <f t="shared" si="51"/>
        <v>593.36800000000005</v>
      </c>
      <c r="S28" s="278">
        <f>S62+S167+S212+S259</f>
        <v>902.55600000000004</v>
      </c>
      <c r="T28" s="194">
        <f t="shared" ref="T28:T29" si="52">SUM(N28:S28)</f>
        <v>1835.26</v>
      </c>
      <c r="U28" s="194">
        <f t="shared" ref="U28:U29" si="53">T28+L28</f>
        <v>3530.6689999999999</v>
      </c>
      <c r="V28" s="171">
        <f>V45+V259</f>
        <v>3205.355</v>
      </c>
      <c r="W28" s="278">
        <f t="shared" ref="W28" si="54">W26+W27</f>
        <v>-325.31400000000002</v>
      </c>
      <c r="X28" s="195"/>
    </row>
    <row r="29" spans="1:25" s="196" customFormat="1" ht="18" customHeight="1">
      <c r="A29" s="610"/>
      <c r="B29" s="576"/>
      <c r="C29" s="577"/>
      <c r="D29" s="174" t="str">
        <f>серпень!D29</f>
        <v>дотація</v>
      </c>
      <c r="E29" s="192"/>
      <c r="F29" s="193">
        <f t="shared" ref="F29:K30" si="55">F63+F168+F213+F260</f>
        <v>0</v>
      </c>
      <c r="G29" s="193">
        <f t="shared" si="55"/>
        <v>0</v>
      </c>
      <c r="H29" s="193">
        <f t="shared" si="55"/>
        <v>0</v>
      </c>
      <c r="I29" s="193">
        <f t="shared" si="55"/>
        <v>0</v>
      </c>
      <c r="J29" s="193">
        <f t="shared" si="55"/>
        <v>0</v>
      </c>
      <c r="K29" s="193">
        <f t="shared" si="55"/>
        <v>0</v>
      </c>
      <c r="L29" s="194">
        <f t="shared" si="44"/>
        <v>0</v>
      </c>
      <c r="M29" s="194">
        <f t="shared" si="45"/>
        <v>0</v>
      </c>
      <c r="N29" s="193">
        <f t="shared" ref="N29:S31" si="56">N63+N168+N213+N260</f>
        <v>0</v>
      </c>
      <c r="O29" s="193">
        <f t="shared" si="56"/>
        <v>0</v>
      </c>
      <c r="P29" s="193">
        <f t="shared" si="56"/>
        <v>0</v>
      </c>
      <c r="Q29" s="193">
        <f t="shared" si="56"/>
        <v>0</v>
      </c>
      <c r="R29" s="193">
        <f t="shared" si="56"/>
        <v>0</v>
      </c>
      <c r="S29" s="193">
        <f t="shared" si="56"/>
        <v>0</v>
      </c>
      <c r="T29" s="194">
        <f t="shared" si="52"/>
        <v>0</v>
      </c>
      <c r="U29" s="194">
        <f t="shared" si="53"/>
        <v>0</v>
      </c>
      <c r="V29" s="171">
        <f>V63+V168+V213+V260</f>
        <v>0</v>
      </c>
      <c r="W29" s="192">
        <f t="shared" ref="W29" si="57">W63+W169+W214+W260</f>
        <v>0</v>
      </c>
      <c r="X29" s="195"/>
      <c r="Y29" s="197"/>
    </row>
    <row r="30" spans="1:25" s="196" customFormat="1" ht="18" customHeight="1">
      <c r="A30" s="610"/>
      <c r="B30" s="576"/>
      <c r="C30" s="577"/>
      <c r="D30" s="174" t="str">
        <f>серпень!D30</f>
        <v>місцевий (план), тис.грн</v>
      </c>
      <c r="E30" s="192"/>
      <c r="F30" s="193">
        <f t="shared" si="55"/>
        <v>0</v>
      </c>
      <c r="G30" s="193">
        <f t="shared" si="55"/>
        <v>650</v>
      </c>
      <c r="H30" s="193">
        <f t="shared" si="55"/>
        <v>872.30799999999999</v>
      </c>
      <c r="I30" s="193">
        <f t="shared" si="55"/>
        <v>445.56</v>
      </c>
      <c r="J30" s="193">
        <f t="shared" si="55"/>
        <v>2.3E-2</v>
      </c>
      <c r="K30" s="193">
        <f t="shared" si="55"/>
        <v>0</v>
      </c>
      <c r="L30" s="194">
        <f t="shared" si="44"/>
        <v>1967.8910000000001</v>
      </c>
      <c r="M30" s="194">
        <f t="shared" si="45"/>
        <v>327.98200000000003</v>
      </c>
      <c r="N30" s="193">
        <f t="shared" si="56"/>
        <v>0</v>
      </c>
      <c r="O30" s="193">
        <f t="shared" si="56"/>
        <v>0</v>
      </c>
      <c r="P30" s="193">
        <f t="shared" si="56"/>
        <v>84.623000000000005</v>
      </c>
      <c r="Q30" s="193">
        <f t="shared" si="56"/>
        <v>84.623000000000005</v>
      </c>
      <c r="R30" s="193">
        <f t="shared" si="56"/>
        <v>84.623000000000005</v>
      </c>
      <c r="S30" s="193">
        <f t="shared" si="56"/>
        <v>983.59500000000003</v>
      </c>
      <c r="T30" s="194">
        <f>SUM(N30:S30)</f>
        <v>1237.4639999999999</v>
      </c>
      <c r="U30" s="194">
        <f>T30+L30</f>
        <v>3205.355</v>
      </c>
      <c r="V30" s="171">
        <f>V64+V169+V214+V261</f>
        <v>3205.355</v>
      </c>
      <c r="W30" s="192">
        <f>W64+W169+W214</f>
        <v>0</v>
      </c>
      <c r="X30" s="195"/>
      <c r="Y30" s="197"/>
    </row>
    <row r="31" spans="1:25" s="186" customFormat="1" ht="18" customHeight="1">
      <c r="A31" s="610"/>
      <c r="B31" s="576"/>
      <c r="C31" s="577"/>
      <c r="D31" s="178" t="str">
        <f>серпень!D31</f>
        <v>касові нат.п-ки 2025</v>
      </c>
      <c r="E31" s="180">
        <f>E65+E170+E215+E262</f>
        <v>0</v>
      </c>
      <c r="F31" s="259">
        <f>F48</f>
        <v>0</v>
      </c>
      <c r="G31" s="259">
        <f t="shared" ref="G31:K31" si="58">G48</f>
        <v>193.28</v>
      </c>
      <c r="H31" s="259">
        <f t="shared" si="58"/>
        <v>254.357</v>
      </c>
      <c r="I31" s="259">
        <f t="shared" si="58"/>
        <v>116.5</v>
      </c>
      <c r="J31" s="259">
        <f t="shared" si="58"/>
        <v>-77.2</v>
      </c>
      <c r="K31" s="259">
        <f t="shared" si="58"/>
        <v>0</v>
      </c>
      <c r="L31" s="338">
        <f t="shared" si="44"/>
        <v>486.93700000000001</v>
      </c>
      <c r="M31" s="338">
        <f t="shared" si="45"/>
        <v>81.156170000000003</v>
      </c>
      <c r="N31" s="216">
        <f>N65+N170+N215+N262</f>
        <v>-92.9</v>
      </c>
      <c r="O31" s="216">
        <f t="shared" si="56"/>
        <v>0</v>
      </c>
      <c r="P31" s="216">
        <f t="shared" si="56"/>
        <v>0</v>
      </c>
      <c r="Q31" s="216">
        <f t="shared" si="56"/>
        <v>0</v>
      </c>
      <c r="R31" s="216">
        <f t="shared" si="56"/>
        <v>0</v>
      </c>
      <c r="S31" s="216">
        <f t="shared" si="56"/>
        <v>428.2</v>
      </c>
      <c r="T31" s="334">
        <f>SUM(N31:S31)</f>
        <v>335.3</v>
      </c>
      <c r="U31" s="334">
        <f>T31+L31</f>
        <v>822.23699999999997</v>
      </c>
      <c r="V31" s="183">
        <f t="shared" ref="V31:W31" si="59">V65+V170+V215</f>
        <v>748.3</v>
      </c>
      <c r="W31" s="184">
        <f t="shared" si="59"/>
        <v>-74</v>
      </c>
      <c r="X31" s="279">
        <f>U24-U31</f>
        <v>0</v>
      </c>
    </row>
    <row r="32" spans="1:25" s="190" customFormat="1" ht="18" customHeight="1">
      <c r="A32" s="610"/>
      <c r="B32" s="576"/>
      <c r="C32" s="577"/>
      <c r="D32" s="187" t="str">
        <f>серпень!D32</f>
        <v>тариф, грн.</v>
      </c>
      <c r="E32" s="188" t="e">
        <f t="shared" ref="E32:K32" si="60">E33/E31*1000</f>
        <v>#DIV/0!</v>
      </c>
      <c r="F32" s="188" t="e">
        <f t="shared" si="60"/>
        <v>#DIV/0!</v>
      </c>
      <c r="G32" s="188">
        <f t="shared" si="60"/>
        <v>3362.9969999999998</v>
      </c>
      <c r="H32" s="188">
        <f t="shared" si="60"/>
        <v>3429.4630000000002</v>
      </c>
      <c r="I32" s="188">
        <f t="shared" si="60"/>
        <v>3824.549</v>
      </c>
      <c r="J32" s="188">
        <f t="shared" si="60"/>
        <v>1998.251</v>
      </c>
      <c r="K32" s="188" t="e">
        <f t="shared" si="60"/>
        <v>#DIV/0!</v>
      </c>
      <c r="L32" s="188">
        <f>L33/L31*1000</f>
        <v>3898.5059999999999</v>
      </c>
      <c r="M32" s="188">
        <f>M33/M31*1000</f>
        <v>3898.5079999999998</v>
      </c>
      <c r="N32" s="188">
        <f t="shared" ref="N32:S32" si="61">N33/N31*1000</f>
        <v>2184.2629999999999</v>
      </c>
      <c r="O32" s="188" t="e">
        <f t="shared" si="61"/>
        <v>#DIV/0!</v>
      </c>
      <c r="P32" s="188" t="e">
        <f t="shared" si="61"/>
        <v>#DIV/0!</v>
      </c>
      <c r="Q32" s="188" t="e">
        <f t="shared" si="61"/>
        <v>#DIV/0!</v>
      </c>
      <c r="R32" s="188" t="e">
        <f t="shared" si="61"/>
        <v>#DIV/0!</v>
      </c>
      <c r="S32" s="188">
        <f t="shared" si="61"/>
        <v>3493.5169999999998</v>
      </c>
      <c r="T32" s="188">
        <f>T33/T31*1000</f>
        <v>4868.3029999999999</v>
      </c>
      <c r="U32" s="188">
        <f>U33/U31*1000</f>
        <v>4293.9799999999996</v>
      </c>
      <c r="V32" s="188">
        <f>V33/V31*1000</f>
        <v>4283.5159999999996</v>
      </c>
      <c r="W32" s="189">
        <f>W33/W31*1000</f>
        <v>4396.1350000000002</v>
      </c>
      <c r="X32" s="185"/>
    </row>
    <row r="33" spans="1:25" s="176" customFormat="1" ht="18" customHeight="1">
      <c r="A33" s="610"/>
      <c r="B33" s="576"/>
      <c r="C33" s="577"/>
      <c r="D33" s="198" t="str">
        <f>серпень!D33</f>
        <v>касові видатки, тис.грн.</v>
      </c>
      <c r="E33" s="199">
        <f t="shared" ref="E33" si="62">E67+E172+E217+E264</f>
        <v>0</v>
      </c>
      <c r="F33" s="199">
        <f>F67+F172+F217+F264</f>
        <v>0</v>
      </c>
      <c r="G33" s="199">
        <f t="shared" ref="G33:K33" si="63">G67+G172+G217+G264</f>
        <v>650</v>
      </c>
      <c r="H33" s="199">
        <f t="shared" si="63"/>
        <v>872.30799999999999</v>
      </c>
      <c r="I33" s="199">
        <f t="shared" si="63"/>
        <v>445.56</v>
      </c>
      <c r="J33" s="199">
        <f t="shared" si="63"/>
        <v>-154.26499999999999</v>
      </c>
      <c r="K33" s="199">
        <f t="shared" si="63"/>
        <v>84.724000000000004</v>
      </c>
      <c r="L33" s="199">
        <f>SUM(F33:K33)</f>
        <v>1898.327</v>
      </c>
      <c r="M33" s="199">
        <f>L33/6</f>
        <v>316.38799999999998</v>
      </c>
      <c r="N33" s="199">
        <f>N67+N172+N217+N264</f>
        <v>-202.91800000000001</v>
      </c>
      <c r="O33" s="199">
        <f t="shared" ref="O33:S33" si="64">O67+O172+O217+O264</f>
        <v>84.724000000000004</v>
      </c>
      <c r="P33" s="199">
        <f t="shared" si="64"/>
        <v>84.724000000000004</v>
      </c>
      <c r="Q33" s="199">
        <f t="shared" si="64"/>
        <v>84.944000000000003</v>
      </c>
      <c r="R33" s="199">
        <f t="shared" si="64"/>
        <v>84.944000000000003</v>
      </c>
      <c r="S33" s="199">
        <f t="shared" si="64"/>
        <v>1495.924</v>
      </c>
      <c r="T33" s="199">
        <f>SUM(N33:S33)</f>
        <v>1632.3420000000001</v>
      </c>
      <c r="U33" s="199">
        <f>T33+L33</f>
        <v>3530.6689999999999</v>
      </c>
      <c r="V33" s="175">
        <f>V67+V172+V217+V264</f>
        <v>3205.355</v>
      </c>
      <c r="W33" s="200">
        <f>W67+W172+W217+W264</f>
        <v>-325.31400000000002</v>
      </c>
      <c r="X33" s="176">
        <f>U28-U33</f>
        <v>0</v>
      </c>
    </row>
    <row r="34" spans="1:25" s="176" customFormat="1" ht="18" customHeight="1">
      <c r="A34" s="610"/>
      <c r="B34" s="576"/>
      <c r="C34" s="577"/>
      <c r="D34" s="201" t="str">
        <f>серпень!D34</f>
        <v>дотація</v>
      </c>
      <c r="E34" s="199"/>
      <c r="F34" s="199">
        <f t="shared" ref="F34:K35" si="65">F68+F173+F218+F265</f>
        <v>0</v>
      </c>
      <c r="G34" s="199">
        <f t="shared" si="65"/>
        <v>0</v>
      </c>
      <c r="H34" s="199">
        <f t="shared" si="65"/>
        <v>0</v>
      </c>
      <c r="I34" s="199">
        <f t="shared" si="65"/>
        <v>0</v>
      </c>
      <c r="J34" s="199">
        <f t="shared" si="65"/>
        <v>0</v>
      </c>
      <c r="K34" s="199">
        <f t="shared" si="65"/>
        <v>0</v>
      </c>
      <c r="L34" s="199">
        <f>SUM(F34:K34)</f>
        <v>0</v>
      </c>
      <c r="M34" s="199">
        <f>L34/6</f>
        <v>0</v>
      </c>
      <c r="N34" s="199">
        <f t="shared" ref="N34:S35" si="66">N68+N173+N218+N265</f>
        <v>0</v>
      </c>
      <c r="O34" s="199">
        <f t="shared" si="66"/>
        <v>0</v>
      </c>
      <c r="P34" s="199">
        <f t="shared" si="66"/>
        <v>0</v>
      </c>
      <c r="Q34" s="199">
        <f t="shared" si="66"/>
        <v>0</v>
      </c>
      <c r="R34" s="199">
        <f t="shared" si="66"/>
        <v>0</v>
      </c>
      <c r="S34" s="199">
        <f t="shared" si="66"/>
        <v>0</v>
      </c>
      <c r="T34" s="199">
        <f>SUM(N34:S34)</f>
        <v>0</v>
      </c>
      <c r="U34" s="199">
        <f>T34+L34</f>
        <v>0</v>
      </c>
      <c r="V34" s="175">
        <f>V68+V173+V218+V265</f>
        <v>0</v>
      </c>
      <c r="W34" s="200">
        <f>V34-U34</f>
        <v>0</v>
      </c>
      <c r="X34" s="176">
        <f>U29-U34</f>
        <v>0</v>
      </c>
    </row>
    <row r="35" spans="1:25" s="176" customFormat="1" ht="18" customHeight="1">
      <c r="A35" s="610"/>
      <c r="B35" s="576"/>
      <c r="C35" s="577"/>
      <c r="D35" s="201" t="str">
        <f>серпень!D35</f>
        <v xml:space="preserve">місцевий </v>
      </c>
      <c r="E35" s="199"/>
      <c r="F35" s="199">
        <f t="shared" si="65"/>
        <v>0</v>
      </c>
      <c r="G35" s="199">
        <f t="shared" si="65"/>
        <v>650</v>
      </c>
      <c r="H35" s="199">
        <f t="shared" si="65"/>
        <v>872.30799999999999</v>
      </c>
      <c r="I35" s="199">
        <f t="shared" si="65"/>
        <v>445.56</v>
      </c>
      <c r="J35" s="199">
        <f t="shared" si="65"/>
        <v>-154.26499999999999</v>
      </c>
      <c r="K35" s="199">
        <f t="shared" si="65"/>
        <v>84.724000000000004</v>
      </c>
      <c r="L35" s="199">
        <f>SUM(F35:K35)</f>
        <v>1898.327</v>
      </c>
      <c r="M35" s="199">
        <f>L35/6</f>
        <v>316.38799999999998</v>
      </c>
      <c r="N35" s="199">
        <f t="shared" si="66"/>
        <v>-202.91800000000001</v>
      </c>
      <c r="O35" s="199">
        <f t="shared" si="66"/>
        <v>84.724000000000004</v>
      </c>
      <c r="P35" s="199">
        <f t="shared" si="66"/>
        <v>84.724000000000004</v>
      </c>
      <c r="Q35" s="199">
        <f t="shared" si="66"/>
        <v>84.944000000000003</v>
      </c>
      <c r="R35" s="199">
        <f t="shared" si="66"/>
        <v>84.944000000000003</v>
      </c>
      <c r="S35" s="199">
        <f t="shared" si="66"/>
        <v>1495.924</v>
      </c>
      <c r="T35" s="199">
        <f>SUM(N35:S35)</f>
        <v>1632.3420000000001</v>
      </c>
      <c r="U35" s="199">
        <f>T35+L35</f>
        <v>3530.6689999999999</v>
      </c>
      <c r="V35" s="175">
        <f>V69+V174+V219+V266</f>
        <v>3205.355</v>
      </c>
      <c r="W35" s="200">
        <f>V35-U35</f>
        <v>-325.31400000000002</v>
      </c>
      <c r="X35" s="176">
        <f>U30-U35</f>
        <v>-325.31400000000002</v>
      </c>
    </row>
    <row r="36" spans="1:25" s="205" customFormat="1" ht="18" customHeight="1">
      <c r="A36" s="610"/>
      <c r="B36" s="576"/>
      <c r="C36" s="577"/>
      <c r="D36" s="202" t="str">
        <f>серпень!D36</f>
        <v>план</v>
      </c>
      <c r="E36" s="203"/>
      <c r="F36" s="203">
        <f t="shared" ref="F36:K36" si="67">F30</f>
        <v>0</v>
      </c>
      <c r="G36" s="203">
        <f t="shared" si="67"/>
        <v>650</v>
      </c>
      <c r="H36" s="203">
        <f t="shared" si="67"/>
        <v>872.30799999999999</v>
      </c>
      <c r="I36" s="203">
        <f>I30</f>
        <v>445.56</v>
      </c>
      <c r="J36" s="203">
        <f>J30</f>
        <v>2.3E-2</v>
      </c>
      <c r="K36" s="203">
        <f t="shared" si="67"/>
        <v>0</v>
      </c>
      <c r="L36" s="203">
        <f>SUM(F36:K36)</f>
        <v>1967.8910000000001</v>
      </c>
      <c r="M36" s="203">
        <f>L36/6</f>
        <v>327.98200000000003</v>
      </c>
      <c r="N36" s="203">
        <f t="shared" ref="N36:S36" si="68">N30+N29</f>
        <v>0</v>
      </c>
      <c r="O36" s="203">
        <f t="shared" si="68"/>
        <v>0</v>
      </c>
      <c r="P36" s="203">
        <f t="shared" si="68"/>
        <v>84.623000000000005</v>
      </c>
      <c r="Q36" s="203">
        <f t="shared" si="68"/>
        <v>84.623000000000005</v>
      </c>
      <c r="R36" s="203">
        <f t="shared" si="68"/>
        <v>84.623000000000005</v>
      </c>
      <c r="S36" s="203">
        <f t="shared" si="68"/>
        <v>983.59500000000003</v>
      </c>
      <c r="T36" s="203">
        <f>SUM(N36:S36)</f>
        <v>1237.4639999999999</v>
      </c>
      <c r="U36" s="203">
        <f>T36+L36</f>
        <v>3205.355</v>
      </c>
      <c r="V36" s="204">
        <f>V70+V175+V220+V267</f>
        <v>3205.355</v>
      </c>
      <c r="W36" s="203">
        <f>V36-U36</f>
        <v>0</v>
      </c>
    </row>
    <row r="37" spans="1:25" s="205" customFormat="1" ht="18" customHeight="1">
      <c r="A37" s="610"/>
      <c r="B37" s="576"/>
      <c r="C37" s="577"/>
      <c r="D37" s="202" t="str">
        <f>серпень!D37</f>
        <v xml:space="preserve">відхилення </v>
      </c>
      <c r="E37" s="203"/>
      <c r="F37" s="203">
        <f t="shared" ref="F37:K37" si="69">F33-F36</f>
        <v>0</v>
      </c>
      <c r="G37" s="203">
        <f t="shared" si="69"/>
        <v>0</v>
      </c>
      <c r="H37" s="203">
        <f t="shared" si="69"/>
        <v>0</v>
      </c>
      <c r="I37" s="203">
        <f t="shared" si="69"/>
        <v>0</v>
      </c>
      <c r="J37" s="203">
        <f t="shared" si="69"/>
        <v>-154.28800000000001</v>
      </c>
      <c r="K37" s="203">
        <f t="shared" si="69"/>
        <v>84.724000000000004</v>
      </c>
      <c r="L37" s="203"/>
      <c r="M37" s="203"/>
      <c r="N37" s="203">
        <f t="shared" ref="N37:S37" si="70">N33-N36</f>
        <v>-202.91800000000001</v>
      </c>
      <c r="O37" s="203">
        <f t="shared" si="70"/>
        <v>84.724000000000004</v>
      </c>
      <c r="P37" s="203">
        <f t="shared" si="70"/>
        <v>0.10100000000000001</v>
      </c>
      <c r="Q37" s="203">
        <f t="shared" si="70"/>
        <v>0.32100000000000001</v>
      </c>
      <c r="R37" s="203">
        <f t="shared" si="70"/>
        <v>0.32100000000000001</v>
      </c>
      <c r="S37" s="203">
        <f t="shared" si="70"/>
        <v>512.32899999999995</v>
      </c>
      <c r="T37" s="203"/>
      <c r="U37" s="203"/>
      <c r="V37" s="203"/>
      <c r="W37" s="203"/>
    </row>
    <row r="38" spans="1:25" s="205" customFormat="1" ht="18" customHeight="1">
      <c r="A38" s="610"/>
      <c r="B38" s="576"/>
      <c r="C38" s="577"/>
      <c r="D38" s="202" t="str">
        <f>серпень!D38</f>
        <v>відхилення з наростаючим</v>
      </c>
      <c r="E38" s="203"/>
      <c r="F38" s="203">
        <f>F37</f>
        <v>0</v>
      </c>
      <c r="G38" s="203">
        <f>G37+F38</f>
        <v>0</v>
      </c>
      <c r="H38" s="203">
        <f>H37+G38</f>
        <v>0</v>
      </c>
      <c r="I38" s="203">
        <f>I37+H38</f>
        <v>0</v>
      </c>
      <c r="J38" s="203">
        <f>J37+I38</f>
        <v>-154.28800000000001</v>
      </c>
      <c r="K38" s="203">
        <f>K37+J38</f>
        <v>-69.563999999999993</v>
      </c>
      <c r="L38" s="203"/>
      <c r="M38" s="203"/>
      <c r="N38" s="203">
        <f>N37+K38</f>
        <v>-272.48200000000003</v>
      </c>
      <c r="O38" s="203">
        <f>O37+N38</f>
        <v>-187.75800000000001</v>
      </c>
      <c r="P38" s="203">
        <f>P37+O38</f>
        <v>-187.65700000000001</v>
      </c>
      <c r="Q38" s="203">
        <f>Q37+P38</f>
        <v>-187.33600000000001</v>
      </c>
      <c r="R38" s="203">
        <f>R37+Q38</f>
        <v>-187.01499999999999</v>
      </c>
      <c r="S38" s="203">
        <f>S37+R38</f>
        <v>325.31400000000002</v>
      </c>
      <c r="T38" s="203"/>
      <c r="U38" s="203"/>
      <c r="V38" s="203"/>
      <c r="W38" s="203"/>
    </row>
    <row r="39" spans="1:25" s="206" customFormat="1" ht="18" customHeight="1">
      <c r="A39" s="610"/>
      <c r="B39" s="581" t="s">
        <v>71</v>
      </c>
      <c r="C39" s="581"/>
      <c r="D39" s="178" t="str">
        <f>серпень!D39</f>
        <v>факт. нат.п-ки 2023</v>
      </c>
      <c r="E39" s="179"/>
      <c r="F39" s="180">
        <f t="shared" ref="F39:K40" si="71">F56+F163+F208</f>
        <v>207</v>
      </c>
      <c r="G39" s="180">
        <f t="shared" si="71"/>
        <v>145.30000000000001</v>
      </c>
      <c r="H39" s="180">
        <f t="shared" si="71"/>
        <v>83</v>
      </c>
      <c r="I39" s="180">
        <f t="shared" si="71"/>
        <v>0.8</v>
      </c>
      <c r="J39" s="180">
        <f t="shared" si="71"/>
        <v>0.8</v>
      </c>
      <c r="K39" s="180">
        <f t="shared" si="71"/>
        <v>0.8</v>
      </c>
      <c r="L39" s="181">
        <f>SUM(F39:K39)</f>
        <v>437.7</v>
      </c>
      <c r="M39" s="181">
        <f>L39/6</f>
        <v>73</v>
      </c>
      <c r="N39" s="180">
        <f t="shared" ref="N39:S40" si="72">N56+N163+N208</f>
        <v>0.8</v>
      </c>
      <c r="O39" s="180">
        <f t="shared" si="72"/>
        <v>0.9</v>
      </c>
      <c r="P39" s="180">
        <f t="shared" si="72"/>
        <v>0.1</v>
      </c>
      <c r="Q39" s="180">
        <f t="shared" si="72"/>
        <v>0.8</v>
      </c>
      <c r="R39" s="180">
        <f t="shared" si="72"/>
        <v>80.099999999999994</v>
      </c>
      <c r="S39" s="180">
        <f t="shared" si="72"/>
        <v>197.4</v>
      </c>
      <c r="T39" s="181">
        <f>SUM(N39:S39)</f>
        <v>280.10000000000002</v>
      </c>
      <c r="U39" s="182">
        <f>T39+L39</f>
        <v>717.8</v>
      </c>
      <c r="V39" s="183">
        <f>V56+V163</f>
        <v>708.8</v>
      </c>
      <c r="W39" s="184"/>
    </row>
    <row r="40" spans="1:25" s="206" customFormat="1" ht="18" customHeight="1">
      <c r="A40" s="610"/>
      <c r="B40" s="581"/>
      <c r="C40" s="581"/>
      <c r="D40" s="178" t="str">
        <f>серпень!D40</f>
        <v>факт. нат.п-ки 2024</v>
      </c>
      <c r="E40" s="179"/>
      <c r="F40" s="180">
        <f t="shared" si="71"/>
        <v>149</v>
      </c>
      <c r="G40" s="180">
        <f t="shared" si="71"/>
        <v>101.9</v>
      </c>
      <c r="H40" s="180">
        <f t="shared" si="71"/>
        <v>70.599999999999994</v>
      </c>
      <c r="I40" s="180">
        <f t="shared" si="71"/>
        <v>0.4</v>
      </c>
      <c r="J40" s="180">
        <f t="shared" si="71"/>
        <v>0.4</v>
      </c>
      <c r="K40" s="180">
        <f t="shared" si="71"/>
        <v>0.4</v>
      </c>
      <c r="L40" s="181">
        <f>SUM(F40:K40)</f>
        <v>322.7</v>
      </c>
      <c r="M40" s="181">
        <f>L40/6</f>
        <v>53.8</v>
      </c>
      <c r="N40" s="180">
        <f t="shared" si="72"/>
        <v>0.4</v>
      </c>
      <c r="O40" s="180">
        <f t="shared" si="72"/>
        <v>0.4</v>
      </c>
      <c r="P40" s="180">
        <f t="shared" si="72"/>
        <v>0.8</v>
      </c>
      <c r="Q40" s="180">
        <f t="shared" si="72"/>
        <v>0.8</v>
      </c>
      <c r="R40" s="180">
        <f t="shared" si="72"/>
        <v>214.2</v>
      </c>
      <c r="S40" s="180">
        <f t="shared" si="72"/>
        <v>264.8</v>
      </c>
      <c r="T40" s="181">
        <f>SUM(N40:S40)</f>
        <v>481.4</v>
      </c>
      <c r="U40" s="182">
        <f>T40+L40</f>
        <v>804.1</v>
      </c>
      <c r="V40" s="183">
        <f>V57+V164</f>
        <v>797.7</v>
      </c>
      <c r="W40" s="184"/>
    </row>
    <row r="41" spans="1:25" s="206" customFormat="1" ht="18" customHeight="1">
      <c r="A41" s="610"/>
      <c r="B41" s="581"/>
      <c r="C41" s="581"/>
      <c r="D41" s="178" t="str">
        <f>серпень!D41</f>
        <v>факт. нат.п-ки 2025</v>
      </c>
      <c r="E41" s="179"/>
      <c r="F41" s="522">
        <f>F90+F135+F165+F210</f>
        <v>161.46100000000001</v>
      </c>
      <c r="G41" s="522">
        <f t="shared" ref="G41:K41" si="73">G90+G135+G165+G210</f>
        <v>116.539</v>
      </c>
      <c r="H41" s="522">
        <f t="shared" si="73"/>
        <v>116.041</v>
      </c>
      <c r="I41" s="522">
        <f t="shared" si="73"/>
        <v>0</v>
      </c>
      <c r="J41" s="522">
        <f t="shared" si="73"/>
        <v>0</v>
      </c>
      <c r="K41" s="522">
        <f t="shared" si="73"/>
        <v>0</v>
      </c>
      <c r="L41" s="326">
        <f>SUM(F41:K41)</f>
        <v>394.041</v>
      </c>
      <c r="M41" s="326">
        <f>L41/6</f>
        <v>65.674000000000007</v>
      </c>
      <c r="N41" s="522">
        <f>N90+N135+N165+N210</f>
        <v>0</v>
      </c>
      <c r="O41" s="522">
        <f t="shared" ref="O41:S41" si="74">O90+O135+O165+O210</f>
        <v>0</v>
      </c>
      <c r="P41" s="522">
        <f t="shared" si="74"/>
        <v>0</v>
      </c>
      <c r="Q41" s="522">
        <f t="shared" si="74"/>
        <v>0</v>
      </c>
      <c r="R41" s="522">
        <f t="shared" si="74"/>
        <v>164.2</v>
      </c>
      <c r="S41" s="522">
        <f t="shared" si="74"/>
        <v>264</v>
      </c>
      <c r="T41" s="326">
        <f>SUM(N41:S41)</f>
        <v>428.2</v>
      </c>
      <c r="U41" s="326">
        <f>T41+L41</f>
        <v>822.24099999999999</v>
      </c>
      <c r="V41" s="264">
        <f t="shared" ref="V41" si="75">V58+V165+V210</f>
        <v>748.3</v>
      </c>
      <c r="W41" s="184">
        <f>V41-U41</f>
        <v>-73.900000000000006</v>
      </c>
    </row>
    <row r="42" spans="1:25" s="206" customFormat="1" ht="18" customHeight="1">
      <c r="A42" s="610"/>
      <c r="B42" s="581"/>
      <c r="C42" s="581"/>
      <c r="D42" s="187" t="str">
        <f>серпень!D42</f>
        <v>тариф, грн.</v>
      </c>
      <c r="E42" s="188"/>
      <c r="F42" s="188">
        <f t="shared" ref="F42:S42" si="76">F43/F41*1000</f>
        <v>3096.37</v>
      </c>
      <c r="G42" s="188">
        <f t="shared" si="76"/>
        <v>3096.268</v>
      </c>
      <c r="H42" s="188">
        <f t="shared" si="76"/>
        <v>2814.5740000000001</v>
      </c>
      <c r="I42" s="188" t="e">
        <f>I43/I41*1000</f>
        <v>#DIV/0!</v>
      </c>
      <c r="J42" s="188" t="e">
        <f>J43/J41*1000</f>
        <v>#DIV/0!</v>
      </c>
      <c r="K42" s="188" t="e">
        <f t="shared" si="76"/>
        <v>#DIV/0!</v>
      </c>
      <c r="L42" s="188">
        <f t="shared" si="76"/>
        <v>3013.3539999999998</v>
      </c>
      <c r="M42" s="188">
        <f t="shared" si="76"/>
        <v>3013.3389999999999</v>
      </c>
      <c r="N42" s="188" t="e">
        <f t="shared" si="76"/>
        <v>#DIV/0!</v>
      </c>
      <c r="O42" s="188" t="e">
        <f t="shared" si="76"/>
        <v>#DIV/0!</v>
      </c>
      <c r="P42" s="188" t="e">
        <f t="shared" si="76"/>
        <v>#DIV/0!</v>
      </c>
      <c r="Q42" s="188" t="e">
        <f t="shared" si="76"/>
        <v>#DIV/0!</v>
      </c>
      <c r="R42" s="188">
        <f t="shared" si="76"/>
        <v>3096.37</v>
      </c>
      <c r="S42" s="188">
        <f t="shared" si="76"/>
        <v>3097.0149999999999</v>
      </c>
      <c r="T42" s="188">
        <f>T43/T41*1000</f>
        <v>3096.768</v>
      </c>
      <c r="U42" s="188">
        <f>U43/U41*1000</f>
        <v>3056.7939999999999</v>
      </c>
      <c r="V42" s="188">
        <f>V43/V41*1000</f>
        <v>2926.4720000000002</v>
      </c>
      <c r="W42" s="189">
        <f>W43/W41*1000</f>
        <v>4378.1059999999998</v>
      </c>
    </row>
    <row r="43" spans="1:25" s="206" customFormat="1" ht="18" customHeight="1">
      <c r="A43" s="610"/>
      <c r="B43" s="581"/>
      <c r="C43" s="581"/>
      <c r="D43" s="191" t="str">
        <f>серпень!D43</f>
        <v>сума, тис.грн.</v>
      </c>
      <c r="E43" s="192"/>
      <c r="F43" s="193">
        <f>F92+F137+F167+F212</f>
        <v>499.94299999999998</v>
      </c>
      <c r="G43" s="193">
        <f t="shared" ref="G43:K43" si="77">G92+G137+G167+G212</f>
        <v>360.83600000000001</v>
      </c>
      <c r="H43" s="193">
        <f t="shared" si="77"/>
        <v>326.60599999999999</v>
      </c>
      <c r="I43" s="193">
        <f t="shared" si="77"/>
        <v>0</v>
      </c>
      <c r="J43" s="193">
        <f t="shared" si="77"/>
        <v>0</v>
      </c>
      <c r="K43" s="193">
        <f t="shared" si="77"/>
        <v>0</v>
      </c>
      <c r="L43" s="194">
        <f t="shared" ref="L43:L48" si="78">SUM(F43:K43)</f>
        <v>1187.385</v>
      </c>
      <c r="M43" s="194">
        <f t="shared" ref="M43:M48" si="79">L43/6</f>
        <v>197.898</v>
      </c>
      <c r="N43" s="193">
        <f>N92+N137+N167+N212</f>
        <v>0</v>
      </c>
      <c r="O43" s="193">
        <f t="shared" ref="O43:S43" si="80">O92+O137+O167+O212</f>
        <v>0</v>
      </c>
      <c r="P43" s="193">
        <f t="shared" si="80"/>
        <v>0</v>
      </c>
      <c r="Q43" s="193">
        <f t="shared" si="80"/>
        <v>0</v>
      </c>
      <c r="R43" s="193">
        <f t="shared" si="80"/>
        <v>508.42399999999998</v>
      </c>
      <c r="S43" s="193">
        <f t="shared" si="80"/>
        <v>817.61199999999997</v>
      </c>
      <c r="T43" s="194">
        <f>SUM(N43:S43)</f>
        <v>1326.0360000000001</v>
      </c>
      <c r="U43" s="194">
        <f>T43+L43</f>
        <v>2513.4209999999998</v>
      </c>
      <c r="V43" s="171">
        <f>V60+V167+V212</f>
        <v>2189.8789999999999</v>
      </c>
      <c r="W43" s="193">
        <f>V43-U43</f>
        <v>-323.54199999999997</v>
      </c>
    </row>
    <row r="44" spans="1:25" s="206" customFormat="1" ht="18" customHeight="1">
      <c r="A44" s="610"/>
      <c r="B44" s="581"/>
      <c r="C44" s="581"/>
      <c r="D44" s="174" t="str">
        <f>серпень!D44</f>
        <v>абоненська плата, тис.грн.</v>
      </c>
      <c r="E44" s="192"/>
      <c r="F44" s="193">
        <f>F77+F107+F122+F152</f>
        <v>84.403999999999996</v>
      </c>
      <c r="G44" s="193">
        <f t="shared" ref="G44:K44" si="81">G77+G107+G122+G152</f>
        <v>84.724000000000004</v>
      </c>
      <c r="H44" s="193">
        <f t="shared" si="81"/>
        <v>84.724000000000004</v>
      </c>
      <c r="I44" s="193">
        <f t="shared" si="81"/>
        <v>84.724000000000004</v>
      </c>
      <c r="J44" s="193">
        <f t="shared" si="81"/>
        <v>84.724000000000004</v>
      </c>
      <c r="K44" s="193">
        <f t="shared" si="81"/>
        <v>84.724000000000004</v>
      </c>
      <c r="L44" s="194">
        <f t="shared" si="78"/>
        <v>508.024</v>
      </c>
      <c r="M44" s="194">
        <f t="shared" si="79"/>
        <v>84.671000000000006</v>
      </c>
      <c r="N44" s="193">
        <f>N77+N107+N122+N152</f>
        <v>84.724000000000004</v>
      </c>
      <c r="O44" s="193">
        <f t="shared" ref="O44:S44" si="82">O77+O107+O122+O152</f>
        <v>84.724000000000004</v>
      </c>
      <c r="P44" s="193">
        <f t="shared" si="82"/>
        <v>84.944000000000003</v>
      </c>
      <c r="Q44" s="193">
        <f t="shared" si="82"/>
        <v>84.944000000000003</v>
      </c>
      <c r="R44" s="193">
        <f t="shared" si="82"/>
        <v>84.944000000000003</v>
      </c>
      <c r="S44" s="193">
        <f t="shared" si="82"/>
        <v>84.944000000000003</v>
      </c>
      <c r="T44" s="194">
        <f t="shared" ref="T44:T46" si="83">SUM(N44:S44)</f>
        <v>509.22399999999999</v>
      </c>
      <c r="U44" s="194">
        <f t="shared" ref="U44:U46" si="84">T44+L44</f>
        <v>1017.248</v>
      </c>
      <c r="V44" s="171">
        <f t="shared" ref="V44:V45" si="85">V61</f>
        <v>1015.476</v>
      </c>
      <c r="W44" s="193">
        <f t="shared" ref="W44:W45" si="86">V44-U44</f>
        <v>-1.772</v>
      </c>
    </row>
    <row r="45" spans="1:25" s="206" customFormat="1" ht="18" customHeight="1">
      <c r="A45" s="610"/>
      <c r="B45" s="581"/>
      <c r="C45" s="581"/>
      <c r="D45" s="174" t="str">
        <f>серпень!D45</f>
        <v>разом сума тис. грн+абонплата</v>
      </c>
      <c r="E45" s="192"/>
      <c r="F45" s="193">
        <f>F43+F44</f>
        <v>584.34699999999998</v>
      </c>
      <c r="G45" s="193">
        <f t="shared" ref="G45:K45" si="87">G43+G44</f>
        <v>445.56</v>
      </c>
      <c r="H45" s="193">
        <f t="shared" si="87"/>
        <v>411.33</v>
      </c>
      <c r="I45" s="193">
        <f t="shared" si="87"/>
        <v>84.724000000000004</v>
      </c>
      <c r="J45" s="193">
        <f t="shared" si="87"/>
        <v>84.724000000000004</v>
      </c>
      <c r="K45" s="193">
        <f t="shared" si="87"/>
        <v>84.724000000000004</v>
      </c>
      <c r="L45" s="194">
        <f t="shared" si="78"/>
        <v>1695.4090000000001</v>
      </c>
      <c r="M45" s="194">
        <f t="shared" si="79"/>
        <v>282.56799999999998</v>
      </c>
      <c r="N45" s="193">
        <f t="shared" ref="N45:S45" si="88">N43+N44</f>
        <v>84.724000000000004</v>
      </c>
      <c r="O45" s="193">
        <f t="shared" si="88"/>
        <v>84.724000000000004</v>
      </c>
      <c r="P45" s="193">
        <f t="shared" si="88"/>
        <v>84.944000000000003</v>
      </c>
      <c r="Q45" s="193">
        <f t="shared" si="88"/>
        <v>84.944000000000003</v>
      </c>
      <c r="R45" s="193">
        <f t="shared" si="88"/>
        <v>593.36800000000005</v>
      </c>
      <c r="S45" s="193">
        <f t="shared" si="88"/>
        <v>902.55600000000004</v>
      </c>
      <c r="T45" s="194">
        <f t="shared" ref="T45" si="89">SUM(N45:S45)</f>
        <v>1835.26</v>
      </c>
      <c r="U45" s="194">
        <f t="shared" si="84"/>
        <v>3530.6689999999999</v>
      </c>
      <c r="V45" s="171">
        <f t="shared" si="85"/>
        <v>3205.355</v>
      </c>
      <c r="W45" s="193">
        <f t="shared" si="86"/>
        <v>-325.31400000000002</v>
      </c>
    </row>
    <row r="46" spans="1:25" s="206" customFormat="1" ht="18" customHeight="1">
      <c r="A46" s="610"/>
      <c r="B46" s="581"/>
      <c r="C46" s="581"/>
      <c r="D46" s="174" t="str">
        <f>серпень!D46</f>
        <v>дотація</v>
      </c>
      <c r="E46" s="192"/>
      <c r="F46" s="193">
        <f>F63+F168+F213</f>
        <v>0</v>
      </c>
      <c r="G46" s="193">
        <f t="shared" ref="G46:K47" si="90">G63+G168+G213</f>
        <v>0</v>
      </c>
      <c r="H46" s="193">
        <f t="shared" si="90"/>
        <v>0</v>
      </c>
      <c r="I46" s="193">
        <f t="shared" si="90"/>
        <v>0</v>
      </c>
      <c r="J46" s="193">
        <f t="shared" si="90"/>
        <v>0</v>
      </c>
      <c r="K46" s="193">
        <f t="shared" si="90"/>
        <v>0</v>
      </c>
      <c r="L46" s="194">
        <f t="shared" si="78"/>
        <v>0</v>
      </c>
      <c r="M46" s="194">
        <f t="shared" si="79"/>
        <v>0</v>
      </c>
      <c r="N46" s="193">
        <f t="shared" ref="N46:S47" si="91">N63+N168+N213</f>
        <v>0</v>
      </c>
      <c r="O46" s="193">
        <f t="shared" si="91"/>
        <v>0</v>
      </c>
      <c r="P46" s="193">
        <f t="shared" si="91"/>
        <v>0</v>
      </c>
      <c r="Q46" s="193">
        <f t="shared" si="91"/>
        <v>0</v>
      </c>
      <c r="R46" s="193">
        <f t="shared" si="91"/>
        <v>0</v>
      </c>
      <c r="S46" s="193">
        <f t="shared" si="91"/>
        <v>0</v>
      </c>
      <c r="T46" s="194">
        <f t="shared" si="83"/>
        <v>0</v>
      </c>
      <c r="U46" s="194">
        <f t="shared" si="84"/>
        <v>0</v>
      </c>
      <c r="V46" s="171">
        <f t="shared" ref="V46:V47" si="92">V63+V168+V213</f>
        <v>0</v>
      </c>
      <c r="W46" s="192">
        <f>V46-U46</f>
        <v>0</v>
      </c>
    </row>
    <row r="47" spans="1:25" s="206" customFormat="1" ht="18" customHeight="1">
      <c r="A47" s="610"/>
      <c r="B47" s="581"/>
      <c r="C47" s="581"/>
      <c r="D47" s="174" t="str">
        <f>серпень!D47</f>
        <v>місцевий (план), тис.грн</v>
      </c>
      <c r="E47" s="192"/>
      <c r="F47" s="193">
        <f>F64+F169+F214</f>
        <v>0</v>
      </c>
      <c r="G47" s="193">
        <f t="shared" si="90"/>
        <v>650</v>
      </c>
      <c r="H47" s="193">
        <f t="shared" si="90"/>
        <v>872.30799999999999</v>
      </c>
      <c r="I47" s="193">
        <f t="shared" si="90"/>
        <v>445.56</v>
      </c>
      <c r="J47" s="193">
        <f t="shared" si="90"/>
        <v>2.3E-2</v>
      </c>
      <c r="K47" s="193">
        <f t="shared" si="90"/>
        <v>0</v>
      </c>
      <c r="L47" s="194">
        <f t="shared" si="78"/>
        <v>1967.8910000000001</v>
      </c>
      <c r="M47" s="194">
        <f t="shared" si="79"/>
        <v>327.98200000000003</v>
      </c>
      <c r="N47" s="193">
        <f t="shared" si="91"/>
        <v>0</v>
      </c>
      <c r="O47" s="193">
        <f t="shared" si="91"/>
        <v>0</v>
      </c>
      <c r="P47" s="193">
        <f t="shared" si="91"/>
        <v>84.623000000000005</v>
      </c>
      <c r="Q47" s="193">
        <f t="shared" si="91"/>
        <v>84.623000000000005</v>
      </c>
      <c r="R47" s="193">
        <f t="shared" si="91"/>
        <v>84.623000000000005</v>
      </c>
      <c r="S47" s="193">
        <f t="shared" si="91"/>
        <v>983.59500000000003</v>
      </c>
      <c r="T47" s="194">
        <f>SUM(N47:S47)</f>
        <v>1237.4639999999999</v>
      </c>
      <c r="U47" s="194">
        <f>T47+L47</f>
        <v>3205.355</v>
      </c>
      <c r="V47" s="171">
        <f t="shared" si="92"/>
        <v>3205.355</v>
      </c>
      <c r="W47" s="192">
        <f>V47-U47</f>
        <v>0</v>
      </c>
    </row>
    <row r="48" spans="1:25" s="206" customFormat="1" ht="18" customHeight="1">
      <c r="A48" s="610"/>
      <c r="B48" s="581"/>
      <c r="C48" s="581"/>
      <c r="D48" s="178" t="str">
        <f>серпень!D48</f>
        <v>касові нат.п-ки 2025</v>
      </c>
      <c r="E48" s="179">
        <f t="shared" ref="E48" si="93">E65+E170+E215</f>
        <v>0</v>
      </c>
      <c r="F48" s="264">
        <f>F95+F140+F170+F215</f>
        <v>0</v>
      </c>
      <c r="G48" s="264">
        <f t="shared" ref="G48:K48" si="94">G95+G140+G170+G215</f>
        <v>193.28</v>
      </c>
      <c r="H48" s="264">
        <f t="shared" si="94"/>
        <v>254.357</v>
      </c>
      <c r="I48" s="264">
        <f t="shared" si="94"/>
        <v>116.5</v>
      </c>
      <c r="J48" s="264">
        <f>J95+J140+J170+J215</f>
        <v>-77.2</v>
      </c>
      <c r="K48" s="264">
        <f t="shared" si="94"/>
        <v>0</v>
      </c>
      <c r="L48" s="325">
        <f t="shared" si="78"/>
        <v>486.93700000000001</v>
      </c>
      <c r="M48" s="325">
        <f t="shared" si="79"/>
        <v>81.156000000000006</v>
      </c>
      <c r="N48" s="264">
        <f>N95+N140+N170+N215</f>
        <v>-92.896000000000001</v>
      </c>
      <c r="O48" s="264">
        <f t="shared" ref="O48:S48" si="95">O95+O140+O170+O215</f>
        <v>0</v>
      </c>
      <c r="P48" s="264">
        <f t="shared" si="95"/>
        <v>0</v>
      </c>
      <c r="Q48" s="264">
        <f t="shared" si="95"/>
        <v>0</v>
      </c>
      <c r="R48" s="264">
        <f t="shared" si="95"/>
        <v>0</v>
      </c>
      <c r="S48" s="264">
        <f t="shared" si="95"/>
        <v>428.2</v>
      </c>
      <c r="T48" s="325">
        <f>SUM(N48:S48)</f>
        <v>335.30399999999997</v>
      </c>
      <c r="U48" s="325">
        <f>T48+L48</f>
        <v>822.24099999999999</v>
      </c>
      <c r="V48" s="260">
        <f t="shared" ref="V48" si="96">V80+V95+V110+V125+V140+V155+V170+V215</f>
        <v>758.05799999999999</v>
      </c>
      <c r="W48" s="184">
        <f>V48-U48</f>
        <v>-64.2</v>
      </c>
      <c r="X48" s="206">
        <f>U41-U48</f>
        <v>0</v>
      </c>
      <c r="Y48" s="176">
        <f>E48-X48</f>
        <v>0</v>
      </c>
    </row>
    <row r="49" spans="1:25" s="206" customFormat="1" ht="18" customHeight="1">
      <c r="A49" s="610"/>
      <c r="B49" s="581"/>
      <c r="C49" s="581"/>
      <c r="D49" s="187" t="str">
        <f>серпень!D49</f>
        <v>тариф, грн.</v>
      </c>
      <c r="E49" s="188" t="e">
        <f t="shared" ref="E49:S49" si="97">E50/E48*1000</f>
        <v>#DIV/0!</v>
      </c>
      <c r="F49" s="188" t="e">
        <f t="shared" si="97"/>
        <v>#DIV/0!</v>
      </c>
      <c r="G49" s="188">
        <f t="shared" si="97"/>
        <v>3362.9969999999998</v>
      </c>
      <c r="H49" s="188">
        <f t="shared" si="97"/>
        <v>3429.4630000000002</v>
      </c>
      <c r="I49" s="188">
        <f>I50/I48*1000</f>
        <v>3824.549</v>
      </c>
      <c r="J49" s="188">
        <f>J50/J48*1000</f>
        <v>1998.251</v>
      </c>
      <c r="K49" s="188" t="e">
        <f t="shared" si="97"/>
        <v>#DIV/0!</v>
      </c>
      <c r="L49" s="188">
        <f t="shared" si="97"/>
        <v>3898.5059999999999</v>
      </c>
      <c r="M49" s="188">
        <f t="shared" si="97"/>
        <v>3898.5160000000001</v>
      </c>
      <c r="N49" s="188">
        <f t="shared" si="97"/>
        <v>2184.357</v>
      </c>
      <c r="O49" s="188" t="e">
        <f t="shared" si="97"/>
        <v>#DIV/0!</v>
      </c>
      <c r="P49" s="188" t="e">
        <f t="shared" si="97"/>
        <v>#DIV/0!</v>
      </c>
      <c r="Q49" s="188" t="e">
        <f t="shared" si="97"/>
        <v>#DIV/0!</v>
      </c>
      <c r="R49" s="188" t="e">
        <f t="shared" si="97"/>
        <v>#DIV/0!</v>
      </c>
      <c r="S49" s="188">
        <f t="shared" si="97"/>
        <v>3493.5169999999998</v>
      </c>
      <c r="T49" s="188">
        <f>T50/T48*1000</f>
        <v>4868.2449999999999</v>
      </c>
      <c r="U49" s="188">
        <f>U50/U48*1000</f>
        <v>4293.9589999999998</v>
      </c>
      <c r="V49" s="188">
        <f>V50/V48*1000</f>
        <v>4228.3770000000004</v>
      </c>
      <c r="W49" s="189">
        <f>W50/W48*1000</f>
        <v>5067.1959999999999</v>
      </c>
    </row>
    <row r="50" spans="1:25" s="176" customFormat="1" ht="18" customHeight="1">
      <c r="A50" s="610"/>
      <c r="B50" s="581"/>
      <c r="C50" s="581"/>
      <c r="D50" s="198" t="str">
        <f>серпень!D50</f>
        <v>касові видатки, тис.грн.</v>
      </c>
      <c r="E50" s="199">
        <f t="shared" ref="E50" si="98">E67+E172+E217</f>
        <v>0</v>
      </c>
      <c r="F50" s="199">
        <f>F67+F172+F217</f>
        <v>0</v>
      </c>
      <c r="G50" s="199">
        <f t="shared" ref="F50:K52" si="99">G67+G172+G217</f>
        <v>650</v>
      </c>
      <c r="H50" s="199">
        <f t="shared" si="99"/>
        <v>872.30799999999999</v>
      </c>
      <c r="I50" s="199">
        <f t="shared" si="99"/>
        <v>445.56</v>
      </c>
      <c r="J50" s="199">
        <f t="shared" si="99"/>
        <v>-154.26499999999999</v>
      </c>
      <c r="K50" s="199">
        <f t="shared" si="99"/>
        <v>84.724000000000004</v>
      </c>
      <c r="L50" s="199">
        <f>SUM(F50:K50)</f>
        <v>1898.327</v>
      </c>
      <c r="M50" s="199">
        <f>L50/6</f>
        <v>316.38799999999998</v>
      </c>
      <c r="N50" s="199">
        <f>N67+N172+N217</f>
        <v>-202.91800000000001</v>
      </c>
      <c r="O50" s="199">
        <f t="shared" ref="O50:S50" si="100">O67+O172+O217</f>
        <v>84.724000000000004</v>
      </c>
      <c r="P50" s="199">
        <f t="shared" si="100"/>
        <v>84.724000000000004</v>
      </c>
      <c r="Q50" s="199">
        <f t="shared" si="100"/>
        <v>84.944000000000003</v>
      </c>
      <c r="R50" s="199">
        <f t="shared" si="100"/>
        <v>84.944000000000003</v>
      </c>
      <c r="S50" s="199">
        <f t="shared" si="100"/>
        <v>1495.924</v>
      </c>
      <c r="T50" s="199">
        <f>SUM(N50:S50)</f>
        <v>1632.3420000000001</v>
      </c>
      <c r="U50" s="199">
        <f>T50+L50</f>
        <v>3530.6689999999999</v>
      </c>
      <c r="V50" s="175">
        <f>V67+V172+V217</f>
        <v>3205.355</v>
      </c>
      <c r="W50" s="200">
        <f>V50-U50</f>
        <v>-325.31400000000002</v>
      </c>
      <c r="X50" s="176">
        <f>U45-U50</f>
        <v>0</v>
      </c>
      <c r="Y50" s="176">
        <f>E50-X50</f>
        <v>0</v>
      </c>
    </row>
    <row r="51" spans="1:25" s="176" customFormat="1" ht="18" customHeight="1">
      <c r="A51" s="610"/>
      <c r="B51" s="581"/>
      <c r="C51" s="581"/>
      <c r="D51" s="201" t="str">
        <f>серпень!D51</f>
        <v>дотація</v>
      </c>
      <c r="E51" s="199"/>
      <c r="F51" s="199">
        <f>F68+F173+F218</f>
        <v>0</v>
      </c>
      <c r="G51" s="199">
        <f t="shared" si="99"/>
        <v>0</v>
      </c>
      <c r="H51" s="199">
        <f t="shared" si="99"/>
        <v>0</v>
      </c>
      <c r="I51" s="199">
        <f t="shared" si="99"/>
        <v>0</v>
      </c>
      <c r="J51" s="199">
        <f t="shared" si="99"/>
        <v>0</v>
      </c>
      <c r="K51" s="199">
        <f t="shared" si="99"/>
        <v>0</v>
      </c>
      <c r="L51" s="199">
        <f>SUM(F51:K51)</f>
        <v>0</v>
      </c>
      <c r="M51" s="199">
        <f>L51/6</f>
        <v>0</v>
      </c>
      <c r="N51" s="199">
        <f t="shared" ref="N51:S52" si="101">N68+N173+N218</f>
        <v>0</v>
      </c>
      <c r="O51" s="199">
        <f t="shared" si="101"/>
        <v>0</v>
      </c>
      <c r="P51" s="199">
        <f t="shared" si="101"/>
        <v>0</v>
      </c>
      <c r="Q51" s="199">
        <f t="shared" si="101"/>
        <v>0</v>
      </c>
      <c r="R51" s="199">
        <f t="shared" si="101"/>
        <v>0</v>
      </c>
      <c r="S51" s="199">
        <f t="shared" si="101"/>
        <v>0</v>
      </c>
      <c r="T51" s="199">
        <f>SUM(N51:S51)</f>
        <v>0</v>
      </c>
      <c r="U51" s="199">
        <f>T51+L51</f>
        <v>0</v>
      </c>
      <c r="V51" s="175">
        <f>V68+V173+V218</f>
        <v>0</v>
      </c>
      <c r="W51" s="200">
        <f>V51-U51</f>
        <v>0</v>
      </c>
      <c r="X51" s="176">
        <f>U46-U51</f>
        <v>0</v>
      </c>
    </row>
    <row r="52" spans="1:25" s="176" customFormat="1" ht="18" customHeight="1">
      <c r="A52" s="610"/>
      <c r="B52" s="581"/>
      <c r="C52" s="581"/>
      <c r="D52" s="201" t="str">
        <f>серпень!D52</f>
        <v xml:space="preserve">місцевий </v>
      </c>
      <c r="E52" s="199"/>
      <c r="F52" s="199">
        <f t="shared" si="99"/>
        <v>0</v>
      </c>
      <c r="G52" s="199">
        <f t="shared" si="99"/>
        <v>650</v>
      </c>
      <c r="H52" s="199">
        <f t="shared" si="99"/>
        <v>872.30799999999999</v>
      </c>
      <c r="I52" s="199">
        <f>I69+I174+I219</f>
        <v>445.56</v>
      </c>
      <c r="J52" s="199">
        <f t="shared" si="99"/>
        <v>-154.26499999999999</v>
      </c>
      <c r="K52" s="199">
        <f t="shared" si="99"/>
        <v>84.724000000000004</v>
      </c>
      <c r="L52" s="199">
        <f>SUM(F52:K52)</f>
        <v>1898.327</v>
      </c>
      <c r="M52" s="199">
        <f>L52/6</f>
        <v>316.38799999999998</v>
      </c>
      <c r="N52" s="199">
        <f t="shared" si="101"/>
        <v>-202.91800000000001</v>
      </c>
      <c r="O52" s="199">
        <f t="shared" si="101"/>
        <v>84.724000000000004</v>
      </c>
      <c r="P52" s="199">
        <f t="shared" si="101"/>
        <v>84.724000000000004</v>
      </c>
      <c r="Q52" s="199">
        <f t="shared" si="101"/>
        <v>84.944000000000003</v>
      </c>
      <c r="R52" s="199">
        <f t="shared" si="101"/>
        <v>84.944000000000003</v>
      </c>
      <c r="S52" s="199">
        <f t="shared" si="101"/>
        <v>1495.924</v>
      </c>
      <c r="T52" s="199">
        <f>SUM(N52:S52)</f>
        <v>1632.3420000000001</v>
      </c>
      <c r="U52" s="199">
        <f>T52+L52</f>
        <v>3530.6689999999999</v>
      </c>
      <c r="V52" s="175">
        <f>V69+V174+V219</f>
        <v>3205.355</v>
      </c>
      <c r="W52" s="200">
        <f>V52-U52</f>
        <v>-325.31400000000002</v>
      </c>
      <c r="X52" s="176">
        <f>U47-U52</f>
        <v>-325.31400000000002</v>
      </c>
    </row>
    <row r="53" spans="1:25" s="205" customFormat="1" ht="18" customHeight="1">
      <c r="A53" s="610"/>
      <c r="B53" s="581"/>
      <c r="C53" s="581"/>
      <c r="D53" s="202" t="str">
        <f>серпень!D53</f>
        <v>план</v>
      </c>
      <c r="E53" s="203"/>
      <c r="F53" s="203">
        <f t="shared" ref="F53:K53" si="102">F47</f>
        <v>0</v>
      </c>
      <c r="G53" s="203">
        <f t="shared" si="102"/>
        <v>650</v>
      </c>
      <c r="H53" s="203">
        <f t="shared" si="102"/>
        <v>872.30799999999999</v>
      </c>
      <c r="I53" s="203">
        <f t="shared" si="102"/>
        <v>445.56</v>
      </c>
      <c r="J53" s="203">
        <f t="shared" si="102"/>
        <v>2.3E-2</v>
      </c>
      <c r="K53" s="203">
        <f t="shared" si="102"/>
        <v>0</v>
      </c>
      <c r="L53" s="203">
        <f>SUM(F53:K53)</f>
        <v>1967.8910000000001</v>
      </c>
      <c r="M53" s="203">
        <f>L53/6</f>
        <v>327.98200000000003</v>
      </c>
      <c r="N53" s="203">
        <f>N47+N46</f>
        <v>0</v>
      </c>
      <c r="O53" s="203">
        <f t="shared" ref="O53:S53" si="103">O47+O46</f>
        <v>0</v>
      </c>
      <c r="P53" s="203">
        <f t="shared" si="103"/>
        <v>84.623000000000005</v>
      </c>
      <c r="Q53" s="203">
        <f t="shared" si="103"/>
        <v>84.623000000000005</v>
      </c>
      <c r="R53" s="203">
        <f t="shared" si="103"/>
        <v>84.623000000000005</v>
      </c>
      <c r="S53" s="203">
        <f t="shared" si="103"/>
        <v>983.59500000000003</v>
      </c>
      <c r="T53" s="203">
        <f>SUM(N53:S53)</f>
        <v>1237.4639999999999</v>
      </c>
      <c r="U53" s="203">
        <f>T53+L53</f>
        <v>3205.355</v>
      </c>
      <c r="V53" s="204">
        <f>V47+V46</f>
        <v>3205.355</v>
      </c>
      <c r="W53" s="203">
        <f>V53-U53</f>
        <v>0</v>
      </c>
    </row>
    <row r="54" spans="1:25" s="205" customFormat="1" ht="18" customHeight="1">
      <c r="A54" s="610"/>
      <c r="B54" s="581"/>
      <c r="C54" s="581"/>
      <c r="D54" s="202" t="str">
        <f>серпень!D54</f>
        <v xml:space="preserve">відхилення </v>
      </c>
      <c r="E54" s="203"/>
      <c r="F54" s="203">
        <f t="shared" ref="F54:K54" si="104">F50-F53</f>
        <v>0</v>
      </c>
      <c r="G54" s="203">
        <f t="shared" si="104"/>
        <v>0</v>
      </c>
      <c r="H54" s="203">
        <f t="shared" si="104"/>
        <v>0</v>
      </c>
      <c r="I54" s="203">
        <f t="shared" si="104"/>
        <v>0</v>
      </c>
      <c r="J54" s="203">
        <f t="shared" si="104"/>
        <v>-154.28800000000001</v>
      </c>
      <c r="K54" s="203">
        <f t="shared" si="104"/>
        <v>84.724000000000004</v>
      </c>
      <c r="L54" s="203"/>
      <c r="M54" s="203"/>
      <c r="N54" s="203">
        <f t="shared" ref="N54:S54" si="105">N50-N53</f>
        <v>-202.91800000000001</v>
      </c>
      <c r="O54" s="203">
        <f t="shared" si="105"/>
        <v>84.724000000000004</v>
      </c>
      <c r="P54" s="203">
        <f t="shared" si="105"/>
        <v>0.10100000000000001</v>
      </c>
      <c r="Q54" s="203">
        <f t="shared" si="105"/>
        <v>0.32100000000000001</v>
      </c>
      <c r="R54" s="203">
        <f t="shared" si="105"/>
        <v>0.32100000000000001</v>
      </c>
      <c r="S54" s="203">
        <f t="shared" si="105"/>
        <v>512.32899999999995</v>
      </c>
      <c r="T54" s="203"/>
      <c r="U54" s="203"/>
      <c r="V54" s="203"/>
      <c r="W54" s="203"/>
    </row>
    <row r="55" spans="1:25" s="205" customFormat="1" ht="18" customHeight="1">
      <c r="A55" s="610"/>
      <c r="B55" s="581"/>
      <c r="C55" s="581"/>
      <c r="D55" s="202" t="str">
        <f>серпень!D55</f>
        <v>відхилення з наростаючим</v>
      </c>
      <c r="E55" s="203"/>
      <c r="F55" s="203">
        <f>F54</f>
        <v>0</v>
      </c>
      <c r="G55" s="203">
        <f>G54+F55</f>
        <v>0</v>
      </c>
      <c r="H55" s="203">
        <f>H54+G55</f>
        <v>0</v>
      </c>
      <c r="I55" s="203">
        <f>I54+H55</f>
        <v>0</v>
      </c>
      <c r="J55" s="203">
        <f>J54+I55</f>
        <v>-154.28800000000001</v>
      </c>
      <c r="K55" s="203">
        <f>K54+J55</f>
        <v>-69.563999999999993</v>
      </c>
      <c r="L55" s="203"/>
      <c r="M55" s="203"/>
      <c r="N55" s="203">
        <f>N54+K55</f>
        <v>-272.48200000000003</v>
      </c>
      <c r="O55" s="203">
        <f>O54+N55</f>
        <v>-187.75800000000001</v>
      </c>
      <c r="P55" s="203">
        <f>P54+O55</f>
        <v>-187.65700000000001</v>
      </c>
      <c r="Q55" s="203">
        <f>Q54+P55</f>
        <v>-187.33600000000001</v>
      </c>
      <c r="R55" s="203">
        <f>R54+Q55</f>
        <v>-187.01499999999999</v>
      </c>
      <c r="S55" s="203">
        <f>S54+R55</f>
        <v>325.31400000000002</v>
      </c>
      <c r="T55" s="203"/>
      <c r="U55" s="203"/>
      <c r="V55" s="203"/>
      <c r="W55" s="203"/>
    </row>
    <row r="56" spans="1:25" s="209" customFormat="1" ht="18" customHeight="1">
      <c r="A56" s="610"/>
      <c r="B56" s="580" t="s">
        <v>53</v>
      </c>
      <c r="C56" s="575"/>
      <c r="D56" s="178" t="str">
        <f>серпень!D56</f>
        <v>факт. нат.п-ки 2023</v>
      </c>
      <c r="E56" s="179"/>
      <c r="F56" s="180">
        <f t="shared" ref="F56:K57" si="106">F73+F88+F103+F118+F133+F148</f>
        <v>207</v>
      </c>
      <c r="G56" s="180">
        <f t="shared" si="106"/>
        <v>145.30000000000001</v>
      </c>
      <c r="H56" s="180">
        <f t="shared" si="106"/>
        <v>83</v>
      </c>
      <c r="I56" s="180">
        <f t="shared" si="106"/>
        <v>0.8</v>
      </c>
      <c r="J56" s="180">
        <f t="shared" si="106"/>
        <v>0.8</v>
      </c>
      <c r="K56" s="180">
        <f t="shared" si="106"/>
        <v>0.8</v>
      </c>
      <c r="L56" s="207">
        <f>SUM(F56:K56)</f>
        <v>437.7</v>
      </c>
      <c r="M56" s="207">
        <f>L56/6</f>
        <v>73</v>
      </c>
      <c r="N56" s="180">
        <f t="shared" ref="N56:S57" si="107">N73+N88+N103+N118+N133+N148</f>
        <v>0.8</v>
      </c>
      <c r="O56" s="180">
        <f t="shared" si="107"/>
        <v>0.9</v>
      </c>
      <c r="P56" s="180">
        <f t="shared" si="107"/>
        <v>0.1</v>
      </c>
      <c r="Q56" s="180">
        <f t="shared" si="107"/>
        <v>0.8</v>
      </c>
      <c r="R56" s="180">
        <f t="shared" si="107"/>
        <v>80.099999999999994</v>
      </c>
      <c r="S56" s="180">
        <f t="shared" si="107"/>
        <v>197.4</v>
      </c>
      <c r="T56" s="207">
        <f>SUM(N56:S56)</f>
        <v>280.10000000000002</v>
      </c>
      <c r="U56" s="208">
        <f>T56+L56</f>
        <v>717.8</v>
      </c>
      <c r="V56" s="183">
        <f>V88+V133</f>
        <v>708.8</v>
      </c>
      <c r="W56" s="184"/>
    </row>
    <row r="57" spans="1:25" s="209" customFormat="1" ht="18.649999999999999" customHeight="1">
      <c r="A57" s="610"/>
      <c r="B57" s="576"/>
      <c r="C57" s="577"/>
      <c r="D57" s="178" t="str">
        <f>серпень!D57</f>
        <v>факт. нат.п-ки 2024</v>
      </c>
      <c r="E57" s="179"/>
      <c r="F57" s="180">
        <f t="shared" si="106"/>
        <v>149</v>
      </c>
      <c r="G57" s="180">
        <f t="shared" si="106"/>
        <v>101.9</v>
      </c>
      <c r="H57" s="180">
        <f t="shared" si="106"/>
        <v>70.599999999999994</v>
      </c>
      <c r="I57" s="180">
        <f t="shared" si="106"/>
        <v>0.4</v>
      </c>
      <c r="J57" s="180">
        <f t="shared" si="106"/>
        <v>0.4</v>
      </c>
      <c r="K57" s="180">
        <f t="shared" si="106"/>
        <v>0.4</v>
      </c>
      <c r="L57" s="207">
        <f>SUM(F57:K57)</f>
        <v>322.7</v>
      </c>
      <c r="M57" s="207">
        <f>L57/6</f>
        <v>53.8</v>
      </c>
      <c r="N57" s="179">
        <f t="shared" si="107"/>
        <v>0.4</v>
      </c>
      <c r="O57" s="179">
        <f t="shared" si="107"/>
        <v>0.4</v>
      </c>
      <c r="P57" s="179">
        <f t="shared" si="107"/>
        <v>0.8</v>
      </c>
      <c r="Q57" s="179">
        <f t="shared" si="107"/>
        <v>0.8</v>
      </c>
      <c r="R57" s="179">
        <f t="shared" si="107"/>
        <v>214.2</v>
      </c>
      <c r="S57" s="179">
        <f t="shared" si="107"/>
        <v>264.8</v>
      </c>
      <c r="T57" s="207">
        <f>SUM(N57:S57)</f>
        <v>481.4</v>
      </c>
      <c r="U57" s="208">
        <f>T57+L57</f>
        <v>804.1</v>
      </c>
      <c r="V57" s="183">
        <f>V89+V134</f>
        <v>797.7</v>
      </c>
      <c r="W57" s="184"/>
    </row>
    <row r="58" spans="1:25" s="209" customFormat="1" ht="18" customHeight="1">
      <c r="A58" s="610"/>
      <c r="B58" s="576"/>
      <c r="C58" s="577"/>
      <c r="D58" s="178" t="str">
        <f>серпень!D58</f>
        <v>факт. нат.п-ки 2025</v>
      </c>
      <c r="E58" s="179"/>
      <c r="F58" s="415">
        <f>F90</f>
        <v>161.5</v>
      </c>
      <c r="G58" s="415">
        <f t="shared" ref="G58:K58" si="108">G90</f>
        <v>116.5</v>
      </c>
      <c r="H58" s="415">
        <f t="shared" si="108"/>
        <v>116</v>
      </c>
      <c r="I58" s="415">
        <f t="shared" si="108"/>
        <v>0</v>
      </c>
      <c r="J58" s="415">
        <f t="shared" si="108"/>
        <v>0</v>
      </c>
      <c r="K58" s="415">
        <f t="shared" si="108"/>
        <v>0</v>
      </c>
      <c r="L58" s="355">
        <f>SUM(F58:K58)</f>
        <v>394</v>
      </c>
      <c r="M58" s="355">
        <f>L58/6</f>
        <v>65.666667000000004</v>
      </c>
      <c r="N58" s="415">
        <f>N90</f>
        <v>0</v>
      </c>
      <c r="O58" s="415">
        <f t="shared" ref="O58:S58" si="109">O90</f>
        <v>0</v>
      </c>
      <c r="P58" s="415">
        <f t="shared" si="109"/>
        <v>0</v>
      </c>
      <c r="Q58" s="415">
        <f t="shared" si="109"/>
        <v>0</v>
      </c>
      <c r="R58" s="415">
        <f t="shared" si="109"/>
        <v>164.2</v>
      </c>
      <c r="S58" s="415">
        <f t="shared" si="109"/>
        <v>264</v>
      </c>
      <c r="T58" s="353">
        <f>SUM(N58:S58)</f>
        <v>428.2</v>
      </c>
      <c r="U58" s="354">
        <f>T58+L58</f>
        <v>822.2</v>
      </c>
      <c r="V58" s="233">
        <f>V90+V135</f>
        <v>748.3</v>
      </c>
      <c r="W58" s="184">
        <f>V58-U58</f>
        <v>-73.900000000000006</v>
      </c>
    </row>
    <row r="59" spans="1:25" s="209" customFormat="1" ht="18" customHeight="1">
      <c r="A59" s="610"/>
      <c r="B59" s="576"/>
      <c r="C59" s="577"/>
      <c r="D59" s="187" t="str">
        <f>серпень!D59</f>
        <v>тариф, грн.</v>
      </c>
      <c r="E59" s="188"/>
      <c r="F59" s="188">
        <f t="shared" ref="F59:S59" si="110">F60/F58*1000</f>
        <v>3095.6219999999998</v>
      </c>
      <c r="G59" s="188">
        <f t="shared" si="110"/>
        <v>3097.3049999999998</v>
      </c>
      <c r="H59" s="188">
        <f t="shared" si="110"/>
        <v>2815.569</v>
      </c>
      <c r="I59" s="188" t="e">
        <f>I60/I58*1000</f>
        <v>#DIV/0!</v>
      </c>
      <c r="J59" s="188" t="e">
        <f>J60/J58*1000</f>
        <v>#DIV/0!</v>
      </c>
      <c r="K59" s="188" t="e">
        <f t="shared" si="110"/>
        <v>#DIV/0!</v>
      </c>
      <c r="L59" s="188">
        <f t="shared" si="110"/>
        <v>3013.6680000000001</v>
      </c>
      <c r="M59" s="188">
        <f t="shared" si="110"/>
        <v>3013.6750000000002</v>
      </c>
      <c r="N59" s="188" t="e">
        <f t="shared" si="110"/>
        <v>#DIV/0!</v>
      </c>
      <c r="O59" s="188" t="e">
        <f t="shared" si="110"/>
        <v>#DIV/0!</v>
      </c>
      <c r="P59" s="188" t="e">
        <f t="shared" si="110"/>
        <v>#DIV/0!</v>
      </c>
      <c r="Q59" s="188" t="e">
        <f t="shared" si="110"/>
        <v>#DIV/0!</v>
      </c>
      <c r="R59" s="188">
        <f t="shared" si="110"/>
        <v>3096.37</v>
      </c>
      <c r="S59" s="188">
        <f t="shared" si="110"/>
        <v>3097.0149999999999</v>
      </c>
      <c r="T59" s="188">
        <f>T60/T58*1000</f>
        <v>3096.768</v>
      </c>
      <c r="U59" s="188">
        <f>U60/U58*1000</f>
        <v>3056.9459999999999</v>
      </c>
      <c r="V59" s="188">
        <f>V60/V58*1000</f>
        <v>2926.4720000000002</v>
      </c>
      <c r="W59" s="189">
        <f>W60/W58*1000</f>
        <v>4378.1059999999998</v>
      </c>
    </row>
    <row r="60" spans="1:25" s="209" customFormat="1" ht="18" customHeight="1">
      <c r="A60" s="610"/>
      <c r="B60" s="576"/>
      <c r="C60" s="577"/>
      <c r="D60" s="191" t="str">
        <f>серпень!D60</f>
        <v>сума, тис.грн.</v>
      </c>
      <c r="E60" s="192"/>
      <c r="F60" s="192">
        <f>F92+F137</f>
        <v>499.94299999999998</v>
      </c>
      <c r="G60" s="192">
        <f t="shared" ref="G60:K60" si="111">G92+G137</f>
        <v>360.83600000000001</v>
      </c>
      <c r="H60" s="192">
        <f t="shared" si="111"/>
        <v>326.60599999999999</v>
      </c>
      <c r="I60" s="192">
        <f t="shared" si="111"/>
        <v>0</v>
      </c>
      <c r="J60" s="192">
        <f t="shared" si="111"/>
        <v>0</v>
      </c>
      <c r="K60" s="192">
        <f t="shared" si="111"/>
        <v>0</v>
      </c>
      <c r="L60" s="192">
        <f t="shared" ref="L60:L65" si="112">SUM(F60:K60)</f>
        <v>1187.385</v>
      </c>
      <c r="M60" s="192">
        <f t="shared" ref="M60:M65" si="113">L60/6</f>
        <v>197.898</v>
      </c>
      <c r="N60" s="192">
        <f>N92+N137</f>
        <v>0</v>
      </c>
      <c r="O60" s="192">
        <f t="shared" ref="O60:S60" si="114">O92+O137</f>
        <v>0</v>
      </c>
      <c r="P60" s="192">
        <f t="shared" si="114"/>
        <v>0</v>
      </c>
      <c r="Q60" s="192">
        <f t="shared" si="114"/>
        <v>0</v>
      </c>
      <c r="R60" s="192">
        <f t="shared" si="114"/>
        <v>508.42399999999998</v>
      </c>
      <c r="S60" s="192">
        <f t="shared" si="114"/>
        <v>817.61199999999997</v>
      </c>
      <c r="T60" s="192">
        <f t="shared" ref="T60:T65" si="115">SUM(N60:S60)</f>
        <v>1326.0360000000001</v>
      </c>
      <c r="U60" s="192">
        <f t="shared" ref="U60:U65" si="116">T60+L60</f>
        <v>2513.4209999999998</v>
      </c>
      <c r="V60" s="192">
        <f t="shared" ref="V60" si="117">V92+V137</f>
        <v>2189.8789999999999</v>
      </c>
      <c r="W60" s="193">
        <f>V60-U60</f>
        <v>-323.54199999999997</v>
      </c>
    </row>
    <row r="61" spans="1:25" s="209" customFormat="1" ht="18" customHeight="1">
      <c r="A61" s="610"/>
      <c r="B61" s="576"/>
      <c r="C61" s="577"/>
      <c r="D61" s="174" t="str">
        <f>серпень!D61</f>
        <v>абоненська плата, тис.грн.</v>
      </c>
      <c r="E61" s="192"/>
      <c r="F61" s="192">
        <f>F77+F107+F122+F152</f>
        <v>84.403999999999996</v>
      </c>
      <c r="G61" s="192">
        <f t="shared" ref="G61:K61" si="118">G77+G107+G122+G152</f>
        <v>84.724000000000004</v>
      </c>
      <c r="H61" s="192">
        <f t="shared" si="118"/>
        <v>84.724000000000004</v>
      </c>
      <c r="I61" s="192">
        <f t="shared" si="118"/>
        <v>84.724000000000004</v>
      </c>
      <c r="J61" s="192">
        <f t="shared" si="118"/>
        <v>84.724000000000004</v>
      </c>
      <c r="K61" s="192">
        <f t="shared" si="118"/>
        <v>84.724000000000004</v>
      </c>
      <c r="L61" s="192">
        <f t="shared" si="112"/>
        <v>508.024</v>
      </c>
      <c r="M61" s="192">
        <f t="shared" si="113"/>
        <v>84.671000000000006</v>
      </c>
      <c r="N61" s="192">
        <f>N77+N107+N122+N152</f>
        <v>84.724000000000004</v>
      </c>
      <c r="O61" s="192">
        <f t="shared" ref="O61:S61" si="119">O77+O107+O122+O152</f>
        <v>84.724000000000004</v>
      </c>
      <c r="P61" s="192">
        <f t="shared" si="119"/>
        <v>84.944000000000003</v>
      </c>
      <c r="Q61" s="192">
        <f t="shared" si="119"/>
        <v>84.944000000000003</v>
      </c>
      <c r="R61" s="192">
        <f t="shared" si="119"/>
        <v>84.944000000000003</v>
      </c>
      <c r="S61" s="192">
        <f t="shared" si="119"/>
        <v>84.944000000000003</v>
      </c>
      <c r="T61" s="192">
        <f t="shared" si="115"/>
        <v>509.22399999999999</v>
      </c>
      <c r="U61" s="192">
        <f t="shared" si="116"/>
        <v>1017.248</v>
      </c>
      <c r="V61" s="192">
        <f t="shared" ref="V61" si="120">V77+V107+V122+V152</f>
        <v>1015.476</v>
      </c>
      <c r="W61" s="193">
        <f t="shared" ref="W61:W63" si="121">V61-U61</f>
        <v>-1.772</v>
      </c>
    </row>
    <row r="62" spans="1:25" s="209" customFormat="1" ht="18" customHeight="1">
      <c r="A62" s="610"/>
      <c r="B62" s="576"/>
      <c r="C62" s="577"/>
      <c r="D62" s="174" t="str">
        <f>серпень!D62</f>
        <v>разом сума тис. грн+абонплата</v>
      </c>
      <c r="E62" s="192"/>
      <c r="F62" s="192">
        <f>F60+F61</f>
        <v>584.34699999999998</v>
      </c>
      <c r="G62" s="192">
        <f t="shared" ref="G62:K62" si="122">G60+G61</f>
        <v>445.56</v>
      </c>
      <c r="H62" s="192">
        <f t="shared" si="122"/>
        <v>411.33</v>
      </c>
      <c r="I62" s="192">
        <f t="shared" si="122"/>
        <v>84.724000000000004</v>
      </c>
      <c r="J62" s="192">
        <f t="shared" si="122"/>
        <v>84.724000000000004</v>
      </c>
      <c r="K62" s="192">
        <f t="shared" si="122"/>
        <v>84.724000000000004</v>
      </c>
      <c r="L62" s="192">
        <f t="shared" si="112"/>
        <v>1695.4090000000001</v>
      </c>
      <c r="M62" s="192">
        <f t="shared" si="113"/>
        <v>282.56799999999998</v>
      </c>
      <c r="N62" s="192">
        <f t="shared" ref="N62:S62" si="123">N60+N61</f>
        <v>84.724000000000004</v>
      </c>
      <c r="O62" s="192">
        <f t="shared" si="123"/>
        <v>84.724000000000004</v>
      </c>
      <c r="P62" s="192">
        <f t="shared" si="123"/>
        <v>84.944000000000003</v>
      </c>
      <c r="Q62" s="192">
        <f t="shared" si="123"/>
        <v>84.944000000000003</v>
      </c>
      <c r="R62" s="192">
        <f t="shared" si="123"/>
        <v>593.36800000000005</v>
      </c>
      <c r="S62" s="192">
        <f t="shared" si="123"/>
        <v>902.55600000000004</v>
      </c>
      <c r="T62" s="192">
        <f t="shared" si="115"/>
        <v>1835.26</v>
      </c>
      <c r="U62" s="192">
        <f t="shared" si="116"/>
        <v>3530.6689999999999</v>
      </c>
      <c r="V62" s="192">
        <f t="shared" ref="V62" si="124">V60+V61</f>
        <v>3205.355</v>
      </c>
      <c r="W62" s="193">
        <f t="shared" si="121"/>
        <v>-325.31400000000002</v>
      </c>
    </row>
    <row r="63" spans="1:25" s="209" customFormat="1" ht="18" customHeight="1">
      <c r="A63" s="610"/>
      <c r="B63" s="576"/>
      <c r="C63" s="577"/>
      <c r="D63" s="174" t="str">
        <f>серпень!D63</f>
        <v>дотація</v>
      </c>
      <c r="E63" s="210"/>
      <c r="F63" s="192">
        <f t="shared" ref="F63:K64" si="125">F78+F93+F108+F123+F138+F153</f>
        <v>0</v>
      </c>
      <c r="G63" s="192">
        <f t="shared" si="125"/>
        <v>0</v>
      </c>
      <c r="H63" s="192">
        <f t="shared" si="125"/>
        <v>0</v>
      </c>
      <c r="I63" s="192">
        <f t="shared" si="125"/>
        <v>0</v>
      </c>
      <c r="J63" s="192">
        <f t="shared" si="125"/>
        <v>0</v>
      </c>
      <c r="K63" s="192">
        <f t="shared" si="125"/>
        <v>0</v>
      </c>
      <c r="L63" s="192">
        <f t="shared" si="112"/>
        <v>0</v>
      </c>
      <c r="M63" s="192">
        <f t="shared" si="113"/>
        <v>0</v>
      </c>
      <c r="N63" s="192">
        <f t="shared" ref="N63:S64" si="126">N78+N93+N108+N123+N138+N153</f>
        <v>0</v>
      </c>
      <c r="O63" s="192">
        <f t="shared" si="126"/>
        <v>0</v>
      </c>
      <c r="P63" s="192">
        <f t="shared" si="126"/>
        <v>0</v>
      </c>
      <c r="Q63" s="192">
        <f t="shared" si="126"/>
        <v>0</v>
      </c>
      <c r="R63" s="192">
        <f t="shared" si="126"/>
        <v>0</v>
      </c>
      <c r="S63" s="192">
        <f t="shared" si="126"/>
        <v>0</v>
      </c>
      <c r="T63" s="192">
        <f t="shared" si="115"/>
        <v>0</v>
      </c>
      <c r="U63" s="192">
        <f t="shared" si="116"/>
        <v>0</v>
      </c>
      <c r="V63" s="192">
        <f t="shared" ref="V63:V64" si="127">V78+V93+V108+V123+V138+V153</f>
        <v>0</v>
      </c>
      <c r="W63" s="211">
        <f t="shared" si="121"/>
        <v>0</v>
      </c>
    </row>
    <row r="64" spans="1:25" s="209" customFormat="1" ht="18" customHeight="1">
      <c r="A64" s="610"/>
      <c r="B64" s="576"/>
      <c r="C64" s="577"/>
      <c r="D64" s="174" t="str">
        <f>серпень!D64</f>
        <v>місцевий (план), тис.грн</v>
      </c>
      <c r="E64" s="210"/>
      <c r="F64" s="192">
        <f>F79+F94+F109+F124+F139+F154</f>
        <v>0</v>
      </c>
      <c r="G64" s="192">
        <f t="shared" si="125"/>
        <v>650</v>
      </c>
      <c r="H64" s="192">
        <f t="shared" si="125"/>
        <v>872.30799999999999</v>
      </c>
      <c r="I64" s="192">
        <f t="shared" si="125"/>
        <v>445.56</v>
      </c>
      <c r="J64" s="192">
        <f t="shared" si="125"/>
        <v>2.3E-2</v>
      </c>
      <c r="K64" s="192">
        <f t="shared" si="125"/>
        <v>0</v>
      </c>
      <c r="L64" s="192">
        <f t="shared" si="112"/>
        <v>1967.8910000000001</v>
      </c>
      <c r="M64" s="192">
        <f t="shared" si="113"/>
        <v>327.98200000000003</v>
      </c>
      <c r="N64" s="192">
        <f t="shared" si="126"/>
        <v>0</v>
      </c>
      <c r="O64" s="192">
        <f t="shared" si="126"/>
        <v>0</v>
      </c>
      <c r="P64" s="192">
        <f t="shared" si="126"/>
        <v>84.623000000000005</v>
      </c>
      <c r="Q64" s="192">
        <f t="shared" si="126"/>
        <v>84.623000000000005</v>
      </c>
      <c r="R64" s="192">
        <f t="shared" si="126"/>
        <v>84.623000000000005</v>
      </c>
      <c r="S64" s="192">
        <f t="shared" si="126"/>
        <v>983.59500000000003</v>
      </c>
      <c r="T64" s="192">
        <f t="shared" si="115"/>
        <v>1237.4639999999999</v>
      </c>
      <c r="U64" s="192">
        <f t="shared" si="116"/>
        <v>3205.355</v>
      </c>
      <c r="V64" s="192">
        <f t="shared" si="127"/>
        <v>3205.355</v>
      </c>
      <c r="W64" s="193">
        <f>V64-U64</f>
        <v>0</v>
      </c>
    </row>
    <row r="65" spans="1:24" s="209" customFormat="1" ht="18" customHeight="1">
      <c r="A65" s="610"/>
      <c r="B65" s="576"/>
      <c r="C65" s="577"/>
      <c r="D65" s="178" t="str">
        <f>серпень!D65</f>
        <v>касові нат.п-ки 2025</v>
      </c>
      <c r="E65" s="260">
        <f>E80+E95+E110+E125+E140+E155</f>
        <v>0</v>
      </c>
      <c r="F65" s="414">
        <f>F95</f>
        <v>0</v>
      </c>
      <c r="G65" s="414">
        <f t="shared" ref="G65:K65" si="128">G95</f>
        <v>193.3</v>
      </c>
      <c r="H65" s="414">
        <f t="shared" si="128"/>
        <v>254.4</v>
      </c>
      <c r="I65" s="414">
        <f t="shared" si="128"/>
        <v>116.5</v>
      </c>
      <c r="J65" s="414">
        <f t="shared" si="128"/>
        <v>-77.2</v>
      </c>
      <c r="K65" s="414">
        <f t="shared" si="128"/>
        <v>0</v>
      </c>
      <c r="L65" s="337">
        <f t="shared" si="112"/>
        <v>487</v>
      </c>
      <c r="M65" s="337">
        <f t="shared" si="113"/>
        <v>81.166669999999996</v>
      </c>
      <c r="N65" s="414">
        <f>N95</f>
        <v>-92.9</v>
      </c>
      <c r="O65" s="414">
        <f t="shared" ref="O65:S65" si="129">O95</f>
        <v>0</v>
      </c>
      <c r="P65" s="414">
        <f t="shared" si="129"/>
        <v>0</v>
      </c>
      <c r="Q65" s="414">
        <f t="shared" si="129"/>
        <v>0</v>
      </c>
      <c r="R65" s="414">
        <f t="shared" si="129"/>
        <v>0</v>
      </c>
      <c r="S65" s="414">
        <f t="shared" si="129"/>
        <v>428.2</v>
      </c>
      <c r="T65" s="337">
        <f t="shared" si="115"/>
        <v>335.3</v>
      </c>
      <c r="U65" s="337">
        <f t="shared" si="116"/>
        <v>822.3</v>
      </c>
      <c r="V65" s="414">
        <f t="shared" ref="V65" si="130">V95</f>
        <v>748.3</v>
      </c>
      <c r="W65" s="184">
        <f>V65-U65</f>
        <v>-74</v>
      </c>
      <c r="X65" s="209">
        <f>U58-U65</f>
        <v>-0.1</v>
      </c>
    </row>
    <row r="66" spans="1:24" s="209" customFormat="1" ht="18" customHeight="1">
      <c r="A66" s="610"/>
      <c r="B66" s="576"/>
      <c r="C66" s="577"/>
      <c r="D66" s="187" t="str">
        <f>серпень!D66</f>
        <v>тариф, грн.</v>
      </c>
      <c r="E66" s="188" t="e">
        <f t="shared" ref="E66:S66" si="131">E67/E65*1000</f>
        <v>#DIV/0!</v>
      </c>
      <c r="F66" s="188" t="e">
        <f t="shared" si="131"/>
        <v>#DIV/0!</v>
      </c>
      <c r="G66" s="188">
        <f t="shared" si="131"/>
        <v>3362.6489999999999</v>
      </c>
      <c r="H66" s="188">
        <f t="shared" si="131"/>
        <v>3428.884</v>
      </c>
      <c r="I66" s="188">
        <f>I67/I65*1000</f>
        <v>3824.549</v>
      </c>
      <c r="J66" s="188">
        <f>J67/J65*1000</f>
        <v>1998.251</v>
      </c>
      <c r="K66" s="188" t="e">
        <f t="shared" si="131"/>
        <v>#DIV/0!</v>
      </c>
      <c r="L66" s="188">
        <f t="shared" si="131"/>
        <v>3898.002</v>
      </c>
      <c r="M66" s="188">
        <f t="shared" si="131"/>
        <v>3898.0039999999999</v>
      </c>
      <c r="N66" s="188">
        <f t="shared" si="131"/>
        <v>2184.2629999999999</v>
      </c>
      <c r="O66" s="188" t="e">
        <f t="shared" si="131"/>
        <v>#DIV/0!</v>
      </c>
      <c r="P66" s="188" t="e">
        <f t="shared" si="131"/>
        <v>#DIV/0!</v>
      </c>
      <c r="Q66" s="188" t="e">
        <f t="shared" si="131"/>
        <v>#DIV/0!</v>
      </c>
      <c r="R66" s="188" t="e">
        <f t="shared" si="131"/>
        <v>#DIV/0!</v>
      </c>
      <c r="S66" s="188">
        <f t="shared" si="131"/>
        <v>3493.5169999999998</v>
      </c>
      <c r="T66" s="188">
        <f>T67/T65*1000</f>
        <v>4868.3029999999999</v>
      </c>
      <c r="U66" s="188">
        <f>U67/U65*1000</f>
        <v>4293.6509999999998</v>
      </c>
      <c r="V66" s="188">
        <f>V67/V65*1000</f>
        <v>4283.5159999999996</v>
      </c>
      <c r="W66" s="189">
        <f>W67/W65*1000</f>
        <v>4396.1350000000002</v>
      </c>
    </row>
    <row r="67" spans="1:24" s="213" customFormat="1" ht="18" customHeight="1">
      <c r="A67" s="610"/>
      <c r="B67" s="576"/>
      <c r="C67" s="577"/>
      <c r="D67" s="198" t="str">
        <f>серпень!D67</f>
        <v>касові видатки, тис.грн.</v>
      </c>
      <c r="E67" s="199">
        <f>E82+E97+E112+E127+E142+E157+E279+E294+E309+E324</f>
        <v>0</v>
      </c>
      <c r="F67" s="199">
        <f>F82+F97+F112+F127+F142+F157</f>
        <v>0</v>
      </c>
      <c r="G67" s="199">
        <f t="shared" ref="G67:K67" si="132">G82+G97+G112+G127+G142+G157</f>
        <v>650</v>
      </c>
      <c r="H67" s="199">
        <f t="shared" si="132"/>
        <v>872.30799999999999</v>
      </c>
      <c r="I67" s="199">
        <f t="shared" si="132"/>
        <v>445.56</v>
      </c>
      <c r="J67" s="199">
        <f t="shared" si="132"/>
        <v>-154.26499999999999</v>
      </c>
      <c r="K67" s="199">
        <f t="shared" si="132"/>
        <v>84.724000000000004</v>
      </c>
      <c r="L67" s="199">
        <f>SUM(F67:K67)</f>
        <v>1898.327</v>
      </c>
      <c r="M67" s="199">
        <f>L67/6</f>
        <v>316.38799999999998</v>
      </c>
      <c r="N67" s="199">
        <f>N82+N97+N112+N127+N142+N157</f>
        <v>-202.91800000000001</v>
      </c>
      <c r="O67" s="199">
        <f t="shared" ref="O67:S67" si="133">O82+O97+O112+O127+O142+O157</f>
        <v>84.724000000000004</v>
      </c>
      <c r="P67" s="199">
        <f t="shared" si="133"/>
        <v>84.724000000000004</v>
      </c>
      <c r="Q67" s="199">
        <f t="shared" si="133"/>
        <v>84.944000000000003</v>
      </c>
      <c r="R67" s="199">
        <f t="shared" si="133"/>
        <v>84.944000000000003</v>
      </c>
      <c r="S67" s="199">
        <f t="shared" si="133"/>
        <v>1495.924</v>
      </c>
      <c r="T67" s="199">
        <f>SUM(N67:S67)</f>
        <v>1632.3420000000001</v>
      </c>
      <c r="U67" s="199">
        <f>T67+L67</f>
        <v>3530.6689999999999</v>
      </c>
      <c r="V67" s="199">
        <f t="shared" ref="V67:V69" si="134">V82+V97+V112+V127+V142+V157</f>
        <v>3205.355</v>
      </c>
      <c r="W67" s="175">
        <f>V67-U67</f>
        <v>-325.31400000000002</v>
      </c>
      <c r="X67" s="213">
        <f>U62-U67</f>
        <v>0</v>
      </c>
    </row>
    <row r="68" spans="1:24" s="213" customFormat="1" ht="18" customHeight="1">
      <c r="A68" s="610"/>
      <c r="B68" s="576"/>
      <c r="C68" s="577"/>
      <c r="D68" s="201" t="str">
        <f>серпень!D68</f>
        <v>дотація</v>
      </c>
      <c r="E68" s="212"/>
      <c r="F68" s="199">
        <f t="shared" ref="F68:K69" si="135">F83+F98+F113+F128+F143+F158</f>
        <v>0</v>
      </c>
      <c r="G68" s="199">
        <f t="shared" si="135"/>
        <v>0</v>
      </c>
      <c r="H68" s="199">
        <f t="shared" si="135"/>
        <v>0</v>
      </c>
      <c r="I68" s="199">
        <f t="shared" si="135"/>
        <v>0</v>
      </c>
      <c r="J68" s="199">
        <f t="shared" si="135"/>
        <v>0</v>
      </c>
      <c r="K68" s="199">
        <f t="shared" si="135"/>
        <v>0</v>
      </c>
      <c r="L68" s="199">
        <f>SUM(F68:K68)</f>
        <v>0</v>
      </c>
      <c r="M68" s="199">
        <f>L68/6</f>
        <v>0</v>
      </c>
      <c r="N68" s="199">
        <f t="shared" ref="N68:S69" si="136">N83+N98+N113+N128+N143+N158</f>
        <v>0</v>
      </c>
      <c r="O68" s="199">
        <f t="shared" si="136"/>
        <v>0</v>
      </c>
      <c r="P68" s="199">
        <f t="shared" si="136"/>
        <v>0</v>
      </c>
      <c r="Q68" s="199">
        <f t="shared" si="136"/>
        <v>0</v>
      </c>
      <c r="R68" s="199">
        <f t="shared" si="136"/>
        <v>0</v>
      </c>
      <c r="S68" s="199">
        <f t="shared" si="136"/>
        <v>0</v>
      </c>
      <c r="T68" s="199">
        <f>SUM(N68:S68)</f>
        <v>0</v>
      </c>
      <c r="U68" s="199">
        <f>T68+L68</f>
        <v>0</v>
      </c>
      <c r="V68" s="199">
        <f t="shared" si="134"/>
        <v>0</v>
      </c>
      <c r="W68" s="175">
        <f>V68-U68</f>
        <v>0</v>
      </c>
      <c r="X68" s="213">
        <f>U63-U68</f>
        <v>0</v>
      </c>
    </row>
    <row r="69" spans="1:24" s="213" customFormat="1" ht="18" customHeight="1">
      <c r="A69" s="610"/>
      <c r="B69" s="576"/>
      <c r="C69" s="577"/>
      <c r="D69" s="201" t="str">
        <f>серпень!D69</f>
        <v xml:space="preserve">місцевий </v>
      </c>
      <c r="E69" s="212"/>
      <c r="F69" s="199">
        <f t="shared" si="135"/>
        <v>0</v>
      </c>
      <c r="G69" s="199">
        <f t="shared" si="135"/>
        <v>650</v>
      </c>
      <c r="H69" s="199">
        <f t="shared" si="135"/>
        <v>872.30799999999999</v>
      </c>
      <c r="I69" s="199">
        <f t="shared" si="135"/>
        <v>445.56</v>
      </c>
      <c r="J69" s="199">
        <f t="shared" si="135"/>
        <v>-154.26499999999999</v>
      </c>
      <c r="K69" s="199">
        <f t="shared" si="135"/>
        <v>84.724000000000004</v>
      </c>
      <c r="L69" s="199">
        <f>SUM(F69:K69)</f>
        <v>1898.327</v>
      </c>
      <c r="M69" s="199">
        <f>L69/6</f>
        <v>316.38799999999998</v>
      </c>
      <c r="N69" s="199">
        <f t="shared" si="136"/>
        <v>-202.91800000000001</v>
      </c>
      <c r="O69" s="199">
        <f t="shared" si="136"/>
        <v>84.724000000000004</v>
      </c>
      <c r="P69" s="199">
        <f t="shared" si="136"/>
        <v>84.724000000000004</v>
      </c>
      <c r="Q69" s="199">
        <f t="shared" si="136"/>
        <v>84.944000000000003</v>
      </c>
      <c r="R69" s="199">
        <f t="shared" si="136"/>
        <v>84.944000000000003</v>
      </c>
      <c r="S69" s="199">
        <f t="shared" si="136"/>
        <v>1495.924</v>
      </c>
      <c r="T69" s="199">
        <f>SUM(N69:S69)</f>
        <v>1632.3420000000001</v>
      </c>
      <c r="U69" s="199">
        <f>T69+L69</f>
        <v>3530.6689999999999</v>
      </c>
      <c r="V69" s="199">
        <f t="shared" si="134"/>
        <v>3205.355</v>
      </c>
      <c r="W69" s="175">
        <f>V69-U69</f>
        <v>-325.31400000000002</v>
      </c>
      <c r="X69" s="213">
        <f>U64-U69</f>
        <v>-325.31400000000002</v>
      </c>
    </row>
    <row r="70" spans="1:24" s="214" customFormat="1" ht="18" customHeight="1">
      <c r="A70" s="610"/>
      <c r="B70" s="576"/>
      <c r="C70" s="577"/>
      <c r="D70" s="202" t="str">
        <f>серпень!D70</f>
        <v>план</v>
      </c>
      <c r="E70" s="203"/>
      <c r="F70" s="203">
        <f t="shared" ref="F70:K70" si="137">F64</f>
        <v>0</v>
      </c>
      <c r="G70" s="203">
        <f t="shared" si="137"/>
        <v>650</v>
      </c>
      <c r="H70" s="203">
        <f t="shared" si="137"/>
        <v>872.30799999999999</v>
      </c>
      <c r="I70" s="203">
        <f t="shared" si="137"/>
        <v>445.56</v>
      </c>
      <c r="J70" s="203">
        <f t="shared" si="137"/>
        <v>2.3E-2</v>
      </c>
      <c r="K70" s="203">
        <f t="shared" si="137"/>
        <v>0</v>
      </c>
      <c r="L70" s="203">
        <f>SUM(F70:K70)</f>
        <v>1967.8910000000001</v>
      </c>
      <c r="M70" s="203">
        <f>L70/6</f>
        <v>327.98200000000003</v>
      </c>
      <c r="N70" s="203">
        <f>N64+N63</f>
        <v>0</v>
      </c>
      <c r="O70" s="203">
        <f t="shared" ref="O70:R70" si="138">O64+O63</f>
        <v>0</v>
      </c>
      <c r="P70" s="203">
        <f t="shared" si="138"/>
        <v>84.623000000000005</v>
      </c>
      <c r="Q70" s="203">
        <f t="shared" si="138"/>
        <v>84.623000000000005</v>
      </c>
      <c r="R70" s="203">
        <f t="shared" si="138"/>
        <v>84.623000000000005</v>
      </c>
      <c r="S70" s="203">
        <f>S64+S63</f>
        <v>983.59500000000003</v>
      </c>
      <c r="T70" s="203">
        <f>SUM(N70:S70)</f>
        <v>1237.4639999999999</v>
      </c>
      <c r="U70" s="203">
        <f>T70+L70</f>
        <v>3205.355</v>
      </c>
      <c r="V70" s="203">
        <f>V64+V63</f>
        <v>3205.355</v>
      </c>
      <c r="W70" s="204">
        <f>V70-U70</f>
        <v>0</v>
      </c>
    </row>
    <row r="71" spans="1:24" s="214" customFormat="1" ht="18" customHeight="1">
      <c r="A71" s="610"/>
      <c r="B71" s="576"/>
      <c r="C71" s="577"/>
      <c r="D71" s="202" t="str">
        <f>серпень!D71</f>
        <v xml:space="preserve">відхилення </v>
      </c>
      <c r="E71" s="203"/>
      <c r="F71" s="203">
        <f t="shared" ref="F71:K71" si="139">F67-F70</f>
        <v>0</v>
      </c>
      <c r="G71" s="203">
        <f>G67-G70</f>
        <v>0</v>
      </c>
      <c r="H71" s="203">
        <f t="shared" si="139"/>
        <v>0</v>
      </c>
      <c r="I71" s="203">
        <f t="shared" si="139"/>
        <v>0</v>
      </c>
      <c r="J71" s="203">
        <f t="shared" si="139"/>
        <v>-154.28800000000001</v>
      </c>
      <c r="K71" s="203">
        <f t="shared" si="139"/>
        <v>84.724000000000004</v>
      </c>
      <c r="L71" s="203"/>
      <c r="M71" s="203"/>
      <c r="N71" s="203">
        <f>N67-N70</f>
        <v>-202.91800000000001</v>
      </c>
      <c r="O71" s="203">
        <f t="shared" ref="O71:S71" si="140">O67-O70</f>
        <v>84.724000000000004</v>
      </c>
      <c r="P71" s="203">
        <f t="shared" si="140"/>
        <v>0.10100000000000001</v>
      </c>
      <c r="Q71" s="203">
        <f t="shared" si="140"/>
        <v>0.32100000000000001</v>
      </c>
      <c r="R71" s="203">
        <f t="shared" si="140"/>
        <v>0.32100000000000001</v>
      </c>
      <c r="S71" s="203">
        <f t="shared" si="140"/>
        <v>512.32899999999995</v>
      </c>
      <c r="T71" s="203"/>
      <c r="U71" s="203"/>
      <c r="V71" s="203"/>
      <c r="W71" s="203"/>
    </row>
    <row r="72" spans="1:24" s="214" customFormat="1" ht="18" customHeight="1">
      <c r="A72" s="610"/>
      <c r="B72" s="578"/>
      <c r="C72" s="579"/>
      <c r="D72" s="202" t="str">
        <f>серпень!D72</f>
        <v>відхилення з наростаючим</v>
      </c>
      <c r="E72" s="203"/>
      <c r="F72" s="203">
        <f>F71</f>
        <v>0</v>
      </c>
      <c r="G72" s="203">
        <f>G71+F72</f>
        <v>0</v>
      </c>
      <c r="H72" s="203">
        <f>H71+G72</f>
        <v>0</v>
      </c>
      <c r="I72" s="203">
        <f>I71+H72</f>
        <v>0</v>
      </c>
      <c r="J72" s="203">
        <f>J71+I72</f>
        <v>-154.28800000000001</v>
      </c>
      <c r="K72" s="203">
        <f>K71+J72</f>
        <v>-69.563999999999993</v>
      </c>
      <c r="L72" s="203"/>
      <c r="M72" s="203"/>
      <c r="N72" s="203">
        <f>N71+K72</f>
        <v>-272.48200000000003</v>
      </c>
      <c r="O72" s="203">
        <f>O71+N72</f>
        <v>-187.75800000000001</v>
      </c>
      <c r="P72" s="203">
        <f>P71+O72</f>
        <v>-187.65700000000001</v>
      </c>
      <c r="Q72" s="203">
        <f>Q71+P72</f>
        <v>-187.33600000000001</v>
      </c>
      <c r="R72" s="203">
        <f>R71+Q72</f>
        <v>-187.01499999999999</v>
      </c>
      <c r="S72" s="203">
        <f>S71+R72</f>
        <v>325.31400000000002</v>
      </c>
      <c r="T72" s="203"/>
      <c r="U72" s="203"/>
      <c r="V72" s="203"/>
      <c r="W72" s="203"/>
    </row>
    <row r="73" spans="1:24" s="214" customFormat="1" ht="18" customHeight="1">
      <c r="A73" s="610"/>
      <c r="B73" s="582" t="s">
        <v>54</v>
      </c>
      <c r="C73" s="582" t="s">
        <v>98</v>
      </c>
      <c r="D73" s="178" t="str">
        <f>серпень!D73</f>
        <v>факт. нат.п-ки 2023</v>
      </c>
      <c r="E73" s="179"/>
      <c r="F73" s="399">
        <v>0.81310000000000004</v>
      </c>
      <c r="G73" s="399">
        <v>0.81310000000000004</v>
      </c>
      <c r="H73" s="342">
        <v>0.81310000000000004</v>
      </c>
      <c r="I73" s="342">
        <v>0.81310000000000004</v>
      </c>
      <c r="J73" s="342">
        <v>0.81310000000000004</v>
      </c>
      <c r="K73" s="342">
        <v>0.81310000000000004</v>
      </c>
      <c r="L73" s="400">
        <f>SUM(F73:K73)</f>
        <v>4.8785999999999996</v>
      </c>
      <c r="M73" s="400">
        <f>L73/6</f>
        <v>0.81310000000000004</v>
      </c>
      <c r="N73" s="342">
        <v>0.81310000000000004</v>
      </c>
      <c r="O73" s="342">
        <v>0.90659999999999996</v>
      </c>
      <c r="P73" s="342">
        <v>0.1195</v>
      </c>
      <c r="Q73" s="342">
        <v>0.81399999999999995</v>
      </c>
      <c r="R73" s="342">
        <v>0.81310000000000004</v>
      </c>
      <c r="S73" s="342">
        <v>0.81310000000000004</v>
      </c>
      <c r="T73" s="400">
        <f>SUM(N73:S73)</f>
        <v>4.2793999999999999</v>
      </c>
      <c r="U73" s="400">
        <f>T73+L73</f>
        <v>9.1579999999999995</v>
      </c>
      <c r="V73" s="342">
        <v>9.1793999999999993</v>
      </c>
      <c r="W73" s="399"/>
    </row>
    <row r="74" spans="1:24" s="214" customFormat="1" ht="18" customHeight="1">
      <c r="A74" s="610"/>
      <c r="B74" s="583"/>
      <c r="C74" s="583"/>
      <c r="D74" s="178" t="str">
        <f>серпень!D74</f>
        <v>факт. нат.п-ки 2024</v>
      </c>
      <c r="E74" s="179"/>
      <c r="F74" s="399">
        <v>0.41819000000000001</v>
      </c>
      <c r="G74" s="399">
        <v>0.41819000000000001</v>
      </c>
      <c r="H74" s="342">
        <v>0.41819000000000001</v>
      </c>
      <c r="I74" s="342">
        <v>0.37679000000000001</v>
      </c>
      <c r="J74" s="342">
        <v>0.41819000000000001</v>
      </c>
      <c r="K74" s="342">
        <v>0.41819000000000001</v>
      </c>
      <c r="L74" s="400">
        <f>SUM(F74:K74)</f>
        <v>2.46774</v>
      </c>
      <c r="M74" s="400">
        <f>L74/6</f>
        <v>0.41128999999999999</v>
      </c>
      <c r="N74" s="342">
        <v>0.41819000000000001</v>
      </c>
      <c r="O74" s="342">
        <v>0.41819000000000001</v>
      </c>
      <c r="P74" s="342">
        <v>0.81105000000000005</v>
      </c>
      <c r="Q74" s="342">
        <v>0.81105000000000005</v>
      </c>
      <c r="R74" s="342">
        <v>0.81105000000000005</v>
      </c>
      <c r="S74" s="342">
        <v>0.81105000000000005</v>
      </c>
      <c r="T74" s="400">
        <f>SUM(N74:S74)</f>
        <v>4.0805800000000003</v>
      </c>
      <c r="U74" s="400">
        <f>T74+L74</f>
        <v>6.5483200000000004</v>
      </c>
      <c r="V74" s="342">
        <v>6.5482800000000001</v>
      </c>
      <c r="W74" s="399"/>
    </row>
    <row r="75" spans="1:24" s="214" customFormat="1" ht="18" customHeight="1">
      <c r="A75" s="610"/>
      <c r="B75" s="583"/>
      <c r="C75" s="583"/>
      <c r="D75" s="178" t="str">
        <f>серпень!D75</f>
        <v>факт. нат.п-ки 2025</v>
      </c>
      <c r="E75" s="179"/>
      <c r="F75" s="342">
        <v>0.81105099999999997</v>
      </c>
      <c r="G75" s="342">
        <v>0.81105400000000005</v>
      </c>
      <c r="H75" s="342">
        <v>0.81105400000000005</v>
      </c>
      <c r="I75" s="342">
        <v>0.81105400000000005</v>
      </c>
      <c r="J75" s="342">
        <v>0.81105400000000005</v>
      </c>
      <c r="K75" s="342">
        <v>0.81105400000000005</v>
      </c>
      <c r="L75" s="400">
        <f>SUM(F75:K75)</f>
        <v>4.8663210000000001</v>
      </c>
      <c r="M75" s="400">
        <f>L75/6</f>
        <v>0.81105400000000005</v>
      </c>
      <c r="N75" s="342">
        <f>84724/104461.02</f>
        <v>0.81105899999999997</v>
      </c>
      <c r="O75" s="342">
        <f>84724/104461.02</f>
        <v>0.81105899999999997</v>
      </c>
      <c r="P75" s="342">
        <v>0.81316100000000002</v>
      </c>
      <c r="Q75" s="342">
        <v>0.81316100000000002</v>
      </c>
      <c r="R75" s="342">
        <v>0.81316100000000002</v>
      </c>
      <c r="S75" s="342">
        <v>0.81316100000000002</v>
      </c>
      <c r="T75" s="400">
        <f>SUM(N75:S75)</f>
        <v>4.8747619999999996</v>
      </c>
      <c r="U75" s="400">
        <f>T75+L75</f>
        <v>9.7410829999999997</v>
      </c>
      <c r="V75" s="342">
        <v>9.7579999999999991</v>
      </c>
      <c r="W75" s="399">
        <f>V75-U75</f>
        <v>1.6917000000000001E-2</v>
      </c>
    </row>
    <row r="76" spans="1:24" s="214" customFormat="1" ht="18" customHeight="1">
      <c r="A76" s="610"/>
      <c r="B76" s="583"/>
      <c r="C76" s="583"/>
      <c r="D76" s="187" t="str">
        <f>серпень!D76</f>
        <v>тариф, грн.</v>
      </c>
      <c r="E76" s="188" t="e">
        <f t="shared" ref="E76:K76" si="141">E77/E75*1000</f>
        <v>#DIV/0!</v>
      </c>
      <c r="F76" s="188">
        <f t="shared" si="141"/>
        <v>104067.43799999999</v>
      </c>
      <c r="G76" s="188">
        <f t="shared" si="141"/>
        <v>104461.602</v>
      </c>
      <c r="H76" s="188">
        <f t="shared" si="141"/>
        <v>104461.602</v>
      </c>
      <c r="I76" s="188">
        <f t="shared" si="141"/>
        <v>104461.602</v>
      </c>
      <c r="J76" s="188">
        <f t="shared" si="141"/>
        <v>104461.602</v>
      </c>
      <c r="K76" s="188">
        <f t="shared" si="141"/>
        <v>104461.602</v>
      </c>
      <c r="L76" s="217">
        <f>L77/L75*1000</f>
        <v>104395.91</v>
      </c>
      <c r="M76" s="217">
        <f>M77/M75*1000</f>
        <v>104396.25</v>
      </c>
      <c r="N76" s="217">
        <f t="shared" ref="N76:O76" si="142">N77/N75*1000</f>
        <v>104460.96</v>
      </c>
      <c r="O76" s="217">
        <f t="shared" si="142"/>
        <v>104460.96</v>
      </c>
      <c r="P76" s="217">
        <v>104461.02</v>
      </c>
      <c r="Q76" s="217">
        <v>104461.02</v>
      </c>
      <c r="R76" s="217">
        <v>104461.02</v>
      </c>
      <c r="S76" s="217">
        <v>104461.02</v>
      </c>
      <c r="T76" s="217">
        <f>T77/T75*1000</f>
        <v>104461.3</v>
      </c>
      <c r="U76" s="217">
        <f>U77/U75*1000</f>
        <v>104428.63</v>
      </c>
      <c r="V76" s="218">
        <f>V77/V75*1000</f>
        <v>104065.997</v>
      </c>
      <c r="W76" s="521">
        <f>W77/W75*1000</f>
        <v>-104747</v>
      </c>
    </row>
    <row r="77" spans="1:24" s="214" customFormat="1" ht="18" customHeight="1">
      <c r="A77" s="610"/>
      <c r="B77" s="583"/>
      <c r="C77" s="583"/>
      <c r="D77" s="191" t="str">
        <f>серпень!D77</f>
        <v>сума, тис.грн.</v>
      </c>
      <c r="E77" s="192"/>
      <c r="F77" s="192">
        <v>84.403999999999996</v>
      </c>
      <c r="G77" s="192">
        <v>84.724000000000004</v>
      </c>
      <c r="H77" s="192">
        <v>84.724000000000004</v>
      </c>
      <c r="I77" s="192">
        <v>84.724000000000004</v>
      </c>
      <c r="J77" s="192">
        <v>84.724000000000004</v>
      </c>
      <c r="K77" s="192">
        <v>84.724000000000004</v>
      </c>
      <c r="L77" s="194">
        <f>SUM(F77:K77)</f>
        <v>508.024</v>
      </c>
      <c r="M77" s="194">
        <f>L77/6</f>
        <v>84.671000000000006</v>
      </c>
      <c r="N77" s="192">
        <v>84.724000000000004</v>
      </c>
      <c r="O77" s="192">
        <v>84.724000000000004</v>
      </c>
      <c r="P77" s="192">
        <f t="shared" ref="P77" si="143">P75*P76/1000</f>
        <v>84.944000000000003</v>
      </c>
      <c r="Q77" s="192">
        <f t="shared" ref="Q77" si="144">Q75*Q76/1000</f>
        <v>84.944000000000003</v>
      </c>
      <c r="R77" s="192">
        <f t="shared" ref="R77" si="145">R75*R76/1000</f>
        <v>84.944000000000003</v>
      </c>
      <c r="S77" s="192">
        <f t="shared" ref="S77" si="146">S75*S76/1000</f>
        <v>84.944000000000003</v>
      </c>
      <c r="T77" s="194">
        <f>SUM(N77:S77)</f>
        <v>509.22399999999999</v>
      </c>
      <c r="U77" s="194">
        <f>T77+L77</f>
        <v>1017.248</v>
      </c>
      <c r="V77" s="171">
        <f>V79</f>
        <v>1015.476</v>
      </c>
      <c r="W77" s="192">
        <f>V77-U77</f>
        <v>-1.772</v>
      </c>
    </row>
    <row r="78" spans="1:24" s="214" customFormat="1" ht="18" customHeight="1">
      <c r="A78" s="610"/>
      <c r="B78" s="583"/>
      <c r="C78" s="583"/>
      <c r="D78" s="174" t="str">
        <f>серпень!D78</f>
        <v>дотація</v>
      </c>
      <c r="E78" s="210"/>
      <c r="F78" s="192"/>
      <c r="G78" s="192"/>
      <c r="H78" s="192"/>
      <c r="I78" s="192"/>
      <c r="J78" s="192"/>
      <c r="K78" s="192"/>
      <c r="L78" s="194">
        <f>SUM(F78:K78)</f>
        <v>0</v>
      </c>
      <c r="M78" s="194">
        <f>L78/6</f>
        <v>0</v>
      </c>
      <c r="N78" s="192"/>
      <c r="O78" s="192"/>
      <c r="P78" s="192"/>
      <c r="Q78" s="192"/>
      <c r="R78" s="192"/>
      <c r="S78" s="192"/>
      <c r="T78" s="194">
        <f>SUM(N78:S78)</f>
        <v>0</v>
      </c>
      <c r="U78" s="194">
        <f>T78+L78</f>
        <v>0</v>
      </c>
      <c r="V78" s="171"/>
      <c r="W78" s="192">
        <f>V78-U78</f>
        <v>0</v>
      </c>
    </row>
    <row r="79" spans="1:24" s="214" customFormat="1" ht="18" customHeight="1">
      <c r="A79" s="610"/>
      <c r="B79" s="583"/>
      <c r="C79" s="583"/>
      <c r="D79" s="174" t="str">
        <f>серпень!D79</f>
        <v>місцевий (план), тис.грн</v>
      </c>
      <c r="E79" s="210"/>
      <c r="F79" s="192">
        <f>16.881-16.881</f>
        <v>0</v>
      </c>
      <c r="G79" s="192">
        <v>84.623000000000005</v>
      </c>
      <c r="H79" s="192">
        <v>84.623000000000005</v>
      </c>
      <c r="I79" s="192">
        <v>84.623000000000005</v>
      </c>
      <c r="J79" s="192">
        <v>2.3E-2</v>
      </c>
      <c r="K79" s="192">
        <v>0</v>
      </c>
      <c r="L79" s="194">
        <f>SUM(F79:K79)</f>
        <v>253.892</v>
      </c>
      <c r="M79" s="194">
        <f>L79/6</f>
        <v>42.314999999999998</v>
      </c>
      <c r="N79" s="192">
        <v>0</v>
      </c>
      <c r="O79" s="192">
        <v>0</v>
      </c>
      <c r="P79" s="192">
        <v>84.623000000000005</v>
      </c>
      <c r="Q79" s="192">
        <v>84.623000000000005</v>
      </c>
      <c r="R79" s="192">
        <v>84.623000000000005</v>
      </c>
      <c r="S79" s="192">
        <f>169.246+84.6+84.623+84.623+84.623</f>
        <v>507.71499999999997</v>
      </c>
      <c r="T79" s="194">
        <f>SUM(N79:S79)</f>
        <v>761.58399999999995</v>
      </c>
      <c r="U79" s="194">
        <f>T79+L79</f>
        <v>1015.476</v>
      </c>
      <c r="V79" s="171">
        <v>1015.476</v>
      </c>
      <c r="W79" s="192">
        <f>V79-U79</f>
        <v>0</v>
      </c>
    </row>
    <row r="80" spans="1:24" s="214" customFormat="1" ht="18" customHeight="1">
      <c r="A80" s="610"/>
      <c r="B80" s="583"/>
      <c r="C80" s="583"/>
      <c r="D80" s="178" t="str">
        <f>серпень!D80</f>
        <v>касові нат.п-ки 2025</v>
      </c>
      <c r="E80" s="179"/>
      <c r="F80" s="405">
        <v>0</v>
      </c>
      <c r="G80" s="383">
        <v>0.81105000000000005</v>
      </c>
      <c r="H80" s="342">
        <v>0.81105000000000005</v>
      </c>
      <c r="I80" s="342">
        <v>0.81105400000000005</v>
      </c>
      <c r="J80" s="342">
        <v>0.81105400000000005</v>
      </c>
      <c r="K80" s="383">
        <v>0.81105000000000005</v>
      </c>
      <c r="L80" s="330">
        <f>SUM(F80:K80)</f>
        <v>4.0552999999999999</v>
      </c>
      <c r="M80" s="330">
        <f>L80/6</f>
        <v>0.67589999999999995</v>
      </c>
      <c r="N80" s="288">
        <v>0.81105400000000005</v>
      </c>
      <c r="O80" s="381">
        <v>0.81105899999999997</v>
      </c>
      <c r="P80" s="288">
        <v>0.81105899999999997</v>
      </c>
      <c r="Q80" s="288">
        <v>0.81316100000000002</v>
      </c>
      <c r="R80" s="288">
        <v>0.81316100000000002</v>
      </c>
      <c r="S80" s="288">
        <f>R75+S75</f>
        <v>1.626322</v>
      </c>
      <c r="T80" s="333">
        <f>SUM(N80:S80)</f>
        <v>5.6858199999999997</v>
      </c>
      <c r="U80" s="333">
        <f>T80+L80</f>
        <v>9.7411200000000004</v>
      </c>
      <c r="V80" s="346">
        <f>V75</f>
        <v>9.7579999999999991</v>
      </c>
      <c r="W80" s="184">
        <f>V80-U80</f>
        <v>0</v>
      </c>
      <c r="X80" s="461">
        <f>U75-U80</f>
        <v>0</v>
      </c>
    </row>
    <row r="81" spans="1:24" s="214" customFormat="1" ht="18" customHeight="1">
      <c r="A81" s="610"/>
      <c r="B81" s="583"/>
      <c r="C81" s="583"/>
      <c r="D81" s="187" t="str">
        <f>серпень!D81</f>
        <v>тариф, грн.</v>
      </c>
      <c r="E81" s="188" t="e">
        <f t="shared" ref="E81:K81" si="147">E82/E80*1000</f>
        <v>#DIV/0!</v>
      </c>
      <c r="F81" s="188" t="e">
        <f t="shared" si="147"/>
        <v>#DIV/0!</v>
      </c>
      <c r="G81" s="188">
        <f t="shared" si="147"/>
        <v>104067.567</v>
      </c>
      <c r="H81" s="188">
        <f t="shared" si="147"/>
        <v>104462.117</v>
      </c>
      <c r="I81" s="188">
        <f t="shared" si="147"/>
        <v>104461.602</v>
      </c>
      <c r="J81" s="188">
        <f t="shared" si="147"/>
        <v>104461.602</v>
      </c>
      <c r="K81" s="188">
        <f t="shared" si="147"/>
        <v>104462.117</v>
      </c>
      <c r="L81" s="217">
        <f t="shared" ref="L81:O81" si="148">L82/L80*1000</f>
        <v>104381.92</v>
      </c>
      <c r="M81" s="217">
        <f t="shared" si="148"/>
        <v>104379.35</v>
      </c>
      <c r="N81" s="217">
        <f t="shared" si="148"/>
        <v>104461.6</v>
      </c>
      <c r="O81" s="217">
        <f t="shared" si="148"/>
        <v>104460.96</v>
      </c>
      <c r="P81" s="217">
        <v>104461.02</v>
      </c>
      <c r="Q81" s="217">
        <v>104461.02</v>
      </c>
      <c r="R81" s="217">
        <v>104461.02</v>
      </c>
      <c r="S81" s="217">
        <v>104461.02</v>
      </c>
      <c r="T81" s="217">
        <f>T82/T80*1000</f>
        <v>104461.27</v>
      </c>
      <c r="U81" s="217">
        <f>U82/U80*1000</f>
        <v>104428.24</v>
      </c>
      <c r="V81" s="218">
        <f>V82/V80*1000</f>
        <v>104065.997</v>
      </c>
      <c r="W81" s="219" t="e">
        <f>W82/W80*1000</f>
        <v>#DIV/0!</v>
      </c>
    </row>
    <row r="82" spans="1:24" s="214" customFormat="1" ht="18" customHeight="1">
      <c r="A82" s="610"/>
      <c r="B82" s="583"/>
      <c r="C82" s="583"/>
      <c r="D82" s="198" t="str">
        <f>серпень!D82</f>
        <v>касові видатки, тис.грн.</v>
      </c>
      <c r="E82" s="220"/>
      <c r="F82" s="199">
        <v>0</v>
      </c>
      <c r="G82" s="199">
        <v>84.403999999999996</v>
      </c>
      <c r="H82" s="199">
        <v>84.724000000000004</v>
      </c>
      <c r="I82" s="199">
        <v>84.724000000000004</v>
      </c>
      <c r="J82" s="199">
        <v>84.724000000000004</v>
      </c>
      <c r="K82" s="199">
        <v>84.724000000000004</v>
      </c>
      <c r="L82" s="199">
        <f>SUM(F82:K82)</f>
        <v>423.3</v>
      </c>
      <c r="M82" s="199">
        <f>L82/6</f>
        <v>70.55</v>
      </c>
      <c r="N82" s="199">
        <v>84.724000000000004</v>
      </c>
      <c r="O82" s="199">
        <v>84.724000000000004</v>
      </c>
      <c r="P82" s="199">
        <v>84.724000000000004</v>
      </c>
      <c r="Q82" s="199">
        <f t="shared" ref="Q82" si="149">Q80*Q81/1000</f>
        <v>84.944000000000003</v>
      </c>
      <c r="R82" s="199">
        <f t="shared" ref="R82" si="150">R80*R81/1000</f>
        <v>84.944000000000003</v>
      </c>
      <c r="S82" s="199">
        <f>S80*S81/1000+0.001</f>
        <v>169.88800000000001</v>
      </c>
      <c r="T82" s="199">
        <f>SUM(N82:S82)</f>
        <v>593.94799999999998</v>
      </c>
      <c r="U82" s="199">
        <f>T82+L82</f>
        <v>1017.248</v>
      </c>
      <c r="V82" s="199">
        <f>V77</f>
        <v>1015.476</v>
      </c>
      <c r="W82" s="221">
        <f>V82-U82</f>
        <v>-1.772</v>
      </c>
      <c r="X82" s="214">
        <f>U77-U82</f>
        <v>0</v>
      </c>
    </row>
    <row r="83" spans="1:24" s="214" customFormat="1" ht="18" customHeight="1">
      <c r="A83" s="610"/>
      <c r="B83" s="583"/>
      <c r="C83" s="583"/>
      <c r="D83" s="201" t="str">
        <f>серпень!D83</f>
        <v>дотація</v>
      </c>
      <c r="E83" s="220"/>
      <c r="F83" s="61">
        <v>0</v>
      </c>
      <c r="G83" s="61">
        <v>0</v>
      </c>
      <c r="H83" s="61">
        <v>0</v>
      </c>
      <c r="I83" s="61">
        <v>0</v>
      </c>
      <c r="J83" s="61">
        <v>0</v>
      </c>
      <c r="K83" s="61">
        <v>0</v>
      </c>
      <c r="L83" s="199">
        <f>SUM(F83:K83)</f>
        <v>0</v>
      </c>
      <c r="M83" s="199">
        <f>L83/6</f>
        <v>0</v>
      </c>
      <c r="N83" s="61">
        <v>0</v>
      </c>
      <c r="O83" s="61">
        <v>0</v>
      </c>
      <c r="P83" s="61">
        <v>0</v>
      </c>
      <c r="Q83" s="61">
        <v>0</v>
      </c>
      <c r="R83" s="61">
        <v>0</v>
      </c>
      <c r="S83" s="61">
        <v>0</v>
      </c>
      <c r="T83" s="199">
        <f>SUM(N83:S83)</f>
        <v>0</v>
      </c>
      <c r="U83" s="199">
        <f>T83+L83</f>
        <v>0</v>
      </c>
      <c r="V83" s="199">
        <f>V78</f>
        <v>0</v>
      </c>
      <c r="W83" s="221">
        <f>V83-U83</f>
        <v>0</v>
      </c>
      <c r="X83" s="214">
        <f>U78-U83</f>
        <v>0</v>
      </c>
    </row>
    <row r="84" spans="1:24" s="214" customFormat="1" ht="18" customHeight="1">
      <c r="A84" s="610"/>
      <c r="B84" s="583"/>
      <c r="C84" s="583"/>
      <c r="D84" s="201" t="str">
        <f>серпень!D84</f>
        <v xml:space="preserve">місцевий </v>
      </c>
      <c r="E84" s="220"/>
      <c r="F84" s="61">
        <f t="shared" ref="F84:K84" si="151">F82-F83</f>
        <v>0</v>
      </c>
      <c r="G84" s="61">
        <f t="shared" si="151"/>
        <v>84.403999999999996</v>
      </c>
      <c r="H84" s="61">
        <f t="shared" si="151"/>
        <v>84.724000000000004</v>
      </c>
      <c r="I84" s="61">
        <f t="shared" si="151"/>
        <v>84.724000000000004</v>
      </c>
      <c r="J84" s="61">
        <f t="shared" si="151"/>
        <v>84.724000000000004</v>
      </c>
      <c r="K84" s="61">
        <f t="shared" si="151"/>
        <v>84.724000000000004</v>
      </c>
      <c r="L84" s="199">
        <f>SUM(F84:K84)</f>
        <v>423.3</v>
      </c>
      <c r="M84" s="199">
        <f>L84/6</f>
        <v>70.55</v>
      </c>
      <c r="N84" s="61">
        <f t="shared" ref="N84:S84" si="152">N82-N83</f>
        <v>84.724000000000004</v>
      </c>
      <c r="O84" s="61">
        <f t="shared" si="152"/>
        <v>84.724000000000004</v>
      </c>
      <c r="P84" s="61">
        <f t="shared" si="152"/>
        <v>84.724000000000004</v>
      </c>
      <c r="Q84" s="61">
        <f t="shared" si="152"/>
        <v>84.944000000000003</v>
      </c>
      <c r="R84" s="61">
        <f t="shared" si="152"/>
        <v>84.944000000000003</v>
      </c>
      <c r="S84" s="61">
        <f t="shared" si="152"/>
        <v>169.88800000000001</v>
      </c>
      <c r="T84" s="199">
        <f>SUM(N84:S84)</f>
        <v>593.94799999999998</v>
      </c>
      <c r="U84" s="199">
        <f>T84+L84</f>
        <v>1017.248</v>
      </c>
      <c r="V84" s="199">
        <f>V79</f>
        <v>1015.476</v>
      </c>
      <c r="W84" s="221">
        <f>V84-U84</f>
        <v>-1.772</v>
      </c>
      <c r="X84" s="214">
        <f>U79-U84</f>
        <v>-1.772</v>
      </c>
    </row>
    <row r="85" spans="1:24" s="214" customFormat="1" ht="18" customHeight="1">
      <c r="A85" s="610"/>
      <c r="B85" s="583"/>
      <c r="C85" s="583"/>
      <c r="D85" s="202" t="str">
        <f>серпень!D85</f>
        <v>план</v>
      </c>
      <c r="E85" s="203"/>
      <c r="F85" s="203">
        <f t="shared" ref="F85:K85" si="153">F78+F79</f>
        <v>0</v>
      </c>
      <c r="G85" s="203">
        <f t="shared" si="153"/>
        <v>84.623000000000005</v>
      </c>
      <c r="H85" s="203">
        <f t="shared" si="153"/>
        <v>84.623000000000005</v>
      </c>
      <c r="I85" s="203">
        <f t="shared" si="153"/>
        <v>84.623000000000005</v>
      </c>
      <c r="J85" s="203">
        <f t="shared" si="153"/>
        <v>2.3E-2</v>
      </c>
      <c r="K85" s="203">
        <f t="shared" si="153"/>
        <v>0</v>
      </c>
      <c r="L85" s="203">
        <f>SUM(F85:K85)</f>
        <v>253.892</v>
      </c>
      <c r="M85" s="203">
        <f>L85/6</f>
        <v>42.314999999999998</v>
      </c>
      <c r="N85" s="203">
        <f t="shared" ref="N85:S85" si="154">N79+N78</f>
        <v>0</v>
      </c>
      <c r="O85" s="203">
        <f t="shared" si="154"/>
        <v>0</v>
      </c>
      <c r="P85" s="203">
        <f t="shared" si="154"/>
        <v>84.623000000000005</v>
      </c>
      <c r="Q85" s="203">
        <f t="shared" si="154"/>
        <v>84.623000000000005</v>
      </c>
      <c r="R85" s="203">
        <f t="shared" si="154"/>
        <v>84.623000000000005</v>
      </c>
      <c r="S85" s="203">
        <f t="shared" si="154"/>
        <v>507.71499999999997</v>
      </c>
      <c r="T85" s="203">
        <f>SUM(N85:S85)</f>
        <v>761.58399999999995</v>
      </c>
      <c r="U85" s="203">
        <f>T85+L85</f>
        <v>1015.476</v>
      </c>
      <c r="V85" s="203">
        <f>V82</f>
        <v>1015.476</v>
      </c>
      <c r="W85" s="203">
        <f>V85-U85</f>
        <v>0</v>
      </c>
    </row>
    <row r="86" spans="1:24" s="214" customFormat="1" ht="18" customHeight="1">
      <c r="A86" s="610"/>
      <c r="B86" s="583"/>
      <c r="C86" s="583"/>
      <c r="D86" s="202" t="str">
        <f>серпень!D86</f>
        <v xml:space="preserve">відхилення </v>
      </c>
      <c r="E86" s="203"/>
      <c r="F86" s="203">
        <f t="shared" ref="F86:K86" si="155">F82-F85</f>
        <v>0</v>
      </c>
      <c r="G86" s="203">
        <f t="shared" si="155"/>
        <v>-0.219</v>
      </c>
      <c r="H86" s="203">
        <f t="shared" si="155"/>
        <v>0.10100000000000001</v>
      </c>
      <c r="I86" s="203">
        <f t="shared" si="155"/>
        <v>0.10100000000000001</v>
      </c>
      <c r="J86" s="203">
        <f t="shared" si="155"/>
        <v>84.700999999999993</v>
      </c>
      <c r="K86" s="203">
        <f t="shared" si="155"/>
        <v>84.724000000000004</v>
      </c>
      <c r="L86" s="203"/>
      <c r="M86" s="203"/>
      <c r="N86" s="203">
        <f t="shared" ref="N86:S86" si="156">N82-N85</f>
        <v>84.724000000000004</v>
      </c>
      <c r="O86" s="203">
        <f t="shared" si="156"/>
        <v>84.724000000000004</v>
      </c>
      <c r="P86" s="203">
        <f t="shared" si="156"/>
        <v>0.10100000000000001</v>
      </c>
      <c r="Q86" s="203">
        <f t="shared" si="156"/>
        <v>0.32100000000000001</v>
      </c>
      <c r="R86" s="203">
        <f t="shared" si="156"/>
        <v>0.32100000000000001</v>
      </c>
      <c r="S86" s="203">
        <f t="shared" si="156"/>
        <v>-337.827</v>
      </c>
      <c r="T86" s="203"/>
      <c r="U86" s="203"/>
      <c r="V86" s="203"/>
      <c r="W86" s="203"/>
    </row>
    <row r="87" spans="1:24" s="214" customFormat="1">
      <c r="A87" s="610"/>
      <c r="B87" s="583"/>
      <c r="C87" s="584"/>
      <c r="D87" s="202" t="str">
        <f>серпень!D87</f>
        <v>відхилення з наростаючим</v>
      </c>
      <c r="E87" s="203"/>
      <c r="F87" s="203">
        <f>F86</f>
        <v>0</v>
      </c>
      <c r="G87" s="203">
        <f>G86+F87</f>
        <v>-0.219</v>
      </c>
      <c r="H87" s="203">
        <f>H86+G87</f>
        <v>-0.11799999999999999</v>
      </c>
      <c r="I87" s="203">
        <f>I86+H87</f>
        <v>-1.7000000000000001E-2</v>
      </c>
      <c r="J87" s="203">
        <f>J86+I87</f>
        <v>84.683999999999997</v>
      </c>
      <c r="K87" s="203">
        <f>K86+J87</f>
        <v>169.40799999999999</v>
      </c>
      <c r="L87" s="203"/>
      <c r="M87" s="203"/>
      <c r="N87" s="203">
        <f>N86+K87</f>
        <v>254.13200000000001</v>
      </c>
      <c r="O87" s="203">
        <f>O86+N87</f>
        <v>338.85599999999999</v>
      </c>
      <c r="P87" s="203">
        <f>P86+O87</f>
        <v>338.95699999999999</v>
      </c>
      <c r="Q87" s="203">
        <f>Q86+P87</f>
        <v>339.27800000000002</v>
      </c>
      <c r="R87" s="203">
        <f>R86+Q87</f>
        <v>339.59899999999999</v>
      </c>
      <c r="S87" s="203">
        <f>S86+R87</f>
        <v>1.772</v>
      </c>
      <c r="T87" s="203"/>
      <c r="U87" s="203"/>
      <c r="V87" s="203"/>
      <c r="W87" s="203"/>
    </row>
    <row r="88" spans="1:24" s="47" customFormat="1" ht="18" customHeight="1">
      <c r="A88" s="610"/>
      <c r="B88" s="583"/>
      <c r="C88" s="582" t="s">
        <v>99</v>
      </c>
      <c r="D88" s="178" t="str">
        <f>серпень!D88</f>
        <v>факт. нат.п-ки 2023</v>
      </c>
      <c r="E88" s="11"/>
      <c r="F88" s="404">
        <v>206.2</v>
      </c>
      <c r="G88" s="404">
        <v>144.5</v>
      </c>
      <c r="H88" s="404">
        <v>82.2</v>
      </c>
      <c r="I88" s="404">
        <v>0</v>
      </c>
      <c r="J88" s="404">
        <v>0</v>
      </c>
      <c r="K88" s="404">
        <v>0</v>
      </c>
      <c r="L88" s="465">
        <f>SUM(F88:K88)</f>
        <v>432.9</v>
      </c>
      <c r="M88" s="465">
        <f>L88/6</f>
        <v>72.150000000000006</v>
      </c>
      <c r="N88" s="349">
        <v>0</v>
      </c>
      <c r="O88" s="349">
        <v>0</v>
      </c>
      <c r="P88" s="349">
        <v>0</v>
      </c>
      <c r="Q88" s="349">
        <v>0</v>
      </c>
      <c r="R88" s="349">
        <v>79.3</v>
      </c>
      <c r="S88" s="349">
        <v>196.6</v>
      </c>
      <c r="T88" s="125">
        <f>SUM(N88:S88)</f>
        <v>275.89999999999998</v>
      </c>
      <c r="U88" s="125">
        <f>T88+L88</f>
        <v>708.8</v>
      </c>
      <c r="V88" s="136">
        <v>708.8</v>
      </c>
      <c r="W88" s="38"/>
    </row>
    <row r="89" spans="1:24" s="47" customFormat="1" ht="18" customHeight="1">
      <c r="A89" s="610"/>
      <c r="B89" s="583"/>
      <c r="C89" s="583"/>
      <c r="D89" s="178" t="str">
        <f>серпень!D89</f>
        <v>факт. нат.п-ки 2024</v>
      </c>
      <c r="E89" s="11"/>
      <c r="F89" s="404">
        <v>148.577</v>
      </c>
      <c r="G89" s="404">
        <v>101.509</v>
      </c>
      <c r="H89" s="404">
        <v>70.2</v>
      </c>
      <c r="I89" s="404">
        <v>0</v>
      </c>
      <c r="J89" s="404">
        <v>0</v>
      </c>
      <c r="K89" s="404">
        <v>0</v>
      </c>
      <c r="L89" s="465">
        <f>SUM(F89:K89)</f>
        <v>320.286</v>
      </c>
      <c r="M89" s="465">
        <f>L89/6</f>
        <v>53.381</v>
      </c>
      <c r="N89" s="349">
        <v>0</v>
      </c>
      <c r="O89" s="349">
        <v>0</v>
      </c>
      <c r="P89" s="349">
        <v>0</v>
      </c>
      <c r="Q89" s="349">
        <v>0</v>
      </c>
      <c r="R89" s="349">
        <v>213.4</v>
      </c>
      <c r="S89" s="349">
        <v>264</v>
      </c>
      <c r="T89" s="125">
        <f>SUM(N89:S89)</f>
        <v>477.4</v>
      </c>
      <c r="U89" s="125">
        <f>T89+L89</f>
        <v>797.68600000000004</v>
      </c>
      <c r="V89" s="137">
        <v>797.7</v>
      </c>
      <c r="W89" s="38"/>
    </row>
    <row r="90" spans="1:24" s="47" customFormat="1" ht="18" customHeight="1">
      <c r="A90" s="610"/>
      <c r="B90" s="583"/>
      <c r="C90" s="583"/>
      <c r="D90" s="178" t="str">
        <f>серпень!D90</f>
        <v>факт. нат.п-ки 2025</v>
      </c>
      <c r="E90" s="11"/>
      <c r="F90" s="404">
        <f>161.461</f>
        <v>161.46100000000001</v>
      </c>
      <c r="G90" s="404">
        <f>116.535+0.004</f>
        <v>116.539</v>
      </c>
      <c r="H90" s="404">
        <f>116.5-0.459</f>
        <v>116.041</v>
      </c>
      <c r="I90" s="404">
        <v>0</v>
      </c>
      <c r="J90" s="404">
        <v>0</v>
      </c>
      <c r="K90" s="404">
        <v>0</v>
      </c>
      <c r="L90" s="465">
        <f>SUM(F90:K90)</f>
        <v>394.041</v>
      </c>
      <c r="M90" s="465">
        <f>L90/6</f>
        <v>65.674000000000007</v>
      </c>
      <c r="N90" s="11">
        <v>0</v>
      </c>
      <c r="O90" s="11">
        <v>0</v>
      </c>
      <c r="P90" s="11">
        <v>0</v>
      </c>
      <c r="Q90" s="11">
        <v>0</v>
      </c>
      <c r="R90" s="11">
        <f>213.4-49.2</f>
        <v>164.2</v>
      </c>
      <c r="S90" s="11">
        <v>264</v>
      </c>
      <c r="T90" s="465">
        <f>SUM(N90:S90)</f>
        <v>428.2</v>
      </c>
      <c r="U90" s="465">
        <f>T90+L90</f>
        <v>822.24099999999999</v>
      </c>
      <c r="V90" s="11">
        <v>748.3</v>
      </c>
      <c r="W90" s="38">
        <f>U90-V90</f>
        <v>73.900000000000006</v>
      </c>
    </row>
    <row r="91" spans="1:24" s="47" customFormat="1" ht="18" customHeight="1">
      <c r="A91" s="610"/>
      <c r="B91" s="583"/>
      <c r="C91" s="583"/>
      <c r="D91" s="187" t="str">
        <f>серпень!D91</f>
        <v>тариф, грн.</v>
      </c>
      <c r="E91" s="49" t="e">
        <f t="shared" ref="E91:K91" si="157">E92/E90*1000</f>
        <v>#DIV/0!</v>
      </c>
      <c r="F91" s="49">
        <f t="shared" si="157"/>
        <v>3096.37</v>
      </c>
      <c r="G91" s="49">
        <f t="shared" si="157"/>
        <v>3096.268</v>
      </c>
      <c r="H91" s="49">
        <f t="shared" si="157"/>
        <v>2814.5740000000001</v>
      </c>
      <c r="I91" s="49" t="e">
        <f t="shared" si="157"/>
        <v>#DIV/0!</v>
      </c>
      <c r="J91" s="49" t="e">
        <f t="shared" si="157"/>
        <v>#DIV/0!</v>
      </c>
      <c r="K91" s="49" t="e">
        <f t="shared" si="157"/>
        <v>#DIV/0!</v>
      </c>
      <c r="L91" s="217">
        <f t="shared" ref="L91:M91" si="158">L92/L90*1000</f>
        <v>3013.35</v>
      </c>
      <c r="M91" s="217">
        <f t="shared" si="158"/>
        <v>3013.34</v>
      </c>
      <c r="N91" s="217">
        <v>3096.37</v>
      </c>
      <c r="O91" s="217">
        <v>3096.37</v>
      </c>
      <c r="P91" s="217">
        <v>3096.37</v>
      </c>
      <c r="Q91" s="217">
        <v>3096.37</v>
      </c>
      <c r="R91" s="217">
        <v>3096.37</v>
      </c>
      <c r="S91" s="217">
        <v>3096.37</v>
      </c>
      <c r="T91" s="121">
        <f>T92/T90*1000</f>
        <v>3096.77</v>
      </c>
      <c r="U91" s="121">
        <f>U92/U90*1000</f>
        <v>3056.79</v>
      </c>
      <c r="V91" s="68">
        <f>V92/V90*1000</f>
        <v>2926.4720000000002</v>
      </c>
      <c r="W91" s="14">
        <f>W92/W90*1000</f>
        <v>-4378.1059999999998</v>
      </c>
    </row>
    <row r="92" spans="1:24" s="47" customFormat="1" ht="18" customHeight="1">
      <c r="A92" s="610"/>
      <c r="B92" s="583"/>
      <c r="C92" s="583"/>
      <c r="D92" s="191" t="str">
        <f>серпень!D92</f>
        <v>сума, тис.грн.</v>
      </c>
      <c r="E92" s="52"/>
      <c r="F92" s="52">
        <v>499.94299999999998</v>
      </c>
      <c r="G92" s="52">
        <f>360.836</f>
        <v>360.83600000000001</v>
      </c>
      <c r="H92" s="52">
        <f>360.836-34.23</f>
        <v>326.60599999999999</v>
      </c>
      <c r="I92" s="52">
        <v>0</v>
      </c>
      <c r="J92" s="52">
        <v>0</v>
      </c>
      <c r="K92" s="52">
        <v>0</v>
      </c>
      <c r="L92" s="69">
        <f>SUM(F92:K92)</f>
        <v>1187.385</v>
      </c>
      <c r="M92" s="69">
        <f>L92/6</f>
        <v>197.898</v>
      </c>
      <c r="N92" s="52">
        <f>N90*N91/1000</f>
        <v>0</v>
      </c>
      <c r="O92" s="52">
        <f t="shared" ref="O92:R92" si="159">O90*O91/1000</f>
        <v>0</v>
      </c>
      <c r="P92" s="52">
        <f t="shared" si="159"/>
        <v>0</v>
      </c>
      <c r="Q92" s="52">
        <f t="shared" si="159"/>
        <v>0</v>
      </c>
      <c r="R92" s="52">
        <f t="shared" si="159"/>
        <v>508.42399999999998</v>
      </c>
      <c r="S92" s="52">
        <f>S90*S91/1000+0.17</f>
        <v>817.61199999999997</v>
      </c>
      <c r="T92" s="69">
        <f>SUM(N92:S92)</f>
        <v>1326.0360000000001</v>
      </c>
      <c r="U92" s="69">
        <f>T92+L92</f>
        <v>2513.4209999999998</v>
      </c>
      <c r="V92" s="70">
        <f>V93+V94</f>
        <v>2189.8789999999999</v>
      </c>
      <c r="W92" s="53">
        <f>V92-U92</f>
        <v>-323.54199999999997</v>
      </c>
    </row>
    <row r="93" spans="1:24" s="47" customFormat="1" ht="18" customHeight="1">
      <c r="A93" s="610"/>
      <c r="B93" s="583"/>
      <c r="C93" s="583"/>
      <c r="D93" s="174" t="str">
        <f>серпень!D93</f>
        <v>дотація</v>
      </c>
      <c r="E93" s="56"/>
      <c r="F93" s="52"/>
      <c r="G93" s="52"/>
      <c r="H93" s="52"/>
      <c r="I93" s="52"/>
      <c r="J93" s="52"/>
      <c r="K93" s="52"/>
      <c r="L93" s="69">
        <f>SUM(F93:K93)</f>
        <v>0</v>
      </c>
      <c r="M93" s="69">
        <f>L93/6</f>
        <v>0</v>
      </c>
      <c r="N93" s="52"/>
      <c r="O93" s="52"/>
      <c r="P93" s="52"/>
      <c r="Q93" s="52"/>
      <c r="R93" s="52"/>
      <c r="S93" s="52"/>
      <c r="T93" s="69">
        <f>SUM(N93:S93)</f>
        <v>0</v>
      </c>
      <c r="U93" s="69">
        <f>T93+L93</f>
        <v>0</v>
      </c>
      <c r="V93" s="70"/>
      <c r="W93" s="53">
        <f>V93-U93</f>
        <v>0</v>
      </c>
    </row>
    <row r="94" spans="1:24" s="47" customFormat="1" ht="18" customHeight="1">
      <c r="A94" s="610"/>
      <c r="B94" s="583"/>
      <c r="C94" s="583"/>
      <c r="D94" s="174" t="str">
        <f>серпень!D94</f>
        <v>місцевий (план), тис.грн</v>
      </c>
      <c r="E94" s="56"/>
      <c r="F94" s="52">
        <f>110.365-110.365</f>
        <v>0</v>
      </c>
      <c r="G94" s="52">
        <f>434.781+130.596</f>
        <v>565.37699999999995</v>
      </c>
      <c r="H94" s="52">
        <f>297.046+490.639</f>
        <v>787.68499999999995</v>
      </c>
      <c r="I94" s="52">
        <f>204.841+156.096</f>
        <v>360.93700000000001</v>
      </c>
      <c r="J94" s="52">
        <v>0</v>
      </c>
      <c r="K94" s="52">
        <v>0</v>
      </c>
      <c r="L94" s="69">
        <f>SUM(F94:K94)</f>
        <v>1713.999</v>
      </c>
      <c r="M94" s="69">
        <f>L94/6</f>
        <v>285.66699999999997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f>1253.211-130.596-490.639-156.096</f>
        <v>475.88</v>
      </c>
      <c r="T94" s="69">
        <f>SUM(N94:S94)</f>
        <v>475.88</v>
      </c>
      <c r="U94" s="69">
        <f>T94+L94</f>
        <v>2189.8789999999999</v>
      </c>
      <c r="V94" s="70">
        <v>2189.8789999999999</v>
      </c>
      <c r="W94" s="53">
        <f>V94-U94</f>
        <v>0</v>
      </c>
    </row>
    <row r="95" spans="1:24" s="47" customFormat="1" ht="18" customHeight="1">
      <c r="A95" s="610"/>
      <c r="B95" s="583"/>
      <c r="C95" s="583"/>
      <c r="D95" s="178" t="str">
        <f>серпень!D95</f>
        <v>касові нат.п-ки 2025</v>
      </c>
      <c r="E95" s="11"/>
      <c r="F95" s="83">
        <v>0</v>
      </c>
      <c r="G95" s="348">
        <v>193.28</v>
      </c>
      <c r="H95" s="510">
        <v>254.357</v>
      </c>
      <c r="I95" s="151">
        <v>116.5</v>
      </c>
      <c r="J95" s="151">
        <f>-238988/3095.729</f>
        <v>-77.2</v>
      </c>
      <c r="K95" s="83">
        <v>0</v>
      </c>
      <c r="L95" s="465">
        <f>SUM(F95:K95)</f>
        <v>486.93700000000001</v>
      </c>
      <c r="M95" s="465">
        <f>L95/6</f>
        <v>81.156000000000006</v>
      </c>
      <c r="N95" s="349">
        <v>-92.896000000000001</v>
      </c>
      <c r="O95" s="11"/>
      <c r="P95" s="11"/>
      <c r="Q95" s="11"/>
      <c r="R95" s="11"/>
      <c r="S95" s="11">
        <f>R90+S90</f>
        <v>428.2</v>
      </c>
      <c r="T95" s="465">
        <f>SUM(N95:S95)</f>
        <v>335.30399999999997</v>
      </c>
      <c r="U95" s="465">
        <f>T95+L95</f>
        <v>822.24099999999999</v>
      </c>
      <c r="V95" s="11">
        <f>V90</f>
        <v>748.3</v>
      </c>
      <c r="W95" s="38">
        <f>V95-U95</f>
        <v>-73.900000000000006</v>
      </c>
      <c r="X95" s="47">
        <f>U90-U95</f>
        <v>0</v>
      </c>
    </row>
    <row r="96" spans="1:24" s="47" customFormat="1" ht="18" customHeight="1">
      <c r="A96" s="610"/>
      <c r="B96" s="583"/>
      <c r="C96" s="583"/>
      <c r="D96" s="187" t="str">
        <f>серпень!D96</f>
        <v>тариф, грн.</v>
      </c>
      <c r="E96" s="49" t="e">
        <f t="shared" ref="E96:K96" si="160">E97/E95*1000</f>
        <v>#DIV/0!</v>
      </c>
      <c r="F96" s="49" t="e">
        <f t="shared" si="160"/>
        <v>#DIV/0!</v>
      </c>
      <c r="G96" s="49">
        <f t="shared" si="160"/>
        <v>2926.3040000000001</v>
      </c>
      <c r="H96" s="49">
        <f t="shared" si="160"/>
        <v>3096.3719999999998</v>
      </c>
      <c r="I96" s="49">
        <f t="shared" si="160"/>
        <v>3097.3049999999998</v>
      </c>
      <c r="J96" s="49">
        <f t="shared" si="160"/>
        <v>3095.712</v>
      </c>
      <c r="K96" s="49" t="e">
        <f t="shared" si="160"/>
        <v>#DIV/0!</v>
      </c>
      <c r="L96" s="217">
        <f t="shared" ref="L96:N96" si="161">L97/L95*1000</f>
        <v>3029.19</v>
      </c>
      <c r="M96" s="217">
        <f t="shared" si="161"/>
        <v>3029.2</v>
      </c>
      <c r="N96" s="217">
        <f t="shared" si="161"/>
        <v>3096.39</v>
      </c>
      <c r="O96" s="217">
        <v>3096.37</v>
      </c>
      <c r="P96" s="217">
        <v>3096.37</v>
      </c>
      <c r="Q96" s="217">
        <v>3096.37</v>
      </c>
      <c r="R96" s="217">
        <v>3096.37</v>
      </c>
      <c r="S96" s="217">
        <v>3096.37</v>
      </c>
      <c r="T96" s="121">
        <f>T97/T95*1000</f>
        <v>3096.87</v>
      </c>
      <c r="U96" s="121">
        <f>U97/U95*1000</f>
        <v>3056.79</v>
      </c>
      <c r="V96" s="68">
        <f>V97/V95*1000</f>
        <v>2926.4720000000002</v>
      </c>
      <c r="W96" s="14">
        <f>W97/W95*1000</f>
        <v>4378.1059999999998</v>
      </c>
    </row>
    <row r="97" spans="1:24" s="63" customFormat="1" ht="18" customHeight="1">
      <c r="A97" s="610"/>
      <c r="B97" s="583"/>
      <c r="C97" s="583"/>
      <c r="D97" s="198" t="str">
        <f>серпень!D97</f>
        <v>касові видатки, тис.грн.</v>
      </c>
      <c r="E97" s="71"/>
      <c r="F97" s="61">
        <v>0</v>
      </c>
      <c r="G97" s="61">
        <v>565.596</v>
      </c>
      <c r="H97" s="61">
        <v>787.58399999999995</v>
      </c>
      <c r="I97" s="61">
        <v>360.83600000000001</v>
      </c>
      <c r="J97" s="61">
        <f>-236.987-2.002</f>
        <v>-238.989</v>
      </c>
      <c r="K97" s="61">
        <v>0</v>
      </c>
      <c r="L97" s="61">
        <f>SUM(F97:K97)</f>
        <v>1475.027</v>
      </c>
      <c r="M97" s="61">
        <f>L97/6</f>
        <v>245.83799999999999</v>
      </c>
      <c r="N97" s="61">
        <v>-287.642</v>
      </c>
      <c r="O97" s="61">
        <f t="shared" ref="O97" si="162">O95*O96/1000</f>
        <v>0</v>
      </c>
      <c r="P97" s="61">
        <f t="shared" ref="P97" si="163">P95*P96/1000</f>
        <v>0</v>
      </c>
      <c r="Q97" s="61">
        <f t="shared" ref="Q97" si="164">Q95*Q96/1000</f>
        <v>0</v>
      </c>
      <c r="R97" s="61">
        <f t="shared" ref="R97" si="165">R95*R96/1000</f>
        <v>0</v>
      </c>
      <c r="S97" s="62">
        <f>S95*S96/1000+0.17</f>
        <v>1326.0360000000001</v>
      </c>
      <c r="T97" s="62">
        <f>SUM(N97:S97)</f>
        <v>1038.394</v>
      </c>
      <c r="U97" s="62">
        <f>T97+L97</f>
        <v>2513.4209999999998</v>
      </c>
      <c r="V97" s="62">
        <f>V92</f>
        <v>2189.8789999999999</v>
      </c>
      <c r="W97" s="72">
        <f>V97-U97</f>
        <v>-323.54199999999997</v>
      </c>
      <c r="X97" s="63">
        <f>U92-U97</f>
        <v>0</v>
      </c>
    </row>
    <row r="98" spans="1:24" s="63" customFormat="1" ht="18" customHeight="1">
      <c r="A98" s="610"/>
      <c r="B98" s="583"/>
      <c r="C98" s="583"/>
      <c r="D98" s="201" t="str">
        <f>серпень!D98</f>
        <v>дотація</v>
      </c>
      <c r="E98" s="71"/>
      <c r="F98" s="61">
        <v>0</v>
      </c>
      <c r="G98" s="61">
        <v>0</v>
      </c>
      <c r="H98" s="61">
        <v>0</v>
      </c>
      <c r="I98" s="61">
        <v>0</v>
      </c>
      <c r="J98" s="61">
        <v>0</v>
      </c>
      <c r="K98" s="61">
        <v>0</v>
      </c>
      <c r="L98" s="61">
        <f>SUM(F98:K98)</f>
        <v>0</v>
      </c>
      <c r="M98" s="61">
        <f>L98/6</f>
        <v>0</v>
      </c>
      <c r="N98" s="61">
        <v>0</v>
      </c>
      <c r="O98" s="61">
        <v>0</v>
      </c>
      <c r="P98" s="61">
        <v>0</v>
      </c>
      <c r="Q98" s="61">
        <v>0</v>
      </c>
      <c r="R98" s="61">
        <v>0</v>
      </c>
      <c r="S98" s="62">
        <v>0</v>
      </c>
      <c r="T98" s="62">
        <f>SUM(N98:S98)</f>
        <v>0</v>
      </c>
      <c r="U98" s="62">
        <f>T98+L98</f>
        <v>0</v>
      </c>
      <c r="V98" s="62">
        <f>V93</f>
        <v>0</v>
      </c>
      <c r="W98" s="72">
        <f>V98-U98</f>
        <v>0</v>
      </c>
      <c r="X98" s="63">
        <f>U93-U98</f>
        <v>0</v>
      </c>
    </row>
    <row r="99" spans="1:24" s="63" customFormat="1" ht="18" customHeight="1">
      <c r="A99" s="610"/>
      <c r="B99" s="583"/>
      <c r="C99" s="583"/>
      <c r="D99" s="201" t="str">
        <f>серпень!D99</f>
        <v xml:space="preserve">місцевий </v>
      </c>
      <c r="E99" s="71"/>
      <c r="F99" s="61">
        <f t="shared" ref="F99:K99" si="166">F97-F98</f>
        <v>0</v>
      </c>
      <c r="G99" s="61">
        <f t="shared" si="166"/>
        <v>565.596</v>
      </c>
      <c r="H99" s="61">
        <f t="shared" si="166"/>
        <v>787.58399999999995</v>
      </c>
      <c r="I99" s="61">
        <f t="shared" si="166"/>
        <v>360.83600000000001</v>
      </c>
      <c r="J99" s="61">
        <f t="shared" si="166"/>
        <v>-238.989</v>
      </c>
      <c r="K99" s="61">
        <f t="shared" si="166"/>
        <v>0</v>
      </c>
      <c r="L99" s="61">
        <f>SUM(F99:K99)</f>
        <v>1475.027</v>
      </c>
      <c r="M99" s="61">
        <f>L99/6</f>
        <v>245.83799999999999</v>
      </c>
      <c r="N99" s="61">
        <f t="shared" ref="N99:S99" si="167">N97-N98</f>
        <v>-287.642</v>
      </c>
      <c r="O99" s="61">
        <f t="shared" si="167"/>
        <v>0</v>
      </c>
      <c r="P99" s="61">
        <f t="shared" si="167"/>
        <v>0</v>
      </c>
      <c r="Q99" s="61">
        <f t="shared" si="167"/>
        <v>0</v>
      </c>
      <c r="R99" s="61">
        <f t="shared" si="167"/>
        <v>0</v>
      </c>
      <c r="S99" s="62">
        <f t="shared" si="167"/>
        <v>1326.0360000000001</v>
      </c>
      <c r="T99" s="62">
        <f>SUM(N99:S99)</f>
        <v>1038.394</v>
      </c>
      <c r="U99" s="62">
        <f>T99+L99</f>
        <v>2513.4209999999998</v>
      </c>
      <c r="V99" s="62">
        <f>V94</f>
        <v>2189.8789999999999</v>
      </c>
      <c r="W99" s="72">
        <f>V99-U99</f>
        <v>-323.54199999999997</v>
      </c>
      <c r="X99" s="63">
        <f>U94-U99</f>
        <v>-323.54199999999997</v>
      </c>
    </row>
    <row r="100" spans="1:24" s="43" customFormat="1" ht="18" customHeight="1">
      <c r="A100" s="610"/>
      <c r="B100" s="583"/>
      <c r="C100" s="583"/>
      <c r="D100" s="202" t="str">
        <f>серпень!D100</f>
        <v>план</v>
      </c>
      <c r="E100" s="42"/>
      <c r="F100" s="42">
        <f t="shared" ref="F100:K100" si="168">F93+F94</f>
        <v>0</v>
      </c>
      <c r="G100" s="42">
        <f t="shared" si="168"/>
        <v>565.37699999999995</v>
      </c>
      <c r="H100" s="42">
        <f t="shared" si="168"/>
        <v>787.68499999999995</v>
      </c>
      <c r="I100" s="42">
        <f t="shared" si="168"/>
        <v>360.93700000000001</v>
      </c>
      <c r="J100" s="42">
        <f t="shared" si="168"/>
        <v>0</v>
      </c>
      <c r="K100" s="42">
        <f t="shared" si="168"/>
        <v>0</v>
      </c>
      <c r="L100" s="42">
        <f>SUM(F100:K100)</f>
        <v>1713.999</v>
      </c>
      <c r="M100" s="42">
        <f>L100/6</f>
        <v>285.66699999999997</v>
      </c>
      <c r="N100" s="42">
        <f t="shared" ref="N100:S100" si="169">N94+N93</f>
        <v>0</v>
      </c>
      <c r="O100" s="42">
        <f t="shared" si="169"/>
        <v>0</v>
      </c>
      <c r="P100" s="42">
        <f t="shared" si="169"/>
        <v>0</v>
      </c>
      <c r="Q100" s="42">
        <f t="shared" si="169"/>
        <v>0</v>
      </c>
      <c r="R100" s="42">
        <f t="shared" si="169"/>
        <v>0</v>
      </c>
      <c r="S100" s="64">
        <f t="shared" si="169"/>
        <v>475.88</v>
      </c>
      <c r="T100" s="64">
        <f>SUM(N100:S100)</f>
        <v>475.88</v>
      </c>
      <c r="U100" s="64">
        <f>T100+L100</f>
        <v>2189.8789999999999</v>
      </c>
      <c r="V100" s="64">
        <f>V97</f>
        <v>2189.8789999999999</v>
      </c>
      <c r="W100" s="42">
        <f>V100-U100</f>
        <v>0</v>
      </c>
    </row>
    <row r="101" spans="1:24" s="43" customFormat="1" ht="18" customHeight="1">
      <c r="A101" s="610"/>
      <c r="B101" s="583"/>
      <c r="C101" s="583"/>
      <c r="D101" s="202" t="str">
        <f>серпень!D101</f>
        <v xml:space="preserve">відхилення </v>
      </c>
      <c r="E101" s="42"/>
      <c r="F101" s="42">
        <f t="shared" ref="F101:K101" si="170">F97-F100</f>
        <v>0</v>
      </c>
      <c r="G101" s="42">
        <f t="shared" si="170"/>
        <v>0.219</v>
      </c>
      <c r="H101" s="42">
        <f t="shared" si="170"/>
        <v>-0.10100000000000001</v>
      </c>
      <c r="I101" s="42">
        <f t="shared" si="170"/>
        <v>-0.10100000000000001</v>
      </c>
      <c r="J101" s="42">
        <f t="shared" si="170"/>
        <v>-238.989</v>
      </c>
      <c r="K101" s="42">
        <f t="shared" si="170"/>
        <v>0</v>
      </c>
      <c r="L101" s="42"/>
      <c r="M101" s="42"/>
      <c r="N101" s="42">
        <f t="shared" ref="N101:S101" si="171">N97-N100</f>
        <v>-287.642</v>
      </c>
      <c r="O101" s="42">
        <f t="shared" si="171"/>
        <v>0</v>
      </c>
      <c r="P101" s="42">
        <f t="shared" si="171"/>
        <v>0</v>
      </c>
      <c r="Q101" s="42">
        <f t="shared" si="171"/>
        <v>0</v>
      </c>
      <c r="R101" s="42">
        <f t="shared" si="171"/>
        <v>0</v>
      </c>
      <c r="S101" s="42">
        <f t="shared" si="171"/>
        <v>850.15599999999995</v>
      </c>
      <c r="T101" s="42"/>
      <c r="U101" s="42"/>
      <c r="V101" s="42"/>
      <c r="W101" s="42"/>
    </row>
    <row r="102" spans="1:24" s="43" customFormat="1" ht="18" customHeight="1">
      <c r="A102" s="610"/>
      <c r="B102" s="583"/>
      <c r="C102" s="584"/>
      <c r="D102" s="202" t="str">
        <f>серпень!D102</f>
        <v>відхилення з наростаючим</v>
      </c>
      <c r="E102" s="42"/>
      <c r="F102" s="42">
        <f>F101</f>
        <v>0</v>
      </c>
      <c r="G102" s="42">
        <f>G101+F102</f>
        <v>0.219</v>
      </c>
      <c r="H102" s="42">
        <f>H101+G102</f>
        <v>0.11799999999999999</v>
      </c>
      <c r="I102" s="42">
        <f>I101+H102</f>
        <v>1.7000000000000001E-2</v>
      </c>
      <c r="J102" s="42">
        <f>J101+I102</f>
        <v>-238.97200000000001</v>
      </c>
      <c r="K102" s="42">
        <f>K101+J102</f>
        <v>-238.97200000000001</v>
      </c>
      <c r="L102" s="42"/>
      <c r="M102" s="42"/>
      <c r="N102" s="42">
        <f>N101+K102</f>
        <v>-526.61400000000003</v>
      </c>
      <c r="O102" s="42">
        <f>O101+N102</f>
        <v>-526.61400000000003</v>
      </c>
      <c r="P102" s="42">
        <f>P101+O102</f>
        <v>-526.61400000000003</v>
      </c>
      <c r="Q102" s="42">
        <f>Q101+P102</f>
        <v>-526.61400000000003</v>
      </c>
      <c r="R102" s="42">
        <f>R101+Q102</f>
        <v>-526.61400000000003</v>
      </c>
      <c r="S102" s="42">
        <f>S101+R102</f>
        <v>323.54199999999997</v>
      </c>
      <c r="T102" s="42"/>
      <c r="U102" s="42"/>
      <c r="V102" s="42"/>
      <c r="W102" s="42"/>
    </row>
    <row r="103" spans="1:24" s="43" customFormat="1" ht="18" hidden="1" customHeight="1">
      <c r="A103" s="610"/>
      <c r="B103" s="583"/>
      <c r="C103" s="582" t="s">
        <v>96</v>
      </c>
      <c r="D103" s="178" t="str">
        <f>серпень!D103</f>
        <v>факт. нат.п-ки 2023</v>
      </c>
      <c r="E103" s="179"/>
      <c r="F103" s="184"/>
      <c r="G103" s="184"/>
      <c r="H103" s="179"/>
      <c r="I103" s="179"/>
      <c r="J103" s="179"/>
      <c r="K103" s="179"/>
      <c r="L103" s="215">
        <f>SUM(F103:K103)</f>
        <v>0</v>
      </c>
      <c r="M103" s="215">
        <f>L103/6</f>
        <v>0</v>
      </c>
      <c r="N103" s="179"/>
      <c r="O103" s="179"/>
      <c r="P103" s="179"/>
      <c r="Q103" s="179"/>
      <c r="R103" s="179"/>
      <c r="S103" s="179"/>
      <c r="T103" s="215">
        <f>SUM(N103:S103)</f>
        <v>0</v>
      </c>
      <c r="U103" s="215">
        <f>T103+L103</f>
        <v>0</v>
      </c>
      <c r="V103" s="179"/>
      <c r="W103" s="184"/>
    </row>
    <row r="104" spans="1:24" s="43" customFormat="1" ht="18" hidden="1" customHeight="1">
      <c r="A104" s="610"/>
      <c r="B104" s="583"/>
      <c r="C104" s="583"/>
      <c r="D104" s="178" t="str">
        <f>серпень!D104</f>
        <v>факт. нат.п-ки 2024</v>
      </c>
      <c r="E104" s="179"/>
      <c r="F104" s="184"/>
      <c r="G104" s="184"/>
      <c r="H104" s="179"/>
      <c r="I104" s="179"/>
      <c r="J104" s="179"/>
      <c r="K104" s="179"/>
      <c r="L104" s="215">
        <f>SUM(F104:K104)</f>
        <v>0</v>
      </c>
      <c r="M104" s="215">
        <f>L104/6</f>
        <v>0</v>
      </c>
      <c r="N104" s="179"/>
      <c r="O104" s="179"/>
      <c r="P104" s="179"/>
      <c r="Q104" s="179"/>
      <c r="R104" s="179"/>
      <c r="S104" s="179"/>
      <c r="T104" s="215">
        <f>SUM(N104:S104)</f>
        <v>0</v>
      </c>
      <c r="U104" s="215">
        <f>T104+L104</f>
        <v>0</v>
      </c>
      <c r="V104" s="179"/>
      <c r="W104" s="184"/>
    </row>
    <row r="105" spans="1:24" s="205" customFormat="1" ht="23.5" hidden="1" customHeight="1">
      <c r="A105" s="610"/>
      <c r="B105" s="583"/>
      <c r="C105" s="583"/>
      <c r="D105" s="178" t="str">
        <f>серпень!D105</f>
        <v>факт. нат.п-ки 2025</v>
      </c>
      <c r="E105" s="179"/>
      <c r="F105" s="184"/>
      <c r="G105" s="184"/>
      <c r="H105" s="179"/>
      <c r="I105" s="216"/>
      <c r="J105" s="179"/>
      <c r="K105" s="179"/>
      <c r="L105" s="215">
        <f>SUM(F105:K105)</f>
        <v>0</v>
      </c>
      <c r="M105" s="215">
        <f>L105/6</f>
        <v>0</v>
      </c>
      <c r="N105" s="179"/>
      <c r="O105" s="179"/>
      <c r="P105" s="179"/>
      <c r="Q105" s="179"/>
      <c r="R105" s="179"/>
      <c r="S105" s="179"/>
      <c r="T105" s="215">
        <f>SUM(N105:S105)</f>
        <v>0</v>
      </c>
      <c r="U105" s="215">
        <f>T105+L105</f>
        <v>0</v>
      </c>
      <c r="V105" s="179"/>
      <c r="W105" s="184">
        <f>U105-V105</f>
        <v>0</v>
      </c>
    </row>
    <row r="106" spans="1:24" s="205" customFormat="1" ht="23.5" hidden="1" customHeight="1">
      <c r="A106" s="610"/>
      <c r="B106" s="583"/>
      <c r="C106" s="583"/>
      <c r="D106" s="187" t="str">
        <f>серпень!D106</f>
        <v>тариф, грн.</v>
      </c>
      <c r="E106" s="188"/>
      <c r="F106" s="188"/>
      <c r="G106" s="188"/>
      <c r="H106" s="188"/>
      <c r="I106" s="188"/>
      <c r="J106" s="188"/>
      <c r="K106" s="188"/>
      <c r="L106" s="217" t="e">
        <f>L107/L105*1000</f>
        <v>#DIV/0!</v>
      </c>
      <c r="M106" s="217" t="e">
        <f>M107/M105*1000</f>
        <v>#DIV/0!</v>
      </c>
      <c r="N106" s="188"/>
      <c r="O106" s="188"/>
      <c r="P106" s="188"/>
      <c r="Q106" s="188"/>
      <c r="R106" s="218"/>
      <c r="S106" s="218"/>
      <c r="T106" s="217" t="e">
        <f>T107/T105*1000</f>
        <v>#DIV/0!</v>
      </c>
      <c r="U106" s="217" t="e">
        <f>U107/U105*1000</f>
        <v>#DIV/0!</v>
      </c>
      <c r="V106" s="218" t="e">
        <f>V107/V105*1000</f>
        <v>#DIV/0!</v>
      </c>
      <c r="W106" s="219" t="e">
        <f>W107/W105*1000</f>
        <v>#DIV/0!</v>
      </c>
    </row>
    <row r="107" spans="1:24" s="205" customFormat="1" ht="23.5" hidden="1" customHeight="1">
      <c r="A107" s="610"/>
      <c r="B107" s="583"/>
      <c r="C107" s="583"/>
      <c r="D107" s="191" t="str">
        <f>серпень!D107</f>
        <v>сума, тис.грн.</v>
      </c>
      <c r="E107" s="192"/>
      <c r="F107" s="192"/>
      <c r="G107" s="192"/>
      <c r="H107" s="192"/>
      <c r="I107" s="192"/>
      <c r="J107" s="192"/>
      <c r="K107" s="192"/>
      <c r="L107" s="194">
        <f>SUM(F107:K107)</f>
        <v>0</v>
      </c>
      <c r="M107" s="194">
        <f>L107/6</f>
        <v>0</v>
      </c>
      <c r="N107" s="192"/>
      <c r="O107" s="192"/>
      <c r="P107" s="192"/>
      <c r="Q107" s="192"/>
      <c r="R107" s="192"/>
      <c r="S107" s="192"/>
      <c r="T107" s="194">
        <f>SUM(N107:S107)</f>
        <v>0</v>
      </c>
      <c r="U107" s="194">
        <f>T107+L107</f>
        <v>0</v>
      </c>
      <c r="V107" s="171">
        <f>V108+V109</f>
        <v>0</v>
      </c>
      <c r="W107" s="192">
        <f>V107-U107</f>
        <v>0</v>
      </c>
    </row>
    <row r="108" spans="1:24" s="205" customFormat="1" ht="23.5" hidden="1" customHeight="1">
      <c r="A108" s="610"/>
      <c r="B108" s="583"/>
      <c r="C108" s="583"/>
      <c r="D108" s="174" t="str">
        <f>серпень!D108</f>
        <v>дотація</v>
      </c>
      <c r="E108" s="210"/>
      <c r="F108" s="192"/>
      <c r="G108" s="192"/>
      <c r="H108" s="192"/>
      <c r="I108" s="192"/>
      <c r="J108" s="192"/>
      <c r="K108" s="192"/>
      <c r="L108" s="194">
        <f>SUM(F108:K108)</f>
        <v>0</v>
      </c>
      <c r="M108" s="194">
        <f>L108/6</f>
        <v>0</v>
      </c>
      <c r="N108" s="192"/>
      <c r="O108" s="192"/>
      <c r="P108" s="192"/>
      <c r="Q108" s="192"/>
      <c r="R108" s="192"/>
      <c r="S108" s="192"/>
      <c r="T108" s="194">
        <f>SUM(N108:S108)</f>
        <v>0</v>
      </c>
      <c r="U108" s="194">
        <f>T108+L108</f>
        <v>0</v>
      </c>
      <c r="V108" s="171"/>
      <c r="W108" s="192">
        <f>V108-U108</f>
        <v>0</v>
      </c>
    </row>
    <row r="109" spans="1:24" s="205" customFormat="1" ht="23.5" hidden="1" customHeight="1">
      <c r="A109" s="610"/>
      <c r="B109" s="583"/>
      <c r="C109" s="583"/>
      <c r="D109" s="174" t="str">
        <f>серпень!D109</f>
        <v>місцевий (план), тис.грн</v>
      </c>
      <c r="E109" s="210"/>
      <c r="F109" s="192"/>
      <c r="G109" s="192"/>
      <c r="H109" s="192"/>
      <c r="I109" s="192"/>
      <c r="J109" s="192"/>
      <c r="K109" s="192"/>
      <c r="L109" s="194">
        <f>SUM(F109:K109)</f>
        <v>0</v>
      </c>
      <c r="M109" s="194">
        <f>L109/6</f>
        <v>0</v>
      </c>
      <c r="N109" s="192"/>
      <c r="O109" s="192"/>
      <c r="P109" s="192"/>
      <c r="Q109" s="192"/>
      <c r="R109" s="192"/>
      <c r="S109" s="192"/>
      <c r="T109" s="194">
        <f>SUM(N109:S109)</f>
        <v>0</v>
      </c>
      <c r="U109" s="194">
        <f>T109+L109</f>
        <v>0</v>
      </c>
      <c r="V109" s="171"/>
      <c r="W109" s="192">
        <f>V109-U109</f>
        <v>0</v>
      </c>
    </row>
    <row r="110" spans="1:24" s="205" customFormat="1" ht="23.5" hidden="1" customHeight="1">
      <c r="A110" s="610"/>
      <c r="B110" s="583"/>
      <c r="C110" s="583"/>
      <c r="D110" s="178" t="str">
        <f>серпень!D110</f>
        <v>касові нат.п-ки 2025</v>
      </c>
      <c r="E110" s="179"/>
      <c r="F110" s="184"/>
      <c r="G110" s="184"/>
      <c r="H110" s="179"/>
      <c r="I110" s="179"/>
      <c r="J110" s="216"/>
      <c r="K110" s="179"/>
      <c r="L110" s="215">
        <f>SUM(F110:K110)</f>
        <v>0</v>
      </c>
      <c r="M110" s="215">
        <f>L110/6</f>
        <v>0</v>
      </c>
      <c r="N110" s="179"/>
      <c r="O110" s="179"/>
      <c r="P110" s="179"/>
      <c r="Q110" s="179"/>
      <c r="R110" s="179"/>
      <c r="S110" s="179"/>
      <c r="T110" s="215">
        <f>SUM(N110:S110)</f>
        <v>0</v>
      </c>
      <c r="U110" s="215">
        <f>T110+L110</f>
        <v>0</v>
      </c>
      <c r="V110" s="179">
        <f>V105</f>
        <v>0</v>
      </c>
      <c r="W110" s="184">
        <f>V110-U110</f>
        <v>0</v>
      </c>
      <c r="X110" s="185">
        <f>U105-U110</f>
        <v>0</v>
      </c>
    </row>
    <row r="111" spans="1:24" s="205" customFormat="1" ht="23.5" hidden="1" customHeight="1">
      <c r="A111" s="610"/>
      <c r="B111" s="583"/>
      <c r="C111" s="583"/>
      <c r="D111" s="187" t="str">
        <f>серпень!D111</f>
        <v>тариф, грн.</v>
      </c>
      <c r="E111" s="188" t="e">
        <f t="shared" ref="E111" si="172">E112/E110*1000</f>
        <v>#DIV/0!</v>
      </c>
      <c r="F111" s="188"/>
      <c r="G111" s="188"/>
      <c r="H111" s="188"/>
      <c r="I111" s="188"/>
      <c r="J111" s="188"/>
      <c r="K111" s="188"/>
      <c r="L111" s="217" t="e">
        <f>L112/L110*1000</f>
        <v>#DIV/0!</v>
      </c>
      <c r="M111" s="217" t="e">
        <f>M112/M110*1000</f>
        <v>#DIV/0!</v>
      </c>
      <c r="N111" s="188"/>
      <c r="O111" s="188"/>
      <c r="P111" s="188"/>
      <c r="Q111" s="188"/>
      <c r="R111" s="218"/>
      <c r="S111" s="218"/>
      <c r="T111" s="217" t="e">
        <f>T112/T110*1000</f>
        <v>#DIV/0!</v>
      </c>
      <c r="U111" s="217" t="e">
        <f>U112/U110*1000</f>
        <v>#DIV/0!</v>
      </c>
      <c r="V111" s="218" t="e">
        <f>V112/V110*1000</f>
        <v>#DIV/0!</v>
      </c>
      <c r="W111" s="219" t="e">
        <f>W112/W110*1000</f>
        <v>#DIV/0!</v>
      </c>
      <c r="X111" s="185"/>
    </row>
    <row r="112" spans="1:24" s="205" customFormat="1" ht="23.5" hidden="1" customHeight="1">
      <c r="A112" s="610"/>
      <c r="B112" s="583"/>
      <c r="C112" s="583"/>
      <c r="D112" s="198" t="str">
        <f>серпень!D112</f>
        <v>касові видатки, тис.грн.</v>
      </c>
      <c r="E112" s="220"/>
      <c r="F112" s="199"/>
      <c r="G112" s="199"/>
      <c r="H112" s="199"/>
      <c r="I112" s="199"/>
      <c r="J112" s="199"/>
      <c r="K112" s="199"/>
      <c r="L112" s="199">
        <f>SUM(F112:K112)</f>
        <v>0</v>
      </c>
      <c r="M112" s="199">
        <f>L112/6</f>
        <v>0</v>
      </c>
      <c r="N112" s="199"/>
      <c r="O112" s="199"/>
      <c r="P112" s="199"/>
      <c r="Q112" s="199"/>
      <c r="R112" s="199"/>
      <c r="S112" s="199"/>
      <c r="T112" s="199">
        <f>SUM(N112:S112)</f>
        <v>0</v>
      </c>
      <c r="U112" s="199">
        <f>T112+L112</f>
        <v>0</v>
      </c>
      <c r="V112" s="199">
        <f>V107</f>
        <v>0</v>
      </c>
      <c r="W112" s="221">
        <f>V112-U112</f>
        <v>0</v>
      </c>
      <c r="X112" s="176">
        <f>U107-U112</f>
        <v>0</v>
      </c>
    </row>
    <row r="113" spans="1:24" s="205" customFormat="1" ht="23.5" hidden="1" customHeight="1">
      <c r="A113" s="610"/>
      <c r="B113" s="583"/>
      <c r="C113" s="583"/>
      <c r="D113" s="201" t="str">
        <f>серпень!D113</f>
        <v>дотація</v>
      </c>
      <c r="E113" s="220"/>
      <c r="F113" s="199">
        <v>0</v>
      </c>
      <c r="G113" s="199">
        <v>0</v>
      </c>
      <c r="H113" s="199">
        <v>0</v>
      </c>
      <c r="I113" s="199">
        <v>0</v>
      </c>
      <c r="J113" s="199">
        <v>0</v>
      </c>
      <c r="K113" s="199">
        <v>0</v>
      </c>
      <c r="L113" s="199">
        <f>SUM(F113:K113)</f>
        <v>0</v>
      </c>
      <c r="M113" s="199">
        <f>L113/6</f>
        <v>0</v>
      </c>
      <c r="N113" s="199">
        <v>0</v>
      </c>
      <c r="O113" s="199">
        <v>0</v>
      </c>
      <c r="P113" s="199">
        <v>0</v>
      </c>
      <c r="Q113" s="199">
        <v>0</v>
      </c>
      <c r="R113" s="199">
        <v>0</v>
      </c>
      <c r="S113" s="199">
        <v>0</v>
      </c>
      <c r="T113" s="199">
        <f>SUM(N113:S113)</f>
        <v>0</v>
      </c>
      <c r="U113" s="199">
        <f>T113+L113</f>
        <v>0</v>
      </c>
      <c r="V113" s="199">
        <f>V108</f>
        <v>0</v>
      </c>
      <c r="W113" s="221">
        <f>V113-U113</f>
        <v>0</v>
      </c>
      <c r="X113" s="176">
        <f>U108-U113</f>
        <v>0</v>
      </c>
    </row>
    <row r="114" spans="1:24" s="205" customFormat="1" ht="23.5" hidden="1" customHeight="1">
      <c r="A114" s="610"/>
      <c r="B114" s="583"/>
      <c r="C114" s="583"/>
      <c r="D114" s="201" t="str">
        <f>серпень!D114</f>
        <v xml:space="preserve">місцевий </v>
      </c>
      <c r="E114" s="220"/>
      <c r="F114" s="199">
        <f t="shared" ref="F114:K114" si="173">F112-F113</f>
        <v>0</v>
      </c>
      <c r="G114" s="199">
        <f t="shared" si="173"/>
        <v>0</v>
      </c>
      <c r="H114" s="199">
        <f t="shared" si="173"/>
        <v>0</v>
      </c>
      <c r="I114" s="199">
        <f t="shared" si="173"/>
        <v>0</v>
      </c>
      <c r="J114" s="199">
        <f t="shared" si="173"/>
        <v>0</v>
      </c>
      <c r="K114" s="199">
        <f t="shared" si="173"/>
        <v>0</v>
      </c>
      <c r="L114" s="199">
        <f>SUM(F114:K114)</f>
        <v>0</v>
      </c>
      <c r="M114" s="199">
        <f>L114/6</f>
        <v>0</v>
      </c>
      <c r="N114" s="199">
        <f t="shared" ref="N114:S114" si="174">N112-N113</f>
        <v>0</v>
      </c>
      <c r="O114" s="199">
        <f t="shared" si="174"/>
        <v>0</v>
      </c>
      <c r="P114" s="199">
        <f t="shared" si="174"/>
        <v>0</v>
      </c>
      <c r="Q114" s="199">
        <f t="shared" si="174"/>
        <v>0</v>
      </c>
      <c r="R114" s="199">
        <f t="shared" si="174"/>
        <v>0</v>
      </c>
      <c r="S114" s="199">
        <f t="shared" si="174"/>
        <v>0</v>
      </c>
      <c r="T114" s="199">
        <f>SUM(N114:S114)</f>
        <v>0</v>
      </c>
      <c r="U114" s="199">
        <f>T114+L114</f>
        <v>0</v>
      </c>
      <c r="V114" s="199">
        <f>V109</f>
        <v>0</v>
      </c>
      <c r="W114" s="221">
        <f>V114-U114</f>
        <v>0</v>
      </c>
      <c r="X114" s="176">
        <f>U109-U114</f>
        <v>0</v>
      </c>
    </row>
    <row r="115" spans="1:24" s="43" customFormat="1" ht="18" hidden="1" customHeight="1">
      <c r="A115" s="610"/>
      <c r="B115" s="583"/>
      <c r="C115" s="583"/>
      <c r="D115" s="202" t="str">
        <f>серпень!D115</f>
        <v>план</v>
      </c>
      <c r="E115" s="203"/>
      <c r="F115" s="203">
        <f t="shared" ref="F115:K115" si="175">F108+F109</f>
        <v>0</v>
      </c>
      <c r="G115" s="203">
        <f t="shared" si="175"/>
        <v>0</v>
      </c>
      <c r="H115" s="203">
        <f t="shared" si="175"/>
        <v>0</v>
      </c>
      <c r="I115" s="203">
        <f t="shared" si="175"/>
        <v>0</v>
      </c>
      <c r="J115" s="203">
        <f t="shared" si="175"/>
        <v>0</v>
      </c>
      <c r="K115" s="203">
        <f t="shared" si="175"/>
        <v>0</v>
      </c>
      <c r="L115" s="203">
        <f>SUM(F115:K115)</f>
        <v>0</v>
      </c>
      <c r="M115" s="203">
        <f>L115/6</f>
        <v>0</v>
      </c>
      <c r="N115" s="203">
        <f t="shared" ref="N115:S115" si="176">N109+N108</f>
        <v>0</v>
      </c>
      <c r="O115" s="203">
        <f t="shared" si="176"/>
        <v>0</v>
      </c>
      <c r="P115" s="203">
        <f t="shared" si="176"/>
        <v>0</v>
      </c>
      <c r="Q115" s="203">
        <f t="shared" si="176"/>
        <v>0</v>
      </c>
      <c r="R115" s="203">
        <f t="shared" si="176"/>
        <v>0</v>
      </c>
      <c r="S115" s="203">
        <f t="shared" si="176"/>
        <v>0</v>
      </c>
      <c r="T115" s="203">
        <f>SUM(N115:S115)</f>
        <v>0</v>
      </c>
      <c r="U115" s="203">
        <f>T115+L115</f>
        <v>0</v>
      </c>
      <c r="V115" s="203">
        <f>V112</f>
        <v>0</v>
      </c>
      <c r="W115" s="203">
        <f>V115-U115</f>
        <v>0</v>
      </c>
    </row>
    <row r="116" spans="1:24" s="43" customFormat="1" ht="18" hidden="1" customHeight="1">
      <c r="A116" s="610"/>
      <c r="B116" s="583"/>
      <c r="C116" s="583"/>
      <c r="D116" s="202" t="str">
        <f>серпень!D116</f>
        <v xml:space="preserve">відхилення </v>
      </c>
      <c r="E116" s="203"/>
      <c r="F116" s="203">
        <f t="shared" ref="F116:K116" si="177">F112-F115</f>
        <v>0</v>
      </c>
      <c r="G116" s="203">
        <f t="shared" si="177"/>
        <v>0</v>
      </c>
      <c r="H116" s="203">
        <f t="shared" si="177"/>
        <v>0</v>
      </c>
      <c r="I116" s="203">
        <f t="shared" si="177"/>
        <v>0</v>
      </c>
      <c r="J116" s="203">
        <f t="shared" si="177"/>
        <v>0</v>
      </c>
      <c r="K116" s="203">
        <f t="shared" si="177"/>
        <v>0</v>
      </c>
      <c r="L116" s="203"/>
      <c r="M116" s="203"/>
      <c r="N116" s="203">
        <f t="shared" ref="N116:S116" si="178">N112-N115</f>
        <v>0</v>
      </c>
      <c r="O116" s="203">
        <f t="shared" si="178"/>
        <v>0</v>
      </c>
      <c r="P116" s="203">
        <f t="shared" si="178"/>
        <v>0</v>
      </c>
      <c r="Q116" s="203">
        <f t="shared" si="178"/>
        <v>0</v>
      </c>
      <c r="R116" s="203">
        <f t="shared" si="178"/>
        <v>0</v>
      </c>
      <c r="S116" s="203">
        <f t="shared" si="178"/>
        <v>0</v>
      </c>
      <c r="T116" s="203"/>
      <c r="U116" s="203"/>
      <c r="V116" s="203"/>
      <c r="W116" s="203"/>
    </row>
    <row r="117" spans="1:24" s="43" customFormat="1" ht="18" hidden="1" customHeight="1">
      <c r="A117" s="610"/>
      <c r="B117" s="583"/>
      <c r="C117" s="584"/>
      <c r="D117" s="202" t="str">
        <f>серпень!D117</f>
        <v>відхилення з наростаючим</v>
      </c>
      <c r="E117" s="203"/>
      <c r="F117" s="203">
        <f>F116</f>
        <v>0</v>
      </c>
      <c r="G117" s="203">
        <f>G116+F117</f>
        <v>0</v>
      </c>
      <c r="H117" s="203">
        <f>H116+G117</f>
        <v>0</v>
      </c>
      <c r="I117" s="203">
        <f>I116+H117</f>
        <v>0</v>
      </c>
      <c r="J117" s="203">
        <f>J116+I117</f>
        <v>0</v>
      </c>
      <c r="K117" s="203">
        <f>K116+J117</f>
        <v>0</v>
      </c>
      <c r="L117" s="203"/>
      <c r="M117" s="203"/>
      <c r="N117" s="203">
        <f>N116+K117</f>
        <v>0</v>
      </c>
      <c r="O117" s="203">
        <f>O116+N117</f>
        <v>0</v>
      </c>
      <c r="P117" s="203">
        <f>P116+O117</f>
        <v>0</v>
      </c>
      <c r="Q117" s="203">
        <f>Q116+P117</f>
        <v>0</v>
      </c>
      <c r="R117" s="203">
        <f>R116+Q117</f>
        <v>0</v>
      </c>
      <c r="S117" s="203">
        <f>S116+R117</f>
        <v>0</v>
      </c>
      <c r="T117" s="203"/>
      <c r="U117" s="203"/>
      <c r="V117" s="203"/>
      <c r="W117" s="203"/>
    </row>
    <row r="118" spans="1:24" s="43" customFormat="1" ht="18" hidden="1" customHeight="1">
      <c r="A118" s="610"/>
      <c r="B118" s="581" t="s">
        <v>57</v>
      </c>
      <c r="C118" s="582" t="s">
        <v>98</v>
      </c>
      <c r="D118" s="178" t="str">
        <f>серпень!D118</f>
        <v>факт. нат.п-ки 2023</v>
      </c>
      <c r="E118" s="179"/>
      <c r="F118" s="184"/>
      <c r="G118" s="184"/>
      <c r="H118" s="179"/>
      <c r="I118" s="179"/>
      <c r="J118" s="179"/>
      <c r="K118" s="179"/>
      <c r="L118" s="215">
        <f>SUM(F118:K118)</f>
        <v>0</v>
      </c>
      <c r="M118" s="215">
        <f>L118/6</f>
        <v>0</v>
      </c>
      <c r="N118" s="179"/>
      <c r="O118" s="179"/>
      <c r="P118" s="179"/>
      <c r="Q118" s="179"/>
      <c r="R118" s="179"/>
      <c r="S118" s="179"/>
      <c r="T118" s="215">
        <f>SUM(N118:S118)</f>
        <v>0</v>
      </c>
      <c r="U118" s="215">
        <f>T118+L118</f>
        <v>0</v>
      </c>
      <c r="V118" s="179"/>
      <c r="W118" s="184"/>
    </row>
    <row r="119" spans="1:24" s="43" customFormat="1" ht="18" hidden="1" customHeight="1">
      <c r="A119" s="610"/>
      <c r="B119" s="581"/>
      <c r="C119" s="583"/>
      <c r="D119" s="178" t="str">
        <f>серпень!D119</f>
        <v>факт. нат.п-ки 2024</v>
      </c>
      <c r="E119" s="179"/>
      <c r="F119" s="184"/>
      <c r="G119" s="184"/>
      <c r="H119" s="179"/>
      <c r="I119" s="179"/>
      <c r="J119" s="179"/>
      <c r="K119" s="179"/>
      <c r="L119" s="215">
        <f>SUM(F119:K119)</f>
        <v>0</v>
      </c>
      <c r="M119" s="215">
        <f>L119/6</f>
        <v>0</v>
      </c>
      <c r="N119" s="179"/>
      <c r="O119" s="179"/>
      <c r="P119" s="179"/>
      <c r="Q119" s="179"/>
      <c r="R119" s="179"/>
      <c r="S119" s="179"/>
      <c r="T119" s="215">
        <f>SUM(N119:S119)</f>
        <v>0</v>
      </c>
      <c r="U119" s="215">
        <f>T119+L119</f>
        <v>0</v>
      </c>
      <c r="V119" s="179"/>
      <c r="W119" s="184"/>
    </row>
    <row r="120" spans="1:24" s="43" customFormat="1" ht="18" hidden="1" customHeight="1">
      <c r="A120" s="610"/>
      <c r="B120" s="581"/>
      <c r="C120" s="583"/>
      <c r="D120" s="178" t="str">
        <f>серпень!D120</f>
        <v>факт. нат.п-ки 2025</v>
      </c>
      <c r="E120" s="179"/>
      <c r="F120" s="184"/>
      <c r="G120" s="184"/>
      <c r="H120" s="179"/>
      <c r="I120" s="216"/>
      <c r="J120" s="179"/>
      <c r="K120" s="179"/>
      <c r="L120" s="215">
        <f>SUM(F120:K120)</f>
        <v>0</v>
      </c>
      <c r="M120" s="215">
        <f>L120/6</f>
        <v>0</v>
      </c>
      <c r="N120" s="179"/>
      <c r="O120" s="179"/>
      <c r="P120" s="179"/>
      <c r="Q120" s="179"/>
      <c r="R120" s="179"/>
      <c r="S120" s="179"/>
      <c r="T120" s="215">
        <f>SUM(N120:S120)</f>
        <v>0</v>
      </c>
      <c r="U120" s="215">
        <f>T120+L120</f>
        <v>0</v>
      </c>
      <c r="V120" s="179"/>
      <c r="W120" s="184">
        <f>U120-V120</f>
        <v>0</v>
      </c>
    </row>
    <row r="121" spans="1:24" s="43" customFormat="1" ht="18" hidden="1" customHeight="1">
      <c r="A121" s="610"/>
      <c r="B121" s="581"/>
      <c r="C121" s="583"/>
      <c r="D121" s="187" t="str">
        <f>серпень!D121</f>
        <v>тариф, грн.</v>
      </c>
      <c r="E121" s="188"/>
      <c r="F121" s="188"/>
      <c r="G121" s="188"/>
      <c r="H121" s="188"/>
      <c r="I121" s="188"/>
      <c r="J121" s="188"/>
      <c r="K121" s="188"/>
      <c r="L121" s="217" t="e">
        <f>L122/L120*1000</f>
        <v>#DIV/0!</v>
      </c>
      <c r="M121" s="217" t="e">
        <f>M122/M120*1000</f>
        <v>#DIV/0!</v>
      </c>
      <c r="N121" s="188"/>
      <c r="O121" s="188"/>
      <c r="P121" s="188"/>
      <c r="Q121" s="188"/>
      <c r="R121" s="188"/>
      <c r="S121" s="188"/>
      <c r="T121" s="217" t="e">
        <f>T122/T120*1000</f>
        <v>#DIV/0!</v>
      </c>
      <c r="U121" s="217" t="e">
        <f>U122/U120*1000</f>
        <v>#DIV/0!</v>
      </c>
      <c r="V121" s="218" t="e">
        <f>V122/V120*1000</f>
        <v>#DIV/0!</v>
      </c>
      <c r="W121" s="219" t="e">
        <f>W122/W120*1000</f>
        <v>#DIV/0!</v>
      </c>
    </row>
    <row r="122" spans="1:24" s="43" customFormat="1" ht="18" hidden="1" customHeight="1">
      <c r="A122" s="610"/>
      <c r="B122" s="581"/>
      <c r="C122" s="583"/>
      <c r="D122" s="191" t="str">
        <f>серпень!D122</f>
        <v>сума, тис.грн.</v>
      </c>
      <c r="E122" s="192"/>
      <c r="F122" s="192"/>
      <c r="G122" s="192"/>
      <c r="H122" s="192"/>
      <c r="I122" s="192"/>
      <c r="J122" s="192"/>
      <c r="K122" s="192"/>
      <c r="L122" s="194">
        <f>SUM(F122:K122)</f>
        <v>0</v>
      </c>
      <c r="M122" s="194">
        <f>L122/6</f>
        <v>0</v>
      </c>
      <c r="N122" s="192"/>
      <c r="O122" s="192"/>
      <c r="P122" s="192"/>
      <c r="Q122" s="192"/>
      <c r="R122" s="192"/>
      <c r="S122" s="192"/>
      <c r="T122" s="194">
        <f>SUM(N122:S122)</f>
        <v>0</v>
      </c>
      <c r="U122" s="194">
        <f>T122+L122</f>
        <v>0</v>
      </c>
      <c r="V122" s="171">
        <f>V123+V124</f>
        <v>0</v>
      </c>
      <c r="W122" s="192">
        <f>V122-U122</f>
        <v>0</v>
      </c>
    </row>
    <row r="123" spans="1:24" s="43" customFormat="1" ht="18" hidden="1" customHeight="1">
      <c r="A123" s="610"/>
      <c r="B123" s="581"/>
      <c r="C123" s="583"/>
      <c r="D123" s="174" t="str">
        <f>серпень!D123</f>
        <v>дотація</v>
      </c>
      <c r="E123" s="210"/>
      <c r="F123" s="192"/>
      <c r="G123" s="192"/>
      <c r="H123" s="192"/>
      <c r="I123" s="192"/>
      <c r="J123" s="192"/>
      <c r="K123" s="192"/>
      <c r="L123" s="194">
        <f>SUM(F123:K123)</f>
        <v>0</v>
      </c>
      <c r="M123" s="194">
        <f>L123/6</f>
        <v>0</v>
      </c>
      <c r="N123" s="192"/>
      <c r="O123" s="192"/>
      <c r="P123" s="192"/>
      <c r="Q123" s="192"/>
      <c r="R123" s="192"/>
      <c r="S123" s="192"/>
      <c r="T123" s="194">
        <f>SUM(N123:S123)</f>
        <v>0</v>
      </c>
      <c r="U123" s="194">
        <f>T123+L123</f>
        <v>0</v>
      </c>
      <c r="V123" s="171"/>
      <c r="W123" s="192">
        <f>V123-U123</f>
        <v>0</v>
      </c>
    </row>
    <row r="124" spans="1:24" s="43" customFormat="1" ht="18" hidden="1" customHeight="1">
      <c r="A124" s="610"/>
      <c r="B124" s="581"/>
      <c r="C124" s="583"/>
      <c r="D124" s="174" t="str">
        <f>серпень!D124</f>
        <v>місцевий (план), тис.грн</v>
      </c>
      <c r="E124" s="210"/>
      <c r="F124" s="192"/>
      <c r="G124" s="192"/>
      <c r="H124" s="192"/>
      <c r="I124" s="192"/>
      <c r="J124" s="192"/>
      <c r="K124" s="192"/>
      <c r="L124" s="194">
        <f>SUM(F124:K124)</f>
        <v>0</v>
      </c>
      <c r="M124" s="194">
        <f>L124/6</f>
        <v>0</v>
      </c>
      <c r="N124" s="192"/>
      <c r="O124" s="192"/>
      <c r="P124" s="192"/>
      <c r="Q124" s="192"/>
      <c r="R124" s="192"/>
      <c r="S124" s="192"/>
      <c r="T124" s="194">
        <f>SUM(N124:S124)</f>
        <v>0</v>
      </c>
      <c r="U124" s="194">
        <f>T124+L124</f>
        <v>0</v>
      </c>
      <c r="V124" s="171"/>
      <c r="W124" s="192">
        <f>V124-U124</f>
        <v>0</v>
      </c>
    </row>
    <row r="125" spans="1:24" s="43" customFormat="1" ht="18" hidden="1" customHeight="1">
      <c r="A125" s="610"/>
      <c r="B125" s="581"/>
      <c r="C125" s="583"/>
      <c r="D125" s="178" t="str">
        <f>серпень!D125</f>
        <v>касові нат.п-ки 2025</v>
      </c>
      <c r="E125" s="179"/>
      <c r="F125" s="184"/>
      <c r="G125" s="184"/>
      <c r="H125" s="179"/>
      <c r="I125" s="179"/>
      <c r="J125" s="216"/>
      <c r="K125" s="179"/>
      <c r="L125" s="215">
        <f>SUM(F125:K125)</f>
        <v>0</v>
      </c>
      <c r="M125" s="215">
        <f>L125/6</f>
        <v>0</v>
      </c>
      <c r="N125" s="179"/>
      <c r="O125" s="179"/>
      <c r="P125" s="179"/>
      <c r="Q125" s="179"/>
      <c r="R125" s="179"/>
      <c r="S125" s="179"/>
      <c r="T125" s="215">
        <f>SUM(N125:S125)</f>
        <v>0</v>
      </c>
      <c r="U125" s="215">
        <f>T125+L125</f>
        <v>0</v>
      </c>
      <c r="V125" s="179">
        <f>V120</f>
        <v>0</v>
      </c>
      <c r="W125" s="184">
        <f>V125-U125</f>
        <v>0</v>
      </c>
    </row>
    <row r="126" spans="1:24" s="43" customFormat="1" ht="18" hidden="1" customHeight="1">
      <c r="A126" s="610"/>
      <c r="B126" s="581"/>
      <c r="C126" s="583"/>
      <c r="D126" s="187" t="str">
        <f>серпень!D126</f>
        <v>тариф, грн.</v>
      </c>
      <c r="E126" s="188" t="e">
        <f t="shared" ref="E126" si="179">E127/E125*1000</f>
        <v>#DIV/0!</v>
      </c>
      <c r="F126" s="188"/>
      <c r="G126" s="188"/>
      <c r="H126" s="188"/>
      <c r="I126" s="188"/>
      <c r="J126" s="188"/>
      <c r="K126" s="188"/>
      <c r="L126" s="217" t="e">
        <f>L127/L125*1000</f>
        <v>#DIV/0!</v>
      </c>
      <c r="M126" s="217" t="e">
        <f>M127/M125*1000</f>
        <v>#DIV/0!</v>
      </c>
      <c r="N126" s="188"/>
      <c r="O126" s="188"/>
      <c r="P126" s="188"/>
      <c r="Q126" s="188"/>
      <c r="R126" s="188"/>
      <c r="S126" s="188"/>
      <c r="T126" s="217" t="e">
        <f>T127/T125*1000</f>
        <v>#DIV/0!</v>
      </c>
      <c r="U126" s="217" t="e">
        <f>U127/U125*1000</f>
        <v>#DIV/0!</v>
      </c>
      <c r="V126" s="218" t="e">
        <f>V127/V125*1000</f>
        <v>#DIV/0!</v>
      </c>
      <c r="W126" s="219" t="e">
        <f>W127/W125*1000</f>
        <v>#DIV/0!</v>
      </c>
    </row>
    <row r="127" spans="1:24" s="43" customFormat="1" ht="18" hidden="1" customHeight="1">
      <c r="A127" s="610"/>
      <c r="B127" s="581"/>
      <c r="C127" s="583"/>
      <c r="D127" s="198" t="str">
        <f>серпень!D127</f>
        <v>касові видатки, тис.грн.</v>
      </c>
      <c r="E127" s="220"/>
      <c r="F127" s="199"/>
      <c r="G127" s="199"/>
      <c r="H127" s="199"/>
      <c r="I127" s="199"/>
      <c r="J127" s="199"/>
      <c r="K127" s="199"/>
      <c r="L127" s="199">
        <f>SUM(F127:K127)</f>
        <v>0</v>
      </c>
      <c r="M127" s="199">
        <f>L127/6</f>
        <v>0</v>
      </c>
      <c r="N127" s="199"/>
      <c r="O127" s="199"/>
      <c r="P127" s="199"/>
      <c r="Q127" s="199"/>
      <c r="R127" s="199"/>
      <c r="S127" s="199"/>
      <c r="T127" s="199">
        <f>SUM(N127:S127)</f>
        <v>0</v>
      </c>
      <c r="U127" s="199">
        <f>T127+L127</f>
        <v>0</v>
      </c>
      <c r="V127" s="199">
        <f>V122</f>
        <v>0</v>
      </c>
      <c r="W127" s="221">
        <f>V127-U127</f>
        <v>0</v>
      </c>
    </row>
    <row r="128" spans="1:24" s="43" customFormat="1" ht="18" hidden="1" customHeight="1">
      <c r="A128" s="610"/>
      <c r="B128" s="581"/>
      <c r="C128" s="583"/>
      <c r="D128" s="201" t="str">
        <f>серпень!D128</f>
        <v>дотація</v>
      </c>
      <c r="E128" s="220"/>
      <c r="F128" s="199"/>
      <c r="G128" s="199"/>
      <c r="H128" s="199"/>
      <c r="I128" s="199"/>
      <c r="J128" s="199"/>
      <c r="K128" s="199"/>
      <c r="L128" s="199">
        <f>SUM(F128:K128)</f>
        <v>0</v>
      </c>
      <c r="M128" s="199">
        <f>L128/6</f>
        <v>0</v>
      </c>
      <c r="N128" s="199"/>
      <c r="O128" s="199"/>
      <c r="P128" s="199"/>
      <c r="Q128" s="199"/>
      <c r="R128" s="199"/>
      <c r="S128" s="199"/>
      <c r="T128" s="199">
        <f>SUM(N128:S128)</f>
        <v>0</v>
      </c>
      <c r="U128" s="199">
        <f>T128+L128</f>
        <v>0</v>
      </c>
      <c r="V128" s="199">
        <f>V123</f>
        <v>0</v>
      </c>
      <c r="W128" s="221">
        <f>V128-U128</f>
        <v>0</v>
      </c>
    </row>
    <row r="129" spans="1:24" s="43" customFormat="1" ht="18" hidden="1" customHeight="1">
      <c r="A129" s="610"/>
      <c r="B129" s="581"/>
      <c r="C129" s="583"/>
      <c r="D129" s="201" t="str">
        <f>серпень!D129</f>
        <v xml:space="preserve">місцевий </v>
      </c>
      <c r="E129" s="220"/>
      <c r="F129" s="199"/>
      <c r="G129" s="199"/>
      <c r="H129" s="199"/>
      <c r="I129" s="199"/>
      <c r="J129" s="199"/>
      <c r="K129" s="199"/>
      <c r="L129" s="199">
        <f>SUM(F129:K129)</f>
        <v>0</v>
      </c>
      <c r="M129" s="199">
        <f>L129/6</f>
        <v>0</v>
      </c>
      <c r="N129" s="199"/>
      <c r="O129" s="199"/>
      <c r="P129" s="199"/>
      <c r="Q129" s="199"/>
      <c r="R129" s="199"/>
      <c r="S129" s="199"/>
      <c r="T129" s="199">
        <f>SUM(N129:S129)</f>
        <v>0</v>
      </c>
      <c r="U129" s="199">
        <f>T129+L129</f>
        <v>0</v>
      </c>
      <c r="V129" s="199">
        <f>V124</f>
        <v>0</v>
      </c>
      <c r="W129" s="221">
        <f>V129-U129</f>
        <v>0</v>
      </c>
    </row>
    <row r="130" spans="1:24" s="43" customFormat="1" ht="18" hidden="1" customHeight="1">
      <c r="A130" s="610"/>
      <c r="B130" s="581"/>
      <c r="C130" s="583"/>
      <c r="D130" s="202" t="str">
        <f>серпень!D130</f>
        <v>план</v>
      </c>
      <c r="E130" s="203"/>
      <c r="F130" s="203">
        <f t="shared" ref="F130:K130" si="180">F123+F124</f>
        <v>0</v>
      </c>
      <c r="G130" s="203">
        <f t="shared" si="180"/>
        <v>0</v>
      </c>
      <c r="H130" s="203">
        <f t="shared" si="180"/>
        <v>0</v>
      </c>
      <c r="I130" s="203">
        <f t="shared" si="180"/>
        <v>0</v>
      </c>
      <c r="J130" s="203">
        <f t="shared" si="180"/>
        <v>0</v>
      </c>
      <c r="K130" s="203">
        <f t="shared" si="180"/>
        <v>0</v>
      </c>
      <c r="L130" s="203">
        <f>SUM(F130:K130)</f>
        <v>0</v>
      </c>
      <c r="M130" s="203">
        <f>L130/6</f>
        <v>0</v>
      </c>
      <c r="N130" s="203">
        <f t="shared" ref="N130:S130" si="181">N124+N123</f>
        <v>0</v>
      </c>
      <c r="O130" s="203">
        <f t="shared" si="181"/>
        <v>0</v>
      </c>
      <c r="P130" s="203">
        <f t="shared" si="181"/>
        <v>0</v>
      </c>
      <c r="Q130" s="203">
        <f t="shared" si="181"/>
        <v>0</v>
      </c>
      <c r="R130" s="203">
        <f t="shared" si="181"/>
        <v>0</v>
      </c>
      <c r="S130" s="203">
        <f t="shared" si="181"/>
        <v>0</v>
      </c>
      <c r="T130" s="203">
        <f>SUM(N130:S130)</f>
        <v>0</v>
      </c>
      <c r="U130" s="203">
        <f>T130+L130</f>
        <v>0</v>
      </c>
      <c r="V130" s="203">
        <f>V127</f>
        <v>0</v>
      </c>
      <c r="W130" s="203">
        <f>V130-U130</f>
        <v>0</v>
      </c>
    </row>
    <row r="131" spans="1:24" s="43" customFormat="1" ht="18" hidden="1" customHeight="1">
      <c r="A131" s="610"/>
      <c r="B131" s="581"/>
      <c r="C131" s="583"/>
      <c r="D131" s="202" t="str">
        <f>серпень!D131</f>
        <v xml:space="preserve">відхилення </v>
      </c>
      <c r="E131" s="203"/>
      <c r="F131" s="203">
        <f t="shared" ref="F131:K131" si="182">F127-F130</f>
        <v>0</v>
      </c>
      <c r="G131" s="203">
        <f t="shared" si="182"/>
        <v>0</v>
      </c>
      <c r="H131" s="203">
        <f t="shared" si="182"/>
        <v>0</v>
      </c>
      <c r="I131" s="203">
        <f t="shared" si="182"/>
        <v>0</v>
      </c>
      <c r="J131" s="203">
        <f t="shared" si="182"/>
        <v>0</v>
      </c>
      <c r="K131" s="203">
        <f t="shared" si="182"/>
        <v>0</v>
      </c>
      <c r="L131" s="203"/>
      <c r="M131" s="203"/>
      <c r="N131" s="203">
        <f t="shared" ref="N131:S131" si="183">N127-N130</f>
        <v>0</v>
      </c>
      <c r="O131" s="203">
        <f t="shared" si="183"/>
        <v>0</v>
      </c>
      <c r="P131" s="203">
        <f t="shared" si="183"/>
        <v>0</v>
      </c>
      <c r="Q131" s="203">
        <f t="shared" si="183"/>
        <v>0</v>
      </c>
      <c r="R131" s="203">
        <f t="shared" si="183"/>
        <v>0</v>
      </c>
      <c r="S131" s="203">
        <f t="shared" si="183"/>
        <v>0</v>
      </c>
      <c r="T131" s="203"/>
      <c r="U131" s="203"/>
      <c r="V131" s="203"/>
      <c r="W131" s="203"/>
    </row>
    <row r="132" spans="1:24" s="43" customFormat="1" ht="27.1" hidden="1" customHeight="1">
      <c r="A132" s="610"/>
      <c r="B132" s="581"/>
      <c r="C132" s="584"/>
      <c r="D132" s="202" t="str">
        <f>серпень!D132</f>
        <v>відхилення з наростаючим</v>
      </c>
      <c r="E132" s="203"/>
      <c r="F132" s="203">
        <f>F131</f>
        <v>0</v>
      </c>
      <c r="G132" s="203">
        <f>G131+F132</f>
        <v>0</v>
      </c>
      <c r="H132" s="203">
        <f>H131+G132</f>
        <v>0</v>
      </c>
      <c r="I132" s="203">
        <f>I131+H132</f>
        <v>0</v>
      </c>
      <c r="J132" s="203">
        <f>J131+I132</f>
        <v>0</v>
      </c>
      <c r="K132" s="203">
        <f>K131+J132</f>
        <v>0</v>
      </c>
      <c r="L132" s="203"/>
      <c r="M132" s="203"/>
      <c r="N132" s="203">
        <f>N131+K132</f>
        <v>0</v>
      </c>
      <c r="O132" s="203">
        <f>O131+N132</f>
        <v>0</v>
      </c>
      <c r="P132" s="203">
        <f>P131+O132</f>
        <v>0</v>
      </c>
      <c r="Q132" s="203">
        <f>Q131+P132</f>
        <v>0</v>
      </c>
      <c r="R132" s="203">
        <f>R131+Q132</f>
        <v>0</v>
      </c>
      <c r="S132" s="203">
        <f>S131+R132</f>
        <v>0</v>
      </c>
      <c r="T132" s="203"/>
      <c r="U132" s="203"/>
      <c r="V132" s="203"/>
      <c r="W132" s="203"/>
    </row>
    <row r="133" spans="1:24" s="47" customFormat="1" ht="18" hidden="1" customHeight="1">
      <c r="A133" s="610"/>
      <c r="B133" s="581"/>
      <c r="C133" s="582" t="s">
        <v>99</v>
      </c>
      <c r="D133" s="178" t="str">
        <f>серпень!D133</f>
        <v>факт. нат.п-ки 2023</v>
      </c>
      <c r="E133" s="11"/>
      <c r="F133" s="12"/>
      <c r="G133" s="12"/>
      <c r="H133" s="12"/>
      <c r="I133" s="12"/>
      <c r="J133" s="12"/>
      <c r="K133" s="12"/>
      <c r="L133" s="65">
        <f>SUM(F133:K133)</f>
        <v>0</v>
      </c>
      <c r="M133" s="65">
        <f>L133/6</f>
        <v>0</v>
      </c>
      <c r="N133" s="12"/>
      <c r="O133" s="12"/>
      <c r="P133" s="12"/>
      <c r="Q133" s="12"/>
      <c r="R133" s="12"/>
      <c r="S133" s="12"/>
      <c r="T133" s="65">
        <f>SUM(N133:S133)</f>
        <v>0</v>
      </c>
      <c r="U133" s="65">
        <f>T133+L133</f>
        <v>0</v>
      </c>
      <c r="V133" s="67"/>
      <c r="W133" s="38"/>
    </row>
    <row r="134" spans="1:24" s="47" customFormat="1" ht="18" hidden="1" customHeight="1">
      <c r="A134" s="610"/>
      <c r="B134" s="581"/>
      <c r="C134" s="583"/>
      <c r="D134" s="178" t="str">
        <f>серпень!D134</f>
        <v>факт. нат.п-ки 2024</v>
      </c>
      <c r="E134" s="11"/>
      <c r="F134" s="12"/>
      <c r="G134" s="12"/>
      <c r="H134" s="12"/>
      <c r="I134" s="12"/>
      <c r="J134" s="12"/>
      <c r="K134" s="12"/>
      <c r="L134" s="65">
        <f>SUM(F134:K134)</f>
        <v>0</v>
      </c>
      <c r="M134" s="65">
        <f>L134/6</f>
        <v>0</v>
      </c>
      <c r="N134" s="11"/>
      <c r="O134" s="11"/>
      <c r="P134" s="11"/>
      <c r="Q134" s="11"/>
      <c r="R134" s="11"/>
      <c r="S134" s="11"/>
      <c r="T134" s="65">
        <f>SUM(N134:S134)</f>
        <v>0</v>
      </c>
      <c r="U134" s="65">
        <f>T134+L134</f>
        <v>0</v>
      </c>
      <c r="V134" s="67"/>
      <c r="W134" s="38"/>
    </row>
    <row r="135" spans="1:24" s="47" customFormat="1" ht="18" hidden="1" customHeight="1">
      <c r="A135" s="610"/>
      <c r="B135" s="581"/>
      <c r="C135" s="583"/>
      <c r="D135" s="178" t="str">
        <f>серпень!D135</f>
        <v>факт. нат.п-ки 2025</v>
      </c>
      <c r="E135" s="11"/>
      <c r="F135" s="12"/>
      <c r="G135" s="12"/>
      <c r="H135" s="12"/>
      <c r="I135" s="12"/>
      <c r="J135" s="12"/>
      <c r="K135" s="12"/>
      <c r="L135" s="65">
        <f>SUM(F135:K135)</f>
        <v>0</v>
      </c>
      <c r="M135" s="65">
        <f>L135/6</f>
        <v>0</v>
      </c>
      <c r="N135" s="12"/>
      <c r="O135" s="12"/>
      <c r="P135" s="12"/>
      <c r="Q135" s="12"/>
      <c r="R135" s="12"/>
      <c r="S135" s="11"/>
      <c r="T135" s="65">
        <f>SUM(N135:S135)</f>
        <v>0</v>
      </c>
      <c r="U135" s="65">
        <f>T135+L135</f>
        <v>0</v>
      </c>
      <c r="V135" s="11"/>
      <c r="W135" s="38">
        <f>V135-U135</f>
        <v>0</v>
      </c>
    </row>
    <row r="136" spans="1:24" s="47" customFormat="1" ht="18" hidden="1" customHeight="1">
      <c r="A136" s="610"/>
      <c r="B136" s="581"/>
      <c r="C136" s="583"/>
      <c r="D136" s="187" t="str">
        <f>серпень!D136</f>
        <v>тариф, грн.</v>
      </c>
      <c r="E136" s="49"/>
      <c r="F136" s="49">
        <v>1655.08</v>
      </c>
      <c r="G136" s="49">
        <v>1655.08</v>
      </c>
      <c r="H136" s="49">
        <v>1655.08</v>
      </c>
      <c r="I136" s="49">
        <v>1655.08</v>
      </c>
      <c r="J136" s="49">
        <v>1655.08</v>
      </c>
      <c r="K136" s="49">
        <v>1655.08</v>
      </c>
      <c r="L136" s="49" t="e">
        <f t="shared" ref="L136" si="184">L137/L135*1000</f>
        <v>#DIV/0!</v>
      </c>
      <c r="M136" s="121" t="e">
        <f>M137/M135*1000</f>
        <v>#DIV/0!</v>
      </c>
      <c r="N136" s="49">
        <v>1655.08</v>
      </c>
      <c r="O136" s="49">
        <v>1655.08</v>
      </c>
      <c r="P136" s="49">
        <v>1655.08</v>
      </c>
      <c r="Q136" s="49">
        <v>1655.08</v>
      </c>
      <c r="R136" s="49">
        <v>1655.08</v>
      </c>
      <c r="S136" s="49">
        <v>1655.08</v>
      </c>
      <c r="T136" s="121" t="e">
        <f>T137/T135*1000</f>
        <v>#DIV/0!</v>
      </c>
      <c r="U136" s="121" t="e">
        <f>U137/U135*1000</f>
        <v>#DIV/0!</v>
      </c>
      <c r="V136" s="68" t="e">
        <f>V137/V135*1000</f>
        <v>#DIV/0!</v>
      </c>
      <c r="W136" s="14" t="e">
        <f>W137/W135*1000</f>
        <v>#DIV/0!</v>
      </c>
    </row>
    <row r="137" spans="1:24" s="47" customFormat="1" ht="18" hidden="1" customHeight="1">
      <c r="A137" s="610"/>
      <c r="B137" s="581"/>
      <c r="C137" s="583"/>
      <c r="D137" s="191" t="str">
        <f>серпень!D137</f>
        <v>сума, тис.грн.</v>
      </c>
      <c r="E137" s="52"/>
      <c r="F137" s="52">
        <f t="shared" ref="F137:K137" si="185">F135*F136/1000</f>
        <v>0</v>
      </c>
      <c r="G137" s="52">
        <f t="shared" si="185"/>
        <v>0</v>
      </c>
      <c r="H137" s="52">
        <f t="shared" si="185"/>
        <v>0</v>
      </c>
      <c r="I137" s="52">
        <f t="shared" si="185"/>
        <v>0</v>
      </c>
      <c r="J137" s="52">
        <f t="shared" si="185"/>
        <v>0</v>
      </c>
      <c r="K137" s="52">
        <f t="shared" si="185"/>
        <v>0</v>
      </c>
      <c r="L137" s="69">
        <f>SUM(F137:K137)</f>
        <v>0</v>
      </c>
      <c r="M137" s="69">
        <f>L137/6</f>
        <v>0</v>
      </c>
      <c r="N137" s="52">
        <f t="shared" ref="N137:S137" si="186">N135*N136/1000</f>
        <v>0</v>
      </c>
      <c r="O137" s="52">
        <f t="shared" si="186"/>
        <v>0</v>
      </c>
      <c r="P137" s="52">
        <f t="shared" si="186"/>
        <v>0</v>
      </c>
      <c r="Q137" s="52">
        <f t="shared" si="186"/>
        <v>0</v>
      </c>
      <c r="R137" s="52">
        <f t="shared" si="186"/>
        <v>0</v>
      </c>
      <c r="S137" s="52">
        <f t="shared" si="186"/>
        <v>0</v>
      </c>
      <c r="T137" s="69">
        <f>SUM(N137:S137)</f>
        <v>0</v>
      </c>
      <c r="U137" s="69">
        <f>T137+L137</f>
        <v>0</v>
      </c>
      <c r="V137" s="70">
        <f>V138+V139</f>
        <v>0</v>
      </c>
      <c r="W137" s="53">
        <f>V137-U137</f>
        <v>0</v>
      </c>
    </row>
    <row r="138" spans="1:24" s="47" customFormat="1" ht="18" hidden="1" customHeight="1">
      <c r="A138" s="610"/>
      <c r="B138" s="581"/>
      <c r="C138" s="583"/>
      <c r="D138" s="174" t="str">
        <f>серпень!D138</f>
        <v>дотація</v>
      </c>
      <c r="E138" s="56"/>
      <c r="F138" s="52"/>
      <c r="G138" s="52"/>
      <c r="H138" s="52"/>
      <c r="I138" s="52"/>
      <c r="J138" s="52"/>
      <c r="K138" s="52"/>
      <c r="L138" s="69">
        <f>SUM(F138:K138)</f>
        <v>0</v>
      </c>
      <c r="M138" s="69">
        <f>L138/6</f>
        <v>0</v>
      </c>
      <c r="N138" s="52"/>
      <c r="O138" s="52"/>
      <c r="P138" s="52"/>
      <c r="Q138" s="52"/>
      <c r="R138" s="52"/>
      <c r="S138" s="52"/>
      <c r="T138" s="69">
        <f>SUM(N138:S138)</f>
        <v>0</v>
      </c>
      <c r="U138" s="69">
        <f>T138+L138</f>
        <v>0</v>
      </c>
      <c r="V138" s="70"/>
      <c r="W138" s="53">
        <f>V138-U138</f>
        <v>0</v>
      </c>
    </row>
    <row r="139" spans="1:24" s="47" customFormat="1" ht="18" hidden="1" customHeight="1">
      <c r="A139" s="610"/>
      <c r="B139" s="581"/>
      <c r="C139" s="583"/>
      <c r="D139" s="174" t="str">
        <f>серпень!D139</f>
        <v>місцевий (план), тис.грн</v>
      </c>
      <c r="E139" s="56"/>
      <c r="F139" s="52"/>
      <c r="G139" s="52"/>
      <c r="H139" s="52"/>
      <c r="I139" s="52"/>
      <c r="J139" s="52"/>
      <c r="K139" s="52"/>
      <c r="L139" s="69">
        <f>SUM(F139:K139)</f>
        <v>0</v>
      </c>
      <c r="M139" s="69">
        <f>L139/6</f>
        <v>0</v>
      </c>
      <c r="N139" s="52"/>
      <c r="O139" s="52"/>
      <c r="P139" s="52"/>
      <c r="Q139" s="52"/>
      <c r="R139" s="52"/>
      <c r="S139" s="52"/>
      <c r="T139" s="69">
        <f>SUM(N139:S139)</f>
        <v>0</v>
      </c>
      <c r="U139" s="69">
        <f>T139+L139</f>
        <v>0</v>
      </c>
      <c r="V139" s="70"/>
      <c r="W139" s="53">
        <f>V139-U139</f>
        <v>0</v>
      </c>
    </row>
    <row r="140" spans="1:24" s="47" customFormat="1" ht="18" hidden="1" customHeight="1">
      <c r="A140" s="610"/>
      <c r="B140" s="581"/>
      <c r="C140" s="583"/>
      <c r="D140" s="178" t="str">
        <f>серпень!D140</f>
        <v>касові нат.п-ки 2025</v>
      </c>
      <c r="E140" s="11"/>
      <c r="F140" s="11"/>
      <c r="G140" s="11"/>
      <c r="H140" s="11"/>
      <c r="I140" s="11"/>
      <c r="J140" s="11"/>
      <c r="K140" s="11"/>
      <c r="L140" s="65">
        <f>SUM(F140:K140)</f>
        <v>0</v>
      </c>
      <c r="M140" s="65">
        <f>L140/6</f>
        <v>0</v>
      </c>
      <c r="N140" s="11"/>
      <c r="O140" s="11"/>
      <c r="P140" s="11"/>
      <c r="Q140" s="11"/>
      <c r="R140" s="11"/>
      <c r="S140" s="11"/>
      <c r="T140" s="65">
        <f>SUM(N140:S140)</f>
        <v>0</v>
      </c>
      <c r="U140" s="65">
        <f>T140+L140</f>
        <v>0</v>
      </c>
      <c r="V140" s="11">
        <f>V135</f>
        <v>0</v>
      </c>
      <c r="W140" s="38">
        <f>V140-U140</f>
        <v>0</v>
      </c>
      <c r="X140" s="47">
        <v>0</v>
      </c>
    </row>
    <row r="141" spans="1:24" s="47" customFormat="1" ht="18" hidden="1" customHeight="1">
      <c r="A141" s="610"/>
      <c r="B141" s="581"/>
      <c r="C141" s="583"/>
      <c r="D141" s="187" t="str">
        <f>серпень!D141</f>
        <v>тариф, грн.</v>
      </c>
      <c r="E141" s="49" t="e">
        <f>E142/E140*1000</f>
        <v>#DIV/0!</v>
      </c>
      <c r="F141" s="49">
        <v>1655.08</v>
      </c>
      <c r="G141" s="49">
        <v>1655.08</v>
      </c>
      <c r="H141" s="49">
        <v>1655.08</v>
      </c>
      <c r="I141" s="49">
        <v>1655.08</v>
      </c>
      <c r="J141" s="49">
        <v>1655.08</v>
      </c>
      <c r="K141" s="49">
        <v>1655.08</v>
      </c>
      <c r="L141" s="49" t="e">
        <f t="shared" ref="L141" si="187">L142/L140*1000</f>
        <v>#DIV/0!</v>
      </c>
      <c r="M141" s="121" t="e">
        <f>M142/M140*1000</f>
        <v>#DIV/0!</v>
      </c>
      <c r="N141" s="49">
        <v>1655.08</v>
      </c>
      <c r="O141" s="49">
        <v>1655.08</v>
      </c>
      <c r="P141" s="49">
        <v>1655.08</v>
      </c>
      <c r="Q141" s="49">
        <v>1655.08</v>
      </c>
      <c r="R141" s="49">
        <v>1655.08</v>
      </c>
      <c r="S141" s="49">
        <v>1655.08</v>
      </c>
      <c r="T141" s="121" t="e">
        <f>T142/T140*1000</f>
        <v>#DIV/0!</v>
      </c>
      <c r="U141" s="121" t="e">
        <f>U142/U140*1000</f>
        <v>#DIV/0!</v>
      </c>
      <c r="V141" s="68" t="e">
        <f>V142/V140*1000</f>
        <v>#DIV/0!</v>
      </c>
      <c r="W141" s="14" t="e">
        <f>W142/W140*1000</f>
        <v>#DIV/0!</v>
      </c>
    </row>
    <row r="142" spans="1:24" s="63" customFormat="1" ht="18" hidden="1" customHeight="1">
      <c r="A142" s="610"/>
      <c r="B142" s="581"/>
      <c r="C142" s="583"/>
      <c r="D142" s="198" t="str">
        <f>серпень!D142</f>
        <v>касові видатки, тис.грн.</v>
      </c>
      <c r="E142" s="71"/>
      <c r="F142" s="61">
        <f t="shared" ref="F142:K142" si="188">F140*F141/1000</f>
        <v>0</v>
      </c>
      <c r="G142" s="61">
        <f t="shared" si="188"/>
        <v>0</v>
      </c>
      <c r="H142" s="61">
        <f t="shared" si="188"/>
        <v>0</v>
      </c>
      <c r="I142" s="61">
        <f t="shared" si="188"/>
        <v>0</v>
      </c>
      <c r="J142" s="61">
        <f t="shared" si="188"/>
        <v>0</v>
      </c>
      <c r="K142" s="61">
        <f t="shared" si="188"/>
        <v>0</v>
      </c>
      <c r="L142" s="61">
        <f>SUM(F142:K142)</f>
        <v>0</v>
      </c>
      <c r="M142" s="61">
        <f>L142/6</f>
        <v>0</v>
      </c>
      <c r="N142" s="61">
        <f t="shared" ref="N142:S142" si="189">N140*N141/1000</f>
        <v>0</v>
      </c>
      <c r="O142" s="61">
        <f t="shared" si="189"/>
        <v>0</v>
      </c>
      <c r="P142" s="61">
        <f t="shared" si="189"/>
        <v>0</v>
      </c>
      <c r="Q142" s="61">
        <f t="shared" si="189"/>
        <v>0</v>
      </c>
      <c r="R142" s="61">
        <f t="shared" si="189"/>
        <v>0</v>
      </c>
      <c r="S142" s="61">
        <f t="shared" si="189"/>
        <v>0</v>
      </c>
      <c r="T142" s="61">
        <f>SUM(N142:S142)</f>
        <v>0</v>
      </c>
      <c r="U142" s="61">
        <f>T142+L142</f>
        <v>0</v>
      </c>
      <c r="V142" s="61">
        <f>V137</f>
        <v>0</v>
      </c>
      <c r="W142" s="72">
        <f>V142-U142</f>
        <v>0</v>
      </c>
      <c r="X142" s="63">
        <f>U137-U142</f>
        <v>0</v>
      </c>
    </row>
    <row r="143" spans="1:24" s="63" customFormat="1" ht="18" hidden="1" customHeight="1">
      <c r="A143" s="610"/>
      <c r="B143" s="581"/>
      <c r="C143" s="583"/>
      <c r="D143" s="201" t="str">
        <f>серпень!D143</f>
        <v>дотація</v>
      </c>
      <c r="E143" s="71"/>
      <c r="F143" s="61">
        <v>0</v>
      </c>
      <c r="G143" s="61">
        <v>0</v>
      </c>
      <c r="H143" s="61">
        <v>0</v>
      </c>
      <c r="I143" s="61">
        <v>0</v>
      </c>
      <c r="J143" s="61">
        <v>0</v>
      </c>
      <c r="K143" s="61">
        <v>0</v>
      </c>
      <c r="L143" s="61">
        <f>SUM(F143:K143)</f>
        <v>0</v>
      </c>
      <c r="M143" s="61">
        <f>L143/6</f>
        <v>0</v>
      </c>
      <c r="N143" s="61">
        <v>0</v>
      </c>
      <c r="O143" s="61">
        <v>0</v>
      </c>
      <c r="P143" s="61">
        <v>0</v>
      </c>
      <c r="Q143" s="61">
        <v>0</v>
      </c>
      <c r="R143" s="61">
        <v>0</v>
      </c>
      <c r="S143" s="61">
        <v>0</v>
      </c>
      <c r="T143" s="61">
        <f>SUM(N143:S143)</f>
        <v>0</v>
      </c>
      <c r="U143" s="61">
        <f>T143+L143</f>
        <v>0</v>
      </c>
      <c r="V143" s="61">
        <f>V138</f>
        <v>0</v>
      </c>
      <c r="W143" s="72">
        <f>V143-U143</f>
        <v>0</v>
      </c>
      <c r="X143" s="63">
        <f>U138-U143</f>
        <v>0</v>
      </c>
    </row>
    <row r="144" spans="1:24" s="63" customFormat="1" ht="18" hidden="1" customHeight="1">
      <c r="A144" s="610"/>
      <c r="B144" s="581"/>
      <c r="C144" s="583"/>
      <c r="D144" s="201" t="str">
        <f>серпень!D144</f>
        <v xml:space="preserve">місцевий </v>
      </c>
      <c r="E144" s="71"/>
      <c r="F144" s="61">
        <f t="shared" ref="F144:K144" si="190">F142-F143</f>
        <v>0</v>
      </c>
      <c r="G144" s="61">
        <f t="shared" si="190"/>
        <v>0</v>
      </c>
      <c r="H144" s="61">
        <f t="shared" si="190"/>
        <v>0</v>
      </c>
      <c r="I144" s="61">
        <f t="shared" si="190"/>
        <v>0</v>
      </c>
      <c r="J144" s="61">
        <f t="shared" si="190"/>
        <v>0</v>
      </c>
      <c r="K144" s="61">
        <f t="shared" si="190"/>
        <v>0</v>
      </c>
      <c r="L144" s="61">
        <f>SUM(F144:K144)</f>
        <v>0</v>
      </c>
      <c r="M144" s="61">
        <f>L144/6</f>
        <v>0</v>
      </c>
      <c r="N144" s="61">
        <f t="shared" ref="N144:S144" si="191">N142-N143</f>
        <v>0</v>
      </c>
      <c r="O144" s="61">
        <f t="shared" si="191"/>
        <v>0</v>
      </c>
      <c r="P144" s="61">
        <f t="shared" si="191"/>
        <v>0</v>
      </c>
      <c r="Q144" s="61">
        <f t="shared" si="191"/>
        <v>0</v>
      </c>
      <c r="R144" s="61">
        <f t="shared" si="191"/>
        <v>0</v>
      </c>
      <c r="S144" s="61">
        <f t="shared" si="191"/>
        <v>0</v>
      </c>
      <c r="T144" s="61">
        <f>SUM(N144:S144)</f>
        <v>0</v>
      </c>
      <c r="U144" s="61">
        <f>T144+L144</f>
        <v>0</v>
      </c>
      <c r="V144" s="61">
        <f>V139</f>
        <v>0</v>
      </c>
      <c r="W144" s="72">
        <f>V144-U144</f>
        <v>0</v>
      </c>
      <c r="X144" s="63">
        <f>U139-U144</f>
        <v>0</v>
      </c>
    </row>
    <row r="145" spans="1:23" s="43" customFormat="1" ht="18" hidden="1" customHeight="1">
      <c r="A145" s="610"/>
      <c r="B145" s="581"/>
      <c r="C145" s="583"/>
      <c r="D145" s="202" t="str">
        <f>серпень!D145</f>
        <v>план</v>
      </c>
      <c r="E145" s="42"/>
      <c r="F145" s="42">
        <f t="shared" ref="F145:K145" si="192">F139</f>
        <v>0</v>
      </c>
      <c r="G145" s="42">
        <f t="shared" si="192"/>
        <v>0</v>
      </c>
      <c r="H145" s="42">
        <f t="shared" si="192"/>
        <v>0</v>
      </c>
      <c r="I145" s="42">
        <f t="shared" si="192"/>
        <v>0</v>
      </c>
      <c r="J145" s="42">
        <f t="shared" si="192"/>
        <v>0</v>
      </c>
      <c r="K145" s="42">
        <f t="shared" si="192"/>
        <v>0</v>
      </c>
      <c r="L145" s="42">
        <f>SUM(F145:K145)</f>
        <v>0</v>
      </c>
      <c r="M145" s="42">
        <f>L145/6</f>
        <v>0</v>
      </c>
      <c r="N145" s="42">
        <f t="shared" ref="N145:S145" si="193">N139+N138</f>
        <v>0</v>
      </c>
      <c r="O145" s="42">
        <f t="shared" si="193"/>
        <v>0</v>
      </c>
      <c r="P145" s="42">
        <f t="shared" si="193"/>
        <v>0</v>
      </c>
      <c r="Q145" s="42">
        <f t="shared" si="193"/>
        <v>0</v>
      </c>
      <c r="R145" s="42">
        <f t="shared" si="193"/>
        <v>0</v>
      </c>
      <c r="S145" s="42">
        <f t="shared" si="193"/>
        <v>0</v>
      </c>
      <c r="T145" s="42">
        <f>SUM(N145:S145)</f>
        <v>0</v>
      </c>
      <c r="U145" s="42">
        <f>T145+L145</f>
        <v>0</v>
      </c>
      <c r="V145" s="42">
        <f>V142</f>
        <v>0</v>
      </c>
      <c r="W145" s="42">
        <f>V145-U145</f>
        <v>0</v>
      </c>
    </row>
    <row r="146" spans="1:23" s="43" customFormat="1" ht="18" hidden="1" customHeight="1">
      <c r="A146" s="610"/>
      <c r="B146" s="581"/>
      <c r="C146" s="583"/>
      <c r="D146" s="202" t="str">
        <f>серпень!D146</f>
        <v xml:space="preserve">відхилення </v>
      </c>
      <c r="E146" s="42"/>
      <c r="F146" s="42">
        <f t="shared" ref="F146:K146" si="194">F142-F145</f>
        <v>0</v>
      </c>
      <c r="G146" s="42">
        <f t="shared" si="194"/>
        <v>0</v>
      </c>
      <c r="H146" s="42">
        <f t="shared" si="194"/>
        <v>0</v>
      </c>
      <c r="I146" s="42">
        <f t="shared" si="194"/>
        <v>0</v>
      </c>
      <c r="J146" s="42">
        <f t="shared" si="194"/>
        <v>0</v>
      </c>
      <c r="K146" s="42">
        <f t="shared" si="194"/>
        <v>0</v>
      </c>
      <c r="L146" s="42"/>
      <c r="M146" s="42"/>
      <c r="N146" s="42">
        <f t="shared" ref="N146:S146" si="195">N142-N145</f>
        <v>0</v>
      </c>
      <c r="O146" s="42">
        <f t="shared" si="195"/>
        <v>0</v>
      </c>
      <c r="P146" s="42">
        <f t="shared" si="195"/>
        <v>0</v>
      </c>
      <c r="Q146" s="42">
        <f t="shared" si="195"/>
        <v>0</v>
      </c>
      <c r="R146" s="42">
        <f t="shared" si="195"/>
        <v>0</v>
      </c>
      <c r="S146" s="42">
        <f t="shared" si="195"/>
        <v>0</v>
      </c>
      <c r="T146" s="42"/>
      <c r="U146" s="42"/>
      <c r="V146" s="42"/>
      <c r="W146" s="42"/>
    </row>
    <row r="147" spans="1:23" s="43" customFormat="1" ht="18" hidden="1" customHeight="1">
      <c r="A147" s="610"/>
      <c r="B147" s="581"/>
      <c r="C147" s="584"/>
      <c r="D147" s="202" t="str">
        <f>серпень!D147</f>
        <v>відхилення з наростаючим</v>
      </c>
      <c r="E147" s="42"/>
      <c r="F147" s="42">
        <f>F146</f>
        <v>0</v>
      </c>
      <c r="G147" s="42">
        <f>G146+F147</f>
        <v>0</v>
      </c>
      <c r="H147" s="42">
        <f>H146+G147</f>
        <v>0</v>
      </c>
      <c r="I147" s="42">
        <f>I146+H147</f>
        <v>0</v>
      </c>
      <c r="J147" s="42">
        <f>J146+I147</f>
        <v>0</v>
      </c>
      <c r="K147" s="42">
        <f>K146+J147</f>
        <v>0</v>
      </c>
      <c r="L147" s="42"/>
      <c r="M147" s="42"/>
      <c r="N147" s="42">
        <f>N146+K147</f>
        <v>0</v>
      </c>
      <c r="O147" s="42">
        <f>O146+N147</f>
        <v>0</v>
      </c>
      <c r="P147" s="42">
        <f>P146+O147</f>
        <v>0</v>
      </c>
      <c r="Q147" s="42">
        <f>Q146+P147</f>
        <v>0</v>
      </c>
      <c r="R147" s="42">
        <f>R146+Q147</f>
        <v>0</v>
      </c>
      <c r="S147" s="42">
        <f>S146+R147</f>
        <v>0</v>
      </c>
      <c r="T147" s="42"/>
      <c r="U147" s="42"/>
      <c r="V147" s="42"/>
      <c r="W147" s="42"/>
    </row>
    <row r="148" spans="1:23" s="43" customFormat="1" ht="18" hidden="1" customHeight="1">
      <c r="A148" s="610"/>
      <c r="B148" s="581"/>
      <c r="C148" s="582" t="s">
        <v>96</v>
      </c>
      <c r="D148" s="178" t="str">
        <f>серпень!D148</f>
        <v>факт. нат.п-ки 2023</v>
      </c>
      <c r="E148" s="179"/>
      <c r="F148" s="184"/>
      <c r="G148" s="184"/>
      <c r="H148" s="179"/>
      <c r="I148" s="179"/>
      <c r="J148" s="179"/>
      <c r="K148" s="179"/>
      <c r="L148" s="215">
        <f>SUM(F148:K148)</f>
        <v>0</v>
      </c>
      <c r="M148" s="215">
        <f>L148/6</f>
        <v>0</v>
      </c>
      <c r="N148" s="179"/>
      <c r="O148" s="179"/>
      <c r="P148" s="179"/>
      <c r="Q148" s="179"/>
      <c r="R148" s="179"/>
      <c r="S148" s="179"/>
      <c r="T148" s="215">
        <f>SUM(N148:S148)</f>
        <v>0</v>
      </c>
      <c r="U148" s="215">
        <f>T148+L148</f>
        <v>0</v>
      </c>
      <c r="V148" s="179"/>
      <c r="W148" s="184"/>
    </row>
    <row r="149" spans="1:23" s="43" customFormat="1" ht="18" hidden="1" customHeight="1">
      <c r="A149" s="610"/>
      <c r="B149" s="581"/>
      <c r="C149" s="583"/>
      <c r="D149" s="178" t="str">
        <f>серпень!D149</f>
        <v>факт. нат.п-ки 2024</v>
      </c>
      <c r="E149" s="179"/>
      <c r="F149" s="184"/>
      <c r="G149" s="184"/>
      <c r="H149" s="179"/>
      <c r="I149" s="179"/>
      <c r="J149" s="179"/>
      <c r="K149" s="179"/>
      <c r="L149" s="215">
        <f>SUM(F149:K149)</f>
        <v>0</v>
      </c>
      <c r="M149" s="215">
        <f>L149/6</f>
        <v>0</v>
      </c>
      <c r="N149" s="179"/>
      <c r="O149" s="179"/>
      <c r="P149" s="179"/>
      <c r="Q149" s="179"/>
      <c r="R149" s="179"/>
      <c r="S149" s="179"/>
      <c r="T149" s="215">
        <f>SUM(N149:S149)</f>
        <v>0</v>
      </c>
      <c r="U149" s="215">
        <f>T149+L149</f>
        <v>0</v>
      </c>
      <c r="V149" s="179"/>
      <c r="W149" s="184"/>
    </row>
    <row r="150" spans="1:23" s="43" customFormat="1" ht="18" hidden="1" customHeight="1">
      <c r="A150" s="610"/>
      <c r="B150" s="581"/>
      <c r="C150" s="583"/>
      <c r="D150" s="178" t="str">
        <f>серпень!D150</f>
        <v>факт. нат.п-ки 2025</v>
      </c>
      <c r="E150" s="179"/>
      <c r="F150" s="184"/>
      <c r="G150" s="184"/>
      <c r="H150" s="179"/>
      <c r="I150" s="216"/>
      <c r="J150" s="179"/>
      <c r="K150" s="179"/>
      <c r="L150" s="215">
        <f>SUM(F150:K150)</f>
        <v>0</v>
      </c>
      <c r="M150" s="215">
        <f>L150/6</f>
        <v>0</v>
      </c>
      <c r="N150" s="179"/>
      <c r="O150" s="179"/>
      <c r="P150" s="179"/>
      <c r="Q150" s="179"/>
      <c r="R150" s="179"/>
      <c r="S150" s="179"/>
      <c r="T150" s="215">
        <f>SUM(N150:S150)</f>
        <v>0</v>
      </c>
      <c r="U150" s="215">
        <f>T150+L150</f>
        <v>0</v>
      </c>
      <c r="V150" s="179"/>
      <c r="W150" s="184">
        <f>U150-V150</f>
        <v>0</v>
      </c>
    </row>
    <row r="151" spans="1:23" s="43" customFormat="1" ht="18" hidden="1" customHeight="1">
      <c r="A151" s="610"/>
      <c r="B151" s="581"/>
      <c r="C151" s="583"/>
      <c r="D151" s="187" t="str">
        <f>серпень!D151</f>
        <v>тариф, грн.</v>
      </c>
      <c r="E151" s="188"/>
      <c r="F151" s="188"/>
      <c r="G151" s="188"/>
      <c r="H151" s="188"/>
      <c r="I151" s="188"/>
      <c r="J151" s="188"/>
      <c r="K151" s="188"/>
      <c r="L151" s="217" t="e">
        <f>L152/L150*1000</f>
        <v>#DIV/0!</v>
      </c>
      <c r="M151" s="217" t="e">
        <f>M152/M150*1000</f>
        <v>#DIV/0!</v>
      </c>
      <c r="N151" s="188"/>
      <c r="O151" s="188"/>
      <c r="P151" s="218"/>
      <c r="Q151" s="218"/>
      <c r="R151" s="218"/>
      <c r="S151" s="218"/>
      <c r="T151" s="217" t="e">
        <f>T152/T150*1000</f>
        <v>#DIV/0!</v>
      </c>
      <c r="U151" s="217" t="e">
        <f>U152/U150*1000</f>
        <v>#DIV/0!</v>
      </c>
      <c r="V151" s="218" t="e">
        <f>V152/V150*1000</f>
        <v>#DIV/0!</v>
      </c>
      <c r="W151" s="219" t="e">
        <f>W152/W150*1000</f>
        <v>#DIV/0!</v>
      </c>
    </row>
    <row r="152" spans="1:23" s="43" customFormat="1" ht="18" hidden="1" customHeight="1">
      <c r="A152" s="610"/>
      <c r="B152" s="581"/>
      <c r="C152" s="583"/>
      <c r="D152" s="191" t="str">
        <f>серпень!D152</f>
        <v>сума, тис.грн.</v>
      </c>
      <c r="E152" s="192"/>
      <c r="F152" s="192"/>
      <c r="G152" s="192"/>
      <c r="H152" s="192"/>
      <c r="I152" s="192"/>
      <c r="J152" s="192"/>
      <c r="K152" s="192"/>
      <c r="L152" s="194">
        <f>SUM(F152:K152)</f>
        <v>0</v>
      </c>
      <c r="M152" s="194">
        <f>L152/6</f>
        <v>0</v>
      </c>
      <c r="N152" s="192"/>
      <c r="O152" s="192"/>
      <c r="P152" s="192"/>
      <c r="Q152" s="192"/>
      <c r="R152" s="192"/>
      <c r="S152" s="192"/>
      <c r="T152" s="194">
        <f>SUM(N152:S152)</f>
        <v>0</v>
      </c>
      <c r="U152" s="194">
        <f>T152+L152</f>
        <v>0</v>
      </c>
      <c r="V152" s="171">
        <f>V153+V154</f>
        <v>0</v>
      </c>
      <c r="W152" s="192">
        <f>V152-U152</f>
        <v>0</v>
      </c>
    </row>
    <row r="153" spans="1:23" s="43" customFormat="1" ht="18" hidden="1" customHeight="1">
      <c r="A153" s="610"/>
      <c r="B153" s="581"/>
      <c r="C153" s="583"/>
      <c r="D153" s="174" t="str">
        <f>серпень!D153</f>
        <v>дотація</v>
      </c>
      <c r="E153" s="210"/>
      <c r="F153" s="192"/>
      <c r="G153" s="192"/>
      <c r="H153" s="192"/>
      <c r="I153" s="192"/>
      <c r="J153" s="192"/>
      <c r="K153" s="192"/>
      <c r="L153" s="194">
        <f>SUM(F153:K153)</f>
        <v>0</v>
      </c>
      <c r="M153" s="194">
        <f>L153/6</f>
        <v>0</v>
      </c>
      <c r="N153" s="192"/>
      <c r="O153" s="192"/>
      <c r="P153" s="192"/>
      <c r="Q153" s="192"/>
      <c r="R153" s="192"/>
      <c r="S153" s="192"/>
      <c r="T153" s="194">
        <f>SUM(N153:S153)</f>
        <v>0</v>
      </c>
      <c r="U153" s="194">
        <f>T153+L153</f>
        <v>0</v>
      </c>
      <c r="V153" s="171"/>
      <c r="W153" s="192">
        <f>V153-U153</f>
        <v>0</v>
      </c>
    </row>
    <row r="154" spans="1:23" s="43" customFormat="1" ht="18" hidden="1" customHeight="1">
      <c r="A154" s="610"/>
      <c r="B154" s="581"/>
      <c r="C154" s="583"/>
      <c r="D154" s="174" t="str">
        <f>серпень!D154</f>
        <v>місцевий (план), тис.грн</v>
      </c>
      <c r="E154" s="210"/>
      <c r="F154" s="192"/>
      <c r="G154" s="192"/>
      <c r="H154" s="192"/>
      <c r="I154" s="192"/>
      <c r="J154" s="192"/>
      <c r="K154" s="192"/>
      <c r="L154" s="194">
        <f>SUM(F154:K154)</f>
        <v>0</v>
      </c>
      <c r="M154" s="194">
        <f>L154/6</f>
        <v>0</v>
      </c>
      <c r="N154" s="192"/>
      <c r="O154" s="192"/>
      <c r="P154" s="192"/>
      <c r="Q154" s="192"/>
      <c r="R154" s="192"/>
      <c r="S154" s="192"/>
      <c r="T154" s="194">
        <f>SUM(N154:S154)</f>
        <v>0</v>
      </c>
      <c r="U154" s="194">
        <f>T154+L154</f>
        <v>0</v>
      </c>
      <c r="V154" s="171"/>
      <c r="W154" s="192">
        <f>V154-U154</f>
        <v>0</v>
      </c>
    </row>
    <row r="155" spans="1:23" s="43" customFormat="1" ht="18" hidden="1" customHeight="1">
      <c r="A155" s="610"/>
      <c r="B155" s="581"/>
      <c r="C155" s="583"/>
      <c r="D155" s="178" t="str">
        <f>серпень!D155</f>
        <v>касові нат.п-ки 2025</v>
      </c>
      <c r="E155" s="179"/>
      <c r="F155" s="184"/>
      <c r="G155" s="184"/>
      <c r="H155" s="179"/>
      <c r="I155" s="179"/>
      <c r="J155" s="216"/>
      <c r="K155" s="179"/>
      <c r="L155" s="215">
        <f>SUM(F155:K155)</f>
        <v>0</v>
      </c>
      <c r="M155" s="215">
        <f>L155/6</f>
        <v>0</v>
      </c>
      <c r="N155" s="179"/>
      <c r="O155" s="179"/>
      <c r="P155" s="179"/>
      <c r="Q155" s="179"/>
      <c r="R155" s="179"/>
      <c r="S155" s="179"/>
      <c r="T155" s="215">
        <f>SUM(N155:S155)</f>
        <v>0</v>
      </c>
      <c r="U155" s="215">
        <f>T155+L155</f>
        <v>0</v>
      </c>
      <c r="V155" s="179">
        <f>V150</f>
        <v>0</v>
      </c>
      <c r="W155" s="184">
        <f>V155-U155</f>
        <v>0</v>
      </c>
    </row>
    <row r="156" spans="1:23" s="43" customFormat="1" ht="18" hidden="1" customHeight="1">
      <c r="A156" s="610"/>
      <c r="B156" s="581"/>
      <c r="C156" s="583"/>
      <c r="D156" s="187" t="str">
        <f>серпень!D156</f>
        <v>тариф, грн.</v>
      </c>
      <c r="E156" s="188" t="e">
        <f t="shared" ref="E156" si="196">E157/E155*1000</f>
        <v>#DIV/0!</v>
      </c>
      <c r="F156" s="188"/>
      <c r="G156" s="188"/>
      <c r="H156" s="188"/>
      <c r="I156" s="188"/>
      <c r="J156" s="188"/>
      <c r="K156" s="188"/>
      <c r="L156" s="217" t="e">
        <f>L157/L155*1000</f>
        <v>#DIV/0!</v>
      </c>
      <c r="M156" s="217" t="e">
        <f>M157/M155*1000</f>
        <v>#DIV/0!</v>
      </c>
      <c r="N156" s="188"/>
      <c r="O156" s="188"/>
      <c r="P156" s="188"/>
      <c r="Q156" s="218"/>
      <c r="R156" s="218"/>
      <c r="S156" s="218"/>
      <c r="T156" s="217" t="e">
        <f>T157/T155*1000</f>
        <v>#DIV/0!</v>
      </c>
      <c r="U156" s="217" t="e">
        <f>U157/U155*1000</f>
        <v>#DIV/0!</v>
      </c>
      <c r="V156" s="218" t="e">
        <f>V157/V155*1000</f>
        <v>#DIV/0!</v>
      </c>
      <c r="W156" s="219" t="e">
        <f>W157/W155*1000</f>
        <v>#DIV/0!</v>
      </c>
    </row>
    <row r="157" spans="1:23" s="43" customFormat="1" ht="18" hidden="1" customHeight="1">
      <c r="A157" s="610"/>
      <c r="B157" s="581"/>
      <c r="C157" s="583"/>
      <c r="D157" s="198" t="str">
        <f>серпень!D157</f>
        <v>касові видатки, тис.грн.</v>
      </c>
      <c r="E157" s="220"/>
      <c r="F157" s="199"/>
      <c r="G157" s="199"/>
      <c r="H157" s="199"/>
      <c r="I157" s="199"/>
      <c r="J157" s="199"/>
      <c r="K157" s="199"/>
      <c r="L157" s="199">
        <f>SUM(F157:K157)</f>
        <v>0</v>
      </c>
      <c r="M157" s="199">
        <f>L157/6</f>
        <v>0</v>
      </c>
      <c r="N157" s="199"/>
      <c r="O157" s="199"/>
      <c r="P157" s="199"/>
      <c r="Q157" s="199"/>
      <c r="R157" s="199"/>
      <c r="S157" s="199"/>
      <c r="T157" s="199">
        <f>SUM(N157:S157)</f>
        <v>0</v>
      </c>
      <c r="U157" s="199">
        <f>T157+L157</f>
        <v>0</v>
      </c>
      <c r="V157" s="199">
        <f>V152</f>
        <v>0</v>
      </c>
      <c r="W157" s="221">
        <f>V157-U157</f>
        <v>0</v>
      </c>
    </row>
    <row r="158" spans="1:23" s="43" customFormat="1" ht="18" hidden="1" customHeight="1">
      <c r="A158" s="610"/>
      <c r="B158" s="581"/>
      <c r="C158" s="583"/>
      <c r="D158" s="201" t="str">
        <f>серпень!D158</f>
        <v>дотація</v>
      </c>
      <c r="E158" s="220"/>
      <c r="F158" s="199"/>
      <c r="G158" s="199"/>
      <c r="H158" s="199"/>
      <c r="I158" s="199"/>
      <c r="J158" s="199"/>
      <c r="K158" s="199"/>
      <c r="L158" s="199">
        <f>SUM(F158:K158)</f>
        <v>0</v>
      </c>
      <c r="M158" s="199">
        <f>L158/6</f>
        <v>0</v>
      </c>
      <c r="N158" s="199"/>
      <c r="O158" s="199"/>
      <c r="P158" s="199"/>
      <c r="Q158" s="199"/>
      <c r="R158" s="199"/>
      <c r="S158" s="199"/>
      <c r="T158" s="199">
        <f>SUM(N158:S158)</f>
        <v>0</v>
      </c>
      <c r="U158" s="199">
        <f>T158+L158</f>
        <v>0</v>
      </c>
      <c r="V158" s="199">
        <f>V153</f>
        <v>0</v>
      </c>
      <c r="W158" s="221">
        <f>V158-U158</f>
        <v>0</v>
      </c>
    </row>
    <row r="159" spans="1:23" s="43" customFormat="1" ht="18" hidden="1" customHeight="1">
      <c r="A159" s="610"/>
      <c r="B159" s="581"/>
      <c r="C159" s="583"/>
      <c r="D159" s="201" t="str">
        <f>серпень!D159</f>
        <v xml:space="preserve">місцевий </v>
      </c>
      <c r="E159" s="220"/>
      <c r="F159" s="199"/>
      <c r="G159" s="199"/>
      <c r="H159" s="199"/>
      <c r="I159" s="199"/>
      <c r="J159" s="199"/>
      <c r="K159" s="199"/>
      <c r="L159" s="199">
        <f>SUM(F159:K159)</f>
        <v>0</v>
      </c>
      <c r="M159" s="199">
        <f>L159/6</f>
        <v>0</v>
      </c>
      <c r="N159" s="199"/>
      <c r="O159" s="199"/>
      <c r="P159" s="199"/>
      <c r="Q159" s="199"/>
      <c r="R159" s="199"/>
      <c r="S159" s="199"/>
      <c r="T159" s="199">
        <f>SUM(N159:S159)</f>
        <v>0</v>
      </c>
      <c r="U159" s="199">
        <f>T159+L159</f>
        <v>0</v>
      </c>
      <c r="V159" s="199">
        <f>V154</f>
        <v>0</v>
      </c>
      <c r="W159" s="221">
        <f>V159-U159</f>
        <v>0</v>
      </c>
    </row>
    <row r="160" spans="1:23" s="43" customFormat="1" ht="18" hidden="1" customHeight="1">
      <c r="A160" s="610"/>
      <c r="B160" s="581"/>
      <c r="C160" s="583"/>
      <c r="D160" s="202" t="str">
        <f>серпень!D160</f>
        <v>план</v>
      </c>
      <c r="E160" s="203"/>
      <c r="F160" s="203">
        <f t="shared" ref="F160:K160" si="197">F153+F154</f>
        <v>0</v>
      </c>
      <c r="G160" s="203">
        <f t="shared" si="197"/>
        <v>0</v>
      </c>
      <c r="H160" s="203">
        <f t="shared" si="197"/>
        <v>0</v>
      </c>
      <c r="I160" s="203">
        <f t="shared" si="197"/>
        <v>0</v>
      </c>
      <c r="J160" s="203">
        <f t="shared" si="197"/>
        <v>0</v>
      </c>
      <c r="K160" s="203">
        <f t="shared" si="197"/>
        <v>0</v>
      </c>
      <c r="L160" s="203">
        <f>SUM(F160:K160)</f>
        <v>0</v>
      </c>
      <c r="M160" s="203">
        <f>L160/6</f>
        <v>0</v>
      </c>
      <c r="N160" s="203">
        <f t="shared" ref="N160:S160" si="198">N154+N153</f>
        <v>0</v>
      </c>
      <c r="O160" s="203">
        <f t="shared" si="198"/>
        <v>0</v>
      </c>
      <c r="P160" s="203">
        <f t="shared" si="198"/>
        <v>0</v>
      </c>
      <c r="Q160" s="203">
        <f t="shared" si="198"/>
        <v>0</v>
      </c>
      <c r="R160" s="203">
        <f t="shared" si="198"/>
        <v>0</v>
      </c>
      <c r="S160" s="203">
        <f t="shared" si="198"/>
        <v>0</v>
      </c>
      <c r="T160" s="203">
        <f>SUM(N160:S160)</f>
        <v>0</v>
      </c>
      <c r="U160" s="203">
        <f>T160+L160</f>
        <v>0</v>
      </c>
      <c r="V160" s="203">
        <f>V157</f>
        <v>0</v>
      </c>
      <c r="W160" s="203">
        <f>V160-U160</f>
        <v>0</v>
      </c>
    </row>
    <row r="161" spans="1:24" s="43" customFormat="1" ht="18" hidden="1" customHeight="1">
      <c r="A161" s="610"/>
      <c r="B161" s="581"/>
      <c r="C161" s="583"/>
      <c r="D161" s="202" t="str">
        <f>серпень!D161</f>
        <v xml:space="preserve">відхилення </v>
      </c>
      <c r="E161" s="203"/>
      <c r="F161" s="203">
        <f t="shared" ref="F161:K161" si="199">F157-F160</f>
        <v>0</v>
      </c>
      <c r="G161" s="203">
        <f t="shared" si="199"/>
        <v>0</v>
      </c>
      <c r="H161" s="203">
        <f t="shared" si="199"/>
        <v>0</v>
      </c>
      <c r="I161" s="203">
        <f t="shared" si="199"/>
        <v>0</v>
      </c>
      <c r="J161" s="203">
        <f t="shared" si="199"/>
        <v>0</v>
      </c>
      <c r="K161" s="203">
        <f t="shared" si="199"/>
        <v>0</v>
      </c>
      <c r="L161" s="203"/>
      <c r="M161" s="203"/>
      <c r="N161" s="203">
        <f t="shared" ref="N161:S161" si="200">N157-N160</f>
        <v>0</v>
      </c>
      <c r="O161" s="203">
        <f t="shared" si="200"/>
        <v>0</v>
      </c>
      <c r="P161" s="203">
        <f t="shared" si="200"/>
        <v>0</v>
      </c>
      <c r="Q161" s="203">
        <f t="shared" si="200"/>
        <v>0</v>
      </c>
      <c r="R161" s="203">
        <f t="shared" si="200"/>
        <v>0</v>
      </c>
      <c r="S161" s="203">
        <f t="shared" si="200"/>
        <v>0</v>
      </c>
      <c r="T161" s="203"/>
      <c r="U161" s="203"/>
      <c r="V161" s="203"/>
      <c r="W161" s="203"/>
    </row>
    <row r="162" spans="1:24" s="43" customFormat="1" ht="18" hidden="1" customHeight="1">
      <c r="A162" s="610"/>
      <c r="B162" s="581"/>
      <c r="C162" s="584"/>
      <c r="D162" s="202" t="str">
        <f>серпень!D162</f>
        <v>відхилення з наростаючим</v>
      </c>
      <c r="E162" s="203"/>
      <c r="F162" s="203">
        <f>F161</f>
        <v>0</v>
      </c>
      <c r="G162" s="203">
        <f>G161+F162</f>
        <v>0</v>
      </c>
      <c r="H162" s="203">
        <f>H161+G162</f>
        <v>0</v>
      </c>
      <c r="I162" s="203">
        <f>I161+H162</f>
        <v>0</v>
      </c>
      <c r="J162" s="203">
        <f>J161+I162</f>
        <v>0</v>
      </c>
      <c r="K162" s="203">
        <f>K161+J162</f>
        <v>0</v>
      </c>
      <c r="L162" s="203"/>
      <c r="M162" s="203"/>
      <c r="N162" s="203">
        <f>N161+K162</f>
        <v>0</v>
      </c>
      <c r="O162" s="203">
        <f>O161+N162</f>
        <v>0</v>
      </c>
      <c r="P162" s="203">
        <f>P161+O162</f>
        <v>0</v>
      </c>
      <c r="Q162" s="203">
        <f>Q161+P162</f>
        <v>0</v>
      </c>
      <c r="R162" s="203">
        <f>R161+Q162</f>
        <v>0</v>
      </c>
      <c r="S162" s="203">
        <f>S161+R162</f>
        <v>0</v>
      </c>
      <c r="T162" s="203"/>
      <c r="U162" s="203"/>
      <c r="V162" s="203"/>
      <c r="W162" s="203"/>
    </row>
    <row r="163" spans="1:24" s="48" customFormat="1" ht="18" hidden="1" customHeight="1">
      <c r="A163" s="610"/>
      <c r="B163" s="576" t="s">
        <v>61</v>
      </c>
      <c r="C163" s="577"/>
      <c r="D163" s="178" t="str">
        <f>серпень!D163</f>
        <v>факт. нат.п-ки 2023</v>
      </c>
      <c r="E163" s="11"/>
      <c r="F163" s="12">
        <f t="shared" ref="F163:K165" si="201">F178+F193</f>
        <v>0</v>
      </c>
      <c r="G163" s="12">
        <f t="shared" si="201"/>
        <v>0</v>
      </c>
      <c r="H163" s="12">
        <f t="shared" si="201"/>
        <v>0</v>
      </c>
      <c r="I163" s="12">
        <f t="shared" si="201"/>
        <v>0</v>
      </c>
      <c r="J163" s="12">
        <f t="shared" si="201"/>
        <v>0</v>
      </c>
      <c r="K163" s="12">
        <f t="shared" si="201"/>
        <v>0</v>
      </c>
      <c r="L163" s="44">
        <f>SUM(F163:K163)</f>
        <v>0</v>
      </c>
      <c r="M163" s="44">
        <f>L163/6</f>
        <v>0</v>
      </c>
      <c r="N163" s="12">
        <f t="shared" ref="N163:S165" si="202">N178+N193</f>
        <v>0</v>
      </c>
      <c r="O163" s="12">
        <f t="shared" si="202"/>
        <v>0</v>
      </c>
      <c r="P163" s="12">
        <f t="shared" si="202"/>
        <v>0</v>
      </c>
      <c r="Q163" s="12">
        <f t="shared" si="202"/>
        <v>0</v>
      </c>
      <c r="R163" s="12">
        <f t="shared" si="202"/>
        <v>0</v>
      </c>
      <c r="S163" s="12">
        <f t="shared" si="202"/>
        <v>0</v>
      </c>
      <c r="T163" s="44">
        <f>SUM(N163:S163)</f>
        <v>0</v>
      </c>
      <c r="U163" s="45">
        <f>T163+L163</f>
        <v>0</v>
      </c>
      <c r="V163" s="46">
        <f>V178+V193</f>
        <v>0</v>
      </c>
      <c r="W163" s="38">
        <f>V163-U163</f>
        <v>0</v>
      </c>
      <c r="X163" s="47"/>
    </row>
    <row r="164" spans="1:24" s="48" customFormat="1" ht="18" hidden="1" customHeight="1">
      <c r="A164" s="610"/>
      <c r="B164" s="576"/>
      <c r="C164" s="577"/>
      <c r="D164" s="178" t="str">
        <f>серпень!D164</f>
        <v>факт. нат.п-ки 2024</v>
      </c>
      <c r="E164" s="11"/>
      <c r="F164" s="12">
        <f t="shared" si="201"/>
        <v>0</v>
      </c>
      <c r="G164" s="12">
        <f t="shared" si="201"/>
        <v>0</v>
      </c>
      <c r="H164" s="12">
        <f t="shared" si="201"/>
        <v>0</v>
      </c>
      <c r="I164" s="12">
        <f t="shared" si="201"/>
        <v>0</v>
      </c>
      <c r="J164" s="12">
        <f t="shared" si="201"/>
        <v>0</v>
      </c>
      <c r="K164" s="12">
        <f t="shared" si="201"/>
        <v>0</v>
      </c>
      <c r="L164" s="44">
        <f>SUM(F164:K164)</f>
        <v>0</v>
      </c>
      <c r="M164" s="44">
        <f>L164/6</f>
        <v>0</v>
      </c>
      <c r="N164" s="11">
        <f t="shared" si="202"/>
        <v>0</v>
      </c>
      <c r="O164" s="11">
        <f t="shared" si="202"/>
        <v>0</v>
      </c>
      <c r="P164" s="11">
        <f t="shared" si="202"/>
        <v>0</v>
      </c>
      <c r="Q164" s="11">
        <f t="shared" si="202"/>
        <v>0</v>
      </c>
      <c r="R164" s="11">
        <f t="shared" si="202"/>
        <v>0</v>
      </c>
      <c r="S164" s="11">
        <f t="shared" si="202"/>
        <v>0</v>
      </c>
      <c r="T164" s="44">
        <f>SUM(N164:S164)</f>
        <v>0</v>
      </c>
      <c r="U164" s="45">
        <f>T164+L164</f>
        <v>0</v>
      </c>
      <c r="V164" s="46">
        <f>V179+V194</f>
        <v>0</v>
      </c>
      <c r="W164" s="38">
        <f>V164-U164</f>
        <v>0</v>
      </c>
      <c r="X164" s="47"/>
    </row>
    <row r="165" spans="1:24" s="48" customFormat="1" ht="18" hidden="1" customHeight="1">
      <c r="A165" s="610"/>
      <c r="B165" s="576"/>
      <c r="C165" s="577"/>
      <c r="D165" s="178" t="str">
        <f>серпень!D165</f>
        <v>факт. нат.п-ки 2025</v>
      </c>
      <c r="E165" s="11"/>
      <c r="F165" s="12">
        <f t="shared" si="201"/>
        <v>0</v>
      </c>
      <c r="G165" s="12">
        <f t="shared" si="201"/>
        <v>0</v>
      </c>
      <c r="H165" s="12">
        <f t="shared" si="201"/>
        <v>0</v>
      </c>
      <c r="I165" s="12">
        <f t="shared" si="201"/>
        <v>0</v>
      </c>
      <c r="J165" s="12">
        <f t="shared" si="201"/>
        <v>0</v>
      </c>
      <c r="K165" s="12">
        <f t="shared" si="201"/>
        <v>0</v>
      </c>
      <c r="L165" s="44">
        <f>SUM(F165:K165)</f>
        <v>0</v>
      </c>
      <c r="M165" s="44">
        <f>L165/6</f>
        <v>0</v>
      </c>
      <c r="N165" s="12">
        <f t="shared" si="202"/>
        <v>0</v>
      </c>
      <c r="O165" s="12">
        <f t="shared" si="202"/>
        <v>0</v>
      </c>
      <c r="P165" s="12">
        <f t="shared" si="202"/>
        <v>0</v>
      </c>
      <c r="Q165" s="12">
        <f t="shared" si="202"/>
        <v>0</v>
      </c>
      <c r="R165" s="12">
        <f t="shared" si="202"/>
        <v>0</v>
      </c>
      <c r="S165" s="12">
        <f t="shared" si="202"/>
        <v>0</v>
      </c>
      <c r="T165" s="44">
        <f>SUM(N165:S165)</f>
        <v>0</v>
      </c>
      <c r="U165" s="45">
        <f>T165+L165</f>
        <v>0</v>
      </c>
      <c r="V165" s="46">
        <f>V180+V195</f>
        <v>0</v>
      </c>
      <c r="W165" s="38">
        <f>V165-U165</f>
        <v>0</v>
      </c>
      <c r="X165" s="47"/>
    </row>
    <row r="166" spans="1:24" s="51" customFormat="1" ht="18" hidden="1" customHeight="1">
      <c r="A166" s="610"/>
      <c r="B166" s="576"/>
      <c r="C166" s="577"/>
      <c r="D166" s="187" t="str">
        <f>серпень!D166</f>
        <v>тариф, грн.</v>
      </c>
      <c r="E166" s="49"/>
      <c r="F166" s="49" t="e">
        <f>F167/F165*1000</f>
        <v>#DIV/0!</v>
      </c>
      <c r="G166" s="49" t="e">
        <f>G167/G165*1000</f>
        <v>#DIV/0!</v>
      </c>
      <c r="H166" s="49" t="e">
        <f>H167/H165*1000</f>
        <v>#DIV/0!</v>
      </c>
      <c r="I166" s="49" t="e">
        <f>I167/I165*1000</f>
        <v>#DIV/0!</v>
      </c>
      <c r="J166" s="49" t="e">
        <f>J167/J165*1000</f>
        <v>#DIV/0!</v>
      </c>
      <c r="K166" s="49" t="e">
        <f t="shared" ref="K166:S166" si="203">K167/K165*1000</f>
        <v>#DIV/0!</v>
      </c>
      <c r="L166" s="49" t="e">
        <f t="shared" si="203"/>
        <v>#DIV/0!</v>
      </c>
      <c r="M166" s="49" t="e">
        <f t="shared" si="203"/>
        <v>#DIV/0!</v>
      </c>
      <c r="N166" s="49" t="e">
        <f t="shared" si="203"/>
        <v>#DIV/0!</v>
      </c>
      <c r="O166" s="49" t="e">
        <f t="shared" si="203"/>
        <v>#DIV/0!</v>
      </c>
      <c r="P166" s="49" t="e">
        <f t="shared" si="203"/>
        <v>#DIV/0!</v>
      </c>
      <c r="Q166" s="49" t="e">
        <f t="shared" si="203"/>
        <v>#DIV/0!</v>
      </c>
      <c r="R166" s="49" t="e">
        <f t="shared" si="203"/>
        <v>#DIV/0!</v>
      </c>
      <c r="S166" s="49" t="e">
        <f t="shared" si="203"/>
        <v>#DIV/0!</v>
      </c>
      <c r="T166" s="49" t="e">
        <f>T167/T165*1000</f>
        <v>#DIV/0!</v>
      </c>
      <c r="U166" s="49" t="e">
        <f>U167/U165*1000</f>
        <v>#DIV/0!</v>
      </c>
      <c r="V166" s="49" t="e">
        <f>V167/V165*1000</f>
        <v>#DIV/0!</v>
      </c>
      <c r="W166" s="14" t="e">
        <f>W167/W165*1000</f>
        <v>#DIV/0!</v>
      </c>
      <c r="X166" s="50"/>
    </row>
    <row r="167" spans="1:24" s="55" customFormat="1" ht="18" hidden="1" customHeight="1">
      <c r="A167" s="610"/>
      <c r="B167" s="576"/>
      <c r="C167" s="577"/>
      <c r="D167" s="191" t="str">
        <f>серпень!D167</f>
        <v>сума, тис.грн.</v>
      </c>
      <c r="E167" s="52"/>
      <c r="F167" s="52">
        <f t="shared" ref="F167:K170" si="204">F182+F197</f>
        <v>0</v>
      </c>
      <c r="G167" s="52">
        <f t="shared" si="204"/>
        <v>0</v>
      </c>
      <c r="H167" s="52">
        <f t="shared" si="204"/>
        <v>0</v>
      </c>
      <c r="I167" s="52">
        <f t="shared" si="204"/>
        <v>0</v>
      </c>
      <c r="J167" s="52">
        <f t="shared" si="204"/>
        <v>0</v>
      </c>
      <c r="K167" s="52">
        <f t="shared" si="204"/>
        <v>0</v>
      </c>
      <c r="L167" s="52">
        <f>SUM(F167:K167)</f>
        <v>0</v>
      </c>
      <c r="M167" s="52">
        <f>L167/6</f>
        <v>0</v>
      </c>
      <c r="N167" s="52">
        <f t="shared" ref="N167:S170" si="205">N182+N197</f>
        <v>0</v>
      </c>
      <c r="O167" s="52">
        <f t="shared" si="205"/>
        <v>0</v>
      </c>
      <c r="P167" s="52">
        <f t="shared" si="205"/>
        <v>0</v>
      </c>
      <c r="Q167" s="52">
        <f t="shared" si="205"/>
        <v>0</v>
      </c>
      <c r="R167" s="52">
        <f t="shared" si="205"/>
        <v>0</v>
      </c>
      <c r="S167" s="52">
        <f t="shared" si="205"/>
        <v>0</v>
      </c>
      <c r="T167" s="52">
        <f>SUM(N167:S167)</f>
        <v>0</v>
      </c>
      <c r="U167" s="52">
        <f>T167+L167</f>
        <v>0</v>
      </c>
      <c r="V167" s="53">
        <f>V182+V197</f>
        <v>0</v>
      </c>
      <c r="W167" s="53">
        <f>V167-U167</f>
        <v>0</v>
      </c>
      <c r="X167" s="54">
        <f>9891253.845/1000</f>
        <v>9891.2540000000008</v>
      </c>
    </row>
    <row r="168" spans="1:24" s="55" customFormat="1" ht="18" hidden="1" customHeight="1">
      <c r="A168" s="610"/>
      <c r="B168" s="576"/>
      <c r="C168" s="577"/>
      <c r="D168" s="174" t="str">
        <f>серпень!D168</f>
        <v>дотація</v>
      </c>
      <c r="E168" s="56"/>
      <c r="F168" s="52">
        <f t="shared" si="204"/>
        <v>0</v>
      </c>
      <c r="G168" s="52">
        <f t="shared" si="204"/>
        <v>0</v>
      </c>
      <c r="H168" s="52">
        <f t="shared" si="204"/>
        <v>0</v>
      </c>
      <c r="I168" s="52">
        <f t="shared" si="204"/>
        <v>0</v>
      </c>
      <c r="J168" s="52">
        <f t="shared" si="204"/>
        <v>0</v>
      </c>
      <c r="K168" s="52">
        <f t="shared" si="204"/>
        <v>0</v>
      </c>
      <c r="L168" s="52">
        <f>SUM(F168:K168)</f>
        <v>0</v>
      </c>
      <c r="M168" s="52">
        <f>L168/6</f>
        <v>0</v>
      </c>
      <c r="N168" s="52">
        <f t="shared" si="205"/>
        <v>0</v>
      </c>
      <c r="O168" s="52">
        <f t="shared" si="205"/>
        <v>0</v>
      </c>
      <c r="P168" s="52">
        <f t="shared" si="205"/>
        <v>0</v>
      </c>
      <c r="Q168" s="52">
        <f t="shared" si="205"/>
        <v>0</v>
      </c>
      <c r="R168" s="52">
        <f t="shared" si="205"/>
        <v>0</v>
      </c>
      <c r="S168" s="52">
        <f t="shared" si="205"/>
        <v>0</v>
      </c>
      <c r="T168" s="52">
        <f>SUM(N168:S168)</f>
        <v>0</v>
      </c>
      <c r="U168" s="52">
        <f>T168+L168</f>
        <v>0</v>
      </c>
      <c r="V168" s="53">
        <f>V183+V198</f>
        <v>0</v>
      </c>
      <c r="W168" s="57">
        <f>V168-U168</f>
        <v>0</v>
      </c>
      <c r="X168" s="58"/>
    </row>
    <row r="169" spans="1:24" s="55" customFormat="1" ht="18" hidden="1" customHeight="1">
      <c r="A169" s="610"/>
      <c r="B169" s="576"/>
      <c r="C169" s="577"/>
      <c r="D169" s="174" t="str">
        <f>серпень!D169</f>
        <v>місцевий (план), тис.грн</v>
      </c>
      <c r="E169" s="56"/>
      <c r="F169" s="52">
        <f t="shared" si="204"/>
        <v>0</v>
      </c>
      <c r="G169" s="52">
        <f t="shared" si="204"/>
        <v>0</v>
      </c>
      <c r="H169" s="52">
        <f t="shared" si="204"/>
        <v>0</v>
      </c>
      <c r="I169" s="52">
        <f t="shared" si="204"/>
        <v>0</v>
      </c>
      <c r="J169" s="52">
        <f t="shared" si="204"/>
        <v>0</v>
      </c>
      <c r="K169" s="52">
        <f t="shared" si="204"/>
        <v>0</v>
      </c>
      <c r="L169" s="52">
        <f>SUM(F169:K169)</f>
        <v>0</v>
      </c>
      <c r="M169" s="52">
        <f>L169/6</f>
        <v>0</v>
      </c>
      <c r="N169" s="52">
        <f t="shared" si="205"/>
        <v>0</v>
      </c>
      <c r="O169" s="52">
        <f t="shared" si="205"/>
        <v>0</v>
      </c>
      <c r="P169" s="52">
        <f t="shared" si="205"/>
        <v>0</v>
      </c>
      <c r="Q169" s="52">
        <f t="shared" si="205"/>
        <v>0</v>
      </c>
      <c r="R169" s="52">
        <f t="shared" si="205"/>
        <v>0</v>
      </c>
      <c r="S169" s="52">
        <f t="shared" si="205"/>
        <v>0</v>
      </c>
      <c r="T169" s="52">
        <f>SUM(N169:S169)</f>
        <v>0</v>
      </c>
      <c r="U169" s="52">
        <f>T169+L169</f>
        <v>0</v>
      </c>
      <c r="V169" s="53">
        <f>V184+V199</f>
        <v>0</v>
      </c>
      <c r="W169" s="53">
        <f>V169-U169</f>
        <v>0</v>
      </c>
      <c r="X169" s="58"/>
    </row>
    <row r="170" spans="1:24" s="48" customFormat="1" ht="18" hidden="1" customHeight="1">
      <c r="A170" s="610"/>
      <c r="B170" s="576"/>
      <c r="C170" s="577"/>
      <c r="D170" s="178" t="str">
        <f>серпень!D170</f>
        <v>касові нат.п-ки 2025</v>
      </c>
      <c r="E170" s="11">
        <f>E185+E200</f>
        <v>0</v>
      </c>
      <c r="F170" s="11">
        <f t="shared" si="204"/>
        <v>0</v>
      </c>
      <c r="G170" s="11">
        <f t="shared" si="204"/>
        <v>0</v>
      </c>
      <c r="H170" s="11">
        <f t="shared" si="204"/>
        <v>0</v>
      </c>
      <c r="I170" s="11">
        <f t="shared" si="204"/>
        <v>0</v>
      </c>
      <c r="J170" s="11">
        <f t="shared" si="204"/>
        <v>0</v>
      </c>
      <c r="K170" s="11">
        <f t="shared" si="204"/>
        <v>0</v>
      </c>
      <c r="L170" s="44">
        <f>SUM(F170:K170)</f>
        <v>0</v>
      </c>
      <c r="M170" s="44">
        <f>L170/6</f>
        <v>0</v>
      </c>
      <c r="N170" s="11">
        <f t="shared" si="205"/>
        <v>0</v>
      </c>
      <c r="O170" s="11">
        <f t="shared" si="205"/>
        <v>0</v>
      </c>
      <c r="P170" s="11">
        <f t="shared" si="205"/>
        <v>0</v>
      </c>
      <c r="Q170" s="11">
        <f t="shared" si="205"/>
        <v>0</v>
      </c>
      <c r="R170" s="11">
        <f t="shared" si="205"/>
        <v>0</v>
      </c>
      <c r="S170" s="11">
        <f t="shared" si="205"/>
        <v>0</v>
      </c>
      <c r="T170" s="44">
        <f>SUM(N170:S170)</f>
        <v>0</v>
      </c>
      <c r="U170" s="44">
        <f>T170+L170</f>
        <v>0</v>
      </c>
      <c r="V170" s="38">
        <f>V185+V200</f>
        <v>0</v>
      </c>
      <c r="W170" s="38">
        <f>V170-U170</f>
        <v>0</v>
      </c>
      <c r="X170" s="47">
        <f>U165-U170</f>
        <v>0</v>
      </c>
    </row>
    <row r="171" spans="1:24" s="51" customFormat="1" ht="18" hidden="1" customHeight="1">
      <c r="A171" s="610"/>
      <c r="B171" s="576"/>
      <c r="C171" s="577"/>
      <c r="D171" s="187" t="str">
        <f>серпень!D171</f>
        <v>тариф, грн.</v>
      </c>
      <c r="E171" s="49" t="e">
        <f t="shared" ref="E171:S171" si="206">E172/E170*1000</f>
        <v>#DIV/0!</v>
      </c>
      <c r="F171" s="49" t="e">
        <f t="shared" si="206"/>
        <v>#DIV/0!</v>
      </c>
      <c r="G171" s="49" t="e">
        <f t="shared" si="206"/>
        <v>#DIV/0!</v>
      </c>
      <c r="H171" s="49" t="e">
        <f t="shared" si="206"/>
        <v>#DIV/0!</v>
      </c>
      <c r="I171" s="49" t="e">
        <f t="shared" si="206"/>
        <v>#DIV/0!</v>
      </c>
      <c r="J171" s="49" t="e">
        <f t="shared" si="206"/>
        <v>#DIV/0!</v>
      </c>
      <c r="K171" s="49" t="e">
        <f t="shared" si="206"/>
        <v>#DIV/0!</v>
      </c>
      <c r="L171" s="49" t="e">
        <f t="shared" si="206"/>
        <v>#DIV/0!</v>
      </c>
      <c r="M171" s="49" t="e">
        <f t="shared" si="206"/>
        <v>#DIV/0!</v>
      </c>
      <c r="N171" s="49" t="e">
        <f t="shared" si="206"/>
        <v>#DIV/0!</v>
      </c>
      <c r="O171" s="49" t="e">
        <f t="shared" si="206"/>
        <v>#DIV/0!</v>
      </c>
      <c r="P171" s="49" t="e">
        <f t="shared" si="206"/>
        <v>#DIV/0!</v>
      </c>
      <c r="Q171" s="49" t="e">
        <f t="shared" si="206"/>
        <v>#DIV/0!</v>
      </c>
      <c r="R171" s="49" t="e">
        <f t="shared" si="206"/>
        <v>#DIV/0!</v>
      </c>
      <c r="S171" s="49" t="e">
        <f t="shared" si="206"/>
        <v>#DIV/0!</v>
      </c>
      <c r="T171" s="49" t="e">
        <f>T172/T170*1000</f>
        <v>#DIV/0!</v>
      </c>
      <c r="U171" s="49" t="e">
        <f>U172/U170*1000</f>
        <v>#DIV/0!</v>
      </c>
      <c r="V171" s="49" t="e">
        <f>V172/V170*1000</f>
        <v>#DIV/0!</v>
      </c>
      <c r="W171" s="14" t="e">
        <f>W172/W170*1000</f>
        <v>#DIV/0!</v>
      </c>
      <c r="X171" s="59"/>
    </row>
    <row r="172" spans="1:24" s="63" customFormat="1" ht="18" hidden="1" customHeight="1">
      <c r="A172" s="610"/>
      <c r="B172" s="576"/>
      <c r="C172" s="577"/>
      <c r="D172" s="198" t="str">
        <f>серпень!D172</f>
        <v>касові видатки, тис.грн.</v>
      </c>
      <c r="E172" s="60">
        <f t="shared" ref="E172:K174" si="207">E187+E202</f>
        <v>0</v>
      </c>
      <c r="F172" s="61">
        <f t="shared" si="207"/>
        <v>0</v>
      </c>
      <c r="G172" s="61">
        <f t="shared" si="207"/>
        <v>0</v>
      </c>
      <c r="H172" s="61">
        <f t="shared" si="207"/>
        <v>0</v>
      </c>
      <c r="I172" s="61">
        <f t="shared" si="207"/>
        <v>0</v>
      </c>
      <c r="J172" s="61">
        <f t="shared" si="207"/>
        <v>0</v>
      </c>
      <c r="K172" s="61">
        <f t="shared" si="207"/>
        <v>0</v>
      </c>
      <c r="L172" s="61">
        <f>SUM(F172:K172)</f>
        <v>0</v>
      </c>
      <c r="M172" s="61">
        <f>L172/6</f>
        <v>0</v>
      </c>
      <c r="N172" s="61">
        <f t="shared" ref="N172:S174" si="208">N187+N202</f>
        <v>0</v>
      </c>
      <c r="O172" s="61">
        <f t="shared" si="208"/>
        <v>0</v>
      </c>
      <c r="P172" s="61">
        <f t="shared" si="208"/>
        <v>0</v>
      </c>
      <c r="Q172" s="61">
        <f t="shared" si="208"/>
        <v>0</v>
      </c>
      <c r="R172" s="61">
        <f t="shared" si="208"/>
        <v>0</v>
      </c>
      <c r="S172" s="61">
        <f t="shared" si="208"/>
        <v>0</v>
      </c>
      <c r="T172" s="61">
        <f>SUM(N172:S172)</f>
        <v>0</v>
      </c>
      <c r="U172" s="61">
        <f>T172+L172</f>
        <v>0</v>
      </c>
      <c r="V172" s="62">
        <f>V187+V202</f>
        <v>0</v>
      </c>
      <c r="W172" s="62">
        <f>V172-U172</f>
        <v>0</v>
      </c>
      <c r="X172" s="63">
        <f>U167-U172</f>
        <v>0</v>
      </c>
    </row>
    <row r="173" spans="1:24" s="63" customFormat="1" ht="18" hidden="1" customHeight="1">
      <c r="A173" s="610"/>
      <c r="B173" s="576"/>
      <c r="C173" s="577"/>
      <c r="D173" s="201" t="str">
        <f>серпень!D173</f>
        <v>дотація</v>
      </c>
      <c r="E173" s="60"/>
      <c r="F173" s="61">
        <f t="shared" si="207"/>
        <v>0</v>
      </c>
      <c r="G173" s="61">
        <f t="shared" si="207"/>
        <v>0</v>
      </c>
      <c r="H173" s="61">
        <f t="shared" si="207"/>
        <v>0</v>
      </c>
      <c r="I173" s="61">
        <f t="shared" si="207"/>
        <v>0</v>
      </c>
      <c r="J173" s="61">
        <f>J188+J203</f>
        <v>0</v>
      </c>
      <c r="K173" s="61">
        <f t="shared" si="207"/>
        <v>0</v>
      </c>
      <c r="L173" s="61">
        <f>SUM(F173:K173)</f>
        <v>0</v>
      </c>
      <c r="M173" s="61">
        <f>L173/6</f>
        <v>0</v>
      </c>
      <c r="N173" s="61">
        <f t="shared" si="208"/>
        <v>0</v>
      </c>
      <c r="O173" s="61">
        <f t="shared" si="208"/>
        <v>0</v>
      </c>
      <c r="P173" s="61">
        <f t="shared" si="208"/>
        <v>0</v>
      </c>
      <c r="Q173" s="61">
        <f t="shared" si="208"/>
        <v>0</v>
      </c>
      <c r="R173" s="61">
        <f t="shared" si="208"/>
        <v>0</v>
      </c>
      <c r="S173" s="61">
        <f t="shared" si="208"/>
        <v>0</v>
      </c>
      <c r="T173" s="61">
        <f>SUM(N173:S173)</f>
        <v>0</v>
      </c>
      <c r="U173" s="61">
        <f>T173+L173</f>
        <v>0</v>
      </c>
      <c r="V173" s="62">
        <f>V188+V203</f>
        <v>0</v>
      </c>
      <c r="W173" s="62">
        <f>V173-U173</f>
        <v>0</v>
      </c>
      <c r="X173" s="63">
        <f>U168-U173</f>
        <v>0</v>
      </c>
    </row>
    <row r="174" spans="1:24" s="63" customFormat="1" ht="18" hidden="1" customHeight="1">
      <c r="A174" s="610"/>
      <c r="B174" s="576"/>
      <c r="C174" s="577"/>
      <c r="D174" s="201" t="str">
        <f>серпень!D174</f>
        <v xml:space="preserve">місцевий </v>
      </c>
      <c r="E174" s="60"/>
      <c r="F174" s="61">
        <f t="shared" si="207"/>
        <v>0</v>
      </c>
      <c r="G174" s="61">
        <f t="shared" si="207"/>
        <v>0</v>
      </c>
      <c r="H174" s="61">
        <f t="shared" si="207"/>
        <v>0</v>
      </c>
      <c r="I174" s="61">
        <f t="shared" si="207"/>
        <v>0</v>
      </c>
      <c r="J174" s="61">
        <f>J189+J204</f>
        <v>0</v>
      </c>
      <c r="K174" s="61">
        <f t="shared" si="207"/>
        <v>0</v>
      </c>
      <c r="L174" s="61">
        <f>SUM(F174:K174)</f>
        <v>0</v>
      </c>
      <c r="M174" s="61">
        <f>L174/6</f>
        <v>0</v>
      </c>
      <c r="N174" s="61">
        <f t="shared" si="208"/>
        <v>0</v>
      </c>
      <c r="O174" s="61">
        <f t="shared" si="208"/>
        <v>0</v>
      </c>
      <c r="P174" s="61">
        <f t="shared" si="208"/>
        <v>0</v>
      </c>
      <c r="Q174" s="61">
        <f t="shared" si="208"/>
        <v>0</v>
      </c>
      <c r="R174" s="61">
        <f t="shared" si="208"/>
        <v>0</v>
      </c>
      <c r="S174" s="61">
        <f t="shared" si="208"/>
        <v>0</v>
      </c>
      <c r="T174" s="61">
        <f>SUM(N174:S174)</f>
        <v>0</v>
      </c>
      <c r="U174" s="61">
        <f>T174+L174</f>
        <v>0</v>
      </c>
      <c r="V174" s="62">
        <f>V189+V204</f>
        <v>0</v>
      </c>
      <c r="W174" s="62">
        <f>V174-U174</f>
        <v>0</v>
      </c>
      <c r="X174" s="63">
        <f>U169-U174</f>
        <v>0</v>
      </c>
    </row>
    <row r="175" spans="1:24" s="43" customFormat="1" ht="18" hidden="1" customHeight="1">
      <c r="A175" s="610"/>
      <c r="B175" s="576"/>
      <c r="C175" s="577"/>
      <c r="D175" s="202" t="str">
        <f>серпень!D175</f>
        <v>план</v>
      </c>
      <c r="E175" s="42"/>
      <c r="F175" s="42">
        <f t="shared" ref="F175:K175" si="209">F169</f>
        <v>0</v>
      </c>
      <c r="G175" s="42">
        <f t="shared" si="209"/>
        <v>0</v>
      </c>
      <c r="H175" s="42">
        <f t="shared" si="209"/>
        <v>0</v>
      </c>
      <c r="I175" s="42">
        <f t="shared" si="209"/>
        <v>0</v>
      </c>
      <c r="J175" s="42">
        <f t="shared" si="209"/>
        <v>0</v>
      </c>
      <c r="K175" s="42">
        <f t="shared" si="209"/>
        <v>0</v>
      </c>
      <c r="L175" s="42">
        <f>SUM(F175:K175)</f>
        <v>0</v>
      </c>
      <c r="M175" s="42">
        <f>L175/6</f>
        <v>0</v>
      </c>
      <c r="N175" s="42">
        <f t="shared" ref="N175:S175" si="210">N169+N168</f>
        <v>0</v>
      </c>
      <c r="O175" s="42">
        <f t="shared" si="210"/>
        <v>0</v>
      </c>
      <c r="P175" s="42">
        <f t="shared" si="210"/>
        <v>0</v>
      </c>
      <c r="Q175" s="42">
        <f t="shared" si="210"/>
        <v>0</v>
      </c>
      <c r="R175" s="42">
        <f t="shared" si="210"/>
        <v>0</v>
      </c>
      <c r="S175" s="42">
        <f t="shared" si="210"/>
        <v>0</v>
      </c>
      <c r="T175" s="42">
        <f>SUM(N175:S175)</f>
        <v>0</v>
      </c>
      <c r="U175" s="42">
        <f>T175+L175</f>
        <v>0</v>
      </c>
      <c r="V175" s="64">
        <f>V190+V205</f>
        <v>0</v>
      </c>
      <c r="W175" s="64">
        <f>V175-U175</f>
        <v>0</v>
      </c>
    </row>
    <row r="176" spans="1:24" s="43" customFormat="1" ht="18" hidden="1" customHeight="1">
      <c r="A176" s="610"/>
      <c r="B176" s="576"/>
      <c r="C176" s="577"/>
      <c r="D176" s="202" t="str">
        <f>серпень!D176</f>
        <v xml:space="preserve">відхилення </v>
      </c>
      <c r="E176" s="42"/>
      <c r="F176" s="42">
        <f t="shared" ref="F176:K176" si="211">F172-F175</f>
        <v>0</v>
      </c>
      <c r="G176" s="42">
        <f t="shared" si="211"/>
        <v>0</v>
      </c>
      <c r="H176" s="42">
        <f t="shared" si="211"/>
        <v>0</v>
      </c>
      <c r="I176" s="42">
        <f t="shared" si="211"/>
        <v>0</v>
      </c>
      <c r="J176" s="42">
        <f t="shared" si="211"/>
        <v>0</v>
      </c>
      <c r="K176" s="42">
        <f t="shared" si="211"/>
        <v>0</v>
      </c>
      <c r="L176" s="42"/>
      <c r="M176" s="42"/>
      <c r="N176" s="42">
        <f t="shared" ref="N176:S176" si="212">N172-N175</f>
        <v>0</v>
      </c>
      <c r="O176" s="42">
        <f t="shared" si="212"/>
        <v>0</v>
      </c>
      <c r="P176" s="42">
        <f t="shared" si="212"/>
        <v>0</v>
      </c>
      <c r="Q176" s="42">
        <f t="shared" si="212"/>
        <v>0</v>
      </c>
      <c r="R176" s="42">
        <f t="shared" si="212"/>
        <v>0</v>
      </c>
      <c r="S176" s="42">
        <f t="shared" si="212"/>
        <v>0</v>
      </c>
      <c r="T176" s="42"/>
      <c r="U176" s="42"/>
      <c r="V176" s="42"/>
      <c r="W176" s="42"/>
    </row>
    <row r="177" spans="1:24" s="43" customFormat="1" ht="18" hidden="1" customHeight="1">
      <c r="A177" s="610"/>
      <c r="B177" s="576"/>
      <c r="C177" s="577"/>
      <c r="D177" s="202" t="str">
        <f>серпень!D177</f>
        <v>відхилення з наростаючим</v>
      </c>
      <c r="E177" s="42"/>
      <c r="F177" s="42">
        <f>F176</f>
        <v>0</v>
      </c>
      <c r="G177" s="42">
        <f>G176+F177</f>
        <v>0</v>
      </c>
      <c r="H177" s="42">
        <f>H176+G177</f>
        <v>0</v>
      </c>
      <c r="I177" s="42">
        <f>I176+H177</f>
        <v>0</v>
      </c>
      <c r="J177" s="42">
        <f>J176+I177</f>
        <v>0</v>
      </c>
      <c r="K177" s="42">
        <f>K176+J177</f>
        <v>0</v>
      </c>
      <c r="L177" s="42"/>
      <c r="M177" s="42"/>
      <c r="N177" s="42">
        <f>N176+K177</f>
        <v>0</v>
      </c>
      <c r="O177" s="42">
        <f>O176+N177</f>
        <v>0</v>
      </c>
      <c r="P177" s="42">
        <f>P176+O177</f>
        <v>0</v>
      </c>
      <c r="Q177" s="42">
        <f>Q176+P177</f>
        <v>0</v>
      </c>
      <c r="R177" s="42">
        <f>R176+Q177</f>
        <v>0</v>
      </c>
      <c r="S177" s="42">
        <f>S176+R177</f>
        <v>0</v>
      </c>
      <c r="T177" s="42"/>
      <c r="U177" s="42"/>
      <c r="V177" s="42"/>
      <c r="W177" s="42"/>
    </row>
    <row r="178" spans="1:24" s="47" customFormat="1" ht="18" hidden="1" customHeight="1">
      <c r="A178" s="610"/>
      <c r="B178" s="581" t="s">
        <v>89</v>
      </c>
      <c r="C178" s="581"/>
      <c r="D178" s="178" t="str">
        <f>серпень!D178</f>
        <v>факт. нат.п-ки 2023</v>
      </c>
      <c r="E178" s="11"/>
      <c r="F178" s="12"/>
      <c r="G178" s="12"/>
      <c r="H178" s="12"/>
      <c r="I178" s="12"/>
      <c r="J178" s="12"/>
      <c r="K178" s="12"/>
      <c r="L178" s="65">
        <f>SUM(F178:K178)</f>
        <v>0</v>
      </c>
      <c r="M178" s="65">
        <f>L178/6</f>
        <v>0</v>
      </c>
      <c r="N178" s="12"/>
      <c r="O178" s="12"/>
      <c r="P178" s="12"/>
      <c r="Q178" s="12"/>
      <c r="R178" s="12"/>
      <c r="S178" s="12"/>
      <c r="T178" s="65">
        <f>SUM(N178:S178)</f>
        <v>0</v>
      </c>
      <c r="U178" s="66">
        <f>T178+L178</f>
        <v>0</v>
      </c>
      <c r="V178" s="67"/>
      <c r="W178" s="38">
        <f>V178-U178</f>
        <v>0</v>
      </c>
    </row>
    <row r="179" spans="1:24" s="47" customFormat="1" ht="18" hidden="1" customHeight="1">
      <c r="A179" s="610"/>
      <c r="B179" s="581"/>
      <c r="C179" s="581"/>
      <c r="D179" s="178" t="str">
        <f>серпень!D179</f>
        <v>факт. нат.п-ки 2024</v>
      </c>
      <c r="E179" s="11"/>
      <c r="F179" s="12"/>
      <c r="G179" s="12"/>
      <c r="H179" s="12"/>
      <c r="I179" s="12"/>
      <c r="J179" s="12"/>
      <c r="K179" s="12"/>
      <c r="L179" s="65">
        <f>SUM(F179:K179)</f>
        <v>0</v>
      </c>
      <c r="M179" s="65">
        <f>L179/6</f>
        <v>0</v>
      </c>
      <c r="N179" s="11"/>
      <c r="O179" s="11"/>
      <c r="P179" s="11"/>
      <c r="Q179" s="11"/>
      <c r="R179" s="11"/>
      <c r="S179" s="11"/>
      <c r="T179" s="65">
        <f>SUM(N179:S179)</f>
        <v>0</v>
      </c>
      <c r="U179" s="66">
        <f>T179+L179</f>
        <v>0</v>
      </c>
      <c r="V179" s="67"/>
      <c r="W179" s="38">
        <f>V179-U179</f>
        <v>0</v>
      </c>
    </row>
    <row r="180" spans="1:24" s="47" customFormat="1" ht="18" hidden="1" customHeight="1">
      <c r="A180" s="610"/>
      <c r="B180" s="581"/>
      <c r="C180" s="581"/>
      <c r="D180" s="178" t="str">
        <f>серпень!D180</f>
        <v>факт. нат.п-ки 2025</v>
      </c>
      <c r="E180" s="11"/>
      <c r="F180" s="12"/>
      <c r="G180" s="12"/>
      <c r="H180" s="12"/>
      <c r="I180" s="12"/>
      <c r="J180" s="12"/>
      <c r="K180" s="12"/>
      <c r="L180" s="65">
        <f>SUM(F180:K180)</f>
        <v>0</v>
      </c>
      <c r="M180" s="65">
        <f>L180/6</f>
        <v>0</v>
      </c>
      <c r="N180" s="12"/>
      <c r="O180" s="12"/>
      <c r="P180" s="12"/>
      <c r="Q180" s="12"/>
      <c r="R180" s="12"/>
      <c r="S180" s="11"/>
      <c r="T180" s="65">
        <f>SUM(N180:S180)</f>
        <v>0</v>
      </c>
      <c r="U180" s="66">
        <f>T180+L180</f>
        <v>0</v>
      </c>
      <c r="V180" s="11"/>
      <c r="W180" s="38">
        <f>V180-U180</f>
        <v>0</v>
      </c>
    </row>
    <row r="181" spans="1:24" s="47" customFormat="1" ht="18" hidden="1" customHeight="1">
      <c r="A181" s="610"/>
      <c r="B181" s="581"/>
      <c r="C181" s="581"/>
      <c r="D181" s="187" t="str">
        <f>серпень!D181</f>
        <v>тариф, грн.</v>
      </c>
      <c r="E181" s="49"/>
      <c r="F181" s="49">
        <v>2665.4160000000002</v>
      </c>
      <c r="G181" s="49">
        <v>2665.4160000000002</v>
      </c>
      <c r="H181" s="49">
        <v>2665.4160000000002</v>
      </c>
      <c r="I181" s="49">
        <v>2665.4160000000002</v>
      </c>
      <c r="J181" s="49">
        <v>2665.4160000000002</v>
      </c>
      <c r="K181" s="49">
        <v>2665.4160000000002</v>
      </c>
      <c r="L181" s="49" t="e">
        <f>L182/L180*1000</f>
        <v>#DIV/0!</v>
      </c>
      <c r="M181" s="49" t="e">
        <f>M182/M180*1000</f>
        <v>#DIV/0!</v>
      </c>
      <c r="N181" s="49">
        <v>2665.4160000000002</v>
      </c>
      <c r="O181" s="49">
        <v>2665.4160000000002</v>
      </c>
      <c r="P181" s="49">
        <v>2665.4160000000002</v>
      </c>
      <c r="Q181" s="49">
        <v>2665.4160000000002</v>
      </c>
      <c r="R181" s="49">
        <v>2665.4160000000002</v>
      </c>
      <c r="S181" s="49">
        <v>2665.4160000000002</v>
      </c>
      <c r="T181" s="49" t="e">
        <f>T182/T180*1000</f>
        <v>#DIV/0!</v>
      </c>
      <c r="U181" s="49" t="e">
        <f>U182/U180*1000</f>
        <v>#DIV/0!</v>
      </c>
      <c r="V181" s="68" t="e">
        <f>V182/V180*1000</f>
        <v>#DIV/0!</v>
      </c>
      <c r="W181" s="14" t="e">
        <f>W182/W180*1000</f>
        <v>#DIV/0!</v>
      </c>
    </row>
    <row r="182" spans="1:24" s="47" customFormat="1" ht="18" hidden="1" customHeight="1">
      <c r="A182" s="610"/>
      <c r="B182" s="581"/>
      <c r="C182" s="581"/>
      <c r="D182" s="191" t="str">
        <f>серпень!D182</f>
        <v>сума, тис.грн.</v>
      </c>
      <c r="E182" s="52"/>
      <c r="F182" s="52">
        <f t="shared" ref="F182:K182" si="213">F180*F181/1000</f>
        <v>0</v>
      </c>
      <c r="G182" s="52">
        <f t="shared" si="213"/>
        <v>0</v>
      </c>
      <c r="H182" s="52">
        <f t="shared" si="213"/>
        <v>0</v>
      </c>
      <c r="I182" s="52">
        <f t="shared" si="213"/>
        <v>0</v>
      </c>
      <c r="J182" s="52">
        <f t="shared" si="213"/>
        <v>0</v>
      </c>
      <c r="K182" s="52">
        <f t="shared" si="213"/>
        <v>0</v>
      </c>
      <c r="L182" s="69">
        <f>SUM(F182:K182)</f>
        <v>0</v>
      </c>
      <c r="M182" s="69">
        <f>L182/6</f>
        <v>0</v>
      </c>
      <c r="N182" s="52">
        <f t="shared" ref="N182:S182" si="214">N180*N181/1000</f>
        <v>0</v>
      </c>
      <c r="O182" s="52">
        <f t="shared" si="214"/>
        <v>0</v>
      </c>
      <c r="P182" s="52">
        <f t="shared" si="214"/>
        <v>0</v>
      </c>
      <c r="Q182" s="52">
        <f t="shared" si="214"/>
        <v>0</v>
      </c>
      <c r="R182" s="52">
        <f t="shared" si="214"/>
        <v>0</v>
      </c>
      <c r="S182" s="52">
        <f t="shared" si="214"/>
        <v>0</v>
      </c>
      <c r="T182" s="69">
        <f>SUM(N182:S182)</f>
        <v>0</v>
      </c>
      <c r="U182" s="69">
        <f>T182+L182</f>
        <v>0</v>
      </c>
      <c r="V182" s="70">
        <f>V183+V184</f>
        <v>0</v>
      </c>
      <c r="W182" s="53">
        <f>V182-U182</f>
        <v>0</v>
      </c>
    </row>
    <row r="183" spans="1:24" s="47" customFormat="1" ht="18" hidden="1" customHeight="1">
      <c r="A183" s="610"/>
      <c r="B183" s="581"/>
      <c r="C183" s="581"/>
      <c r="D183" s="174" t="str">
        <f>серпень!D183</f>
        <v>дотація</v>
      </c>
      <c r="E183" s="56"/>
      <c r="F183" s="52"/>
      <c r="G183" s="52"/>
      <c r="H183" s="52"/>
      <c r="I183" s="52"/>
      <c r="J183" s="52"/>
      <c r="K183" s="52"/>
      <c r="L183" s="69">
        <f>SUM(F183:K183)</f>
        <v>0</v>
      </c>
      <c r="M183" s="69">
        <f>L183/6</f>
        <v>0</v>
      </c>
      <c r="N183" s="52"/>
      <c r="O183" s="52"/>
      <c r="P183" s="52"/>
      <c r="Q183" s="52"/>
      <c r="R183" s="52"/>
      <c r="S183" s="52"/>
      <c r="T183" s="69">
        <f>SUM(N183:S183)</f>
        <v>0</v>
      </c>
      <c r="U183" s="69">
        <f>T183+L183</f>
        <v>0</v>
      </c>
      <c r="V183" s="70"/>
      <c r="W183" s="53">
        <f>V183-U183</f>
        <v>0</v>
      </c>
    </row>
    <row r="184" spans="1:24" s="47" customFormat="1" ht="18" hidden="1" customHeight="1">
      <c r="A184" s="610"/>
      <c r="B184" s="581"/>
      <c r="C184" s="581"/>
      <c r="D184" s="174" t="str">
        <f>серпень!D184</f>
        <v>місцевий (план), тис.грн</v>
      </c>
      <c r="E184" s="56"/>
      <c r="F184" s="52"/>
      <c r="G184" s="52"/>
      <c r="H184" s="52"/>
      <c r="I184" s="52"/>
      <c r="J184" s="52"/>
      <c r="K184" s="52"/>
      <c r="L184" s="69">
        <f>SUM(F184:K184)</f>
        <v>0</v>
      </c>
      <c r="M184" s="69">
        <f>L184/6</f>
        <v>0</v>
      </c>
      <c r="N184" s="52"/>
      <c r="O184" s="52"/>
      <c r="P184" s="52"/>
      <c r="Q184" s="52"/>
      <c r="R184" s="52"/>
      <c r="S184" s="52"/>
      <c r="T184" s="69">
        <f>SUM(N184:S184)</f>
        <v>0</v>
      </c>
      <c r="U184" s="69">
        <f>T184+L184</f>
        <v>0</v>
      </c>
      <c r="V184" s="70"/>
      <c r="W184" s="53">
        <f>V184-U184</f>
        <v>0</v>
      </c>
    </row>
    <row r="185" spans="1:24" s="47" customFormat="1" ht="18" hidden="1" customHeight="1">
      <c r="A185" s="610"/>
      <c r="B185" s="581"/>
      <c r="C185" s="581"/>
      <c r="D185" s="178" t="str">
        <f>серпень!D185</f>
        <v>касові нат.п-ки 2025</v>
      </c>
      <c r="E185" s="11"/>
      <c r="F185" s="11"/>
      <c r="G185" s="11"/>
      <c r="H185" s="11"/>
      <c r="I185" s="11"/>
      <c r="J185" s="11"/>
      <c r="K185" s="11"/>
      <c r="L185" s="65">
        <f>SUM(F185:K185)</f>
        <v>0</v>
      </c>
      <c r="M185" s="65">
        <f>L185/6</f>
        <v>0</v>
      </c>
      <c r="N185" s="11"/>
      <c r="O185" s="11"/>
      <c r="P185" s="11"/>
      <c r="Q185" s="11"/>
      <c r="R185" s="11"/>
      <c r="S185" s="11">
        <f>S180+R180</f>
        <v>0</v>
      </c>
      <c r="T185" s="65">
        <f>SUM(N185:S185)</f>
        <v>0</v>
      </c>
      <c r="U185" s="65">
        <f>T185+L185</f>
        <v>0</v>
      </c>
      <c r="V185" s="11">
        <f>V180</f>
        <v>0</v>
      </c>
      <c r="W185" s="38">
        <f>V185-U185</f>
        <v>0</v>
      </c>
      <c r="X185" s="47">
        <f>U180-U185</f>
        <v>0</v>
      </c>
    </row>
    <row r="186" spans="1:24" s="47" customFormat="1" ht="18" hidden="1" customHeight="1">
      <c r="A186" s="610"/>
      <c r="B186" s="581"/>
      <c r="C186" s="581"/>
      <c r="D186" s="187" t="str">
        <f>серпень!D186</f>
        <v>тариф, грн.</v>
      </c>
      <c r="E186" s="49" t="e">
        <f>E187/E185*1000</f>
        <v>#DIV/0!</v>
      </c>
      <c r="F186" s="49">
        <v>2665.4160000000002</v>
      </c>
      <c r="G186" s="49">
        <v>2665.4160000000002</v>
      </c>
      <c r="H186" s="49">
        <v>2665.4160000000002</v>
      </c>
      <c r="I186" s="49">
        <v>2665.4160000000002</v>
      </c>
      <c r="J186" s="49">
        <v>2665.4160000000002</v>
      </c>
      <c r="K186" s="49">
        <v>2665.4160000000002</v>
      </c>
      <c r="L186" s="49" t="e">
        <f>L187/L185*1000</f>
        <v>#DIV/0!</v>
      </c>
      <c r="M186" s="49" t="e">
        <f>M187/M185*1000</f>
        <v>#DIV/0!</v>
      </c>
      <c r="N186" s="49">
        <v>2665.4160000000002</v>
      </c>
      <c r="O186" s="49">
        <v>2665.4160000000002</v>
      </c>
      <c r="P186" s="49">
        <v>2665.4160000000002</v>
      </c>
      <c r="Q186" s="49">
        <v>2665.4160000000002</v>
      </c>
      <c r="R186" s="49">
        <v>2665.4160000000002</v>
      </c>
      <c r="S186" s="49">
        <v>2665.4160000000002</v>
      </c>
      <c r="T186" s="49" t="e">
        <f>T187/T185*1000</f>
        <v>#DIV/0!</v>
      </c>
      <c r="U186" s="49" t="e">
        <f>U187/U185*1000</f>
        <v>#DIV/0!</v>
      </c>
      <c r="V186" s="68" t="e">
        <f>V187/V185*1000</f>
        <v>#DIV/0!</v>
      </c>
      <c r="W186" s="14" t="e">
        <f>W187/W185*1000</f>
        <v>#DIV/0!</v>
      </c>
    </row>
    <row r="187" spans="1:24" s="63" customFormat="1" ht="18" hidden="1" customHeight="1">
      <c r="A187" s="610"/>
      <c r="B187" s="581"/>
      <c r="C187" s="581"/>
      <c r="D187" s="198" t="str">
        <f>серпень!D187</f>
        <v>касові видатки, тис.грн.</v>
      </c>
      <c r="E187" s="71"/>
      <c r="F187" s="61">
        <f t="shared" ref="F187:K187" si="215">F185*F186/1000</f>
        <v>0</v>
      </c>
      <c r="G187" s="61">
        <f t="shared" si="215"/>
        <v>0</v>
      </c>
      <c r="H187" s="61">
        <f t="shared" si="215"/>
        <v>0</v>
      </c>
      <c r="I187" s="61">
        <f t="shared" si="215"/>
        <v>0</v>
      </c>
      <c r="J187" s="61">
        <f t="shared" si="215"/>
        <v>0</v>
      </c>
      <c r="K187" s="61">
        <f t="shared" si="215"/>
        <v>0</v>
      </c>
      <c r="L187" s="61">
        <f>SUM(F187:K187)</f>
        <v>0</v>
      </c>
      <c r="M187" s="61">
        <f>L187/6</f>
        <v>0</v>
      </c>
      <c r="N187" s="61">
        <f t="shared" ref="N187:S187" si="216">N185*N186/1000</f>
        <v>0</v>
      </c>
      <c r="O187" s="61">
        <f t="shared" si="216"/>
        <v>0</v>
      </c>
      <c r="P187" s="61">
        <f t="shared" si="216"/>
        <v>0</v>
      </c>
      <c r="Q187" s="61">
        <f t="shared" si="216"/>
        <v>0</v>
      </c>
      <c r="R187" s="61">
        <f t="shared" si="216"/>
        <v>0</v>
      </c>
      <c r="S187" s="61">
        <f t="shared" si="216"/>
        <v>0</v>
      </c>
      <c r="T187" s="61">
        <f>SUM(N187:S187)</f>
        <v>0</v>
      </c>
      <c r="U187" s="61">
        <f>T187+L187</f>
        <v>0</v>
      </c>
      <c r="V187" s="61">
        <f>V182</f>
        <v>0</v>
      </c>
      <c r="W187" s="72">
        <f>V187-U187</f>
        <v>0</v>
      </c>
      <c r="X187" s="63">
        <f>U182-U187</f>
        <v>0</v>
      </c>
    </row>
    <row r="188" spans="1:24" s="63" customFormat="1" ht="18" hidden="1" customHeight="1">
      <c r="A188" s="610"/>
      <c r="B188" s="581"/>
      <c r="C188" s="581"/>
      <c r="D188" s="201" t="str">
        <f>серпень!D188</f>
        <v>дотація</v>
      </c>
      <c r="E188" s="71"/>
      <c r="F188" s="61"/>
      <c r="G188" s="61"/>
      <c r="H188" s="61"/>
      <c r="I188" s="61"/>
      <c r="J188" s="61"/>
      <c r="K188" s="61"/>
      <c r="L188" s="61">
        <f>SUM(F188:K188)</f>
        <v>0</v>
      </c>
      <c r="M188" s="61">
        <f>L188/6</f>
        <v>0</v>
      </c>
      <c r="N188" s="61"/>
      <c r="O188" s="61"/>
      <c r="P188" s="61"/>
      <c r="Q188" s="61"/>
      <c r="R188" s="61"/>
      <c r="S188" s="61"/>
      <c r="T188" s="61">
        <f>SUM(N188:S188)</f>
        <v>0</v>
      </c>
      <c r="U188" s="61">
        <f>T188+L188</f>
        <v>0</v>
      </c>
      <c r="V188" s="61">
        <f>V183</f>
        <v>0</v>
      </c>
      <c r="W188" s="72">
        <f>V188-U188</f>
        <v>0</v>
      </c>
      <c r="X188" s="63">
        <f>U183-U188</f>
        <v>0</v>
      </c>
    </row>
    <row r="189" spans="1:24" s="63" customFormat="1" ht="18" hidden="1" customHeight="1">
      <c r="A189" s="610"/>
      <c r="B189" s="581"/>
      <c r="C189" s="581"/>
      <c r="D189" s="201" t="str">
        <f>серпень!D189</f>
        <v xml:space="preserve">місцевий </v>
      </c>
      <c r="E189" s="71"/>
      <c r="F189" s="61">
        <f t="shared" ref="F189:K189" si="217">F187-F188</f>
        <v>0</v>
      </c>
      <c r="G189" s="61">
        <f t="shared" si="217"/>
        <v>0</v>
      </c>
      <c r="H189" s="61">
        <f t="shared" si="217"/>
        <v>0</v>
      </c>
      <c r="I189" s="61">
        <f t="shared" si="217"/>
        <v>0</v>
      </c>
      <c r="J189" s="61">
        <f t="shared" si="217"/>
        <v>0</v>
      </c>
      <c r="K189" s="61">
        <f t="shared" si="217"/>
        <v>0</v>
      </c>
      <c r="L189" s="61">
        <f>SUM(F189:K189)</f>
        <v>0</v>
      </c>
      <c r="M189" s="61">
        <f>L189/6</f>
        <v>0</v>
      </c>
      <c r="N189" s="61">
        <f t="shared" ref="N189:S189" si="218">N187-N188</f>
        <v>0</v>
      </c>
      <c r="O189" s="61">
        <f t="shared" si="218"/>
        <v>0</v>
      </c>
      <c r="P189" s="61">
        <f t="shared" si="218"/>
        <v>0</v>
      </c>
      <c r="Q189" s="61">
        <f t="shared" si="218"/>
        <v>0</v>
      </c>
      <c r="R189" s="61">
        <f t="shared" si="218"/>
        <v>0</v>
      </c>
      <c r="S189" s="61">
        <f t="shared" si="218"/>
        <v>0</v>
      </c>
      <c r="T189" s="61">
        <f>SUM(N189:S189)</f>
        <v>0</v>
      </c>
      <c r="U189" s="61">
        <f>T189+L189</f>
        <v>0</v>
      </c>
      <c r="V189" s="61">
        <f>V184</f>
        <v>0</v>
      </c>
      <c r="W189" s="72">
        <f>V189-U189</f>
        <v>0</v>
      </c>
      <c r="X189" s="63">
        <f>U184-U189</f>
        <v>0</v>
      </c>
    </row>
    <row r="190" spans="1:24" s="43" customFormat="1" ht="18" hidden="1" customHeight="1">
      <c r="A190" s="610"/>
      <c r="B190" s="581"/>
      <c r="C190" s="581"/>
      <c r="D190" s="202" t="str">
        <f>серпень!D190</f>
        <v>план</v>
      </c>
      <c r="E190" s="42"/>
      <c r="F190" s="42">
        <f t="shared" ref="F190:K190" si="219">F184</f>
        <v>0</v>
      </c>
      <c r="G190" s="42">
        <f t="shared" si="219"/>
        <v>0</v>
      </c>
      <c r="H190" s="42">
        <f t="shared" si="219"/>
        <v>0</v>
      </c>
      <c r="I190" s="42">
        <f t="shared" si="219"/>
        <v>0</v>
      </c>
      <c r="J190" s="42">
        <f t="shared" si="219"/>
        <v>0</v>
      </c>
      <c r="K190" s="42">
        <f t="shared" si="219"/>
        <v>0</v>
      </c>
      <c r="L190" s="42">
        <f>SUM(F190:K190)</f>
        <v>0</v>
      </c>
      <c r="M190" s="42">
        <f>L190/6</f>
        <v>0</v>
      </c>
      <c r="N190" s="42">
        <f t="shared" ref="N190:S190" si="220">N184+N183</f>
        <v>0</v>
      </c>
      <c r="O190" s="42">
        <f t="shared" si="220"/>
        <v>0</v>
      </c>
      <c r="P190" s="42">
        <f t="shared" si="220"/>
        <v>0</v>
      </c>
      <c r="Q190" s="42">
        <f t="shared" si="220"/>
        <v>0</v>
      </c>
      <c r="R190" s="42">
        <f t="shared" si="220"/>
        <v>0</v>
      </c>
      <c r="S190" s="42">
        <f t="shared" si="220"/>
        <v>0</v>
      </c>
      <c r="T190" s="42">
        <f>SUM(N190:S190)</f>
        <v>0</v>
      </c>
      <c r="U190" s="42">
        <f>T190+L190</f>
        <v>0</v>
      </c>
      <c r="V190" s="42">
        <f>V187</f>
        <v>0</v>
      </c>
      <c r="W190" s="42">
        <f>V190-U190</f>
        <v>0</v>
      </c>
    </row>
    <row r="191" spans="1:24" s="43" customFormat="1" ht="18" hidden="1" customHeight="1">
      <c r="A191" s="610"/>
      <c r="B191" s="581"/>
      <c r="C191" s="581"/>
      <c r="D191" s="202" t="str">
        <f>серпень!D191</f>
        <v xml:space="preserve">відхилення </v>
      </c>
      <c r="E191" s="42"/>
      <c r="F191" s="42">
        <f t="shared" ref="F191:K191" si="221">F187-F190</f>
        <v>0</v>
      </c>
      <c r="G191" s="42">
        <f t="shared" si="221"/>
        <v>0</v>
      </c>
      <c r="H191" s="42">
        <f t="shared" si="221"/>
        <v>0</v>
      </c>
      <c r="I191" s="42">
        <f t="shared" si="221"/>
        <v>0</v>
      </c>
      <c r="J191" s="42">
        <f t="shared" si="221"/>
        <v>0</v>
      </c>
      <c r="K191" s="42">
        <f t="shared" si="221"/>
        <v>0</v>
      </c>
      <c r="L191" s="42"/>
      <c r="M191" s="42"/>
      <c r="N191" s="42">
        <f t="shared" ref="N191:S191" si="222">N187-N190</f>
        <v>0</v>
      </c>
      <c r="O191" s="42">
        <f t="shared" si="222"/>
        <v>0</v>
      </c>
      <c r="P191" s="42">
        <f t="shared" si="222"/>
        <v>0</v>
      </c>
      <c r="Q191" s="42">
        <f t="shared" si="222"/>
        <v>0</v>
      </c>
      <c r="R191" s="42">
        <f t="shared" si="222"/>
        <v>0</v>
      </c>
      <c r="S191" s="42">
        <f t="shared" si="222"/>
        <v>0</v>
      </c>
      <c r="T191" s="42"/>
      <c r="U191" s="42"/>
      <c r="V191" s="42"/>
      <c r="W191" s="42"/>
    </row>
    <row r="192" spans="1:24" s="43" customFormat="1" ht="18" hidden="1" customHeight="1">
      <c r="A192" s="610"/>
      <c r="B192" s="581"/>
      <c r="C192" s="581"/>
      <c r="D192" s="202" t="str">
        <f>серпень!D192</f>
        <v>відхилення з наростаючим</v>
      </c>
      <c r="E192" s="42"/>
      <c r="F192" s="42">
        <f>F191</f>
        <v>0</v>
      </c>
      <c r="G192" s="42">
        <f>G191+F192</f>
        <v>0</v>
      </c>
      <c r="H192" s="42">
        <f>H191+G192</f>
        <v>0</v>
      </c>
      <c r="I192" s="42">
        <f>I191+H192</f>
        <v>0</v>
      </c>
      <c r="J192" s="42">
        <f>J191+I192</f>
        <v>0</v>
      </c>
      <c r="K192" s="42">
        <f>K191+J192</f>
        <v>0</v>
      </c>
      <c r="L192" s="42"/>
      <c r="M192" s="42"/>
      <c r="N192" s="42">
        <f>N191+K192</f>
        <v>0</v>
      </c>
      <c r="O192" s="42">
        <f>O191+N192</f>
        <v>0</v>
      </c>
      <c r="P192" s="42">
        <f>P191+O192</f>
        <v>0</v>
      </c>
      <c r="Q192" s="42">
        <f>Q191+P192</f>
        <v>0</v>
      </c>
      <c r="R192" s="42">
        <f>R191+Q192</f>
        <v>0</v>
      </c>
      <c r="S192" s="42">
        <f>S191+R192</f>
        <v>0</v>
      </c>
      <c r="T192" s="42"/>
      <c r="U192" s="42"/>
      <c r="V192" s="42"/>
      <c r="W192" s="42"/>
    </row>
    <row r="193" spans="1:24" s="48" customFormat="1" ht="18" hidden="1" customHeight="1">
      <c r="A193" s="610"/>
      <c r="B193" s="576" t="s">
        <v>69</v>
      </c>
      <c r="C193" s="577"/>
      <c r="D193" s="178" t="str">
        <f>серпень!D193</f>
        <v>факт. нат.п-ки 2023</v>
      </c>
      <c r="E193" s="11"/>
      <c r="F193" s="12"/>
      <c r="G193" s="12"/>
      <c r="H193" s="12"/>
      <c r="I193" s="12"/>
      <c r="J193" s="12"/>
      <c r="K193" s="12"/>
      <c r="L193" s="65">
        <f>SUM(F193:K193)</f>
        <v>0</v>
      </c>
      <c r="M193" s="65">
        <f>L193/6</f>
        <v>0</v>
      </c>
      <c r="N193" s="12"/>
      <c r="O193" s="12"/>
      <c r="P193" s="12"/>
      <c r="Q193" s="12"/>
      <c r="R193" s="12"/>
      <c r="S193" s="12"/>
      <c r="T193" s="65">
        <f>SUM(N193:S193)</f>
        <v>0</v>
      </c>
      <c r="U193" s="66">
        <f>T193+L193</f>
        <v>0</v>
      </c>
      <c r="V193" s="67"/>
      <c r="W193" s="38">
        <f>V193-U193</f>
        <v>0</v>
      </c>
      <c r="X193" s="47"/>
    </row>
    <row r="194" spans="1:24" s="48" customFormat="1" ht="18" hidden="1" customHeight="1">
      <c r="A194" s="610"/>
      <c r="B194" s="576"/>
      <c r="C194" s="577"/>
      <c r="D194" s="178" t="str">
        <f>серпень!D194</f>
        <v>факт. нат.п-ки 2024</v>
      </c>
      <c r="E194" s="11"/>
      <c r="F194" s="12"/>
      <c r="G194" s="12"/>
      <c r="H194" s="12"/>
      <c r="I194" s="12"/>
      <c r="J194" s="12"/>
      <c r="K194" s="12"/>
      <c r="L194" s="65">
        <f>SUM(F194:K194)</f>
        <v>0</v>
      </c>
      <c r="M194" s="65">
        <f>L194/6</f>
        <v>0</v>
      </c>
      <c r="N194" s="11"/>
      <c r="O194" s="11"/>
      <c r="P194" s="11"/>
      <c r="Q194" s="11"/>
      <c r="R194" s="11"/>
      <c r="S194" s="11"/>
      <c r="T194" s="65">
        <f>SUM(N194:S194)</f>
        <v>0</v>
      </c>
      <c r="U194" s="66">
        <f>T194+L194</f>
        <v>0</v>
      </c>
      <c r="V194" s="67"/>
      <c r="W194" s="38">
        <f>V194-U194</f>
        <v>0</v>
      </c>
      <c r="X194" s="47"/>
    </row>
    <row r="195" spans="1:24" s="48" customFormat="1" ht="18" hidden="1" customHeight="1">
      <c r="A195" s="610"/>
      <c r="B195" s="576"/>
      <c r="C195" s="577"/>
      <c r="D195" s="178" t="str">
        <f>серпень!D195</f>
        <v>факт. нат.п-ки 2025</v>
      </c>
      <c r="E195" s="11"/>
      <c r="F195" s="12"/>
      <c r="G195" s="12"/>
      <c r="H195" s="12"/>
      <c r="I195" s="12"/>
      <c r="J195" s="12"/>
      <c r="K195" s="12"/>
      <c r="L195" s="65">
        <f>SUM(F195:K195)</f>
        <v>0</v>
      </c>
      <c r="M195" s="65">
        <f>L195/6</f>
        <v>0</v>
      </c>
      <c r="N195" s="12"/>
      <c r="O195" s="12"/>
      <c r="P195" s="12"/>
      <c r="Q195" s="12"/>
      <c r="R195" s="12"/>
      <c r="S195" s="11"/>
      <c r="T195" s="65">
        <f>SUM(N195:S195)</f>
        <v>0</v>
      </c>
      <c r="U195" s="66">
        <f>T195+L195</f>
        <v>0</v>
      </c>
      <c r="V195" s="11"/>
      <c r="W195" s="38">
        <f>V195-U195</f>
        <v>0</v>
      </c>
      <c r="X195" s="47"/>
    </row>
    <row r="196" spans="1:24" s="51" customFormat="1" ht="18" hidden="1" customHeight="1">
      <c r="A196" s="610"/>
      <c r="B196" s="576"/>
      <c r="C196" s="577"/>
      <c r="D196" s="187" t="str">
        <f>серпень!D196</f>
        <v>тариф, грн.</v>
      </c>
      <c r="E196" s="49"/>
      <c r="F196" s="49">
        <v>1441.6559999999999</v>
      </c>
      <c r="G196" s="49">
        <v>1441.6559999999999</v>
      </c>
      <c r="H196" s="49">
        <v>1441.6559999999999</v>
      </c>
      <c r="I196" s="49">
        <v>1441.6559999999999</v>
      </c>
      <c r="J196" s="49">
        <v>1441.6559999999999</v>
      </c>
      <c r="K196" s="49">
        <v>1441.6559999999999</v>
      </c>
      <c r="L196" s="49" t="e">
        <f>L197/L195*1000</f>
        <v>#DIV/0!</v>
      </c>
      <c r="M196" s="49" t="e">
        <f>M197/M195*1000</f>
        <v>#DIV/0!</v>
      </c>
      <c r="N196" s="49">
        <v>1441.6559999999999</v>
      </c>
      <c r="O196" s="49">
        <v>1441.6559999999999</v>
      </c>
      <c r="P196" s="49">
        <v>1441.6559999999999</v>
      </c>
      <c r="Q196" s="49">
        <v>1441.6559999999999</v>
      </c>
      <c r="R196" s="49">
        <v>1441.6559999999999</v>
      </c>
      <c r="S196" s="49">
        <v>1441.6559999999999</v>
      </c>
      <c r="T196" s="49" t="e">
        <f>T197/T195*1000</f>
        <v>#DIV/0!</v>
      </c>
      <c r="U196" s="49" t="e">
        <f>U197/U195*1000</f>
        <v>#DIV/0!</v>
      </c>
      <c r="V196" s="68" t="e">
        <f>V197/V195*1000</f>
        <v>#DIV/0!</v>
      </c>
      <c r="W196" s="14" t="e">
        <f>W197/W195*1000</f>
        <v>#DIV/0!</v>
      </c>
      <c r="X196" s="59"/>
    </row>
    <row r="197" spans="1:24" s="55" customFormat="1" ht="18" hidden="1" customHeight="1">
      <c r="A197" s="610"/>
      <c r="B197" s="576"/>
      <c r="C197" s="577"/>
      <c r="D197" s="191" t="str">
        <f>серпень!D197</f>
        <v>сума, тис.грн.</v>
      </c>
      <c r="E197" s="52"/>
      <c r="F197" s="52">
        <f t="shared" ref="F197:K197" si="223">F195*F196/1000</f>
        <v>0</v>
      </c>
      <c r="G197" s="52">
        <f t="shared" si="223"/>
        <v>0</v>
      </c>
      <c r="H197" s="52">
        <f t="shared" si="223"/>
        <v>0</v>
      </c>
      <c r="I197" s="52">
        <f t="shared" si="223"/>
        <v>0</v>
      </c>
      <c r="J197" s="52">
        <f t="shared" si="223"/>
        <v>0</v>
      </c>
      <c r="K197" s="52">
        <f t="shared" si="223"/>
        <v>0</v>
      </c>
      <c r="L197" s="69">
        <f>SUM(F197:K197)</f>
        <v>0</v>
      </c>
      <c r="M197" s="69">
        <f>L197/6</f>
        <v>0</v>
      </c>
      <c r="N197" s="52">
        <f t="shared" ref="N197:S197" si="224">N195*N196/1000</f>
        <v>0</v>
      </c>
      <c r="O197" s="52">
        <f t="shared" si="224"/>
        <v>0</v>
      </c>
      <c r="P197" s="52">
        <f t="shared" si="224"/>
        <v>0</v>
      </c>
      <c r="Q197" s="52">
        <f t="shared" si="224"/>
        <v>0</v>
      </c>
      <c r="R197" s="52">
        <f t="shared" si="224"/>
        <v>0</v>
      </c>
      <c r="S197" s="52">
        <f t="shared" si="224"/>
        <v>0</v>
      </c>
      <c r="T197" s="69">
        <f>SUM(N197:S197)</f>
        <v>0</v>
      </c>
      <c r="U197" s="69">
        <f>T197+L197</f>
        <v>0</v>
      </c>
      <c r="V197" s="70">
        <f>V198+V199</f>
        <v>0</v>
      </c>
      <c r="W197" s="53">
        <f>V197-U197</f>
        <v>0</v>
      </c>
      <c r="X197" s="54">
        <f>2726951.723/1000</f>
        <v>2726.9520000000002</v>
      </c>
    </row>
    <row r="198" spans="1:24" s="55" customFormat="1" ht="18" hidden="1" customHeight="1">
      <c r="A198" s="610"/>
      <c r="B198" s="576"/>
      <c r="C198" s="577"/>
      <c r="D198" s="174" t="str">
        <f>серпень!D198</f>
        <v>дотація</v>
      </c>
      <c r="E198" s="56"/>
      <c r="F198" s="52"/>
      <c r="G198" s="52"/>
      <c r="H198" s="52"/>
      <c r="I198" s="52"/>
      <c r="J198" s="52"/>
      <c r="K198" s="52"/>
      <c r="L198" s="69">
        <f>SUM(F198:K198)</f>
        <v>0</v>
      </c>
      <c r="M198" s="69">
        <f>L198/6</f>
        <v>0</v>
      </c>
      <c r="N198" s="52"/>
      <c r="O198" s="52"/>
      <c r="P198" s="52"/>
      <c r="Q198" s="52"/>
      <c r="R198" s="52"/>
      <c r="S198" s="52"/>
      <c r="T198" s="69">
        <f>SUM(N198:S198)</f>
        <v>0</v>
      </c>
      <c r="U198" s="69">
        <f>T198+L198</f>
        <v>0</v>
      </c>
      <c r="V198" s="70">
        <v>0</v>
      </c>
      <c r="W198" s="53">
        <f>V198-U198</f>
        <v>0</v>
      </c>
      <c r="X198" s="58"/>
    </row>
    <row r="199" spans="1:24" s="55" customFormat="1" ht="18" hidden="1" customHeight="1">
      <c r="A199" s="610"/>
      <c r="B199" s="576"/>
      <c r="C199" s="577"/>
      <c r="D199" s="174" t="str">
        <f>серпень!D199</f>
        <v>місцевий (план), тис.грн</v>
      </c>
      <c r="E199" s="56"/>
      <c r="F199" s="52"/>
      <c r="G199" s="52"/>
      <c r="H199" s="52"/>
      <c r="I199" s="52"/>
      <c r="J199" s="52"/>
      <c r="K199" s="52"/>
      <c r="L199" s="69">
        <f>SUM(F199:K199)</f>
        <v>0</v>
      </c>
      <c r="M199" s="69">
        <f>L199/6</f>
        <v>0</v>
      </c>
      <c r="N199" s="52"/>
      <c r="O199" s="52"/>
      <c r="P199" s="52"/>
      <c r="Q199" s="52"/>
      <c r="R199" s="52"/>
      <c r="S199" s="52"/>
      <c r="T199" s="69">
        <f>SUM(N199:S199)</f>
        <v>0</v>
      </c>
      <c r="U199" s="69">
        <f>T199+L199</f>
        <v>0</v>
      </c>
      <c r="V199" s="70"/>
      <c r="W199" s="53">
        <f>V199-U199</f>
        <v>0</v>
      </c>
      <c r="X199" s="58"/>
    </row>
    <row r="200" spans="1:24" s="48" customFormat="1" ht="18" hidden="1" customHeight="1">
      <c r="A200" s="610"/>
      <c r="B200" s="576"/>
      <c r="C200" s="577"/>
      <c r="D200" s="178" t="str">
        <f>серпень!D200</f>
        <v>касові нат.п-ки 2025</v>
      </c>
      <c r="E200" s="11"/>
      <c r="F200" s="11"/>
      <c r="G200" s="11"/>
      <c r="H200" s="11"/>
      <c r="I200" s="11"/>
      <c r="J200" s="11"/>
      <c r="K200" s="11"/>
      <c r="L200" s="65">
        <f>SUM(F200:K200)</f>
        <v>0</v>
      </c>
      <c r="M200" s="65">
        <f>L200/6</f>
        <v>0</v>
      </c>
      <c r="N200" s="11"/>
      <c r="O200" s="11"/>
      <c r="P200" s="11"/>
      <c r="Q200" s="11"/>
      <c r="R200" s="11"/>
      <c r="S200" s="11">
        <f>S195+R195</f>
        <v>0</v>
      </c>
      <c r="T200" s="65">
        <f>SUM(N200:S200)</f>
        <v>0</v>
      </c>
      <c r="U200" s="65">
        <f>T200+L200</f>
        <v>0</v>
      </c>
      <c r="V200" s="11">
        <f>V195</f>
        <v>0</v>
      </c>
      <c r="W200" s="38">
        <f>V200-U200</f>
        <v>0</v>
      </c>
      <c r="X200" s="47">
        <f>U195-U200</f>
        <v>0</v>
      </c>
    </row>
    <row r="201" spans="1:24" s="51" customFormat="1" ht="18" hidden="1" customHeight="1">
      <c r="A201" s="610"/>
      <c r="B201" s="576"/>
      <c r="C201" s="577"/>
      <c r="D201" s="187" t="str">
        <f>серпень!D201</f>
        <v>тариф, грн.</v>
      </c>
      <c r="E201" s="49" t="e">
        <f>E202/E200*1000</f>
        <v>#DIV/0!</v>
      </c>
      <c r="F201" s="49">
        <v>1441.6559999999999</v>
      </c>
      <c r="G201" s="49">
        <v>1441.6559999999999</v>
      </c>
      <c r="H201" s="49">
        <v>1441.6559999999999</v>
      </c>
      <c r="I201" s="49">
        <v>1441.6559999999999</v>
      </c>
      <c r="J201" s="49">
        <v>1441.6559999999999</v>
      </c>
      <c r="K201" s="49">
        <v>1441.6559999999999</v>
      </c>
      <c r="L201" s="49" t="e">
        <f>L202/L200*1000</f>
        <v>#DIV/0!</v>
      </c>
      <c r="M201" s="49" t="e">
        <f>M202/M200*1000</f>
        <v>#DIV/0!</v>
      </c>
      <c r="N201" s="49">
        <v>1441.6559999999999</v>
      </c>
      <c r="O201" s="49">
        <v>1441.6559999999999</v>
      </c>
      <c r="P201" s="49">
        <v>1441.6559999999999</v>
      </c>
      <c r="Q201" s="49">
        <v>1441.6559999999999</v>
      </c>
      <c r="R201" s="49">
        <v>1441.6559999999999</v>
      </c>
      <c r="S201" s="49">
        <v>1441.6559999999999</v>
      </c>
      <c r="T201" s="49" t="e">
        <f>T202/T200*1000</f>
        <v>#DIV/0!</v>
      </c>
      <c r="U201" s="49" t="e">
        <f>U202/U200*1000</f>
        <v>#DIV/0!</v>
      </c>
      <c r="V201" s="68" t="e">
        <f>V202/V200*1000</f>
        <v>#DIV/0!</v>
      </c>
      <c r="W201" s="14" t="e">
        <f>W202/W200*1000</f>
        <v>#DIV/0!</v>
      </c>
      <c r="X201" s="59"/>
    </row>
    <row r="202" spans="1:24" s="63" customFormat="1" ht="18" hidden="1" customHeight="1">
      <c r="A202" s="610"/>
      <c r="B202" s="576"/>
      <c r="C202" s="577"/>
      <c r="D202" s="198" t="str">
        <f>серпень!D202</f>
        <v>касові видатки, тис.грн.</v>
      </c>
      <c r="E202" s="71"/>
      <c r="F202" s="61">
        <f t="shared" ref="F202:K202" si="225">F200*F201/1000</f>
        <v>0</v>
      </c>
      <c r="G202" s="61">
        <f t="shared" si="225"/>
        <v>0</v>
      </c>
      <c r="H202" s="61">
        <f t="shared" si="225"/>
        <v>0</v>
      </c>
      <c r="I202" s="61">
        <f t="shared" si="225"/>
        <v>0</v>
      </c>
      <c r="J202" s="61">
        <f t="shared" si="225"/>
        <v>0</v>
      </c>
      <c r="K202" s="61">
        <f t="shared" si="225"/>
        <v>0</v>
      </c>
      <c r="L202" s="61">
        <f>SUM(F202:K202)</f>
        <v>0</v>
      </c>
      <c r="M202" s="61">
        <f>L202/6</f>
        <v>0</v>
      </c>
      <c r="N202" s="61">
        <f t="shared" ref="N202:S202" si="226">N200*N201/1000</f>
        <v>0</v>
      </c>
      <c r="O202" s="61">
        <f t="shared" si="226"/>
        <v>0</v>
      </c>
      <c r="P202" s="61">
        <f t="shared" si="226"/>
        <v>0</v>
      </c>
      <c r="Q202" s="61">
        <f t="shared" si="226"/>
        <v>0</v>
      </c>
      <c r="R202" s="61">
        <f t="shared" si="226"/>
        <v>0</v>
      </c>
      <c r="S202" s="61">
        <f t="shared" si="226"/>
        <v>0</v>
      </c>
      <c r="T202" s="61">
        <f>SUM(N202:S202)</f>
        <v>0</v>
      </c>
      <c r="U202" s="61">
        <f>T202+L202</f>
        <v>0</v>
      </c>
      <c r="V202" s="61">
        <f>V197</f>
        <v>0</v>
      </c>
      <c r="W202" s="72">
        <f>V202-U202</f>
        <v>0</v>
      </c>
      <c r="X202" s="63">
        <f>U197-U202</f>
        <v>0</v>
      </c>
    </row>
    <row r="203" spans="1:24" s="63" customFormat="1" ht="18" hidden="1" customHeight="1">
      <c r="A203" s="610"/>
      <c r="B203" s="576"/>
      <c r="C203" s="577"/>
      <c r="D203" s="201" t="str">
        <f>серпень!D203</f>
        <v>дотація</v>
      </c>
      <c r="E203" s="71"/>
      <c r="F203" s="61"/>
      <c r="G203" s="61"/>
      <c r="H203" s="61"/>
      <c r="I203" s="61"/>
      <c r="J203" s="61"/>
      <c r="K203" s="61"/>
      <c r="L203" s="61">
        <f>SUM(F203:K203)</f>
        <v>0</v>
      </c>
      <c r="M203" s="61">
        <f>L203/6</f>
        <v>0</v>
      </c>
      <c r="N203" s="61"/>
      <c r="O203" s="61"/>
      <c r="P203" s="61"/>
      <c r="Q203" s="61"/>
      <c r="R203" s="61"/>
      <c r="S203" s="61"/>
      <c r="T203" s="61">
        <f>SUM(N203:S203)</f>
        <v>0</v>
      </c>
      <c r="U203" s="61">
        <f>T203+L203</f>
        <v>0</v>
      </c>
      <c r="V203" s="61">
        <f>V198</f>
        <v>0</v>
      </c>
      <c r="W203" s="72">
        <f>V203-U203</f>
        <v>0</v>
      </c>
      <c r="X203" s="63">
        <f>U198-U203</f>
        <v>0</v>
      </c>
    </row>
    <row r="204" spans="1:24" s="63" customFormat="1" ht="18" hidden="1" customHeight="1">
      <c r="A204" s="610"/>
      <c r="B204" s="576"/>
      <c r="C204" s="577"/>
      <c r="D204" s="201" t="str">
        <f>серпень!D204</f>
        <v xml:space="preserve">місцевий </v>
      </c>
      <c r="E204" s="71"/>
      <c r="F204" s="61">
        <f t="shared" ref="F204:K204" si="227">F202-F203</f>
        <v>0</v>
      </c>
      <c r="G204" s="61">
        <f t="shared" si="227"/>
        <v>0</v>
      </c>
      <c r="H204" s="61">
        <f t="shared" si="227"/>
        <v>0</v>
      </c>
      <c r="I204" s="61">
        <f t="shared" si="227"/>
        <v>0</v>
      </c>
      <c r="J204" s="61">
        <f t="shared" si="227"/>
        <v>0</v>
      </c>
      <c r="K204" s="61">
        <f t="shared" si="227"/>
        <v>0</v>
      </c>
      <c r="L204" s="61">
        <f>SUM(F204:K204)</f>
        <v>0</v>
      </c>
      <c r="M204" s="61">
        <f>L204/6</f>
        <v>0</v>
      </c>
      <c r="N204" s="61">
        <f t="shared" ref="N204:S204" si="228">N202-N203</f>
        <v>0</v>
      </c>
      <c r="O204" s="61">
        <f t="shared" si="228"/>
        <v>0</v>
      </c>
      <c r="P204" s="61">
        <f t="shared" si="228"/>
        <v>0</v>
      </c>
      <c r="Q204" s="61">
        <f t="shared" si="228"/>
        <v>0</v>
      </c>
      <c r="R204" s="61">
        <f t="shared" si="228"/>
        <v>0</v>
      </c>
      <c r="S204" s="61">
        <f t="shared" si="228"/>
        <v>0</v>
      </c>
      <c r="T204" s="61">
        <f>SUM(N204:S204)</f>
        <v>0</v>
      </c>
      <c r="U204" s="61">
        <f>T204+L204</f>
        <v>0</v>
      </c>
      <c r="V204" s="61">
        <f>V199</f>
        <v>0</v>
      </c>
      <c r="W204" s="72">
        <f>V204-U204</f>
        <v>0</v>
      </c>
      <c r="X204" s="63">
        <f>U199-U204</f>
        <v>0</v>
      </c>
    </row>
    <row r="205" spans="1:24" s="43" customFormat="1" ht="18" hidden="1" customHeight="1">
      <c r="A205" s="610"/>
      <c r="B205" s="576"/>
      <c r="C205" s="577"/>
      <c r="D205" s="202" t="str">
        <f>серпень!D205</f>
        <v>план</v>
      </c>
      <c r="E205" s="42"/>
      <c r="F205" s="42">
        <f t="shared" ref="F205:K205" si="229">F199</f>
        <v>0</v>
      </c>
      <c r="G205" s="42">
        <f t="shared" si="229"/>
        <v>0</v>
      </c>
      <c r="H205" s="42">
        <f t="shared" si="229"/>
        <v>0</v>
      </c>
      <c r="I205" s="42">
        <f t="shared" si="229"/>
        <v>0</v>
      </c>
      <c r="J205" s="42">
        <f t="shared" si="229"/>
        <v>0</v>
      </c>
      <c r="K205" s="42">
        <f t="shared" si="229"/>
        <v>0</v>
      </c>
      <c r="L205" s="42">
        <f>SUM(F205:K205)</f>
        <v>0</v>
      </c>
      <c r="M205" s="42">
        <f>L205/6</f>
        <v>0</v>
      </c>
      <c r="N205" s="42">
        <f t="shared" ref="N205:S205" si="230">N199+N198</f>
        <v>0</v>
      </c>
      <c r="O205" s="42">
        <f t="shared" si="230"/>
        <v>0</v>
      </c>
      <c r="P205" s="42">
        <f t="shared" si="230"/>
        <v>0</v>
      </c>
      <c r="Q205" s="42">
        <f t="shared" si="230"/>
        <v>0</v>
      </c>
      <c r="R205" s="42">
        <f t="shared" si="230"/>
        <v>0</v>
      </c>
      <c r="S205" s="42">
        <f t="shared" si="230"/>
        <v>0</v>
      </c>
      <c r="T205" s="42">
        <f>SUM(N205:S205)</f>
        <v>0</v>
      </c>
      <c r="U205" s="42">
        <f>T205+L205</f>
        <v>0</v>
      </c>
      <c r="V205" s="42">
        <f>V202</f>
        <v>0</v>
      </c>
      <c r="W205" s="42">
        <f>V205-U205</f>
        <v>0</v>
      </c>
    </row>
    <row r="206" spans="1:24" s="43" customFormat="1" ht="18" hidden="1" customHeight="1">
      <c r="A206" s="610"/>
      <c r="B206" s="576"/>
      <c r="C206" s="577"/>
      <c r="D206" s="202" t="str">
        <f>серпень!D206</f>
        <v xml:space="preserve">відхилення </v>
      </c>
      <c r="E206" s="42"/>
      <c r="F206" s="42">
        <f t="shared" ref="F206:K206" si="231">F202-F205</f>
        <v>0</v>
      </c>
      <c r="G206" s="42">
        <f t="shared" si="231"/>
        <v>0</v>
      </c>
      <c r="H206" s="42">
        <f t="shared" si="231"/>
        <v>0</v>
      </c>
      <c r="I206" s="42">
        <f t="shared" si="231"/>
        <v>0</v>
      </c>
      <c r="J206" s="42">
        <f t="shared" si="231"/>
        <v>0</v>
      </c>
      <c r="K206" s="42">
        <f t="shared" si="231"/>
        <v>0</v>
      </c>
      <c r="L206" s="42"/>
      <c r="M206" s="42"/>
      <c r="N206" s="42">
        <f t="shared" ref="N206:S206" si="232">N202-N205</f>
        <v>0</v>
      </c>
      <c r="O206" s="42">
        <f t="shared" si="232"/>
        <v>0</v>
      </c>
      <c r="P206" s="42">
        <f t="shared" si="232"/>
        <v>0</v>
      </c>
      <c r="Q206" s="42">
        <f t="shared" si="232"/>
        <v>0</v>
      </c>
      <c r="R206" s="42">
        <f t="shared" si="232"/>
        <v>0</v>
      </c>
      <c r="S206" s="42">
        <f t="shared" si="232"/>
        <v>0</v>
      </c>
      <c r="T206" s="42"/>
      <c r="U206" s="42"/>
      <c r="V206" s="42"/>
      <c r="W206" s="42"/>
    </row>
    <row r="207" spans="1:24" s="43" customFormat="1" ht="18" hidden="1" customHeight="1">
      <c r="A207" s="611"/>
      <c r="B207" s="578"/>
      <c r="C207" s="579"/>
      <c r="D207" s="202" t="str">
        <f>серпень!D207</f>
        <v>відхилення з наростаючим</v>
      </c>
      <c r="E207" s="42"/>
      <c r="F207" s="42">
        <f>F206</f>
        <v>0</v>
      </c>
      <c r="G207" s="42">
        <f>G206+F207</f>
        <v>0</v>
      </c>
      <c r="H207" s="42">
        <f>H206+G207</f>
        <v>0</v>
      </c>
      <c r="I207" s="42">
        <f>I206+H207</f>
        <v>0</v>
      </c>
      <c r="J207" s="42">
        <f>J206+I207</f>
        <v>0</v>
      </c>
      <c r="K207" s="42">
        <f>K206+J207</f>
        <v>0</v>
      </c>
      <c r="L207" s="42"/>
      <c r="M207" s="42"/>
      <c r="N207" s="42">
        <f>N206+K207</f>
        <v>0</v>
      </c>
      <c r="O207" s="42">
        <f>O206+N207</f>
        <v>0</v>
      </c>
      <c r="P207" s="42">
        <f>P206+O207</f>
        <v>0</v>
      </c>
      <c r="Q207" s="42">
        <f>Q206+P207</f>
        <v>0</v>
      </c>
      <c r="R207" s="42">
        <f>R206+Q207</f>
        <v>0</v>
      </c>
      <c r="S207" s="42">
        <f>S206+R207</f>
        <v>0</v>
      </c>
      <c r="T207" s="42"/>
      <c r="U207" s="42"/>
      <c r="V207" s="42"/>
      <c r="W207" s="42"/>
    </row>
    <row r="208" spans="1:24" s="47" customFormat="1" ht="18" hidden="1" customHeight="1">
      <c r="A208" s="609"/>
      <c r="B208" s="580" t="s">
        <v>92</v>
      </c>
      <c r="C208" s="575"/>
      <c r="D208" s="178" t="str">
        <f>серпень!D208</f>
        <v>факт. нат.п-ки 2023</v>
      </c>
      <c r="E208" s="11"/>
      <c r="F208" s="12">
        <f t="shared" ref="F208:K210" si="233">F223+F238</f>
        <v>0</v>
      </c>
      <c r="G208" s="12">
        <f t="shared" si="233"/>
        <v>0</v>
      </c>
      <c r="H208" s="12">
        <f t="shared" si="233"/>
        <v>0</v>
      </c>
      <c r="I208" s="12">
        <f t="shared" si="233"/>
        <v>0</v>
      </c>
      <c r="J208" s="12">
        <f t="shared" si="233"/>
        <v>0</v>
      </c>
      <c r="K208" s="12">
        <f t="shared" si="233"/>
        <v>0</v>
      </c>
      <c r="L208" s="44">
        <f>SUM(F208:K208)</f>
        <v>0</v>
      </c>
      <c r="M208" s="44">
        <f>L208/6</f>
        <v>0</v>
      </c>
      <c r="N208" s="12">
        <f t="shared" ref="N208:S210" si="234">N223+N238</f>
        <v>0</v>
      </c>
      <c r="O208" s="12">
        <f t="shared" si="234"/>
        <v>0</v>
      </c>
      <c r="P208" s="12">
        <f t="shared" si="234"/>
        <v>0</v>
      </c>
      <c r="Q208" s="12">
        <f t="shared" si="234"/>
        <v>0</v>
      </c>
      <c r="R208" s="12">
        <f t="shared" si="234"/>
        <v>0</v>
      </c>
      <c r="S208" s="12">
        <f t="shared" si="234"/>
        <v>0</v>
      </c>
      <c r="T208" s="44">
        <f>SUM(N208:S208)</f>
        <v>0</v>
      </c>
      <c r="U208" s="45">
        <f>T208+L208</f>
        <v>0</v>
      </c>
      <c r="V208" s="46">
        <f>V223+V238</f>
        <v>0</v>
      </c>
      <c r="W208" s="38">
        <f>V208-U208</f>
        <v>0</v>
      </c>
    </row>
    <row r="209" spans="1:24" s="47" customFormat="1" ht="18" hidden="1" customHeight="1">
      <c r="A209" s="610"/>
      <c r="B209" s="576"/>
      <c r="C209" s="577"/>
      <c r="D209" s="178" t="str">
        <f>серпень!D209</f>
        <v>факт. нат.п-ки 2024</v>
      </c>
      <c r="E209" s="11"/>
      <c r="F209" s="12">
        <f t="shared" si="233"/>
        <v>0</v>
      </c>
      <c r="G209" s="12">
        <f t="shared" si="233"/>
        <v>0</v>
      </c>
      <c r="H209" s="12">
        <f t="shared" si="233"/>
        <v>0</v>
      </c>
      <c r="I209" s="12">
        <f t="shared" si="233"/>
        <v>0</v>
      </c>
      <c r="J209" s="12">
        <f>J224+J239</f>
        <v>0</v>
      </c>
      <c r="K209" s="12">
        <f t="shared" si="233"/>
        <v>0</v>
      </c>
      <c r="L209" s="44">
        <f>SUM(F209:K209)</f>
        <v>0</v>
      </c>
      <c r="M209" s="44">
        <f>L209/6</f>
        <v>0</v>
      </c>
      <c r="N209" s="11">
        <f t="shared" si="234"/>
        <v>0</v>
      </c>
      <c r="O209" s="11">
        <f t="shared" si="234"/>
        <v>0</v>
      </c>
      <c r="P209" s="11">
        <f t="shared" si="234"/>
        <v>0</v>
      </c>
      <c r="Q209" s="11">
        <f t="shared" si="234"/>
        <v>0</v>
      </c>
      <c r="R209" s="11">
        <f t="shared" si="234"/>
        <v>0</v>
      </c>
      <c r="S209" s="11">
        <f t="shared" si="234"/>
        <v>0</v>
      </c>
      <c r="T209" s="44">
        <f>SUM(N209:S209)</f>
        <v>0</v>
      </c>
      <c r="U209" s="45">
        <f>T209+L209</f>
        <v>0</v>
      </c>
      <c r="V209" s="46">
        <f>V224+V239</f>
        <v>0</v>
      </c>
      <c r="W209" s="38">
        <f>V209-U209</f>
        <v>0</v>
      </c>
    </row>
    <row r="210" spans="1:24" s="47" customFormat="1" ht="18" hidden="1" customHeight="1">
      <c r="A210" s="610"/>
      <c r="B210" s="576"/>
      <c r="C210" s="577"/>
      <c r="D210" s="178" t="str">
        <f>серпень!D210</f>
        <v>факт. нат.п-ки 2025</v>
      </c>
      <c r="E210" s="11"/>
      <c r="F210" s="12">
        <f t="shared" si="233"/>
        <v>0</v>
      </c>
      <c r="G210" s="12">
        <f t="shared" si="233"/>
        <v>0</v>
      </c>
      <c r="H210" s="12">
        <f t="shared" si="233"/>
        <v>0</v>
      </c>
      <c r="I210" s="12">
        <f t="shared" si="233"/>
        <v>0</v>
      </c>
      <c r="J210" s="12">
        <f>J225+J240</f>
        <v>0</v>
      </c>
      <c r="K210" s="12">
        <f t="shared" si="233"/>
        <v>0</v>
      </c>
      <c r="L210" s="44">
        <f>SUM(F210:K210)</f>
        <v>0</v>
      </c>
      <c r="M210" s="44">
        <f>L210/6</f>
        <v>0</v>
      </c>
      <c r="N210" s="12">
        <f t="shared" si="234"/>
        <v>0</v>
      </c>
      <c r="O210" s="12">
        <f t="shared" si="234"/>
        <v>0</v>
      </c>
      <c r="P210" s="12">
        <f t="shared" si="234"/>
        <v>0</v>
      </c>
      <c r="Q210" s="12">
        <f t="shared" si="234"/>
        <v>0</v>
      </c>
      <c r="R210" s="12">
        <f t="shared" si="234"/>
        <v>0</v>
      </c>
      <c r="S210" s="12">
        <f t="shared" si="234"/>
        <v>0</v>
      </c>
      <c r="T210" s="44">
        <f>SUM(N210:S210)</f>
        <v>0</v>
      </c>
      <c r="U210" s="45">
        <f>T210+L210</f>
        <v>0</v>
      </c>
      <c r="V210" s="46">
        <f>V225+V240</f>
        <v>0</v>
      </c>
      <c r="W210" s="38">
        <f>V210-U210</f>
        <v>0</v>
      </c>
    </row>
    <row r="211" spans="1:24" s="47" customFormat="1" ht="18" hidden="1" customHeight="1">
      <c r="A211" s="610"/>
      <c r="B211" s="576"/>
      <c r="C211" s="577"/>
      <c r="D211" s="187" t="str">
        <f>серпень!D211</f>
        <v>тариф, грн.</v>
      </c>
      <c r="E211" s="49"/>
      <c r="F211" s="49" t="e">
        <f>F212/F210*1000</f>
        <v>#DIV/0!</v>
      </c>
      <c r="G211" s="49" t="e">
        <f>G212/G210*1000</f>
        <v>#DIV/0!</v>
      </c>
      <c r="H211" s="49" t="e">
        <f>H212/H210*1000</f>
        <v>#DIV/0!</v>
      </c>
      <c r="I211" s="49" t="e">
        <f>I212/I210*1000</f>
        <v>#DIV/0!</v>
      </c>
      <c r="J211" s="49" t="e">
        <f>J212/J210*1000</f>
        <v>#DIV/0!</v>
      </c>
      <c r="K211" s="49" t="e">
        <f t="shared" ref="K211:S211" si="235">K212/K210*1000</f>
        <v>#DIV/0!</v>
      </c>
      <c r="L211" s="49" t="e">
        <f t="shared" si="235"/>
        <v>#DIV/0!</v>
      </c>
      <c r="M211" s="49" t="e">
        <f t="shared" si="235"/>
        <v>#DIV/0!</v>
      </c>
      <c r="N211" s="49" t="e">
        <f t="shared" si="235"/>
        <v>#DIV/0!</v>
      </c>
      <c r="O211" s="49" t="e">
        <f t="shared" si="235"/>
        <v>#DIV/0!</v>
      </c>
      <c r="P211" s="49" t="e">
        <f t="shared" si="235"/>
        <v>#DIV/0!</v>
      </c>
      <c r="Q211" s="49" t="e">
        <f t="shared" si="235"/>
        <v>#DIV/0!</v>
      </c>
      <c r="R211" s="49" t="e">
        <f t="shared" si="235"/>
        <v>#DIV/0!</v>
      </c>
      <c r="S211" s="49" t="e">
        <f t="shared" si="235"/>
        <v>#DIV/0!</v>
      </c>
      <c r="T211" s="49" t="e">
        <f>T212/T210*1000</f>
        <v>#DIV/0!</v>
      </c>
      <c r="U211" s="49" t="e">
        <f>U212/U210*1000</f>
        <v>#DIV/0!</v>
      </c>
      <c r="V211" s="49" t="e">
        <f>V212/V210*1000</f>
        <v>#DIV/0!</v>
      </c>
      <c r="W211" s="14" t="e">
        <f>W212/W210*1000</f>
        <v>#DIV/0!</v>
      </c>
    </row>
    <row r="212" spans="1:24" s="47" customFormat="1" ht="18" hidden="1" customHeight="1">
      <c r="A212" s="610"/>
      <c r="B212" s="576"/>
      <c r="C212" s="577"/>
      <c r="D212" s="191" t="str">
        <f>серпень!D212</f>
        <v>сума, тис.грн.</v>
      </c>
      <c r="E212" s="52"/>
      <c r="F212" s="52">
        <f t="shared" ref="F212:K215" si="236">F227+F242</f>
        <v>0</v>
      </c>
      <c r="G212" s="52">
        <f t="shared" si="236"/>
        <v>0</v>
      </c>
      <c r="H212" s="52">
        <f t="shared" si="236"/>
        <v>0</v>
      </c>
      <c r="I212" s="52">
        <f t="shared" si="236"/>
        <v>0</v>
      </c>
      <c r="J212" s="52">
        <f t="shared" si="236"/>
        <v>0</v>
      </c>
      <c r="K212" s="52">
        <f t="shared" si="236"/>
        <v>0</v>
      </c>
      <c r="L212" s="52">
        <f>SUM(F212:K212)</f>
        <v>0</v>
      </c>
      <c r="M212" s="52">
        <f>L212/6</f>
        <v>0</v>
      </c>
      <c r="N212" s="52">
        <f t="shared" ref="N212:S215" si="237">N227+N242</f>
        <v>0</v>
      </c>
      <c r="O212" s="52">
        <f t="shared" si="237"/>
        <v>0</v>
      </c>
      <c r="P212" s="52">
        <f t="shared" si="237"/>
        <v>0</v>
      </c>
      <c r="Q212" s="52">
        <f t="shared" si="237"/>
        <v>0</v>
      </c>
      <c r="R212" s="52">
        <f t="shared" si="237"/>
        <v>0</v>
      </c>
      <c r="S212" s="52">
        <f t="shared" si="237"/>
        <v>0</v>
      </c>
      <c r="T212" s="52">
        <f>SUM(N212:S212)</f>
        <v>0</v>
      </c>
      <c r="U212" s="52">
        <f>T212+L212</f>
        <v>0</v>
      </c>
      <c r="V212" s="53">
        <f>V227+V242</f>
        <v>0</v>
      </c>
      <c r="W212" s="53">
        <f>V212-U212</f>
        <v>0</v>
      </c>
    </row>
    <row r="213" spans="1:24" s="47" customFormat="1" ht="18" hidden="1" customHeight="1">
      <c r="A213" s="610"/>
      <c r="B213" s="576"/>
      <c r="C213" s="577"/>
      <c r="D213" s="174" t="str">
        <f>серпень!D213</f>
        <v>дотація</v>
      </c>
      <c r="E213" s="56"/>
      <c r="F213" s="52">
        <f t="shared" si="236"/>
        <v>0</v>
      </c>
      <c r="G213" s="52">
        <f t="shared" si="236"/>
        <v>0</v>
      </c>
      <c r="H213" s="52">
        <f t="shared" si="236"/>
        <v>0</v>
      </c>
      <c r="I213" s="52">
        <f t="shared" si="236"/>
        <v>0</v>
      </c>
      <c r="J213" s="52">
        <f>J228+J243</f>
        <v>0</v>
      </c>
      <c r="K213" s="52">
        <f t="shared" si="236"/>
        <v>0</v>
      </c>
      <c r="L213" s="52">
        <f>SUM(F213:K213)</f>
        <v>0</v>
      </c>
      <c r="M213" s="52">
        <f>L213/6</f>
        <v>0</v>
      </c>
      <c r="N213" s="52">
        <f t="shared" si="237"/>
        <v>0</v>
      </c>
      <c r="O213" s="52">
        <f t="shared" si="237"/>
        <v>0</v>
      </c>
      <c r="P213" s="52">
        <f t="shared" si="237"/>
        <v>0</v>
      </c>
      <c r="Q213" s="52">
        <f t="shared" si="237"/>
        <v>0</v>
      </c>
      <c r="R213" s="52">
        <f t="shared" si="237"/>
        <v>0</v>
      </c>
      <c r="S213" s="52">
        <f t="shared" si="237"/>
        <v>0</v>
      </c>
      <c r="T213" s="52">
        <f>SUM(N213:S213)</f>
        <v>0</v>
      </c>
      <c r="U213" s="52">
        <f>T213+L213</f>
        <v>0</v>
      </c>
      <c r="V213" s="53">
        <f>V228+V243</f>
        <v>0</v>
      </c>
      <c r="W213" s="57">
        <f>V213-U213</f>
        <v>0</v>
      </c>
    </row>
    <row r="214" spans="1:24" s="47" customFormat="1" ht="18" hidden="1" customHeight="1">
      <c r="A214" s="610"/>
      <c r="B214" s="576"/>
      <c r="C214" s="577"/>
      <c r="D214" s="174" t="str">
        <f>серпень!D214</f>
        <v>місцевий (план), тис.грн</v>
      </c>
      <c r="E214" s="56"/>
      <c r="F214" s="52">
        <f t="shared" si="236"/>
        <v>0</v>
      </c>
      <c r="G214" s="52">
        <f t="shared" si="236"/>
        <v>0</v>
      </c>
      <c r="H214" s="52">
        <f t="shared" si="236"/>
        <v>0</v>
      </c>
      <c r="I214" s="52">
        <f t="shared" si="236"/>
        <v>0</v>
      </c>
      <c r="J214" s="52">
        <f>J229+J244</f>
        <v>0</v>
      </c>
      <c r="K214" s="52">
        <f t="shared" si="236"/>
        <v>0</v>
      </c>
      <c r="L214" s="52">
        <f>SUM(F214:K214)</f>
        <v>0</v>
      </c>
      <c r="M214" s="52">
        <f>L214/6</f>
        <v>0</v>
      </c>
      <c r="N214" s="52">
        <f t="shared" si="237"/>
        <v>0</v>
      </c>
      <c r="O214" s="52">
        <f t="shared" si="237"/>
        <v>0</v>
      </c>
      <c r="P214" s="52">
        <f t="shared" si="237"/>
        <v>0</v>
      </c>
      <c r="Q214" s="52">
        <f t="shared" si="237"/>
        <v>0</v>
      </c>
      <c r="R214" s="52">
        <f t="shared" si="237"/>
        <v>0</v>
      </c>
      <c r="S214" s="52">
        <f t="shared" si="237"/>
        <v>0</v>
      </c>
      <c r="T214" s="52">
        <f>SUM(N214:S214)</f>
        <v>0</v>
      </c>
      <c r="U214" s="52">
        <f>T214+L214</f>
        <v>0</v>
      </c>
      <c r="V214" s="53">
        <f>V229+V244</f>
        <v>0</v>
      </c>
      <c r="W214" s="53">
        <f>V214-U214</f>
        <v>0</v>
      </c>
    </row>
    <row r="215" spans="1:24" s="47" customFormat="1" ht="18" hidden="1" customHeight="1">
      <c r="A215" s="610"/>
      <c r="B215" s="576"/>
      <c r="C215" s="577"/>
      <c r="D215" s="178" t="str">
        <f>серпень!D215</f>
        <v>касові нат.п-ки 2025</v>
      </c>
      <c r="E215" s="11">
        <f>E230+E245</f>
        <v>0</v>
      </c>
      <c r="F215" s="11">
        <f t="shared" si="236"/>
        <v>0</v>
      </c>
      <c r="G215" s="11">
        <f t="shared" si="236"/>
        <v>0</v>
      </c>
      <c r="H215" s="11">
        <f t="shared" si="236"/>
        <v>0</v>
      </c>
      <c r="I215" s="11">
        <f t="shared" si="236"/>
        <v>0</v>
      </c>
      <c r="J215" s="11">
        <f>J230+J245</f>
        <v>0</v>
      </c>
      <c r="K215" s="11">
        <f t="shared" si="236"/>
        <v>0</v>
      </c>
      <c r="L215" s="44">
        <f>SUM(F215:K215)</f>
        <v>0</v>
      </c>
      <c r="M215" s="44">
        <f>L215/6</f>
        <v>0</v>
      </c>
      <c r="N215" s="11">
        <f t="shared" si="237"/>
        <v>0</v>
      </c>
      <c r="O215" s="11">
        <f t="shared" si="237"/>
        <v>0</v>
      </c>
      <c r="P215" s="11">
        <f t="shared" si="237"/>
        <v>0</v>
      </c>
      <c r="Q215" s="11">
        <f t="shared" si="237"/>
        <v>0</v>
      </c>
      <c r="R215" s="11">
        <f t="shared" si="237"/>
        <v>0</v>
      </c>
      <c r="S215" s="11">
        <f t="shared" si="237"/>
        <v>0</v>
      </c>
      <c r="T215" s="44">
        <f>SUM(N215:S215)</f>
        <v>0</v>
      </c>
      <c r="U215" s="44">
        <f>T215+L215</f>
        <v>0</v>
      </c>
      <c r="V215" s="38">
        <f>V230+V245</f>
        <v>0</v>
      </c>
      <c r="W215" s="38">
        <f>V215-U215</f>
        <v>0</v>
      </c>
      <c r="X215" s="47">
        <f>U210-U215</f>
        <v>0</v>
      </c>
    </row>
    <row r="216" spans="1:24" s="47" customFormat="1" ht="18" hidden="1" customHeight="1">
      <c r="A216" s="610"/>
      <c r="B216" s="576"/>
      <c r="C216" s="577"/>
      <c r="D216" s="187" t="str">
        <f>серпень!D216</f>
        <v>тариф, грн.</v>
      </c>
      <c r="E216" s="49" t="e">
        <f t="shared" ref="E216:S216" si="238">E217/E215*1000</f>
        <v>#DIV/0!</v>
      </c>
      <c r="F216" s="49" t="e">
        <f t="shared" si="238"/>
        <v>#DIV/0!</v>
      </c>
      <c r="G216" s="49" t="e">
        <f t="shared" si="238"/>
        <v>#DIV/0!</v>
      </c>
      <c r="H216" s="49" t="e">
        <f t="shared" si="238"/>
        <v>#DIV/0!</v>
      </c>
      <c r="I216" s="49" t="e">
        <f t="shared" si="238"/>
        <v>#DIV/0!</v>
      </c>
      <c r="J216" s="49" t="e">
        <f t="shared" si="238"/>
        <v>#DIV/0!</v>
      </c>
      <c r="K216" s="49" t="e">
        <f t="shared" si="238"/>
        <v>#DIV/0!</v>
      </c>
      <c r="L216" s="49" t="e">
        <f t="shared" si="238"/>
        <v>#DIV/0!</v>
      </c>
      <c r="M216" s="49" t="e">
        <f t="shared" si="238"/>
        <v>#DIV/0!</v>
      </c>
      <c r="N216" s="49" t="e">
        <f t="shared" si="238"/>
        <v>#DIV/0!</v>
      </c>
      <c r="O216" s="49" t="e">
        <f t="shared" si="238"/>
        <v>#DIV/0!</v>
      </c>
      <c r="P216" s="49" t="e">
        <f t="shared" si="238"/>
        <v>#DIV/0!</v>
      </c>
      <c r="Q216" s="49" t="e">
        <f t="shared" si="238"/>
        <v>#DIV/0!</v>
      </c>
      <c r="R216" s="49" t="e">
        <f t="shared" si="238"/>
        <v>#DIV/0!</v>
      </c>
      <c r="S216" s="49" t="e">
        <f t="shared" si="238"/>
        <v>#DIV/0!</v>
      </c>
      <c r="T216" s="49" t="e">
        <f>T217/T215*1000</f>
        <v>#DIV/0!</v>
      </c>
      <c r="U216" s="49" t="e">
        <f>U217/U215*1000</f>
        <v>#DIV/0!</v>
      </c>
      <c r="V216" s="49" t="e">
        <f>V217/V215*1000</f>
        <v>#DIV/0!</v>
      </c>
      <c r="W216" s="14" t="e">
        <f>W217/W215*1000</f>
        <v>#DIV/0!</v>
      </c>
    </row>
    <row r="217" spans="1:24" s="63" customFormat="1" ht="18" hidden="1" customHeight="1">
      <c r="A217" s="610"/>
      <c r="B217" s="576"/>
      <c r="C217" s="577"/>
      <c r="D217" s="198" t="str">
        <f>серпень!D217</f>
        <v>касові видатки, тис.грн.</v>
      </c>
      <c r="E217" s="60">
        <f t="shared" ref="E217:K219" si="239">E232+E247</f>
        <v>0</v>
      </c>
      <c r="F217" s="61">
        <f t="shared" si="239"/>
        <v>0</v>
      </c>
      <c r="G217" s="61">
        <f t="shared" si="239"/>
        <v>0</v>
      </c>
      <c r="H217" s="61">
        <f t="shared" si="239"/>
        <v>0</v>
      </c>
      <c r="I217" s="61">
        <f t="shared" si="239"/>
        <v>0</v>
      </c>
      <c r="J217" s="61">
        <f t="shared" si="239"/>
        <v>0</v>
      </c>
      <c r="K217" s="61">
        <f t="shared" si="239"/>
        <v>0</v>
      </c>
      <c r="L217" s="61">
        <f>SUM(F217:K217)</f>
        <v>0</v>
      </c>
      <c r="M217" s="61">
        <f>L217/6</f>
        <v>0</v>
      </c>
      <c r="N217" s="61">
        <f t="shared" ref="N217:S219" si="240">N232+N247</f>
        <v>0</v>
      </c>
      <c r="O217" s="61">
        <f t="shared" si="240"/>
        <v>0</v>
      </c>
      <c r="P217" s="61">
        <f t="shared" si="240"/>
        <v>0</v>
      </c>
      <c r="Q217" s="61">
        <f t="shared" si="240"/>
        <v>0</v>
      </c>
      <c r="R217" s="61">
        <f t="shared" si="240"/>
        <v>0</v>
      </c>
      <c r="S217" s="61">
        <f t="shared" si="240"/>
        <v>0</v>
      </c>
      <c r="T217" s="61">
        <f>SUM(N217:S217)</f>
        <v>0</v>
      </c>
      <c r="U217" s="61">
        <f>T217+L217</f>
        <v>0</v>
      </c>
      <c r="V217" s="62">
        <f>V232+V247</f>
        <v>0</v>
      </c>
      <c r="W217" s="62">
        <f>V217-U217</f>
        <v>0</v>
      </c>
      <c r="X217" s="63">
        <f>U212-U217</f>
        <v>0</v>
      </c>
    </row>
    <row r="218" spans="1:24" s="63" customFormat="1" ht="18" hidden="1" customHeight="1">
      <c r="A218" s="610"/>
      <c r="B218" s="576"/>
      <c r="C218" s="577"/>
      <c r="D218" s="201" t="str">
        <f>серпень!D218</f>
        <v>дотація</v>
      </c>
      <c r="E218" s="60"/>
      <c r="F218" s="61">
        <f t="shared" si="239"/>
        <v>0</v>
      </c>
      <c r="G218" s="61">
        <f t="shared" si="239"/>
        <v>0</v>
      </c>
      <c r="H218" s="61">
        <f t="shared" si="239"/>
        <v>0</v>
      </c>
      <c r="I218" s="61">
        <f t="shared" si="239"/>
        <v>0</v>
      </c>
      <c r="J218" s="61">
        <f>J233+J248</f>
        <v>0</v>
      </c>
      <c r="K218" s="61">
        <f t="shared" si="239"/>
        <v>0</v>
      </c>
      <c r="L218" s="61">
        <f>SUM(F218:K218)</f>
        <v>0</v>
      </c>
      <c r="M218" s="61">
        <f>L218/6</f>
        <v>0</v>
      </c>
      <c r="N218" s="61">
        <f t="shared" si="240"/>
        <v>0</v>
      </c>
      <c r="O218" s="61">
        <f t="shared" si="240"/>
        <v>0</v>
      </c>
      <c r="P218" s="61">
        <f t="shared" si="240"/>
        <v>0</v>
      </c>
      <c r="Q218" s="61">
        <f t="shared" si="240"/>
        <v>0</v>
      </c>
      <c r="R218" s="61">
        <f t="shared" si="240"/>
        <v>0</v>
      </c>
      <c r="S218" s="61">
        <f t="shared" si="240"/>
        <v>0</v>
      </c>
      <c r="T218" s="61">
        <f>SUM(N218:S218)</f>
        <v>0</v>
      </c>
      <c r="U218" s="61">
        <f>T218+L218</f>
        <v>0</v>
      </c>
      <c r="V218" s="62">
        <f>V233+V248</f>
        <v>0</v>
      </c>
      <c r="W218" s="62">
        <f>V218-U218</f>
        <v>0</v>
      </c>
      <c r="X218" s="63">
        <f>U213-U218</f>
        <v>0</v>
      </c>
    </row>
    <row r="219" spans="1:24" s="63" customFormat="1" ht="18" hidden="1" customHeight="1">
      <c r="A219" s="610"/>
      <c r="B219" s="576"/>
      <c r="C219" s="577"/>
      <c r="D219" s="201" t="str">
        <f>серпень!D219</f>
        <v xml:space="preserve">місцевий </v>
      </c>
      <c r="E219" s="60"/>
      <c r="F219" s="61">
        <f t="shared" si="239"/>
        <v>0</v>
      </c>
      <c r="G219" s="61">
        <f t="shared" si="239"/>
        <v>0</v>
      </c>
      <c r="H219" s="61">
        <f t="shared" si="239"/>
        <v>0</v>
      </c>
      <c r="I219" s="61">
        <f t="shared" si="239"/>
        <v>0</v>
      </c>
      <c r="J219" s="61">
        <f>J234+J249</f>
        <v>0</v>
      </c>
      <c r="K219" s="61">
        <f t="shared" si="239"/>
        <v>0</v>
      </c>
      <c r="L219" s="61">
        <f>SUM(F219:K219)</f>
        <v>0</v>
      </c>
      <c r="M219" s="61">
        <f>L219/6</f>
        <v>0</v>
      </c>
      <c r="N219" s="61">
        <f t="shared" si="240"/>
        <v>0</v>
      </c>
      <c r="O219" s="61">
        <f t="shared" si="240"/>
        <v>0</v>
      </c>
      <c r="P219" s="61">
        <f t="shared" si="240"/>
        <v>0</v>
      </c>
      <c r="Q219" s="61">
        <f t="shared" si="240"/>
        <v>0</v>
      </c>
      <c r="R219" s="61">
        <f t="shared" si="240"/>
        <v>0</v>
      </c>
      <c r="S219" s="61">
        <f t="shared" si="240"/>
        <v>0</v>
      </c>
      <c r="T219" s="61">
        <f>SUM(N219:S219)</f>
        <v>0</v>
      </c>
      <c r="U219" s="61">
        <f>T219+L219</f>
        <v>0</v>
      </c>
      <c r="V219" s="62">
        <f>V234+V249</f>
        <v>0</v>
      </c>
      <c r="W219" s="62">
        <f>V219-U219</f>
        <v>0</v>
      </c>
      <c r="X219" s="63">
        <f>U214-U219</f>
        <v>0</v>
      </c>
    </row>
    <row r="220" spans="1:24" s="43" customFormat="1" ht="18" hidden="1" customHeight="1">
      <c r="A220" s="610"/>
      <c r="B220" s="576"/>
      <c r="C220" s="577"/>
      <c r="D220" s="202" t="str">
        <f>серпень!D220</f>
        <v>план</v>
      </c>
      <c r="E220" s="42"/>
      <c r="F220" s="42">
        <f t="shared" ref="F220:K220" si="241">F214</f>
        <v>0</v>
      </c>
      <c r="G220" s="42">
        <f t="shared" si="241"/>
        <v>0</v>
      </c>
      <c r="H220" s="42">
        <f t="shared" si="241"/>
        <v>0</v>
      </c>
      <c r="I220" s="42">
        <f t="shared" si="241"/>
        <v>0</v>
      </c>
      <c r="J220" s="42">
        <f t="shared" si="241"/>
        <v>0</v>
      </c>
      <c r="K220" s="42">
        <f t="shared" si="241"/>
        <v>0</v>
      </c>
      <c r="L220" s="42">
        <f>SUM(F220:K220)</f>
        <v>0</v>
      </c>
      <c r="M220" s="42">
        <f>L220/6</f>
        <v>0</v>
      </c>
      <c r="N220" s="42">
        <f t="shared" ref="N220:S220" si="242">N214+N213</f>
        <v>0</v>
      </c>
      <c r="O220" s="42">
        <f t="shared" si="242"/>
        <v>0</v>
      </c>
      <c r="P220" s="42">
        <f t="shared" si="242"/>
        <v>0</v>
      </c>
      <c r="Q220" s="42">
        <f t="shared" si="242"/>
        <v>0</v>
      </c>
      <c r="R220" s="42">
        <f t="shared" si="242"/>
        <v>0</v>
      </c>
      <c r="S220" s="42">
        <f t="shared" si="242"/>
        <v>0</v>
      </c>
      <c r="T220" s="42">
        <f>SUM(N220:S220)</f>
        <v>0</v>
      </c>
      <c r="U220" s="42">
        <f>T220+L220</f>
        <v>0</v>
      </c>
      <c r="V220" s="64">
        <f>V235+V250</f>
        <v>0</v>
      </c>
      <c r="W220" s="64">
        <f>V220-U220</f>
        <v>0</v>
      </c>
    </row>
    <row r="221" spans="1:24" s="43" customFormat="1" ht="18" hidden="1" customHeight="1">
      <c r="A221" s="610"/>
      <c r="B221" s="576"/>
      <c r="C221" s="577"/>
      <c r="D221" s="202" t="str">
        <f>серпень!D221</f>
        <v xml:space="preserve">відхилення </v>
      </c>
      <c r="E221" s="42"/>
      <c r="F221" s="42">
        <f t="shared" ref="F221:K221" si="243">F217-F220</f>
        <v>0</v>
      </c>
      <c r="G221" s="42">
        <f t="shared" si="243"/>
        <v>0</v>
      </c>
      <c r="H221" s="42">
        <f t="shared" si="243"/>
        <v>0</v>
      </c>
      <c r="I221" s="42">
        <f t="shared" si="243"/>
        <v>0</v>
      </c>
      <c r="J221" s="42">
        <f t="shared" si="243"/>
        <v>0</v>
      </c>
      <c r="K221" s="42">
        <f t="shared" si="243"/>
        <v>0</v>
      </c>
      <c r="L221" s="42"/>
      <c r="M221" s="42"/>
      <c r="N221" s="42">
        <f t="shared" ref="N221:S221" si="244">N217-N220</f>
        <v>0</v>
      </c>
      <c r="O221" s="42">
        <f t="shared" si="244"/>
        <v>0</v>
      </c>
      <c r="P221" s="42">
        <f t="shared" si="244"/>
        <v>0</v>
      </c>
      <c r="Q221" s="42">
        <f t="shared" si="244"/>
        <v>0</v>
      </c>
      <c r="R221" s="42">
        <f t="shared" si="244"/>
        <v>0</v>
      </c>
      <c r="S221" s="42">
        <f t="shared" si="244"/>
        <v>0</v>
      </c>
      <c r="T221" s="42"/>
      <c r="U221" s="42"/>
      <c r="V221" s="42"/>
      <c r="W221" s="42"/>
    </row>
    <row r="222" spans="1:24" s="43" customFormat="1" ht="18" hidden="1" customHeight="1">
      <c r="A222" s="610"/>
      <c r="B222" s="576"/>
      <c r="C222" s="577"/>
      <c r="D222" s="202" t="str">
        <f>серпень!D222</f>
        <v>відхилення з наростаючим</v>
      </c>
      <c r="E222" s="42"/>
      <c r="F222" s="42">
        <f>F221</f>
        <v>0</v>
      </c>
      <c r="G222" s="42">
        <f>G221+F222</f>
        <v>0</v>
      </c>
      <c r="H222" s="42">
        <f>H221+G222</f>
        <v>0</v>
      </c>
      <c r="I222" s="42">
        <f>I221+H222</f>
        <v>0</v>
      </c>
      <c r="J222" s="42">
        <f>J221+I222</f>
        <v>0</v>
      </c>
      <c r="K222" s="42">
        <f>K221+J222</f>
        <v>0</v>
      </c>
      <c r="L222" s="42"/>
      <c r="M222" s="42"/>
      <c r="N222" s="42">
        <f>N221+K222</f>
        <v>0</v>
      </c>
      <c r="O222" s="42">
        <f>O221+N222</f>
        <v>0</v>
      </c>
      <c r="P222" s="42">
        <f>P221+O222</f>
        <v>0</v>
      </c>
      <c r="Q222" s="42">
        <f>Q221+P222</f>
        <v>0</v>
      </c>
      <c r="R222" s="42">
        <f>R221+Q222</f>
        <v>0</v>
      </c>
      <c r="S222" s="42">
        <f>S221+R222</f>
        <v>0</v>
      </c>
      <c r="T222" s="42"/>
      <c r="U222" s="42"/>
      <c r="V222" s="42"/>
      <c r="W222" s="42"/>
    </row>
    <row r="223" spans="1:24" s="48" customFormat="1" ht="18" hidden="1" customHeight="1">
      <c r="A223" s="610"/>
      <c r="B223" s="581" t="s">
        <v>91</v>
      </c>
      <c r="C223" s="581"/>
      <c r="D223" s="178" t="str">
        <f>серпень!D223</f>
        <v>факт. нат.п-ки 2023</v>
      </c>
      <c r="E223" s="11"/>
      <c r="F223" s="12"/>
      <c r="G223" s="12"/>
      <c r="H223" s="12"/>
      <c r="I223" s="12"/>
      <c r="J223" s="12"/>
      <c r="K223" s="12"/>
      <c r="L223" s="65">
        <f>SUM(F223:K223)</f>
        <v>0</v>
      </c>
      <c r="M223" s="65">
        <f>L223/6</f>
        <v>0</v>
      </c>
      <c r="N223" s="12"/>
      <c r="O223" s="12"/>
      <c r="P223" s="12"/>
      <c r="Q223" s="12"/>
      <c r="R223" s="12"/>
      <c r="S223" s="12"/>
      <c r="T223" s="65">
        <f>SUM(N223:S223)</f>
        <v>0</v>
      </c>
      <c r="U223" s="66">
        <f>T223+L223</f>
        <v>0</v>
      </c>
      <c r="V223" s="67"/>
      <c r="W223" s="38">
        <f>V223-U223</f>
        <v>0</v>
      </c>
      <c r="X223" s="47"/>
    </row>
    <row r="224" spans="1:24" s="48" customFormat="1" ht="18" hidden="1" customHeight="1">
      <c r="A224" s="610"/>
      <c r="B224" s="581"/>
      <c r="C224" s="581"/>
      <c r="D224" s="178" t="str">
        <f>серпень!D224</f>
        <v>факт. нат.п-ки 2024</v>
      </c>
      <c r="E224" s="11"/>
      <c r="F224" s="12"/>
      <c r="G224" s="12"/>
      <c r="H224" s="12"/>
      <c r="I224" s="12"/>
      <c r="J224" s="12"/>
      <c r="K224" s="12"/>
      <c r="L224" s="65">
        <f>SUM(F224:K224)</f>
        <v>0</v>
      </c>
      <c r="M224" s="65">
        <f>L224/6</f>
        <v>0</v>
      </c>
      <c r="N224" s="11"/>
      <c r="O224" s="11"/>
      <c r="P224" s="11"/>
      <c r="Q224" s="11"/>
      <c r="R224" s="11"/>
      <c r="S224" s="11"/>
      <c r="T224" s="65">
        <f>SUM(N224:S224)</f>
        <v>0</v>
      </c>
      <c r="U224" s="66">
        <f>T224+L224</f>
        <v>0</v>
      </c>
      <c r="V224" s="67"/>
      <c r="W224" s="38">
        <f>V224-U224</f>
        <v>0</v>
      </c>
      <c r="X224" s="47"/>
    </row>
    <row r="225" spans="1:24" s="48" customFormat="1" ht="18" hidden="1" customHeight="1">
      <c r="A225" s="610"/>
      <c r="B225" s="581"/>
      <c r="C225" s="581"/>
      <c r="D225" s="178" t="str">
        <f>серпень!D225</f>
        <v>факт. нат.п-ки 2025</v>
      </c>
      <c r="E225" s="11"/>
      <c r="F225" s="12"/>
      <c r="G225" s="12"/>
      <c r="H225" s="12"/>
      <c r="I225" s="12"/>
      <c r="J225" s="12"/>
      <c r="K225" s="12"/>
      <c r="L225" s="65">
        <f>SUM(F225:K225)</f>
        <v>0</v>
      </c>
      <c r="M225" s="65">
        <f>L225/6</f>
        <v>0</v>
      </c>
      <c r="N225" s="12"/>
      <c r="O225" s="12"/>
      <c r="P225" s="12"/>
      <c r="Q225" s="12"/>
      <c r="R225" s="12"/>
      <c r="S225" s="11"/>
      <c r="T225" s="65">
        <f>SUM(N225:S225)</f>
        <v>0</v>
      </c>
      <c r="U225" s="66">
        <f>T225+L225</f>
        <v>0</v>
      </c>
      <c r="V225" s="11"/>
      <c r="W225" s="38">
        <f>V225-U225</f>
        <v>0</v>
      </c>
      <c r="X225" s="47"/>
    </row>
    <row r="226" spans="1:24" s="51" customFormat="1" ht="18" hidden="1" customHeight="1">
      <c r="A226" s="610"/>
      <c r="B226" s="581"/>
      <c r="C226" s="581"/>
      <c r="D226" s="187" t="str">
        <f>серпень!D226</f>
        <v>тариф, грн.</v>
      </c>
      <c r="E226" s="49"/>
      <c r="F226" s="49">
        <v>3501.96</v>
      </c>
      <c r="G226" s="49">
        <v>3501.96</v>
      </c>
      <c r="H226" s="49">
        <v>3501.96</v>
      </c>
      <c r="I226" s="49">
        <v>3501.96</v>
      </c>
      <c r="J226" s="49">
        <v>3501.96</v>
      </c>
      <c r="K226" s="49">
        <v>3501.96</v>
      </c>
      <c r="L226" s="49" t="e">
        <f>L227/L225*1000</f>
        <v>#DIV/0!</v>
      </c>
      <c r="M226" s="49" t="e">
        <f>M227/M225*1000</f>
        <v>#DIV/0!</v>
      </c>
      <c r="N226" s="49">
        <v>3501.96</v>
      </c>
      <c r="O226" s="49">
        <v>3501.96</v>
      </c>
      <c r="P226" s="49">
        <v>3501.96</v>
      </c>
      <c r="Q226" s="49">
        <v>3501.96</v>
      </c>
      <c r="R226" s="49">
        <v>3501.96</v>
      </c>
      <c r="S226" s="49">
        <v>3501.96</v>
      </c>
      <c r="T226" s="49" t="e">
        <f>T227/T225*1000</f>
        <v>#DIV/0!</v>
      </c>
      <c r="U226" s="49" t="e">
        <f>U227/U225*1000</f>
        <v>#DIV/0!</v>
      </c>
      <c r="V226" s="68" t="e">
        <f>V227/V225*1000</f>
        <v>#DIV/0!</v>
      </c>
      <c r="W226" s="14" t="e">
        <f>W227/W225*1000</f>
        <v>#DIV/0!</v>
      </c>
      <c r="X226" s="59"/>
    </row>
    <row r="227" spans="1:24" s="55" customFormat="1" ht="18" hidden="1" customHeight="1">
      <c r="A227" s="610"/>
      <c r="B227" s="581"/>
      <c r="C227" s="581"/>
      <c r="D227" s="191" t="str">
        <f>серпень!D227</f>
        <v>сума, тис.грн.</v>
      </c>
      <c r="E227" s="52"/>
      <c r="F227" s="52">
        <f t="shared" ref="F227:K227" si="245">F225*F226/1000</f>
        <v>0</v>
      </c>
      <c r="G227" s="52">
        <f t="shared" si="245"/>
        <v>0</v>
      </c>
      <c r="H227" s="52">
        <f t="shared" si="245"/>
        <v>0</v>
      </c>
      <c r="I227" s="52">
        <f t="shared" si="245"/>
        <v>0</v>
      </c>
      <c r="J227" s="52">
        <f t="shared" si="245"/>
        <v>0</v>
      </c>
      <c r="K227" s="52">
        <f t="shared" si="245"/>
        <v>0</v>
      </c>
      <c r="L227" s="69">
        <f>SUM(F227:K227)</f>
        <v>0</v>
      </c>
      <c r="M227" s="69">
        <f>L227/6</f>
        <v>0</v>
      </c>
      <c r="N227" s="52">
        <f t="shared" ref="N227:S227" si="246">N225*N226/1000</f>
        <v>0</v>
      </c>
      <c r="O227" s="52">
        <f t="shared" si="246"/>
        <v>0</v>
      </c>
      <c r="P227" s="52">
        <f t="shared" si="246"/>
        <v>0</v>
      </c>
      <c r="Q227" s="52">
        <f t="shared" si="246"/>
        <v>0</v>
      </c>
      <c r="R227" s="52">
        <f t="shared" si="246"/>
        <v>0</v>
      </c>
      <c r="S227" s="52">
        <f t="shared" si="246"/>
        <v>0</v>
      </c>
      <c r="T227" s="69">
        <f>SUM(N227:S227)</f>
        <v>0</v>
      </c>
      <c r="U227" s="69">
        <f>T227+L227</f>
        <v>0</v>
      </c>
      <c r="V227" s="70">
        <f>V228+V229</f>
        <v>0</v>
      </c>
      <c r="W227" s="53">
        <f>V227-U227</f>
        <v>0</v>
      </c>
      <c r="X227" s="54">
        <f>2726951.723/1000</f>
        <v>2726.9520000000002</v>
      </c>
    </row>
    <row r="228" spans="1:24" s="55" customFormat="1" ht="18" hidden="1" customHeight="1">
      <c r="A228" s="610"/>
      <c r="B228" s="581"/>
      <c r="C228" s="581"/>
      <c r="D228" s="174" t="str">
        <f>серпень!D228</f>
        <v>дотація</v>
      </c>
      <c r="E228" s="56"/>
      <c r="F228" s="52"/>
      <c r="G228" s="52"/>
      <c r="H228" s="52"/>
      <c r="I228" s="52"/>
      <c r="J228" s="52"/>
      <c r="K228" s="52"/>
      <c r="L228" s="69">
        <f>SUM(F228:K228)</f>
        <v>0</v>
      </c>
      <c r="M228" s="69">
        <f>L228/6</f>
        <v>0</v>
      </c>
      <c r="N228" s="52"/>
      <c r="O228" s="52"/>
      <c r="P228" s="52"/>
      <c r="Q228" s="52"/>
      <c r="R228" s="52"/>
      <c r="S228" s="52"/>
      <c r="T228" s="69">
        <f>SUM(N228:S228)</f>
        <v>0</v>
      </c>
      <c r="U228" s="69">
        <f>T228+L228</f>
        <v>0</v>
      </c>
      <c r="V228" s="70">
        <v>0</v>
      </c>
      <c r="W228" s="53">
        <f>V228-U228</f>
        <v>0</v>
      </c>
      <c r="X228" s="58"/>
    </row>
    <row r="229" spans="1:24" s="55" customFormat="1" ht="18" hidden="1" customHeight="1">
      <c r="A229" s="610"/>
      <c r="B229" s="581"/>
      <c r="C229" s="581"/>
      <c r="D229" s="174" t="str">
        <f>серпень!D229</f>
        <v>місцевий (план), тис.грн</v>
      </c>
      <c r="E229" s="56"/>
      <c r="F229" s="52"/>
      <c r="G229" s="52"/>
      <c r="H229" s="52"/>
      <c r="I229" s="52"/>
      <c r="J229" s="52"/>
      <c r="K229" s="52"/>
      <c r="L229" s="69">
        <f>SUM(F229:K229)</f>
        <v>0</v>
      </c>
      <c r="M229" s="69">
        <f>L229/6</f>
        <v>0</v>
      </c>
      <c r="N229" s="52"/>
      <c r="O229" s="52"/>
      <c r="P229" s="52"/>
      <c r="Q229" s="52"/>
      <c r="R229" s="52"/>
      <c r="S229" s="52"/>
      <c r="T229" s="69">
        <f>SUM(N229:S229)</f>
        <v>0</v>
      </c>
      <c r="U229" s="69">
        <f>T229+L229</f>
        <v>0</v>
      </c>
      <c r="V229" s="70"/>
      <c r="W229" s="53">
        <f>V229-U229</f>
        <v>0</v>
      </c>
      <c r="X229" s="58"/>
    </row>
    <row r="230" spans="1:24" s="48" customFormat="1" ht="18" hidden="1" customHeight="1">
      <c r="A230" s="610"/>
      <c r="B230" s="581"/>
      <c r="C230" s="581"/>
      <c r="D230" s="178" t="str">
        <f>серпень!D230</f>
        <v>касові нат.п-ки 2025</v>
      </c>
      <c r="E230" s="11"/>
      <c r="F230" s="11"/>
      <c r="G230" s="11"/>
      <c r="H230" s="11"/>
      <c r="I230" s="11"/>
      <c r="J230" s="11"/>
      <c r="K230" s="11"/>
      <c r="L230" s="65">
        <f>SUM(F230:K230)</f>
        <v>0</v>
      </c>
      <c r="M230" s="65">
        <f>L230/6</f>
        <v>0</v>
      </c>
      <c r="N230" s="11"/>
      <c r="O230" s="11"/>
      <c r="P230" s="11"/>
      <c r="Q230" s="11"/>
      <c r="R230" s="11"/>
      <c r="S230" s="11">
        <f>S225+R225</f>
        <v>0</v>
      </c>
      <c r="T230" s="65">
        <f>SUM(N230:S230)</f>
        <v>0</v>
      </c>
      <c r="U230" s="65">
        <f>T230+L230</f>
        <v>0</v>
      </c>
      <c r="V230" s="11">
        <f>V225</f>
        <v>0</v>
      </c>
      <c r="W230" s="38">
        <f>V230-U230</f>
        <v>0</v>
      </c>
      <c r="X230" s="47">
        <f>U225-U230</f>
        <v>0</v>
      </c>
    </row>
    <row r="231" spans="1:24" s="51" customFormat="1" ht="18" hidden="1" customHeight="1">
      <c r="A231" s="610"/>
      <c r="B231" s="581"/>
      <c r="C231" s="581"/>
      <c r="D231" s="187" t="str">
        <f>серпень!D231</f>
        <v>тариф, грн.</v>
      </c>
      <c r="E231" s="49" t="e">
        <f>E232/E230*1000</f>
        <v>#DIV/0!</v>
      </c>
      <c r="F231" s="49">
        <v>3501.96</v>
      </c>
      <c r="G231" s="49">
        <v>3501.96</v>
      </c>
      <c r="H231" s="49">
        <v>3501.96</v>
      </c>
      <c r="I231" s="49">
        <v>3501.96</v>
      </c>
      <c r="J231" s="49">
        <v>3501.96</v>
      </c>
      <c r="K231" s="49">
        <v>3501.96</v>
      </c>
      <c r="L231" s="49" t="e">
        <f>L232/L230*1000</f>
        <v>#DIV/0!</v>
      </c>
      <c r="M231" s="49" t="e">
        <f>M232/M230*1000</f>
        <v>#DIV/0!</v>
      </c>
      <c r="N231" s="49">
        <v>3501.96</v>
      </c>
      <c r="O231" s="49">
        <v>3501.96</v>
      </c>
      <c r="P231" s="49">
        <v>3501.96</v>
      </c>
      <c r="Q231" s="49">
        <v>3501.96</v>
      </c>
      <c r="R231" s="49">
        <v>3501.96</v>
      </c>
      <c r="S231" s="49">
        <v>3501.96</v>
      </c>
      <c r="T231" s="49" t="e">
        <f>T232/T230*1000</f>
        <v>#DIV/0!</v>
      </c>
      <c r="U231" s="49" t="e">
        <f>U232/U230*1000</f>
        <v>#DIV/0!</v>
      </c>
      <c r="V231" s="68" t="e">
        <f>V232/V230*1000</f>
        <v>#DIV/0!</v>
      </c>
      <c r="W231" s="14" t="e">
        <f>W232/W230*1000</f>
        <v>#DIV/0!</v>
      </c>
      <c r="X231" s="59"/>
    </row>
    <row r="232" spans="1:24" s="63" customFormat="1" ht="18" hidden="1" customHeight="1">
      <c r="A232" s="610"/>
      <c r="B232" s="581"/>
      <c r="C232" s="581"/>
      <c r="D232" s="198" t="str">
        <f>серпень!D232</f>
        <v>касові видатки, тис.грн.</v>
      </c>
      <c r="E232" s="71"/>
      <c r="F232" s="61">
        <f t="shared" ref="F232:K232" si="247">F230*F231/1000</f>
        <v>0</v>
      </c>
      <c r="G232" s="61">
        <f t="shared" si="247"/>
        <v>0</v>
      </c>
      <c r="H232" s="61">
        <f t="shared" si="247"/>
        <v>0</v>
      </c>
      <c r="I232" s="61">
        <f t="shared" si="247"/>
        <v>0</v>
      </c>
      <c r="J232" s="61">
        <f t="shared" si="247"/>
        <v>0</v>
      </c>
      <c r="K232" s="61">
        <f t="shared" si="247"/>
        <v>0</v>
      </c>
      <c r="L232" s="61">
        <f>SUM(F232:K232)</f>
        <v>0</v>
      </c>
      <c r="M232" s="61">
        <f>L232/6</f>
        <v>0</v>
      </c>
      <c r="N232" s="61">
        <f t="shared" ref="N232:S232" si="248">N230*N231/1000</f>
        <v>0</v>
      </c>
      <c r="O232" s="61">
        <f t="shared" si="248"/>
        <v>0</v>
      </c>
      <c r="P232" s="61">
        <f t="shared" si="248"/>
        <v>0</v>
      </c>
      <c r="Q232" s="61">
        <f t="shared" si="248"/>
        <v>0</v>
      </c>
      <c r="R232" s="61">
        <f t="shared" si="248"/>
        <v>0</v>
      </c>
      <c r="S232" s="61">
        <f t="shared" si="248"/>
        <v>0</v>
      </c>
      <c r="T232" s="61">
        <f>SUM(N232:S232)</f>
        <v>0</v>
      </c>
      <c r="U232" s="61">
        <f>T232+L232</f>
        <v>0</v>
      </c>
      <c r="V232" s="61">
        <f>V227</f>
        <v>0</v>
      </c>
      <c r="W232" s="72">
        <f>V232-U232</f>
        <v>0</v>
      </c>
      <c r="X232" s="63">
        <f>U227-U232</f>
        <v>0</v>
      </c>
    </row>
    <row r="233" spans="1:24" s="63" customFormat="1" ht="18" hidden="1" customHeight="1">
      <c r="A233" s="610"/>
      <c r="B233" s="581"/>
      <c r="C233" s="581"/>
      <c r="D233" s="201" t="str">
        <f>серпень!D233</f>
        <v>дотація</v>
      </c>
      <c r="E233" s="71"/>
      <c r="F233" s="61"/>
      <c r="G233" s="61"/>
      <c r="H233" s="61"/>
      <c r="I233" s="61"/>
      <c r="J233" s="61"/>
      <c r="K233" s="61"/>
      <c r="L233" s="61">
        <f>SUM(F233:K233)</f>
        <v>0</v>
      </c>
      <c r="M233" s="61">
        <f>L233/6</f>
        <v>0</v>
      </c>
      <c r="N233" s="61"/>
      <c r="O233" s="61"/>
      <c r="P233" s="61"/>
      <c r="Q233" s="61"/>
      <c r="R233" s="61"/>
      <c r="S233" s="61"/>
      <c r="T233" s="61">
        <f>SUM(N233:S233)</f>
        <v>0</v>
      </c>
      <c r="U233" s="61">
        <f>T233+L233</f>
        <v>0</v>
      </c>
      <c r="V233" s="61">
        <f>V228</f>
        <v>0</v>
      </c>
      <c r="W233" s="72">
        <f>V233-U233</f>
        <v>0</v>
      </c>
      <c r="X233" s="63">
        <f>U228-U233</f>
        <v>0</v>
      </c>
    </row>
    <row r="234" spans="1:24" s="63" customFormat="1" ht="18" hidden="1" customHeight="1">
      <c r="A234" s="610"/>
      <c r="B234" s="581"/>
      <c r="C234" s="581"/>
      <c r="D234" s="201" t="str">
        <f>серпень!D234</f>
        <v xml:space="preserve">місцевий </v>
      </c>
      <c r="E234" s="71"/>
      <c r="F234" s="61">
        <f t="shared" ref="F234:K234" si="249">F232-F233</f>
        <v>0</v>
      </c>
      <c r="G234" s="61">
        <f t="shared" si="249"/>
        <v>0</v>
      </c>
      <c r="H234" s="61">
        <f t="shared" si="249"/>
        <v>0</v>
      </c>
      <c r="I234" s="61">
        <f t="shared" si="249"/>
        <v>0</v>
      </c>
      <c r="J234" s="61">
        <f t="shared" si="249"/>
        <v>0</v>
      </c>
      <c r="K234" s="61">
        <f t="shared" si="249"/>
        <v>0</v>
      </c>
      <c r="L234" s="61">
        <f>SUM(F234:K234)</f>
        <v>0</v>
      </c>
      <c r="M234" s="61">
        <f>L234/6</f>
        <v>0</v>
      </c>
      <c r="N234" s="61">
        <f t="shared" ref="N234:S234" si="250">N232-N233</f>
        <v>0</v>
      </c>
      <c r="O234" s="61">
        <f t="shared" si="250"/>
        <v>0</v>
      </c>
      <c r="P234" s="61">
        <f t="shared" si="250"/>
        <v>0</v>
      </c>
      <c r="Q234" s="61">
        <f t="shared" si="250"/>
        <v>0</v>
      </c>
      <c r="R234" s="61">
        <f t="shared" si="250"/>
        <v>0</v>
      </c>
      <c r="S234" s="61">
        <f t="shared" si="250"/>
        <v>0</v>
      </c>
      <c r="T234" s="61">
        <f>SUM(N234:S234)</f>
        <v>0</v>
      </c>
      <c r="U234" s="61">
        <f>T234+L234</f>
        <v>0</v>
      </c>
      <c r="V234" s="61">
        <f>V229</f>
        <v>0</v>
      </c>
      <c r="W234" s="72">
        <f>V234-U234</f>
        <v>0</v>
      </c>
      <c r="X234" s="63">
        <f>U229-U234</f>
        <v>0</v>
      </c>
    </row>
    <row r="235" spans="1:24" s="43" customFormat="1" ht="18" hidden="1" customHeight="1">
      <c r="A235" s="610"/>
      <c r="B235" s="581"/>
      <c r="C235" s="581"/>
      <c r="D235" s="202" t="str">
        <f>серпень!D235</f>
        <v>план</v>
      </c>
      <c r="E235" s="42"/>
      <c r="F235" s="42">
        <f t="shared" ref="F235:K235" si="251">F229</f>
        <v>0</v>
      </c>
      <c r="G235" s="42">
        <f t="shared" si="251"/>
        <v>0</v>
      </c>
      <c r="H235" s="42">
        <f t="shared" si="251"/>
        <v>0</v>
      </c>
      <c r="I235" s="42">
        <f t="shared" si="251"/>
        <v>0</v>
      </c>
      <c r="J235" s="42">
        <f t="shared" si="251"/>
        <v>0</v>
      </c>
      <c r="K235" s="42">
        <f t="shared" si="251"/>
        <v>0</v>
      </c>
      <c r="L235" s="42">
        <f>SUM(F235:K235)</f>
        <v>0</v>
      </c>
      <c r="M235" s="42">
        <f>L235/6</f>
        <v>0</v>
      </c>
      <c r="N235" s="42">
        <f t="shared" ref="N235:S235" si="252">N229+N228</f>
        <v>0</v>
      </c>
      <c r="O235" s="42">
        <f t="shared" si="252"/>
        <v>0</v>
      </c>
      <c r="P235" s="42">
        <f t="shared" si="252"/>
        <v>0</v>
      </c>
      <c r="Q235" s="42">
        <f t="shared" si="252"/>
        <v>0</v>
      </c>
      <c r="R235" s="42">
        <f t="shared" si="252"/>
        <v>0</v>
      </c>
      <c r="S235" s="42">
        <f t="shared" si="252"/>
        <v>0</v>
      </c>
      <c r="T235" s="42">
        <f>SUM(N235:S235)</f>
        <v>0</v>
      </c>
      <c r="U235" s="42">
        <f>T235+L235</f>
        <v>0</v>
      </c>
      <c r="V235" s="42">
        <f>V232</f>
        <v>0</v>
      </c>
      <c r="W235" s="42">
        <f>V235-U235</f>
        <v>0</v>
      </c>
    </row>
    <row r="236" spans="1:24" s="43" customFormat="1" ht="18" hidden="1" customHeight="1">
      <c r="A236" s="610"/>
      <c r="B236" s="581"/>
      <c r="C236" s="581"/>
      <c r="D236" s="202" t="str">
        <f>серпень!D236</f>
        <v xml:space="preserve">відхилення </v>
      </c>
      <c r="E236" s="42"/>
      <c r="F236" s="42">
        <f t="shared" ref="F236:K236" si="253">F232-F235</f>
        <v>0</v>
      </c>
      <c r="G236" s="42">
        <f t="shared" si="253"/>
        <v>0</v>
      </c>
      <c r="H236" s="42">
        <f t="shared" si="253"/>
        <v>0</v>
      </c>
      <c r="I236" s="42">
        <f t="shared" si="253"/>
        <v>0</v>
      </c>
      <c r="J236" s="42">
        <f t="shared" si="253"/>
        <v>0</v>
      </c>
      <c r="K236" s="42">
        <f t="shared" si="253"/>
        <v>0</v>
      </c>
      <c r="L236" s="42"/>
      <c r="M236" s="42"/>
      <c r="N236" s="42">
        <f t="shared" ref="N236:S236" si="254">N232-N235</f>
        <v>0</v>
      </c>
      <c r="O236" s="42">
        <f t="shared" si="254"/>
        <v>0</v>
      </c>
      <c r="P236" s="42">
        <f t="shared" si="254"/>
        <v>0</v>
      </c>
      <c r="Q236" s="42">
        <f t="shared" si="254"/>
        <v>0</v>
      </c>
      <c r="R236" s="42">
        <f t="shared" si="254"/>
        <v>0</v>
      </c>
      <c r="S236" s="42">
        <f t="shared" si="254"/>
        <v>0</v>
      </c>
      <c r="T236" s="42"/>
      <c r="U236" s="42"/>
      <c r="V236" s="42"/>
      <c r="W236" s="42"/>
    </row>
    <row r="237" spans="1:24" s="43" customFormat="1" ht="18" hidden="1" customHeight="1">
      <c r="A237" s="610"/>
      <c r="B237" s="581"/>
      <c r="C237" s="581"/>
      <c r="D237" s="202" t="str">
        <f>серпень!D237</f>
        <v>відхилення з наростаючим</v>
      </c>
      <c r="E237" s="42"/>
      <c r="F237" s="42">
        <f>F236</f>
        <v>0</v>
      </c>
      <c r="G237" s="42">
        <f>G236+F237</f>
        <v>0</v>
      </c>
      <c r="H237" s="42">
        <f>H236+G237</f>
        <v>0</v>
      </c>
      <c r="I237" s="42">
        <f>I236+H237</f>
        <v>0</v>
      </c>
      <c r="J237" s="42">
        <f>J236+I237</f>
        <v>0</v>
      </c>
      <c r="K237" s="42">
        <f>K236+J237</f>
        <v>0</v>
      </c>
      <c r="L237" s="42"/>
      <c r="M237" s="42"/>
      <c r="N237" s="42">
        <f>N236+K237</f>
        <v>0</v>
      </c>
      <c r="O237" s="42">
        <f>O236+N237</f>
        <v>0</v>
      </c>
      <c r="P237" s="42">
        <f>P236+O237</f>
        <v>0</v>
      </c>
      <c r="Q237" s="42">
        <f>Q236+P237</f>
        <v>0</v>
      </c>
      <c r="R237" s="42">
        <f>R236+Q237</f>
        <v>0</v>
      </c>
      <c r="S237" s="42">
        <f>S236+R237</f>
        <v>0</v>
      </c>
      <c r="T237" s="42"/>
      <c r="U237" s="42"/>
      <c r="V237" s="42"/>
      <c r="W237" s="42"/>
    </row>
    <row r="238" spans="1:24" s="48" customFormat="1" ht="18" hidden="1" customHeight="1">
      <c r="A238" s="610"/>
      <c r="B238" s="576" t="s">
        <v>56</v>
      </c>
      <c r="C238" s="577"/>
      <c r="D238" s="178" t="str">
        <f>серпень!D238</f>
        <v>факт. нат.п-ки 2023</v>
      </c>
      <c r="E238" s="11"/>
      <c r="F238" s="12"/>
      <c r="G238" s="12"/>
      <c r="H238" s="12"/>
      <c r="I238" s="12"/>
      <c r="J238" s="12"/>
      <c r="K238" s="12"/>
      <c r="L238" s="65">
        <f>SUM(F238:K238)</f>
        <v>0</v>
      </c>
      <c r="M238" s="65">
        <f>L238/6</f>
        <v>0</v>
      </c>
      <c r="N238" s="12"/>
      <c r="O238" s="12"/>
      <c r="P238" s="12"/>
      <c r="Q238" s="12"/>
      <c r="R238" s="12"/>
      <c r="S238" s="12"/>
      <c r="T238" s="65">
        <f>SUM(N238:S238)</f>
        <v>0</v>
      </c>
      <c r="U238" s="66">
        <f>T238+L238</f>
        <v>0</v>
      </c>
      <c r="V238" s="67"/>
      <c r="W238" s="38">
        <f>V238-U238</f>
        <v>0</v>
      </c>
      <c r="X238" s="47"/>
    </row>
    <row r="239" spans="1:24" s="48" customFormat="1" ht="18" hidden="1" customHeight="1">
      <c r="A239" s="610"/>
      <c r="B239" s="576"/>
      <c r="C239" s="577"/>
      <c r="D239" s="178" t="str">
        <f>серпень!D239</f>
        <v>факт. нат.п-ки 2024</v>
      </c>
      <c r="E239" s="11"/>
      <c r="F239" s="12"/>
      <c r="G239" s="12"/>
      <c r="H239" s="12"/>
      <c r="I239" s="12"/>
      <c r="J239" s="12"/>
      <c r="K239" s="12"/>
      <c r="L239" s="65">
        <f>SUM(F239:K239)</f>
        <v>0</v>
      </c>
      <c r="M239" s="65">
        <f>L239/6</f>
        <v>0</v>
      </c>
      <c r="N239" s="11"/>
      <c r="O239" s="11"/>
      <c r="P239" s="11"/>
      <c r="Q239" s="11"/>
      <c r="R239" s="11"/>
      <c r="S239" s="11"/>
      <c r="T239" s="65">
        <f>SUM(N239:S239)</f>
        <v>0</v>
      </c>
      <c r="U239" s="66">
        <f>T239+L239</f>
        <v>0</v>
      </c>
      <c r="V239" s="67"/>
      <c r="W239" s="38">
        <f>V239-U239</f>
        <v>0</v>
      </c>
      <c r="X239" s="47"/>
    </row>
    <row r="240" spans="1:24" s="48" customFormat="1" ht="18" hidden="1" customHeight="1">
      <c r="A240" s="610"/>
      <c r="B240" s="576"/>
      <c r="C240" s="577"/>
      <c r="D240" s="178" t="str">
        <f>серпень!D240</f>
        <v>факт. нат.п-ки 2025</v>
      </c>
      <c r="E240" s="11"/>
      <c r="F240" s="12"/>
      <c r="G240" s="12"/>
      <c r="H240" s="12"/>
      <c r="I240" s="12"/>
      <c r="J240" s="12"/>
      <c r="K240" s="12"/>
      <c r="L240" s="65">
        <f>SUM(F240:K240)</f>
        <v>0</v>
      </c>
      <c r="M240" s="65">
        <f>L240/6</f>
        <v>0</v>
      </c>
      <c r="N240" s="12"/>
      <c r="O240" s="12"/>
      <c r="P240" s="12"/>
      <c r="Q240" s="12"/>
      <c r="R240" s="12"/>
      <c r="S240" s="11"/>
      <c r="T240" s="65">
        <f>SUM(N240:S240)</f>
        <v>0</v>
      </c>
      <c r="U240" s="66">
        <f>T240+L240</f>
        <v>0</v>
      </c>
      <c r="V240" s="11"/>
      <c r="W240" s="38">
        <f>V240-U240</f>
        <v>0</v>
      </c>
      <c r="X240" s="47"/>
    </row>
    <row r="241" spans="1:24" s="51" customFormat="1" ht="18" hidden="1" customHeight="1">
      <c r="A241" s="610"/>
      <c r="B241" s="576"/>
      <c r="C241" s="577"/>
      <c r="D241" s="187" t="str">
        <f>серпень!D241</f>
        <v>тариф, грн.</v>
      </c>
      <c r="E241" s="49"/>
      <c r="F241" s="49">
        <v>1655.08</v>
      </c>
      <c r="G241" s="49">
        <v>1655.08</v>
      </c>
      <c r="H241" s="49">
        <v>1655.08</v>
      </c>
      <c r="I241" s="49">
        <v>1655.08</v>
      </c>
      <c r="J241" s="49">
        <v>1655.08</v>
      </c>
      <c r="K241" s="49">
        <v>1655.08</v>
      </c>
      <c r="L241" s="49" t="e">
        <f>L242/L240*1000</f>
        <v>#DIV/0!</v>
      </c>
      <c r="M241" s="49" t="e">
        <f>M242/M240*1000</f>
        <v>#DIV/0!</v>
      </c>
      <c r="N241" s="49">
        <v>1655.08</v>
      </c>
      <c r="O241" s="49">
        <v>1655.08</v>
      </c>
      <c r="P241" s="49">
        <v>1655.08</v>
      </c>
      <c r="Q241" s="49">
        <v>1655.08</v>
      </c>
      <c r="R241" s="49">
        <v>1655.08</v>
      </c>
      <c r="S241" s="49">
        <v>1655.08</v>
      </c>
      <c r="T241" s="49" t="e">
        <f>T242/T240*1000</f>
        <v>#DIV/0!</v>
      </c>
      <c r="U241" s="49" t="e">
        <f>U242/U240*1000</f>
        <v>#DIV/0!</v>
      </c>
      <c r="V241" s="68" t="e">
        <f>V242/V240*1000</f>
        <v>#DIV/0!</v>
      </c>
      <c r="W241" s="14" t="e">
        <f>W242/W240*1000</f>
        <v>#DIV/0!</v>
      </c>
      <c r="X241" s="59"/>
    </row>
    <row r="242" spans="1:24" s="55" customFormat="1" ht="18" hidden="1" customHeight="1">
      <c r="A242" s="610"/>
      <c r="B242" s="576"/>
      <c r="C242" s="577"/>
      <c r="D242" s="191" t="str">
        <f>серпень!D242</f>
        <v>сума, тис.грн.</v>
      </c>
      <c r="E242" s="52"/>
      <c r="F242" s="52">
        <f t="shared" ref="F242:K242" si="255">F240*F241/1000</f>
        <v>0</v>
      </c>
      <c r="G242" s="52">
        <f t="shared" si="255"/>
        <v>0</v>
      </c>
      <c r="H242" s="52">
        <f t="shared" si="255"/>
        <v>0</v>
      </c>
      <c r="I242" s="52">
        <f t="shared" si="255"/>
        <v>0</v>
      </c>
      <c r="J242" s="52">
        <f t="shared" si="255"/>
        <v>0</v>
      </c>
      <c r="K242" s="52">
        <f t="shared" si="255"/>
        <v>0</v>
      </c>
      <c r="L242" s="69">
        <f>SUM(F242:K242)</f>
        <v>0</v>
      </c>
      <c r="M242" s="69">
        <f>L242/6</f>
        <v>0</v>
      </c>
      <c r="N242" s="52">
        <f t="shared" ref="N242:S242" si="256">N240*N241/1000</f>
        <v>0</v>
      </c>
      <c r="O242" s="52">
        <f t="shared" si="256"/>
        <v>0</v>
      </c>
      <c r="P242" s="52">
        <f t="shared" si="256"/>
        <v>0</v>
      </c>
      <c r="Q242" s="52">
        <f t="shared" si="256"/>
        <v>0</v>
      </c>
      <c r="R242" s="52">
        <f t="shared" si="256"/>
        <v>0</v>
      </c>
      <c r="S242" s="52">
        <f t="shared" si="256"/>
        <v>0</v>
      </c>
      <c r="T242" s="69">
        <f>SUM(N242:S242)</f>
        <v>0</v>
      </c>
      <c r="U242" s="69">
        <f>T242+L242</f>
        <v>0</v>
      </c>
      <c r="V242" s="70">
        <f>V243+V244</f>
        <v>0</v>
      </c>
      <c r="W242" s="53">
        <f>V242-U242</f>
        <v>0</v>
      </c>
      <c r="X242" s="54">
        <f>2726951.723/1000</f>
        <v>2726.9520000000002</v>
      </c>
    </row>
    <row r="243" spans="1:24" s="55" customFormat="1" ht="18" hidden="1" customHeight="1">
      <c r="A243" s="610"/>
      <c r="B243" s="576"/>
      <c r="C243" s="577"/>
      <c r="D243" s="174" t="str">
        <f>серпень!D243</f>
        <v>дотація</v>
      </c>
      <c r="E243" s="56"/>
      <c r="F243" s="52"/>
      <c r="G243" s="52"/>
      <c r="H243" s="52"/>
      <c r="I243" s="52"/>
      <c r="J243" s="52"/>
      <c r="K243" s="52"/>
      <c r="L243" s="69">
        <f>SUM(F243:K243)</f>
        <v>0</v>
      </c>
      <c r="M243" s="69">
        <f>L243/6</f>
        <v>0</v>
      </c>
      <c r="N243" s="52"/>
      <c r="O243" s="52"/>
      <c r="P243" s="52"/>
      <c r="Q243" s="52"/>
      <c r="R243" s="52"/>
      <c r="S243" s="52"/>
      <c r="T243" s="69">
        <f>SUM(N243:S243)</f>
        <v>0</v>
      </c>
      <c r="U243" s="69">
        <f>T243+L243</f>
        <v>0</v>
      </c>
      <c r="V243" s="70">
        <v>0</v>
      </c>
      <c r="W243" s="53">
        <f>V243-U243</f>
        <v>0</v>
      </c>
      <c r="X243" s="58"/>
    </row>
    <row r="244" spans="1:24" s="55" customFormat="1" ht="18" hidden="1" customHeight="1">
      <c r="A244" s="610"/>
      <c r="B244" s="576"/>
      <c r="C244" s="577"/>
      <c r="D244" s="174" t="str">
        <f>серпень!D244</f>
        <v>місцевий (план), тис.грн</v>
      </c>
      <c r="E244" s="56"/>
      <c r="F244" s="52"/>
      <c r="G244" s="52"/>
      <c r="H244" s="52"/>
      <c r="I244" s="52"/>
      <c r="J244" s="52"/>
      <c r="K244" s="52"/>
      <c r="L244" s="69">
        <f>SUM(F244:K244)</f>
        <v>0</v>
      </c>
      <c r="M244" s="69">
        <f>L244/6</f>
        <v>0</v>
      </c>
      <c r="N244" s="52"/>
      <c r="O244" s="52"/>
      <c r="P244" s="52"/>
      <c r="Q244" s="52"/>
      <c r="R244" s="52"/>
      <c r="S244" s="52"/>
      <c r="T244" s="69">
        <f>SUM(N244:S244)</f>
        <v>0</v>
      </c>
      <c r="U244" s="69">
        <f>T244+L244</f>
        <v>0</v>
      </c>
      <c r="V244" s="70"/>
      <c r="W244" s="53">
        <f>V244-U244</f>
        <v>0</v>
      </c>
      <c r="X244" s="58"/>
    </row>
    <row r="245" spans="1:24" s="48" customFormat="1" ht="18" hidden="1" customHeight="1">
      <c r="A245" s="610"/>
      <c r="B245" s="576"/>
      <c r="C245" s="577"/>
      <c r="D245" s="178" t="str">
        <f>серпень!D245</f>
        <v>касові нат.п-ки 2025</v>
      </c>
      <c r="E245" s="11"/>
      <c r="F245" s="11"/>
      <c r="G245" s="11"/>
      <c r="H245" s="11"/>
      <c r="I245" s="11"/>
      <c r="J245" s="11"/>
      <c r="K245" s="11"/>
      <c r="L245" s="65">
        <f>SUM(F245:K245)</f>
        <v>0</v>
      </c>
      <c r="M245" s="65">
        <f>L245/6</f>
        <v>0</v>
      </c>
      <c r="N245" s="11"/>
      <c r="O245" s="11"/>
      <c r="P245" s="11"/>
      <c r="Q245" s="11"/>
      <c r="R245" s="11"/>
      <c r="S245" s="11">
        <f>S240+R240</f>
        <v>0</v>
      </c>
      <c r="T245" s="65">
        <f>SUM(N245:S245)</f>
        <v>0</v>
      </c>
      <c r="U245" s="65">
        <f>T245+L245</f>
        <v>0</v>
      </c>
      <c r="V245" s="11">
        <f>V240</f>
        <v>0</v>
      </c>
      <c r="W245" s="38">
        <f>V245-U245</f>
        <v>0</v>
      </c>
      <c r="X245" s="47">
        <f>U240-U245</f>
        <v>0</v>
      </c>
    </row>
    <row r="246" spans="1:24" s="51" customFormat="1" ht="18" hidden="1" customHeight="1">
      <c r="A246" s="610"/>
      <c r="B246" s="576"/>
      <c r="C246" s="577"/>
      <c r="D246" s="187" t="str">
        <f>серпень!D246</f>
        <v>тариф, грн.</v>
      </c>
      <c r="E246" s="49" t="e">
        <f>E247/E245*1000</f>
        <v>#DIV/0!</v>
      </c>
      <c r="F246" s="49">
        <v>1655.08</v>
      </c>
      <c r="G246" s="49">
        <v>1655.08</v>
      </c>
      <c r="H246" s="49">
        <v>1655.08</v>
      </c>
      <c r="I246" s="49">
        <v>1655.08</v>
      </c>
      <c r="J246" s="49">
        <v>1655.08</v>
      </c>
      <c r="K246" s="49">
        <v>1655.08</v>
      </c>
      <c r="L246" s="49" t="e">
        <f>L247/L245*1000</f>
        <v>#DIV/0!</v>
      </c>
      <c r="M246" s="49" t="e">
        <f>M247/M245*1000</f>
        <v>#DIV/0!</v>
      </c>
      <c r="N246" s="49">
        <v>1655.08</v>
      </c>
      <c r="O246" s="49">
        <v>1655.08</v>
      </c>
      <c r="P246" s="49">
        <v>1655.08</v>
      </c>
      <c r="Q246" s="49">
        <v>1655.08</v>
      </c>
      <c r="R246" s="49">
        <v>1655.08</v>
      </c>
      <c r="S246" s="49">
        <v>1655.08</v>
      </c>
      <c r="T246" s="49" t="e">
        <f>T247/T245*1000</f>
        <v>#DIV/0!</v>
      </c>
      <c r="U246" s="49" t="e">
        <f>U247/U245*1000</f>
        <v>#DIV/0!</v>
      </c>
      <c r="V246" s="68" t="e">
        <f>V247/V245*1000</f>
        <v>#DIV/0!</v>
      </c>
      <c r="W246" s="14" t="e">
        <f>W247/W245*1000</f>
        <v>#DIV/0!</v>
      </c>
      <c r="X246" s="59"/>
    </row>
    <row r="247" spans="1:24" s="63" customFormat="1" ht="18" hidden="1" customHeight="1">
      <c r="A247" s="610"/>
      <c r="B247" s="576"/>
      <c r="C247" s="577"/>
      <c r="D247" s="198" t="str">
        <f>серпень!D247</f>
        <v>касові видатки, тис.грн.</v>
      </c>
      <c r="E247" s="71"/>
      <c r="F247" s="61">
        <f t="shared" ref="F247:K247" si="257">F245*F246/1000</f>
        <v>0</v>
      </c>
      <c r="G247" s="61">
        <f t="shared" si="257"/>
        <v>0</v>
      </c>
      <c r="H247" s="61">
        <f t="shared" si="257"/>
        <v>0</v>
      </c>
      <c r="I247" s="61">
        <f t="shared" si="257"/>
        <v>0</v>
      </c>
      <c r="J247" s="61">
        <f t="shared" si="257"/>
        <v>0</v>
      </c>
      <c r="K247" s="61">
        <f t="shared" si="257"/>
        <v>0</v>
      </c>
      <c r="L247" s="61">
        <f>SUM(F247:K247)</f>
        <v>0</v>
      </c>
      <c r="M247" s="61">
        <f>L247/6</f>
        <v>0</v>
      </c>
      <c r="N247" s="61">
        <f t="shared" ref="N247:S247" si="258">N245*N246/1000</f>
        <v>0</v>
      </c>
      <c r="O247" s="61">
        <f t="shared" si="258"/>
        <v>0</v>
      </c>
      <c r="P247" s="61">
        <f t="shared" si="258"/>
        <v>0</v>
      </c>
      <c r="Q247" s="61">
        <f t="shared" si="258"/>
        <v>0</v>
      </c>
      <c r="R247" s="61">
        <f t="shared" si="258"/>
        <v>0</v>
      </c>
      <c r="S247" s="61">
        <f t="shared" si="258"/>
        <v>0</v>
      </c>
      <c r="T247" s="61">
        <f>SUM(N247:S247)</f>
        <v>0</v>
      </c>
      <c r="U247" s="61">
        <f>T247+L247</f>
        <v>0</v>
      </c>
      <c r="V247" s="61">
        <f>V242</f>
        <v>0</v>
      </c>
      <c r="W247" s="72">
        <f>V247-U247</f>
        <v>0</v>
      </c>
      <c r="X247" s="63">
        <f>U242-U247</f>
        <v>0</v>
      </c>
    </row>
    <row r="248" spans="1:24" s="63" customFormat="1" ht="18" hidden="1" customHeight="1">
      <c r="A248" s="610"/>
      <c r="B248" s="576"/>
      <c r="C248" s="577"/>
      <c r="D248" s="201" t="str">
        <f>серпень!D248</f>
        <v>дотація</v>
      </c>
      <c r="E248" s="71"/>
      <c r="F248" s="61"/>
      <c r="G248" s="61"/>
      <c r="H248" s="61"/>
      <c r="I248" s="61"/>
      <c r="J248" s="61"/>
      <c r="K248" s="61"/>
      <c r="L248" s="61">
        <f>SUM(F248:K248)</f>
        <v>0</v>
      </c>
      <c r="M248" s="61">
        <f>L248/6</f>
        <v>0</v>
      </c>
      <c r="N248" s="61"/>
      <c r="O248" s="61"/>
      <c r="P248" s="61"/>
      <c r="Q248" s="61"/>
      <c r="R248" s="61"/>
      <c r="S248" s="61"/>
      <c r="T248" s="61">
        <f>SUM(N248:S248)</f>
        <v>0</v>
      </c>
      <c r="U248" s="61">
        <f>T248+L248</f>
        <v>0</v>
      </c>
      <c r="V248" s="61">
        <f>V243</f>
        <v>0</v>
      </c>
      <c r="W248" s="72">
        <f>V248-U248</f>
        <v>0</v>
      </c>
      <c r="X248" s="63">
        <f>U243-U248</f>
        <v>0</v>
      </c>
    </row>
    <row r="249" spans="1:24" s="63" customFormat="1" ht="18" hidden="1" customHeight="1">
      <c r="A249" s="610"/>
      <c r="B249" s="576"/>
      <c r="C249" s="577"/>
      <c r="D249" s="201" t="str">
        <f>серпень!D249</f>
        <v xml:space="preserve">місцевий </v>
      </c>
      <c r="E249" s="71"/>
      <c r="F249" s="61">
        <f t="shared" ref="F249:K249" si="259">F247-F248</f>
        <v>0</v>
      </c>
      <c r="G249" s="61">
        <f t="shared" si="259"/>
        <v>0</v>
      </c>
      <c r="H249" s="61">
        <f t="shared" si="259"/>
        <v>0</v>
      </c>
      <c r="I249" s="61">
        <f t="shared" si="259"/>
        <v>0</v>
      </c>
      <c r="J249" s="61">
        <f t="shared" si="259"/>
        <v>0</v>
      </c>
      <c r="K249" s="61">
        <f t="shared" si="259"/>
        <v>0</v>
      </c>
      <c r="L249" s="61">
        <f>SUM(F249:K249)</f>
        <v>0</v>
      </c>
      <c r="M249" s="61">
        <f>L249/6</f>
        <v>0</v>
      </c>
      <c r="N249" s="61">
        <f t="shared" ref="N249:S249" si="260">N247-N248</f>
        <v>0</v>
      </c>
      <c r="O249" s="61">
        <f t="shared" si="260"/>
        <v>0</v>
      </c>
      <c r="P249" s="61">
        <f t="shared" si="260"/>
        <v>0</v>
      </c>
      <c r="Q249" s="61">
        <f t="shared" si="260"/>
        <v>0</v>
      </c>
      <c r="R249" s="61">
        <f t="shared" si="260"/>
        <v>0</v>
      </c>
      <c r="S249" s="61">
        <f t="shared" si="260"/>
        <v>0</v>
      </c>
      <c r="T249" s="61">
        <f>SUM(N249:S249)</f>
        <v>0</v>
      </c>
      <c r="U249" s="61">
        <f>T249+L249</f>
        <v>0</v>
      </c>
      <c r="V249" s="61">
        <f>V244</f>
        <v>0</v>
      </c>
      <c r="W249" s="72">
        <f>V249-U249</f>
        <v>0</v>
      </c>
      <c r="X249" s="63">
        <f>U244-U249</f>
        <v>0</v>
      </c>
    </row>
    <row r="250" spans="1:24" s="43" customFormat="1" ht="18" hidden="1" customHeight="1">
      <c r="A250" s="610"/>
      <c r="B250" s="576"/>
      <c r="C250" s="577"/>
      <c r="D250" s="202" t="str">
        <f>серпень!D250</f>
        <v>план</v>
      </c>
      <c r="E250" s="42"/>
      <c r="F250" s="42">
        <f t="shared" ref="F250:K250" si="261">F244</f>
        <v>0</v>
      </c>
      <c r="G250" s="42">
        <f t="shared" si="261"/>
        <v>0</v>
      </c>
      <c r="H250" s="42">
        <f t="shared" si="261"/>
        <v>0</v>
      </c>
      <c r="I250" s="42">
        <f t="shared" si="261"/>
        <v>0</v>
      </c>
      <c r="J250" s="42">
        <f t="shared" si="261"/>
        <v>0</v>
      </c>
      <c r="K250" s="42">
        <f t="shared" si="261"/>
        <v>0</v>
      </c>
      <c r="L250" s="42">
        <f>SUM(F250:K250)</f>
        <v>0</v>
      </c>
      <c r="M250" s="42">
        <f>L250/6</f>
        <v>0</v>
      </c>
      <c r="N250" s="42">
        <f t="shared" ref="N250:S250" si="262">N244+N243</f>
        <v>0</v>
      </c>
      <c r="O250" s="42">
        <f t="shared" si="262"/>
        <v>0</v>
      </c>
      <c r="P250" s="42">
        <f t="shared" si="262"/>
        <v>0</v>
      </c>
      <c r="Q250" s="42">
        <f t="shared" si="262"/>
        <v>0</v>
      </c>
      <c r="R250" s="42">
        <f t="shared" si="262"/>
        <v>0</v>
      </c>
      <c r="S250" s="42">
        <f t="shared" si="262"/>
        <v>0</v>
      </c>
      <c r="T250" s="42">
        <f>SUM(N250:S250)</f>
        <v>0</v>
      </c>
      <c r="U250" s="42">
        <f>T250+L250</f>
        <v>0</v>
      </c>
      <c r="V250" s="42">
        <f>V247</f>
        <v>0</v>
      </c>
      <c r="W250" s="42">
        <f>V250-U250</f>
        <v>0</v>
      </c>
    </row>
    <row r="251" spans="1:24" s="43" customFormat="1" ht="18" hidden="1" customHeight="1">
      <c r="A251" s="610"/>
      <c r="B251" s="576"/>
      <c r="C251" s="577"/>
      <c r="D251" s="202" t="str">
        <f>серпень!D251</f>
        <v xml:space="preserve">відхилення </v>
      </c>
      <c r="E251" s="42"/>
      <c r="F251" s="42">
        <f t="shared" ref="F251:K251" si="263">F247-F250</f>
        <v>0</v>
      </c>
      <c r="G251" s="42">
        <f t="shared" si="263"/>
        <v>0</v>
      </c>
      <c r="H251" s="42">
        <f t="shared" si="263"/>
        <v>0</v>
      </c>
      <c r="I251" s="42">
        <f t="shared" si="263"/>
        <v>0</v>
      </c>
      <c r="J251" s="42">
        <f t="shared" si="263"/>
        <v>0</v>
      </c>
      <c r="K251" s="42">
        <f t="shared" si="263"/>
        <v>0</v>
      </c>
      <c r="L251" s="42"/>
      <c r="M251" s="42"/>
      <c r="N251" s="42">
        <f t="shared" ref="N251:S251" si="264">N247-N250</f>
        <v>0</v>
      </c>
      <c r="O251" s="42">
        <f t="shared" si="264"/>
        <v>0</v>
      </c>
      <c r="P251" s="42">
        <f t="shared" si="264"/>
        <v>0</v>
      </c>
      <c r="Q251" s="42">
        <f t="shared" si="264"/>
        <v>0</v>
      </c>
      <c r="R251" s="42">
        <f t="shared" si="264"/>
        <v>0</v>
      </c>
      <c r="S251" s="42">
        <f t="shared" si="264"/>
        <v>0</v>
      </c>
      <c r="T251" s="42"/>
      <c r="U251" s="42"/>
      <c r="V251" s="42"/>
      <c r="W251" s="42"/>
    </row>
    <row r="252" spans="1:24" s="43" customFormat="1" ht="18" hidden="1" customHeight="1">
      <c r="A252" s="611"/>
      <c r="B252" s="578"/>
      <c r="C252" s="579"/>
      <c r="D252" s="202" t="str">
        <f>серпень!D252</f>
        <v>відхилення з наростаючим</v>
      </c>
      <c r="E252" s="42"/>
      <c r="F252" s="42">
        <f>F251</f>
        <v>0</v>
      </c>
      <c r="G252" s="42">
        <f>G251+F252</f>
        <v>0</v>
      </c>
      <c r="H252" s="42">
        <f>H251+G252</f>
        <v>0</v>
      </c>
      <c r="I252" s="42">
        <f>I251+H252</f>
        <v>0</v>
      </c>
      <c r="J252" s="42">
        <f>J251+I252</f>
        <v>0</v>
      </c>
      <c r="K252" s="42">
        <f>K251+J252</f>
        <v>0</v>
      </c>
      <c r="L252" s="42"/>
      <c r="M252" s="42"/>
      <c r="N252" s="42">
        <f>N251+K252</f>
        <v>0</v>
      </c>
      <c r="O252" s="42">
        <f>O251+N252</f>
        <v>0</v>
      </c>
      <c r="P252" s="42">
        <f>P251+O252</f>
        <v>0</v>
      </c>
      <c r="Q252" s="42">
        <f>Q251+P252</f>
        <v>0</v>
      </c>
      <c r="R252" s="42">
        <f>R251+Q252</f>
        <v>0</v>
      </c>
      <c r="S252" s="42">
        <f>S251+R252</f>
        <v>0</v>
      </c>
      <c r="T252" s="42"/>
      <c r="U252" s="42"/>
      <c r="V252" s="42"/>
      <c r="W252" s="42"/>
    </row>
    <row r="253" spans="1:24" s="186" customFormat="1" ht="18" hidden="1" customHeight="1">
      <c r="A253" s="609" t="s">
        <v>58</v>
      </c>
      <c r="B253" s="659" t="s">
        <v>62</v>
      </c>
      <c r="C253" s="660"/>
      <c r="D253" s="178" t="str">
        <f>серпень!D253</f>
        <v>факт. нат.п-ки 2023</v>
      </c>
      <c r="E253" s="179"/>
      <c r="F253" s="180">
        <f t="shared" ref="F253:K255" si="265">F270+F300</f>
        <v>0</v>
      </c>
      <c r="G253" s="180">
        <f t="shared" si="265"/>
        <v>0</v>
      </c>
      <c r="H253" s="180">
        <f t="shared" si="265"/>
        <v>0</v>
      </c>
      <c r="I253" s="180">
        <f t="shared" si="265"/>
        <v>0</v>
      </c>
      <c r="J253" s="180">
        <f t="shared" si="265"/>
        <v>0</v>
      </c>
      <c r="K253" s="180">
        <f t="shared" si="265"/>
        <v>0</v>
      </c>
      <c r="L253" s="207">
        <f>SUM(F253:K253)</f>
        <v>0</v>
      </c>
      <c r="M253" s="207">
        <f>L253/6</f>
        <v>0</v>
      </c>
      <c r="N253" s="180">
        <f t="shared" ref="N253:S255" si="266">N270+N300</f>
        <v>0</v>
      </c>
      <c r="O253" s="180">
        <f t="shared" si="266"/>
        <v>0</v>
      </c>
      <c r="P253" s="180">
        <f t="shared" si="266"/>
        <v>0</v>
      </c>
      <c r="Q253" s="180">
        <f t="shared" si="266"/>
        <v>0</v>
      </c>
      <c r="R253" s="180">
        <f t="shared" si="266"/>
        <v>0</v>
      </c>
      <c r="S253" s="180">
        <f t="shared" si="266"/>
        <v>0</v>
      </c>
      <c r="T253" s="207">
        <f>SUM(N253:S253)</f>
        <v>0</v>
      </c>
      <c r="U253" s="222">
        <f>T253+L253</f>
        <v>0</v>
      </c>
      <c r="V253" s="183">
        <f>V270+V300</f>
        <v>0</v>
      </c>
      <c r="W253" s="184"/>
      <c r="X253" s="185"/>
    </row>
    <row r="254" spans="1:24" s="186" customFormat="1" ht="18" hidden="1" customHeight="1">
      <c r="A254" s="610"/>
      <c r="B254" s="661"/>
      <c r="C254" s="662"/>
      <c r="D254" s="178" t="str">
        <f>серпень!D254</f>
        <v>факт. нат.п-ки 2024</v>
      </c>
      <c r="E254" s="179"/>
      <c r="F254" s="180">
        <f t="shared" si="265"/>
        <v>0</v>
      </c>
      <c r="G254" s="180">
        <f t="shared" si="265"/>
        <v>0</v>
      </c>
      <c r="H254" s="180">
        <f t="shared" si="265"/>
        <v>0</v>
      </c>
      <c r="I254" s="180">
        <f t="shared" si="265"/>
        <v>0</v>
      </c>
      <c r="J254" s="180">
        <f t="shared" si="265"/>
        <v>0</v>
      </c>
      <c r="K254" s="180">
        <f t="shared" si="265"/>
        <v>0</v>
      </c>
      <c r="L254" s="207">
        <f>SUM(F254:K254)</f>
        <v>0</v>
      </c>
      <c r="M254" s="207">
        <f>L254/6</f>
        <v>0</v>
      </c>
      <c r="N254" s="179">
        <f t="shared" si="266"/>
        <v>0</v>
      </c>
      <c r="O254" s="179">
        <f t="shared" si="266"/>
        <v>0</v>
      </c>
      <c r="P254" s="179">
        <f t="shared" si="266"/>
        <v>0</v>
      </c>
      <c r="Q254" s="179">
        <f t="shared" si="266"/>
        <v>0</v>
      </c>
      <c r="R254" s="179">
        <f t="shared" si="266"/>
        <v>0</v>
      </c>
      <c r="S254" s="179">
        <f t="shared" si="266"/>
        <v>0</v>
      </c>
      <c r="T254" s="207">
        <f>SUM(N254:S254)</f>
        <v>0</v>
      </c>
      <c r="U254" s="222">
        <f>T254+L254</f>
        <v>0</v>
      </c>
      <c r="V254" s="183">
        <f>V271+V301</f>
        <v>0</v>
      </c>
      <c r="W254" s="184"/>
      <c r="X254" s="185"/>
    </row>
    <row r="255" spans="1:24" s="186" customFormat="1" ht="18" hidden="1" customHeight="1">
      <c r="A255" s="610"/>
      <c r="B255" s="661"/>
      <c r="C255" s="662"/>
      <c r="D255" s="178" t="str">
        <f>серпень!D255</f>
        <v>факт. нат.п-ки 2025</v>
      </c>
      <c r="E255" s="179"/>
      <c r="F255" s="180">
        <f>F272+F302</f>
        <v>0</v>
      </c>
      <c r="G255" s="180">
        <f t="shared" si="265"/>
        <v>0</v>
      </c>
      <c r="H255" s="180">
        <f t="shared" si="265"/>
        <v>0</v>
      </c>
      <c r="I255" s="180">
        <f t="shared" si="265"/>
        <v>0</v>
      </c>
      <c r="J255" s="180">
        <f t="shared" si="265"/>
        <v>0</v>
      </c>
      <c r="K255" s="180">
        <f t="shared" si="265"/>
        <v>0</v>
      </c>
      <c r="L255" s="207">
        <f>SUM(F255:K255)</f>
        <v>0</v>
      </c>
      <c r="M255" s="207">
        <f>L255/6</f>
        <v>0</v>
      </c>
      <c r="N255" s="180">
        <f>N272+N302</f>
        <v>0</v>
      </c>
      <c r="O255" s="180">
        <f t="shared" si="266"/>
        <v>0</v>
      </c>
      <c r="P255" s="180">
        <f t="shared" si="266"/>
        <v>0</v>
      </c>
      <c r="Q255" s="180">
        <f t="shared" si="266"/>
        <v>0</v>
      </c>
      <c r="R255" s="180">
        <f t="shared" si="266"/>
        <v>0</v>
      </c>
      <c r="S255" s="180">
        <f t="shared" si="266"/>
        <v>0</v>
      </c>
      <c r="T255" s="207">
        <f>SUM(N255:S255)</f>
        <v>0</v>
      </c>
      <c r="U255" s="222">
        <f>T255+L255</f>
        <v>0</v>
      </c>
      <c r="V255" s="183">
        <f>V272+V287+V302+V317</f>
        <v>0</v>
      </c>
      <c r="W255" s="184">
        <f>V255-U255</f>
        <v>0</v>
      </c>
      <c r="X255" s="185"/>
    </row>
    <row r="256" spans="1:24" s="190" customFormat="1" ht="18" hidden="1" customHeight="1">
      <c r="A256" s="610"/>
      <c r="B256" s="661"/>
      <c r="C256" s="662"/>
      <c r="D256" s="187" t="str">
        <f>серпень!D256</f>
        <v>тариф, грн.</v>
      </c>
      <c r="E256" s="188"/>
      <c r="F256" s="188" t="e">
        <f>F257/F255*1000</f>
        <v>#DIV/0!</v>
      </c>
      <c r="G256" s="188" t="e">
        <f>G257/G255*1000</f>
        <v>#DIV/0!</v>
      </c>
      <c r="H256" s="188" t="e">
        <f>H257/H255*1000</f>
        <v>#DIV/0!</v>
      </c>
      <c r="I256" s="188" t="e">
        <f>I257/I255*1000</f>
        <v>#DIV/0!</v>
      </c>
      <c r="J256" s="188" t="e">
        <f>J257/J255*1000</f>
        <v>#DIV/0!</v>
      </c>
      <c r="K256" s="188" t="e">
        <f t="shared" ref="K256:S256" si="267">K257/K255*1000</f>
        <v>#DIV/0!</v>
      </c>
      <c r="L256" s="188" t="e">
        <f t="shared" si="267"/>
        <v>#DIV/0!</v>
      </c>
      <c r="M256" s="188" t="e">
        <f t="shared" si="267"/>
        <v>#DIV/0!</v>
      </c>
      <c r="N256" s="188" t="e">
        <f t="shared" si="267"/>
        <v>#DIV/0!</v>
      </c>
      <c r="O256" s="188" t="e">
        <f t="shared" si="267"/>
        <v>#DIV/0!</v>
      </c>
      <c r="P256" s="188" t="e">
        <f t="shared" si="267"/>
        <v>#DIV/0!</v>
      </c>
      <c r="Q256" s="188" t="e">
        <f t="shared" si="267"/>
        <v>#DIV/0!</v>
      </c>
      <c r="R256" s="188" t="e">
        <f t="shared" si="267"/>
        <v>#DIV/0!</v>
      </c>
      <c r="S256" s="188" t="e">
        <f t="shared" si="267"/>
        <v>#DIV/0!</v>
      </c>
      <c r="T256" s="188" t="e">
        <f>T257/T255*1000</f>
        <v>#DIV/0!</v>
      </c>
      <c r="U256" s="188" t="e">
        <f>U257/U255*1000</f>
        <v>#DIV/0!</v>
      </c>
      <c r="V256" s="188" t="e">
        <f>V257/V255*1000</f>
        <v>#DIV/0!</v>
      </c>
      <c r="W256" s="189" t="e">
        <f>W257/W255*1000</f>
        <v>#DIV/0!</v>
      </c>
      <c r="X256" s="225"/>
    </row>
    <row r="257" spans="1:28" s="228" customFormat="1" ht="18" hidden="1" customHeight="1">
      <c r="A257" s="610"/>
      <c r="B257" s="661"/>
      <c r="C257" s="662"/>
      <c r="D257" s="191" t="str">
        <f>серпень!D257</f>
        <v>сума, тис.грн.</v>
      </c>
      <c r="E257" s="192"/>
      <c r="F257" s="192">
        <f>F274+F304</f>
        <v>0</v>
      </c>
      <c r="G257" s="192">
        <f t="shared" ref="G257:K257" si="268">G274+G304</f>
        <v>0</v>
      </c>
      <c r="H257" s="192">
        <f t="shared" si="268"/>
        <v>0</v>
      </c>
      <c r="I257" s="192">
        <f t="shared" si="268"/>
        <v>0</v>
      </c>
      <c r="J257" s="192">
        <f t="shared" si="268"/>
        <v>0</v>
      </c>
      <c r="K257" s="192">
        <f t="shared" si="268"/>
        <v>0</v>
      </c>
      <c r="L257" s="192">
        <f t="shared" ref="L257:L262" si="269">SUM(F257:K257)</f>
        <v>0</v>
      </c>
      <c r="M257" s="192">
        <f t="shared" ref="M257:M262" si="270">L257/6</f>
        <v>0</v>
      </c>
      <c r="N257" s="192">
        <f>N274+N304</f>
        <v>0</v>
      </c>
      <c r="O257" s="192">
        <f t="shared" ref="O257:S257" si="271">O274+O304</f>
        <v>0</v>
      </c>
      <c r="P257" s="192">
        <f t="shared" si="271"/>
        <v>0</v>
      </c>
      <c r="Q257" s="192">
        <f t="shared" si="271"/>
        <v>0</v>
      </c>
      <c r="R257" s="192">
        <f t="shared" si="271"/>
        <v>0</v>
      </c>
      <c r="S257" s="192">
        <f t="shared" si="271"/>
        <v>0</v>
      </c>
      <c r="T257" s="192">
        <f t="shared" ref="T257:T262" si="272">SUM(N257:S257)</f>
        <v>0</v>
      </c>
      <c r="U257" s="192">
        <f t="shared" ref="U257:U262" si="273">T257+L257</f>
        <v>0</v>
      </c>
      <c r="V257" s="193">
        <f>V274+V289+V304+V319</f>
        <v>0</v>
      </c>
      <c r="W257" s="193">
        <f t="shared" ref="W257:W262" si="274">V257-U257</f>
        <v>0</v>
      </c>
      <c r="X257" s="209"/>
      <c r="Y257" s="209"/>
      <c r="Z257" s="209"/>
      <c r="AA257" s="209"/>
      <c r="AB257" s="209"/>
    </row>
    <row r="258" spans="1:28" s="228" customFormat="1" ht="18" hidden="1" customHeight="1">
      <c r="A258" s="610"/>
      <c r="B258" s="661"/>
      <c r="C258" s="662"/>
      <c r="D258" s="174" t="str">
        <f>серпень!D258</f>
        <v>абоненська плата, тис.грн.</v>
      </c>
      <c r="E258" s="192"/>
      <c r="F258" s="192">
        <f>F289+F319</f>
        <v>0</v>
      </c>
      <c r="G258" s="192">
        <f t="shared" ref="G258:K258" si="275">G289+G319</f>
        <v>0</v>
      </c>
      <c r="H258" s="192">
        <f t="shared" si="275"/>
        <v>0</v>
      </c>
      <c r="I258" s="192">
        <f t="shared" si="275"/>
        <v>0</v>
      </c>
      <c r="J258" s="192">
        <f t="shared" si="275"/>
        <v>0</v>
      </c>
      <c r="K258" s="192">
        <f t="shared" si="275"/>
        <v>0</v>
      </c>
      <c r="L258" s="192">
        <f t="shared" si="269"/>
        <v>0</v>
      </c>
      <c r="M258" s="192">
        <f t="shared" si="270"/>
        <v>0</v>
      </c>
      <c r="N258" s="192">
        <f>N289+N319</f>
        <v>0</v>
      </c>
      <c r="O258" s="192">
        <f t="shared" ref="O258:S258" si="276">O289+O319</f>
        <v>0</v>
      </c>
      <c r="P258" s="192">
        <f t="shared" si="276"/>
        <v>0</v>
      </c>
      <c r="Q258" s="192">
        <f t="shared" si="276"/>
        <v>0</v>
      </c>
      <c r="R258" s="192">
        <f t="shared" si="276"/>
        <v>0</v>
      </c>
      <c r="S258" s="192">
        <f t="shared" si="276"/>
        <v>0</v>
      </c>
      <c r="T258" s="192">
        <f t="shared" si="272"/>
        <v>0</v>
      </c>
      <c r="U258" s="192">
        <f t="shared" si="273"/>
        <v>0</v>
      </c>
      <c r="V258" s="193">
        <f>V289+V319</f>
        <v>0</v>
      </c>
      <c r="W258" s="193">
        <f t="shared" si="274"/>
        <v>0</v>
      </c>
      <c r="X258" s="209"/>
      <c r="Y258" s="209"/>
      <c r="Z258" s="209"/>
      <c r="AA258" s="209"/>
      <c r="AB258" s="209"/>
    </row>
    <row r="259" spans="1:28" s="228" customFormat="1" ht="18" hidden="1" customHeight="1">
      <c r="A259" s="610"/>
      <c r="B259" s="661"/>
      <c r="C259" s="662"/>
      <c r="D259" s="174" t="str">
        <f>серпень!D259</f>
        <v>разом сума тис. грн+абонплата</v>
      </c>
      <c r="E259" s="192"/>
      <c r="F259" s="192">
        <f>F257+F258</f>
        <v>0</v>
      </c>
      <c r="G259" s="192">
        <f t="shared" ref="G259:K259" si="277">G257+G258</f>
        <v>0</v>
      </c>
      <c r="H259" s="192">
        <f t="shared" si="277"/>
        <v>0</v>
      </c>
      <c r="I259" s="192">
        <f t="shared" si="277"/>
        <v>0</v>
      </c>
      <c r="J259" s="192">
        <f t="shared" si="277"/>
        <v>0</v>
      </c>
      <c r="K259" s="192">
        <f t="shared" si="277"/>
        <v>0</v>
      </c>
      <c r="L259" s="192">
        <f t="shared" si="269"/>
        <v>0</v>
      </c>
      <c r="M259" s="192">
        <f t="shared" si="270"/>
        <v>0</v>
      </c>
      <c r="N259" s="192">
        <f>N257+N258</f>
        <v>0</v>
      </c>
      <c r="O259" s="192">
        <f t="shared" ref="O259:S259" si="278">O257+O258</f>
        <v>0</v>
      </c>
      <c r="P259" s="192">
        <f t="shared" si="278"/>
        <v>0</v>
      </c>
      <c r="Q259" s="192">
        <f t="shared" si="278"/>
        <v>0</v>
      </c>
      <c r="R259" s="192">
        <f t="shared" si="278"/>
        <v>0</v>
      </c>
      <c r="S259" s="192">
        <f t="shared" si="278"/>
        <v>0</v>
      </c>
      <c r="T259" s="192">
        <f t="shared" si="272"/>
        <v>0</v>
      </c>
      <c r="U259" s="192">
        <f t="shared" si="273"/>
        <v>0</v>
      </c>
      <c r="V259" s="193">
        <f>V290+V320</f>
        <v>0</v>
      </c>
      <c r="W259" s="193">
        <f t="shared" si="274"/>
        <v>0</v>
      </c>
      <c r="X259" s="209"/>
      <c r="Y259" s="209"/>
      <c r="Z259" s="209"/>
      <c r="AA259" s="209"/>
      <c r="AB259" s="209"/>
    </row>
    <row r="260" spans="1:28" s="228" customFormat="1" ht="18" hidden="1" customHeight="1">
      <c r="A260" s="610"/>
      <c r="B260" s="661"/>
      <c r="C260" s="662"/>
      <c r="D260" s="174" t="str">
        <f>серпень!D260</f>
        <v>дотація</v>
      </c>
      <c r="E260" s="210"/>
      <c r="F260" s="192">
        <f t="shared" ref="F260:K261" si="279">F275+F290+F305+F320</f>
        <v>0</v>
      </c>
      <c r="G260" s="192">
        <f t="shared" si="279"/>
        <v>0</v>
      </c>
      <c r="H260" s="192">
        <f t="shared" si="279"/>
        <v>0</v>
      </c>
      <c r="I260" s="192">
        <f t="shared" si="279"/>
        <v>0</v>
      </c>
      <c r="J260" s="192">
        <f t="shared" si="279"/>
        <v>0</v>
      </c>
      <c r="K260" s="192">
        <f t="shared" si="279"/>
        <v>0</v>
      </c>
      <c r="L260" s="192">
        <f t="shared" si="269"/>
        <v>0</v>
      </c>
      <c r="M260" s="192">
        <f t="shared" si="270"/>
        <v>0</v>
      </c>
      <c r="N260" s="192">
        <f t="shared" ref="N260:S262" si="280">N275+N290+N305+N320</f>
        <v>0</v>
      </c>
      <c r="O260" s="192">
        <f t="shared" si="280"/>
        <v>0</v>
      </c>
      <c r="P260" s="192">
        <f t="shared" si="280"/>
        <v>0</v>
      </c>
      <c r="Q260" s="192">
        <f t="shared" si="280"/>
        <v>0</v>
      </c>
      <c r="R260" s="192">
        <f t="shared" si="280"/>
        <v>0</v>
      </c>
      <c r="S260" s="192">
        <f t="shared" si="280"/>
        <v>0</v>
      </c>
      <c r="T260" s="192">
        <f t="shared" si="272"/>
        <v>0</v>
      </c>
      <c r="U260" s="192">
        <f t="shared" si="273"/>
        <v>0</v>
      </c>
      <c r="V260" s="193">
        <f t="shared" ref="V260:V262" si="281">V275+V290+V305+V320</f>
        <v>0</v>
      </c>
      <c r="W260" s="211">
        <f t="shared" si="274"/>
        <v>0</v>
      </c>
      <c r="X260" s="209"/>
      <c r="Y260" s="209"/>
      <c r="Z260" s="209"/>
      <c r="AA260" s="209"/>
      <c r="AB260" s="209"/>
    </row>
    <row r="261" spans="1:28" s="228" customFormat="1" ht="18" hidden="1" customHeight="1">
      <c r="A261" s="610"/>
      <c r="B261" s="661"/>
      <c r="C261" s="662"/>
      <c r="D261" s="174" t="str">
        <f>серпень!D261</f>
        <v>місцевий (план), тис.грн</v>
      </c>
      <c r="E261" s="210"/>
      <c r="F261" s="192">
        <f t="shared" si="279"/>
        <v>0</v>
      </c>
      <c r="G261" s="192">
        <f t="shared" si="279"/>
        <v>0</v>
      </c>
      <c r="H261" s="192">
        <f t="shared" si="279"/>
        <v>0</v>
      </c>
      <c r="I261" s="192">
        <f t="shared" si="279"/>
        <v>0</v>
      </c>
      <c r="J261" s="192">
        <f t="shared" si="279"/>
        <v>0</v>
      </c>
      <c r="K261" s="192">
        <f t="shared" si="279"/>
        <v>0</v>
      </c>
      <c r="L261" s="192">
        <f t="shared" si="269"/>
        <v>0</v>
      </c>
      <c r="M261" s="192">
        <f t="shared" si="270"/>
        <v>0</v>
      </c>
      <c r="N261" s="192">
        <f t="shared" si="280"/>
        <v>0</v>
      </c>
      <c r="O261" s="192">
        <f t="shared" si="280"/>
        <v>0</v>
      </c>
      <c r="P261" s="192">
        <f t="shared" si="280"/>
        <v>0</v>
      </c>
      <c r="Q261" s="192">
        <f t="shared" si="280"/>
        <v>0</v>
      </c>
      <c r="R261" s="192">
        <f t="shared" si="280"/>
        <v>0</v>
      </c>
      <c r="S261" s="192">
        <f t="shared" si="280"/>
        <v>0</v>
      </c>
      <c r="T261" s="192">
        <f t="shared" si="272"/>
        <v>0</v>
      </c>
      <c r="U261" s="192">
        <f t="shared" si="273"/>
        <v>0</v>
      </c>
      <c r="V261" s="193">
        <f t="shared" si="281"/>
        <v>0</v>
      </c>
      <c r="W261" s="193">
        <f t="shared" si="274"/>
        <v>0</v>
      </c>
      <c r="X261" s="209"/>
      <c r="Y261" s="209"/>
      <c r="Z261" s="209"/>
      <c r="AA261" s="209"/>
      <c r="AB261" s="209"/>
    </row>
    <row r="262" spans="1:28" s="186" customFormat="1" ht="18" hidden="1" customHeight="1">
      <c r="A262" s="610"/>
      <c r="B262" s="661"/>
      <c r="C262" s="662"/>
      <c r="D262" s="178" t="str">
        <f>серпень!D262</f>
        <v>касові нат.п-ки 2025</v>
      </c>
      <c r="E262" s="179">
        <f>E277+E307</f>
        <v>0</v>
      </c>
      <c r="F262" s="179">
        <f>F277+F307</f>
        <v>0</v>
      </c>
      <c r="G262" s="179">
        <f t="shared" ref="G262:K262" si="282">G277+G307</f>
        <v>0</v>
      </c>
      <c r="H262" s="179">
        <f t="shared" si="282"/>
        <v>0</v>
      </c>
      <c r="I262" s="179">
        <f t="shared" si="282"/>
        <v>0</v>
      </c>
      <c r="J262" s="179">
        <f t="shared" si="282"/>
        <v>0</v>
      </c>
      <c r="K262" s="179">
        <f t="shared" si="282"/>
        <v>0</v>
      </c>
      <c r="L262" s="207">
        <f t="shared" si="269"/>
        <v>0</v>
      </c>
      <c r="M262" s="207">
        <f t="shared" si="270"/>
        <v>0</v>
      </c>
      <c r="N262" s="179">
        <f t="shared" si="280"/>
        <v>0</v>
      </c>
      <c r="O262" s="179">
        <f t="shared" si="280"/>
        <v>0</v>
      </c>
      <c r="P262" s="179">
        <f t="shared" si="280"/>
        <v>0</v>
      </c>
      <c r="Q262" s="179">
        <f t="shared" si="280"/>
        <v>0</v>
      </c>
      <c r="R262" s="179">
        <f t="shared" si="280"/>
        <v>0</v>
      </c>
      <c r="S262" s="179">
        <f t="shared" si="280"/>
        <v>0</v>
      </c>
      <c r="T262" s="207">
        <f t="shared" si="272"/>
        <v>0</v>
      </c>
      <c r="U262" s="207">
        <f t="shared" si="273"/>
        <v>0</v>
      </c>
      <c r="V262" s="184">
        <f t="shared" si="281"/>
        <v>0</v>
      </c>
      <c r="W262" s="184">
        <f t="shared" si="274"/>
        <v>0</v>
      </c>
      <c r="X262" s="185">
        <f>U255-U262</f>
        <v>0</v>
      </c>
    </row>
    <row r="263" spans="1:28" s="190" customFormat="1" ht="18" hidden="1" customHeight="1">
      <c r="A263" s="610"/>
      <c r="B263" s="661"/>
      <c r="C263" s="662"/>
      <c r="D263" s="187" t="str">
        <f>серпень!D263</f>
        <v>тариф, грн.</v>
      </c>
      <c r="E263" s="188" t="e">
        <f t="shared" ref="E263:S263" si="283">E264/E262*1000</f>
        <v>#DIV/0!</v>
      </c>
      <c r="F263" s="188" t="e">
        <f t="shared" si="283"/>
        <v>#DIV/0!</v>
      </c>
      <c r="G263" s="188" t="e">
        <f t="shared" si="283"/>
        <v>#DIV/0!</v>
      </c>
      <c r="H263" s="188" t="e">
        <f t="shared" si="283"/>
        <v>#DIV/0!</v>
      </c>
      <c r="I263" s="188" t="e">
        <f t="shared" si="283"/>
        <v>#DIV/0!</v>
      </c>
      <c r="J263" s="188" t="e">
        <f t="shared" si="283"/>
        <v>#DIV/0!</v>
      </c>
      <c r="K263" s="188" t="e">
        <f t="shared" si="283"/>
        <v>#DIV/0!</v>
      </c>
      <c r="L263" s="188" t="e">
        <f t="shared" si="283"/>
        <v>#DIV/0!</v>
      </c>
      <c r="M263" s="188" t="e">
        <f t="shared" si="283"/>
        <v>#DIV/0!</v>
      </c>
      <c r="N263" s="188" t="e">
        <f t="shared" si="283"/>
        <v>#DIV/0!</v>
      </c>
      <c r="O263" s="188" t="e">
        <f t="shared" si="283"/>
        <v>#DIV/0!</v>
      </c>
      <c r="P263" s="188" t="e">
        <f t="shared" si="283"/>
        <v>#DIV/0!</v>
      </c>
      <c r="Q263" s="188" t="e">
        <f t="shared" si="283"/>
        <v>#DIV/0!</v>
      </c>
      <c r="R263" s="188" t="e">
        <f t="shared" si="283"/>
        <v>#DIV/0!</v>
      </c>
      <c r="S263" s="188" t="e">
        <f t="shared" si="283"/>
        <v>#DIV/0!</v>
      </c>
      <c r="T263" s="188" t="e">
        <f>T264/T262*1000</f>
        <v>#DIV/0!</v>
      </c>
      <c r="U263" s="188" t="e">
        <f>U264/U262*1000</f>
        <v>#DIV/0!</v>
      </c>
      <c r="V263" s="188" t="e">
        <f>V264/V262*1000</f>
        <v>#DIV/0!</v>
      </c>
      <c r="W263" s="189" t="e">
        <f>W264/W262*1000</f>
        <v>#DIV/0!</v>
      </c>
      <c r="X263" s="225"/>
    </row>
    <row r="264" spans="1:28" s="213" customFormat="1" ht="18" hidden="1" customHeight="1">
      <c r="A264" s="610"/>
      <c r="B264" s="661"/>
      <c r="C264" s="662"/>
      <c r="D264" s="198" t="str">
        <f>серпень!D264</f>
        <v>касові видатки, тис.грн.</v>
      </c>
      <c r="E264" s="212">
        <f>E279+E309</f>
        <v>0</v>
      </c>
      <c r="F264" s="199">
        <f>F279+F294+F309+F324</f>
        <v>0</v>
      </c>
      <c r="G264" s="199">
        <f t="shared" ref="G264:K264" si="284">G279+G294+G309+G324</f>
        <v>0</v>
      </c>
      <c r="H264" s="199">
        <f t="shared" si="284"/>
        <v>0</v>
      </c>
      <c r="I264" s="199">
        <f t="shared" si="284"/>
        <v>0</v>
      </c>
      <c r="J264" s="199">
        <f t="shared" si="284"/>
        <v>0</v>
      </c>
      <c r="K264" s="199">
        <f t="shared" si="284"/>
        <v>0</v>
      </c>
      <c r="L264" s="199">
        <f>SUM(F264:K264)</f>
        <v>0</v>
      </c>
      <c r="M264" s="199">
        <f>L264/6</f>
        <v>0</v>
      </c>
      <c r="N264" s="199">
        <f t="shared" ref="N264:S266" si="285">N279+N294+N309+N324</f>
        <v>0</v>
      </c>
      <c r="O264" s="199">
        <f t="shared" si="285"/>
        <v>0</v>
      </c>
      <c r="P264" s="199">
        <f t="shared" si="285"/>
        <v>0</v>
      </c>
      <c r="Q264" s="199">
        <f t="shared" si="285"/>
        <v>0</v>
      </c>
      <c r="R264" s="199">
        <f t="shared" si="285"/>
        <v>0</v>
      </c>
      <c r="S264" s="199">
        <f t="shared" si="285"/>
        <v>0</v>
      </c>
      <c r="T264" s="199">
        <f>SUM(N264:S264)</f>
        <v>0</v>
      </c>
      <c r="U264" s="199">
        <f>T264+L264</f>
        <v>0</v>
      </c>
      <c r="V264" s="175">
        <f t="shared" ref="V264:V267" si="286">V279+V294+V309+V324</f>
        <v>0</v>
      </c>
      <c r="W264" s="175">
        <f>V264-U264</f>
        <v>0</v>
      </c>
      <c r="X264" s="176">
        <f>U259-U264</f>
        <v>0</v>
      </c>
    </row>
    <row r="265" spans="1:28" s="213" customFormat="1" ht="18" hidden="1" customHeight="1">
      <c r="A265" s="610"/>
      <c r="B265" s="661"/>
      <c r="C265" s="662"/>
      <c r="D265" s="201" t="str">
        <f>серпень!D265</f>
        <v>дотація</v>
      </c>
      <c r="E265" s="212"/>
      <c r="F265" s="199">
        <f t="shared" ref="F265:K266" si="287">F280+F295+F310+F325</f>
        <v>0</v>
      </c>
      <c r="G265" s="199">
        <f t="shared" si="287"/>
        <v>0</v>
      </c>
      <c r="H265" s="199">
        <f t="shared" si="287"/>
        <v>0</v>
      </c>
      <c r="I265" s="199">
        <f t="shared" si="287"/>
        <v>0</v>
      </c>
      <c r="J265" s="199">
        <f t="shared" si="287"/>
        <v>0</v>
      </c>
      <c r="K265" s="199">
        <f t="shared" si="287"/>
        <v>0</v>
      </c>
      <c r="L265" s="199">
        <f>SUM(F265:K265)</f>
        <v>0</v>
      </c>
      <c r="M265" s="199">
        <f>L265/6</f>
        <v>0</v>
      </c>
      <c r="N265" s="199">
        <f t="shared" si="285"/>
        <v>0</v>
      </c>
      <c r="O265" s="199">
        <f t="shared" si="285"/>
        <v>0</v>
      </c>
      <c r="P265" s="199">
        <f t="shared" si="285"/>
        <v>0</v>
      </c>
      <c r="Q265" s="199">
        <f t="shared" si="285"/>
        <v>0</v>
      </c>
      <c r="R265" s="199">
        <f t="shared" si="285"/>
        <v>0</v>
      </c>
      <c r="S265" s="199">
        <f t="shared" si="285"/>
        <v>0</v>
      </c>
      <c r="T265" s="199">
        <f>SUM(N265:S265)</f>
        <v>0</v>
      </c>
      <c r="U265" s="199">
        <f>T265+L265</f>
        <v>0</v>
      </c>
      <c r="V265" s="175">
        <f t="shared" si="286"/>
        <v>0</v>
      </c>
      <c r="W265" s="175">
        <f>V265-U265</f>
        <v>0</v>
      </c>
      <c r="X265" s="176">
        <f>U260-U265</f>
        <v>0</v>
      </c>
    </row>
    <row r="266" spans="1:28" s="213" customFormat="1" ht="18" hidden="1" customHeight="1">
      <c r="A266" s="610"/>
      <c r="B266" s="661"/>
      <c r="C266" s="662"/>
      <c r="D266" s="201" t="str">
        <f>серпень!D266</f>
        <v xml:space="preserve">місцевий </v>
      </c>
      <c r="E266" s="212"/>
      <c r="F266" s="199">
        <f t="shared" si="287"/>
        <v>0</v>
      </c>
      <c r="G266" s="199">
        <f t="shared" si="287"/>
        <v>0</v>
      </c>
      <c r="H266" s="199">
        <f t="shared" si="287"/>
        <v>0</v>
      </c>
      <c r="I266" s="199">
        <f t="shared" si="287"/>
        <v>0</v>
      </c>
      <c r="J266" s="199">
        <f t="shared" si="287"/>
        <v>0</v>
      </c>
      <c r="K266" s="199">
        <f t="shared" si="287"/>
        <v>0</v>
      </c>
      <c r="L266" s="199">
        <f>SUM(F266:K266)</f>
        <v>0</v>
      </c>
      <c r="M266" s="199">
        <f>L266/6</f>
        <v>0</v>
      </c>
      <c r="N266" s="199">
        <f t="shared" si="285"/>
        <v>0</v>
      </c>
      <c r="O266" s="199">
        <f t="shared" si="285"/>
        <v>0</v>
      </c>
      <c r="P266" s="199">
        <f t="shared" si="285"/>
        <v>0</v>
      </c>
      <c r="Q266" s="199">
        <f t="shared" si="285"/>
        <v>0</v>
      </c>
      <c r="R266" s="199">
        <f t="shared" si="285"/>
        <v>0</v>
      </c>
      <c r="S266" s="199">
        <f t="shared" si="285"/>
        <v>0</v>
      </c>
      <c r="T266" s="199">
        <f>SUM(N266:S266)</f>
        <v>0</v>
      </c>
      <c r="U266" s="199">
        <f>T266+L266</f>
        <v>0</v>
      </c>
      <c r="V266" s="175">
        <f t="shared" si="286"/>
        <v>0</v>
      </c>
      <c r="W266" s="175">
        <f>V266-U266</f>
        <v>0</v>
      </c>
      <c r="X266" s="176">
        <f>U261-U266</f>
        <v>0</v>
      </c>
    </row>
    <row r="267" spans="1:28" s="205" customFormat="1" ht="18" hidden="1" customHeight="1">
      <c r="A267" s="610"/>
      <c r="B267" s="661"/>
      <c r="C267" s="662"/>
      <c r="D267" s="202" t="str">
        <f>серпень!D267</f>
        <v>план</v>
      </c>
      <c r="E267" s="203"/>
      <c r="F267" s="203">
        <f>F261</f>
        <v>0</v>
      </c>
      <c r="G267" s="203">
        <f t="shared" ref="G267:K267" si="288">G261</f>
        <v>0</v>
      </c>
      <c r="H267" s="203">
        <f t="shared" si="288"/>
        <v>0</v>
      </c>
      <c r="I267" s="203">
        <f t="shared" si="288"/>
        <v>0</v>
      </c>
      <c r="J267" s="203">
        <f t="shared" si="288"/>
        <v>0</v>
      </c>
      <c r="K267" s="203">
        <f t="shared" si="288"/>
        <v>0</v>
      </c>
      <c r="L267" s="203">
        <f>SUM(F267:K267)</f>
        <v>0</v>
      </c>
      <c r="M267" s="203">
        <f>L267/6</f>
        <v>0</v>
      </c>
      <c r="N267" s="203">
        <f t="shared" ref="N267:S267" si="289">N261+N260</f>
        <v>0</v>
      </c>
      <c r="O267" s="203">
        <f t="shared" si="289"/>
        <v>0</v>
      </c>
      <c r="P267" s="203">
        <f t="shared" si="289"/>
        <v>0</v>
      </c>
      <c r="Q267" s="203">
        <f t="shared" si="289"/>
        <v>0</v>
      </c>
      <c r="R267" s="203">
        <f t="shared" si="289"/>
        <v>0</v>
      </c>
      <c r="S267" s="203">
        <f t="shared" si="289"/>
        <v>0</v>
      </c>
      <c r="T267" s="203">
        <f>SUM(N267:S267)</f>
        <v>0</v>
      </c>
      <c r="U267" s="203">
        <f>T267+L267</f>
        <v>0</v>
      </c>
      <c r="V267" s="204">
        <f t="shared" si="286"/>
        <v>0</v>
      </c>
      <c r="W267" s="204">
        <f>V267-U267</f>
        <v>0</v>
      </c>
    </row>
    <row r="268" spans="1:28" s="205" customFormat="1" ht="18" hidden="1" customHeight="1">
      <c r="A268" s="610"/>
      <c r="B268" s="661"/>
      <c r="C268" s="662"/>
      <c r="D268" s="202" t="str">
        <f>серпень!D268</f>
        <v xml:space="preserve">відхилення </v>
      </c>
      <c r="E268" s="203"/>
      <c r="F268" s="203">
        <f t="shared" ref="F268:K268" si="290">F264-F267</f>
        <v>0</v>
      </c>
      <c r="G268" s="203">
        <f t="shared" si="290"/>
        <v>0</v>
      </c>
      <c r="H268" s="203">
        <f t="shared" si="290"/>
        <v>0</v>
      </c>
      <c r="I268" s="203">
        <f t="shared" si="290"/>
        <v>0</v>
      </c>
      <c r="J268" s="203">
        <f t="shared" si="290"/>
        <v>0</v>
      </c>
      <c r="K268" s="203">
        <f t="shared" si="290"/>
        <v>0</v>
      </c>
      <c r="L268" s="203"/>
      <c r="M268" s="203"/>
      <c r="N268" s="203">
        <f t="shared" ref="N268:S268" si="291">N264-N267</f>
        <v>0</v>
      </c>
      <c r="O268" s="203">
        <f t="shared" si="291"/>
        <v>0</v>
      </c>
      <c r="P268" s="203">
        <f t="shared" si="291"/>
        <v>0</v>
      </c>
      <c r="Q268" s="203">
        <f t="shared" si="291"/>
        <v>0</v>
      </c>
      <c r="R268" s="203">
        <f t="shared" si="291"/>
        <v>0</v>
      </c>
      <c r="S268" s="203">
        <f t="shared" si="291"/>
        <v>0</v>
      </c>
      <c r="T268" s="203"/>
      <c r="U268" s="203"/>
      <c r="V268" s="203"/>
      <c r="W268" s="203"/>
    </row>
    <row r="269" spans="1:28" s="205" customFormat="1" ht="18" hidden="1" customHeight="1">
      <c r="A269" s="610"/>
      <c r="B269" s="663"/>
      <c r="C269" s="664"/>
      <c r="D269" s="202" t="str">
        <f>серпень!D269</f>
        <v>відхилення з наростаючим</v>
      </c>
      <c r="E269" s="203"/>
      <c r="F269" s="203">
        <f>F268</f>
        <v>0</v>
      </c>
      <c r="G269" s="203">
        <f>G268+F269</f>
        <v>0</v>
      </c>
      <c r="H269" s="203">
        <f>H268+G269</f>
        <v>0</v>
      </c>
      <c r="I269" s="203">
        <f>I268+H269</f>
        <v>0</v>
      </c>
      <c r="J269" s="203">
        <f>J268+I269</f>
        <v>0</v>
      </c>
      <c r="K269" s="203">
        <f>K268+J269</f>
        <v>0</v>
      </c>
      <c r="L269" s="203"/>
      <c r="M269" s="203"/>
      <c r="N269" s="203">
        <f>N268+K269</f>
        <v>0</v>
      </c>
      <c r="O269" s="203">
        <f>O268+N269</f>
        <v>0</v>
      </c>
      <c r="P269" s="203">
        <f>P268+O269</f>
        <v>0</v>
      </c>
      <c r="Q269" s="203">
        <f>Q268+P269</f>
        <v>0</v>
      </c>
      <c r="R269" s="203">
        <f>R268+Q269</f>
        <v>0</v>
      </c>
      <c r="S269" s="203">
        <f>S268+R269</f>
        <v>0</v>
      </c>
      <c r="T269" s="203"/>
      <c r="U269" s="203"/>
      <c r="V269" s="203"/>
      <c r="W269" s="203"/>
    </row>
    <row r="270" spans="1:28" s="48" customFormat="1" ht="18" hidden="1" customHeight="1">
      <c r="A270" s="610"/>
      <c r="B270" s="582" t="s">
        <v>60</v>
      </c>
      <c r="C270" s="582" t="s">
        <v>97</v>
      </c>
      <c r="D270" s="178" t="str">
        <f>серпень!D270</f>
        <v>факт. нат.п-ки 2023</v>
      </c>
      <c r="E270" s="11"/>
      <c r="F270" s="12"/>
      <c r="G270" s="12"/>
      <c r="H270" s="12"/>
      <c r="I270" s="12"/>
      <c r="J270" s="12"/>
      <c r="K270" s="12"/>
      <c r="L270" s="65">
        <f>SUM(F270:K270)</f>
        <v>0</v>
      </c>
      <c r="M270" s="65">
        <f>L270/6</f>
        <v>0</v>
      </c>
      <c r="N270" s="12"/>
      <c r="O270" s="12"/>
      <c r="P270" s="12"/>
      <c r="Q270" s="12"/>
      <c r="R270" s="12"/>
      <c r="S270" s="12"/>
      <c r="T270" s="65">
        <f>SUM(N270:S270)</f>
        <v>0</v>
      </c>
      <c r="U270" s="66">
        <f>T270+L270</f>
        <v>0</v>
      </c>
      <c r="V270" s="67"/>
      <c r="W270" s="38">
        <f>V270-U270</f>
        <v>0</v>
      </c>
      <c r="X270" s="47"/>
    </row>
    <row r="271" spans="1:28" s="48" customFormat="1" ht="18" hidden="1" customHeight="1">
      <c r="A271" s="610"/>
      <c r="B271" s="583"/>
      <c r="C271" s="583"/>
      <c r="D271" s="178" t="str">
        <f>серпень!D271</f>
        <v>факт. нат.п-ки 2024</v>
      </c>
      <c r="E271" s="11"/>
      <c r="F271" s="12"/>
      <c r="G271" s="12"/>
      <c r="H271" s="12"/>
      <c r="I271" s="12"/>
      <c r="J271" s="12"/>
      <c r="K271" s="12"/>
      <c r="L271" s="65">
        <f>SUM(F271:K271)</f>
        <v>0</v>
      </c>
      <c r="M271" s="65">
        <f>L271/6</f>
        <v>0</v>
      </c>
      <c r="N271" s="11"/>
      <c r="O271" s="11"/>
      <c r="P271" s="11"/>
      <c r="Q271" s="11"/>
      <c r="R271" s="11"/>
      <c r="S271" s="11"/>
      <c r="T271" s="65">
        <f>SUM(N271:S271)</f>
        <v>0</v>
      </c>
      <c r="U271" s="66">
        <f>T271+L271</f>
        <v>0</v>
      </c>
      <c r="V271" s="67"/>
      <c r="W271" s="38">
        <f>V271-U271</f>
        <v>0</v>
      </c>
      <c r="X271" s="47"/>
    </row>
    <row r="272" spans="1:28" s="48" customFormat="1" ht="18" hidden="1" customHeight="1">
      <c r="A272" s="610"/>
      <c r="B272" s="583"/>
      <c r="C272" s="583"/>
      <c r="D272" s="178" t="str">
        <f>серпень!D272</f>
        <v>факт. нат.п-ки 2025</v>
      </c>
      <c r="E272" s="11"/>
      <c r="F272" s="12"/>
      <c r="G272" s="12"/>
      <c r="H272" s="12"/>
      <c r="I272" s="12"/>
      <c r="J272" s="12"/>
      <c r="K272" s="12"/>
      <c r="L272" s="65">
        <f>SUM(F272:K272)</f>
        <v>0</v>
      </c>
      <c r="M272" s="65">
        <f>L272/6</f>
        <v>0</v>
      </c>
      <c r="N272" s="12"/>
      <c r="O272" s="12"/>
      <c r="P272" s="12"/>
      <c r="Q272" s="12"/>
      <c r="R272" s="12"/>
      <c r="S272" s="11"/>
      <c r="T272" s="65">
        <f>SUM(N272:S272)</f>
        <v>0</v>
      </c>
      <c r="U272" s="66">
        <f>T272+L272</f>
        <v>0</v>
      </c>
      <c r="V272" s="11"/>
      <c r="W272" s="38">
        <f>V272-U272</f>
        <v>0</v>
      </c>
      <c r="X272" s="47"/>
    </row>
    <row r="273" spans="1:24" s="51" customFormat="1" ht="18" hidden="1" customHeight="1">
      <c r="A273" s="610"/>
      <c r="B273" s="583"/>
      <c r="C273" s="583"/>
      <c r="D273" s="187" t="str">
        <f>серпень!D273</f>
        <v>тариф, грн.</v>
      </c>
      <c r="E273" s="49"/>
      <c r="F273" s="49"/>
      <c r="G273" s="49"/>
      <c r="H273" s="49"/>
      <c r="I273" s="49"/>
      <c r="J273" s="49"/>
      <c r="K273" s="49"/>
      <c r="L273" s="49" t="e">
        <f>L274/L272*1000</f>
        <v>#DIV/0!</v>
      </c>
      <c r="M273" s="49" t="e">
        <f>M274/M272*1000</f>
        <v>#DIV/0!</v>
      </c>
      <c r="N273" s="49"/>
      <c r="O273" s="49"/>
      <c r="P273" s="49"/>
      <c r="Q273" s="49"/>
      <c r="R273" s="49"/>
      <c r="S273" s="49"/>
      <c r="T273" s="49" t="e">
        <f>T274/T272*1000</f>
        <v>#DIV/0!</v>
      </c>
      <c r="U273" s="49" t="e">
        <f>U274/U272*1000</f>
        <v>#DIV/0!</v>
      </c>
      <c r="V273" s="68" t="e">
        <f>V274/V272*1000</f>
        <v>#DIV/0!</v>
      </c>
      <c r="W273" s="14" t="e">
        <f>W274/W272*1000</f>
        <v>#DIV/0!</v>
      </c>
      <c r="X273" s="50"/>
    </row>
    <row r="274" spans="1:24" s="55" customFormat="1" ht="18" hidden="1" customHeight="1">
      <c r="A274" s="610"/>
      <c r="B274" s="583"/>
      <c r="C274" s="583"/>
      <c r="D274" s="191" t="str">
        <f>серпень!D274</f>
        <v>сума, тис.грн.</v>
      </c>
      <c r="E274" s="52"/>
      <c r="F274" s="52">
        <f t="shared" ref="F274:K274" si="292">F272*F273/1000</f>
        <v>0</v>
      </c>
      <c r="G274" s="52">
        <f t="shared" si="292"/>
        <v>0</v>
      </c>
      <c r="H274" s="52">
        <f t="shared" si="292"/>
        <v>0</v>
      </c>
      <c r="I274" s="52">
        <f t="shared" si="292"/>
        <v>0</v>
      </c>
      <c r="J274" s="52">
        <f t="shared" si="292"/>
        <v>0</v>
      </c>
      <c r="K274" s="52">
        <f t="shared" si="292"/>
        <v>0</v>
      </c>
      <c r="L274" s="69">
        <f>SUM(F274:K274)</f>
        <v>0</v>
      </c>
      <c r="M274" s="69">
        <f>L274/6</f>
        <v>0</v>
      </c>
      <c r="N274" s="52">
        <f t="shared" ref="N274:S274" si="293">N272*N273/1000</f>
        <v>0</v>
      </c>
      <c r="O274" s="52">
        <f t="shared" si="293"/>
        <v>0</v>
      </c>
      <c r="P274" s="52">
        <f t="shared" si="293"/>
        <v>0</v>
      </c>
      <c r="Q274" s="52">
        <f t="shared" si="293"/>
        <v>0</v>
      </c>
      <c r="R274" s="52">
        <f t="shared" si="293"/>
        <v>0</v>
      </c>
      <c r="S274" s="52">
        <f t="shared" si="293"/>
        <v>0</v>
      </c>
      <c r="T274" s="69">
        <f>SUM(N274:S274)</f>
        <v>0</v>
      </c>
      <c r="U274" s="69">
        <f>T274+L274</f>
        <v>0</v>
      </c>
      <c r="V274" s="70">
        <f>V275+V276</f>
        <v>0</v>
      </c>
      <c r="W274" s="53">
        <f>V274-U274</f>
        <v>0</v>
      </c>
      <c r="X274" s="54">
        <f>9891253.845/1000</f>
        <v>9891.2540000000008</v>
      </c>
    </row>
    <row r="275" spans="1:24" s="55" customFormat="1" ht="18" hidden="1" customHeight="1">
      <c r="A275" s="610"/>
      <c r="B275" s="583"/>
      <c r="C275" s="583"/>
      <c r="D275" s="174" t="str">
        <f>серпень!D275</f>
        <v>абоненська плата, тис.грн.</v>
      </c>
      <c r="E275" s="56"/>
      <c r="F275" s="52"/>
      <c r="G275" s="52"/>
      <c r="H275" s="52"/>
      <c r="I275" s="52"/>
      <c r="J275" s="52"/>
      <c r="K275" s="52"/>
      <c r="L275" s="69">
        <f>SUM(F275:K275)</f>
        <v>0</v>
      </c>
      <c r="M275" s="69">
        <f>L275/6</f>
        <v>0</v>
      </c>
      <c r="N275" s="52"/>
      <c r="O275" s="52"/>
      <c r="P275" s="52"/>
      <c r="Q275" s="52"/>
      <c r="R275" s="52"/>
      <c r="S275" s="52"/>
      <c r="T275" s="69">
        <f>SUM(N275:S275)</f>
        <v>0</v>
      </c>
      <c r="U275" s="69">
        <f>T275+L275</f>
        <v>0</v>
      </c>
      <c r="V275" s="70"/>
      <c r="W275" s="53">
        <f>V275-U275</f>
        <v>0</v>
      </c>
      <c r="X275" s="58"/>
    </row>
    <row r="276" spans="1:24" s="55" customFormat="1" ht="18" hidden="1" customHeight="1">
      <c r="A276" s="610"/>
      <c r="B276" s="583"/>
      <c r="C276" s="583"/>
      <c r="D276" s="174" t="str">
        <f>серпень!D276</f>
        <v>разом сума тис. грн+абонплата</v>
      </c>
      <c r="E276" s="56"/>
      <c r="F276" s="52"/>
      <c r="G276" s="52"/>
      <c r="H276" s="52"/>
      <c r="I276" s="52"/>
      <c r="J276" s="52"/>
      <c r="K276" s="52"/>
      <c r="L276" s="69">
        <f>SUM(F276:K276)</f>
        <v>0</v>
      </c>
      <c r="M276" s="69">
        <f>L276/6</f>
        <v>0</v>
      </c>
      <c r="N276" s="52"/>
      <c r="O276" s="52"/>
      <c r="P276" s="52"/>
      <c r="Q276" s="52"/>
      <c r="R276" s="52"/>
      <c r="S276" s="52"/>
      <c r="T276" s="69">
        <f>SUM(N276:S276)</f>
        <v>0</v>
      </c>
      <c r="U276" s="69">
        <f>T276+L276</f>
        <v>0</v>
      </c>
      <c r="V276" s="70"/>
      <c r="W276" s="53">
        <f>V276-U276</f>
        <v>0</v>
      </c>
      <c r="X276" s="58"/>
    </row>
    <row r="277" spans="1:24" s="48" customFormat="1" ht="18" hidden="1" customHeight="1">
      <c r="A277" s="610"/>
      <c r="B277" s="583"/>
      <c r="C277" s="583"/>
      <c r="D277" s="178" t="str">
        <f>серпень!D277</f>
        <v>дотація</v>
      </c>
      <c r="E277" s="11"/>
      <c r="F277" s="11"/>
      <c r="G277" s="11"/>
      <c r="H277" s="11"/>
      <c r="I277" s="11"/>
      <c r="J277" s="11"/>
      <c r="K277" s="11"/>
      <c r="L277" s="65">
        <f>SUM(F277:K277)</f>
        <v>0</v>
      </c>
      <c r="M277" s="65">
        <f>L277/6</f>
        <v>0</v>
      </c>
      <c r="N277" s="11"/>
      <c r="O277" s="11"/>
      <c r="P277" s="11"/>
      <c r="Q277" s="11"/>
      <c r="R277" s="11"/>
      <c r="S277" s="11">
        <f>S272+R272</f>
        <v>0</v>
      </c>
      <c r="T277" s="65">
        <f>SUM(N277:S277)</f>
        <v>0</v>
      </c>
      <c r="U277" s="65">
        <f>T277+L277</f>
        <v>0</v>
      </c>
      <c r="V277" s="11">
        <f>V272</f>
        <v>0</v>
      </c>
      <c r="W277" s="38">
        <f>V277-U277</f>
        <v>0</v>
      </c>
      <c r="X277" s="47">
        <f>U272-U277</f>
        <v>0</v>
      </c>
    </row>
    <row r="278" spans="1:24" s="51" customFormat="1" ht="18" hidden="1" customHeight="1">
      <c r="A278" s="610"/>
      <c r="B278" s="583"/>
      <c r="C278" s="583"/>
      <c r="D278" s="187" t="str">
        <f>серпень!D278</f>
        <v>місцевий (план), тис.грн</v>
      </c>
      <c r="E278" s="49" t="e">
        <f>E279/E277*1000</f>
        <v>#DIV/0!</v>
      </c>
      <c r="F278" s="49"/>
      <c r="G278" s="49"/>
      <c r="H278" s="49"/>
      <c r="I278" s="49"/>
      <c r="J278" s="49"/>
      <c r="K278" s="49"/>
      <c r="L278" s="49" t="e">
        <f>L279/L277*1000</f>
        <v>#DIV/0!</v>
      </c>
      <c r="M278" s="49" t="e">
        <f>M279/M277*1000</f>
        <v>#DIV/0!</v>
      </c>
      <c r="N278" s="49"/>
      <c r="O278" s="49"/>
      <c r="P278" s="49"/>
      <c r="Q278" s="49"/>
      <c r="R278" s="49"/>
      <c r="S278" s="49"/>
      <c r="T278" s="49" t="e">
        <f>T279/T277*1000</f>
        <v>#DIV/0!</v>
      </c>
      <c r="U278" s="49" t="e">
        <f>U279/U277*1000</f>
        <v>#DIV/0!</v>
      </c>
      <c r="V278" s="68" t="e">
        <f>V279/V277*1000</f>
        <v>#DIV/0!</v>
      </c>
      <c r="W278" s="14" t="e">
        <f>W279/W277*1000</f>
        <v>#DIV/0!</v>
      </c>
      <c r="X278" s="59"/>
    </row>
    <row r="279" spans="1:24" s="63" customFormat="1" ht="18" hidden="1" customHeight="1">
      <c r="A279" s="610"/>
      <c r="B279" s="583"/>
      <c r="C279" s="583"/>
      <c r="D279" s="198" t="str">
        <f>серпень!D279</f>
        <v>касові нат.п-ки 2025</v>
      </c>
      <c r="E279" s="71"/>
      <c r="F279" s="61">
        <f t="shared" ref="F279:K279" si="294">F277*F278/1000</f>
        <v>0</v>
      </c>
      <c r="G279" s="61">
        <f t="shared" si="294"/>
        <v>0</v>
      </c>
      <c r="H279" s="61">
        <f t="shared" si="294"/>
        <v>0</v>
      </c>
      <c r="I279" s="61">
        <f t="shared" si="294"/>
        <v>0</v>
      </c>
      <c r="J279" s="61">
        <f t="shared" si="294"/>
        <v>0</v>
      </c>
      <c r="K279" s="61">
        <f t="shared" si="294"/>
        <v>0</v>
      </c>
      <c r="L279" s="61">
        <f>SUM(F279:K279)</f>
        <v>0</v>
      </c>
      <c r="M279" s="61">
        <f>L279/6</f>
        <v>0</v>
      </c>
      <c r="N279" s="61">
        <f t="shared" ref="N279:S279" si="295">N277*N278/1000</f>
        <v>0</v>
      </c>
      <c r="O279" s="61">
        <f t="shared" si="295"/>
        <v>0</v>
      </c>
      <c r="P279" s="61">
        <f t="shared" si="295"/>
        <v>0</v>
      </c>
      <c r="Q279" s="61">
        <f t="shared" si="295"/>
        <v>0</v>
      </c>
      <c r="R279" s="61">
        <f t="shared" si="295"/>
        <v>0</v>
      </c>
      <c r="S279" s="61">
        <f t="shared" si="295"/>
        <v>0</v>
      </c>
      <c r="T279" s="61">
        <f>SUM(N279:S279)</f>
        <v>0</v>
      </c>
      <c r="U279" s="61">
        <f>T279+L279</f>
        <v>0</v>
      </c>
      <c r="V279" s="61">
        <f>V274</f>
        <v>0</v>
      </c>
      <c r="W279" s="72">
        <f>V279-U279</f>
        <v>0</v>
      </c>
      <c r="X279" s="63">
        <f>U274-U279</f>
        <v>0</v>
      </c>
    </row>
    <row r="280" spans="1:24" s="63" customFormat="1" ht="18" hidden="1" customHeight="1">
      <c r="A280" s="610"/>
      <c r="B280" s="583"/>
      <c r="C280" s="583"/>
      <c r="D280" s="201" t="str">
        <f>серпень!D280</f>
        <v>тариф, грн.</v>
      </c>
      <c r="E280" s="71"/>
      <c r="F280" s="61"/>
      <c r="G280" s="61"/>
      <c r="H280" s="61"/>
      <c r="I280" s="61"/>
      <c r="J280" s="61"/>
      <c r="K280" s="61"/>
      <c r="L280" s="61">
        <f>SUM(F280:K280)</f>
        <v>0</v>
      </c>
      <c r="M280" s="61">
        <f>L280/6</f>
        <v>0</v>
      </c>
      <c r="N280" s="61"/>
      <c r="O280" s="61"/>
      <c r="P280" s="61"/>
      <c r="Q280" s="61"/>
      <c r="R280" s="61"/>
      <c r="S280" s="61"/>
      <c r="T280" s="61">
        <f>SUM(N280:S280)</f>
        <v>0</v>
      </c>
      <c r="U280" s="61">
        <f>T280+L280</f>
        <v>0</v>
      </c>
      <c r="V280" s="61">
        <f>V275</f>
        <v>0</v>
      </c>
      <c r="W280" s="72">
        <f>V280-U280</f>
        <v>0</v>
      </c>
      <c r="X280" s="63">
        <f>U275-U280</f>
        <v>0</v>
      </c>
    </row>
    <row r="281" spans="1:24" s="63" customFormat="1" ht="18" hidden="1" customHeight="1">
      <c r="A281" s="610"/>
      <c r="B281" s="583"/>
      <c r="C281" s="583"/>
      <c r="D281" s="201" t="str">
        <f>серпень!D281</f>
        <v>касові видатки, тис.грн.</v>
      </c>
      <c r="E281" s="71"/>
      <c r="F281" s="61">
        <f t="shared" ref="F281:K281" si="296">F279-F280</f>
        <v>0</v>
      </c>
      <c r="G281" s="61">
        <f t="shared" si="296"/>
        <v>0</v>
      </c>
      <c r="H281" s="61">
        <f t="shared" si="296"/>
        <v>0</v>
      </c>
      <c r="I281" s="61">
        <f t="shared" si="296"/>
        <v>0</v>
      </c>
      <c r="J281" s="61">
        <f t="shared" si="296"/>
        <v>0</v>
      </c>
      <c r="K281" s="61">
        <f t="shared" si="296"/>
        <v>0</v>
      </c>
      <c r="L281" s="61">
        <f>SUM(F281:K281)</f>
        <v>0</v>
      </c>
      <c r="M281" s="61">
        <f>L281/6</f>
        <v>0</v>
      </c>
      <c r="N281" s="61">
        <f t="shared" ref="N281:S281" si="297">N279-N280</f>
        <v>0</v>
      </c>
      <c r="O281" s="61">
        <f t="shared" si="297"/>
        <v>0</v>
      </c>
      <c r="P281" s="61">
        <f t="shared" si="297"/>
        <v>0</v>
      </c>
      <c r="Q281" s="61">
        <f t="shared" si="297"/>
        <v>0</v>
      </c>
      <c r="R281" s="61">
        <f t="shared" si="297"/>
        <v>0</v>
      </c>
      <c r="S281" s="61">
        <f t="shared" si="297"/>
        <v>0</v>
      </c>
      <c r="T281" s="61">
        <f>SUM(N281:S281)</f>
        <v>0</v>
      </c>
      <c r="U281" s="61">
        <f>T281+L281</f>
        <v>0</v>
      </c>
      <c r="V281" s="61">
        <f>V276</f>
        <v>0</v>
      </c>
      <c r="W281" s="72">
        <f>V281-U281</f>
        <v>0</v>
      </c>
      <c r="X281" s="63">
        <f>U276-U281</f>
        <v>0</v>
      </c>
    </row>
    <row r="282" spans="1:24" s="43" customFormat="1" ht="18" hidden="1" customHeight="1">
      <c r="A282" s="610"/>
      <c r="B282" s="583"/>
      <c r="C282" s="583"/>
      <c r="D282" s="202" t="str">
        <f>серпень!D282</f>
        <v>дотація</v>
      </c>
      <c r="E282" s="42"/>
      <c r="F282" s="42">
        <f t="shared" ref="F282:K282" si="298">F276</f>
        <v>0</v>
      </c>
      <c r="G282" s="42">
        <f t="shared" si="298"/>
        <v>0</v>
      </c>
      <c r="H282" s="42">
        <f t="shared" si="298"/>
        <v>0</v>
      </c>
      <c r="I282" s="42">
        <f t="shared" si="298"/>
        <v>0</v>
      </c>
      <c r="J282" s="42">
        <f t="shared" si="298"/>
        <v>0</v>
      </c>
      <c r="K282" s="42">
        <f t="shared" si="298"/>
        <v>0</v>
      </c>
      <c r="L282" s="42">
        <f>SUM(F282:K282)</f>
        <v>0</v>
      </c>
      <c r="M282" s="42">
        <f>L282/6</f>
        <v>0</v>
      </c>
      <c r="N282" s="42">
        <f t="shared" ref="N282:S282" si="299">N276+N275</f>
        <v>0</v>
      </c>
      <c r="O282" s="42">
        <f t="shared" si="299"/>
        <v>0</v>
      </c>
      <c r="P282" s="42">
        <f t="shared" si="299"/>
        <v>0</v>
      </c>
      <c r="Q282" s="42">
        <f t="shared" si="299"/>
        <v>0</v>
      </c>
      <c r="R282" s="42">
        <f t="shared" si="299"/>
        <v>0</v>
      </c>
      <c r="S282" s="42">
        <f t="shared" si="299"/>
        <v>0</v>
      </c>
      <c r="T282" s="42">
        <f>SUM(N282:S282)</f>
        <v>0</v>
      </c>
      <c r="U282" s="42">
        <f>T282+L282</f>
        <v>0</v>
      </c>
      <c r="V282" s="42">
        <f>V279</f>
        <v>0</v>
      </c>
      <c r="W282" s="42">
        <f>V282-U282</f>
        <v>0</v>
      </c>
    </row>
    <row r="283" spans="1:24" s="43" customFormat="1" ht="18" hidden="1" customHeight="1">
      <c r="A283" s="610"/>
      <c r="B283" s="583"/>
      <c r="C283" s="583"/>
      <c r="D283" s="202" t="str">
        <f>серпень!D283</f>
        <v xml:space="preserve">місцевий </v>
      </c>
      <c r="E283" s="42"/>
      <c r="F283" s="42">
        <f t="shared" ref="F283:K283" si="300">F279-F282</f>
        <v>0</v>
      </c>
      <c r="G283" s="42">
        <f t="shared" si="300"/>
        <v>0</v>
      </c>
      <c r="H283" s="42">
        <f t="shared" si="300"/>
        <v>0</v>
      </c>
      <c r="I283" s="42">
        <f t="shared" si="300"/>
        <v>0</v>
      </c>
      <c r="J283" s="42">
        <f t="shared" si="300"/>
        <v>0</v>
      </c>
      <c r="K283" s="42">
        <f t="shared" si="300"/>
        <v>0</v>
      </c>
      <c r="L283" s="42"/>
      <c r="M283" s="42"/>
      <c r="N283" s="42">
        <f t="shared" ref="N283:S283" si="301">N279-N282</f>
        <v>0</v>
      </c>
      <c r="O283" s="42">
        <f t="shared" si="301"/>
        <v>0</v>
      </c>
      <c r="P283" s="42">
        <f t="shared" si="301"/>
        <v>0</v>
      </c>
      <c r="Q283" s="42">
        <f t="shared" si="301"/>
        <v>0</v>
      </c>
      <c r="R283" s="42">
        <f t="shared" si="301"/>
        <v>0</v>
      </c>
      <c r="S283" s="42">
        <f t="shared" si="301"/>
        <v>0</v>
      </c>
      <c r="T283" s="42"/>
      <c r="U283" s="42"/>
      <c r="V283" s="42"/>
      <c r="W283" s="42"/>
    </row>
    <row r="284" spans="1:24" s="43" customFormat="1" ht="18" hidden="1" customHeight="1">
      <c r="A284" s="610"/>
      <c r="B284" s="583"/>
      <c r="C284" s="584"/>
      <c r="D284" s="202" t="str">
        <f>серпень!D284</f>
        <v>план</v>
      </c>
      <c r="E284" s="42"/>
      <c r="F284" s="42">
        <f>F283</f>
        <v>0</v>
      </c>
      <c r="G284" s="42">
        <f>G283+F284</f>
        <v>0</v>
      </c>
      <c r="H284" s="42">
        <f>H283+G284</f>
        <v>0</v>
      </c>
      <c r="I284" s="42">
        <f>I283+H284</f>
        <v>0</v>
      </c>
      <c r="J284" s="42">
        <f>J283+I284</f>
        <v>0</v>
      </c>
      <c r="K284" s="42">
        <f>K283+J284</f>
        <v>0</v>
      </c>
      <c r="L284" s="42"/>
      <c r="M284" s="42"/>
      <c r="N284" s="42">
        <f>N283+K284</f>
        <v>0</v>
      </c>
      <c r="O284" s="42">
        <f>O283+N284</f>
        <v>0</v>
      </c>
      <c r="P284" s="42">
        <f>P283+O284</f>
        <v>0</v>
      </c>
      <c r="Q284" s="42">
        <f>Q283+P284</f>
        <v>0</v>
      </c>
      <c r="R284" s="42">
        <f>R283+Q284</f>
        <v>0</v>
      </c>
      <c r="S284" s="42">
        <f>S283+R284</f>
        <v>0</v>
      </c>
      <c r="T284" s="42"/>
      <c r="U284" s="42"/>
      <c r="V284" s="42"/>
      <c r="W284" s="42"/>
    </row>
    <row r="285" spans="1:24" s="48" customFormat="1" ht="18" hidden="1" customHeight="1">
      <c r="A285" s="610"/>
      <c r="B285" s="583"/>
      <c r="C285" s="582" t="s">
        <v>96</v>
      </c>
      <c r="D285" s="178" t="s">
        <v>93</v>
      </c>
      <c r="E285" s="11"/>
      <c r="F285" s="12"/>
      <c r="G285" s="12"/>
      <c r="H285" s="12"/>
      <c r="I285" s="12"/>
      <c r="J285" s="12"/>
      <c r="K285" s="12"/>
      <c r="L285" s="65">
        <f>SUM(F285:K285)</f>
        <v>0</v>
      </c>
      <c r="M285" s="65">
        <f>L285/6</f>
        <v>0</v>
      </c>
      <c r="N285" s="12"/>
      <c r="O285" s="12"/>
      <c r="P285" s="12"/>
      <c r="Q285" s="12"/>
      <c r="R285" s="12"/>
      <c r="S285" s="12"/>
      <c r="T285" s="65">
        <f>SUM(N285:S285)</f>
        <v>0</v>
      </c>
      <c r="U285" s="66">
        <f>T285+L285</f>
        <v>0</v>
      </c>
      <c r="V285" s="67"/>
      <c r="W285" s="38">
        <f>V285-U285</f>
        <v>0</v>
      </c>
      <c r="X285" s="47"/>
    </row>
    <row r="286" spans="1:24" s="48" customFormat="1" ht="18" hidden="1" customHeight="1">
      <c r="A286" s="610"/>
      <c r="B286" s="583"/>
      <c r="C286" s="583"/>
      <c r="D286" s="178" t="s">
        <v>95</v>
      </c>
      <c r="E286" s="11"/>
      <c r="F286" s="12"/>
      <c r="G286" s="12"/>
      <c r="H286" s="12"/>
      <c r="I286" s="12"/>
      <c r="J286" s="12"/>
      <c r="K286" s="12"/>
      <c r="L286" s="65">
        <f>SUM(F286:K286)</f>
        <v>0</v>
      </c>
      <c r="M286" s="65">
        <f>L286/6</f>
        <v>0</v>
      </c>
      <c r="N286" s="11"/>
      <c r="O286" s="11"/>
      <c r="P286" s="11"/>
      <c r="Q286" s="11"/>
      <c r="R286" s="11"/>
      <c r="S286" s="11"/>
      <c r="T286" s="65">
        <f>SUM(N286:S286)</f>
        <v>0</v>
      </c>
      <c r="U286" s="66">
        <f>T286+L286</f>
        <v>0</v>
      </c>
      <c r="V286" s="67"/>
      <c r="W286" s="38">
        <f>V286-U286</f>
        <v>0</v>
      </c>
      <c r="X286" s="47"/>
    </row>
    <row r="287" spans="1:24" s="48" customFormat="1" ht="18" hidden="1" customHeight="1">
      <c r="A287" s="610"/>
      <c r="B287" s="583"/>
      <c r="C287" s="583"/>
      <c r="D287" s="178" t="s">
        <v>105</v>
      </c>
      <c r="E287" s="11"/>
      <c r="F287" s="12"/>
      <c r="G287" s="12"/>
      <c r="H287" s="12"/>
      <c r="I287" s="12"/>
      <c r="J287" s="12"/>
      <c r="K287" s="12"/>
      <c r="L287" s="65">
        <f>SUM(F287:K287)</f>
        <v>0</v>
      </c>
      <c r="M287" s="65">
        <f>L287/6</f>
        <v>0</v>
      </c>
      <c r="N287" s="12"/>
      <c r="O287" s="12"/>
      <c r="P287" s="12"/>
      <c r="Q287" s="12"/>
      <c r="R287" s="12"/>
      <c r="S287" s="11"/>
      <c r="T287" s="65">
        <f>SUM(N287:S287)</f>
        <v>0</v>
      </c>
      <c r="U287" s="66">
        <f>T287+L287</f>
        <v>0</v>
      </c>
      <c r="V287" s="11"/>
      <c r="W287" s="38">
        <f>V287-U287</f>
        <v>0</v>
      </c>
      <c r="X287" s="47"/>
    </row>
    <row r="288" spans="1:24" s="51" customFormat="1" ht="18" hidden="1" customHeight="1">
      <c r="A288" s="610"/>
      <c r="B288" s="583"/>
      <c r="C288" s="583"/>
      <c r="D288" s="187" t="s">
        <v>27</v>
      </c>
      <c r="E288" s="49"/>
      <c r="F288" s="49"/>
      <c r="G288" s="49"/>
      <c r="H288" s="49"/>
      <c r="I288" s="49"/>
      <c r="J288" s="49"/>
      <c r="K288" s="49"/>
      <c r="L288" s="49" t="e">
        <f>L289/L287*1000</f>
        <v>#DIV/0!</v>
      </c>
      <c r="M288" s="49" t="e">
        <f>M289/M287*1000</f>
        <v>#DIV/0!</v>
      </c>
      <c r="N288" s="49"/>
      <c r="O288" s="49"/>
      <c r="P288" s="49"/>
      <c r="Q288" s="49"/>
      <c r="R288" s="49"/>
      <c r="S288" s="49"/>
      <c r="T288" s="49" t="e">
        <f>T289/T287*1000</f>
        <v>#DIV/0!</v>
      </c>
      <c r="U288" s="49" t="e">
        <f>U289/U287*1000</f>
        <v>#DIV/0!</v>
      </c>
      <c r="V288" s="68" t="e">
        <f>V289/V287*1000</f>
        <v>#DIV/0!</v>
      </c>
      <c r="W288" s="14" t="e">
        <f>W289/W287*1000</f>
        <v>#DIV/0!</v>
      </c>
      <c r="X288" s="50"/>
    </row>
    <row r="289" spans="1:24" s="55" customFormat="1" ht="18" hidden="1" customHeight="1">
      <c r="A289" s="610"/>
      <c r="B289" s="583"/>
      <c r="C289" s="583"/>
      <c r="D289" s="191" t="s">
        <v>0</v>
      </c>
      <c r="E289" s="52"/>
      <c r="F289" s="52">
        <f t="shared" ref="F289:K289" si="302">F287*F288/1000</f>
        <v>0</v>
      </c>
      <c r="G289" s="52">
        <f t="shared" si="302"/>
        <v>0</v>
      </c>
      <c r="H289" s="52">
        <f t="shared" si="302"/>
        <v>0</v>
      </c>
      <c r="I289" s="52">
        <f t="shared" si="302"/>
        <v>0</v>
      </c>
      <c r="J289" s="52">
        <f t="shared" si="302"/>
        <v>0</v>
      </c>
      <c r="K289" s="52">
        <f t="shared" si="302"/>
        <v>0</v>
      </c>
      <c r="L289" s="69">
        <f>SUM(F289:K289)</f>
        <v>0</v>
      </c>
      <c r="M289" s="69">
        <f>L289/6</f>
        <v>0</v>
      </c>
      <c r="N289" s="52">
        <f t="shared" ref="N289:S289" si="303">N287*N288/1000</f>
        <v>0</v>
      </c>
      <c r="O289" s="52">
        <f t="shared" si="303"/>
        <v>0</v>
      </c>
      <c r="P289" s="52">
        <f t="shared" si="303"/>
        <v>0</v>
      </c>
      <c r="Q289" s="52">
        <f t="shared" si="303"/>
        <v>0</v>
      </c>
      <c r="R289" s="52">
        <f t="shared" si="303"/>
        <v>0</v>
      </c>
      <c r="S289" s="52">
        <f t="shared" si="303"/>
        <v>0</v>
      </c>
      <c r="T289" s="69">
        <f>SUM(N289:S289)</f>
        <v>0</v>
      </c>
      <c r="U289" s="69">
        <f>T289+L289</f>
        <v>0</v>
      </c>
      <c r="V289" s="70">
        <f>V290+V291</f>
        <v>0</v>
      </c>
      <c r="W289" s="53">
        <f>V289-U289</f>
        <v>0</v>
      </c>
      <c r="X289" s="54">
        <f>9891253.845/1000</f>
        <v>9891.2540000000008</v>
      </c>
    </row>
    <row r="290" spans="1:24" s="55" customFormat="1" ht="18" hidden="1" customHeight="1">
      <c r="A290" s="610"/>
      <c r="B290" s="583"/>
      <c r="C290" s="583"/>
      <c r="D290" s="174" t="s">
        <v>55</v>
      </c>
      <c r="E290" s="56"/>
      <c r="F290" s="52"/>
      <c r="G290" s="52"/>
      <c r="H290" s="52"/>
      <c r="I290" s="52"/>
      <c r="J290" s="52"/>
      <c r="K290" s="52"/>
      <c r="L290" s="69">
        <f>SUM(F290:K290)</f>
        <v>0</v>
      </c>
      <c r="M290" s="69">
        <f>L290/6</f>
        <v>0</v>
      </c>
      <c r="N290" s="52"/>
      <c r="O290" s="52"/>
      <c r="P290" s="52"/>
      <c r="Q290" s="52"/>
      <c r="R290" s="52"/>
      <c r="S290" s="52"/>
      <c r="T290" s="69">
        <f>SUM(N290:S290)</f>
        <v>0</v>
      </c>
      <c r="U290" s="69">
        <f>T290+L290</f>
        <v>0</v>
      </c>
      <c r="V290" s="70"/>
      <c r="W290" s="53">
        <f>V290-U290</f>
        <v>0</v>
      </c>
      <c r="X290" s="58"/>
    </row>
    <row r="291" spans="1:24" s="55" customFormat="1" ht="18" hidden="1" customHeight="1">
      <c r="A291" s="610"/>
      <c r="B291" s="583"/>
      <c r="C291" s="583"/>
      <c r="D291" s="174" t="s">
        <v>28</v>
      </c>
      <c r="E291" s="56"/>
      <c r="F291" s="52"/>
      <c r="G291" s="52"/>
      <c r="H291" s="52"/>
      <c r="I291" s="52"/>
      <c r="J291" s="52"/>
      <c r="K291" s="52"/>
      <c r="L291" s="69">
        <f>SUM(F291:K291)</f>
        <v>0</v>
      </c>
      <c r="M291" s="69">
        <f>L291/6</f>
        <v>0</v>
      </c>
      <c r="N291" s="52"/>
      <c r="O291" s="52"/>
      <c r="P291" s="52"/>
      <c r="Q291" s="52"/>
      <c r="R291" s="52"/>
      <c r="S291" s="52"/>
      <c r="T291" s="69">
        <f>SUM(N291:S291)</f>
        <v>0</v>
      </c>
      <c r="U291" s="69">
        <f>T291+L291</f>
        <v>0</v>
      </c>
      <c r="V291" s="70"/>
      <c r="W291" s="53">
        <f>V291-U291</f>
        <v>0</v>
      </c>
      <c r="X291" s="58"/>
    </row>
    <row r="292" spans="1:24" s="48" customFormat="1" ht="18" hidden="1" customHeight="1">
      <c r="A292" s="610"/>
      <c r="B292" s="583"/>
      <c r="C292" s="583"/>
      <c r="D292" s="178" t="s">
        <v>106</v>
      </c>
      <c r="E292" s="11"/>
      <c r="F292" s="11"/>
      <c r="G292" s="11"/>
      <c r="H292" s="11"/>
      <c r="I292" s="11"/>
      <c r="J292" s="11"/>
      <c r="K292" s="11"/>
      <c r="L292" s="65">
        <f>SUM(F292:K292)</f>
        <v>0</v>
      </c>
      <c r="M292" s="65">
        <f>L292/6</f>
        <v>0</v>
      </c>
      <c r="N292" s="11"/>
      <c r="O292" s="11"/>
      <c r="P292" s="11"/>
      <c r="Q292" s="11"/>
      <c r="R292" s="11"/>
      <c r="S292" s="11"/>
      <c r="T292" s="65">
        <f>SUM(N292:S292)</f>
        <v>0</v>
      </c>
      <c r="U292" s="65">
        <f>T292+L292</f>
        <v>0</v>
      </c>
      <c r="V292" s="11">
        <f>V287</f>
        <v>0</v>
      </c>
      <c r="W292" s="38">
        <f>V292-U292</f>
        <v>0</v>
      </c>
      <c r="X292" s="47">
        <f>U287-U292</f>
        <v>0</v>
      </c>
    </row>
    <row r="293" spans="1:24" s="51" customFormat="1" ht="18" hidden="1" customHeight="1">
      <c r="A293" s="610"/>
      <c r="B293" s="583"/>
      <c r="C293" s="583"/>
      <c r="D293" s="187" t="s">
        <v>27</v>
      </c>
      <c r="E293" s="49" t="e">
        <f>E294/E292*1000</f>
        <v>#DIV/0!</v>
      </c>
      <c r="F293" s="49"/>
      <c r="G293" s="49"/>
      <c r="H293" s="49"/>
      <c r="I293" s="49"/>
      <c r="J293" s="49"/>
      <c r="K293" s="49"/>
      <c r="L293" s="49" t="e">
        <f>L294/L292*1000</f>
        <v>#DIV/0!</v>
      </c>
      <c r="M293" s="49" t="e">
        <f>M294/M292*1000</f>
        <v>#DIV/0!</v>
      </c>
      <c r="N293" s="49"/>
      <c r="O293" s="49"/>
      <c r="P293" s="49"/>
      <c r="Q293" s="49"/>
      <c r="R293" s="49"/>
      <c r="S293" s="49"/>
      <c r="T293" s="49" t="e">
        <f>T294/T292*1000</f>
        <v>#DIV/0!</v>
      </c>
      <c r="U293" s="49" t="e">
        <f>U294/U292*1000</f>
        <v>#DIV/0!</v>
      </c>
      <c r="V293" s="68" t="e">
        <f>V294/V292*1000</f>
        <v>#DIV/0!</v>
      </c>
      <c r="W293" s="14" t="e">
        <f>W294/W292*1000</f>
        <v>#DIV/0!</v>
      </c>
      <c r="X293" s="59"/>
    </row>
    <row r="294" spans="1:24" s="63" customFormat="1" ht="17.7" hidden="1" customHeight="1">
      <c r="A294" s="610"/>
      <c r="B294" s="583"/>
      <c r="C294" s="583"/>
      <c r="D294" s="198" t="s">
        <v>25</v>
      </c>
      <c r="E294" s="71"/>
      <c r="F294" s="61">
        <f t="shared" ref="F294:K294" si="304">F292*F293/1000</f>
        <v>0</v>
      </c>
      <c r="G294" s="61">
        <f t="shared" si="304"/>
        <v>0</v>
      </c>
      <c r="H294" s="61">
        <f t="shared" si="304"/>
        <v>0</v>
      </c>
      <c r="I294" s="61">
        <f t="shared" si="304"/>
        <v>0</v>
      </c>
      <c r="J294" s="61">
        <f t="shared" si="304"/>
        <v>0</v>
      </c>
      <c r="K294" s="61">
        <f t="shared" si="304"/>
        <v>0</v>
      </c>
      <c r="L294" s="61">
        <f>SUM(F294:K294)</f>
        <v>0</v>
      </c>
      <c r="M294" s="61">
        <f>L294/6</f>
        <v>0</v>
      </c>
      <c r="N294" s="61">
        <f t="shared" ref="N294:S294" si="305">N292*N293/1000</f>
        <v>0</v>
      </c>
      <c r="O294" s="61">
        <f t="shared" si="305"/>
        <v>0</v>
      </c>
      <c r="P294" s="61">
        <f t="shared" si="305"/>
        <v>0</v>
      </c>
      <c r="Q294" s="61">
        <f t="shared" si="305"/>
        <v>0</v>
      </c>
      <c r="R294" s="61">
        <f t="shared" si="305"/>
        <v>0</v>
      </c>
      <c r="S294" s="61">
        <f t="shared" si="305"/>
        <v>0</v>
      </c>
      <c r="T294" s="61">
        <f>SUM(N294:S294)</f>
        <v>0</v>
      </c>
      <c r="U294" s="61">
        <f>T294+L294</f>
        <v>0</v>
      </c>
      <c r="V294" s="61">
        <f>V289</f>
        <v>0</v>
      </c>
      <c r="W294" s="72">
        <f>V294-U294</f>
        <v>0</v>
      </c>
      <c r="X294" s="63">
        <f>U289-U294</f>
        <v>0</v>
      </c>
    </row>
    <row r="295" spans="1:24" s="63" customFormat="1" ht="18" hidden="1" customHeight="1">
      <c r="A295" s="610"/>
      <c r="B295" s="583"/>
      <c r="C295" s="583"/>
      <c r="D295" s="201" t="s">
        <v>55</v>
      </c>
      <c r="E295" s="71"/>
      <c r="F295" s="61"/>
      <c r="G295" s="61"/>
      <c r="H295" s="61"/>
      <c r="I295" s="61"/>
      <c r="J295" s="61"/>
      <c r="K295" s="61"/>
      <c r="L295" s="61">
        <f>SUM(F295:K295)</f>
        <v>0</v>
      </c>
      <c r="M295" s="61">
        <f>L295/6</f>
        <v>0</v>
      </c>
      <c r="N295" s="61"/>
      <c r="O295" s="61"/>
      <c r="P295" s="61"/>
      <c r="Q295" s="61"/>
      <c r="R295" s="61"/>
      <c r="S295" s="61"/>
      <c r="T295" s="61">
        <f>SUM(N295:S295)</f>
        <v>0</v>
      </c>
      <c r="U295" s="61">
        <f>T295+L295</f>
        <v>0</v>
      </c>
      <c r="V295" s="61">
        <f>V290</f>
        <v>0</v>
      </c>
      <c r="W295" s="72">
        <f>V295-U295</f>
        <v>0</v>
      </c>
      <c r="X295" s="63">
        <f>U290-U295</f>
        <v>0</v>
      </c>
    </row>
    <row r="296" spans="1:24" s="63" customFormat="1" ht="18" hidden="1" customHeight="1">
      <c r="A296" s="610"/>
      <c r="B296" s="583"/>
      <c r="C296" s="583"/>
      <c r="D296" s="201" t="s">
        <v>24</v>
      </c>
      <c r="E296" s="71"/>
      <c r="F296" s="61">
        <f t="shared" ref="F296:K296" si="306">F294-F295</f>
        <v>0</v>
      </c>
      <c r="G296" s="61">
        <f t="shared" si="306"/>
        <v>0</v>
      </c>
      <c r="H296" s="61">
        <f t="shared" si="306"/>
        <v>0</v>
      </c>
      <c r="I296" s="61">
        <f t="shared" si="306"/>
        <v>0</v>
      </c>
      <c r="J296" s="61">
        <f t="shared" si="306"/>
        <v>0</v>
      </c>
      <c r="K296" s="61">
        <f t="shared" si="306"/>
        <v>0</v>
      </c>
      <c r="L296" s="61">
        <f>SUM(F296:K296)</f>
        <v>0</v>
      </c>
      <c r="M296" s="61">
        <f>L296/6</f>
        <v>0</v>
      </c>
      <c r="N296" s="61">
        <f t="shared" ref="N296:S296" si="307">N294-N295</f>
        <v>0</v>
      </c>
      <c r="O296" s="61">
        <f t="shared" si="307"/>
        <v>0</v>
      </c>
      <c r="P296" s="61">
        <f t="shared" si="307"/>
        <v>0</v>
      </c>
      <c r="Q296" s="61">
        <f t="shared" si="307"/>
        <v>0</v>
      </c>
      <c r="R296" s="61">
        <f t="shared" si="307"/>
        <v>0</v>
      </c>
      <c r="S296" s="61">
        <f t="shared" si="307"/>
        <v>0</v>
      </c>
      <c r="T296" s="61">
        <f>SUM(N296:S296)</f>
        <v>0</v>
      </c>
      <c r="U296" s="61">
        <f>T296+L296</f>
        <v>0</v>
      </c>
      <c r="V296" s="61">
        <f>V291</f>
        <v>0</v>
      </c>
      <c r="W296" s="72">
        <f>V296-U296</f>
        <v>0</v>
      </c>
      <c r="X296" s="63">
        <f>U291-U296</f>
        <v>0</v>
      </c>
    </row>
    <row r="297" spans="1:24" s="43" customFormat="1" ht="18" hidden="1" customHeight="1">
      <c r="A297" s="610"/>
      <c r="B297" s="583"/>
      <c r="C297" s="583"/>
      <c r="D297" s="202" t="s">
        <v>29</v>
      </c>
      <c r="E297" s="42"/>
      <c r="F297" s="42">
        <f t="shared" ref="F297:K297" si="308">F291</f>
        <v>0</v>
      </c>
      <c r="G297" s="42">
        <f t="shared" si="308"/>
        <v>0</v>
      </c>
      <c r="H297" s="42">
        <f t="shared" si="308"/>
        <v>0</v>
      </c>
      <c r="I297" s="42">
        <f t="shared" si="308"/>
        <v>0</v>
      </c>
      <c r="J297" s="42">
        <f t="shared" si="308"/>
        <v>0</v>
      </c>
      <c r="K297" s="42">
        <f t="shared" si="308"/>
        <v>0</v>
      </c>
      <c r="L297" s="42">
        <f>SUM(F297:K297)</f>
        <v>0</v>
      </c>
      <c r="M297" s="42">
        <f>L297/6</f>
        <v>0</v>
      </c>
      <c r="N297" s="42">
        <f t="shared" ref="N297:S297" si="309">N291+N290</f>
        <v>0</v>
      </c>
      <c r="O297" s="42">
        <f t="shared" si="309"/>
        <v>0</v>
      </c>
      <c r="P297" s="42">
        <f t="shared" si="309"/>
        <v>0</v>
      </c>
      <c r="Q297" s="42">
        <f t="shared" si="309"/>
        <v>0</v>
      </c>
      <c r="R297" s="42">
        <f t="shared" si="309"/>
        <v>0</v>
      </c>
      <c r="S297" s="42">
        <f t="shared" si="309"/>
        <v>0</v>
      </c>
      <c r="T297" s="42">
        <f>SUM(N297:S297)</f>
        <v>0</v>
      </c>
      <c r="U297" s="42">
        <f>T297+L297</f>
        <v>0</v>
      </c>
      <c r="V297" s="42">
        <f>V294</f>
        <v>0</v>
      </c>
      <c r="W297" s="42">
        <f>V297-U297</f>
        <v>0</v>
      </c>
    </row>
    <row r="298" spans="1:24" s="43" customFormat="1" ht="18" hidden="1" customHeight="1">
      <c r="A298" s="610"/>
      <c r="B298" s="583"/>
      <c r="C298" s="583"/>
      <c r="D298" s="202" t="s">
        <v>30</v>
      </c>
      <c r="E298" s="42"/>
      <c r="F298" s="42">
        <f t="shared" ref="F298:K298" si="310">F294-F297</f>
        <v>0</v>
      </c>
      <c r="G298" s="42">
        <f t="shared" si="310"/>
        <v>0</v>
      </c>
      <c r="H298" s="42">
        <f t="shared" si="310"/>
        <v>0</v>
      </c>
      <c r="I298" s="42">
        <f t="shared" si="310"/>
        <v>0</v>
      </c>
      <c r="J298" s="42">
        <f t="shared" si="310"/>
        <v>0</v>
      </c>
      <c r="K298" s="42">
        <f t="shared" si="310"/>
        <v>0</v>
      </c>
      <c r="L298" s="42"/>
      <c r="M298" s="42"/>
      <c r="N298" s="42">
        <f t="shared" ref="N298:S298" si="311">N294-N297</f>
        <v>0</v>
      </c>
      <c r="O298" s="42">
        <f t="shared" si="311"/>
        <v>0</v>
      </c>
      <c r="P298" s="42">
        <f t="shared" si="311"/>
        <v>0</v>
      </c>
      <c r="Q298" s="42">
        <f t="shared" si="311"/>
        <v>0</v>
      </c>
      <c r="R298" s="42">
        <f t="shared" si="311"/>
        <v>0</v>
      </c>
      <c r="S298" s="42">
        <f t="shared" si="311"/>
        <v>0</v>
      </c>
      <c r="T298" s="42"/>
      <c r="U298" s="42"/>
      <c r="V298" s="42"/>
      <c r="W298" s="42"/>
    </row>
    <row r="299" spans="1:24" s="43" customFormat="1" ht="18" hidden="1" customHeight="1">
      <c r="A299" s="610"/>
      <c r="B299" s="583"/>
      <c r="C299" s="584"/>
      <c r="D299" s="202" t="s">
        <v>31</v>
      </c>
      <c r="E299" s="42"/>
      <c r="F299" s="42">
        <f>F298</f>
        <v>0</v>
      </c>
      <c r="G299" s="42">
        <f>G298+F299</f>
        <v>0</v>
      </c>
      <c r="H299" s="42">
        <f>H298+G299</f>
        <v>0</v>
      </c>
      <c r="I299" s="42">
        <f>I298+H299</f>
        <v>0</v>
      </c>
      <c r="J299" s="42">
        <f>J298+I299</f>
        <v>0</v>
      </c>
      <c r="K299" s="42">
        <f>K298+J299</f>
        <v>0</v>
      </c>
      <c r="L299" s="42"/>
      <c r="M299" s="42"/>
      <c r="N299" s="42">
        <f>N298+K299</f>
        <v>0</v>
      </c>
      <c r="O299" s="42">
        <f>O298+N299</f>
        <v>0</v>
      </c>
      <c r="P299" s="42">
        <f>P298+O299</f>
        <v>0</v>
      </c>
      <c r="Q299" s="42">
        <f>Q298+P299</f>
        <v>0</v>
      </c>
      <c r="R299" s="42">
        <f>R298+Q299</f>
        <v>0</v>
      </c>
      <c r="S299" s="42">
        <f>S298+R299</f>
        <v>0</v>
      </c>
      <c r="T299" s="42"/>
      <c r="U299" s="42"/>
      <c r="V299" s="42"/>
      <c r="W299" s="42"/>
    </row>
    <row r="300" spans="1:24" s="47" customFormat="1" ht="18" hidden="1" customHeight="1">
      <c r="A300" s="610"/>
      <c r="B300" s="581" t="s">
        <v>59</v>
      </c>
      <c r="C300" s="582" t="s">
        <v>97</v>
      </c>
      <c r="D300" s="178" t="s">
        <v>93</v>
      </c>
      <c r="E300" s="11"/>
      <c r="F300" s="12"/>
      <c r="G300" s="12"/>
      <c r="H300" s="12"/>
      <c r="I300" s="12"/>
      <c r="J300" s="12"/>
      <c r="K300" s="12"/>
      <c r="L300" s="65">
        <f>SUM(F300:K300)</f>
        <v>0</v>
      </c>
      <c r="M300" s="65">
        <f>L300/6</f>
        <v>0</v>
      </c>
      <c r="N300" s="12"/>
      <c r="O300" s="12"/>
      <c r="P300" s="12"/>
      <c r="Q300" s="12"/>
      <c r="R300" s="12"/>
      <c r="S300" s="12"/>
      <c r="T300" s="65">
        <f>SUM(N300:S300)</f>
        <v>0</v>
      </c>
      <c r="U300" s="66">
        <f>T300+L300</f>
        <v>0</v>
      </c>
      <c r="V300" s="67"/>
      <c r="W300" s="38">
        <f>V300-U300</f>
        <v>0</v>
      </c>
    </row>
    <row r="301" spans="1:24" s="47" customFormat="1" ht="18" hidden="1" customHeight="1">
      <c r="A301" s="610"/>
      <c r="B301" s="581"/>
      <c r="C301" s="583"/>
      <c r="D301" s="178" t="s">
        <v>95</v>
      </c>
      <c r="E301" s="11"/>
      <c r="F301" s="12"/>
      <c r="G301" s="12"/>
      <c r="H301" s="12"/>
      <c r="I301" s="12"/>
      <c r="J301" s="12"/>
      <c r="K301" s="12"/>
      <c r="L301" s="65">
        <f>SUM(F301:K301)</f>
        <v>0</v>
      </c>
      <c r="M301" s="65">
        <f>L301/6</f>
        <v>0</v>
      </c>
      <c r="N301" s="11"/>
      <c r="O301" s="11"/>
      <c r="P301" s="11"/>
      <c r="Q301" s="11"/>
      <c r="R301" s="11"/>
      <c r="S301" s="11"/>
      <c r="T301" s="65">
        <f>SUM(N301:S301)</f>
        <v>0</v>
      </c>
      <c r="U301" s="66">
        <f>T301+L301</f>
        <v>0</v>
      </c>
      <c r="V301" s="67"/>
      <c r="W301" s="38">
        <f>V301-U301</f>
        <v>0</v>
      </c>
    </row>
    <row r="302" spans="1:24" s="47" customFormat="1" ht="18" hidden="1" customHeight="1">
      <c r="A302" s="610"/>
      <c r="B302" s="581"/>
      <c r="C302" s="583"/>
      <c r="D302" s="178" t="s">
        <v>105</v>
      </c>
      <c r="E302" s="11"/>
      <c r="F302" s="12"/>
      <c r="G302" s="12"/>
      <c r="H302" s="12"/>
      <c r="I302" s="12"/>
      <c r="J302" s="12"/>
      <c r="K302" s="12"/>
      <c r="L302" s="65">
        <f>SUM(F302:K302)</f>
        <v>0</v>
      </c>
      <c r="M302" s="65">
        <f>L302/6</f>
        <v>0</v>
      </c>
      <c r="N302" s="12"/>
      <c r="O302" s="12"/>
      <c r="P302" s="12"/>
      <c r="Q302" s="12"/>
      <c r="R302" s="12"/>
      <c r="S302" s="11"/>
      <c r="T302" s="65">
        <f>SUM(N302:S302)</f>
        <v>0</v>
      </c>
      <c r="U302" s="66">
        <f>T302+L302</f>
        <v>0</v>
      </c>
      <c r="V302" s="11"/>
      <c r="W302" s="38">
        <f>V302-U302</f>
        <v>0</v>
      </c>
    </row>
    <row r="303" spans="1:24" s="47" customFormat="1" ht="18" hidden="1" customHeight="1">
      <c r="A303" s="610"/>
      <c r="B303" s="581"/>
      <c r="C303" s="583"/>
      <c r="D303" s="187" t="s">
        <v>27</v>
      </c>
      <c r="E303" s="49"/>
      <c r="F303" s="49"/>
      <c r="G303" s="49"/>
      <c r="H303" s="49"/>
      <c r="I303" s="49"/>
      <c r="J303" s="49"/>
      <c r="K303" s="49"/>
      <c r="L303" s="49" t="e">
        <f>L304/L302*1000</f>
        <v>#DIV/0!</v>
      </c>
      <c r="M303" s="49" t="e">
        <f>M304/M302*1000</f>
        <v>#DIV/0!</v>
      </c>
      <c r="N303" s="49"/>
      <c r="O303" s="49"/>
      <c r="P303" s="49"/>
      <c r="Q303" s="49"/>
      <c r="R303" s="49"/>
      <c r="S303" s="49"/>
      <c r="T303" s="49" t="e">
        <f>T304/T302*1000</f>
        <v>#DIV/0!</v>
      </c>
      <c r="U303" s="49" t="e">
        <f>U304/U302*1000</f>
        <v>#DIV/0!</v>
      </c>
      <c r="V303" s="68" t="e">
        <f>V304/V302*1000</f>
        <v>#DIV/0!</v>
      </c>
      <c r="W303" s="14" t="e">
        <f>W304/W302*1000</f>
        <v>#DIV/0!</v>
      </c>
    </row>
    <row r="304" spans="1:24" s="47" customFormat="1" ht="18" hidden="1" customHeight="1">
      <c r="A304" s="610"/>
      <c r="B304" s="581"/>
      <c r="C304" s="583"/>
      <c r="D304" s="191" t="s">
        <v>0</v>
      </c>
      <c r="E304" s="52"/>
      <c r="F304" s="52">
        <f t="shared" ref="F304:K304" si="312">F302*F303/1000</f>
        <v>0</v>
      </c>
      <c r="G304" s="52">
        <f t="shared" si="312"/>
        <v>0</v>
      </c>
      <c r="H304" s="52">
        <f t="shared" si="312"/>
        <v>0</v>
      </c>
      <c r="I304" s="52">
        <f t="shared" si="312"/>
        <v>0</v>
      </c>
      <c r="J304" s="52">
        <f t="shared" si="312"/>
        <v>0</v>
      </c>
      <c r="K304" s="52">
        <f t="shared" si="312"/>
        <v>0</v>
      </c>
      <c r="L304" s="69">
        <f>SUM(F304:K304)</f>
        <v>0</v>
      </c>
      <c r="M304" s="69">
        <f>L304/6</f>
        <v>0</v>
      </c>
      <c r="N304" s="52">
        <f t="shared" ref="N304:S304" si="313">N302*N303/1000</f>
        <v>0</v>
      </c>
      <c r="O304" s="52">
        <f t="shared" si="313"/>
        <v>0</v>
      </c>
      <c r="P304" s="52">
        <f t="shared" si="313"/>
        <v>0</v>
      </c>
      <c r="Q304" s="52">
        <f t="shared" si="313"/>
        <v>0</v>
      </c>
      <c r="R304" s="52">
        <f t="shared" si="313"/>
        <v>0</v>
      </c>
      <c r="S304" s="52">
        <f t="shared" si="313"/>
        <v>0</v>
      </c>
      <c r="T304" s="69">
        <f>SUM(N304:S304)</f>
        <v>0</v>
      </c>
      <c r="U304" s="69">
        <f>T304+L304</f>
        <v>0</v>
      </c>
      <c r="V304" s="70">
        <f>V305+V306</f>
        <v>0</v>
      </c>
      <c r="W304" s="53">
        <f>V304-U304</f>
        <v>0</v>
      </c>
    </row>
    <row r="305" spans="1:24" s="47" customFormat="1" ht="18" hidden="1" customHeight="1">
      <c r="A305" s="610"/>
      <c r="B305" s="581"/>
      <c r="C305" s="583"/>
      <c r="D305" s="174" t="s">
        <v>55</v>
      </c>
      <c r="E305" s="56"/>
      <c r="F305" s="52"/>
      <c r="G305" s="52"/>
      <c r="H305" s="52"/>
      <c r="I305" s="52"/>
      <c r="J305" s="52"/>
      <c r="K305" s="52"/>
      <c r="L305" s="69">
        <f>SUM(F305:K305)</f>
        <v>0</v>
      </c>
      <c r="M305" s="69">
        <f>L305/6</f>
        <v>0</v>
      </c>
      <c r="N305" s="52"/>
      <c r="O305" s="52"/>
      <c r="P305" s="52"/>
      <c r="Q305" s="52"/>
      <c r="R305" s="52"/>
      <c r="S305" s="52"/>
      <c r="T305" s="69">
        <f>SUM(N305:S305)</f>
        <v>0</v>
      </c>
      <c r="U305" s="69">
        <f>T305+L305</f>
        <v>0</v>
      </c>
      <c r="V305" s="70"/>
      <c r="W305" s="53">
        <f>V305-U305</f>
        <v>0</v>
      </c>
    </row>
    <row r="306" spans="1:24" s="47" customFormat="1" ht="18" hidden="1" customHeight="1">
      <c r="A306" s="610"/>
      <c r="B306" s="581"/>
      <c r="C306" s="583"/>
      <c r="D306" s="174" t="s">
        <v>28</v>
      </c>
      <c r="E306" s="56"/>
      <c r="F306" s="52"/>
      <c r="G306" s="52"/>
      <c r="H306" s="52"/>
      <c r="I306" s="52"/>
      <c r="J306" s="52"/>
      <c r="K306" s="52"/>
      <c r="L306" s="69">
        <f>SUM(F306:K306)</f>
        <v>0</v>
      </c>
      <c r="M306" s="69">
        <f>L306/6</f>
        <v>0</v>
      </c>
      <c r="N306" s="52"/>
      <c r="O306" s="52"/>
      <c r="P306" s="52"/>
      <c r="Q306" s="52"/>
      <c r="R306" s="52"/>
      <c r="S306" s="52"/>
      <c r="T306" s="69">
        <f>SUM(N306:S306)</f>
        <v>0</v>
      </c>
      <c r="U306" s="69">
        <f>T306+L306</f>
        <v>0</v>
      </c>
      <c r="V306" s="70"/>
      <c r="W306" s="53">
        <f>V306-U306</f>
        <v>0</v>
      </c>
    </row>
    <row r="307" spans="1:24" s="47" customFormat="1" ht="18" hidden="1" customHeight="1">
      <c r="A307" s="610"/>
      <c r="B307" s="581"/>
      <c r="C307" s="583"/>
      <c r="D307" s="178" t="s">
        <v>106</v>
      </c>
      <c r="E307" s="11"/>
      <c r="F307" s="11"/>
      <c r="G307" s="11"/>
      <c r="H307" s="11"/>
      <c r="I307" s="11"/>
      <c r="J307" s="11"/>
      <c r="K307" s="11"/>
      <c r="L307" s="65">
        <f>SUM(F307:K307)</f>
        <v>0</v>
      </c>
      <c r="M307" s="65">
        <f>L307/6</f>
        <v>0</v>
      </c>
      <c r="N307" s="11"/>
      <c r="O307" s="11"/>
      <c r="P307" s="11"/>
      <c r="Q307" s="11"/>
      <c r="R307" s="11"/>
      <c r="S307" s="11">
        <f>S302+R302</f>
        <v>0</v>
      </c>
      <c r="T307" s="65">
        <f>SUM(N307:S307)</f>
        <v>0</v>
      </c>
      <c r="U307" s="65">
        <f>T307+L307</f>
        <v>0</v>
      </c>
      <c r="V307" s="11">
        <f>V302</f>
        <v>0</v>
      </c>
      <c r="W307" s="38">
        <f>V307-U307</f>
        <v>0</v>
      </c>
      <c r="X307" s="47">
        <f>U302-U307</f>
        <v>0</v>
      </c>
    </row>
    <row r="308" spans="1:24" s="47" customFormat="1" ht="18" hidden="1" customHeight="1">
      <c r="A308" s="610"/>
      <c r="B308" s="581"/>
      <c r="C308" s="583"/>
      <c r="D308" s="187" t="s">
        <v>27</v>
      </c>
      <c r="E308" s="49" t="e">
        <f>E309/E307*1000</f>
        <v>#DIV/0!</v>
      </c>
      <c r="F308" s="49"/>
      <c r="G308" s="49"/>
      <c r="H308" s="49"/>
      <c r="I308" s="49"/>
      <c r="J308" s="49"/>
      <c r="K308" s="49"/>
      <c r="L308" s="49" t="e">
        <f>L309/L307*1000</f>
        <v>#DIV/0!</v>
      </c>
      <c r="M308" s="49" t="e">
        <f>M309/M307*1000</f>
        <v>#DIV/0!</v>
      </c>
      <c r="N308" s="49"/>
      <c r="O308" s="49"/>
      <c r="P308" s="49"/>
      <c r="Q308" s="49"/>
      <c r="R308" s="49"/>
      <c r="S308" s="49"/>
      <c r="T308" s="49" t="e">
        <f>T309/T307*1000</f>
        <v>#DIV/0!</v>
      </c>
      <c r="U308" s="49" t="e">
        <f>U309/U307*1000</f>
        <v>#DIV/0!</v>
      </c>
      <c r="V308" s="68" t="e">
        <f>V309/V307*1000</f>
        <v>#DIV/0!</v>
      </c>
      <c r="W308" s="14" t="e">
        <f>W309/W307*1000</f>
        <v>#DIV/0!</v>
      </c>
    </row>
    <row r="309" spans="1:24" s="63" customFormat="1" ht="18" hidden="1" customHeight="1">
      <c r="A309" s="610"/>
      <c r="B309" s="581"/>
      <c r="C309" s="583"/>
      <c r="D309" s="198" t="s">
        <v>25</v>
      </c>
      <c r="E309" s="71"/>
      <c r="F309" s="61">
        <f t="shared" ref="F309:K309" si="314">F307*F308/1000</f>
        <v>0</v>
      </c>
      <c r="G309" s="61">
        <f t="shared" si="314"/>
        <v>0</v>
      </c>
      <c r="H309" s="61">
        <f t="shared" si="314"/>
        <v>0</v>
      </c>
      <c r="I309" s="61">
        <f t="shared" si="314"/>
        <v>0</v>
      </c>
      <c r="J309" s="61">
        <f t="shared" si="314"/>
        <v>0</v>
      </c>
      <c r="K309" s="61">
        <f t="shared" si="314"/>
        <v>0</v>
      </c>
      <c r="L309" s="61">
        <f>SUM(F309:K309)</f>
        <v>0</v>
      </c>
      <c r="M309" s="61">
        <f>L309/6</f>
        <v>0</v>
      </c>
      <c r="N309" s="61">
        <f t="shared" ref="N309:S309" si="315">N307*N308/1000</f>
        <v>0</v>
      </c>
      <c r="O309" s="61">
        <f t="shared" si="315"/>
        <v>0</v>
      </c>
      <c r="P309" s="61">
        <f t="shared" si="315"/>
        <v>0</v>
      </c>
      <c r="Q309" s="61">
        <f t="shared" si="315"/>
        <v>0</v>
      </c>
      <c r="R309" s="61">
        <f t="shared" si="315"/>
        <v>0</v>
      </c>
      <c r="S309" s="61">
        <f t="shared" si="315"/>
        <v>0</v>
      </c>
      <c r="T309" s="61">
        <f>SUM(N309:S309)</f>
        <v>0</v>
      </c>
      <c r="U309" s="61">
        <f>T309+L309</f>
        <v>0</v>
      </c>
      <c r="V309" s="61">
        <f>V304</f>
        <v>0</v>
      </c>
      <c r="W309" s="72">
        <f>V309-U309</f>
        <v>0</v>
      </c>
      <c r="X309" s="63">
        <f>U304-U309</f>
        <v>0</v>
      </c>
    </row>
    <row r="310" spans="1:24" s="63" customFormat="1" ht="18" hidden="1" customHeight="1">
      <c r="A310" s="610"/>
      <c r="B310" s="581"/>
      <c r="C310" s="583"/>
      <c r="D310" s="201" t="s">
        <v>55</v>
      </c>
      <c r="E310" s="71"/>
      <c r="F310" s="61"/>
      <c r="G310" s="61"/>
      <c r="H310" s="61"/>
      <c r="I310" s="61"/>
      <c r="J310" s="61"/>
      <c r="K310" s="61"/>
      <c r="L310" s="61">
        <f>SUM(F310:K310)</f>
        <v>0</v>
      </c>
      <c r="M310" s="61">
        <f>L310/6</f>
        <v>0</v>
      </c>
      <c r="N310" s="61"/>
      <c r="O310" s="61"/>
      <c r="P310" s="61"/>
      <c r="Q310" s="61"/>
      <c r="R310" s="61"/>
      <c r="S310" s="61"/>
      <c r="T310" s="61">
        <f>SUM(N310:S310)</f>
        <v>0</v>
      </c>
      <c r="U310" s="61">
        <f>T310+L310</f>
        <v>0</v>
      </c>
      <c r="V310" s="61">
        <f>V305</f>
        <v>0</v>
      </c>
      <c r="W310" s="72">
        <f>V310-U310</f>
        <v>0</v>
      </c>
      <c r="X310" s="63">
        <f>U305-U310</f>
        <v>0</v>
      </c>
    </row>
    <row r="311" spans="1:24" s="63" customFormat="1" ht="18" hidden="1" customHeight="1">
      <c r="A311" s="610"/>
      <c r="B311" s="581"/>
      <c r="C311" s="583"/>
      <c r="D311" s="201" t="s">
        <v>24</v>
      </c>
      <c r="E311" s="71"/>
      <c r="F311" s="61">
        <f t="shared" ref="F311:K311" si="316">F309-F310</f>
        <v>0</v>
      </c>
      <c r="G311" s="61">
        <f t="shared" si="316"/>
        <v>0</v>
      </c>
      <c r="H311" s="61">
        <f t="shared" si="316"/>
        <v>0</v>
      </c>
      <c r="I311" s="61">
        <f t="shared" si="316"/>
        <v>0</v>
      </c>
      <c r="J311" s="61">
        <f t="shared" si="316"/>
        <v>0</v>
      </c>
      <c r="K311" s="61">
        <f t="shared" si="316"/>
        <v>0</v>
      </c>
      <c r="L311" s="61">
        <f>SUM(F311:K311)</f>
        <v>0</v>
      </c>
      <c r="M311" s="61">
        <f>L311/6</f>
        <v>0</v>
      </c>
      <c r="N311" s="61">
        <f t="shared" ref="N311:S311" si="317">N309-N310</f>
        <v>0</v>
      </c>
      <c r="O311" s="61">
        <f t="shared" si="317"/>
        <v>0</v>
      </c>
      <c r="P311" s="61">
        <f t="shared" si="317"/>
        <v>0</v>
      </c>
      <c r="Q311" s="61">
        <f t="shared" si="317"/>
        <v>0</v>
      </c>
      <c r="R311" s="61">
        <f t="shared" si="317"/>
        <v>0</v>
      </c>
      <c r="S311" s="61">
        <f t="shared" si="317"/>
        <v>0</v>
      </c>
      <c r="T311" s="61">
        <f>SUM(N311:S311)</f>
        <v>0</v>
      </c>
      <c r="U311" s="61">
        <f>T311+L311</f>
        <v>0</v>
      </c>
      <c r="V311" s="61">
        <f>V306</f>
        <v>0</v>
      </c>
      <c r="W311" s="72">
        <f>V311-U311</f>
        <v>0</v>
      </c>
      <c r="X311" s="63">
        <f>U306-U311</f>
        <v>0</v>
      </c>
    </row>
    <row r="312" spans="1:24" s="43" customFormat="1" ht="18" hidden="1" customHeight="1">
      <c r="A312" s="610"/>
      <c r="B312" s="581"/>
      <c r="C312" s="583"/>
      <c r="D312" s="202" t="s">
        <v>29</v>
      </c>
      <c r="E312" s="42"/>
      <c r="F312" s="42">
        <f t="shared" ref="F312:K312" si="318">F306</f>
        <v>0</v>
      </c>
      <c r="G312" s="42">
        <f t="shared" si="318"/>
        <v>0</v>
      </c>
      <c r="H312" s="42">
        <f t="shared" si="318"/>
        <v>0</v>
      </c>
      <c r="I312" s="42">
        <f t="shared" si="318"/>
        <v>0</v>
      </c>
      <c r="J312" s="42">
        <f t="shared" si="318"/>
        <v>0</v>
      </c>
      <c r="K312" s="42">
        <f t="shared" si="318"/>
        <v>0</v>
      </c>
      <c r="L312" s="42">
        <f>SUM(F312:K312)</f>
        <v>0</v>
      </c>
      <c r="M312" s="42">
        <f>L312/6</f>
        <v>0</v>
      </c>
      <c r="N312" s="42">
        <f t="shared" ref="N312:S312" si="319">N306+N305</f>
        <v>0</v>
      </c>
      <c r="O312" s="42">
        <f t="shared" si="319"/>
        <v>0</v>
      </c>
      <c r="P312" s="42">
        <f t="shared" si="319"/>
        <v>0</v>
      </c>
      <c r="Q312" s="42">
        <f t="shared" si="319"/>
        <v>0</v>
      </c>
      <c r="R312" s="42">
        <f t="shared" si="319"/>
        <v>0</v>
      </c>
      <c r="S312" s="42">
        <f t="shared" si="319"/>
        <v>0</v>
      </c>
      <c r="T312" s="42">
        <f>SUM(N312:S312)</f>
        <v>0</v>
      </c>
      <c r="U312" s="42">
        <f>T312+L312</f>
        <v>0</v>
      </c>
      <c r="V312" s="42">
        <f>V309</f>
        <v>0</v>
      </c>
      <c r="W312" s="42">
        <f>V312-U312</f>
        <v>0</v>
      </c>
    </row>
    <row r="313" spans="1:24" s="43" customFormat="1" ht="18" hidden="1" customHeight="1">
      <c r="A313" s="610"/>
      <c r="B313" s="581"/>
      <c r="C313" s="583"/>
      <c r="D313" s="202" t="s">
        <v>30</v>
      </c>
      <c r="E313" s="42"/>
      <c r="F313" s="42">
        <f t="shared" ref="F313:K313" si="320">F309-F312</f>
        <v>0</v>
      </c>
      <c r="G313" s="42">
        <f t="shared" si="320"/>
        <v>0</v>
      </c>
      <c r="H313" s="42">
        <f t="shared" si="320"/>
        <v>0</v>
      </c>
      <c r="I313" s="42">
        <f t="shared" si="320"/>
        <v>0</v>
      </c>
      <c r="J313" s="42">
        <f t="shared" si="320"/>
        <v>0</v>
      </c>
      <c r="K313" s="42">
        <f t="shared" si="320"/>
        <v>0</v>
      </c>
      <c r="L313" s="42"/>
      <c r="M313" s="42"/>
      <c r="N313" s="42">
        <f t="shared" ref="N313:S313" si="321">N309-N312</f>
        <v>0</v>
      </c>
      <c r="O313" s="42">
        <f t="shared" si="321"/>
        <v>0</v>
      </c>
      <c r="P313" s="42">
        <f t="shared" si="321"/>
        <v>0</v>
      </c>
      <c r="Q313" s="42">
        <f t="shared" si="321"/>
        <v>0</v>
      </c>
      <c r="R313" s="42">
        <f t="shared" si="321"/>
        <v>0</v>
      </c>
      <c r="S313" s="42">
        <f t="shared" si="321"/>
        <v>0</v>
      </c>
      <c r="T313" s="42"/>
      <c r="U313" s="42"/>
      <c r="V313" s="42"/>
      <c r="W313" s="42"/>
    </row>
    <row r="314" spans="1:24" s="43" customFormat="1" ht="18" hidden="1" customHeight="1">
      <c r="A314" s="610"/>
      <c r="B314" s="581"/>
      <c r="C314" s="584"/>
      <c r="D314" s="202" t="s">
        <v>31</v>
      </c>
      <c r="E314" s="42"/>
      <c r="F314" s="42">
        <f>F313</f>
        <v>0</v>
      </c>
      <c r="G314" s="42">
        <f>G313+F314</f>
        <v>0</v>
      </c>
      <c r="H314" s="42">
        <f>H313+G314</f>
        <v>0</v>
      </c>
      <c r="I314" s="42">
        <f>I313+H314</f>
        <v>0</v>
      </c>
      <c r="J314" s="42">
        <f>J313+I314</f>
        <v>0</v>
      </c>
      <c r="K314" s="42">
        <f>K313+J314</f>
        <v>0</v>
      </c>
      <c r="L314" s="42"/>
      <c r="M314" s="42"/>
      <c r="N314" s="42">
        <f>N313+K314</f>
        <v>0</v>
      </c>
      <c r="O314" s="42">
        <f>O313+N314</f>
        <v>0</v>
      </c>
      <c r="P314" s="42">
        <f>P313+O314</f>
        <v>0</v>
      </c>
      <c r="Q314" s="42">
        <f>Q313+P314</f>
        <v>0</v>
      </c>
      <c r="R314" s="42">
        <f>R313+Q314</f>
        <v>0</v>
      </c>
      <c r="S314" s="42">
        <f>S313+R314</f>
        <v>0</v>
      </c>
      <c r="T314" s="42"/>
      <c r="U314" s="42"/>
      <c r="V314" s="42"/>
      <c r="W314" s="42"/>
    </row>
    <row r="315" spans="1:24" s="48" customFormat="1" ht="18" hidden="1" customHeight="1">
      <c r="A315" s="610"/>
      <c r="B315" s="581"/>
      <c r="C315" s="582" t="s">
        <v>96</v>
      </c>
      <c r="D315" s="178" t="s">
        <v>93</v>
      </c>
      <c r="E315" s="11"/>
      <c r="F315" s="12"/>
      <c r="G315" s="12"/>
      <c r="H315" s="12"/>
      <c r="I315" s="12"/>
      <c r="J315" s="12"/>
      <c r="K315" s="12"/>
      <c r="L315" s="65">
        <f>SUM(F315:K315)</f>
        <v>0</v>
      </c>
      <c r="M315" s="65">
        <f>L315/6</f>
        <v>0</v>
      </c>
      <c r="N315" s="12"/>
      <c r="O315" s="12"/>
      <c r="P315" s="12"/>
      <c r="Q315" s="12"/>
      <c r="R315" s="12"/>
      <c r="S315" s="12"/>
      <c r="T315" s="65">
        <f>SUM(N315:S315)</f>
        <v>0</v>
      </c>
      <c r="U315" s="66">
        <f>T315+L315</f>
        <v>0</v>
      </c>
      <c r="V315" s="67"/>
      <c r="W315" s="38">
        <f>V315-U315</f>
        <v>0</v>
      </c>
      <c r="X315" s="47"/>
    </row>
    <row r="316" spans="1:24" s="48" customFormat="1" ht="18" hidden="1" customHeight="1">
      <c r="A316" s="610"/>
      <c r="B316" s="581"/>
      <c r="C316" s="583"/>
      <c r="D316" s="178" t="s">
        <v>95</v>
      </c>
      <c r="E316" s="11"/>
      <c r="F316" s="12"/>
      <c r="G316" s="12"/>
      <c r="H316" s="12"/>
      <c r="I316" s="12"/>
      <c r="J316" s="12"/>
      <c r="K316" s="12"/>
      <c r="L316" s="65">
        <f>SUM(F316:K316)</f>
        <v>0</v>
      </c>
      <c r="M316" s="65">
        <f>L316/6</f>
        <v>0</v>
      </c>
      <c r="N316" s="11"/>
      <c r="O316" s="11"/>
      <c r="P316" s="11"/>
      <c r="Q316" s="11"/>
      <c r="R316" s="11"/>
      <c r="S316" s="11"/>
      <c r="T316" s="65">
        <f>SUM(N316:S316)</f>
        <v>0</v>
      </c>
      <c r="U316" s="66">
        <f>T316+L316</f>
        <v>0</v>
      </c>
      <c r="V316" s="67"/>
      <c r="W316" s="38">
        <f>V316-U316</f>
        <v>0</v>
      </c>
      <c r="X316" s="47"/>
    </row>
    <row r="317" spans="1:24" s="48" customFormat="1" ht="18" hidden="1" customHeight="1">
      <c r="A317" s="610"/>
      <c r="B317" s="581"/>
      <c r="C317" s="583"/>
      <c r="D317" s="178" t="s">
        <v>105</v>
      </c>
      <c r="E317" s="11"/>
      <c r="F317" s="12"/>
      <c r="G317" s="12"/>
      <c r="H317" s="12"/>
      <c r="I317" s="12"/>
      <c r="J317" s="12"/>
      <c r="K317" s="12"/>
      <c r="L317" s="65">
        <f>SUM(F317:K317)</f>
        <v>0</v>
      </c>
      <c r="M317" s="65">
        <f>L317/6</f>
        <v>0</v>
      </c>
      <c r="N317" s="12"/>
      <c r="O317" s="12"/>
      <c r="P317" s="12"/>
      <c r="Q317" s="12"/>
      <c r="R317" s="12"/>
      <c r="S317" s="11"/>
      <c r="T317" s="65">
        <f>SUM(N317:S317)</f>
        <v>0</v>
      </c>
      <c r="U317" s="66">
        <f>T317+L317</f>
        <v>0</v>
      </c>
      <c r="V317" s="11"/>
      <c r="W317" s="38">
        <f>V317-U317</f>
        <v>0</v>
      </c>
      <c r="X317" s="47"/>
    </row>
    <row r="318" spans="1:24" s="51" customFormat="1" ht="18" hidden="1" customHeight="1">
      <c r="A318" s="610"/>
      <c r="B318" s="581"/>
      <c r="C318" s="583"/>
      <c r="D318" s="187" t="s">
        <v>27</v>
      </c>
      <c r="E318" s="49"/>
      <c r="F318" s="49"/>
      <c r="G318" s="49"/>
      <c r="H318" s="49"/>
      <c r="I318" s="49"/>
      <c r="J318" s="49"/>
      <c r="K318" s="49"/>
      <c r="L318" s="49" t="e">
        <f>L319/L317*1000</f>
        <v>#DIV/0!</v>
      </c>
      <c r="M318" s="49" t="e">
        <f>M319/M317*1000</f>
        <v>#DIV/0!</v>
      </c>
      <c r="N318" s="49"/>
      <c r="O318" s="49"/>
      <c r="P318" s="49"/>
      <c r="Q318" s="49"/>
      <c r="R318" s="49"/>
      <c r="S318" s="49"/>
      <c r="T318" s="49" t="e">
        <f>T319/T317*1000</f>
        <v>#DIV/0!</v>
      </c>
      <c r="U318" s="49" t="e">
        <f>U319/U317*1000</f>
        <v>#DIV/0!</v>
      </c>
      <c r="V318" s="68" t="e">
        <f>V319/V317*1000</f>
        <v>#DIV/0!</v>
      </c>
      <c r="W318" s="14" t="e">
        <f>W319/W317*1000</f>
        <v>#DIV/0!</v>
      </c>
      <c r="X318" s="50"/>
    </row>
    <row r="319" spans="1:24" s="55" customFormat="1" ht="18" hidden="1" customHeight="1">
      <c r="A319" s="610"/>
      <c r="B319" s="581"/>
      <c r="C319" s="583"/>
      <c r="D319" s="191" t="s">
        <v>0</v>
      </c>
      <c r="E319" s="52"/>
      <c r="F319" s="52">
        <f t="shared" ref="F319:K319" si="322">F317*F318/1000</f>
        <v>0</v>
      </c>
      <c r="G319" s="52">
        <f t="shared" si="322"/>
        <v>0</v>
      </c>
      <c r="H319" s="52">
        <f t="shared" si="322"/>
        <v>0</v>
      </c>
      <c r="I319" s="52">
        <f t="shared" si="322"/>
        <v>0</v>
      </c>
      <c r="J319" s="52">
        <f t="shared" si="322"/>
        <v>0</v>
      </c>
      <c r="K319" s="52">
        <f t="shared" si="322"/>
        <v>0</v>
      </c>
      <c r="L319" s="69">
        <f>SUM(F319:K319)</f>
        <v>0</v>
      </c>
      <c r="M319" s="69">
        <f>L319/6</f>
        <v>0</v>
      </c>
      <c r="N319" s="52">
        <f t="shared" ref="N319:S319" si="323">N317*N318/1000</f>
        <v>0</v>
      </c>
      <c r="O319" s="52">
        <f t="shared" si="323"/>
        <v>0</v>
      </c>
      <c r="P319" s="52">
        <f t="shared" si="323"/>
        <v>0</v>
      </c>
      <c r="Q319" s="52">
        <f t="shared" si="323"/>
        <v>0</v>
      </c>
      <c r="R319" s="52">
        <f t="shared" si="323"/>
        <v>0</v>
      </c>
      <c r="S319" s="52">
        <f t="shared" si="323"/>
        <v>0</v>
      </c>
      <c r="T319" s="69">
        <f>SUM(N319:S319)</f>
        <v>0</v>
      </c>
      <c r="U319" s="69">
        <f>T319+L319</f>
        <v>0</v>
      </c>
      <c r="V319" s="70">
        <f>V320+V321</f>
        <v>0</v>
      </c>
      <c r="W319" s="53">
        <f>V319-U319</f>
        <v>0</v>
      </c>
      <c r="X319" s="54">
        <f>9891253.845/1000</f>
        <v>9891.2540000000008</v>
      </c>
    </row>
    <row r="320" spans="1:24" s="55" customFormat="1" ht="18" hidden="1" customHeight="1">
      <c r="A320" s="610"/>
      <c r="B320" s="581"/>
      <c r="C320" s="583"/>
      <c r="D320" s="174" t="s">
        <v>55</v>
      </c>
      <c r="E320" s="56"/>
      <c r="F320" s="52"/>
      <c r="G320" s="52"/>
      <c r="H320" s="52"/>
      <c r="I320" s="52"/>
      <c r="J320" s="52"/>
      <c r="K320" s="52"/>
      <c r="L320" s="69">
        <f>SUM(F320:K320)</f>
        <v>0</v>
      </c>
      <c r="M320" s="69">
        <f>L320/6</f>
        <v>0</v>
      </c>
      <c r="N320" s="52"/>
      <c r="O320" s="52"/>
      <c r="P320" s="52"/>
      <c r="Q320" s="52"/>
      <c r="R320" s="52"/>
      <c r="S320" s="52"/>
      <c r="T320" s="69">
        <f>SUM(N320:S320)</f>
        <v>0</v>
      </c>
      <c r="U320" s="69">
        <f>T320+L320</f>
        <v>0</v>
      </c>
      <c r="V320" s="70"/>
      <c r="W320" s="53">
        <f>V320-U320</f>
        <v>0</v>
      </c>
      <c r="X320" s="58"/>
    </row>
    <row r="321" spans="1:24" s="55" customFormat="1" ht="18" hidden="1" customHeight="1">
      <c r="A321" s="610"/>
      <c r="B321" s="581"/>
      <c r="C321" s="583"/>
      <c r="D321" s="174" t="s">
        <v>28</v>
      </c>
      <c r="E321" s="56"/>
      <c r="F321" s="52"/>
      <c r="G321" s="52"/>
      <c r="H321" s="52"/>
      <c r="I321" s="52"/>
      <c r="J321" s="52"/>
      <c r="K321" s="52"/>
      <c r="L321" s="69">
        <f>SUM(F321:K321)</f>
        <v>0</v>
      </c>
      <c r="M321" s="69">
        <f>L321/6</f>
        <v>0</v>
      </c>
      <c r="N321" s="52"/>
      <c r="O321" s="52"/>
      <c r="P321" s="52"/>
      <c r="Q321" s="52"/>
      <c r="R321" s="52"/>
      <c r="S321" s="52"/>
      <c r="T321" s="69">
        <f>SUM(N321:S321)</f>
        <v>0</v>
      </c>
      <c r="U321" s="69">
        <f>T321+L321</f>
        <v>0</v>
      </c>
      <c r="V321" s="70"/>
      <c r="W321" s="53">
        <f>V321-U321</f>
        <v>0</v>
      </c>
      <c r="X321" s="58"/>
    </row>
    <row r="322" spans="1:24" s="48" customFormat="1" ht="18" hidden="1" customHeight="1">
      <c r="A322" s="610"/>
      <c r="B322" s="581"/>
      <c r="C322" s="583"/>
      <c r="D322" s="178" t="s">
        <v>106</v>
      </c>
      <c r="E322" s="11"/>
      <c r="F322" s="11"/>
      <c r="G322" s="11"/>
      <c r="H322" s="11"/>
      <c r="I322" s="11"/>
      <c r="J322" s="11"/>
      <c r="K322" s="11"/>
      <c r="L322" s="65">
        <f>SUM(F322:K322)</f>
        <v>0</v>
      </c>
      <c r="M322" s="65">
        <f>L322/6</f>
        <v>0</v>
      </c>
      <c r="N322" s="11"/>
      <c r="O322" s="11"/>
      <c r="P322" s="11"/>
      <c r="Q322" s="11"/>
      <c r="R322" s="11"/>
      <c r="S322" s="11"/>
      <c r="T322" s="65">
        <f>SUM(N322:S322)</f>
        <v>0</v>
      </c>
      <c r="U322" s="65">
        <f>T322+L322</f>
        <v>0</v>
      </c>
      <c r="V322" s="11">
        <f>V317</f>
        <v>0</v>
      </c>
      <c r="W322" s="38">
        <f>V322-U322</f>
        <v>0</v>
      </c>
      <c r="X322" s="47">
        <f>U317-U322</f>
        <v>0</v>
      </c>
    </row>
    <row r="323" spans="1:24" s="51" customFormat="1" ht="18" hidden="1" customHeight="1">
      <c r="A323" s="610"/>
      <c r="B323" s="581"/>
      <c r="C323" s="583"/>
      <c r="D323" s="187" t="s">
        <v>27</v>
      </c>
      <c r="E323" s="49" t="e">
        <f>E324/E322*1000</f>
        <v>#DIV/0!</v>
      </c>
      <c r="F323" s="49"/>
      <c r="G323" s="49"/>
      <c r="H323" s="49"/>
      <c r="I323" s="49"/>
      <c r="J323" s="49"/>
      <c r="K323" s="49"/>
      <c r="L323" s="49" t="e">
        <f>L324/L322*1000</f>
        <v>#DIV/0!</v>
      </c>
      <c r="M323" s="49" t="e">
        <f>M324/M322*1000</f>
        <v>#DIV/0!</v>
      </c>
      <c r="N323" s="49"/>
      <c r="O323" s="49"/>
      <c r="P323" s="49"/>
      <c r="Q323" s="49"/>
      <c r="R323" s="49"/>
      <c r="S323" s="49"/>
      <c r="T323" s="49" t="e">
        <f>T324/T322*1000</f>
        <v>#DIV/0!</v>
      </c>
      <c r="U323" s="49" t="e">
        <f>U324/U322*1000</f>
        <v>#DIV/0!</v>
      </c>
      <c r="V323" s="68" t="e">
        <f>V324/V322*1000</f>
        <v>#DIV/0!</v>
      </c>
      <c r="W323" s="14" t="e">
        <f>W324/W322*1000</f>
        <v>#DIV/0!</v>
      </c>
      <c r="X323" s="59"/>
    </row>
    <row r="324" spans="1:24" s="63" customFormat="1" ht="17.7" hidden="1" customHeight="1">
      <c r="A324" s="610"/>
      <c r="B324" s="581"/>
      <c r="C324" s="583"/>
      <c r="D324" s="198" t="s">
        <v>25</v>
      </c>
      <c r="E324" s="71"/>
      <c r="F324" s="61">
        <f t="shared" ref="F324:K324" si="324">F322*F323/1000</f>
        <v>0</v>
      </c>
      <c r="G324" s="61">
        <f t="shared" si="324"/>
        <v>0</v>
      </c>
      <c r="H324" s="61">
        <f t="shared" si="324"/>
        <v>0</v>
      </c>
      <c r="I324" s="61">
        <f t="shared" si="324"/>
        <v>0</v>
      </c>
      <c r="J324" s="61">
        <f t="shared" si="324"/>
        <v>0</v>
      </c>
      <c r="K324" s="61">
        <f t="shared" si="324"/>
        <v>0</v>
      </c>
      <c r="L324" s="61">
        <f>SUM(F324:K324)</f>
        <v>0</v>
      </c>
      <c r="M324" s="61">
        <f>L324/6</f>
        <v>0</v>
      </c>
      <c r="N324" s="61">
        <f t="shared" ref="N324:S324" si="325">N322*N323/1000</f>
        <v>0</v>
      </c>
      <c r="O324" s="61">
        <f t="shared" si="325"/>
        <v>0</v>
      </c>
      <c r="P324" s="61">
        <f t="shared" si="325"/>
        <v>0</v>
      </c>
      <c r="Q324" s="61">
        <f t="shared" si="325"/>
        <v>0</v>
      </c>
      <c r="R324" s="61">
        <f t="shared" si="325"/>
        <v>0</v>
      </c>
      <c r="S324" s="61">
        <f t="shared" si="325"/>
        <v>0</v>
      </c>
      <c r="T324" s="61">
        <f>SUM(N324:S324)</f>
        <v>0</v>
      </c>
      <c r="U324" s="61">
        <f>T324+L324</f>
        <v>0</v>
      </c>
      <c r="V324" s="61">
        <f>V319</f>
        <v>0</v>
      </c>
      <c r="W324" s="72">
        <f>V324-U324</f>
        <v>0</v>
      </c>
      <c r="X324" s="63">
        <f>U319-U324</f>
        <v>0</v>
      </c>
    </row>
    <row r="325" spans="1:24" s="63" customFormat="1" ht="18" hidden="1" customHeight="1">
      <c r="A325" s="610"/>
      <c r="B325" s="581"/>
      <c r="C325" s="583"/>
      <c r="D325" s="201" t="s">
        <v>55</v>
      </c>
      <c r="E325" s="71"/>
      <c r="F325" s="61"/>
      <c r="G325" s="61"/>
      <c r="H325" s="61"/>
      <c r="I325" s="61"/>
      <c r="J325" s="61"/>
      <c r="K325" s="61"/>
      <c r="L325" s="61">
        <f>SUM(F325:K325)</f>
        <v>0</v>
      </c>
      <c r="M325" s="61">
        <f>L325/6</f>
        <v>0</v>
      </c>
      <c r="N325" s="61"/>
      <c r="O325" s="61"/>
      <c r="P325" s="61"/>
      <c r="Q325" s="61"/>
      <c r="R325" s="61"/>
      <c r="S325" s="61"/>
      <c r="T325" s="61">
        <f>SUM(N325:S325)</f>
        <v>0</v>
      </c>
      <c r="U325" s="61">
        <f>T325+L325</f>
        <v>0</v>
      </c>
      <c r="V325" s="61">
        <f>V320</f>
        <v>0</v>
      </c>
      <c r="W325" s="72">
        <f>V325-U325</f>
        <v>0</v>
      </c>
      <c r="X325" s="63">
        <f>U320-U325</f>
        <v>0</v>
      </c>
    </row>
    <row r="326" spans="1:24" s="63" customFormat="1" ht="18" hidden="1" customHeight="1">
      <c r="A326" s="610"/>
      <c r="B326" s="581"/>
      <c r="C326" s="583"/>
      <c r="D326" s="201" t="s">
        <v>24</v>
      </c>
      <c r="E326" s="71"/>
      <c r="F326" s="61">
        <f t="shared" ref="F326:K326" si="326">F324-F325</f>
        <v>0</v>
      </c>
      <c r="G326" s="61">
        <f t="shared" si="326"/>
        <v>0</v>
      </c>
      <c r="H326" s="61">
        <f t="shared" si="326"/>
        <v>0</v>
      </c>
      <c r="I326" s="61">
        <f t="shared" si="326"/>
        <v>0</v>
      </c>
      <c r="J326" s="61">
        <f t="shared" si="326"/>
        <v>0</v>
      </c>
      <c r="K326" s="61">
        <f t="shared" si="326"/>
        <v>0</v>
      </c>
      <c r="L326" s="61">
        <f>SUM(F326:K326)</f>
        <v>0</v>
      </c>
      <c r="M326" s="61">
        <f>L326/6</f>
        <v>0</v>
      </c>
      <c r="N326" s="61">
        <f t="shared" ref="N326:S326" si="327">N324-N325</f>
        <v>0</v>
      </c>
      <c r="O326" s="61">
        <f t="shared" si="327"/>
        <v>0</v>
      </c>
      <c r="P326" s="61">
        <f t="shared" si="327"/>
        <v>0</v>
      </c>
      <c r="Q326" s="61">
        <f t="shared" si="327"/>
        <v>0</v>
      </c>
      <c r="R326" s="61">
        <f t="shared" si="327"/>
        <v>0</v>
      </c>
      <c r="S326" s="61">
        <f t="shared" si="327"/>
        <v>0</v>
      </c>
      <c r="T326" s="61">
        <f>SUM(N326:S326)</f>
        <v>0</v>
      </c>
      <c r="U326" s="61">
        <f>T326+L326</f>
        <v>0</v>
      </c>
      <c r="V326" s="61">
        <f>V321</f>
        <v>0</v>
      </c>
      <c r="W326" s="72">
        <f>V326-U326</f>
        <v>0</v>
      </c>
      <c r="X326" s="63">
        <f>U321-U326</f>
        <v>0</v>
      </c>
    </row>
    <row r="327" spans="1:24" s="43" customFormat="1" ht="18" hidden="1" customHeight="1">
      <c r="A327" s="610"/>
      <c r="B327" s="581"/>
      <c r="C327" s="583"/>
      <c r="D327" s="202" t="s">
        <v>29</v>
      </c>
      <c r="E327" s="42"/>
      <c r="F327" s="42">
        <f>F321</f>
        <v>0</v>
      </c>
      <c r="G327" s="42">
        <f t="shared" ref="G327:K327" si="328">G321</f>
        <v>0</v>
      </c>
      <c r="H327" s="42">
        <f t="shared" si="328"/>
        <v>0</v>
      </c>
      <c r="I327" s="42">
        <f t="shared" si="328"/>
        <v>0</v>
      </c>
      <c r="J327" s="42">
        <f t="shared" si="328"/>
        <v>0</v>
      </c>
      <c r="K327" s="42">
        <f t="shared" si="328"/>
        <v>0</v>
      </c>
      <c r="L327" s="42">
        <f>SUM(F327:K327)</f>
        <v>0</v>
      </c>
      <c r="M327" s="42">
        <f>L327/6</f>
        <v>0</v>
      </c>
      <c r="N327" s="42">
        <f t="shared" ref="N327:S327" si="329">N321+N320</f>
        <v>0</v>
      </c>
      <c r="O327" s="42">
        <f t="shared" si="329"/>
        <v>0</v>
      </c>
      <c r="P327" s="42">
        <f t="shared" si="329"/>
        <v>0</v>
      </c>
      <c r="Q327" s="42">
        <f t="shared" si="329"/>
        <v>0</v>
      </c>
      <c r="R327" s="42">
        <f t="shared" si="329"/>
        <v>0</v>
      </c>
      <c r="S327" s="42">
        <f t="shared" si="329"/>
        <v>0</v>
      </c>
      <c r="T327" s="42">
        <f>SUM(N327:S327)</f>
        <v>0</v>
      </c>
      <c r="U327" s="42">
        <f>T327+L327</f>
        <v>0</v>
      </c>
      <c r="V327" s="42">
        <f>V324</f>
        <v>0</v>
      </c>
      <c r="W327" s="42">
        <f>V327-U327</f>
        <v>0</v>
      </c>
    </row>
    <row r="328" spans="1:24" s="43" customFormat="1" ht="18" hidden="1" customHeight="1">
      <c r="A328" s="610"/>
      <c r="B328" s="581"/>
      <c r="C328" s="583"/>
      <c r="D328" s="202" t="s">
        <v>30</v>
      </c>
      <c r="E328" s="42"/>
      <c r="F328" s="42">
        <f t="shared" ref="F328:K328" si="330">F324-F327</f>
        <v>0</v>
      </c>
      <c r="G328" s="42">
        <f t="shared" si="330"/>
        <v>0</v>
      </c>
      <c r="H328" s="42">
        <f t="shared" si="330"/>
        <v>0</v>
      </c>
      <c r="I328" s="42">
        <f t="shared" si="330"/>
        <v>0</v>
      </c>
      <c r="J328" s="42">
        <f t="shared" si="330"/>
        <v>0</v>
      </c>
      <c r="K328" s="42">
        <f t="shared" si="330"/>
        <v>0</v>
      </c>
      <c r="L328" s="42"/>
      <c r="M328" s="42"/>
      <c r="N328" s="42">
        <f t="shared" ref="N328:S328" si="331">N324-N327</f>
        <v>0</v>
      </c>
      <c r="O328" s="42">
        <f t="shared" si="331"/>
        <v>0</v>
      </c>
      <c r="P328" s="42">
        <f t="shared" si="331"/>
        <v>0</v>
      </c>
      <c r="Q328" s="42">
        <f t="shared" si="331"/>
        <v>0</v>
      </c>
      <c r="R328" s="42">
        <f t="shared" si="331"/>
        <v>0</v>
      </c>
      <c r="S328" s="42">
        <f t="shared" si="331"/>
        <v>0</v>
      </c>
      <c r="T328" s="42"/>
      <c r="U328" s="42"/>
      <c r="V328" s="42"/>
      <c r="W328" s="42"/>
    </row>
    <row r="329" spans="1:24" s="43" customFormat="1" ht="18" hidden="1" customHeight="1">
      <c r="A329" s="611"/>
      <c r="B329" s="581"/>
      <c r="C329" s="584"/>
      <c r="D329" s="202" t="s">
        <v>31</v>
      </c>
      <c r="E329" s="42"/>
      <c r="F329" s="42">
        <f>F328</f>
        <v>0</v>
      </c>
      <c r="G329" s="42">
        <f>G328+F329</f>
        <v>0</v>
      </c>
      <c r="H329" s="42">
        <f>H328+G329</f>
        <v>0</v>
      </c>
      <c r="I329" s="42">
        <f>I328+H329</f>
        <v>0</v>
      </c>
      <c r="J329" s="42">
        <f>J328+I329</f>
        <v>0</v>
      </c>
      <c r="K329" s="42">
        <f>K328+J329</f>
        <v>0</v>
      </c>
      <c r="L329" s="42"/>
      <c r="M329" s="42"/>
      <c r="N329" s="42">
        <f>N328+K329</f>
        <v>0</v>
      </c>
      <c r="O329" s="42">
        <f>O328+N329</f>
        <v>0</v>
      </c>
      <c r="P329" s="42">
        <f>P328+O329</f>
        <v>0</v>
      </c>
      <c r="Q329" s="42">
        <f>Q328+P329</f>
        <v>0</v>
      </c>
      <c r="R329" s="42">
        <f>R328+Q329</f>
        <v>0</v>
      </c>
      <c r="S329" s="42">
        <f>S328+R329</f>
        <v>0</v>
      </c>
      <c r="T329" s="42"/>
      <c r="U329" s="42"/>
      <c r="V329" s="42"/>
      <c r="W329" s="42"/>
    </row>
    <row r="330" spans="1:24" s="48" customFormat="1" ht="16" customHeight="1">
      <c r="A330" s="591">
        <v>2272</v>
      </c>
      <c r="B330" s="659" t="s">
        <v>34</v>
      </c>
      <c r="C330" s="660"/>
      <c r="D330" s="178" t="str">
        <f>серпень!D253</f>
        <v>факт. нат.п-ки 2023</v>
      </c>
      <c r="E330" s="11"/>
      <c r="F330" s="12">
        <f t="shared" ref="F330:K332" si="332">F347+F409</f>
        <v>110</v>
      </c>
      <c r="G330" s="12">
        <f t="shared" si="332"/>
        <v>88</v>
      </c>
      <c r="H330" s="12">
        <f t="shared" si="332"/>
        <v>58.9</v>
      </c>
      <c r="I330" s="12">
        <f t="shared" si="332"/>
        <v>113.7</v>
      </c>
      <c r="J330" s="12">
        <f t="shared" si="332"/>
        <v>112</v>
      </c>
      <c r="K330" s="12">
        <f t="shared" si="332"/>
        <v>138.1</v>
      </c>
      <c r="L330" s="65">
        <f>SUM(F330:K330)</f>
        <v>620.70000000000005</v>
      </c>
      <c r="M330" s="65">
        <f>L330/6</f>
        <v>103.5</v>
      </c>
      <c r="N330" s="12">
        <f t="shared" ref="N330:S332" si="333">N347+N409</f>
        <v>104</v>
      </c>
      <c r="O330" s="12">
        <f t="shared" si="333"/>
        <v>74</v>
      </c>
      <c r="P330" s="12">
        <f t="shared" si="333"/>
        <v>250</v>
      </c>
      <c r="Q330" s="12">
        <f t="shared" si="333"/>
        <v>320</v>
      </c>
      <c r="R330" s="12">
        <f t="shared" si="333"/>
        <v>416</v>
      </c>
      <c r="S330" s="12">
        <f t="shared" si="333"/>
        <v>138.9</v>
      </c>
      <c r="T330" s="65">
        <f>SUM(N330:S330)</f>
        <v>1302.9000000000001</v>
      </c>
      <c r="U330" s="65">
        <f>T330+L330</f>
        <v>1923.6</v>
      </c>
      <c r="V330" s="75">
        <f>V347+V409</f>
        <v>1923.6</v>
      </c>
      <c r="W330" s="38"/>
      <c r="X330" s="47"/>
    </row>
    <row r="331" spans="1:24" s="48" customFormat="1" ht="16" customHeight="1">
      <c r="A331" s="592"/>
      <c r="B331" s="661"/>
      <c r="C331" s="662"/>
      <c r="D331" s="178" t="str">
        <f>серпень!D254</f>
        <v>факт. нат.п-ки 2024</v>
      </c>
      <c r="E331" s="11"/>
      <c r="F331" s="12">
        <f t="shared" si="332"/>
        <v>123.7</v>
      </c>
      <c r="G331" s="12">
        <f t="shared" si="332"/>
        <v>50.3</v>
      </c>
      <c r="H331" s="12">
        <f t="shared" si="332"/>
        <v>73.5</v>
      </c>
      <c r="I331" s="12">
        <f t="shared" si="332"/>
        <v>100</v>
      </c>
      <c r="J331" s="12">
        <f t="shared" si="332"/>
        <v>104</v>
      </c>
      <c r="K331" s="12">
        <f t="shared" si="332"/>
        <v>138</v>
      </c>
      <c r="L331" s="65">
        <f>SUM(F331:K331)</f>
        <v>589.5</v>
      </c>
      <c r="M331" s="65">
        <f>L331/6</f>
        <v>98.3</v>
      </c>
      <c r="N331" s="12">
        <f t="shared" si="333"/>
        <v>126</v>
      </c>
      <c r="O331" s="12">
        <f t="shared" si="333"/>
        <v>0</v>
      </c>
      <c r="P331" s="11">
        <f t="shared" si="333"/>
        <v>207.9</v>
      </c>
      <c r="Q331" s="12">
        <f t="shared" si="333"/>
        <v>266</v>
      </c>
      <c r="R331" s="12">
        <f t="shared" si="333"/>
        <v>335.7</v>
      </c>
      <c r="S331" s="12">
        <f t="shared" si="333"/>
        <v>108.9</v>
      </c>
      <c r="T331" s="65">
        <f>SUM(N331:S331)</f>
        <v>1044.5</v>
      </c>
      <c r="U331" s="65">
        <f>T331+L331</f>
        <v>1634</v>
      </c>
      <c r="V331" s="75">
        <f>V348+V410</f>
        <v>1634</v>
      </c>
      <c r="W331" s="38"/>
      <c r="X331" s="47"/>
    </row>
    <row r="332" spans="1:24" s="48" customFormat="1" ht="16" customHeight="1">
      <c r="A332" s="592"/>
      <c r="B332" s="661"/>
      <c r="C332" s="662"/>
      <c r="D332" s="178" t="str">
        <f>серпень!D255</f>
        <v>факт. нат.п-ки 2025</v>
      </c>
      <c r="E332" s="11"/>
      <c r="F332" s="12">
        <f t="shared" si="332"/>
        <v>13.3</v>
      </c>
      <c r="G332" s="12">
        <f t="shared" si="332"/>
        <v>94</v>
      </c>
      <c r="H332" s="12">
        <f t="shared" si="332"/>
        <v>72.8</v>
      </c>
      <c r="I332" s="12">
        <f t="shared" si="332"/>
        <v>90</v>
      </c>
      <c r="J332" s="12">
        <f t="shared" si="332"/>
        <v>6</v>
      </c>
      <c r="K332" s="12">
        <f t="shared" si="332"/>
        <v>270</v>
      </c>
      <c r="L332" s="122">
        <f>SUM(F332:K332)</f>
        <v>546.1</v>
      </c>
      <c r="M332" s="65">
        <f>L332/6</f>
        <v>91</v>
      </c>
      <c r="N332" s="12">
        <f t="shared" si="333"/>
        <v>260</v>
      </c>
      <c r="O332" s="12">
        <f t="shared" si="333"/>
        <v>234</v>
      </c>
      <c r="P332" s="12">
        <f t="shared" si="333"/>
        <v>207.9</v>
      </c>
      <c r="Q332" s="12">
        <f t="shared" si="333"/>
        <v>266</v>
      </c>
      <c r="R332" s="12">
        <f t="shared" si="333"/>
        <v>335.7</v>
      </c>
      <c r="S332" s="12">
        <f t="shared" si="333"/>
        <v>83.9</v>
      </c>
      <c r="T332" s="65">
        <f>SUM(N332:S332)</f>
        <v>1387.5</v>
      </c>
      <c r="U332" s="118">
        <f>T332+L332</f>
        <v>1933.6</v>
      </c>
      <c r="V332" s="75">
        <f>V349+V411</f>
        <v>1683</v>
      </c>
      <c r="W332" s="38">
        <f>V332-U332</f>
        <v>-250.6</v>
      </c>
      <c r="X332" s="47"/>
    </row>
    <row r="333" spans="1:24" s="51" customFormat="1" ht="16" customHeight="1">
      <c r="A333" s="592"/>
      <c r="B333" s="661"/>
      <c r="C333" s="662"/>
      <c r="D333" s="187" t="str">
        <f>серпень!D256</f>
        <v>тариф, грн.</v>
      </c>
      <c r="E333" s="49"/>
      <c r="F333" s="49">
        <f t="shared" ref="F333:S333" si="334">F334/F332*1000</f>
        <v>24.962</v>
      </c>
      <c r="G333" s="49">
        <f t="shared" si="334"/>
        <v>26.138000000000002</v>
      </c>
      <c r="H333" s="49">
        <f t="shared" si="334"/>
        <v>26.154</v>
      </c>
      <c r="I333" s="49">
        <f t="shared" si="334"/>
        <v>26.155999999999999</v>
      </c>
      <c r="J333" s="49">
        <f t="shared" si="334"/>
        <v>26.167000000000002</v>
      </c>
      <c r="K333" s="49">
        <f t="shared" si="334"/>
        <v>26.173999999999999</v>
      </c>
      <c r="L333" s="49">
        <f t="shared" si="334"/>
        <v>26.132999999999999</v>
      </c>
      <c r="M333" s="49">
        <f t="shared" si="334"/>
        <v>26.143000000000001</v>
      </c>
      <c r="N333" s="49">
        <f t="shared" si="334"/>
        <v>26.161999999999999</v>
      </c>
      <c r="O333" s="49">
        <f t="shared" si="334"/>
        <v>26.158000000000001</v>
      </c>
      <c r="P333" s="49">
        <f t="shared" si="334"/>
        <v>26.161999999999999</v>
      </c>
      <c r="Q333" s="49">
        <f t="shared" si="334"/>
        <v>26.161999999999999</v>
      </c>
      <c r="R333" s="49">
        <f t="shared" si="334"/>
        <v>26.16</v>
      </c>
      <c r="S333" s="49">
        <f t="shared" si="334"/>
        <v>26.15</v>
      </c>
      <c r="T333" s="49">
        <f>T334/T332*1000</f>
        <v>26.16</v>
      </c>
      <c r="U333" s="49">
        <f>U334/U332*1000</f>
        <v>26.152000000000001</v>
      </c>
      <c r="V333" s="49">
        <f>V334/V332*1000</f>
        <v>23.658000000000001</v>
      </c>
      <c r="W333" s="14">
        <f>W334/W332*1000</f>
        <v>42.905000000000001</v>
      </c>
      <c r="X333" s="59"/>
    </row>
    <row r="334" spans="1:24" s="113" customFormat="1" ht="16" customHeight="1">
      <c r="A334" s="670"/>
      <c r="B334" s="661"/>
      <c r="C334" s="662"/>
      <c r="D334" s="191" t="str">
        <f>серпень!D257</f>
        <v>сума, тис.грн.</v>
      </c>
      <c r="E334" s="52"/>
      <c r="F334" s="52">
        <f t="shared" ref="F334:K335" si="335">F351+F413</f>
        <v>0.33200000000000002</v>
      </c>
      <c r="G334" s="52">
        <f t="shared" si="335"/>
        <v>2.4569999999999999</v>
      </c>
      <c r="H334" s="52">
        <f t="shared" si="335"/>
        <v>1.9039999999999999</v>
      </c>
      <c r="I334" s="52">
        <f t="shared" si="335"/>
        <v>2.3540000000000001</v>
      </c>
      <c r="J334" s="52">
        <f t="shared" si="335"/>
        <v>0.157</v>
      </c>
      <c r="K334" s="52">
        <f t="shared" si="335"/>
        <v>7.0670000000000002</v>
      </c>
      <c r="L334" s="69">
        <f>SUM(F334:K334)</f>
        <v>14.271000000000001</v>
      </c>
      <c r="M334" s="69">
        <f>L334/6</f>
        <v>2.379</v>
      </c>
      <c r="N334" s="52">
        <f t="shared" ref="N334:S335" si="336">N351+N413</f>
        <v>6.8019999999999996</v>
      </c>
      <c r="O334" s="52">
        <f t="shared" si="336"/>
        <v>6.1210000000000004</v>
      </c>
      <c r="P334" s="52">
        <f t="shared" si="336"/>
        <v>5.4390000000000001</v>
      </c>
      <c r="Q334" s="52">
        <f t="shared" si="336"/>
        <v>6.9589999999999996</v>
      </c>
      <c r="R334" s="52">
        <f t="shared" si="336"/>
        <v>8.782</v>
      </c>
      <c r="S334" s="52">
        <f t="shared" si="336"/>
        <v>2.194</v>
      </c>
      <c r="T334" s="69">
        <f t="shared" ref="T334:T339" si="337">SUM(N334:S334)</f>
        <v>36.296999999999997</v>
      </c>
      <c r="U334" s="69">
        <f t="shared" ref="U334:U339" si="338">T334+L334</f>
        <v>50.567999999999998</v>
      </c>
      <c r="V334" s="69">
        <f>V351+V413</f>
        <v>39.816000000000003</v>
      </c>
      <c r="W334" s="52">
        <f>V334-U334</f>
        <v>-10.752000000000001</v>
      </c>
    </row>
    <row r="335" spans="1:24" s="113" customFormat="1" ht="16" customHeight="1">
      <c r="A335" s="670"/>
      <c r="B335" s="661"/>
      <c r="C335" s="662"/>
      <c r="D335" s="174" t="str">
        <f>серпень!D258</f>
        <v>абоненська плата, тис.грн.</v>
      </c>
      <c r="E335" s="52"/>
      <c r="F335" s="52">
        <f>F352+F414</f>
        <v>0</v>
      </c>
      <c r="G335" s="52">
        <f t="shared" si="335"/>
        <v>0</v>
      </c>
      <c r="H335" s="52">
        <f t="shared" si="335"/>
        <v>0</v>
      </c>
      <c r="I335" s="52">
        <f t="shared" si="335"/>
        <v>0</v>
      </c>
      <c r="J335" s="52">
        <f t="shared" si="335"/>
        <v>0</v>
      </c>
      <c r="K335" s="52">
        <f t="shared" si="335"/>
        <v>0</v>
      </c>
      <c r="L335" s="69">
        <f t="shared" ref="L335:L337" si="339">SUM(F335:K335)</f>
        <v>0</v>
      </c>
      <c r="M335" s="69">
        <f t="shared" ref="M335:M337" si="340">L335/6</f>
        <v>0</v>
      </c>
      <c r="N335" s="52">
        <f t="shared" si="336"/>
        <v>0</v>
      </c>
      <c r="O335" s="52">
        <f t="shared" si="336"/>
        <v>0</v>
      </c>
      <c r="P335" s="52">
        <f t="shared" si="336"/>
        <v>0</v>
      </c>
      <c r="Q335" s="52">
        <f t="shared" si="336"/>
        <v>0</v>
      </c>
      <c r="R335" s="52">
        <f t="shared" si="336"/>
        <v>0</v>
      </c>
      <c r="S335" s="52">
        <f t="shared" si="336"/>
        <v>0</v>
      </c>
      <c r="T335" s="69">
        <f t="shared" si="337"/>
        <v>0</v>
      </c>
      <c r="U335" s="69">
        <f t="shared" si="338"/>
        <v>0</v>
      </c>
      <c r="V335" s="69">
        <f t="shared" ref="V335:V337" si="341">V352+V414</f>
        <v>0</v>
      </c>
      <c r="W335" s="52">
        <f t="shared" ref="W335:W337" si="342">V335-U335</f>
        <v>0</v>
      </c>
    </row>
    <row r="336" spans="1:24" s="113" customFormat="1" ht="16" customHeight="1">
      <c r="A336" s="670"/>
      <c r="B336" s="661"/>
      <c r="C336" s="662"/>
      <c r="D336" s="174" t="str">
        <f>серпень!D259</f>
        <v>разом сума тис. грн+абонплата</v>
      </c>
      <c r="E336" s="52"/>
      <c r="F336" s="52">
        <f>F334+F335</f>
        <v>0.33200000000000002</v>
      </c>
      <c r="G336" s="52">
        <f t="shared" ref="G336:K336" si="343">G334+G335</f>
        <v>2.4569999999999999</v>
      </c>
      <c r="H336" s="52">
        <f t="shared" si="343"/>
        <v>1.9039999999999999</v>
      </c>
      <c r="I336" s="52">
        <f t="shared" si="343"/>
        <v>2.3540000000000001</v>
      </c>
      <c r="J336" s="52">
        <f t="shared" si="343"/>
        <v>0.157</v>
      </c>
      <c r="K336" s="52">
        <f t="shared" si="343"/>
        <v>7.0670000000000002</v>
      </c>
      <c r="L336" s="69">
        <f t="shared" si="339"/>
        <v>14.271000000000001</v>
      </c>
      <c r="M336" s="69">
        <f t="shared" si="340"/>
        <v>2.379</v>
      </c>
      <c r="N336" s="52">
        <f>N334+N335</f>
        <v>6.8019999999999996</v>
      </c>
      <c r="O336" s="52">
        <f t="shared" ref="O336:S336" si="344">O334+O335</f>
        <v>6.1210000000000004</v>
      </c>
      <c r="P336" s="52">
        <f t="shared" si="344"/>
        <v>5.4390000000000001</v>
      </c>
      <c r="Q336" s="52">
        <f t="shared" si="344"/>
        <v>6.9589999999999996</v>
      </c>
      <c r="R336" s="52">
        <f t="shared" si="344"/>
        <v>8.782</v>
      </c>
      <c r="S336" s="52">
        <f t="shared" si="344"/>
        <v>2.194</v>
      </c>
      <c r="T336" s="69">
        <f t="shared" si="337"/>
        <v>36.296999999999997</v>
      </c>
      <c r="U336" s="69">
        <f t="shared" si="338"/>
        <v>50.567999999999998</v>
      </c>
      <c r="V336" s="69">
        <f t="shared" si="341"/>
        <v>39.816000000000003</v>
      </c>
      <c r="W336" s="52">
        <f t="shared" si="342"/>
        <v>-10.752000000000001</v>
      </c>
    </row>
    <row r="337" spans="1:24" s="113" customFormat="1" ht="16" customHeight="1">
      <c r="A337" s="670"/>
      <c r="B337" s="661"/>
      <c r="C337" s="662"/>
      <c r="D337" s="174" t="str">
        <f>серпень!D260</f>
        <v>дотація</v>
      </c>
      <c r="E337" s="52"/>
      <c r="F337" s="52">
        <f t="shared" ref="F337:K339" si="345">F354+F416</f>
        <v>0</v>
      </c>
      <c r="G337" s="52">
        <f t="shared" si="345"/>
        <v>0</v>
      </c>
      <c r="H337" s="52">
        <f t="shared" si="345"/>
        <v>0</v>
      </c>
      <c r="I337" s="52">
        <f t="shared" si="345"/>
        <v>0</v>
      </c>
      <c r="J337" s="52">
        <f t="shared" si="345"/>
        <v>0</v>
      </c>
      <c r="K337" s="52">
        <f t="shared" si="345"/>
        <v>0</v>
      </c>
      <c r="L337" s="69">
        <f t="shared" si="339"/>
        <v>0</v>
      </c>
      <c r="M337" s="69">
        <f t="shared" si="340"/>
        <v>0</v>
      </c>
      <c r="N337" s="52">
        <f t="shared" ref="N337:S339" si="346">N354+N416</f>
        <v>0</v>
      </c>
      <c r="O337" s="52">
        <f t="shared" si="346"/>
        <v>0</v>
      </c>
      <c r="P337" s="52">
        <f t="shared" si="346"/>
        <v>0</v>
      </c>
      <c r="Q337" s="52">
        <f t="shared" si="346"/>
        <v>0</v>
      </c>
      <c r="R337" s="52">
        <f t="shared" si="346"/>
        <v>0</v>
      </c>
      <c r="S337" s="52">
        <f t="shared" si="346"/>
        <v>0</v>
      </c>
      <c r="T337" s="69">
        <f t="shared" si="337"/>
        <v>0</v>
      </c>
      <c r="U337" s="69">
        <f t="shared" si="338"/>
        <v>0</v>
      </c>
      <c r="V337" s="69">
        <f t="shared" si="341"/>
        <v>0</v>
      </c>
      <c r="W337" s="52">
        <f t="shared" si="342"/>
        <v>0</v>
      </c>
    </row>
    <row r="338" spans="1:24" s="113" customFormat="1" ht="16" customHeight="1">
      <c r="A338" s="670"/>
      <c r="B338" s="661"/>
      <c r="C338" s="662"/>
      <c r="D338" s="174" t="str">
        <f>серпень!D261</f>
        <v>місцевий (план), тис.грн</v>
      </c>
      <c r="E338" s="52"/>
      <c r="F338" s="52">
        <f t="shared" si="345"/>
        <v>2.927</v>
      </c>
      <c r="G338" s="52">
        <f t="shared" si="345"/>
        <v>6.8019999999999996</v>
      </c>
      <c r="H338" s="52">
        <f t="shared" si="345"/>
        <v>3.964</v>
      </c>
      <c r="I338" s="52">
        <f t="shared" si="345"/>
        <v>6.8540000000000001</v>
      </c>
      <c r="J338" s="52">
        <f t="shared" si="345"/>
        <v>8.58</v>
      </c>
      <c r="K338" s="52">
        <f t="shared" si="345"/>
        <v>0.41799999999999998</v>
      </c>
      <c r="L338" s="69">
        <f>SUM(F338:K338)</f>
        <v>29.545000000000002</v>
      </c>
      <c r="M338" s="69">
        <f>L338/6</f>
        <v>4.9240000000000004</v>
      </c>
      <c r="N338" s="52">
        <f t="shared" si="346"/>
        <v>0</v>
      </c>
      <c r="O338" s="52">
        <f t="shared" si="346"/>
        <v>0</v>
      </c>
      <c r="P338" s="52">
        <f t="shared" si="346"/>
        <v>4.4960000000000004</v>
      </c>
      <c r="Q338" s="52">
        <f t="shared" si="346"/>
        <v>3.04</v>
      </c>
      <c r="R338" s="52">
        <f t="shared" si="346"/>
        <v>2.4249999999999998</v>
      </c>
      <c r="S338" s="52">
        <f t="shared" si="346"/>
        <v>0.31</v>
      </c>
      <c r="T338" s="69">
        <f t="shared" si="337"/>
        <v>10.271000000000001</v>
      </c>
      <c r="U338" s="69">
        <f t="shared" si="338"/>
        <v>39.816000000000003</v>
      </c>
      <c r="V338" s="69">
        <f>V355+V417</f>
        <v>39.816000000000003</v>
      </c>
      <c r="W338" s="52">
        <f>V338-U338</f>
        <v>0</v>
      </c>
    </row>
    <row r="339" spans="1:24" s="48" customFormat="1" ht="16" customHeight="1">
      <c r="A339" s="592"/>
      <c r="B339" s="661"/>
      <c r="C339" s="662"/>
      <c r="D339" s="178" t="str">
        <f>серпень!D262</f>
        <v>касові нат.п-ки 2025</v>
      </c>
      <c r="E339" s="11">
        <f>E371</f>
        <v>0</v>
      </c>
      <c r="F339" s="11">
        <f t="shared" si="345"/>
        <v>117.5</v>
      </c>
      <c r="G339" s="11">
        <f t="shared" si="345"/>
        <v>252</v>
      </c>
      <c r="H339" s="11">
        <f t="shared" si="345"/>
        <v>250</v>
      </c>
      <c r="I339" s="11">
        <f t="shared" si="345"/>
        <v>262</v>
      </c>
      <c r="J339" s="11">
        <f t="shared" si="345"/>
        <v>-122.5</v>
      </c>
      <c r="K339" s="11">
        <f t="shared" si="345"/>
        <v>334</v>
      </c>
      <c r="L339" s="123">
        <f>SUM(F339:K339)</f>
        <v>1093</v>
      </c>
      <c r="M339" s="65">
        <f>L339/6</f>
        <v>182.2</v>
      </c>
      <c r="N339" s="11">
        <f t="shared" si="346"/>
        <v>-542</v>
      </c>
      <c r="O339" s="11">
        <f t="shared" si="346"/>
        <v>494</v>
      </c>
      <c r="P339" s="11">
        <f t="shared" si="346"/>
        <v>203</v>
      </c>
      <c r="Q339" s="11">
        <f t="shared" si="346"/>
        <v>266</v>
      </c>
      <c r="R339" s="11">
        <f t="shared" si="346"/>
        <v>335.7</v>
      </c>
      <c r="S339" s="11">
        <f t="shared" si="346"/>
        <v>83.9</v>
      </c>
      <c r="T339" s="65">
        <f t="shared" si="337"/>
        <v>840.6</v>
      </c>
      <c r="U339" s="65">
        <f t="shared" si="338"/>
        <v>1933.6</v>
      </c>
      <c r="V339" s="124">
        <f>V356+V418</f>
        <v>1683</v>
      </c>
      <c r="W339" s="124">
        <f>V339-U339</f>
        <v>-250.6</v>
      </c>
      <c r="X339" s="47">
        <f>U332-U339</f>
        <v>0</v>
      </c>
    </row>
    <row r="340" spans="1:24" s="51" customFormat="1" ht="16" customHeight="1">
      <c r="A340" s="592"/>
      <c r="B340" s="661"/>
      <c r="C340" s="662"/>
      <c r="D340" s="187" t="str">
        <f>серпень!D263</f>
        <v>тариф, грн.</v>
      </c>
      <c r="E340" s="49" t="e">
        <f t="shared" ref="E340:S340" si="347">E341/E339*1000</f>
        <v>#DIV/0!</v>
      </c>
      <c r="F340" s="49">
        <f t="shared" si="347"/>
        <v>24.911000000000001</v>
      </c>
      <c r="G340" s="49">
        <f t="shared" si="347"/>
        <v>26.163</v>
      </c>
      <c r="H340" s="49">
        <f t="shared" si="347"/>
        <v>26.16</v>
      </c>
      <c r="I340" s="49">
        <f t="shared" si="347"/>
        <v>26.16</v>
      </c>
      <c r="J340" s="49">
        <f t="shared" si="347"/>
        <v>26.163</v>
      </c>
      <c r="K340" s="49">
        <f t="shared" si="347"/>
        <v>26.170999999999999</v>
      </c>
      <c r="L340" s="49">
        <f t="shared" si="347"/>
        <v>26.029</v>
      </c>
      <c r="M340" s="49">
        <f t="shared" si="347"/>
        <v>26.026</v>
      </c>
      <c r="N340" s="49">
        <f t="shared" si="347"/>
        <v>26.161000000000001</v>
      </c>
      <c r="O340" s="49">
        <f t="shared" si="347"/>
        <v>26.16</v>
      </c>
      <c r="P340" s="49">
        <f t="shared" si="347"/>
        <v>26.788</v>
      </c>
      <c r="Q340" s="49">
        <f t="shared" si="347"/>
        <v>26.161999999999999</v>
      </c>
      <c r="R340" s="49">
        <f t="shared" si="347"/>
        <v>26.16</v>
      </c>
      <c r="S340" s="49">
        <f t="shared" si="347"/>
        <v>26.161999999999999</v>
      </c>
      <c r="T340" s="49">
        <f>T341/T339*1000</f>
        <v>26.312000000000001</v>
      </c>
      <c r="U340" s="49">
        <f>U341/U339*1000</f>
        <v>26.152000000000001</v>
      </c>
      <c r="V340" s="49">
        <f>V341/V339*1000</f>
        <v>23.658000000000001</v>
      </c>
      <c r="W340" s="14">
        <f>W341/W339*1000</f>
        <v>42.905000000000001</v>
      </c>
      <c r="X340" s="47"/>
    </row>
    <row r="341" spans="1:24" s="74" customFormat="1" ht="16" customHeight="1">
      <c r="A341" s="592"/>
      <c r="B341" s="661"/>
      <c r="C341" s="662"/>
      <c r="D341" s="198" t="str">
        <f>серпень!D264</f>
        <v>касові видатки, тис.грн.</v>
      </c>
      <c r="E341" s="71">
        <f t="shared" ref="E341:K343" si="348">E358+E420</f>
        <v>0</v>
      </c>
      <c r="F341" s="61">
        <f t="shared" si="348"/>
        <v>2.927</v>
      </c>
      <c r="G341" s="61">
        <f t="shared" si="348"/>
        <v>6.593</v>
      </c>
      <c r="H341" s="61">
        <f t="shared" si="348"/>
        <v>6.54</v>
      </c>
      <c r="I341" s="61">
        <f t="shared" si="348"/>
        <v>6.8540000000000001</v>
      </c>
      <c r="J341" s="61">
        <f t="shared" si="348"/>
        <v>-3.2050000000000001</v>
      </c>
      <c r="K341" s="61">
        <f t="shared" si="348"/>
        <v>8.7409999999999997</v>
      </c>
      <c r="L341" s="61">
        <f>SUM(F341:K341)</f>
        <v>28.45</v>
      </c>
      <c r="M341" s="61">
        <f>L341/6</f>
        <v>4.742</v>
      </c>
      <c r="N341" s="61">
        <f t="shared" ref="N341:S343" si="349">N358+N420</f>
        <v>-14.179</v>
      </c>
      <c r="O341" s="61">
        <f t="shared" si="349"/>
        <v>12.923</v>
      </c>
      <c r="P341" s="61">
        <f t="shared" si="349"/>
        <v>5.4379999999999997</v>
      </c>
      <c r="Q341" s="61">
        <f t="shared" si="349"/>
        <v>6.9589999999999996</v>
      </c>
      <c r="R341" s="61">
        <f t="shared" si="349"/>
        <v>8.782</v>
      </c>
      <c r="S341" s="61">
        <f t="shared" si="349"/>
        <v>2.1949999999999998</v>
      </c>
      <c r="T341" s="61">
        <f>SUM(N341:S341)</f>
        <v>22.117999999999999</v>
      </c>
      <c r="U341" s="61">
        <f>T341+L341</f>
        <v>50.567999999999998</v>
      </c>
      <c r="V341" s="61">
        <f>V358+V420</f>
        <v>39.816000000000003</v>
      </c>
      <c r="W341" s="72">
        <f>V341-U341</f>
        <v>-10.752000000000001</v>
      </c>
      <c r="X341" s="63">
        <f>U334-U341</f>
        <v>0</v>
      </c>
    </row>
    <row r="342" spans="1:24" s="74" customFormat="1" ht="16" customHeight="1">
      <c r="A342" s="592"/>
      <c r="B342" s="661"/>
      <c r="C342" s="662"/>
      <c r="D342" s="201" t="str">
        <f>серпень!D265</f>
        <v>дотація</v>
      </c>
      <c r="E342" s="71"/>
      <c r="F342" s="61">
        <f t="shared" si="348"/>
        <v>0</v>
      </c>
      <c r="G342" s="61">
        <f t="shared" si="348"/>
        <v>0</v>
      </c>
      <c r="H342" s="61">
        <f t="shared" si="348"/>
        <v>0</v>
      </c>
      <c r="I342" s="61">
        <f t="shared" si="348"/>
        <v>0</v>
      </c>
      <c r="J342" s="61">
        <f t="shared" si="348"/>
        <v>0</v>
      </c>
      <c r="K342" s="61">
        <f t="shared" si="348"/>
        <v>0</v>
      </c>
      <c r="L342" s="61">
        <f>SUM(F342:K342)</f>
        <v>0</v>
      </c>
      <c r="M342" s="61">
        <f>L342/6</f>
        <v>0</v>
      </c>
      <c r="N342" s="61">
        <f t="shared" si="349"/>
        <v>0</v>
      </c>
      <c r="O342" s="61">
        <f t="shared" si="349"/>
        <v>0</v>
      </c>
      <c r="P342" s="61">
        <f t="shared" si="349"/>
        <v>0</v>
      </c>
      <c r="Q342" s="61">
        <f t="shared" si="349"/>
        <v>0</v>
      </c>
      <c r="R342" s="61">
        <f t="shared" si="349"/>
        <v>0</v>
      </c>
      <c r="S342" s="61">
        <f t="shared" si="349"/>
        <v>0</v>
      </c>
      <c r="T342" s="61">
        <f>SUM(N342:S342)</f>
        <v>0</v>
      </c>
      <c r="U342" s="61">
        <f>T342+L342</f>
        <v>0</v>
      </c>
      <c r="V342" s="61">
        <f>V359+V421</f>
        <v>0</v>
      </c>
      <c r="W342" s="72">
        <f>V342-U342</f>
        <v>0</v>
      </c>
      <c r="X342" s="63">
        <f>U337-U342</f>
        <v>0</v>
      </c>
    </row>
    <row r="343" spans="1:24" s="74" customFormat="1" ht="16" customHeight="1">
      <c r="A343" s="592"/>
      <c r="B343" s="661"/>
      <c r="C343" s="662"/>
      <c r="D343" s="201" t="str">
        <f>серпень!D266</f>
        <v xml:space="preserve">місцевий </v>
      </c>
      <c r="E343" s="61"/>
      <c r="F343" s="61">
        <f t="shared" si="348"/>
        <v>2.927</v>
      </c>
      <c r="G343" s="61">
        <f t="shared" si="348"/>
        <v>6.593</v>
      </c>
      <c r="H343" s="61">
        <f t="shared" si="348"/>
        <v>6.54</v>
      </c>
      <c r="I343" s="61">
        <f t="shared" si="348"/>
        <v>6.8540000000000001</v>
      </c>
      <c r="J343" s="61">
        <f t="shared" si="348"/>
        <v>-3.2050000000000001</v>
      </c>
      <c r="K343" s="61">
        <f t="shared" si="348"/>
        <v>8.7409999999999997</v>
      </c>
      <c r="L343" s="61">
        <f>SUM(F343:K343)</f>
        <v>28.45</v>
      </c>
      <c r="M343" s="61">
        <f>L343/6</f>
        <v>4.742</v>
      </c>
      <c r="N343" s="61">
        <f t="shared" si="349"/>
        <v>-14.179</v>
      </c>
      <c r="O343" s="61">
        <f t="shared" si="349"/>
        <v>12.923</v>
      </c>
      <c r="P343" s="61">
        <f t="shared" si="349"/>
        <v>5.4379999999999997</v>
      </c>
      <c r="Q343" s="61">
        <f t="shared" si="349"/>
        <v>6.9589999999999996</v>
      </c>
      <c r="R343" s="61">
        <f t="shared" si="349"/>
        <v>8.782</v>
      </c>
      <c r="S343" s="61">
        <f t="shared" si="349"/>
        <v>2.1949999999999998</v>
      </c>
      <c r="T343" s="61">
        <f>SUM(N343:S343)</f>
        <v>22.117999999999999</v>
      </c>
      <c r="U343" s="61">
        <f>T343+L343</f>
        <v>50.567999999999998</v>
      </c>
      <c r="V343" s="61">
        <f>V360+V422</f>
        <v>39.816000000000003</v>
      </c>
      <c r="W343" s="72">
        <f>V343-U343</f>
        <v>-10.752000000000001</v>
      </c>
      <c r="X343" s="63">
        <f>U338-U343</f>
        <v>-10.752000000000001</v>
      </c>
    </row>
    <row r="344" spans="1:24" s="43" customFormat="1" ht="16" customHeight="1">
      <c r="A344" s="592"/>
      <c r="B344" s="661"/>
      <c r="C344" s="662"/>
      <c r="D344" s="202" t="str">
        <f>серпень!D267</f>
        <v>план</v>
      </c>
      <c r="E344" s="42"/>
      <c r="F344" s="42">
        <f t="shared" ref="F344:K344" si="350">F338</f>
        <v>2.927</v>
      </c>
      <c r="G344" s="42">
        <f t="shared" si="350"/>
        <v>6.8019999999999996</v>
      </c>
      <c r="H344" s="42">
        <f t="shared" si="350"/>
        <v>3.964</v>
      </c>
      <c r="I344" s="42">
        <f t="shared" si="350"/>
        <v>6.8540000000000001</v>
      </c>
      <c r="J344" s="42">
        <f t="shared" si="350"/>
        <v>8.58</v>
      </c>
      <c r="K344" s="42">
        <f t="shared" si="350"/>
        <v>0.41799999999999998</v>
      </c>
      <c r="L344" s="42">
        <f>SUM(F344:K344)</f>
        <v>29.545000000000002</v>
      </c>
      <c r="M344" s="42">
        <f>L344/6</f>
        <v>4.9240000000000004</v>
      </c>
      <c r="N344" s="42">
        <f t="shared" ref="N344:S344" si="351">N338+N337</f>
        <v>0</v>
      </c>
      <c r="O344" s="42">
        <f t="shared" si="351"/>
        <v>0</v>
      </c>
      <c r="P344" s="42">
        <f t="shared" si="351"/>
        <v>4.4960000000000004</v>
      </c>
      <c r="Q344" s="42">
        <f t="shared" si="351"/>
        <v>3.04</v>
      </c>
      <c r="R344" s="42">
        <f t="shared" si="351"/>
        <v>2.4249999999999998</v>
      </c>
      <c r="S344" s="42">
        <f t="shared" si="351"/>
        <v>0.31</v>
      </c>
      <c r="T344" s="42">
        <f>SUM(N344:S344)</f>
        <v>10.271000000000001</v>
      </c>
      <c r="U344" s="42">
        <f>T344+L344</f>
        <v>39.816000000000003</v>
      </c>
      <c r="V344" s="42">
        <f>V338+V337</f>
        <v>39.816000000000003</v>
      </c>
      <c r="W344" s="42">
        <f>V344-U344</f>
        <v>0</v>
      </c>
    </row>
    <row r="345" spans="1:24" s="43" customFormat="1" ht="16" customHeight="1">
      <c r="A345" s="592"/>
      <c r="B345" s="661"/>
      <c r="C345" s="662"/>
      <c r="D345" s="202" t="str">
        <f>серпень!D268</f>
        <v xml:space="preserve">відхилення </v>
      </c>
      <c r="E345" s="42"/>
      <c r="F345" s="42">
        <f t="shared" ref="F345:K345" si="352">F341-F344</f>
        <v>0</v>
      </c>
      <c r="G345" s="42">
        <f t="shared" si="352"/>
        <v>-0.20899999999999999</v>
      </c>
      <c r="H345" s="42">
        <f t="shared" si="352"/>
        <v>2.5760000000000001</v>
      </c>
      <c r="I345" s="42">
        <f t="shared" si="352"/>
        <v>0</v>
      </c>
      <c r="J345" s="42">
        <f t="shared" si="352"/>
        <v>-11.785</v>
      </c>
      <c r="K345" s="42">
        <f t="shared" si="352"/>
        <v>8.3230000000000004</v>
      </c>
      <c r="L345" s="42"/>
      <c r="M345" s="42"/>
      <c r="N345" s="42">
        <f t="shared" ref="N345:S345" si="353">N341-N344</f>
        <v>-14.179</v>
      </c>
      <c r="O345" s="42">
        <f t="shared" si="353"/>
        <v>12.923</v>
      </c>
      <c r="P345" s="42">
        <f t="shared" si="353"/>
        <v>0.94199999999999995</v>
      </c>
      <c r="Q345" s="42">
        <f t="shared" si="353"/>
        <v>3.919</v>
      </c>
      <c r="R345" s="42">
        <f t="shared" si="353"/>
        <v>6.3570000000000002</v>
      </c>
      <c r="S345" s="42">
        <f t="shared" si="353"/>
        <v>1.885</v>
      </c>
      <c r="T345" s="42"/>
      <c r="U345" s="42"/>
      <c r="V345" s="42"/>
      <c r="W345" s="42"/>
    </row>
    <row r="346" spans="1:24" s="43" customFormat="1" ht="16" customHeight="1">
      <c r="A346" s="593"/>
      <c r="B346" s="663"/>
      <c r="C346" s="664"/>
      <c r="D346" s="202" t="str">
        <f>серпень!D269</f>
        <v>відхилення з наростаючим</v>
      </c>
      <c r="E346" s="42"/>
      <c r="F346" s="42">
        <f>F345</f>
        <v>0</v>
      </c>
      <c r="G346" s="42">
        <f>G345+F346</f>
        <v>-0.20899999999999999</v>
      </c>
      <c r="H346" s="42">
        <f>H345+G346</f>
        <v>2.367</v>
      </c>
      <c r="I346" s="42">
        <f>I345+H346</f>
        <v>2.367</v>
      </c>
      <c r="J346" s="42">
        <f>J345+I346</f>
        <v>-9.4179999999999993</v>
      </c>
      <c r="K346" s="42">
        <f>K345+J346</f>
        <v>-1.095</v>
      </c>
      <c r="L346" s="42"/>
      <c r="M346" s="42"/>
      <c r="N346" s="42">
        <f>N345+K346</f>
        <v>-15.273999999999999</v>
      </c>
      <c r="O346" s="42">
        <f>O345+N346</f>
        <v>-2.351</v>
      </c>
      <c r="P346" s="42">
        <f>P345+O346</f>
        <v>-1.409</v>
      </c>
      <c r="Q346" s="42">
        <f>Q345+P346</f>
        <v>2.5099999999999998</v>
      </c>
      <c r="R346" s="42">
        <f>R345+Q346</f>
        <v>8.8670000000000009</v>
      </c>
      <c r="S346" s="42">
        <f>S345+R346</f>
        <v>10.752000000000001</v>
      </c>
      <c r="T346" s="42"/>
      <c r="U346" s="42"/>
      <c r="V346" s="42"/>
      <c r="W346" s="42"/>
    </row>
    <row r="347" spans="1:24" s="186" customFormat="1" ht="18" customHeight="1">
      <c r="A347" s="595" t="s">
        <v>35</v>
      </c>
      <c r="B347" s="665" t="s">
        <v>36</v>
      </c>
      <c r="C347" s="665"/>
      <c r="D347" s="178" t="str">
        <f>серпень!D270</f>
        <v>факт. нат.п-ки 2023</v>
      </c>
      <c r="E347" s="179"/>
      <c r="F347" s="180">
        <f t="shared" ref="F347:K349" si="354">F364+F379+F394</f>
        <v>110</v>
      </c>
      <c r="G347" s="180">
        <f t="shared" si="354"/>
        <v>88</v>
      </c>
      <c r="H347" s="180">
        <f t="shared" si="354"/>
        <v>58.9</v>
      </c>
      <c r="I347" s="180">
        <f t="shared" si="354"/>
        <v>113.7</v>
      </c>
      <c r="J347" s="180">
        <f t="shared" si="354"/>
        <v>112</v>
      </c>
      <c r="K347" s="180">
        <f t="shared" si="354"/>
        <v>138.1</v>
      </c>
      <c r="L347" s="215">
        <f>SUM(F347:K347)</f>
        <v>620.70000000000005</v>
      </c>
      <c r="M347" s="215">
        <f>L347/6</f>
        <v>103.5</v>
      </c>
      <c r="N347" s="180">
        <f t="shared" ref="N347:S349" si="355">N364+N379+N394</f>
        <v>104</v>
      </c>
      <c r="O347" s="180">
        <f t="shared" si="355"/>
        <v>74</v>
      </c>
      <c r="P347" s="180">
        <f t="shared" si="355"/>
        <v>250</v>
      </c>
      <c r="Q347" s="180">
        <f t="shared" si="355"/>
        <v>320</v>
      </c>
      <c r="R347" s="180">
        <f t="shared" si="355"/>
        <v>416</v>
      </c>
      <c r="S347" s="180">
        <f t="shared" si="355"/>
        <v>138.9</v>
      </c>
      <c r="T347" s="215">
        <f>SUM(N347:S347)</f>
        <v>1302.9000000000001</v>
      </c>
      <c r="U347" s="215">
        <f>T347+L347</f>
        <v>1923.6</v>
      </c>
      <c r="V347" s="233">
        <f>V364+V394</f>
        <v>1923.6</v>
      </c>
      <c r="W347" s="184"/>
      <c r="X347" s="185"/>
    </row>
    <row r="348" spans="1:24" s="186" customFormat="1" ht="18" customHeight="1">
      <c r="A348" s="595"/>
      <c r="B348" s="665"/>
      <c r="C348" s="665"/>
      <c r="D348" s="178" t="str">
        <f>серпень!D271</f>
        <v>факт. нат.п-ки 2024</v>
      </c>
      <c r="E348" s="179"/>
      <c r="F348" s="180">
        <f t="shared" si="354"/>
        <v>123.7</v>
      </c>
      <c r="G348" s="180">
        <f t="shared" si="354"/>
        <v>50.3</v>
      </c>
      <c r="H348" s="180">
        <f t="shared" si="354"/>
        <v>73.5</v>
      </c>
      <c r="I348" s="180">
        <f t="shared" si="354"/>
        <v>100</v>
      </c>
      <c r="J348" s="180">
        <f t="shared" si="354"/>
        <v>104</v>
      </c>
      <c r="K348" s="180">
        <f t="shared" si="354"/>
        <v>138</v>
      </c>
      <c r="L348" s="215">
        <f>SUM(F348:K348)</f>
        <v>589.5</v>
      </c>
      <c r="M348" s="215">
        <f>L348/6</f>
        <v>98.3</v>
      </c>
      <c r="N348" s="180">
        <f t="shared" si="355"/>
        <v>126</v>
      </c>
      <c r="O348" s="180">
        <f t="shared" si="355"/>
        <v>0</v>
      </c>
      <c r="P348" s="180">
        <f t="shared" si="355"/>
        <v>207.9</v>
      </c>
      <c r="Q348" s="180">
        <f t="shared" si="355"/>
        <v>266</v>
      </c>
      <c r="R348" s="180">
        <f t="shared" si="355"/>
        <v>335.7</v>
      </c>
      <c r="S348" s="180">
        <f t="shared" si="355"/>
        <v>108.9</v>
      </c>
      <c r="T348" s="215">
        <f>SUM(N348:S348)</f>
        <v>1044.5</v>
      </c>
      <c r="U348" s="215">
        <f>T348+L348</f>
        <v>1634</v>
      </c>
      <c r="V348" s="233">
        <f>V365+V395</f>
        <v>1634</v>
      </c>
      <c r="W348" s="184"/>
      <c r="X348" s="185"/>
    </row>
    <row r="349" spans="1:24" s="186" customFormat="1" ht="18" customHeight="1">
      <c r="A349" s="595"/>
      <c r="B349" s="665"/>
      <c r="C349" s="665"/>
      <c r="D349" s="178" t="str">
        <f>серпень!D272</f>
        <v>факт. нат.п-ки 2025</v>
      </c>
      <c r="E349" s="179"/>
      <c r="F349" s="180">
        <f>F366+F381+F396</f>
        <v>13.3</v>
      </c>
      <c r="G349" s="180">
        <f t="shared" si="354"/>
        <v>94</v>
      </c>
      <c r="H349" s="180">
        <f t="shared" si="354"/>
        <v>72.8</v>
      </c>
      <c r="I349" s="180">
        <f t="shared" si="354"/>
        <v>90</v>
      </c>
      <c r="J349" s="180">
        <f t="shared" si="354"/>
        <v>6</v>
      </c>
      <c r="K349" s="180">
        <f t="shared" si="354"/>
        <v>270</v>
      </c>
      <c r="L349" s="234">
        <f>SUM(F349:K349)</f>
        <v>546.1</v>
      </c>
      <c r="M349" s="215">
        <f>L349/6</f>
        <v>91</v>
      </c>
      <c r="N349" s="180">
        <f t="shared" si="355"/>
        <v>260</v>
      </c>
      <c r="O349" s="180">
        <f t="shared" si="355"/>
        <v>234</v>
      </c>
      <c r="P349" s="180">
        <f t="shared" si="355"/>
        <v>207.9</v>
      </c>
      <c r="Q349" s="180">
        <f t="shared" si="355"/>
        <v>266</v>
      </c>
      <c r="R349" s="180">
        <f t="shared" si="355"/>
        <v>335.7</v>
      </c>
      <c r="S349" s="180">
        <f t="shared" si="355"/>
        <v>83.9</v>
      </c>
      <c r="T349" s="215">
        <f>SUM(N349:S349)</f>
        <v>1387.5</v>
      </c>
      <c r="U349" s="215">
        <f>T349+L349</f>
        <v>1933.6</v>
      </c>
      <c r="V349" s="233">
        <f>V366+V381+V396</f>
        <v>1683</v>
      </c>
      <c r="W349" s="184">
        <f>V349-U349</f>
        <v>-250.6</v>
      </c>
      <c r="X349" s="185"/>
    </row>
    <row r="350" spans="1:24" s="190" customFormat="1" ht="18" customHeight="1">
      <c r="A350" s="595"/>
      <c r="B350" s="665"/>
      <c r="C350" s="665"/>
      <c r="D350" s="187" t="str">
        <f>серпень!D273</f>
        <v>тариф, грн.</v>
      </c>
      <c r="E350" s="188"/>
      <c r="F350" s="188">
        <f t="shared" ref="F350:S350" si="356">F351/F349*1000</f>
        <v>24.962</v>
      </c>
      <c r="G350" s="188">
        <f t="shared" si="356"/>
        <v>26.138000000000002</v>
      </c>
      <c r="H350" s="188">
        <f t="shared" si="356"/>
        <v>26.154</v>
      </c>
      <c r="I350" s="188">
        <f t="shared" si="356"/>
        <v>26.155999999999999</v>
      </c>
      <c r="J350" s="188">
        <f t="shared" si="356"/>
        <v>26.167000000000002</v>
      </c>
      <c r="K350" s="188">
        <f t="shared" si="356"/>
        <v>26.173999999999999</v>
      </c>
      <c r="L350" s="188">
        <f t="shared" si="356"/>
        <v>26.132999999999999</v>
      </c>
      <c r="M350" s="188">
        <f t="shared" si="356"/>
        <v>26.143000000000001</v>
      </c>
      <c r="N350" s="188">
        <f t="shared" si="356"/>
        <v>26.161999999999999</v>
      </c>
      <c r="O350" s="188">
        <f t="shared" si="356"/>
        <v>26.158000000000001</v>
      </c>
      <c r="P350" s="188">
        <f t="shared" si="356"/>
        <v>26.161999999999999</v>
      </c>
      <c r="Q350" s="188">
        <f t="shared" si="356"/>
        <v>26.161999999999999</v>
      </c>
      <c r="R350" s="188">
        <f t="shared" si="356"/>
        <v>26.16</v>
      </c>
      <c r="S350" s="188">
        <f t="shared" si="356"/>
        <v>26.15</v>
      </c>
      <c r="T350" s="188">
        <f>T351/T349*1000</f>
        <v>26.16</v>
      </c>
      <c r="U350" s="188">
        <f>U351/U349*1000</f>
        <v>26.152000000000001</v>
      </c>
      <c r="V350" s="188">
        <f>V351/V349*1000</f>
        <v>23.658000000000001</v>
      </c>
      <c r="W350" s="189">
        <f>W351/W349*1000</f>
        <v>42.905000000000001</v>
      </c>
      <c r="X350" s="225"/>
    </row>
    <row r="351" spans="1:24" s="172" customFormat="1" ht="18" customHeight="1">
      <c r="A351" s="671"/>
      <c r="B351" s="665"/>
      <c r="C351" s="665"/>
      <c r="D351" s="191" t="str">
        <f>серпень!D274</f>
        <v>сума, тис.грн.</v>
      </c>
      <c r="E351" s="192"/>
      <c r="F351" s="192">
        <f t="shared" ref="F351:K351" si="357">F368+F383+F398</f>
        <v>0.33200000000000002</v>
      </c>
      <c r="G351" s="192">
        <f t="shared" si="357"/>
        <v>2.4569999999999999</v>
      </c>
      <c r="H351" s="192">
        <f t="shared" si="357"/>
        <v>1.9039999999999999</v>
      </c>
      <c r="I351" s="192">
        <f t="shared" si="357"/>
        <v>2.3540000000000001</v>
      </c>
      <c r="J351" s="192">
        <f t="shared" si="357"/>
        <v>0.157</v>
      </c>
      <c r="K351" s="192">
        <f t="shared" si="357"/>
        <v>7.0670000000000002</v>
      </c>
      <c r="L351" s="194">
        <f t="shared" ref="L351:L356" si="358">SUM(F351:K351)</f>
        <v>14.271000000000001</v>
      </c>
      <c r="M351" s="194">
        <f t="shared" ref="M351:M356" si="359">L351/6</f>
        <v>2.379</v>
      </c>
      <c r="N351" s="192">
        <f t="shared" ref="N351:S351" si="360">N368+N383+N398</f>
        <v>6.8019999999999996</v>
      </c>
      <c r="O351" s="192">
        <f t="shared" si="360"/>
        <v>6.1210000000000004</v>
      </c>
      <c r="P351" s="192">
        <f t="shared" si="360"/>
        <v>5.4390000000000001</v>
      </c>
      <c r="Q351" s="192">
        <f t="shared" si="360"/>
        <v>6.9589999999999996</v>
      </c>
      <c r="R351" s="192">
        <f t="shared" si="360"/>
        <v>8.782</v>
      </c>
      <c r="S351" s="192">
        <f t="shared" si="360"/>
        <v>2.194</v>
      </c>
      <c r="T351" s="194">
        <f t="shared" ref="T351:T356" si="361">SUM(N351:S351)</f>
        <v>36.296999999999997</v>
      </c>
      <c r="U351" s="194">
        <f t="shared" ref="U351:U356" si="362">T351+L351</f>
        <v>50.567999999999998</v>
      </c>
      <c r="V351" s="192">
        <f t="shared" ref="V351" si="363">V368+V383+V398</f>
        <v>39.816000000000003</v>
      </c>
      <c r="W351" s="192">
        <f>V351-U351</f>
        <v>-10.752000000000001</v>
      </c>
    </row>
    <row r="352" spans="1:24" s="172" customFormat="1" ht="18" customHeight="1">
      <c r="A352" s="671"/>
      <c r="B352" s="665"/>
      <c r="C352" s="665"/>
      <c r="D352" s="174" t="str">
        <f>серпень!D275</f>
        <v>абоненська плата, тис.грн.</v>
      </c>
      <c r="E352" s="192"/>
      <c r="F352" s="192">
        <f>F383</f>
        <v>0</v>
      </c>
      <c r="G352" s="192">
        <f t="shared" ref="G352:K352" si="364">G383</f>
        <v>0</v>
      </c>
      <c r="H352" s="192">
        <f t="shared" si="364"/>
        <v>0</v>
      </c>
      <c r="I352" s="192">
        <f t="shared" si="364"/>
        <v>0</v>
      </c>
      <c r="J352" s="192">
        <f t="shared" si="364"/>
        <v>0</v>
      </c>
      <c r="K352" s="192">
        <f t="shared" si="364"/>
        <v>0</v>
      </c>
      <c r="L352" s="194">
        <f t="shared" si="358"/>
        <v>0</v>
      </c>
      <c r="M352" s="194">
        <f t="shared" si="359"/>
        <v>0</v>
      </c>
      <c r="N352" s="192">
        <f>N383</f>
        <v>0</v>
      </c>
      <c r="O352" s="192">
        <f t="shared" ref="O352:S352" si="365">O383</f>
        <v>0</v>
      </c>
      <c r="P352" s="192">
        <f t="shared" si="365"/>
        <v>0</v>
      </c>
      <c r="Q352" s="192">
        <f t="shared" si="365"/>
        <v>0</v>
      </c>
      <c r="R352" s="192">
        <f t="shared" si="365"/>
        <v>0</v>
      </c>
      <c r="S352" s="192">
        <f t="shared" si="365"/>
        <v>0</v>
      </c>
      <c r="T352" s="194">
        <f t="shared" si="361"/>
        <v>0</v>
      </c>
      <c r="U352" s="194">
        <f t="shared" si="362"/>
        <v>0</v>
      </c>
      <c r="V352" s="192">
        <f t="shared" ref="V352" si="366">V383</f>
        <v>0</v>
      </c>
      <c r="W352" s="192">
        <f t="shared" ref="W352:W353" si="367">V352-U352</f>
        <v>0</v>
      </c>
    </row>
    <row r="353" spans="1:28" s="172" customFormat="1" ht="18" customHeight="1">
      <c r="A353" s="671"/>
      <c r="B353" s="665"/>
      <c r="C353" s="665"/>
      <c r="D353" s="174" t="str">
        <f>серпень!D276</f>
        <v>разом сума тис. грн+абонплата</v>
      </c>
      <c r="E353" s="192"/>
      <c r="F353" s="192">
        <f>F351+F352</f>
        <v>0.33200000000000002</v>
      </c>
      <c r="G353" s="192">
        <f t="shared" ref="G353:K353" si="368">G351+G352</f>
        <v>2.4569999999999999</v>
      </c>
      <c r="H353" s="192">
        <f t="shared" si="368"/>
        <v>1.9039999999999999</v>
      </c>
      <c r="I353" s="192">
        <f t="shared" si="368"/>
        <v>2.3540000000000001</v>
      </c>
      <c r="J353" s="192">
        <f t="shared" si="368"/>
        <v>0.157</v>
      </c>
      <c r="K353" s="192">
        <f t="shared" si="368"/>
        <v>7.0670000000000002</v>
      </c>
      <c r="L353" s="194">
        <f t="shared" si="358"/>
        <v>14.271000000000001</v>
      </c>
      <c r="M353" s="194">
        <f t="shared" si="359"/>
        <v>2.379</v>
      </c>
      <c r="N353" s="192">
        <f>N351+N352</f>
        <v>6.8019999999999996</v>
      </c>
      <c r="O353" s="192">
        <f t="shared" ref="O353:S353" si="369">O351+O352</f>
        <v>6.1210000000000004</v>
      </c>
      <c r="P353" s="192">
        <f t="shared" si="369"/>
        <v>5.4390000000000001</v>
      </c>
      <c r="Q353" s="192">
        <f t="shared" si="369"/>
        <v>6.9589999999999996</v>
      </c>
      <c r="R353" s="192">
        <f t="shared" si="369"/>
        <v>8.782</v>
      </c>
      <c r="S353" s="192">
        <f t="shared" si="369"/>
        <v>2.194</v>
      </c>
      <c r="T353" s="194">
        <f t="shared" si="361"/>
        <v>36.296999999999997</v>
      </c>
      <c r="U353" s="194">
        <f t="shared" si="362"/>
        <v>50.567999999999998</v>
      </c>
      <c r="V353" s="192">
        <f t="shared" ref="V353" si="370">V351+V352</f>
        <v>39.816000000000003</v>
      </c>
      <c r="W353" s="192">
        <f t="shared" si="367"/>
        <v>-10.752000000000001</v>
      </c>
    </row>
    <row r="354" spans="1:28" s="172" customFormat="1" ht="18" customHeight="1">
      <c r="A354" s="671"/>
      <c r="B354" s="665"/>
      <c r="C354" s="665"/>
      <c r="D354" s="174" t="str">
        <f>серпень!D277</f>
        <v>дотація</v>
      </c>
      <c r="E354" s="192"/>
      <c r="F354" s="192">
        <f t="shared" ref="F354:K356" si="371">F369+F384+F399</f>
        <v>0</v>
      </c>
      <c r="G354" s="192">
        <f t="shared" si="371"/>
        <v>0</v>
      </c>
      <c r="H354" s="192">
        <f t="shared" si="371"/>
        <v>0</v>
      </c>
      <c r="I354" s="192">
        <f t="shared" si="371"/>
        <v>0</v>
      </c>
      <c r="J354" s="192">
        <f t="shared" si="371"/>
        <v>0</v>
      </c>
      <c r="K354" s="192">
        <f t="shared" si="371"/>
        <v>0</v>
      </c>
      <c r="L354" s="194">
        <f t="shared" si="358"/>
        <v>0</v>
      </c>
      <c r="M354" s="194">
        <f t="shared" si="359"/>
        <v>0</v>
      </c>
      <c r="N354" s="192">
        <f t="shared" ref="N354:S356" si="372">N369+N384+N399</f>
        <v>0</v>
      </c>
      <c r="O354" s="192">
        <f t="shared" si="372"/>
        <v>0</v>
      </c>
      <c r="P354" s="192">
        <f t="shared" si="372"/>
        <v>0</v>
      </c>
      <c r="Q354" s="192">
        <f t="shared" si="372"/>
        <v>0</v>
      </c>
      <c r="R354" s="192">
        <f t="shared" si="372"/>
        <v>0</v>
      </c>
      <c r="S354" s="192">
        <f t="shared" si="372"/>
        <v>0</v>
      </c>
      <c r="T354" s="194">
        <f t="shared" si="361"/>
        <v>0</v>
      </c>
      <c r="U354" s="194">
        <f t="shared" si="362"/>
        <v>0</v>
      </c>
      <c r="V354" s="192">
        <f t="shared" ref="V354:V355" si="373">V369+V384+V399</f>
        <v>0</v>
      </c>
      <c r="W354" s="192">
        <f>V354-U354</f>
        <v>0</v>
      </c>
    </row>
    <row r="355" spans="1:28" s="172" customFormat="1" ht="18" customHeight="1">
      <c r="A355" s="671"/>
      <c r="B355" s="665"/>
      <c r="C355" s="665"/>
      <c r="D355" s="174" t="str">
        <f>серпень!D278</f>
        <v>місцевий (план), тис.грн</v>
      </c>
      <c r="E355" s="192"/>
      <c r="F355" s="192">
        <f t="shared" si="371"/>
        <v>2.927</v>
      </c>
      <c r="G355" s="192">
        <f t="shared" si="371"/>
        <v>6.8019999999999996</v>
      </c>
      <c r="H355" s="192">
        <f t="shared" si="371"/>
        <v>3.964</v>
      </c>
      <c r="I355" s="192">
        <f t="shared" si="371"/>
        <v>6.8540000000000001</v>
      </c>
      <c r="J355" s="192">
        <f t="shared" si="371"/>
        <v>8.58</v>
      </c>
      <c r="K355" s="192">
        <f t="shared" si="371"/>
        <v>0.41799999999999998</v>
      </c>
      <c r="L355" s="194">
        <f t="shared" si="358"/>
        <v>29.545000000000002</v>
      </c>
      <c r="M355" s="194">
        <f t="shared" si="359"/>
        <v>4.9240000000000004</v>
      </c>
      <c r="N355" s="192">
        <f t="shared" si="372"/>
        <v>0</v>
      </c>
      <c r="O355" s="192">
        <f t="shared" si="372"/>
        <v>0</v>
      </c>
      <c r="P355" s="192">
        <f t="shared" si="372"/>
        <v>4.4960000000000004</v>
      </c>
      <c r="Q355" s="192">
        <f t="shared" si="372"/>
        <v>3.04</v>
      </c>
      <c r="R355" s="192">
        <f t="shared" si="372"/>
        <v>2.4249999999999998</v>
      </c>
      <c r="S355" s="192">
        <f t="shared" si="372"/>
        <v>0.31</v>
      </c>
      <c r="T355" s="194">
        <f t="shared" si="361"/>
        <v>10.271000000000001</v>
      </c>
      <c r="U355" s="194">
        <f t="shared" si="362"/>
        <v>39.816000000000003</v>
      </c>
      <c r="V355" s="192">
        <f t="shared" si="373"/>
        <v>39.816000000000003</v>
      </c>
      <c r="W355" s="192">
        <f>V355-U355</f>
        <v>0</v>
      </c>
    </row>
    <row r="356" spans="1:28" s="186" customFormat="1" ht="18" customHeight="1">
      <c r="A356" s="595"/>
      <c r="B356" s="665"/>
      <c r="C356" s="665"/>
      <c r="D356" s="178" t="str">
        <f>серпень!D279</f>
        <v>касові нат.п-ки 2025</v>
      </c>
      <c r="E356" s="179">
        <f>E371</f>
        <v>0</v>
      </c>
      <c r="F356" s="179">
        <f t="shared" si="371"/>
        <v>117.5</v>
      </c>
      <c r="G356" s="179">
        <f t="shared" si="371"/>
        <v>252</v>
      </c>
      <c r="H356" s="179">
        <f t="shared" si="371"/>
        <v>250</v>
      </c>
      <c r="I356" s="179">
        <f t="shared" si="371"/>
        <v>262</v>
      </c>
      <c r="J356" s="179">
        <f t="shared" si="371"/>
        <v>-122.5</v>
      </c>
      <c r="K356" s="179">
        <f t="shared" si="371"/>
        <v>334</v>
      </c>
      <c r="L356" s="215">
        <f t="shared" si="358"/>
        <v>1093</v>
      </c>
      <c r="M356" s="215">
        <f t="shared" si="359"/>
        <v>182.2</v>
      </c>
      <c r="N356" s="179">
        <f t="shared" si="372"/>
        <v>-542</v>
      </c>
      <c r="O356" s="179">
        <f t="shared" si="372"/>
        <v>494</v>
      </c>
      <c r="P356" s="179">
        <f t="shared" si="372"/>
        <v>203</v>
      </c>
      <c r="Q356" s="179">
        <f t="shared" si="372"/>
        <v>266</v>
      </c>
      <c r="R356" s="179">
        <f t="shared" si="372"/>
        <v>335.7</v>
      </c>
      <c r="S356" s="179">
        <f t="shared" si="372"/>
        <v>83.9</v>
      </c>
      <c r="T356" s="215">
        <f t="shared" si="361"/>
        <v>840.6</v>
      </c>
      <c r="U356" s="215">
        <f t="shared" si="362"/>
        <v>1933.6</v>
      </c>
      <c r="V356" s="179">
        <f>V371+V401</f>
        <v>1683</v>
      </c>
      <c r="W356" s="184">
        <f>V356-U356</f>
        <v>-250.6</v>
      </c>
      <c r="X356" s="185">
        <f>U349-U356</f>
        <v>0</v>
      </c>
    </row>
    <row r="357" spans="1:28" s="190" customFormat="1" ht="18" customHeight="1">
      <c r="A357" s="595"/>
      <c r="B357" s="665"/>
      <c r="C357" s="665"/>
      <c r="D357" s="187" t="str">
        <f>серпень!D280</f>
        <v>тариф, грн.</v>
      </c>
      <c r="E357" s="188" t="e">
        <f t="shared" ref="E357:S357" si="374">E358/E356*1000</f>
        <v>#DIV/0!</v>
      </c>
      <c r="F357" s="188">
        <f t="shared" si="374"/>
        <v>24.911000000000001</v>
      </c>
      <c r="G357" s="188">
        <f t="shared" si="374"/>
        <v>26.163</v>
      </c>
      <c r="H357" s="188">
        <f t="shared" si="374"/>
        <v>26.16</v>
      </c>
      <c r="I357" s="188">
        <f t="shared" si="374"/>
        <v>26.16</v>
      </c>
      <c r="J357" s="188">
        <f t="shared" si="374"/>
        <v>26.163</v>
      </c>
      <c r="K357" s="188">
        <f t="shared" si="374"/>
        <v>26.170999999999999</v>
      </c>
      <c r="L357" s="188">
        <f t="shared" si="374"/>
        <v>26.029</v>
      </c>
      <c r="M357" s="188">
        <f t="shared" si="374"/>
        <v>26.026</v>
      </c>
      <c r="N357" s="188">
        <f t="shared" si="374"/>
        <v>26.161000000000001</v>
      </c>
      <c r="O357" s="188">
        <f t="shared" si="374"/>
        <v>26.16</v>
      </c>
      <c r="P357" s="188">
        <f t="shared" si="374"/>
        <v>26.788</v>
      </c>
      <c r="Q357" s="188">
        <f t="shared" si="374"/>
        <v>26.161999999999999</v>
      </c>
      <c r="R357" s="188">
        <f t="shared" si="374"/>
        <v>26.16</v>
      </c>
      <c r="S357" s="188">
        <f t="shared" si="374"/>
        <v>26.161999999999999</v>
      </c>
      <c r="T357" s="188">
        <f>T358/T356*1000</f>
        <v>26.312000000000001</v>
      </c>
      <c r="U357" s="188">
        <f>U358/U356*1000</f>
        <v>26.152000000000001</v>
      </c>
      <c r="V357" s="188">
        <f>V358/V356*1000</f>
        <v>23.658000000000001</v>
      </c>
      <c r="W357" s="189">
        <f>W358/W356*1000</f>
        <v>42.905000000000001</v>
      </c>
      <c r="X357" s="225"/>
    </row>
    <row r="358" spans="1:28" s="213" customFormat="1" ht="18" customHeight="1">
      <c r="A358" s="595"/>
      <c r="B358" s="665"/>
      <c r="C358" s="665"/>
      <c r="D358" s="198" t="str">
        <f>серпень!D281</f>
        <v>касові видатки, тис.грн.</v>
      </c>
      <c r="E358" s="220">
        <f>E373+E403</f>
        <v>0</v>
      </c>
      <c r="F358" s="199">
        <f t="shared" ref="F358:K360" si="375">F373+F388+F403</f>
        <v>2.927</v>
      </c>
      <c r="G358" s="199">
        <f t="shared" si="375"/>
        <v>6.593</v>
      </c>
      <c r="H358" s="199">
        <f t="shared" si="375"/>
        <v>6.54</v>
      </c>
      <c r="I358" s="199">
        <f t="shared" si="375"/>
        <v>6.8540000000000001</v>
      </c>
      <c r="J358" s="199">
        <f t="shared" si="375"/>
        <v>-3.2050000000000001</v>
      </c>
      <c r="K358" s="199">
        <f t="shared" si="375"/>
        <v>8.7409999999999997</v>
      </c>
      <c r="L358" s="199">
        <f>SUM(F358:K358)</f>
        <v>28.45</v>
      </c>
      <c r="M358" s="199">
        <f>L358/6</f>
        <v>4.742</v>
      </c>
      <c r="N358" s="199">
        <f t="shared" ref="N358:S360" si="376">N373+N388+N403</f>
        <v>-14.179</v>
      </c>
      <c r="O358" s="199">
        <f t="shared" si="376"/>
        <v>12.923</v>
      </c>
      <c r="P358" s="199">
        <f t="shared" si="376"/>
        <v>5.4379999999999997</v>
      </c>
      <c r="Q358" s="199">
        <f t="shared" si="376"/>
        <v>6.9589999999999996</v>
      </c>
      <c r="R358" s="199">
        <f t="shared" si="376"/>
        <v>8.782</v>
      </c>
      <c r="S358" s="199">
        <f t="shared" si="376"/>
        <v>2.1949999999999998</v>
      </c>
      <c r="T358" s="199">
        <f>SUM(N358:S358)</f>
        <v>22.117999999999999</v>
      </c>
      <c r="U358" s="199">
        <f>T358+L358</f>
        <v>50.567999999999998</v>
      </c>
      <c r="V358" s="199">
        <f>V373+V403</f>
        <v>39.816000000000003</v>
      </c>
      <c r="W358" s="221">
        <f>V358-U358</f>
        <v>-10.752000000000001</v>
      </c>
      <c r="X358" s="176">
        <f>U351-U358</f>
        <v>0</v>
      </c>
    </row>
    <row r="359" spans="1:28" s="213" customFormat="1" ht="18" customHeight="1">
      <c r="A359" s="595"/>
      <c r="B359" s="665"/>
      <c r="C359" s="665"/>
      <c r="D359" s="201" t="str">
        <f>серпень!D282</f>
        <v>дотація</v>
      </c>
      <c r="E359" s="220"/>
      <c r="F359" s="199">
        <f t="shared" si="375"/>
        <v>0</v>
      </c>
      <c r="G359" s="199">
        <f t="shared" si="375"/>
        <v>0</v>
      </c>
      <c r="H359" s="199">
        <f t="shared" si="375"/>
        <v>0</v>
      </c>
      <c r="I359" s="199">
        <f t="shared" si="375"/>
        <v>0</v>
      </c>
      <c r="J359" s="199">
        <f t="shared" si="375"/>
        <v>0</v>
      </c>
      <c r="K359" s="199">
        <f t="shared" si="375"/>
        <v>0</v>
      </c>
      <c r="L359" s="199">
        <f>SUM(F359:K359)</f>
        <v>0</v>
      </c>
      <c r="M359" s="199">
        <f>L359/6</f>
        <v>0</v>
      </c>
      <c r="N359" s="199">
        <f t="shared" si="376"/>
        <v>0</v>
      </c>
      <c r="O359" s="199">
        <f t="shared" si="376"/>
        <v>0</v>
      </c>
      <c r="P359" s="199">
        <f t="shared" si="376"/>
        <v>0</v>
      </c>
      <c r="Q359" s="199">
        <f t="shared" si="376"/>
        <v>0</v>
      </c>
      <c r="R359" s="199">
        <f t="shared" si="376"/>
        <v>0</v>
      </c>
      <c r="S359" s="199">
        <f t="shared" si="376"/>
        <v>0</v>
      </c>
      <c r="T359" s="199">
        <f>SUM(N359:S359)</f>
        <v>0</v>
      </c>
      <c r="U359" s="199">
        <f>T359+L359</f>
        <v>0</v>
      </c>
      <c r="V359" s="199">
        <f>V374+V404</f>
        <v>0</v>
      </c>
      <c r="W359" s="221">
        <f>V359-U359</f>
        <v>0</v>
      </c>
      <c r="X359" s="176">
        <f>U354-U359</f>
        <v>0</v>
      </c>
    </row>
    <row r="360" spans="1:28" s="213" customFormat="1" ht="18" customHeight="1">
      <c r="A360" s="595"/>
      <c r="B360" s="665"/>
      <c r="C360" s="665"/>
      <c r="D360" s="201" t="str">
        <f>серпень!D283</f>
        <v xml:space="preserve">місцевий </v>
      </c>
      <c r="E360" s="220"/>
      <c r="F360" s="199">
        <f t="shared" si="375"/>
        <v>2.927</v>
      </c>
      <c r="G360" s="199">
        <f t="shared" si="375"/>
        <v>6.593</v>
      </c>
      <c r="H360" s="199">
        <f t="shared" si="375"/>
        <v>6.54</v>
      </c>
      <c r="I360" s="199">
        <f t="shared" si="375"/>
        <v>6.8540000000000001</v>
      </c>
      <c r="J360" s="199">
        <f t="shared" si="375"/>
        <v>-3.2050000000000001</v>
      </c>
      <c r="K360" s="199">
        <f t="shared" si="375"/>
        <v>8.7409999999999997</v>
      </c>
      <c r="L360" s="199">
        <f>SUM(F360:K360)</f>
        <v>28.45</v>
      </c>
      <c r="M360" s="199">
        <f>L360/6</f>
        <v>4.742</v>
      </c>
      <c r="N360" s="199">
        <f t="shared" si="376"/>
        <v>-14.179</v>
      </c>
      <c r="O360" s="199">
        <f t="shared" si="376"/>
        <v>12.923</v>
      </c>
      <c r="P360" s="199">
        <f t="shared" si="376"/>
        <v>5.4379999999999997</v>
      </c>
      <c r="Q360" s="199">
        <f t="shared" si="376"/>
        <v>6.9589999999999996</v>
      </c>
      <c r="R360" s="199">
        <f t="shared" si="376"/>
        <v>8.782</v>
      </c>
      <c r="S360" s="199">
        <f t="shared" si="376"/>
        <v>2.1949999999999998</v>
      </c>
      <c r="T360" s="199">
        <f>SUM(N360:S360)</f>
        <v>22.117999999999999</v>
      </c>
      <c r="U360" s="199">
        <f>T360+L360</f>
        <v>50.567999999999998</v>
      </c>
      <c r="V360" s="199">
        <f>V375+V405</f>
        <v>39.816000000000003</v>
      </c>
      <c r="W360" s="221">
        <f>V360-U360</f>
        <v>-10.752000000000001</v>
      </c>
      <c r="X360" s="176">
        <f>U355-U360</f>
        <v>-10.752000000000001</v>
      </c>
    </row>
    <row r="361" spans="1:28" s="205" customFormat="1" ht="18" customHeight="1">
      <c r="A361" s="595"/>
      <c r="B361" s="665"/>
      <c r="C361" s="665"/>
      <c r="D361" s="202" t="str">
        <f>серпень!D284</f>
        <v>план</v>
      </c>
      <c r="E361" s="203"/>
      <c r="F361" s="203">
        <f t="shared" ref="F361:K361" si="377">F355</f>
        <v>2.927</v>
      </c>
      <c r="G361" s="203">
        <f t="shared" si="377"/>
        <v>6.8019999999999996</v>
      </c>
      <c r="H361" s="203">
        <f t="shared" si="377"/>
        <v>3.964</v>
      </c>
      <c r="I361" s="203">
        <f t="shared" si="377"/>
        <v>6.8540000000000001</v>
      </c>
      <c r="J361" s="203">
        <f t="shared" si="377"/>
        <v>8.58</v>
      </c>
      <c r="K361" s="203">
        <f t="shared" si="377"/>
        <v>0.41799999999999998</v>
      </c>
      <c r="L361" s="203">
        <f>SUM(F361:K361)</f>
        <v>29.545000000000002</v>
      </c>
      <c r="M361" s="203">
        <f>L361/6</f>
        <v>4.9240000000000004</v>
      </c>
      <c r="N361" s="203">
        <f t="shared" ref="N361:S361" si="378">N376+N406</f>
        <v>0</v>
      </c>
      <c r="O361" s="203">
        <f t="shared" si="378"/>
        <v>0</v>
      </c>
      <c r="P361" s="203">
        <f t="shared" si="378"/>
        <v>4.4960000000000004</v>
      </c>
      <c r="Q361" s="203">
        <f t="shared" si="378"/>
        <v>3.04</v>
      </c>
      <c r="R361" s="203">
        <f t="shared" si="378"/>
        <v>2.4249999999999998</v>
      </c>
      <c r="S361" s="203">
        <f t="shared" si="378"/>
        <v>0.31</v>
      </c>
      <c r="T361" s="203">
        <f>SUM(N361:S361)</f>
        <v>10.271000000000001</v>
      </c>
      <c r="U361" s="203">
        <f>T361+L361</f>
        <v>39.816000000000003</v>
      </c>
      <c r="V361" s="203">
        <f>V355+V354</f>
        <v>39.816000000000003</v>
      </c>
      <c r="W361" s="203">
        <f>V361-U361</f>
        <v>0</v>
      </c>
    </row>
    <row r="362" spans="1:28" s="205" customFormat="1" ht="18" customHeight="1">
      <c r="A362" s="595"/>
      <c r="B362" s="665"/>
      <c r="C362" s="665"/>
      <c r="D362" s="202" t="str">
        <f>серпень!D285</f>
        <v xml:space="preserve">відхилення </v>
      </c>
      <c r="E362" s="203"/>
      <c r="F362" s="203">
        <f t="shared" ref="F362:K362" si="379">F358-F361</f>
        <v>0</v>
      </c>
      <c r="G362" s="203">
        <f t="shared" si="379"/>
        <v>-0.20899999999999999</v>
      </c>
      <c r="H362" s="203">
        <f t="shared" si="379"/>
        <v>2.5760000000000001</v>
      </c>
      <c r="I362" s="203">
        <f t="shared" si="379"/>
        <v>0</v>
      </c>
      <c r="J362" s="203">
        <f t="shared" si="379"/>
        <v>-11.785</v>
      </c>
      <c r="K362" s="203">
        <f t="shared" si="379"/>
        <v>8.3230000000000004</v>
      </c>
      <c r="L362" s="203"/>
      <c r="M362" s="203"/>
      <c r="N362" s="203">
        <f t="shared" ref="N362:S362" si="380">N358-N361</f>
        <v>-14.179</v>
      </c>
      <c r="O362" s="203">
        <f t="shared" si="380"/>
        <v>12.923</v>
      </c>
      <c r="P362" s="203">
        <f t="shared" si="380"/>
        <v>0.94199999999999995</v>
      </c>
      <c r="Q362" s="203">
        <f t="shared" si="380"/>
        <v>3.919</v>
      </c>
      <c r="R362" s="203">
        <f t="shared" si="380"/>
        <v>6.3570000000000002</v>
      </c>
      <c r="S362" s="203">
        <f t="shared" si="380"/>
        <v>1.885</v>
      </c>
      <c r="T362" s="203"/>
      <c r="U362" s="203"/>
      <c r="V362" s="203"/>
      <c r="W362" s="203"/>
    </row>
    <row r="363" spans="1:28" s="205" customFormat="1" ht="23.5" customHeight="1">
      <c r="A363" s="595"/>
      <c r="B363" s="665"/>
      <c r="C363" s="665"/>
      <c r="D363" s="202" t="str">
        <f>серпень!D286</f>
        <v>відхилення з наростаючим</v>
      </c>
      <c r="E363" s="203"/>
      <c r="F363" s="203">
        <f>F362</f>
        <v>0</v>
      </c>
      <c r="G363" s="203">
        <f>G362+F363</f>
        <v>-0.20899999999999999</v>
      </c>
      <c r="H363" s="203">
        <f>H362+G363</f>
        <v>2.367</v>
      </c>
      <c r="I363" s="203">
        <f>I362+H363</f>
        <v>2.367</v>
      </c>
      <c r="J363" s="203">
        <f>J362+I363</f>
        <v>-9.4179999999999993</v>
      </c>
      <c r="K363" s="203">
        <f>K362+J363</f>
        <v>-1.095</v>
      </c>
      <c r="L363" s="203"/>
      <c r="M363" s="203"/>
      <c r="N363" s="203">
        <f>N362+K363</f>
        <v>-15.273999999999999</v>
      </c>
      <c r="O363" s="203">
        <f>O362+N363</f>
        <v>-2.351</v>
      </c>
      <c r="P363" s="203">
        <f>P362+O363</f>
        <v>-1.409</v>
      </c>
      <c r="Q363" s="203">
        <f>Q362+P363</f>
        <v>2.5099999999999998</v>
      </c>
      <c r="R363" s="203">
        <f>R362+Q363</f>
        <v>8.8670000000000009</v>
      </c>
      <c r="S363" s="203">
        <f>S362+R363</f>
        <v>10.752000000000001</v>
      </c>
      <c r="T363" s="203"/>
      <c r="U363" s="203"/>
      <c r="V363" s="203"/>
      <c r="W363" s="203"/>
    </row>
    <row r="364" spans="1:28" s="10" customFormat="1" ht="18" customHeight="1">
      <c r="A364" s="595"/>
      <c r="B364" s="580" t="s">
        <v>37</v>
      </c>
      <c r="C364" s="575"/>
      <c r="D364" s="178" t="str">
        <f>серпень!D287</f>
        <v>факт. нат.п-ки 2023</v>
      </c>
      <c r="E364" s="11"/>
      <c r="F364" s="82">
        <v>110</v>
      </c>
      <c r="G364" s="82">
        <v>88</v>
      </c>
      <c r="H364" s="82">
        <v>58.9</v>
      </c>
      <c r="I364" s="82">
        <v>113.7</v>
      </c>
      <c r="J364" s="82">
        <v>112</v>
      </c>
      <c r="K364" s="82">
        <v>138.1</v>
      </c>
      <c r="L364" s="465">
        <f>SUM(F364:K364)</f>
        <v>620.70000000000005</v>
      </c>
      <c r="M364" s="465">
        <f>L364/6</f>
        <v>103.45</v>
      </c>
      <c r="N364" s="348">
        <v>104</v>
      </c>
      <c r="O364" s="348">
        <v>74</v>
      </c>
      <c r="P364" s="348">
        <v>250</v>
      </c>
      <c r="Q364" s="348">
        <v>320</v>
      </c>
      <c r="R364" s="348">
        <v>416</v>
      </c>
      <c r="S364" s="348">
        <v>138.9</v>
      </c>
      <c r="T364" s="465">
        <f>SUM(N364:S364)</f>
        <v>1302.9000000000001</v>
      </c>
      <c r="U364" s="465">
        <f>T364+L364</f>
        <v>1923.6</v>
      </c>
      <c r="V364" s="538">
        <v>1923.6</v>
      </c>
      <c r="W364" s="38"/>
      <c r="X364" s="36"/>
    </row>
    <row r="365" spans="1:28" s="48" customFormat="1" ht="18" customHeight="1">
      <c r="A365" s="595"/>
      <c r="B365" s="576"/>
      <c r="C365" s="577"/>
      <c r="D365" s="178" t="str">
        <f>серпень!D288</f>
        <v>факт. нат.п-ки 2024</v>
      </c>
      <c r="E365" s="11"/>
      <c r="F365" s="82">
        <v>123.73099999999999</v>
      </c>
      <c r="G365" s="82">
        <v>50.29</v>
      </c>
      <c r="H365" s="82">
        <v>73.521000000000001</v>
      </c>
      <c r="I365" s="82">
        <v>100</v>
      </c>
      <c r="J365" s="82">
        <v>104</v>
      </c>
      <c r="K365" s="82">
        <v>138</v>
      </c>
      <c r="L365" s="465">
        <f>SUM(F365:K365)</f>
        <v>589.54200000000003</v>
      </c>
      <c r="M365" s="465">
        <f>L365/6</f>
        <v>98.257000000000005</v>
      </c>
      <c r="N365" s="348">
        <v>126</v>
      </c>
      <c r="O365" s="348">
        <v>0</v>
      </c>
      <c r="P365" s="348">
        <v>207.9</v>
      </c>
      <c r="Q365" s="348">
        <v>266</v>
      </c>
      <c r="R365" s="348">
        <v>335.7</v>
      </c>
      <c r="S365" s="348">
        <v>108.9</v>
      </c>
      <c r="T365" s="465">
        <f>SUM(N365:S365)</f>
        <v>1044.5</v>
      </c>
      <c r="U365" s="465">
        <f>T365+L365</f>
        <v>1634.0419999999999</v>
      </c>
      <c r="V365" s="537">
        <v>1634.0419999999999</v>
      </c>
      <c r="W365" s="38"/>
      <c r="X365" s="47"/>
    </row>
    <row r="366" spans="1:28" s="10" customFormat="1" ht="18" customHeight="1">
      <c r="A366" s="595"/>
      <c r="B366" s="576"/>
      <c r="C366" s="577"/>
      <c r="D366" s="178" t="str">
        <f>серпень!D289</f>
        <v>факт. нат.п-ки 2025</v>
      </c>
      <c r="E366" s="11"/>
      <c r="F366" s="82">
        <v>13.3</v>
      </c>
      <c r="G366" s="82">
        <v>94</v>
      </c>
      <c r="H366" s="82">
        <v>72.8</v>
      </c>
      <c r="I366" s="82">
        <v>90</v>
      </c>
      <c r="J366" s="82">
        <v>6</v>
      </c>
      <c r="K366" s="82">
        <v>270</v>
      </c>
      <c r="L366" s="465">
        <f>SUM(F366:K366)</f>
        <v>546.1</v>
      </c>
      <c r="M366" s="465">
        <f>L366/6</f>
        <v>91.016999999999996</v>
      </c>
      <c r="N366" s="348">
        <v>260</v>
      </c>
      <c r="O366" s="348">
        <v>234</v>
      </c>
      <c r="P366" s="348">
        <v>207.9</v>
      </c>
      <c r="Q366" s="348">
        <v>266</v>
      </c>
      <c r="R366" s="348">
        <f>416-80.3</f>
        <v>335.7</v>
      </c>
      <c r="S366" s="348">
        <v>83.9</v>
      </c>
      <c r="T366" s="465">
        <f>SUM(N366:S366)</f>
        <v>1387.5</v>
      </c>
      <c r="U366" s="465">
        <f>T366+L366</f>
        <v>1933.6</v>
      </c>
      <c r="V366" s="11">
        <v>1683</v>
      </c>
      <c r="W366" s="38">
        <f>V366-U366</f>
        <v>-250.6</v>
      </c>
      <c r="X366" s="36"/>
      <c r="Y366" s="3"/>
      <c r="Z366" s="3"/>
      <c r="AA366" s="3"/>
      <c r="AB366" s="3"/>
    </row>
    <row r="367" spans="1:28" s="114" customFormat="1" ht="18" customHeight="1">
      <c r="A367" s="595"/>
      <c r="B367" s="576"/>
      <c r="C367" s="577"/>
      <c r="D367" s="187" t="str">
        <f>серпень!D290</f>
        <v>тариф, грн.</v>
      </c>
      <c r="E367" s="49" t="e">
        <f t="shared" ref="E367:K367" si="381">E368/E366*1000</f>
        <v>#DIV/0!</v>
      </c>
      <c r="F367" s="49">
        <f t="shared" si="381"/>
        <v>24.962</v>
      </c>
      <c r="G367" s="49">
        <f t="shared" si="381"/>
        <v>26.138000000000002</v>
      </c>
      <c r="H367" s="49">
        <f t="shared" si="381"/>
        <v>26.154</v>
      </c>
      <c r="I367" s="49">
        <f t="shared" si="381"/>
        <v>26.155999999999999</v>
      </c>
      <c r="J367" s="49">
        <f t="shared" si="381"/>
        <v>26.167000000000002</v>
      </c>
      <c r="K367" s="49">
        <f t="shared" si="381"/>
        <v>26.173999999999999</v>
      </c>
      <c r="L367" s="68">
        <f>L368/L366*1000</f>
        <v>26.132999999999999</v>
      </c>
      <c r="M367" s="68">
        <f>M368/M366*1000</f>
        <v>26.138000000000002</v>
      </c>
      <c r="N367" s="68">
        <f t="shared" ref="N367:O367" si="382">N368/N366*1000</f>
        <v>26.161999999999999</v>
      </c>
      <c r="O367" s="68">
        <f t="shared" si="382"/>
        <v>26.158000000000001</v>
      </c>
      <c r="P367" s="68">
        <v>26.16</v>
      </c>
      <c r="Q367" s="68">
        <v>26.16</v>
      </c>
      <c r="R367" s="68">
        <v>26.16</v>
      </c>
      <c r="S367" s="68">
        <v>26.16</v>
      </c>
      <c r="T367" s="68">
        <f>T368/T366*1000</f>
        <v>26.16</v>
      </c>
      <c r="U367" s="68">
        <f>U368/U366*1000</f>
        <v>26.152000000000001</v>
      </c>
      <c r="V367" s="68">
        <f>V368/V366*1000</f>
        <v>23.658000000000001</v>
      </c>
      <c r="W367" s="14">
        <f>W368/W366*1000</f>
        <v>42.905000000000001</v>
      </c>
      <c r="X367" s="36"/>
      <c r="Y367" s="3"/>
      <c r="Z367" s="3"/>
      <c r="AA367" s="3"/>
      <c r="AB367" s="3"/>
    </row>
    <row r="368" spans="1:28" s="114" customFormat="1" ht="18" customHeight="1">
      <c r="A368" s="595"/>
      <c r="B368" s="576"/>
      <c r="C368" s="577"/>
      <c r="D368" s="191" t="str">
        <f>серпень!D291</f>
        <v>сума, тис.грн.</v>
      </c>
      <c r="E368" s="52"/>
      <c r="F368" s="52">
        <f>0.331+0.001</f>
        <v>0.33200000000000002</v>
      </c>
      <c r="G368" s="52">
        <v>2.4569999999999999</v>
      </c>
      <c r="H368" s="52">
        <v>1.9039999999999999</v>
      </c>
      <c r="I368" s="52">
        <v>2.3540000000000001</v>
      </c>
      <c r="J368" s="52">
        <v>0.157</v>
      </c>
      <c r="K368" s="52">
        <v>7.0670000000000002</v>
      </c>
      <c r="L368" s="69">
        <f>SUM(F368:K368)</f>
        <v>14.271000000000001</v>
      </c>
      <c r="M368" s="69">
        <f>L368/6</f>
        <v>2.379</v>
      </c>
      <c r="N368" s="52">
        <v>6.8019999999999996</v>
      </c>
      <c r="O368" s="52">
        <v>6.1210000000000004</v>
      </c>
      <c r="P368" s="52">
        <f t="shared" ref="P368" si="383">P366*P367/1000</f>
        <v>5.4390000000000001</v>
      </c>
      <c r="Q368" s="52">
        <f t="shared" ref="Q368" si="384">Q366*Q367/1000</f>
        <v>6.9589999999999996</v>
      </c>
      <c r="R368" s="52">
        <f t="shared" ref="R368" si="385">R366*R367/1000</f>
        <v>8.782</v>
      </c>
      <c r="S368" s="52">
        <f>S366*S367/1000-0.001</f>
        <v>2.194</v>
      </c>
      <c r="T368" s="69">
        <f>SUM(N368:S368)</f>
        <v>36.296999999999997</v>
      </c>
      <c r="U368" s="69">
        <f>T368+L368</f>
        <v>50.567999999999998</v>
      </c>
      <c r="V368" s="70">
        <f>V370+V369</f>
        <v>39.816000000000003</v>
      </c>
      <c r="W368" s="53">
        <f>V368-U368</f>
        <v>-10.752000000000001</v>
      </c>
      <c r="X368" s="113"/>
    </row>
    <row r="369" spans="1:28" s="114" customFormat="1" ht="18" customHeight="1">
      <c r="A369" s="595"/>
      <c r="B369" s="576"/>
      <c r="C369" s="577"/>
      <c r="D369" s="174" t="str">
        <f>серпень!D292</f>
        <v>дотація</v>
      </c>
      <c r="E369" s="56"/>
      <c r="F369" s="52"/>
      <c r="G369" s="52"/>
      <c r="H369" s="52"/>
      <c r="I369" s="52"/>
      <c r="J369" s="52"/>
      <c r="K369" s="52"/>
      <c r="L369" s="69">
        <f>SUM(F369:K369)</f>
        <v>0</v>
      </c>
      <c r="M369" s="69">
        <f>L369/6</f>
        <v>0</v>
      </c>
      <c r="N369" s="52"/>
      <c r="O369" s="52"/>
      <c r="P369" s="52"/>
      <c r="Q369" s="52"/>
      <c r="R369" s="52"/>
      <c r="S369" s="52"/>
      <c r="T369" s="69">
        <f>SUM(N369:S369)</f>
        <v>0</v>
      </c>
      <c r="U369" s="69">
        <f>T369+L369</f>
        <v>0</v>
      </c>
      <c r="V369" s="70">
        <v>0</v>
      </c>
      <c r="W369" s="53">
        <f>V369-U369</f>
        <v>0</v>
      </c>
      <c r="X369" s="113"/>
    </row>
    <row r="370" spans="1:28" s="114" customFormat="1" ht="18" customHeight="1">
      <c r="A370" s="595"/>
      <c r="B370" s="576"/>
      <c r="C370" s="577"/>
      <c r="D370" s="174" t="str">
        <f>серпень!D293</f>
        <v>місцевий (план), тис.грн</v>
      </c>
      <c r="E370" s="56"/>
      <c r="F370" s="52">
        <v>2.927</v>
      </c>
      <c r="G370" s="52">
        <v>6.8019999999999996</v>
      </c>
      <c r="H370" s="52">
        <f>1.739+4.592-2.367</f>
        <v>3.964</v>
      </c>
      <c r="I370" s="52">
        <v>6.8540000000000001</v>
      </c>
      <c r="J370" s="52">
        <f>2.46+6.12</f>
        <v>8.58</v>
      </c>
      <c r="K370" s="52">
        <v>0.41799999999999998</v>
      </c>
      <c r="L370" s="69">
        <f>SUM(F370:K370)</f>
        <v>29.545000000000002</v>
      </c>
      <c r="M370" s="69">
        <f>L370/6</f>
        <v>4.9240000000000004</v>
      </c>
      <c r="N370" s="52">
        <f>2.981-2.981</f>
        <v>0</v>
      </c>
      <c r="O370" s="52">
        <f>1.751+0.674-2.425</f>
        <v>0</v>
      </c>
      <c r="P370" s="52">
        <v>4.4960000000000004</v>
      </c>
      <c r="Q370" s="52">
        <v>3.04</v>
      </c>
      <c r="R370" s="52">
        <v>2.4249999999999998</v>
      </c>
      <c r="S370" s="52">
        <v>0.31</v>
      </c>
      <c r="T370" s="69">
        <f>SUM(N370:S370)</f>
        <v>10.271000000000001</v>
      </c>
      <c r="U370" s="69">
        <f>T370+L370</f>
        <v>39.816000000000003</v>
      </c>
      <c r="V370" s="70">
        <v>39.816000000000003</v>
      </c>
      <c r="W370" s="53">
        <f>V370-U370</f>
        <v>0</v>
      </c>
      <c r="X370" s="113"/>
    </row>
    <row r="371" spans="1:28" s="3" customFormat="1" ht="18" customHeight="1">
      <c r="A371" s="595"/>
      <c r="B371" s="576"/>
      <c r="C371" s="577"/>
      <c r="D371" s="178" t="str">
        <f>серпень!D294</f>
        <v>касові нат.п-ки 2025</v>
      </c>
      <c r="E371" s="11"/>
      <c r="F371" s="12">
        <v>117.5</v>
      </c>
      <c r="G371" s="82">
        <v>252</v>
      </c>
      <c r="H371" s="82">
        <v>250</v>
      </c>
      <c r="I371" s="82">
        <f>6854/26.16</f>
        <v>262.00299999999999</v>
      </c>
      <c r="J371" s="82">
        <f>-3205/26.16</f>
        <v>-122.515</v>
      </c>
      <c r="K371" s="82">
        <v>334</v>
      </c>
      <c r="L371" s="465">
        <f>SUM(F371:K371)</f>
        <v>1092.9880000000001</v>
      </c>
      <c r="M371" s="465">
        <f>L371/6</f>
        <v>182.16499999999999</v>
      </c>
      <c r="N371" s="348">
        <v>-542</v>
      </c>
      <c r="O371" s="348">
        <v>494</v>
      </c>
      <c r="P371" s="348">
        <f>207.9-4.888</f>
        <v>203.012</v>
      </c>
      <c r="Q371" s="348">
        <v>266</v>
      </c>
      <c r="R371" s="348">
        <v>335.7</v>
      </c>
      <c r="S371" s="348">
        <v>83.9</v>
      </c>
      <c r="T371" s="125">
        <f>SUM(N371:S371)</f>
        <v>840.61199999999997</v>
      </c>
      <c r="U371" s="125">
        <f>T371+L371</f>
        <v>1933.6</v>
      </c>
      <c r="V371" s="11">
        <f>V366</f>
        <v>1683</v>
      </c>
      <c r="W371" s="38">
        <f>V371-U371</f>
        <v>-250.6</v>
      </c>
      <c r="X371" s="47">
        <f>U366-U371</f>
        <v>0</v>
      </c>
    </row>
    <row r="372" spans="1:28" s="73" customFormat="1" ht="18" customHeight="1">
      <c r="A372" s="595"/>
      <c r="B372" s="576"/>
      <c r="C372" s="577"/>
      <c r="D372" s="187" t="str">
        <f>серпень!D295</f>
        <v>тариф, грн.</v>
      </c>
      <c r="E372" s="49" t="e">
        <f t="shared" ref="E372:K372" si="386">E373/E371*1000</f>
        <v>#DIV/0!</v>
      </c>
      <c r="F372" s="49">
        <f t="shared" si="386"/>
        <v>24.911000000000001</v>
      </c>
      <c r="G372" s="49">
        <f t="shared" si="386"/>
        <v>26.163</v>
      </c>
      <c r="H372" s="49">
        <f t="shared" si="386"/>
        <v>26.16</v>
      </c>
      <c r="I372" s="49">
        <f t="shared" si="386"/>
        <v>26.16</v>
      </c>
      <c r="J372" s="49">
        <f t="shared" si="386"/>
        <v>26.16</v>
      </c>
      <c r="K372" s="49">
        <f t="shared" si="386"/>
        <v>26.170999999999999</v>
      </c>
      <c r="L372" s="68">
        <f>L373/L371*1000</f>
        <v>26.03</v>
      </c>
      <c r="M372" s="68">
        <f>M373/M371*1000</f>
        <v>26.030999999999999</v>
      </c>
      <c r="N372" s="68">
        <f t="shared" ref="N372:O372" si="387">N373/N371*1000</f>
        <v>26.161000000000001</v>
      </c>
      <c r="O372" s="68">
        <f t="shared" si="387"/>
        <v>26.16</v>
      </c>
      <c r="P372" s="68">
        <f>P373/P371*1000</f>
        <v>26.786999999999999</v>
      </c>
      <c r="Q372" s="68">
        <v>26.16</v>
      </c>
      <c r="R372" s="68">
        <v>26.16</v>
      </c>
      <c r="S372" s="68">
        <v>26.16</v>
      </c>
      <c r="T372" s="68">
        <f>T373/T371*1000</f>
        <v>26.312000000000001</v>
      </c>
      <c r="U372" s="68">
        <f>U373/U371*1000</f>
        <v>26.152000000000001</v>
      </c>
      <c r="V372" s="68">
        <f>V373/V371*1000</f>
        <v>23.658000000000001</v>
      </c>
      <c r="W372" s="14">
        <f>W373/W371*1000</f>
        <v>42.905000000000001</v>
      </c>
      <c r="X372" s="59"/>
      <c r="Y372" s="36"/>
      <c r="Z372" s="36"/>
      <c r="AA372" s="36"/>
      <c r="AB372" s="36"/>
    </row>
    <row r="373" spans="1:28" s="126" customFormat="1" ht="18" customHeight="1">
      <c r="A373" s="595"/>
      <c r="B373" s="576"/>
      <c r="C373" s="577"/>
      <c r="D373" s="198" t="str">
        <f>серпень!D296</f>
        <v>касові видатки, тис.грн.</v>
      </c>
      <c r="E373" s="71"/>
      <c r="F373" s="61">
        <v>2.927</v>
      </c>
      <c r="G373" s="61">
        <f>6.592+0.001</f>
        <v>6.593</v>
      </c>
      <c r="H373" s="61">
        <v>6.54</v>
      </c>
      <c r="I373" s="61">
        <v>6.8540000000000001</v>
      </c>
      <c r="J373" s="61">
        <v>-3.2050000000000001</v>
      </c>
      <c r="K373" s="61">
        <v>8.7409999999999997</v>
      </c>
      <c r="L373" s="61">
        <f>SUM(F373:K373)</f>
        <v>28.45</v>
      </c>
      <c r="M373" s="61">
        <f>L373/6</f>
        <v>4.742</v>
      </c>
      <c r="N373" s="61">
        <v>-14.179</v>
      </c>
      <c r="O373" s="61">
        <v>12.923</v>
      </c>
      <c r="P373" s="61">
        <v>5.4379999999999997</v>
      </c>
      <c r="Q373" s="61">
        <f t="shared" ref="Q373" si="388">Q371*Q372/1000</f>
        <v>6.9589999999999996</v>
      </c>
      <c r="R373" s="61">
        <f t="shared" ref="R373" si="389">R371*R372/1000</f>
        <v>8.782</v>
      </c>
      <c r="S373" s="61">
        <f>S371*S372/1000</f>
        <v>2.1949999999999998</v>
      </c>
      <c r="T373" s="61">
        <f>SUM(N373:S373)</f>
        <v>22.117999999999999</v>
      </c>
      <c r="U373" s="61">
        <f>T373+L373</f>
        <v>50.567999999999998</v>
      </c>
      <c r="V373" s="61">
        <f>V368</f>
        <v>39.816000000000003</v>
      </c>
      <c r="W373" s="72">
        <f>V373-U373</f>
        <v>-10.752000000000001</v>
      </c>
      <c r="X373" s="63">
        <f>U368-U373</f>
        <v>0</v>
      </c>
    </row>
    <row r="374" spans="1:28" s="126" customFormat="1" ht="18" customHeight="1">
      <c r="A374" s="595"/>
      <c r="B374" s="576"/>
      <c r="C374" s="577"/>
      <c r="D374" s="201" t="str">
        <f>серпень!D297</f>
        <v>дотація</v>
      </c>
      <c r="E374" s="71"/>
      <c r="F374" s="61">
        <v>0</v>
      </c>
      <c r="G374" s="61">
        <v>0</v>
      </c>
      <c r="H374" s="61">
        <v>0</v>
      </c>
      <c r="I374" s="61">
        <v>0</v>
      </c>
      <c r="J374" s="61">
        <v>0</v>
      </c>
      <c r="K374" s="61">
        <v>0</v>
      </c>
      <c r="L374" s="61">
        <f>SUM(F374:K374)</f>
        <v>0</v>
      </c>
      <c r="M374" s="61">
        <f>L374/6</f>
        <v>0</v>
      </c>
      <c r="N374" s="61">
        <v>0</v>
      </c>
      <c r="O374" s="61">
        <v>0</v>
      </c>
      <c r="P374" s="61">
        <v>0</v>
      </c>
      <c r="Q374" s="61">
        <v>0</v>
      </c>
      <c r="R374" s="61">
        <v>0</v>
      </c>
      <c r="S374" s="61">
        <v>0</v>
      </c>
      <c r="T374" s="61">
        <f>SUM(N374:S374)</f>
        <v>0</v>
      </c>
      <c r="U374" s="61">
        <f>T374+L374</f>
        <v>0</v>
      </c>
      <c r="V374" s="61">
        <f>V369</f>
        <v>0</v>
      </c>
      <c r="W374" s="72">
        <f>V374-U374</f>
        <v>0</v>
      </c>
      <c r="X374" s="63">
        <f>U369-U374</f>
        <v>0</v>
      </c>
    </row>
    <row r="375" spans="1:28" s="126" customFormat="1" ht="18" customHeight="1">
      <c r="A375" s="595"/>
      <c r="B375" s="576"/>
      <c r="C375" s="577"/>
      <c r="D375" s="201" t="str">
        <f>серпень!D298</f>
        <v xml:space="preserve">місцевий </v>
      </c>
      <c r="E375" s="71"/>
      <c r="F375" s="61">
        <f t="shared" ref="F375:K375" si="390">F373-F374</f>
        <v>2.927</v>
      </c>
      <c r="G375" s="61">
        <f t="shared" si="390"/>
        <v>6.593</v>
      </c>
      <c r="H375" s="61">
        <f t="shared" si="390"/>
        <v>6.54</v>
      </c>
      <c r="I375" s="61">
        <f t="shared" si="390"/>
        <v>6.8540000000000001</v>
      </c>
      <c r="J375" s="61">
        <f t="shared" si="390"/>
        <v>-3.2050000000000001</v>
      </c>
      <c r="K375" s="61">
        <f t="shared" si="390"/>
        <v>8.7409999999999997</v>
      </c>
      <c r="L375" s="61">
        <f>SUM(F375:K375)</f>
        <v>28.45</v>
      </c>
      <c r="M375" s="61">
        <f>L375/6</f>
        <v>4.742</v>
      </c>
      <c r="N375" s="61">
        <f t="shared" ref="N375:S375" si="391">N373-N374</f>
        <v>-14.179</v>
      </c>
      <c r="O375" s="61">
        <f t="shared" si="391"/>
        <v>12.923</v>
      </c>
      <c r="P375" s="61">
        <f t="shared" si="391"/>
        <v>5.4379999999999997</v>
      </c>
      <c r="Q375" s="61">
        <f t="shared" si="391"/>
        <v>6.9589999999999996</v>
      </c>
      <c r="R375" s="61">
        <f t="shared" si="391"/>
        <v>8.782</v>
      </c>
      <c r="S375" s="61">
        <f t="shared" si="391"/>
        <v>2.1949999999999998</v>
      </c>
      <c r="T375" s="61">
        <f>SUM(N375:S375)</f>
        <v>22.117999999999999</v>
      </c>
      <c r="U375" s="61">
        <f>T375+L375</f>
        <v>50.567999999999998</v>
      </c>
      <c r="V375" s="61">
        <f>V370</f>
        <v>39.816000000000003</v>
      </c>
      <c r="W375" s="72">
        <f>V375-U375</f>
        <v>-10.752000000000001</v>
      </c>
      <c r="X375" s="63">
        <f>U370-U375</f>
        <v>-10.752000000000001</v>
      </c>
    </row>
    <row r="376" spans="1:28" s="43" customFormat="1" ht="18" customHeight="1">
      <c r="A376" s="595"/>
      <c r="B376" s="576"/>
      <c r="C376" s="577"/>
      <c r="D376" s="202" t="str">
        <f>серпень!D299</f>
        <v>план</v>
      </c>
      <c r="E376" s="42"/>
      <c r="F376" s="42">
        <f t="shared" ref="F376:K376" si="392">F369+F370</f>
        <v>2.927</v>
      </c>
      <c r="G376" s="42">
        <f t="shared" si="392"/>
        <v>6.8019999999999996</v>
      </c>
      <c r="H376" s="42">
        <f t="shared" si="392"/>
        <v>3.964</v>
      </c>
      <c r="I376" s="42">
        <f t="shared" si="392"/>
        <v>6.8540000000000001</v>
      </c>
      <c r="J376" s="42">
        <f t="shared" si="392"/>
        <v>8.58</v>
      </c>
      <c r="K376" s="42">
        <f t="shared" si="392"/>
        <v>0.41799999999999998</v>
      </c>
      <c r="L376" s="42">
        <f>SUM(F376:K376)</f>
        <v>29.545000000000002</v>
      </c>
      <c r="M376" s="42">
        <f>L376/6</f>
        <v>4.9240000000000004</v>
      </c>
      <c r="N376" s="42">
        <f t="shared" ref="N376:S376" si="393">N370+N369</f>
        <v>0</v>
      </c>
      <c r="O376" s="42">
        <f t="shared" si="393"/>
        <v>0</v>
      </c>
      <c r="P376" s="42">
        <f t="shared" si="393"/>
        <v>4.4960000000000004</v>
      </c>
      <c r="Q376" s="42">
        <f t="shared" si="393"/>
        <v>3.04</v>
      </c>
      <c r="R376" s="42">
        <f t="shared" si="393"/>
        <v>2.4249999999999998</v>
      </c>
      <c r="S376" s="42">
        <f t="shared" si="393"/>
        <v>0.31</v>
      </c>
      <c r="T376" s="42">
        <f>SUM(N376:S376)</f>
        <v>10.271000000000001</v>
      </c>
      <c r="U376" s="42">
        <f>T376+L376</f>
        <v>39.816000000000003</v>
      </c>
      <c r="V376" s="42">
        <f>V373</f>
        <v>39.816000000000003</v>
      </c>
      <c r="W376" s="42">
        <f>V376-U376</f>
        <v>0</v>
      </c>
    </row>
    <row r="377" spans="1:28" s="43" customFormat="1" ht="18" customHeight="1">
      <c r="A377" s="595"/>
      <c r="B377" s="576"/>
      <c r="C377" s="577"/>
      <c r="D377" s="202" t="str">
        <f>серпень!D300</f>
        <v xml:space="preserve">відхилення </v>
      </c>
      <c r="E377" s="42"/>
      <c r="F377" s="42">
        <f t="shared" ref="F377:K377" si="394">F373-F376</f>
        <v>0</v>
      </c>
      <c r="G377" s="42">
        <f t="shared" si="394"/>
        <v>-0.20899999999999999</v>
      </c>
      <c r="H377" s="42">
        <f t="shared" si="394"/>
        <v>2.5760000000000001</v>
      </c>
      <c r="I377" s="42">
        <f t="shared" si="394"/>
        <v>0</v>
      </c>
      <c r="J377" s="42">
        <f t="shared" si="394"/>
        <v>-11.785</v>
      </c>
      <c r="K377" s="42">
        <f t="shared" si="394"/>
        <v>8.3230000000000004</v>
      </c>
      <c r="L377" s="42"/>
      <c r="M377" s="42"/>
      <c r="N377" s="42">
        <f t="shared" ref="N377:S377" si="395">N373-N376</f>
        <v>-14.179</v>
      </c>
      <c r="O377" s="42">
        <f t="shared" si="395"/>
        <v>12.923</v>
      </c>
      <c r="P377" s="42">
        <f t="shared" si="395"/>
        <v>0.94199999999999995</v>
      </c>
      <c r="Q377" s="42">
        <f t="shared" si="395"/>
        <v>3.919</v>
      </c>
      <c r="R377" s="42">
        <f t="shared" si="395"/>
        <v>6.3570000000000002</v>
      </c>
      <c r="S377" s="42">
        <f t="shared" si="395"/>
        <v>1.885</v>
      </c>
      <c r="T377" s="42"/>
      <c r="U377" s="42"/>
      <c r="V377" s="42"/>
      <c r="W377" s="42"/>
    </row>
    <row r="378" spans="1:28" s="43" customFormat="1" ht="18" customHeight="1">
      <c r="A378" s="595"/>
      <c r="B378" s="578"/>
      <c r="C378" s="579"/>
      <c r="D378" s="202" t="str">
        <f>серпень!D301</f>
        <v>відхилення з наростаючим</v>
      </c>
      <c r="E378" s="42"/>
      <c r="F378" s="42">
        <f>F377</f>
        <v>0</v>
      </c>
      <c r="G378" s="42">
        <f>G377+F378</f>
        <v>-0.20899999999999999</v>
      </c>
      <c r="H378" s="42">
        <f>H377+G378</f>
        <v>2.367</v>
      </c>
      <c r="I378" s="42">
        <f>I377+H378</f>
        <v>2.367</v>
      </c>
      <c r="J378" s="42">
        <f>J377+I378</f>
        <v>-9.4179999999999993</v>
      </c>
      <c r="K378" s="42">
        <f>K377+J378</f>
        <v>-1.095</v>
      </c>
      <c r="L378" s="42"/>
      <c r="M378" s="42"/>
      <c r="N378" s="42">
        <f>N377+K378</f>
        <v>-15.273999999999999</v>
      </c>
      <c r="O378" s="42">
        <f>O377+N378</f>
        <v>-2.351</v>
      </c>
      <c r="P378" s="42">
        <f>P377+O378</f>
        <v>-1.409</v>
      </c>
      <c r="Q378" s="42">
        <f>Q377+P378</f>
        <v>2.5099999999999998</v>
      </c>
      <c r="R378" s="42">
        <f>R377+Q378</f>
        <v>8.8670000000000009</v>
      </c>
      <c r="S378" s="42">
        <f>S377+R378</f>
        <v>10.752000000000001</v>
      </c>
      <c r="T378" s="42"/>
      <c r="U378" s="42"/>
      <c r="V378" s="42"/>
      <c r="W378" s="42"/>
    </row>
    <row r="379" spans="1:28" s="48" customFormat="1" ht="18" hidden="1" customHeight="1">
      <c r="A379" s="595"/>
      <c r="B379" s="580" t="s">
        <v>96</v>
      </c>
      <c r="C379" s="575"/>
      <c r="D379" s="178" t="str">
        <f>серпень!D302</f>
        <v>факт. нат.п-ки 2023</v>
      </c>
      <c r="E379" s="11"/>
      <c r="F379" s="12"/>
      <c r="G379" s="12"/>
      <c r="H379" s="12"/>
      <c r="I379" s="12"/>
      <c r="J379" s="12"/>
      <c r="K379" s="12"/>
      <c r="L379" s="65">
        <f>SUM(F379:K379)</f>
        <v>0</v>
      </c>
      <c r="M379" s="65">
        <f>L379/6</f>
        <v>0</v>
      </c>
      <c r="N379" s="12"/>
      <c r="O379" s="12"/>
      <c r="P379" s="12"/>
      <c r="Q379" s="12"/>
      <c r="R379" s="12"/>
      <c r="S379" s="12"/>
      <c r="T379" s="65">
        <f>SUM(N379:S379)</f>
        <v>0</v>
      </c>
      <c r="U379" s="66">
        <f>T379+L379</f>
        <v>0</v>
      </c>
      <c r="V379" s="67"/>
      <c r="W379" s="38">
        <f>V379-U379</f>
        <v>0</v>
      </c>
      <c r="X379" s="47"/>
    </row>
    <row r="380" spans="1:28" s="48" customFormat="1" ht="18" hidden="1" customHeight="1">
      <c r="A380" s="595"/>
      <c r="B380" s="576"/>
      <c r="C380" s="577"/>
      <c r="D380" s="178" t="str">
        <f>серпень!D303</f>
        <v>факт. нат.п-ки 2024</v>
      </c>
      <c r="E380" s="11"/>
      <c r="F380" s="12"/>
      <c r="G380" s="12"/>
      <c r="H380" s="12"/>
      <c r="I380" s="12"/>
      <c r="J380" s="12"/>
      <c r="K380" s="12"/>
      <c r="L380" s="65">
        <f>SUM(F380:K380)</f>
        <v>0</v>
      </c>
      <c r="M380" s="65">
        <f>L380/6</f>
        <v>0</v>
      </c>
      <c r="N380" s="11"/>
      <c r="O380" s="11"/>
      <c r="P380" s="11"/>
      <c r="Q380" s="11"/>
      <c r="R380" s="11"/>
      <c r="S380" s="11"/>
      <c r="T380" s="65">
        <f>SUM(N380:S380)</f>
        <v>0</v>
      </c>
      <c r="U380" s="66">
        <f>T380+L380</f>
        <v>0</v>
      </c>
      <c r="V380" s="67"/>
      <c r="W380" s="38">
        <f>V380-U380</f>
        <v>0</v>
      </c>
      <c r="X380" s="47"/>
    </row>
    <row r="381" spans="1:28" s="48" customFormat="1" ht="18" hidden="1" customHeight="1">
      <c r="A381" s="595"/>
      <c r="B381" s="576"/>
      <c r="C381" s="577"/>
      <c r="D381" s="178" t="str">
        <f>серпень!D304</f>
        <v>факт. нат.п-ки 2025</v>
      </c>
      <c r="E381" s="11"/>
      <c r="F381" s="12"/>
      <c r="G381" s="12"/>
      <c r="H381" s="12"/>
      <c r="I381" s="12"/>
      <c r="J381" s="12"/>
      <c r="K381" s="12"/>
      <c r="L381" s="65">
        <f>SUM(F381:K381)</f>
        <v>0</v>
      </c>
      <c r="M381" s="65">
        <f>L381/6</f>
        <v>0</v>
      </c>
      <c r="N381" s="12"/>
      <c r="O381" s="12"/>
      <c r="P381" s="12"/>
      <c r="Q381" s="12"/>
      <c r="R381" s="12"/>
      <c r="S381" s="11"/>
      <c r="T381" s="65">
        <f>SUM(N381:S381)</f>
        <v>0</v>
      </c>
      <c r="U381" s="66">
        <f>T381+L381</f>
        <v>0</v>
      </c>
      <c r="V381" s="11"/>
      <c r="W381" s="38">
        <f>V381-U381</f>
        <v>0</v>
      </c>
      <c r="X381" s="47"/>
    </row>
    <row r="382" spans="1:28" s="51" customFormat="1" ht="18" hidden="1" customHeight="1">
      <c r="A382" s="595"/>
      <c r="B382" s="576"/>
      <c r="C382" s="577"/>
      <c r="D382" s="187" t="str">
        <f>серпень!D305</f>
        <v>тариф, грн.</v>
      </c>
      <c r="E382" s="49"/>
      <c r="F382" s="49"/>
      <c r="G382" s="49"/>
      <c r="H382" s="49"/>
      <c r="I382" s="49"/>
      <c r="J382" s="49"/>
      <c r="K382" s="49"/>
      <c r="L382" s="49" t="e">
        <f>L383/L381*1000</f>
        <v>#DIV/0!</v>
      </c>
      <c r="M382" s="49" t="e">
        <f>M383/M381*1000</f>
        <v>#DIV/0!</v>
      </c>
      <c r="N382" s="49"/>
      <c r="O382" s="49"/>
      <c r="P382" s="49"/>
      <c r="Q382" s="49"/>
      <c r="R382" s="49"/>
      <c r="S382" s="49"/>
      <c r="T382" s="49" t="e">
        <f>T383/T381*1000</f>
        <v>#DIV/0!</v>
      </c>
      <c r="U382" s="49" t="e">
        <f>U383/U381*1000</f>
        <v>#DIV/0!</v>
      </c>
      <c r="V382" s="68" t="e">
        <f>V383/V381*1000</f>
        <v>#DIV/0!</v>
      </c>
      <c r="W382" s="14" t="e">
        <f>W383/W381*1000</f>
        <v>#DIV/0!</v>
      </c>
      <c r="X382" s="50"/>
    </row>
    <row r="383" spans="1:28" s="55" customFormat="1" ht="18" hidden="1" customHeight="1">
      <c r="A383" s="595"/>
      <c r="B383" s="576"/>
      <c r="C383" s="577"/>
      <c r="D383" s="191" t="str">
        <f>серпень!D306</f>
        <v>сума, тис.грн.</v>
      </c>
      <c r="E383" s="52"/>
      <c r="F383" s="52">
        <f t="shared" ref="F383:K383" si="396">F381*F382/1000</f>
        <v>0</v>
      </c>
      <c r="G383" s="52">
        <f t="shared" si="396"/>
        <v>0</v>
      </c>
      <c r="H383" s="52">
        <f t="shared" si="396"/>
        <v>0</v>
      </c>
      <c r="I383" s="52">
        <f t="shared" si="396"/>
        <v>0</v>
      </c>
      <c r="J383" s="52">
        <f t="shared" si="396"/>
        <v>0</v>
      </c>
      <c r="K383" s="52">
        <f t="shared" si="396"/>
        <v>0</v>
      </c>
      <c r="L383" s="69">
        <f>SUM(F383:K383)</f>
        <v>0</v>
      </c>
      <c r="M383" s="69">
        <f>L383/6</f>
        <v>0</v>
      </c>
      <c r="N383" s="52">
        <f t="shared" ref="N383:S383" si="397">N381*N382/1000</f>
        <v>0</v>
      </c>
      <c r="O383" s="52">
        <f t="shared" si="397"/>
        <v>0</v>
      </c>
      <c r="P383" s="52">
        <f t="shared" si="397"/>
        <v>0</v>
      </c>
      <c r="Q383" s="52">
        <f t="shared" si="397"/>
        <v>0</v>
      </c>
      <c r="R383" s="52">
        <f t="shared" si="397"/>
        <v>0</v>
      </c>
      <c r="S383" s="52">
        <f t="shared" si="397"/>
        <v>0</v>
      </c>
      <c r="T383" s="69">
        <f>SUM(N383:S383)</f>
        <v>0</v>
      </c>
      <c r="U383" s="69">
        <f>T383+L383</f>
        <v>0</v>
      </c>
      <c r="V383" s="70">
        <f>V384+V385</f>
        <v>0</v>
      </c>
      <c r="W383" s="53">
        <f>V383-U383</f>
        <v>0</v>
      </c>
      <c r="X383" s="54">
        <f>9891253.845/1000</f>
        <v>9891.2540000000008</v>
      </c>
    </row>
    <row r="384" spans="1:28" s="55" customFormat="1" ht="18" hidden="1" customHeight="1">
      <c r="A384" s="595"/>
      <c r="B384" s="576"/>
      <c r="C384" s="577"/>
      <c r="D384" s="174" t="str">
        <f>серпень!D307</f>
        <v>дотація</v>
      </c>
      <c r="E384" s="56"/>
      <c r="F384" s="52"/>
      <c r="G384" s="52"/>
      <c r="H384" s="52"/>
      <c r="I384" s="52"/>
      <c r="J384" s="52"/>
      <c r="K384" s="52"/>
      <c r="L384" s="69">
        <f>SUM(F384:K384)</f>
        <v>0</v>
      </c>
      <c r="M384" s="69">
        <f>L384/6</f>
        <v>0</v>
      </c>
      <c r="N384" s="52"/>
      <c r="O384" s="52"/>
      <c r="P384" s="52"/>
      <c r="Q384" s="52"/>
      <c r="R384" s="52"/>
      <c r="S384" s="52"/>
      <c r="T384" s="69">
        <f>SUM(N384:S384)</f>
        <v>0</v>
      </c>
      <c r="U384" s="69">
        <f>T384+L384</f>
        <v>0</v>
      </c>
      <c r="V384" s="70"/>
      <c r="W384" s="53">
        <f>V384-U384</f>
        <v>0</v>
      </c>
      <c r="X384" s="58"/>
    </row>
    <row r="385" spans="1:28" s="55" customFormat="1" ht="18" hidden="1" customHeight="1">
      <c r="A385" s="595"/>
      <c r="B385" s="576"/>
      <c r="C385" s="577"/>
      <c r="D385" s="174" t="str">
        <f>серпень!D308</f>
        <v>місцевий (план), тис.грн</v>
      </c>
      <c r="E385" s="56"/>
      <c r="F385" s="52"/>
      <c r="G385" s="52"/>
      <c r="H385" s="52"/>
      <c r="I385" s="52"/>
      <c r="J385" s="52"/>
      <c r="K385" s="52"/>
      <c r="L385" s="69">
        <f>SUM(F385:K385)</f>
        <v>0</v>
      </c>
      <c r="M385" s="69">
        <f>L385/6</f>
        <v>0</v>
      </c>
      <c r="N385" s="52"/>
      <c r="O385" s="52"/>
      <c r="P385" s="52"/>
      <c r="Q385" s="52"/>
      <c r="R385" s="52"/>
      <c r="S385" s="52"/>
      <c r="T385" s="69">
        <f>SUM(N385:S385)</f>
        <v>0</v>
      </c>
      <c r="U385" s="69">
        <f>T385+L385</f>
        <v>0</v>
      </c>
      <c r="V385" s="70"/>
      <c r="W385" s="53">
        <f>V385-U385</f>
        <v>0</v>
      </c>
      <c r="X385" s="58"/>
    </row>
    <row r="386" spans="1:28" s="48" customFormat="1" ht="18" hidden="1" customHeight="1">
      <c r="A386" s="595"/>
      <c r="B386" s="576"/>
      <c r="C386" s="577"/>
      <c r="D386" s="178" t="str">
        <f>серпень!D309</f>
        <v>касові нат.п-ки 2025</v>
      </c>
      <c r="E386" s="11"/>
      <c r="F386" s="11"/>
      <c r="G386" s="11"/>
      <c r="H386" s="11"/>
      <c r="I386" s="11"/>
      <c r="J386" s="11"/>
      <c r="K386" s="11"/>
      <c r="L386" s="65">
        <f>SUM(F386:K386)</f>
        <v>0</v>
      </c>
      <c r="M386" s="65">
        <f>L386/6</f>
        <v>0</v>
      </c>
      <c r="N386" s="11"/>
      <c r="O386" s="11"/>
      <c r="P386" s="11"/>
      <c r="Q386" s="11"/>
      <c r="R386" s="11"/>
      <c r="S386" s="11"/>
      <c r="T386" s="65">
        <f>SUM(N386:S386)</f>
        <v>0</v>
      </c>
      <c r="U386" s="65">
        <f>T386+L386</f>
        <v>0</v>
      </c>
      <c r="V386" s="11">
        <f>V381</f>
        <v>0</v>
      </c>
      <c r="W386" s="38">
        <f>V386-U386</f>
        <v>0</v>
      </c>
      <c r="X386" s="47">
        <f>U381-U386</f>
        <v>0</v>
      </c>
    </row>
    <row r="387" spans="1:28" s="51" customFormat="1" ht="18" hidden="1" customHeight="1">
      <c r="A387" s="595"/>
      <c r="B387" s="576"/>
      <c r="C387" s="577"/>
      <c r="D387" s="187" t="str">
        <f>серпень!D310</f>
        <v>тариф, грн.</v>
      </c>
      <c r="E387" s="49" t="e">
        <f>E388/E386*1000</f>
        <v>#DIV/0!</v>
      </c>
      <c r="F387" s="49"/>
      <c r="G387" s="49"/>
      <c r="H387" s="49"/>
      <c r="I387" s="49"/>
      <c r="J387" s="49"/>
      <c r="K387" s="49"/>
      <c r="L387" s="49" t="e">
        <f>L388/L386*1000</f>
        <v>#DIV/0!</v>
      </c>
      <c r="M387" s="49" t="e">
        <f>M388/M386*1000</f>
        <v>#DIV/0!</v>
      </c>
      <c r="N387" s="49"/>
      <c r="O387" s="49"/>
      <c r="P387" s="49"/>
      <c r="Q387" s="49"/>
      <c r="R387" s="49"/>
      <c r="S387" s="49"/>
      <c r="T387" s="49" t="e">
        <f>T388/T386*1000</f>
        <v>#DIV/0!</v>
      </c>
      <c r="U387" s="49" t="e">
        <f>U388/U386*1000</f>
        <v>#DIV/0!</v>
      </c>
      <c r="V387" s="68" t="e">
        <f>V388/V386*1000</f>
        <v>#DIV/0!</v>
      </c>
      <c r="W387" s="14" t="e">
        <f>W388/W386*1000</f>
        <v>#DIV/0!</v>
      </c>
      <c r="X387" s="59"/>
    </row>
    <row r="388" spans="1:28" s="63" customFormat="1" ht="17.7" hidden="1" customHeight="1">
      <c r="A388" s="595"/>
      <c r="B388" s="576"/>
      <c r="C388" s="577"/>
      <c r="D388" s="198" t="str">
        <f>серпень!D311</f>
        <v>касові видатки, тис.грн.</v>
      </c>
      <c r="E388" s="71"/>
      <c r="F388" s="61">
        <f t="shared" ref="F388:K388" si="398">F386*F387/1000</f>
        <v>0</v>
      </c>
      <c r="G388" s="61">
        <f t="shared" si="398"/>
        <v>0</v>
      </c>
      <c r="H388" s="61">
        <f t="shared" si="398"/>
        <v>0</v>
      </c>
      <c r="I388" s="61">
        <f t="shared" si="398"/>
        <v>0</v>
      </c>
      <c r="J388" s="61">
        <f t="shared" si="398"/>
        <v>0</v>
      </c>
      <c r="K388" s="61">
        <f t="shared" si="398"/>
        <v>0</v>
      </c>
      <c r="L388" s="61">
        <f>SUM(F388:K388)</f>
        <v>0</v>
      </c>
      <c r="M388" s="61">
        <f>L388/6</f>
        <v>0</v>
      </c>
      <c r="N388" s="61">
        <f t="shared" ref="N388:S388" si="399">N386*N387/1000</f>
        <v>0</v>
      </c>
      <c r="O388" s="61">
        <f t="shared" si="399"/>
        <v>0</v>
      </c>
      <c r="P388" s="61">
        <f t="shared" si="399"/>
        <v>0</v>
      </c>
      <c r="Q388" s="61">
        <f t="shared" si="399"/>
        <v>0</v>
      </c>
      <c r="R388" s="61">
        <f t="shared" si="399"/>
        <v>0</v>
      </c>
      <c r="S388" s="61">
        <f t="shared" si="399"/>
        <v>0</v>
      </c>
      <c r="T388" s="61">
        <f>SUM(N388:S388)</f>
        <v>0</v>
      </c>
      <c r="U388" s="61">
        <f>T388+L388</f>
        <v>0</v>
      </c>
      <c r="V388" s="61">
        <f>V383</f>
        <v>0</v>
      </c>
      <c r="W388" s="72">
        <f>V388-U388</f>
        <v>0</v>
      </c>
      <c r="X388" s="63">
        <f>U383-U388</f>
        <v>0</v>
      </c>
    </row>
    <row r="389" spans="1:28" s="63" customFormat="1" ht="18" hidden="1" customHeight="1">
      <c r="A389" s="595"/>
      <c r="B389" s="576"/>
      <c r="C389" s="577"/>
      <c r="D389" s="201" t="str">
        <f>серпень!D312</f>
        <v>дотація</v>
      </c>
      <c r="E389" s="71"/>
      <c r="F389" s="61"/>
      <c r="G389" s="61"/>
      <c r="H389" s="61"/>
      <c r="I389" s="61"/>
      <c r="J389" s="61"/>
      <c r="K389" s="61"/>
      <c r="L389" s="61">
        <f>SUM(F389:K389)</f>
        <v>0</v>
      </c>
      <c r="M389" s="61">
        <f>L389/6</f>
        <v>0</v>
      </c>
      <c r="N389" s="61"/>
      <c r="O389" s="61"/>
      <c r="P389" s="61"/>
      <c r="Q389" s="61"/>
      <c r="R389" s="61"/>
      <c r="S389" s="61"/>
      <c r="T389" s="61">
        <f>SUM(N389:S389)</f>
        <v>0</v>
      </c>
      <c r="U389" s="61">
        <f>T389+L389</f>
        <v>0</v>
      </c>
      <c r="V389" s="61">
        <f>V384</f>
        <v>0</v>
      </c>
      <c r="W389" s="72">
        <f>V389-U389</f>
        <v>0</v>
      </c>
      <c r="X389" s="63">
        <f>U384-U389</f>
        <v>0</v>
      </c>
    </row>
    <row r="390" spans="1:28" s="63" customFormat="1" ht="18" hidden="1" customHeight="1">
      <c r="A390" s="595"/>
      <c r="B390" s="576"/>
      <c r="C390" s="577"/>
      <c r="D390" s="201" t="str">
        <f>серпень!D313</f>
        <v xml:space="preserve">місцевий </v>
      </c>
      <c r="E390" s="71"/>
      <c r="F390" s="61">
        <f t="shared" ref="F390:K390" si="400">F388-F389</f>
        <v>0</v>
      </c>
      <c r="G390" s="61">
        <f t="shared" si="400"/>
        <v>0</v>
      </c>
      <c r="H390" s="61">
        <f t="shared" si="400"/>
        <v>0</v>
      </c>
      <c r="I390" s="61">
        <f t="shared" si="400"/>
        <v>0</v>
      </c>
      <c r="J390" s="61">
        <f t="shared" si="400"/>
        <v>0</v>
      </c>
      <c r="K390" s="61">
        <f t="shared" si="400"/>
        <v>0</v>
      </c>
      <c r="L390" s="61">
        <f>SUM(F390:K390)</f>
        <v>0</v>
      </c>
      <c r="M390" s="61">
        <f>L390/6</f>
        <v>0</v>
      </c>
      <c r="N390" s="61">
        <f t="shared" ref="N390:S390" si="401">N388-N389</f>
        <v>0</v>
      </c>
      <c r="O390" s="61">
        <f t="shared" si="401"/>
        <v>0</v>
      </c>
      <c r="P390" s="61">
        <f t="shared" si="401"/>
        <v>0</v>
      </c>
      <c r="Q390" s="61">
        <f t="shared" si="401"/>
        <v>0</v>
      </c>
      <c r="R390" s="61">
        <f t="shared" si="401"/>
        <v>0</v>
      </c>
      <c r="S390" s="61">
        <f t="shared" si="401"/>
        <v>0</v>
      </c>
      <c r="T390" s="61">
        <f>SUM(N390:S390)</f>
        <v>0</v>
      </c>
      <c r="U390" s="61">
        <f>T390+L390</f>
        <v>0</v>
      </c>
      <c r="V390" s="61">
        <f>V385</f>
        <v>0</v>
      </c>
      <c r="W390" s="72">
        <f>V390-U390</f>
        <v>0</v>
      </c>
      <c r="X390" s="63">
        <f>U385-U390</f>
        <v>0</v>
      </c>
    </row>
    <row r="391" spans="1:28" s="43" customFormat="1" ht="18" hidden="1" customHeight="1">
      <c r="A391" s="595"/>
      <c r="B391" s="576"/>
      <c r="C391" s="577"/>
      <c r="D391" s="202" t="str">
        <f>серпень!D314</f>
        <v>план</v>
      </c>
      <c r="E391" s="42"/>
      <c r="F391" s="42">
        <f t="shared" ref="F391:K391" si="402">F385</f>
        <v>0</v>
      </c>
      <c r="G391" s="42">
        <f t="shared" si="402"/>
        <v>0</v>
      </c>
      <c r="H391" s="42">
        <f t="shared" si="402"/>
        <v>0</v>
      </c>
      <c r="I391" s="42">
        <f t="shared" si="402"/>
        <v>0</v>
      </c>
      <c r="J391" s="42">
        <f t="shared" si="402"/>
        <v>0</v>
      </c>
      <c r="K391" s="42">
        <f t="shared" si="402"/>
        <v>0</v>
      </c>
      <c r="L391" s="42">
        <f>SUM(F391:K391)</f>
        <v>0</v>
      </c>
      <c r="M391" s="42">
        <f>L391/6</f>
        <v>0</v>
      </c>
      <c r="N391" s="42">
        <f t="shared" ref="N391:S391" si="403">N385+N384</f>
        <v>0</v>
      </c>
      <c r="O391" s="42">
        <f t="shared" si="403"/>
        <v>0</v>
      </c>
      <c r="P391" s="42">
        <f t="shared" si="403"/>
        <v>0</v>
      </c>
      <c r="Q391" s="42">
        <f t="shared" si="403"/>
        <v>0</v>
      </c>
      <c r="R391" s="42">
        <f t="shared" si="403"/>
        <v>0</v>
      </c>
      <c r="S391" s="42">
        <f t="shared" si="403"/>
        <v>0</v>
      </c>
      <c r="T391" s="42">
        <f>SUM(N391:S391)</f>
        <v>0</v>
      </c>
      <c r="U391" s="42">
        <f>T391+L391</f>
        <v>0</v>
      </c>
      <c r="V391" s="42">
        <f>V388</f>
        <v>0</v>
      </c>
      <c r="W391" s="42">
        <f>V391-U391</f>
        <v>0</v>
      </c>
    </row>
    <row r="392" spans="1:28" s="43" customFormat="1" ht="18" hidden="1" customHeight="1">
      <c r="A392" s="595"/>
      <c r="B392" s="576"/>
      <c r="C392" s="577"/>
      <c r="D392" s="202" t="str">
        <f>серпень!D315</f>
        <v xml:space="preserve">відхилення </v>
      </c>
      <c r="E392" s="42"/>
      <c r="F392" s="42">
        <f t="shared" ref="F392:K392" si="404">F388-F391</f>
        <v>0</v>
      </c>
      <c r="G392" s="42">
        <f t="shared" si="404"/>
        <v>0</v>
      </c>
      <c r="H392" s="42">
        <f t="shared" si="404"/>
        <v>0</v>
      </c>
      <c r="I392" s="42">
        <f t="shared" si="404"/>
        <v>0</v>
      </c>
      <c r="J392" s="42">
        <f t="shared" si="404"/>
        <v>0</v>
      </c>
      <c r="K392" s="42">
        <f t="shared" si="404"/>
        <v>0</v>
      </c>
      <c r="L392" s="42"/>
      <c r="M392" s="42"/>
      <c r="N392" s="42">
        <f t="shared" ref="N392:S392" si="405">N388-N391</f>
        <v>0</v>
      </c>
      <c r="O392" s="42">
        <f t="shared" si="405"/>
        <v>0</v>
      </c>
      <c r="P392" s="42">
        <f t="shared" si="405"/>
        <v>0</v>
      </c>
      <c r="Q392" s="42">
        <f t="shared" si="405"/>
        <v>0</v>
      </c>
      <c r="R392" s="42">
        <f t="shared" si="405"/>
        <v>0</v>
      </c>
      <c r="S392" s="42">
        <f t="shared" si="405"/>
        <v>0</v>
      </c>
      <c r="T392" s="42"/>
      <c r="U392" s="42"/>
      <c r="V392" s="42"/>
      <c r="W392" s="42"/>
    </row>
    <row r="393" spans="1:28" s="43" customFormat="1" ht="18" hidden="1" customHeight="1">
      <c r="A393" s="595"/>
      <c r="B393" s="578"/>
      <c r="C393" s="579"/>
      <c r="D393" s="202" t="str">
        <f>серпень!D316</f>
        <v>відхилення з наростаючим</v>
      </c>
      <c r="E393" s="42"/>
      <c r="F393" s="42">
        <f>F392</f>
        <v>0</v>
      </c>
      <c r="G393" s="42">
        <f>G392+F393</f>
        <v>0</v>
      </c>
      <c r="H393" s="42">
        <f>H392+G393</f>
        <v>0</v>
      </c>
      <c r="I393" s="42">
        <f>I392+H393</f>
        <v>0</v>
      </c>
      <c r="J393" s="42">
        <f>J392+I393</f>
        <v>0</v>
      </c>
      <c r="K393" s="42">
        <f>K392+J393</f>
        <v>0</v>
      </c>
      <c r="L393" s="42"/>
      <c r="M393" s="42"/>
      <c r="N393" s="42">
        <f>N392+K393</f>
        <v>0</v>
      </c>
      <c r="O393" s="42">
        <f>O392+N393</f>
        <v>0</v>
      </c>
      <c r="P393" s="42">
        <f>P392+O393</f>
        <v>0</v>
      </c>
      <c r="Q393" s="42">
        <f>Q392+P393</f>
        <v>0</v>
      </c>
      <c r="R393" s="42">
        <f>R392+Q393</f>
        <v>0</v>
      </c>
      <c r="S393" s="42">
        <f>S392+R393</f>
        <v>0</v>
      </c>
      <c r="T393" s="42"/>
      <c r="U393" s="42"/>
      <c r="V393" s="42"/>
      <c r="W393" s="42"/>
    </row>
    <row r="394" spans="1:28" s="10" customFormat="1" ht="18" hidden="1" customHeight="1">
      <c r="A394" s="595"/>
      <c r="B394" s="580" t="s">
        <v>38</v>
      </c>
      <c r="C394" s="575"/>
      <c r="D394" s="178" t="str">
        <f>серпень!D317</f>
        <v>факт. нат.п-ки 2023</v>
      </c>
      <c r="E394" s="11"/>
      <c r="F394" s="12"/>
      <c r="G394" s="12"/>
      <c r="H394" s="12"/>
      <c r="I394" s="12"/>
      <c r="J394" s="12"/>
      <c r="K394" s="12"/>
      <c r="L394" s="65">
        <f>SUM(F394:K394)</f>
        <v>0</v>
      </c>
      <c r="M394" s="65">
        <f>L394/6</f>
        <v>0</v>
      </c>
      <c r="N394" s="12"/>
      <c r="O394" s="12"/>
      <c r="P394" s="12"/>
      <c r="Q394" s="12"/>
      <c r="R394" s="12"/>
      <c r="S394" s="12"/>
      <c r="T394" s="65">
        <f>SUM(N394:S394)</f>
        <v>0</v>
      </c>
      <c r="U394" s="118">
        <f>T394+L394</f>
        <v>0</v>
      </c>
      <c r="V394" s="67"/>
      <c r="W394" s="38">
        <f>V394-U394</f>
        <v>0</v>
      </c>
      <c r="X394" s="36"/>
      <c r="Y394" s="3"/>
      <c r="Z394" s="3"/>
      <c r="AA394" s="3"/>
      <c r="AB394" s="3"/>
    </row>
    <row r="395" spans="1:28" s="48" customFormat="1" ht="18" hidden="1" customHeight="1">
      <c r="A395" s="595"/>
      <c r="B395" s="576"/>
      <c r="C395" s="577"/>
      <c r="D395" s="178" t="str">
        <f>серпень!D318</f>
        <v>факт. нат.п-ки 2024</v>
      </c>
      <c r="E395" s="11"/>
      <c r="F395" s="12"/>
      <c r="G395" s="12"/>
      <c r="H395" s="12"/>
      <c r="I395" s="12"/>
      <c r="J395" s="12"/>
      <c r="K395" s="12"/>
      <c r="L395" s="65">
        <f>SUM(F395:K395)</f>
        <v>0</v>
      </c>
      <c r="M395" s="65">
        <f>L395/6</f>
        <v>0</v>
      </c>
      <c r="N395" s="11"/>
      <c r="O395" s="11"/>
      <c r="P395" s="11"/>
      <c r="Q395" s="11"/>
      <c r="R395" s="11"/>
      <c r="S395" s="11"/>
      <c r="T395" s="65">
        <f>SUM(N395:S395)</f>
        <v>0</v>
      </c>
      <c r="U395" s="118">
        <f>T395+L395</f>
        <v>0</v>
      </c>
      <c r="V395" s="67"/>
      <c r="W395" s="38">
        <f>V395-U395</f>
        <v>0</v>
      </c>
      <c r="X395" s="47"/>
    </row>
    <row r="396" spans="1:28" s="10" customFormat="1" ht="18" hidden="1" customHeight="1">
      <c r="A396" s="595"/>
      <c r="B396" s="576"/>
      <c r="C396" s="577"/>
      <c r="D396" s="178" t="str">
        <f>серпень!D319</f>
        <v>факт. нат.п-ки 2025</v>
      </c>
      <c r="E396" s="11"/>
      <c r="F396" s="12"/>
      <c r="G396" s="12"/>
      <c r="H396" s="12"/>
      <c r="I396" s="12"/>
      <c r="J396" s="12"/>
      <c r="K396" s="12"/>
      <c r="L396" s="65">
        <f>SUM(F396:K396)</f>
        <v>0</v>
      </c>
      <c r="M396" s="65">
        <f>L396/6</f>
        <v>0</v>
      </c>
      <c r="N396" s="12"/>
      <c r="O396" s="12"/>
      <c r="P396" s="12"/>
      <c r="Q396" s="12"/>
      <c r="R396" s="12"/>
      <c r="S396" s="11"/>
      <c r="T396" s="65">
        <f>SUM(N396:S396)</f>
        <v>0</v>
      </c>
      <c r="U396" s="118">
        <f>T396+L396</f>
        <v>0</v>
      </c>
      <c r="V396" s="11"/>
      <c r="W396" s="38">
        <f>V396-U396</f>
        <v>0</v>
      </c>
      <c r="X396" s="36"/>
      <c r="Y396" s="3"/>
      <c r="Z396" s="3"/>
      <c r="AA396" s="3"/>
      <c r="AB396" s="3"/>
    </row>
    <row r="397" spans="1:28" s="114" customFormat="1" ht="18" hidden="1" customHeight="1">
      <c r="A397" s="595"/>
      <c r="B397" s="576"/>
      <c r="C397" s="577"/>
      <c r="D397" s="187" t="str">
        <f>серпень!D320</f>
        <v>тариф, грн.</v>
      </c>
      <c r="E397" s="49"/>
      <c r="F397" s="49">
        <v>10.56</v>
      </c>
      <c r="G397" s="49">
        <v>10.56</v>
      </c>
      <c r="H397" s="49">
        <v>10.56</v>
      </c>
      <c r="I397" s="49">
        <v>10.56</v>
      </c>
      <c r="J397" s="49">
        <v>10.56</v>
      </c>
      <c r="K397" s="49">
        <v>10.56</v>
      </c>
      <c r="L397" s="49" t="e">
        <f>L398/L396*1000</f>
        <v>#DIV/0!</v>
      </c>
      <c r="M397" s="49" t="e">
        <f>M398/M396*1000</f>
        <v>#DIV/0!</v>
      </c>
      <c r="N397" s="49">
        <v>10.56</v>
      </c>
      <c r="O397" s="49">
        <v>10.56</v>
      </c>
      <c r="P397" s="49">
        <v>10.56</v>
      </c>
      <c r="Q397" s="49">
        <v>10.56</v>
      </c>
      <c r="R397" s="49">
        <v>10.56</v>
      </c>
      <c r="S397" s="49">
        <v>10.56</v>
      </c>
      <c r="T397" s="49" t="e">
        <f>T398/T396*1000</f>
        <v>#DIV/0!</v>
      </c>
      <c r="U397" s="49" t="e">
        <f>U398/U396*1000</f>
        <v>#DIV/0!</v>
      </c>
      <c r="V397" s="68" t="e">
        <f>V398/V396*1000</f>
        <v>#DIV/0!</v>
      </c>
      <c r="W397" s="14" t="e">
        <f>W398/W396*1000</f>
        <v>#DIV/0!</v>
      </c>
      <c r="X397" s="47"/>
      <c r="Y397" s="3"/>
      <c r="Z397" s="3"/>
      <c r="AA397" s="3"/>
      <c r="AB397" s="3"/>
    </row>
    <row r="398" spans="1:28" s="114" customFormat="1" ht="18" hidden="1" customHeight="1">
      <c r="A398" s="595"/>
      <c r="B398" s="576"/>
      <c r="C398" s="577"/>
      <c r="D398" s="191" t="str">
        <f>серпень!D321</f>
        <v>сума, тис.грн.</v>
      </c>
      <c r="E398" s="52"/>
      <c r="F398" s="52">
        <f t="shared" ref="F398:K398" si="406">F396*F397/1000</f>
        <v>0</v>
      </c>
      <c r="G398" s="52">
        <f t="shared" si="406"/>
        <v>0</v>
      </c>
      <c r="H398" s="52">
        <f t="shared" si="406"/>
        <v>0</v>
      </c>
      <c r="I398" s="52">
        <f t="shared" si="406"/>
        <v>0</v>
      </c>
      <c r="J398" s="52">
        <f t="shared" si="406"/>
        <v>0</v>
      </c>
      <c r="K398" s="52">
        <f t="shared" si="406"/>
        <v>0</v>
      </c>
      <c r="L398" s="69">
        <f>SUM(F398:K398)</f>
        <v>0</v>
      </c>
      <c r="M398" s="69">
        <f>L398/6</f>
        <v>0</v>
      </c>
      <c r="N398" s="52">
        <f t="shared" ref="N398:S398" si="407">N396*N397/1000</f>
        <v>0</v>
      </c>
      <c r="O398" s="52">
        <f t="shared" si="407"/>
        <v>0</v>
      </c>
      <c r="P398" s="52">
        <f t="shared" si="407"/>
        <v>0</v>
      </c>
      <c r="Q398" s="52">
        <f t="shared" si="407"/>
        <v>0</v>
      </c>
      <c r="R398" s="52">
        <f t="shared" si="407"/>
        <v>0</v>
      </c>
      <c r="S398" s="52">
        <f t="shared" si="407"/>
        <v>0</v>
      </c>
      <c r="T398" s="69">
        <f>SUM(N398:S398)</f>
        <v>0</v>
      </c>
      <c r="U398" s="69">
        <f>T398+L398</f>
        <v>0</v>
      </c>
      <c r="V398" s="70">
        <f>V399+V400</f>
        <v>0</v>
      </c>
      <c r="W398" s="53">
        <f>V398-U398</f>
        <v>0</v>
      </c>
      <c r="X398" s="113"/>
    </row>
    <row r="399" spans="1:28" s="114" customFormat="1" ht="18" hidden="1" customHeight="1">
      <c r="A399" s="595"/>
      <c r="B399" s="576"/>
      <c r="C399" s="577"/>
      <c r="D399" s="174" t="str">
        <f>серпень!D322</f>
        <v>дотація</v>
      </c>
      <c r="E399" s="56"/>
      <c r="F399" s="52"/>
      <c r="G399" s="52"/>
      <c r="H399" s="52"/>
      <c r="I399" s="52"/>
      <c r="J399" s="52"/>
      <c r="K399" s="52"/>
      <c r="L399" s="69">
        <f>SUM(F399:K399)</f>
        <v>0</v>
      </c>
      <c r="M399" s="69">
        <f>L399/6</f>
        <v>0</v>
      </c>
      <c r="N399" s="52"/>
      <c r="O399" s="52"/>
      <c r="P399" s="52"/>
      <c r="Q399" s="52"/>
      <c r="R399" s="52"/>
      <c r="S399" s="52"/>
      <c r="T399" s="69">
        <f>SUM(N399:S399)</f>
        <v>0</v>
      </c>
      <c r="U399" s="69">
        <f>T399+L399</f>
        <v>0</v>
      </c>
      <c r="V399" s="70">
        <v>0</v>
      </c>
      <c r="W399" s="53">
        <f>V399-U399</f>
        <v>0</v>
      </c>
      <c r="X399" s="113"/>
    </row>
    <row r="400" spans="1:28" s="114" customFormat="1" ht="18" hidden="1" customHeight="1">
      <c r="A400" s="595"/>
      <c r="B400" s="576"/>
      <c r="C400" s="577"/>
      <c r="D400" s="174" t="str">
        <f>серпень!D323</f>
        <v>місцевий (план), тис.грн</v>
      </c>
      <c r="E400" s="56"/>
      <c r="F400" s="52"/>
      <c r="G400" s="52"/>
      <c r="H400" s="52"/>
      <c r="I400" s="52"/>
      <c r="J400" s="52"/>
      <c r="K400" s="52"/>
      <c r="L400" s="69">
        <f>SUM(F400:K400)</f>
        <v>0</v>
      </c>
      <c r="M400" s="69">
        <f>L400/6</f>
        <v>0</v>
      </c>
      <c r="N400" s="52"/>
      <c r="O400" s="52"/>
      <c r="P400" s="52"/>
      <c r="Q400" s="52"/>
      <c r="R400" s="52"/>
      <c r="S400" s="52"/>
      <c r="T400" s="69">
        <f>SUM(N400:S400)</f>
        <v>0</v>
      </c>
      <c r="U400" s="69">
        <f>T400+L400</f>
        <v>0</v>
      </c>
      <c r="V400" s="70"/>
      <c r="W400" s="53">
        <f>V400-U400</f>
        <v>0</v>
      </c>
      <c r="X400" s="113"/>
    </row>
    <row r="401" spans="1:28" s="3" customFormat="1" ht="18" hidden="1" customHeight="1">
      <c r="A401" s="595"/>
      <c r="B401" s="576"/>
      <c r="C401" s="577"/>
      <c r="D401" s="178" t="str">
        <f>серпень!D324</f>
        <v>касові нат.п-ки 2025</v>
      </c>
      <c r="E401" s="11"/>
      <c r="F401" s="11"/>
      <c r="G401" s="11"/>
      <c r="H401" s="11"/>
      <c r="I401" s="11"/>
      <c r="J401" s="11"/>
      <c r="K401" s="11"/>
      <c r="L401" s="65">
        <f>SUM(F401:K401)</f>
        <v>0</v>
      </c>
      <c r="M401" s="65">
        <f>L401/6</f>
        <v>0</v>
      </c>
      <c r="N401" s="11"/>
      <c r="O401" s="11"/>
      <c r="P401" s="11"/>
      <c r="Q401" s="11"/>
      <c r="R401" s="11"/>
      <c r="S401" s="11"/>
      <c r="T401" s="65">
        <f>SUM(N401:S401)</f>
        <v>0</v>
      </c>
      <c r="U401" s="65">
        <f>T401+L401</f>
        <v>0</v>
      </c>
      <c r="V401" s="11">
        <f>V396</f>
        <v>0</v>
      </c>
      <c r="W401" s="38">
        <f>V401-U401</f>
        <v>0</v>
      </c>
      <c r="X401" s="47">
        <f>U396-U401</f>
        <v>0</v>
      </c>
    </row>
    <row r="402" spans="1:28" s="73" customFormat="1" ht="18" hidden="1" customHeight="1">
      <c r="A402" s="595"/>
      <c r="B402" s="576"/>
      <c r="C402" s="577"/>
      <c r="D402" s="187" t="str">
        <f>серпень!D325</f>
        <v>тариф, грн.</v>
      </c>
      <c r="E402" s="49" t="e">
        <f>E403/E401*1000</f>
        <v>#DIV/0!</v>
      </c>
      <c r="F402" s="49">
        <v>10.56</v>
      </c>
      <c r="G402" s="49">
        <v>10.56</v>
      </c>
      <c r="H402" s="49">
        <v>10.56</v>
      </c>
      <c r="I402" s="49">
        <v>10.56</v>
      </c>
      <c r="J402" s="49">
        <v>10.56</v>
      </c>
      <c r="K402" s="49">
        <v>10.56</v>
      </c>
      <c r="L402" s="49" t="e">
        <f>L403/L401*1000</f>
        <v>#DIV/0!</v>
      </c>
      <c r="M402" s="49" t="e">
        <f>M403/M401*1000</f>
        <v>#DIV/0!</v>
      </c>
      <c r="N402" s="49">
        <v>10.56</v>
      </c>
      <c r="O402" s="49">
        <v>10.56</v>
      </c>
      <c r="P402" s="49">
        <v>10.56</v>
      </c>
      <c r="Q402" s="49">
        <v>10.56</v>
      </c>
      <c r="R402" s="49">
        <v>10.56</v>
      </c>
      <c r="S402" s="49">
        <v>10.56</v>
      </c>
      <c r="T402" s="49" t="e">
        <f>T403/T401*1000</f>
        <v>#DIV/0!</v>
      </c>
      <c r="U402" s="49" t="e">
        <f>U403/U401*1000</f>
        <v>#DIV/0!</v>
      </c>
      <c r="V402" s="68" t="e">
        <f>V403/V401*1000</f>
        <v>#DIV/0!</v>
      </c>
      <c r="W402" s="14" t="e">
        <f>W403/W401*1000</f>
        <v>#DIV/0!</v>
      </c>
      <c r="X402" s="59"/>
      <c r="Y402" s="36"/>
      <c r="Z402" s="36"/>
      <c r="AA402" s="36"/>
      <c r="AB402" s="36"/>
    </row>
    <row r="403" spans="1:28" s="126" customFormat="1" ht="18" hidden="1" customHeight="1">
      <c r="A403" s="595"/>
      <c r="B403" s="576"/>
      <c r="C403" s="577"/>
      <c r="D403" s="198" t="str">
        <f>серпень!D326</f>
        <v>касові видатки, тис.грн.</v>
      </c>
      <c r="E403" s="71"/>
      <c r="F403" s="61">
        <f t="shared" ref="F403:K403" si="408">F401*F402/1000</f>
        <v>0</v>
      </c>
      <c r="G403" s="61">
        <f t="shared" si="408"/>
        <v>0</v>
      </c>
      <c r="H403" s="61">
        <f t="shared" si="408"/>
        <v>0</v>
      </c>
      <c r="I403" s="61">
        <f t="shared" si="408"/>
        <v>0</v>
      </c>
      <c r="J403" s="61">
        <f t="shared" si="408"/>
        <v>0</v>
      </c>
      <c r="K403" s="61">
        <f t="shared" si="408"/>
        <v>0</v>
      </c>
      <c r="L403" s="61">
        <f>SUM(F403:K403)</f>
        <v>0</v>
      </c>
      <c r="M403" s="61">
        <f>L403/6</f>
        <v>0</v>
      </c>
      <c r="N403" s="61">
        <f t="shared" ref="N403:S403" si="409">N401*N402/1000</f>
        <v>0</v>
      </c>
      <c r="O403" s="61">
        <f t="shared" si="409"/>
        <v>0</v>
      </c>
      <c r="P403" s="61">
        <f t="shared" si="409"/>
        <v>0</v>
      </c>
      <c r="Q403" s="61">
        <f t="shared" si="409"/>
        <v>0</v>
      </c>
      <c r="R403" s="61">
        <f t="shared" si="409"/>
        <v>0</v>
      </c>
      <c r="S403" s="61">
        <f t="shared" si="409"/>
        <v>0</v>
      </c>
      <c r="T403" s="61">
        <f>SUM(N403:S403)</f>
        <v>0</v>
      </c>
      <c r="U403" s="61">
        <f>T403+L403</f>
        <v>0</v>
      </c>
      <c r="V403" s="61">
        <f>V398</f>
        <v>0</v>
      </c>
      <c r="W403" s="72">
        <f>V403-U403</f>
        <v>0</v>
      </c>
      <c r="X403" s="63">
        <f>U398-U403</f>
        <v>0</v>
      </c>
    </row>
    <row r="404" spans="1:28" s="126" customFormat="1" ht="18" hidden="1" customHeight="1">
      <c r="A404" s="595"/>
      <c r="B404" s="576"/>
      <c r="C404" s="577"/>
      <c r="D404" s="201" t="str">
        <f>серпень!D327</f>
        <v>дотація</v>
      </c>
      <c r="E404" s="71"/>
      <c r="F404" s="61"/>
      <c r="G404" s="61"/>
      <c r="H404" s="61"/>
      <c r="I404" s="61"/>
      <c r="J404" s="61"/>
      <c r="K404" s="61"/>
      <c r="L404" s="61">
        <f>SUM(F404:K404)</f>
        <v>0</v>
      </c>
      <c r="M404" s="61">
        <f>L404/6</f>
        <v>0</v>
      </c>
      <c r="N404" s="61"/>
      <c r="O404" s="61"/>
      <c r="P404" s="61"/>
      <c r="Q404" s="61"/>
      <c r="R404" s="61"/>
      <c r="S404" s="61"/>
      <c r="T404" s="61">
        <f>SUM(N404:S404)</f>
        <v>0</v>
      </c>
      <c r="U404" s="61">
        <f>T404+L404</f>
        <v>0</v>
      </c>
      <c r="V404" s="61">
        <f>V399</f>
        <v>0</v>
      </c>
      <c r="W404" s="72">
        <f>V404-U404</f>
        <v>0</v>
      </c>
      <c r="X404" s="63">
        <f>U399-U404</f>
        <v>0</v>
      </c>
    </row>
    <row r="405" spans="1:28" s="126" customFormat="1" ht="18" hidden="1" customHeight="1">
      <c r="A405" s="595"/>
      <c r="B405" s="576"/>
      <c r="C405" s="577"/>
      <c r="D405" s="201" t="str">
        <f>серпень!D328</f>
        <v xml:space="preserve">місцевий </v>
      </c>
      <c r="E405" s="71"/>
      <c r="F405" s="61">
        <f t="shared" ref="F405:K405" si="410">F403-F404</f>
        <v>0</v>
      </c>
      <c r="G405" s="61">
        <f t="shared" si="410"/>
        <v>0</v>
      </c>
      <c r="H405" s="61">
        <f t="shared" si="410"/>
        <v>0</v>
      </c>
      <c r="I405" s="61">
        <f t="shared" si="410"/>
        <v>0</v>
      </c>
      <c r="J405" s="61">
        <f t="shared" si="410"/>
        <v>0</v>
      </c>
      <c r="K405" s="61">
        <f t="shared" si="410"/>
        <v>0</v>
      </c>
      <c r="L405" s="61">
        <f>SUM(F405:K405)</f>
        <v>0</v>
      </c>
      <c r="M405" s="61">
        <f>L405/6</f>
        <v>0</v>
      </c>
      <c r="N405" s="61">
        <f t="shared" ref="N405:S405" si="411">N403-N404</f>
        <v>0</v>
      </c>
      <c r="O405" s="61">
        <f t="shared" si="411"/>
        <v>0</v>
      </c>
      <c r="P405" s="61">
        <f t="shared" si="411"/>
        <v>0</v>
      </c>
      <c r="Q405" s="61">
        <f t="shared" si="411"/>
        <v>0</v>
      </c>
      <c r="R405" s="61">
        <f t="shared" si="411"/>
        <v>0</v>
      </c>
      <c r="S405" s="61">
        <f t="shared" si="411"/>
        <v>0</v>
      </c>
      <c r="T405" s="61">
        <f>SUM(N405:S405)</f>
        <v>0</v>
      </c>
      <c r="U405" s="61">
        <f>T405+L405</f>
        <v>0</v>
      </c>
      <c r="V405" s="61">
        <f>V400</f>
        <v>0</v>
      </c>
      <c r="W405" s="72">
        <f>V405-U405</f>
        <v>0</v>
      </c>
      <c r="X405" s="63">
        <f>U400-U405</f>
        <v>0</v>
      </c>
    </row>
    <row r="406" spans="1:28" s="43" customFormat="1" ht="18" hidden="1" customHeight="1">
      <c r="A406" s="595"/>
      <c r="B406" s="576"/>
      <c r="C406" s="577"/>
      <c r="D406" s="202" t="str">
        <f>серпень!D329</f>
        <v>план</v>
      </c>
      <c r="E406" s="42"/>
      <c r="F406" s="42">
        <f t="shared" ref="F406:K406" si="412">F400</f>
        <v>0</v>
      </c>
      <c r="G406" s="42">
        <f t="shared" si="412"/>
        <v>0</v>
      </c>
      <c r="H406" s="42">
        <f t="shared" si="412"/>
        <v>0</v>
      </c>
      <c r="I406" s="42">
        <f t="shared" si="412"/>
        <v>0</v>
      </c>
      <c r="J406" s="42">
        <f t="shared" si="412"/>
        <v>0</v>
      </c>
      <c r="K406" s="42">
        <f t="shared" si="412"/>
        <v>0</v>
      </c>
      <c r="L406" s="42">
        <f>SUM(F406:K406)</f>
        <v>0</v>
      </c>
      <c r="M406" s="42">
        <f>L406/6</f>
        <v>0</v>
      </c>
      <c r="N406" s="42">
        <f t="shared" ref="N406:S406" si="413">N400+N399</f>
        <v>0</v>
      </c>
      <c r="O406" s="42">
        <f t="shared" si="413"/>
        <v>0</v>
      </c>
      <c r="P406" s="42">
        <f t="shared" si="413"/>
        <v>0</v>
      </c>
      <c r="Q406" s="42">
        <f t="shared" si="413"/>
        <v>0</v>
      </c>
      <c r="R406" s="42">
        <f t="shared" si="413"/>
        <v>0</v>
      </c>
      <c r="S406" s="42">
        <f t="shared" si="413"/>
        <v>0</v>
      </c>
      <c r="T406" s="42">
        <f>SUM(N406:S406)</f>
        <v>0</v>
      </c>
      <c r="U406" s="42">
        <f>T406+L406</f>
        <v>0</v>
      </c>
      <c r="V406" s="42">
        <f>V403</f>
        <v>0</v>
      </c>
      <c r="W406" s="42">
        <f>V406-U406</f>
        <v>0</v>
      </c>
    </row>
    <row r="407" spans="1:28" s="43" customFormat="1" ht="18" hidden="1" customHeight="1">
      <c r="A407" s="595"/>
      <c r="B407" s="576"/>
      <c r="C407" s="577"/>
      <c r="D407" s="202" t="str">
        <f>серпень!D330</f>
        <v xml:space="preserve">відхилення </v>
      </c>
      <c r="E407" s="42"/>
      <c r="F407" s="42">
        <f t="shared" ref="F407:K407" si="414">F403-F406</f>
        <v>0</v>
      </c>
      <c r="G407" s="42">
        <f t="shared" si="414"/>
        <v>0</v>
      </c>
      <c r="H407" s="42">
        <f t="shared" si="414"/>
        <v>0</v>
      </c>
      <c r="I407" s="42">
        <f t="shared" si="414"/>
        <v>0</v>
      </c>
      <c r="J407" s="42">
        <f t="shared" si="414"/>
        <v>0</v>
      </c>
      <c r="K407" s="42">
        <f t="shared" si="414"/>
        <v>0</v>
      </c>
      <c r="L407" s="42"/>
      <c r="M407" s="42"/>
      <c r="N407" s="42">
        <f t="shared" ref="N407:S407" si="415">N403-N406</f>
        <v>0</v>
      </c>
      <c r="O407" s="42">
        <f t="shared" si="415"/>
        <v>0</v>
      </c>
      <c r="P407" s="42">
        <f t="shared" si="415"/>
        <v>0</v>
      </c>
      <c r="Q407" s="42">
        <f t="shared" si="415"/>
        <v>0</v>
      </c>
      <c r="R407" s="42">
        <f t="shared" si="415"/>
        <v>0</v>
      </c>
      <c r="S407" s="42">
        <f t="shared" si="415"/>
        <v>0</v>
      </c>
      <c r="T407" s="42"/>
      <c r="U407" s="42"/>
      <c r="V407" s="42"/>
      <c r="W407" s="42"/>
    </row>
    <row r="408" spans="1:28" s="43" customFormat="1" ht="18" hidden="1" customHeight="1">
      <c r="A408" s="596"/>
      <c r="B408" s="578"/>
      <c r="C408" s="579"/>
      <c r="D408" s="202" t="str">
        <f>серпень!D331</f>
        <v>відхилення з наростаючим</v>
      </c>
      <c r="E408" s="42"/>
      <c r="F408" s="42">
        <f>F407</f>
        <v>0</v>
      </c>
      <c r="G408" s="42">
        <f>G407+F408</f>
        <v>0</v>
      </c>
      <c r="H408" s="42">
        <f>H407+G408</f>
        <v>0</v>
      </c>
      <c r="I408" s="42">
        <f>I407+H408</f>
        <v>0</v>
      </c>
      <c r="J408" s="42">
        <f>J407+I408</f>
        <v>0</v>
      </c>
      <c r="K408" s="42">
        <f>K407+J408</f>
        <v>0</v>
      </c>
      <c r="L408" s="42"/>
      <c r="M408" s="42"/>
      <c r="N408" s="42">
        <f>N407+K408</f>
        <v>0</v>
      </c>
      <c r="O408" s="42">
        <f>O407+N408</f>
        <v>0</v>
      </c>
      <c r="P408" s="42">
        <f>P407+O408</f>
        <v>0</v>
      </c>
      <c r="Q408" s="42">
        <f>Q407+P408</f>
        <v>0</v>
      </c>
      <c r="R408" s="42">
        <f>R407+Q408</f>
        <v>0</v>
      </c>
      <c r="S408" s="42">
        <f>S407+R408</f>
        <v>0</v>
      </c>
      <c r="T408" s="42"/>
      <c r="U408" s="42"/>
      <c r="V408" s="42"/>
      <c r="W408" s="42"/>
    </row>
    <row r="409" spans="1:28" s="157" customFormat="1" ht="18" hidden="1" customHeight="1">
      <c r="A409" s="582" t="s">
        <v>39</v>
      </c>
      <c r="B409" s="655" t="s">
        <v>40</v>
      </c>
      <c r="C409" s="656"/>
      <c r="D409" s="178" t="str">
        <f>серпень!D332</f>
        <v>факт. нат.п-ки 2023</v>
      </c>
      <c r="E409" s="179"/>
      <c r="F409" s="180">
        <f t="shared" ref="F409:K411" si="416">F426+F441+F456</f>
        <v>0</v>
      </c>
      <c r="G409" s="180">
        <f t="shared" si="416"/>
        <v>0</v>
      </c>
      <c r="H409" s="180">
        <f t="shared" si="416"/>
        <v>0</v>
      </c>
      <c r="I409" s="180">
        <f t="shared" si="416"/>
        <v>0</v>
      </c>
      <c r="J409" s="180">
        <f t="shared" si="416"/>
        <v>0</v>
      </c>
      <c r="K409" s="180">
        <f t="shared" si="416"/>
        <v>0</v>
      </c>
      <c r="L409" s="215">
        <f>SUM(F409:K409)</f>
        <v>0</v>
      </c>
      <c r="M409" s="215">
        <f>L409/6</f>
        <v>0</v>
      </c>
      <c r="N409" s="180">
        <f t="shared" ref="N409:S411" si="417">N426+N441+N456</f>
        <v>0</v>
      </c>
      <c r="O409" s="180">
        <f t="shared" si="417"/>
        <v>0</v>
      </c>
      <c r="P409" s="180">
        <f t="shared" si="417"/>
        <v>0</v>
      </c>
      <c r="Q409" s="180">
        <f t="shared" si="417"/>
        <v>0</v>
      </c>
      <c r="R409" s="180">
        <f t="shared" si="417"/>
        <v>0</v>
      </c>
      <c r="S409" s="180">
        <f t="shared" si="417"/>
        <v>0</v>
      </c>
      <c r="T409" s="215">
        <f>SUM(N409:S409)</f>
        <v>0</v>
      </c>
      <c r="U409" s="215">
        <f>T409+L409</f>
        <v>0</v>
      </c>
      <c r="V409" s="233">
        <f>V426+V456</f>
        <v>0</v>
      </c>
      <c r="W409" s="184"/>
      <c r="X409" s="209"/>
    </row>
    <row r="410" spans="1:28" s="157" customFormat="1" ht="18" hidden="1" customHeight="1">
      <c r="A410" s="583"/>
      <c r="B410" s="657"/>
      <c r="C410" s="658"/>
      <c r="D410" s="178" t="str">
        <f>серпень!D333</f>
        <v>факт. нат.п-ки 2024</v>
      </c>
      <c r="E410" s="179"/>
      <c r="F410" s="180">
        <f t="shared" si="416"/>
        <v>0</v>
      </c>
      <c r="G410" s="180">
        <f t="shared" si="416"/>
        <v>0</v>
      </c>
      <c r="H410" s="180">
        <f t="shared" si="416"/>
        <v>0</v>
      </c>
      <c r="I410" s="180">
        <f t="shared" si="416"/>
        <v>0</v>
      </c>
      <c r="J410" s="180">
        <f t="shared" si="416"/>
        <v>0</v>
      </c>
      <c r="K410" s="180">
        <f t="shared" si="416"/>
        <v>0</v>
      </c>
      <c r="L410" s="215">
        <f>SUM(F410:K410)</f>
        <v>0</v>
      </c>
      <c r="M410" s="215">
        <f>L410/6</f>
        <v>0</v>
      </c>
      <c r="N410" s="180">
        <f t="shared" si="417"/>
        <v>0</v>
      </c>
      <c r="O410" s="180">
        <f t="shared" si="417"/>
        <v>0</v>
      </c>
      <c r="P410" s="180">
        <f t="shared" si="417"/>
        <v>0</v>
      </c>
      <c r="Q410" s="180">
        <f t="shared" si="417"/>
        <v>0</v>
      </c>
      <c r="R410" s="180">
        <f t="shared" si="417"/>
        <v>0</v>
      </c>
      <c r="S410" s="180">
        <f t="shared" si="417"/>
        <v>0</v>
      </c>
      <c r="T410" s="215">
        <f>SUM(N410:S410)</f>
        <v>0</v>
      </c>
      <c r="U410" s="215">
        <f>T410+L410</f>
        <v>0</v>
      </c>
      <c r="V410" s="233">
        <f>V427+V457</f>
        <v>0</v>
      </c>
      <c r="W410" s="184"/>
      <c r="X410" s="209"/>
    </row>
    <row r="411" spans="1:28" s="157" customFormat="1" ht="18" hidden="1" customHeight="1">
      <c r="A411" s="583"/>
      <c r="B411" s="657"/>
      <c r="C411" s="658"/>
      <c r="D411" s="178" t="str">
        <f>серпень!D334</f>
        <v>факт. нат.п-ки 2025</v>
      </c>
      <c r="E411" s="179"/>
      <c r="F411" s="180">
        <f>F428+F443+F458</f>
        <v>0</v>
      </c>
      <c r="G411" s="180">
        <f t="shared" si="416"/>
        <v>0</v>
      </c>
      <c r="H411" s="180">
        <f t="shared" si="416"/>
        <v>0</v>
      </c>
      <c r="I411" s="180">
        <f t="shared" si="416"/>
        <v>0</v>
      </c>
      <c r="J411" s="180">
        <f t="shared" si="416"/>
        <v>0</v>
      </c>
      <c r="K411" s="180">
        <f t="shared" si="416"/>
        <v>0</v>
      </c>
      <c r="L411" s="234">
        <f>SUM(F411:K411)</f>
        <v>0</v>
      </c>
      <c r="M411" s="215">
        <f>L411/6</f>
        <v>0</v>
      </c>
      <c r="N411" s="180">
        <f t="shared" si="417"/>
        <v>0</v>
      </c>
      <c r="O411" s="180">
        <f t="shared" si="417"/>
        <v>0</v>
      </c>
      <c r="P411" s="180">
        <f t="shared" si="417"/>
        <v>0</v>
      </c>
      <c r="Q411" s="180">
        <f t="shared" si="417"/>
        <v>0</v>
      </c>
      <c r="R411" s="180">
        <f t="shared" si="417"/>
        <v>0</v>
      </c>
      <c r="S411" s="180">
        <f t="shared" si="417"/>
        <v>0</v>
      </c>
      <c r="T411" s="215">
        <f>SUM(N411:S411)</f>
        <v>0</v>
      </c>
      <c r="U411" s="215">
        <f>T411+L411</f>
        <v>0</v>
      </c>
      <c r="V411" s="233">
        <f>V428+V443+V458</f>
        <v>0</v>
      </c>
      <c r="W411" s="184">
        <f>V411-U411</f>
        <v>0</v>
      </c>
      <c r="X411" s="209"/>
    </row>
    <row r="412" spans="1:28" s="241" customFormat="1" ht="18" hidden="1" customHeight="1">
      <c r="A412" s="583"/>
      <c r="B412" s="657"/>
      <c r="C412" s="658"/>
      <c r="D412" s="187" t="str">
        <f>серпень!D335</f>
        <v>тариф, грн.</v>
      </c>
      <c r="E412" s="188"/>
      <c r="F412" s="188" t="e">
        <f t="shared" ref="F412:S412" si="418">F413/F411*1000</f>
        <v>#DIV/0!</v>
      </c>
      <c r="G412" s="188" t="e">
        <f t="shared" si="418"/>
        <v>#DIV/0!</v>
      </c>
      <c r="H412" s="188" t="e">
        <f t="shared" si="418"/>
        <v>#DIV/0!</v>
      </c>
      <c r="I412" s="188" t="e">
        <f t="shared" si="418"/>
        <v>#DIV/0!</v>
      </c>
      <c r="J412" s="188" t="e">
        <f t="shared" si="418"/>
        <v>#DIV/0!</v>
      </c>
      <c r="K412" s="188" t="e">
        <f t="shared" si="418"/>
        <v>#DIV/0!</v>
      </c>
      <c r="L412" s="188" t="e">
        <f t="shared" si="418"/>
        <v>#DIV/0!</v>
      </c>
      <c r="M412" s="188" t="e">
        <f t="shared" si="418"/>
        <v>#DIV/0!</v>
      </c>
      <c r="N412" s="188" t="e">
        <f t="shared" si="418"/>
        <v>#DIV/0!</v>
      </c>
      <c r="O412" s="188" t="e">
        <f t="shared" si="418"/>
        <v>#DIV/0!</v>
      </c>
      <c r="P412" s="188" t="e">
        <f t="shared" si="418"/>
        <v>#DIV/0!</v>
      </c>
      <c r="Q412" s="188" t="e">
        <f t="shared" si="418"/>
        <v>#DIV/0!</v>
      </c>
      <c r="R412" s="188" t="e">
        <f t="shared" si="418"/>
        <v>#DIV/0!</v>
      </c>
      <c r="S412" s="188" t="e">
        <f t="shared" si="418"/>
        <v>#DIV/0!</v>
      </c>
      <c r="T412" s="188" t="e">
        <f>T413/T411*1000</f>
        <v>#DIV/0!</v>
      </c>
      <c r="U412" s="188" t="e">
        <f>U413/U411*1000</f>
        <v>#DIV/0!</v>
      </c>
      <c r="V412" s="188" t="e">
        <f>V413/V411*1000</f>
        <v>#DIV/0!</v>
      </c>
      <c r="W412" s="189" t="e">
        <f>W413/W411*1000</f>
        <v>#DIV/0!</v>
      </c>
      <c r="X412" s="240"/>
    </row>
    <row r="413" spans="1:28" s="172" customFormat="1" ht="18" hidden="1" customHeight="1">
      <c r="A413" s="583"/>
      <c r="B413" s="657"/>
      <c r="C413" s="658"/>
      <c r="D413" s="191" t="str">
        <f>серпень!D336</f>
        <v>сума, тис.грн.</v>
      </c>
      <c r="E413" s="192"/>
      <c r="F413" s="192">
        <f t="shared" ref="F413:K413" si="419">F430+F445+F460</f>
        <v>0</v>
      </c>
      <c r="G413" s="192">
        <f t="shared" si="419"/>
        <v>0</v>
      </c>
      <c r="H413" s="192">
        <f t="shared" si="419"/>
        <v>0</v>
      </c>
      <c r="I413" s="192">
        <f t="shared" si="419"/>
        <v>0</v>
      </c>
      <c r="J413" s="192">
        <f t="shared" si="419"/>
        <v>0</v>
      </c>
      <c r="K413" s="192">
        <f t="shared" si="419"/>
        <v>0</v>
      </c>
      <c r="L413" s="194">
        <f>SUM(F413:K413)</f>
        <v>0</v>
      </c>
      <c r="M413" s="194">
        <f>L413/6</f>
        <v>0</v>
      </c>
      <c r="N413" s="192">
        <f t="shared" ref="N413:S413" si="420">N430+N445+N460</f>
        <v>0</v>
      </c>
      <c r="O413" s="192">
        <f t="shared" si="420"/>
        <v>0</v>
      </c>
      <c r="P413" s="192">
        <f t="shared" si="420"/>
        <v>0</v>
      </c>
      <c r="Q413" s="192">
        <f t="shared" si="420"/>
        <v>0</v>
      </c>
      <c r="R413" s="192">
        <f t="shared" si="420"/>
        <v>0</v>
      </c>
      <c r="S413" s="192">
        <f t="shared" si="420"/>
        <v>0</v>
      </c>
      <c r="T413" s="194">
        <f>SUM(N413:S413)</f>
        <v>0</v>
      </c>
      <c r="U413" s="194">
        <f>T413+L413</f>
        <v>0</v>
      </c>
      <c r="V413" s="192">
        <f>V430+V460</f>
        <v>0</v>
      </c>
      <c r="W413" s="192">
        <f>V413-U413</f>
        <v>0</v>
      </c>
    </row>
    <row r="414" spans="1:28" s="172" customFormat="1" ht="18" hidden="1" customHeight="1">
      <c r="A414" s="583"/>
      <c r="B414" s="657"/>
      <c r="C414" s="658"/>
      <c r="D414" s="174" t="str">
        <f>серпень!D337</f>
        <v>абоненська плата, тис.грн.</v>
      </c>
      <c r="E414" s="192"/>
      <c r="F414" s="192"/>
      <c r="G414" s="192"/>
      <c r="H414" s="192"/>
      <c r="I414" s="192"/>
      <c r="J414" s="192"/>
      <c r="K414" s="192"/>
      <c r="L414" s="194"/>
      <c r="M414" s="194"/>
      <c r="N414" s="192"/>
      <c r="O414" s="192"/>
      <c r="P414" s="192"/>
      <c r="Q414" s="192"/>
      <c r="R414" s="192"/>
      <c r="S414" s="192"/>
      <c r="T414" s="194"/>
      <c r="U414" s="194"/>
      <c r="V414" s="192"/>
      <c r="W414" s="192"/>
    </row>
    <row r="415" spans="1:28" s="172" customFormat="1" ht="18" hidden="1" customHeight="1">
      <c r="A415" s="583"/>
      <c r="B415" s="657"/>
      <c r="C415" s="658"/>
      <c r="D415" s="174" t="str">
        <f>серпень!D338</f>
        <v>разом сума тис. грн+абонплата</v>
      </c>
      <c r="E415" s="192"/>
      <c r="F415" s="192">
        <f>F445</f>
        <v>0</v>
      </c>
      <c r="G415" s="192">
        <f t="shared" ref="G415:K415" si="421">G445</f>
        <v>0</v>
      </c>
      <c r="H415" s="192">
        <f t="shared" si="421"/>
        <v>0</v>
      </c>
      <c r="I415" s="192">
        <f t="shared" si="421"/>
        <v>0</v>
      </c>
      <c r="J415" s="192">
        <f t="shared" si="421"/>
        <v>0</v>
      </c>
      <c r="K415" s="192">
        <f t="shared" si="421"/>
        <v>0</v>
      </c>
      <c r="L415" s="194">
        <f>SUM(F415:K415)</f>
        <v>0</v>
      </c>
      <c r="M415" s="194">
        <f>L415/6</f>
        <v>0</v>
      </c>
      <c r="N415" s="192">
        <f t="shared" ref="N415:S415" si="422">N445</f>
        <v>0</v>
      </c>
      <c r="O415" s="192">
        <f t="shared" si="422"/>
        <v>0</v>
      </c>
      <c r="P415" s="192">
        <f t="shared" si="422"/>
        <v>0</v>
      </c>
      <c r="Q415" s="192">
        <f t="shared" si="422"/>
        <v>0</v>
      </c>
      <c r="R415" s="192">
        <f t="shared" si="422"/>
        <v>0</v>
      </c>
      <c r="S415" s="192">
        <f t="shared" si="422"/>
        <v>0</v>
      </c>
      <c r="T415" s="194">
        <f>SUM(N415:S415)</f>
        <v>0</v>
      </c>
      <c r="U415" s="194">
        <f>T415+L415</f>
        <v>0</v>
      </c>
      <c r="V415" s="192">
        <f t="shared" ref="V415" si="423">V445</f>
        <v>0</v>
      </c>
      <c r="W415" s="192">
        <f>V415-U415</f>
        <v>0</v>
      </c>
    </row>
    <row r="416" spans="1:28" s="172" customFormat="1" ht="18" hidden="1" customHeight="1">
      <c r="A416" s="583"/>
      <c r="B416" s="657"/>
      <c r="C416" s="658"/>
      <c r="D416" s="174" t="str">
        <f>серпень!D339</f>
        <v>дотація</v>
      </c>
      <c r="E416" s="192"/>
      <c r="F416" s="192">
        <f t="shared" ref="F416:K418" si="424">F431+F446+F461</f>
        <v>0</v>
      </c>
      <c r="G416" s="192">
        <f t="shared" si="424"/>
        <v>0</v>
      </c>
      <c r="H416" s="192">
        <f t="shared" si="424"/>
        <v>0</v>
      </c>
      <c r="I416" s="192">
        <f t="shared" si="424"/>
        <v>0</v>
      </c>
      <c r="J416" s="192">
        <f t="shared" si="424"/>
        <v>0</v>
      </c>
      <c r="K416" s="192">
        <f t="shared" si="424"/>
        <v>0</v>
      </c>
      <c r="L416" s="194">
        <f>SUM(F416:K416)</f>
        <v>0</v>
      </c>
      <c r="M416" s="194">
        <f>L416/6</f>
        <v>0</v>
      </c>
      <c r="N416" s="192">
        <f t="shared" ref="N416:S418" si="425">N431+N446+N461</f>
        <v>0</v>
      </c>
      <c r="O416" s="192">
        <f t="shared" si="425"/>
        <v>0</v>
      </c>
      <c r="P416" s="192">
        <f t="shared" si="425"/>
        <v>0</v>
      </c>
      <c r="Q416" s="192">
        <f t="shared" si="425"/>
        <v>0</v>
      </c>
      <c r="R416" s="192">
        <f t="shared" si="425"/>
        <v>0</v>
      </c>
      <c r="S416" s="192">
        <f t="shared" si="425"/>
        <v>0</v>
      </c>
      <c r="T416" s="194">
        <f>SUM(N416:S416)</f>
        <v>0</v>
      </c>
      <c r="U416" s="194">
        <f>T416+L416</f>
        <v>0</v>
      </c>
      <c r="V416" s="192">
        <f>V431+V461</f>
        <v>0</v>
      </c>
      <c r="W416" s="192">
        <f>V416-U416</f>
        <v>0</v>
      </c>
    </row>
    <row r="417" spans="1:28" s="172" customFormat="1" ht="18" hidden="1" customHeight="1">
      <c r="A417" s="583"/>
      <c r="B417" s="657"/>
      <c r="C417" s="658"/>
      <c r="D417" s="174" t="str">
        <f>серпень!D340</f>
        <v>місцевий (план), тис.грн</v>
      </c>
      <c r="E417" s="192"/>
      <c r="F417" s="192">
        <f t="shared" si="424"/>
        <v>0</v>
      </c>
      <c r="G417" s="192">
        <f t="shared" si="424"/>
        <v>0</v>
      </c>
      <c r="H417" s="192">
        <f t="shared" si="424"/>
        <v>0</v>
      </c>
      <c r="I417" s="192">
        <f t="shared" si="424"/>
        <v>0</v>
      </c>
      <c r="J417" s="192">
        <f t="shared" si="424"/>
        <v>0</v>
      </c>
      <c r="K417" s="192">
        <f t="shared" si="424"/>
        <v>0</v>
      </c>
      <c r="L417" s="194">
        <f>SUM(F417:K417)</f>
        <v>0</v>
      </c>
      <c r="M417" s="194">
        <f>L417/6</f>
        <v>0</v>
      </c>
      <c r="N417" s="192">
        <f t="shared" si="425"/>
        <v>0</v>
      </c>
      <c r="O417" s="192">
        <f t="shared" si="425"/>
        <v>0</v>
      </c>
      <c r="P417" s="192">
        <f t="shared" si="425"/>
        <v>0</v>
      </c>
      <c r="Q417" s="192">
        <f t="shared" si="425"/>
        <v>0</v>
      </c>
      <c r="R417" s="192">
        <f t="shared" si="425"/>
        <v>0</v>
      </c>
      <c r="S417" s="192">
        <f t="shared" si="425"/>
        <v>0</v>
      </c>
      <c r="T417" s="194">
        <f>SUM(N417:S417)</f>
        <v>0</v>
      </c>
      <c r="U417" s="194">
        <f>T417+L417</f>
        <v>0</v>
      </c>
      <c r="V417" s="192">
        <f>V432+V462</f>
        <v>0</v>
      </c>
      <c r="W417" s="192">
        <f>V417-U417</f>
        <v>0</v>
      </c>
    </row>
    <row r="418" spans="1:28" s="157" customFormat="1" ht="18" hidden="1" customHeight="1">
      <c r="A418" s="583"/>
      <c r="B418" s="657"/>
      <c r="C418" s="658"/>
      <c r="D418" s="178" t="str">
        <f>серпень!D341</f>
        <v>касові нат.п-ки 2025</v>
      </c>
      <c r="E418" s="179">
        <f>E433</f>
        <v>0</v>
      </c>
      <c r="F418" s="179">
        <f t="shared" si="424"/>
        <v>0</v>
      </c>
      <c r="G418" s="179">
        <f t="shared" si="424"/>
        <v>0</v>
      </c>
      <c r="H418" s="179">
        <f t="shared" si="424"/>
        <v>0</v>
      </c>
      <c r="I418" s="179">
        <f t="shared" si="424"/>
        <v>0</v>
      </c>
      <c r="J418" s="179">
        <f t="shared" si="424"/>
        <v>0</v>
      </c>
      <c r="K418" s="179">
        <f t="shared" si="424"/>
        <v>0</v>
      </c>
      <c r="L418" s="215">
        <f>SUM(F418:K418)</f>
        <v>0</v>
      </c>
      <c r="M418" s="215">
        <f>L418/6</f>
        <v>0</v>
      </c>
      <c r="N418" s="179">
        <f t="shared" si="425"/>
        <v>0</v>
      </c>
      <c r="O418" s="179">
        <f t="shared" si="425"/>
        <v>0</v>
      </c>
      <c r="P418" s="179">
        <f t="shared" si="425"/>
        <v>0</v>
      </c>
      <c r="Q418" s="179">
        <f t="shared" si="425"/>
        <v>0</v>
      </c>
      <c r="R418" s="179">
        <f t="shared" si="425"/>
        <v>0</v>
      </c>
      <c r="S418" s="179">
        <f t="shared" si="425"/>
        <v>0</v>
      </c>
      <c r="T418" s="215">
        <f>SUM(N418:S418)</f>
        <v>0</v>
      </c>
      <c r="U418" s="215">
        <f>T418+L418</f>
        <v>0</v>
      </c>
      <c r="V418" s="179">
        <f>V433+V463</f>
        <v>0</v>
      </c>
      <c r="W418" s="184">
        <f>V418-U418</f>
        <v>0</v>
      </c>
      <c r="X418" s="209">
        <f>U411-U418</f>
        <v>0</v>
      </c>
    </row>
    <row r="419" spans="1:28" s="241" customFormat="1" ht="18" hidden="1" customHeight="1">
      <c r="A419" s="583"/>
      <c r="B419" s="657"/>
      <c r="C419" s="658"/>
      <c r="D419" s="187" t="str">
        <f>серпень!D342</f>
        <v>тариф, грн.</v>
      </c>
      <c r="E419" s="188" t="e">
        <f t="shared" ref="E419:S419" si="426">E420/E418*1000</f>
        <v>#DIV/0!</v>
      </c>
      <c r="F419" s="188" t="e">
        <f t="shared" si="426"/>
        <v>#DIV/0!</v>
      </c>
      <c r="G419" s="188" t="e">
        <f t="shared" si="426"/>
        <v>#DIV/0!</v>
      </c>
      <c r="H419" s="188" t="e">
        <f t="shared" si="426"/>
        <v>#DIV/0!</v>
      </c>
      <c r="I419" s="188" t="e">
        <f t="shared" si="426"/>
        <v>#DIV/0!</v>
      </c>
      <c r="J419" s="188" t="e">
        <f t="shared" si="426"/>
        <v>#DIV/0!</v>
      </c>
      <c r="K419" s="188" t="e">
        <f t="shared" si="426"/>
        <v>#DIV/0!</v>
      </c>
      <c r="L419" s="188" t="e">
        <f t="shared" si="426"/>
        <v>#DIV/0!</v>
      </c>
      <c r="M419" s="188" t="e">
        <f t="shared" si="426"/>
        <v>#DIV/0!</v>
      </c>
      <c r="N419" s="188" t="e">
        <f t="shared" si="426"/>
        <v>#DIV/0!</v>
      </c>
      <c r="O419" s="188" t="e">
        <f t="shared" si="426"/>
        <v>#DIV/0!</v>
      </c>
      <c r="P419" s="188" t="e">
        <f t="shared" si="426"/>
        <v>#DIV/0!</v>
      </c>
      <c r="Q419" s="188" t="e">
        <f t="shared" si="426"/>
        <v>#DIV/0!</v>
      </c>
      <c r="R419" s="188" t="e">
        <f t="shared" si="426"/>
        <v>#DIV/0!</v>
      </c>
      <c r="S419" s="188" t="e">
        <f t="shared" si="426"/>
        <v>#DIV/0!</v>
      </c>
      <c r="T419" s="188" t="e">
        <f>T420/T418*1000</f>
        <v>#DIV/0!</v>
      </c>
      <c r="U419" s="188" t="e">
        <f>U420/U418*1000</f>
        <v>#DIV/0!</v>
      </c>
      <c r="V419" s="188" t="e">
        <f>V420/V418*1000</f>
        <v>#DIV/0!</v>
      </c>
      <c r="W419" s="189" t="e">
        <f>W420/W418*1000</f>
        <v>#DIV/0!</v>
      </c>
      <c r="X419" s="240"/>
    </row>
    <row r="420" spans="1:28" s="213" customFormat="1" ht="18" hidden="1" customHeight="1">
      <c r="A420" s="583"/>
      <c r="B420" s="657"/>
      <c r="C420" s="658"/>
      <c r="D420" s="198" t="str">
        <f>серпень!D343</f>
        <v>касові видатки, тис.грн.</v>
      </c>
      <c r="E420" s="220">
        <f>E435+E465</f>
        <v>0</v>
      </c>
      <c r="F420" s="199">
        <f t="shared" ref="F420:K422" si="427">F435+F450+F465</f>
        <v>0</v>
      </c>
      <c r="G420" s="199">
        <f t="shared" si="427"/>
        <v>0</v>
      </c>
      <c r="H420" s="199">
        <f t="shared" si="427"/>
        <v>0</v>
      </c>
      <c r="I420" s="199">
        <f t="shared" si="427"/>
        <v>0</v>
      </c>
      <c r="J420" s="199">
        <f t="shared" si="427"/>
        <v>0</v>
      </c>
      <c r="K420" s="199">
        <f t="shared" si="427"/>
        <v>0</v>
      </c>
      <c r="L420" s="199">
        <f>SUM(F420:K420)</f>
        <v>0</v>
      </c>
      <c r="M420" s="199">
        <f>L420/6</f>
        <v>0</v>
      </c>
      <c r="N420" s="199">
        <f t="shared" ref="N420:S422" si="428">N435+N450+N465</f>
        <v>0</v>
      </c>
      <c r="O420" s="199">
        <f t="shared" si="428"/>
        <v>0</v>
      </c>
      <c r="P420" s="199">
        <f t="shared" si="428"/>
        <v>0</v>
      </c>
      <c r="Q420" s="199">
        <f t="shared" si="428"/>
        <v>0</v>
      </c>
      <c r="R420" s="199">
        <f t="shared" si="428"/>
        <v>0</v>
      </c>
      <c r="S420" s="199">
        <f t="shared" si="428"/>
        <v>0</v>
      </c>
      <c r="T420" s="199">
        <f>SUM(N420:S420)</f>
        <v>0</v>
      </c>
      <c r="U420" s="199">
        <f>T420+L420</f>
        <v>0</v>
      </c>
      <c r="V420" s="199">
        <f>V435+V465</f>
        <v>0</v>
      </c>
      <c r="W420" s="221">
        <f>V420-U420</f>
        <v>0</v>
      </c>
      <c r="X420" s="213">
        <f>U413-U420</f>
        <v>0</v>
      </c>
    </row>
    <row r="421" spans="1:28" s="213" customFormat="1" ht="18" hidden="1" customHeight="1">
      <c r="A421" s="583"/>
      <c r="B421" s="657"/>
      <c r="C421" s="658"/>
      <c r="D421" s="201" t="str">
        <f>серпень!D344</f>
        <v>дотація</v>
      </c>
      <c r="E421" s="220"/>
      <c r="F421" s="199">
        <f t="shared" si="427"/>
        <v>0</v>
      </c>
      <c r="G421" s="199">
        <f t="shared" si="427"/>
        <v>0</v>
      </c>
      <c r="H421" s="199">
        <f t="shared" si="427"/>
        <v>0</v>
      </c>
      <c r="I421" s="199">
        <f t="shared" si="427"/>
        <v>0</v>
      </c>
      <c r="J421" s="199">
        <f t="shared" si="427"/>
        <v>0</v>
      </c>
      <c r="K421" s="199">
        <f t="shared" si="427"/>
        <v>0</v>
      </c>
      <c r="L421" s="199">
        <f>SUM(F421:K421)</f>
        <v>0</v>
      </c>
      <c r="M421" s="199">
        <f>L421/6</f>
        <v>0</v>
      </c>
      <c r="N421" s="199">
        <f t="shared" si="428"/>
        <v>0</v>
      </c>
      <c r="O421" s="199">
        <f t="shared" si="428"/>
        <v>0</v>
      </c>
      <c r="P421" s="199">
        <f t="shared" si="428"/>
        <v>0</v>
      </c>
      <c r="Q421" s="199">
        <f t="shared" si="428"/>
        <v>0</v>
      </c>
      <c r="R421" s="199">
        <f t="shared" si="428"/>
        <v>0</v>
      </c>
      <c r="S421" s="199">
        <f t="shared" si="428"/>
        <v>0</v>
      </c>
      <c r="T421" s="199">
        <f>SUM(N421:S421)</f>
        <v>0</v>
      </c>
      <c r="U421" s="199">
        <f>T421+L421</f>
        <v>0</v>
      </c>
      <c r="V421" s="199">
        <f>V436+V466</f>
        <v>0</v>
      </c>
      <c r="W421" s="221">
        <f>V421-U421</f>
        <v>0</v>
      </c>
      <c r="X421" s="213">
        <f>U416-U421</f>
        <v>0</v>
      </c>
    </row>
    <row r="422" spans="1:28" s="213" customFormat="1" ht="18" hidden="1" customHeight="1">
      <c r="A422" s="583"/>
      <c r="B422" s="657"/>
      <c r="C422" s="658"/>
      <c r="D422" s="201" t="str">
        <f>серпень!D345</f>
        <v xml:space="preserve">місцевий </v>
      </c>
      <c r="E422" s="220"/>
      <c r="F422" s="199">
        <f t="shared" si="427"/>
        <v>0</v>
      </c>
      <c r="G422" s="199">
        <f t="shared" si="427"/>
        <v>0</v>
      </c>
      <c r="H422" s="199">
        <f t="shared" si="427"/>
        <v>0</v>
      </c>
      <c r="I422" s="199">
        <f t="shared" si="427"/>
        <v>0</v>
      </c>
      <c r="J422" s="199">
        <f t="shared" si="427"/>
        <v>0</v>
      </c>
      <c r="K422" s="199">
        <f t="shared" si="427"/>
        <v>0</v>
      </c>
      <c r="L422" s="199">
        <f>SUM(F422:K422)</f>
        <v>0</v>
      </c>
      <c r="M422" s="199">
        <f>L422/6</f>
        <v>0</v>
      </c>
      <c r="N422" s="199">
        <f t="shared" si="428"/>
        <v>0</v>
      </c>
      <c r="O422" s="199">
        <f t="shared" si="428"/>
        <v>0</v>
      </c>
      <c r="P422" s="199">
        <f t="shared" si="428"/>
        <v>0</v>
      </c>
      <c r="Q422" s="199">
        <f t="shared" si="428"/>
        <v>0</v>
      </c>
      <c r="R422" s="199">
        <f t="shared" si="428"/>
        <v>0</v>
      </c>
      <c r="S422" s="199">
        <f t="shared" si="428"/>
        <v>0</v>
      </c>
      <c r="T422" s="199">
        <f>SUM(N422:S422)</f>
        <v>0</v>
      </c>
      <c r="U422" s="199">
        <f>T422+L422</f>
        <v>0</v>
      </c>
      <c r="V422" s="199">
        <f>V437+V467</f>
        <v>0</v>
      </c>
      <c r="W422" s="221">
        <f>V422-U422</f>
        <v>0</v>
      </c>
      <c r="X422" s="213">
        <f>U417-U422</f>
        <v>0</v>
      </c>
    </row>
    <row r="423" spans="1:28" s="214" customFormat="1" ht="18" hidden="1" customHeight="1">
      <c r="A423" s="583"/>
      <c r="B423" s="657"/>
      <c r="C423" s="658"/>
      <c r="D423" s="202" t="str">
        <f>серпень!D346</f>
        <v>план</v>
      </c>
      <c r="E423" s="203"/>
      <c r="F423" s="203">
        <f t="shared" ref="F423:K423" si="429">F417</f>
        <v>0</v>
      </c>
      <c r="G423" s="203">
        <f t="shared" si="429"/>
        <v>0</v>
      </c>
      <c r="H423" s="203">
        <f t="shared" si="429"/>
        <v>0</v>
      </c>
      <c r="I423" s="203">
        <f t="shared" si="429"/>
        <v>0</v>
      </c>
      <c r="J423" s="203">
        <f t="shared" si="429"/>
        <v>0</v>
      </c>
      <c r="K423" s="203">
        <f t="shared" si="429"/>
        <v>0</v>
      </c>
      <c r="L423" s="203">
        <f>SUM(F423:K423)</f>
        <v>0</v>
      </c>
      <c r="M423" s="203">
        <f>L423/6</f>
        <v>0</v>
      </c>
      <c r="N423" s="203">
        <f t="shared" ref="N423:S423" si="430">N438+N468</f>
        <v>0</v>
      </c>
      <c r="O423" s="203">
        <f t="shared" si="430"/>
        <v>0</v>
      </c>
      <c r="P423" s="203">
        <f t="shared" si="430"/>
        <v>0</v>
      </c>
      <c r="Q423" s="203">
        <f t="shared" si="430"/>
        <v>0</v>
      </c>
      <c r="R423" s="203">
        <f t="shared" si="430"/>
        <v>0</v>
      </c>
      <c r="S423" s="203">
        <f t="shared" si="430"/>
        <v>0</v>
      </c>
      <c r="T423" s="203">
        <f>SUM(N423:S423)</f>
        <v>0</v>
      </c>
      <c r="U423" s="203">
        <f>T423+L423</f>
        <v>0</v>
      </c>
      <c r="V423" s="203">
        <f>V417+V416</f>
        <v>0</v>
      </c>
      <c r="W423" s="203">
        <f>V423-U423</f>
        <v>0</v>
      </c>
    </row>
    <row r="424" spans="1:28" s="214" customFormat="1" ht="18" hidden="1" customHeight="1">
      <c r="A424" s="583"/>
      <c r="B424" s="657"/>
      <c r="C424" s="658"/>
      <c r="D424" s="202" t="str">
        <f>серпень!D347</f>
        <v xml:space="preserve">відхилення </v>
      </c>
      <c r="E424" s="203"/>
      <c r="F424" s="203">
        <f t="shared" ref="F424:K424" si="431">F420-F423</f>
        <v>0</v>
      </c>
      <c r="G424" s="203">
        <f t="shared" si="431"/>
        <v>0</v>
      </c>
      <c r="H424" s="203">
        <f t="shared" si="431"/>
        <v>0</v>
      </c>
      <c r="I424" s="203">
        <f t="shared" si="431"/>
        <v>0</v>
      </c>
      <c r="J424" s="203">
        <f t="shared" si="431"/>
        <v>0</v>
      </c>
      <c r="K424" s="203">
        <f t="shared" si="431"/>
        <v>0</v>
      </c>
      <c r="L424" s="203"/>
      <c r="M424" s="203"/>
      <c r="N424" s="203">
        <f t="shared" ref="N424:S424" si="432">N420-N423</f>
        <v>0</v>
      </c>
      <c r="O424" s="203">
        <f t="shared" si="432"/>
        <v>0</v>
      </c>
      <c r="P424" s="203">
        <f t="shared" si="432"/>
        <v>0</v>
      </c>
      <c r="Q424" s="203">
        <f t="shared" si="432"/>
        <v>0</v>
      </c>
      <c r="R424" s="203">
        <f t="shared" si="432"/>
        <v>0</v>
      </c>
      <c r="S424" s="203">
        <f t="shared" si="432"/>
        <v>0</v>
      </c>
      <c r="T424" s="203"/>
      <c r="U424" s="203"/>
      <c r="V424" s="203"/>
      <c r="W424" s="203"/>
    </row>
    <row r="425" spans="1:28" s="214" customFormat="1" ht="18" hidden="1" customHeight="1">
      <c r="A425" s="583"/>
      <c r="B425" s="657"/>
      <c r="C425" s="658"/>
      <c r="D425" s="202" t="str">
        <f>серпень!D348</f>
        <v>відхилення з наростаючим</v>
      </c>
      <c r="E425" s="203"/>
      <c r="F425" s="203">
        <f>F424</f>
        <v>0</v>
      </c>
      <c r="G425" s="203">
        <f>G424+F425</f>
        <v>0</v>
      </c>
      <c r="H425" s="203">
        <f>H424+G425</f>
        <v>0</v>
      </c>
      <c r="I425" s="203">
        <f>I424+H425</f>
        <v>0</v>
      </c>
      <c r="J425" s="203">
        <f>J424+I425</f>
        <v>0</v>
      </c>
      <c r="K425" s="203">
        <f>K424+J425</f>
        <v>0</v>
      </c>
      <c r="L425" s="203"/>
      <c r="M425" s="203"/>
      <c r="N425" s="203">
        <f>N424+K425</f>
        <v>0</v>
      </c>
      <c r="O425" s="203">
        <f>O424+N425</f>
        <v>0</v>
      </c>
      <c r="P425" s="203">
        <f>P424+O425</f>
        <v>0</v>
      </c>
      <c r="Q425" s="203">
        <f>Q424+P425</f>
        <v>0</v>
      </c>
      <c r="R425" s="203">
        <f>R424+Q425</f>
        <v>0</v>
      </c>
      <c r="S425" s="203">
        <f>S424+R425</f>
        <v>0</v>
      </c>
      <c r="T425" s="203"/>
      <c r="U425" s="203"/>
      <c r="V425" s="203"/>
      <c r="W425" s="203"/>
    </row>
    <row r="426" spans="1:28" s="10" customFormat="1" ht="18" hidden="1" customHeight="1">
      <c r="A426" s="583"/>
      <c r="B426" s="581" t="s">
        <v>37</v>
      </c>
      <c r="C426" s="581"/>
      <c r="D426" s="178" t="str">
        <f>серпень!D349</f>
        <v>факт. нат.п-ки 2023</v>
      </c>
      <c r="E426" s="11"/>
      <c r="F426" s="12"/>
      <c r="G426" s="12"/>
      <c r="H426" s="12"/>
      <c r="I426" s="12"/>
      <c r="J426" s="12"/>
      <c r="K426" s="12"/>
      <c r="L426" s="65">
        <f>SUM(F426:K426)</f>
        <v>0</v>
      </c>
      <c r="M426" s="65">
        <f>L426/6</f>
        <v>0</v>
      </c>
      <c r="N426" s="12"/>
      <c r="O426" s="12"/>
      <c r="P426" s="12"/>
      <c r="Q426" s="12"/>
      <c r="R426" s="12"/>
      <c r="S426" s="12"/>
      <c r="T426" s="65">
        <f>SUM(N426:S426)</f>
        <v>0</v>
      </c>
      <c r="U426" s="65">
        <f>T426+L426</f>
        <v>0</v>
      </c>
      <c r="V426" s="67"/>
      <c r="W426" s="38"/>
      <c r="X426" s="36"/>
    </row>
    <row r="427" spans="1:28" s="48" customFormat="1" ht="18" hidden="1" customHeight="1">
      <c r="A427" s="583"/>
      <c r="B427" s="581"/>
      <c r="C427" s="581"/>
      <c r="D427" s="178" t="str">
        <f>серпень!D350</f>
        <v>факт. нат.п-ки 2024</v>
      </c>
      <c r="E427" s="11"/>
      <c r="F427" s="12"/>
      <c r="G427" s="12"/>
      <c r="H427" s="12"/>
      <c r="I427" s="12"/>
      <c r="J427" s="12"/>
      <c r="K427" s="12"/>
      <c r="L427" s="65">
        <f>SUM(F427:K427)</f>
        <v>0</v>
      </c>
      <c r="M427" s="65">
        <f>L427/6</f>
        <v>0</v>
      </c>
      <c r="N427" s="11"/>
      <c r="O427" s="11"/>
      <c r="P427" s="11"/>
      <c r="Q427" s="11"/>
      <c r="R427" s="11"/>
      <c r="S427" s="11"/>
      <c r="T427" s="65">
        <f>SUM(N427:S427)</f>
        <v>0</v>
      </c>
      <c r="U427" s="65">
        <f>T427+L427</f>
        <v>0</v>
      </c>
      <c r="V427" s="67"/>
      <c r="W427" s="38"/>
      <c r="X427" s="47"/>
    </row>
    <row r="428" spans="1:28" s="10" customFormat="1" ht="18" hidden="1" customHeight="1">
      <c r="A428" s="583"/>
      <c r="B428" s="581"/>
      <c r="C428" s="581"/>
      <c r="D428" s="178" t="str">
        <f>серпень!D351</f>
        <v>факт. нат.п-ки 2025</v>
      </c>
      <c r="E428" s="11"/>
      <c r="F428" s="12"/>
      <c r="G428" s="12"/>
      <c r="H428" s="12"/>
      <c r="I428" s="12"/>
      <c r="J428" s="12"/>
      <c r="K428" s="12"/>
      <c r="L428" s="65">
        <f>SUM(F428:K428)</f>
        <v>0</v>
      </c>
      <c r="M428" s="65">
        <f>L428/6</f>
        <v>0</v>
      </c>
      <c r="N428" s="12"/>
      <c r="O428" s="12"/>
      <c r="P428" s="12"/>
      <c r="Q428" s="12"/>
      <c r="R428" s="12"/>
      <c r="S428" s="11"/>
      <c r="T428" s="65">
        <f>SUM(N428:S428)</f>
        <v>0</v>
      </c>
      <c r="U428" s="65">
        <f>T428+L428</f>
        <v>0</v>
      </c>
      <c r="V428" s="11"/>
      <c r="W428" s="38">
        <f>V428-U428</f>
        <v>0</v>
      </c>
      <c r="X428" s="36"/>
      <c r="Y428" s="3"/>
      <c r="Z428" s="3"/>
      <c r="AA428" s="3"/>
      <c r="AB428" s="3"/>
    </row>
    <row r="429" spans="1:28" s="114" customFormat="1" ht="18" hidden="1" customHeight="1">
      <c r="A429" s="583"/>
      <c r="B429" s="581"/>
      <c r="C429" s="581"/>
      <c r="D429" s="187" t="str">
        <f>серпень!D352</f>
        <v>тариф, грн.</v>
      </c>
      <c r="E429" s="49"/>
      <c r="F429" s="49">
        <v>14.183999999999999</v>
      </c>
      <c r="G429" s="49">
        <v>14.183999999999999</v>
      </c>
      <c r="H429" s="49">
        <v>14.183999999999999</v>
      </c>
      <c r="I429" s="49">
        <v>14.183999999999999</v>
      </c>
      <c r="J429" s="49">
        <v>14.183999999999999</v>
      </c>
      <c r="K429" s="49">
        <v>14.183999999999999</v>
      </c>
      <c r="L429" s="68" t="e">
        <f>L430/L428*1000</f>
        <v>#DIV/0!</v>
      </c>
      <c r="M429" s="68" t="e">
        <f>M430/M428*1000</f>
        <v>#DIV/0!</v>
      </c>
      <c r="N429" s="49">
        <v>14.183999999999999</v>
      </c>
      <c r="O429" s="49">
        <v>14.183999999999999</v>
      </c>
      <c r="P429" s="49">
        <v>14.183999999999999</v>
      </c>
      <c r="Q429" s="49">
        <v>14.183999999999999</v>
      </c>
      <c r="R429" s="49">
        <v>14.183999999999999</v>
      </c>
      <c r="S429" s="49">
        <v>14.183999999999999</v>
      </c>
      <c r="T429" s="68" t="e">
        <f>T430/T428*1000</f>
        <v>#DIV/0!</v>
      </c>
      <c r="U429" s="68" t="e">
        <f>U430/U428*1000</f>
        <v>#DIV/0!</v>
      </c>
      <c r="V429" s="68" t="e">
        <f>V430/V428*1000</f>
        <v>#DIV/0!</v>
      </c>
      <c r="W429" s="14" t="e">
        <f>W430/W428*1000</f>
        <v>#DIV/0!</v>
      </c>
      <c r="X429" s="36"/>
      <c r="Y429" s="3"/>
      <c r="Z429" s="3"/>
      <c r="AA429" s="3"/>
      <c r="AB429" s="3"/>
    </row>
    <row r="430" spans="1:28" s="114" customFormat="1" ht="18" hidden="1" customHeight="1">
      <c r="A430" s="583"/>
      <c r="B430" s="581"/>
      <c r="C430" s="581"/>
      <c r="D430" s="191" t="str">
        <f>серпень!D353</f>
        <v>сума, тис.грн.</v>
      </c>
      <c r="E430" s="52"/>
      <c r="F430" s="52">
        <f t="shared" ref="F430:K430" si="433">F428*F429/1000</f>
        <v>0</v>
      </c>
      <c r="G430" s="52">
        <f t="shared" si="433"/>
        <v>0</v>
      </c>
      <c r="H430" s="52">
        <f t="shared" si="433"/>
        <v>0</v>
      </c>
      <c r="I430" s="52">
        <f t="shared" si="433"/>
        <v>0</v>
      </c>
      <c r="J430" s="52">
        <f t="shared" si="433"/>
        <v>0</v>
      </c>
      <c r="K430" s="52">
        <f t="shared" si="433"/>
        <v>0</v>
      </c>
      <c r="L430" s="69">
        <f>SUM(F430:K430)</f>
        <v>0</v>
      </c>
      <c r="M430" s="69">
        <f>L430/6</f>
        <v>0</v>
      </c>
      <c r="N430" s="52">
        <f t="shared" ref="N430:S430" si="434">N428*N429/1000</f>
        <v>0</v>
      </c>
      <c r="O430" s="52">
        <f t="shared" si="434"/>
        <v>0</v>
      </c>
      <c r="P430" s="52">
        <f t="shared" si="434"/>
        <v>0</v>
      </c>
      <c r="Q430" s="52">
        <f t="shared" si="434"/>
        <v>0</v>
      </c>
      <c r="R430" s="52">
        <f t="shared" si="434"/>
        <v>0</v>
      </c>
      <c r="S430" s="52">
        <f t="shared" si="434"/>
        <v>0</v>
      </c>
      <c r="T430" s="69">
        <f>SUM(N430:S430)</f>
        <v>0</v>
      </c>
      <c r="U430" s="69">
        <f>T430+L430</f>
        <v>0</v>
      </c>
      <c r="V430" s="70">
        <f>V432+V431</f>
        <v>0</v>
      </c>
      <c r="W430" s="53">
        <f>V430-U430</f>
        <v>0</v>
      </c>
      <c r="X430" s="113"/>
    </row>
    <row r="431" spans="1:28" s="114" customFormat="1" ht="18" hidden="1" customHeight="1">
      <c r="A431" s="583"/>
      <c r="B431" s="581"/>
      <c r="C431" s="581"/>
      <c r="D431" s="174" t="str">
        <f>серпень!D354</f>
        <v>дотація</v>
      </c>
      <c r="E431" s="56"/>
      <c r="F431" s="52"/>
      <c r="G431" s="52"/>
      <c r="H431" s="52"/>
      <c r="I431" s="52"/>
      <c r="J431" s="52"/>
      <c r="K431" s="52"/>
      <c r="L431" s="69">
        <f>SUM(F431:K431)</f>
        <v>0</v>
      </c>
      <c r="M431" s="69">
        <f>L431/6</f>
        <v>0</v>
      </c>
      <c r="N431" s="52"/>
      <c r="O431" s="52"/>
      <c r="P431" s="52"/>
      <c r="Q431" s="52"/>
      <c r="R431" s="52"/>
      <c r="S431" s="52"/>
      <c r="T431" s="69">
        <f>SUM(N431:S431)</f>
        <v>0</v>
      </c>
      <c r="U431" s="69">
        <f>T431+L431</f>
        <v>0</v>
      </c>
      <c r="V431" s="70">
        <v>0</v>
      </c>
      <c r="W431" s="53">
        <f>V431-U431</f>
        <v>0</v>
      </c>
      <c r="X431" s="113"/>
    </row>
    <row r="432" spans="1:28" s="114" customFormat="1" ht="18" hidden="1" customHeight="1">
      <c r="A432" s="583"/>
      <c r="B432" s="581"/>
      <c r="C432" s="581"/>
      <c r="D432" s="174" t="str">
        <f>серпень!D355</f>
        <v>місцевий (план), тис.грн</v>
      </c>
      <c r="E432" s="56"/>
      <c r="F432" s="52"/>
      <c r="G432" s="52"/>
      <c r="H432" s="52"/>
      <c r="I432" s="52"/>
      <c r="J432" s="52"/>
      <c r="K432" s="52"/>
      <c r="L432" s="69">
        <f>SUM(F432:K432)</f>
        <v>0</v>
      </c>
      <c r="M432" s="69">
        <f>L432/6</f>
        <v>0</v>
      </c>
      <c r="N432" s="52"/>
      <c r="O432" s="52"/>
      <c r="P432" s="52"/>
      <c r="Q432" s="52"/>
      <c r="R432" s="52"/>
      <c r="S432" s="52"/>
      <c r="T432" s="69">
        <f>SUM(N432:S432)</f>
        <v>0</v>
      </c>
      <c r="U432" s="69">
        <f>T432+L432</f>
        <v>0</v>
      </c>
      <c r="V432" s="70"/>
      <c r="W432" s="53">
        <f>V432-U432</f>
        <v>0</v>
      </c>
      <c r="X432" s="113"/>
    </row>
    <row r="433" spans="1:28" s="3" customFormat="1" ht="18" hidden="1" customHeight="1">
      <c r="A433" s="583"/>
      <c r="B433" s="581"/>
      <c r="C433" s="581"/>
      <c r="D433" s="178" t="str">
        <f>серпень!D356</f>
        <v>касові нат.п-ки 2025</v>
      </c>
      <c r="E433" s="11"/>
      <c r="F433" s="11"/>
      <c r="G433" s="11"/>
      <c r="H433" s="11"/>
      <c r="I433" s="11"/>
      <c r="J433" s="11"/>
      <c r="K433" s="11"/>
      <c r="L433" s="65">
        <f>SUM(F433:K433)</f>
        <v>0</v>
      </c>
      <c r="M433" s="65">
        <f>L433/6</f>
        <v>0</v>
      </c>
      <c r="N433" s="11"/>
      <c r="O433" s="11"/>
      <c r="P433" s="11"/>
      <c r="Q433" s="11"/>
      <c r="R433" s="11"/>
      <c r="S433" s="11"/>
      <c r="T433" s="65">
        <f>SUM(N433:S433)</f>
        <v>0</v>
      </c>
      <c r="U433" s="65">
        <f>T433+L433</f>
        <v>0</v>
      </c>
      <c r="V433" s="11">
        <f>V428</f>
        <v>0</v>
      </c>
      <c r="W433" s="38">
        <f>V433-U433</f>
        <v>0</v>
      </c>
      <c r="X433" s="47">
        <f>U428-U433</f>
        <v>0</v>
      </c>
    </row>
    <row r="434" spans="1:28" s="73" customFormat="1" ht="18" hidden="1" customHeight="1">
      <c r="A434" s="583"/>
      <c r="B434" s="581"/>
      <c r="C434" s="581"/>
      <c r="D434" s="187" t="str">
        <f>серпень!D357</f>
        <v>тариф, грн.</v>
      </c>
      <c r="E434" s="49" t="e">
        <f>E435/E433*1000</f>
        <v>#DIV/0!</v>
      </c>
      <c r="F434" s="49">
        <v>14.183999999999999</v>
      </c>
      <c r="G434" s="49">
        <v>14.183999999999999</v>
      </c>
      <c r="H434" s="49">
        <v>14.183999999999999</v>
      </c>
      <c r="I434" s="49">
        <v>14.183999999999999</v>
      </c>
      <c r="J434" s="49">
        <v>14.183999999999999</v>
      </c>
      <c r="K434" s="49">
        <v>14.183999999999999</v>
      </c>
      <c r="L434" s="68" t="e">
        <f>L435/L433*1000</f>
        <v>#DIV/0!</v>
      </c>
      <c r="M434" s="68" t="e">
        <f>M435/M433*1000</f>
        <v>#DIV/0!</v>
      </c>
      <c r="N434" s="49">
        <v>14.183999999999999</v>
      </c>
      <c r="O434" s="49">
        <v>14.183999999999999</v>
      </c>
      <c r="P434" s="49">
        <v>14.183999999999999</v>
      </c>
      <c r="Q434" s="49">
        <v>14.183999999999999</v>
      </c>
      <c r="R434" s="49">
        <v>14.183999999999999</v>
      </c>
      <c r="S434" s="49">
        <v>14.183999999999999</v>
      </c>
      <c r="T434" s="68" t="e">
        <f>T435/T433*1000</f>
        <v>#DIV/0!</v>
      </c>
      <c r="U434" s="68" t="e">
        <f>U435/U433*1000</f>
        <v>#DIV/0!</v>
      </c>
      <c r="V434" s="68" t="e">
        <f>V435/V433*1000</f>
        <v>#DIV/0!</v>
      </c>
      <c r="W434" s="14" t="e">
        <f>W435/W433*1000</f>
        <v>#DIV/0!</v>
      </c>
      <c r="X434" s="59"/>
      <c r="Y434" s="36"/>
      <c r="Z434" s="36"/>
      <c r="AA434" s="36"/>
      <c r="AB434" s="36"/>
    </row>
    <row r="435" spans="1:28" s="126" customFormat="1" ht="18" hidden="1" customHeight="1">
      <c r="A435" s="583"/>
      <c r="B435" s="581"/>
      <c r="C435" s="581"/>
      <c r="D435" s="198" t="str">
        <f>серпень!D358</f>
        <v>касові видатки, тис.грн.</v>
      </c>
      <c r="E435" s="71"/>
      <c r="F435" s="61">
        <f t="shared" ref="F435:K435" si="435">F433*F434/1000</f>
        <v>0</v>
      </c>
      <c r="G435" s="61">
        <f t="shared" si="435"/>
        <v>0</v>
      </c>
      <c r="H435" s="61">
        <f t="shared" si="435"/>
        <v>0</v>
      </c>
      <c r="I435" s="61">
        <f t="shared" si="435"/>
        <v>0</v>
      </c>
      <c r="J435" s="61">
        <f t="shared" si="435"/>
        <v>0</v>
      </c>
      <c r="K435" s="61">
        <f t="shared" si="435"/>
        <v>0</v>
      </c>
      <c r="L435" s="61">
        <f>SUM(F435:K435)</f>
        <v>0</v>
      </c>
      <c r="M435" s="61">
        <f>L435/6</f>
        <v>0</v>
      </c>
      <c r="N435" s="61">
        <f t="shared" ref="N435:S435" si="436">N433*N434/1000</f>
        <v>0</v>
      </c>
      <c r="O435" s="61">
        <f t="shared" si="436"/>
        <v>0</v>
      </c>
      <c r="P435" s="61">
        <f t="shared" si="436"/>
        <v>0</v>
      </c>
      <c r="Q435" s="61">
        <f t="shared" si="436"/>
        <v>0</v>
      </c>
      <c r="R435" s="61">
        <f t="shared" si="436"/>
        <v>0</v>
      </c>
      <c r="S435" s="61">
        <f t="shared" si="436"/>
        <v>0</v>
      </c>
      <c r="T435" s="61">
        <f>SUM(N435:S435)</f>
        <v>0</v>
      </c>
      <c r="U435" s="61">
        <f>T435+L435</f>
        <v>0</v>
      </c>
      <c r="V435" s="61">
        <f>V430</f>
        <v>0</v>
      </c>
      <c r="W435" s="72">
        <f>V435-U435</f>
        <v>0</v>
      </c>
      <c r="X435" s="63">
        <f>U430-U435</f>
        <v>0</v>
      </c>
    </row>
    <row r="436" spans="1:28" s="126" customFormat="1" ht="18" hidden="1" customHeight="1">
      <c r="A436" s="583"/>
      <c r="B436" s="581"/>
      <c r="C436" s="581"/>
      <c r="D436" s="201" t="str">
        <f>серпень!D359</f>
        <v>дотація</v>
      </c>
      <c r="E436" s="71"/>
      <c r="F436" s="61">
        <v>0</v>
      </c>
      <c r="G436" s="61">
        <v>0</v>
      </c>
      <c r="H436" s="61">
        <v>0</v>
      </c>
      <c r="I436" s="61">
        <v>0</v>
      </c>
      <c r="J436" s="61">
        <v>0</v>
      </c>
      <c r="K436" s="61">
        <v>0</v>
      </c>
      <c r="L436" s="61">
        <f>SUM(F436:K436)</f>
        <v>0</v>
      </c>
      <c r="M436" s="61">
        <f>L436/6</f>
        <v>0</v>
      </c>
      <c r="N436" s="61">
        <v>0</v>
      </c>
      <c r="O436" s="61">
        <v>0</v>
      </c>
      <c r="P436" s="61">
        <v>0</v>
      </c>
      <c r="Q436" s="61">
        <v>0</v>
      </c>
      <c r="R436" s="61">
        <v>0</v>
      </c>
      <c r="S436" s="61">
        <v>0</v>
      </c>
      <c r="T436" s="61">
        <f>SUM(N436:S436)</f>
        <v>0</v>
      </c>
      <c r="U436" s="61">
        <f>T436+L436</f>
        <v>0</v>
      </c>
      <c r="V436" s="61">
        <f>V431</f>
        <v>0</v>
      </c>
      <c r="W436" s="72">
        <f>V436-U436</f>
        <v>0</v>
      </c>
      <c r="X436" s="63">
        <f>U431-U436</f>
        <v>0</v>
      </c>
    </row>
    <row r="437" spans="1:28" s="126" customFormat="1" ht="18" hidden="1" customHeight="1">
      <c r="A437" s="583"/>
      <c r="B437" s="581"/>
      <c r="C437" s="581"/>
      <c r="D437" s="201" t="str">
        <f>серпень!D360</f>
        <v xml:space="preserve">місцевий </v>
      </c>
      <c r="E437" s="71"/>
      <c r="F437" s="61">
        <f t="shared" ref="F437:K437" si="437">F435-F436</f>
        <v>0</v>
      </c>
      <c r="G437" s="61">
        <f t="shared" si="437"/>
        <v>0</v>
      </c>
      <c r="H437" s="61">
        <f t="shared" si="437"/>
        <v>0</v>
      </c>
      <c r="I437" s="61">
        <f t="shared" si="437"/>
        <v>0</v>
      </c>
      <c r="J437" s="61">
        <f t="shared" si="437"/>
        <v>0</v>
      </c>
      <c r="K437" s="61">
        <f t="shared" si="437"/>
        <v>0</v>
      </c>
      <c r="L437" s="61">
        <f>SUM(F437:K437)</f>
        <v>0</v>
      </c>
      <c r="M437" s="61">
        <f>L437/6</f>
        <v>0</v>
      </c>
      <c r="N437" s="61">
        <f t="shared" ref="N437:S437" si="438">N435-N436</f>
        <v>0</v>
      </c>
      <c r="O437" s="61">
        <f t="shared" si="438"/>
        <v>0</v>
      </c>
      <c r="P437" s="61">
        <f t="shared" si="438"/>
        <v>0</v>
      </c>
      <c r="Q437" s="61">
        <f t="shared" si="438"/>
        <v>0</v>
      </c>
      <c r="R437" s="61">
        <f t="shared" si="438"/>
        <v>0</v>
      </c>
      <c r="S437" s="61">
        <f t="shared" si="438"/>
        <v>0</v>
      </c>
      <c r="T437" s="61">
        <f>SUM(N437:S437)</f>
        <v>0</v>
      </c>
      <c r="U437" s="61">
        <f>T437+L437</f>
        <v>0</v>
      </c>
      <c r="V437" s="61">
        <f>V432</f>
        <v>0</v>
      </c>
      <c r="W437" s="72">
        <f>V437-U437</f>
        <v>0</v>
      </c>
      <c r="X437" s="63">
        <f>U432-U437</f>
        <v>0</v>
      </c>
    </row>
    <row r="438" spans="1:28" s="43" customFormat="1" ht="18" hidden="1" customHeight="1">
      <c r="A438" s="583"/>
      <c r="B438" s="581"/>
      <c r="C438" s="581"/>
      <c r="D438" s="202" t="str">
        <f>серпень!D361</f>
        <v>план</v>
      </c>
      <c r="E438" s="42"/>
      <c r="F438" s="42">
        <f t="shared" ref="F438:K438" si="439">F431+F432</f>
        <v>0</v>
      </c>
      <c r="G438" s="42">
        <f t="shared" si="439"/>
        <v>0</v>
      </c>
      <c r="H438" s="42">
        <f t="shared" si="439"/>
        <v>0</v>
      </c>
      <c r="I438" s="42">
        <f t="shared" si="439"/>
        <v>0</v>
      </c>
      <c r="J438" s="42">
        <f t="shared" si="439"/>
        <v>0</v>
      </c>
      <c r="K438" s="42">
        <f t="shared" si="439"/>
        <v>0</v>
      </c>
      <c r="L438" s="42">
        <f>SUM(F438:K438)</f>
        <v>0</v>
      </c>
      <c r="M438" s="42">
        <f>L438/6</f>
        <v>0</v>
      </c>
      <c r="N438" s="42">
        <f t="shared" ref="N438:S438" si="440">N432+N431</f>
        <v>0</v>
      </c>
      <c r="O438" s="42">
        <f t="shared" si="440"/>
        <v>0</v>
      </c>
      <c r="P438" s="42">
        <f t="shared" si="440"/>
        <v>0</v>
      </c>
      <c r="Q438" s="42">
        <f t="shared" si="440"/>
        <v>0</v>
      </c>
      <c r="R438" s="42">
        <f t="shared" si="440"/>
        <v>0</v>
      </c>
      <c r="S438" s="42">
        <f t="shared" si="440"/>
        <v>0</v>
      </c>
      <c r="T438" s="42">
        <f>SUM(N438:S438)</f>
        <v>0</v>
      </c>
      <c r="U438" s="42">
        <f>T438+L438</f>
        <v>0</v>
      </c>
      <c r="V438" s="42">
        <f>V435</f>
        <v>0</v>
      </c>
      <c r="W438" s="42">
        <f>V438-U438</f>
        <v>0</v>
      </c>
    </row>
    <row r="439" spans="1:28" s="43" customFormat="1" ht="18" hidden="1" customHeight="1">
      <c r="A439" s="583"/>
      <c r="B439" s="581"/>
      <c r="C439" s="581"/>
      <c r="D439" s="202" t="str">
        <f>серпень!D362</f>
        <v xml:space="preserve">відхилення </v>
      </c>
      <c r="E439" s="42"/>
      <c r="F439" s="42">
        <f t="shared" ref="F439:K439" si="441">F435-F438</f>
        <v>0</v>
      </c>
      <c r="G439" s="42">
        <f t="shared" si="441"/>
        <v>0</v>
      </c>
      <c r="H439" s="42">
        <f t="shared" si="441"/>
        <v>0</v>
      </c>
      <c r="I439" s="42">
        <f t="shared" si="441"/>
        <v>0</v>
      </c>
      <c r="J439" s="42">
        <f t="shared" si="441"/>
        <v>0</v>
      </c>
      <c r="K439" s="42">
        <f t="shared" si="441"/>
        <v>0</v>
      </c>
      <c r="L439" s="42"/>
      <c r="M439" s="42"/>
      <c r="N439" s="42">
        <f t="shared" ref="N439:S439" si="442">N435-N438</f>
        <v>0</v>
      </c>
      <c r="O439" s="42">
        <f t="shared" si="442"/>
        <v>0</v>
      </c>
      <c r="P439" s="42">
        <f t="shared" si="442"/>
        <v>0</v>
      </c>
      <c r="Q439" s="42">
        <f t="shared" si="442"/>
        <v>0</v>
      </c>
      <c r="R439" s="42">
        <f t="shared" si="442"/>
        <v>0</v>
      </c>
      <c r="S439" s="42">
        <f t="shared" si="442"/>
        <v>0</v>
      </c>
      <c r="T439" s="42"/>
      <c r="U439" s="42"/>
      <c r="V439" s="42"/>
      <c r="W439" s="42"/>
    </row>
    <row r="440" spans="1:28" s="43" customFormat="1" ht="18" hidden="1" customHeight="1">
      <c r="A440" s="583"/>
      <c r="B440" s="581"/>
      <c r="C440" s="581"/>
      <c r="D440" s="202" t="str">
        <f>серпень!D363</f>
        <v>відхилення з наростаючим</v>
      </c>
      <c r="E440" s="42"/>
      <c r="F440" s="42">
        <f>F439</f>
        <v>0</v>
      </c>
      <c r="G440" s="42">
        <f>G439+F440</f>
        <v>0</v>
      </c>
      <c r="H440" s="42">
        <f>H439+G440</f>
        <v>0</v>
      </c>
      <c r="I440" s="42">
        <f>I439+H440</f>
        <v>0</v>
      </c>
      <c r="J440" s="42">
        <f>J439+I440</f>
        <v>0</v>
      </c>
      <c r="K440" s="42">
        <f>K439+J440</f>
        <v>0</v>
      </c>
      <c r="L440" s="42"/>
      <c r="M440" s="42"/>
      <c r="N440" s="42">
        <f>N439+K440</f>
        <v>0</v>
      </c>
      <c r="O440" s="42">
        <f>O439+N440</f>
        <v>0</v>
      </c>
      <c r="P440" s="42">
        <f>P439+O440</f>
        <v>0</v>
      </c>
      <c r="Q440" s="42">
        <f>Q439+P440</f>
        <v>0</v>
      </c>
      <c r="R440" s="42">
        <f>R439+Q440</f>
        <v>0</v>
      </c>
      <c r="S440" s="42">
        <f>S439+R440</f>
        <v>0</v>
      </c>
      <c r="T440" s="42"/>
      <c r="U440" s="42"/>
      <c r="V440" s="42"/>
      <c r="W440" s="42"/>
    </row>
    <row r="441" spans="1:28" s="48" customFormat="1" ht="18" hidden="1" customHeight="1">
      <c r="A441" s="583"/>
      <c r="B441" s="580" t="s">
        <v>96</v>
      </c>
      <c r="C441" s="575"/>
      <c r="D441" s="178" t="str">
        <f>серпень!D364</f>
        <v>факт. нат.п-ки 2023</v>
      </c>
      <c r="E441" s="11"/>
      <c r="F441" s="12"/>
      <c r="G441" s="12"/>
      <c r="H441" s="12"/>
      <c r="I441" s="12"/>
      <c r="J441" s="12"/>
      <c r="K441" s="12"/>
      <c r="L441" s="65">
        <f>SUM(F441:K441)</f>
        <v>0</v>
      </c>
      <c r="M441" s="65">
        <f>L441/6</f>
        <v>0</v>
      </c>
      <c r="N441" s="12"/>
      <c r="O441" s="12"/>
      <c r="P441" s="12"/>
      <c r="Q441" s="12"/>
      <c r="R441" s="12"/>
      <c r="S441" s="12"/>
      <c r="T441" s="65">
        <f>SUM(N441:S441)</f>
        <v>0</v>
      </c>
      <c r="U441" s="66">
        <f>T441+L441</f>
        <v>0</v>
      </c>
      <c r="V441" s="67"/>
      <c r="W441" s="38">
        <f>V441-U441</f>
        <v>0</v>
      </c>
      <c r="X441" s="47"/>
    </row>
    <row r="442" spans="1:28" s="48" customFormat="1" ht="18" hidden="1" customHeight="1">
      <c r="A442" s="583"/>
      <c r="B442" s="576"/>
      <c r="C442" s="577"/>
      <c r="D442" s="178" t="str">
        <f>серпень!D365</f>
        <v>факт. нат.п-ки 2024</v>
      </c>
      <c r="E442" s="11"/>
      <c r="F442" s="12"/>
      <c r="G442" s="12"/>
      <c r="H442" s="12"/>
      <c r="I442" s="12"/>
      <c r="J442" s="12"/>
      <c r="K442" s="12"/>
      <c r="L442" s="65">
        <f>SUM(F442:K442)</f>
        <v>0</v>
      </c>
      <c r="M442" s="65">
        <f>L442/6</f>
        <v>0</v>
      </c>
      <c r="N442" s="11"/>
      <c r="O442" s="11"/>
      <c r="P442" s="11"/>
      <c r="Q442" s="11"/>
      <c r="R442" s="11"/>
      <c r="S442" s="11"/>
      <c r="T442" s="65">
        <f>SUM(N442:S442)</f>
        <v>0</v>
      </c>
      <c r="U442" s="66">
        <f>T442+L442</f>
        <v>0</v>
      </c>
      <c r="V442" s="67"/>
      <c r="W442" s="38">
        <f>V442-U442</f>
        <v>0</v>
      </c>
      <c r="X442" s="47"/>
    </row>
    <row r="443" spans="1:28" s="48" customFormat="1" ht="18" hidden="1" customHeight="1">
      <c r="A443" s="583"/>
      <c r="B443" s="576"/>
      <c r="C443" s="577"/>
      <c r="D443" s="178" t="str">
        <f>серпень!D366</f>
        <v>факт. нат.п-ки 2025</v>
      </c>
      <c r="E443" s="11"/>
      <c r="F443" s="12"/>
      <c r="G443" s="12"/>
      <c r="H443" s="12"/>
      <c r="I443" s="12"/>
      <c r="J443" s="12"/>
      <c r="K443" s="12"/>
      <c r="L443" s="65">
        <f>SUM(F443:K443)</f>
        <v>0</v>
      </c>
      <c r="M443" s="65">
        <f>L443/6</f>
        <v>0</v>
      </c>
      <c r="N443" s="12"/>
      <c r="O443" s="12"/>
      <c r="P443" s="12"/>
      <c r="Q443" s="12"/>
      <c r="R443" s="12"/>
      <c r="S443" s="11"/>
      <c r="T443" s="65">
        <f>SUM(N443:S443)</f>
        <v>0</v>
      </c>
      <c r="U443" s="66">
        <f>T443+L443</f>
        <v>0</v>
      </c>
      <c r="V443" s="11"/>
      <c r="W443" s="38">
        <f>V443-U443</f>
        <v>0</v>
      </c>
      <c r="X443" s="47"/>
    </row>
    <row r="444" spans="1:28" s="51" customFormat="1" ht="18" hidden="1" customHeight="1">
      <c r="A444" s="583"/>
      <c r="B444" s="576"/>
      <c r="C444" s="577"/>
      <c r="D444" s="187" t="str">
        <f>серпень!D367</f>
        <v>тариф, грн.</v>
      </c>
      <c r="E444" s="49"/>
      <c r="F444" s="49"/>
      <c r="G444" s="49"/>
      <c r="H444" s="49"/>
      <c r="I444" s="49"/>
      <c r="J444" s="49"/>
      <c r="K444" s="49"/>
      <c r="L444" s="49" t="e">
        <f>L445/L443*1000</f>
        <v>#DIV/0!</v>
      </c>
      <c r="M444" s="49" t="e">
        <f>M445/M443*1000</f>
        <v>#DIV/0!</v>
      </c>
      <c r="N444" s="49"/>
      <c r="O444" s="49"/>
      <c r="P444" s="49"/>
      <c r="Q444" s="49"/>
      <c r="R444" s="49"/>
      <c r="S444" s="49"/>
      <c r="T444" s="49" t="e">
        <f>T445/T443*1000</f>
        <v>#DIV/0!</v>
      </c>
      <c r="U444" s="49" t="e">
        <f>U445/U443*1000</f>
        <v>#DIV/0!</v>
      </c>
      <c r="V444" s="68" t="e">
        <f>V445/V443*1000</f>
        <v>#DIV/0!</v>
      </c>
      <c r="W444" s="14" t="e">
        <f>W445/W443*1000</f>
        <v>#DIV/0!</v>
      </c>
      <c r="X444" s="50"/>
    </row>
    <row r="445" spans="1:28" s="55" customFormat="1" ht="18" hidden="1" customHeight="1">
      <c r="A445" s="583"/>
      <c r="B445" s="576"/>
      <c r="C445" s="577"/>
      <c r="D445" s="191" t="str">
        <f>серпень!D368</f>
        <v>сума, тис.грн.</v>
      </c>
      <c r="E445" s="52"/>
      <c r="F445" s="52">
        <f t="shared" ref="F445:K445" si="443">F443*F444/1000</f>
        <v>0</v>
      </c>
      <c r="G445" s="52">
        <f t="shared" si="443"/>
        <v>0</v>
      </c>
      <c r="H445" s="52">
        <f t="shared" si="443"/>
        <v>0</v>
      </c>
      <c r="I445" s="52">
        <f t="shared" si="443"/>
        <v>0</v>
      </c>
      <c r="J445" s="52">
        <f t="shared" si="443"/>
        <v>0</v>
      </c>
      <c r="K445" s="52">
        <f t="shared" si="443"/>
        <v>0</v>
      </c>
      <c r="L445" s="69">
        <f>SUM(F445:K445)</f>
        <v>0</v>
      </c>
      <c r="M445" s="69">
        <f>L445/6</f>
        <v>0</v>
      </c>
      <c r="N445" s="52">
        <f t="shared" ref="N445:S445" si="444">N443*N444/1000</f>
        <v>0</v>
      </c>
      <c r="O445" s="52">
        <f t="shared" si="444"/>
        <v>0</v>
      </c>
      <c r="P445" s="52">
        <f t="shared" si="444"/>
        <v>0</v>
      </c>
      <c r="Q445" s="52">
        <f t="shared" si="444"/>
        <v>0</v>
      </c>
      <c r="R445" s="52">
        <f t="shared" si="444"/>
        <v>0</v>
      </c>
      <c r="S445" s="52">
        <f t="shared" si="444"/>
        <v>0</v>
      </c>
      <c r="T445" s="69">
        <f>SUM(N445:S445)</f>
        <v>0</v>
      </c>
      <c r="U445" s="69">
        <f>T445+L445</f>
        <v>0</v>
      </c>
      <c r="V445" s="70">
        <f>V446+V447</f>
        <v>0</v>
      </c>
      <c r="W445" s="53">
        <f>V445-U445</f>
        <v>0</v>
      </c>
      <c r="X445" s="54">
        <f>9891253.845/1000</f>
        <v>9891.2540000000008</v>
      </c>
    </row>
    <row r="446" spans="1:28" s="55" customFormat="1" ht="18" hidden="1" customHeight="1">
      <c r="A446" s="583"/>
      <c r="B446" s="576"/>
      <c r="C446" s="577"/>
      <c r="D446" s="174" t="str">
        <f>серпень!D369</f>
        <v>дотація</v>
      </c>
      <c r="E446" s="56"/>
      <c r="F446" s="52"/>
      <c r="G446" s="52"/>
      <c r="H446" s="52"/>
      <c r="I446" s="52"/>
      <c r="J446" s="52"/>
      <c r="K446" s="52"/>
      <c r="L446" s="69">
        <f>SUM(F446:K446)</f>
        <v>0</v>
      </c>
      <c r="M446" s="69">
        <f>L446/6</f>
        <v>0</v>
      </c>
      <c r="N446" s="52"/>
      <c r="O446" s="52"/>
      <c r="P446" s="52"/>
      <c r="Q446" s="52"/>
      <c r="R446" s="52"/>
      <c r="S446" s="52"/>
      <c r="T446" s="69">
        <f>SUM(N446:S446)</f>
        <v>0</v>
      </c>
      <c r="U446" s="69">
        <f>T446+L446</f>
        <v>0</v>
      </c>
      <c r="V446" s="70"/>
      <c r="W446" s="53">
        <f>V446-U446</f>
        <v>0</v>
      </c>
      <c r="X446" s="58"/>
    </row>
    <row r="447" spans="1:28" s="55" customFormat="1" ht="18" hidden="1" customHeight="1">
      <c r="A447" s="583"/>
      <c r="B447" s="576"/>
      <c r="C447" s="577"/>
      <c r="D447" s="174" t="str">
        <f>серпень!D370</f>
        <v>місцевий (план), тис.грн</v>
      </c>
      <c r="E447" s="56"/>
      <c r="F447" s="52"/>
      <c r="G447" s="52"/>
      <c r="H447" s="52"/>
      <c r="I447" s="52"/>
      <c r="J447" s="52"/>
      <c r="K447" s="52"/>
      <c r="L447" s="69">
        <f>SUM(F447:K447)</f>
        <v>0</v>
      </c>
      <c r="M447" s="69">
        <f>L447/6</f>
        <v>0</v>
      </c>
      <c r="N447" s="52"/>
      <c r="O447" s="52"/>
      <c r="P447" s="52"/>
      <c r="Q447" s="52"/>
      <c r="R447" s="52"/>
      <c r="S447" s="52"/>
      <c r="T447" s="69">
        <f>SUM(N447:S447)</f>
        <v>0</v>
      </c>
      <c r="U447" s="69">
        <f>T447+L447</f>
        <v>0</v>
      </c>
      <c r="V447" s="70"/>
      <c r="W447" s="53">
        <f>V447-U447</f>
        <v>0</v>
      </c>
      <c r="X447" s="58"/>
    </row>
    <row r="448" spans="1:28" s="48" customFormat="1" ht="18" hidden="1" customHeight="1">
      <c r="A448" s="583"/>
      <c r="B448" s="576"/>
      <c r="C448" s="577"/>
      <c r="D448" s="178" t="str">
        <f>серпень!D371</f>
        <v>касові нат.п-ки 2025</v>
      </c>
      <c r="E448" s="11"/>
      <c r="F448" s="11"/>
      <c r="G448" s="11"/>
      <c r="H448" s="11"/>
      <c r="I448" s="11"/>
      <c r="J448" s="11"/>
      <c r="K448" s="11"/>
      <c r="L448" s="65">
        <f>SUM(F448:K448)</f>
        <v>0</v>
      </c>
      <c r="M448" s="65">
        <f>L448/6</f>
        <v>0</v>
      </c>
      <c r="N448" s="11"/>
      <c r="O448" s="11"/>
      <c r="P448" s="11"/>
      <c r="Q448" s="11"/>
      <c r="R448" s="11"/>
      <c r="S448" s="11"/>
      <c r="T448" s="65">
        <f>SUM(N448:S448)</f>
        <v>0</v>
      </c>
      <c r="U448" s="65">
        <f>T448+L448</f>
        <v>0</v>
      </c>
      <c r="V448" s="11">
        <f>V443</f>
        <v>0</v>
      </c>
      <c r="W448" s="38">
        <f>V448-U448</f>
        <v>0</v>
      </c>
      <c r="X448" s="47">
        <f>U443-U448</f>
        <v>0</v>
      </c>
    </row>
    <row r="449" spans="1:28" s="51" customFormat="1" ht="18" hidden="1" customHeight="1">
      <c r="A449" s="583"/>
      <c r="B449" s="576"/>
      <c r="C449" s="577"/>
      <c r="D449" s="187" t="str">
        <f>серпень!D372</f>
        <v>тариф, грн.</v>
      </c>
      <c r="E449" s="49" t="e">
        <f>E450/E448*1000</f>
        <v>#DIV/0!</v>
      </c>
      <c r="F449" s="49"/>
      <c r="G449" s="49"/>
      <c r="H449" s="49"/>
      <c r="I449" s="49"/>
      <c r="J449" s="49"/>
      <c r="K449" s="49"/>
      <c r="L449" s="49" t="e">
        <f>L450/L448*1000</f>
        <v>#DIV/0!</v>
      </c>
      <c r="M449" s="49" t="e">
        <f>M450/M448*1000</f>
        <v>#DIV/0!</v>
      </c>
      <c r="N449" s="49"/>
      <c r="O449" s="49"/>
      <c r="P449" s="49"/>
      <c r="Q449" s="49"/>
      <c r="R449" s="49"/>
      <c r="S449" s="49"/>
      <c r="T449" s="49" t="e">
        <f>T450/T448*1000</f>
        <v>#DIV/0!</v>
      </c>
      <c r="U449" s="49" t="e">
        <f>U450/U448*1000</f>
        <v>#DIV/0!</v>
      </c>
      <c r="V449" s="68" t="e">
        <f>V450/V448*1000</f>
        <v>#DIV/0!</v>
      </c>
      <c r="W449" s="14" t="e">
        <f>W450/W448*1000</f>
        <v>#DIV/0!</v>
      </c>
      <c r="X449" s="59"/>
    </row>
    <row r="450" spans="1:28" s="63" customFormat="1" ht="17.7" hidden="1" customHeight="1">
      <c r="A450" s="583"/>
      <c r="B450" s="576"/>
      <c r="C450" s="577"/>
      <c r="D450" s="198" t="str">
        <f>серпень!D373</f>
        <v>касові видатки, тис.грн.</v>
      </c>
      <c r="E450" s="71"/>
      <c r="F450" s="61">
        <f t="shared" ref="F450:K450" si="445">F448*F449/1000</f>
        <v>0</v>
      </c>
      <c r="G450" s="61">
        <f t="shared" si="445"/>
        <v>0</v>
      </c>
      <c r="H450" s="61">
        <f t="shared" si="445"/>
        <v>0</v>
      </c>
      <c r="I450" s="61">
        <f t="shared" si="445"/>
        <v>0</v>
      </c>
      <c r="J450" s="61">
        <f t="shared" si="445"/>
        <v>0</v>
      </c>
      <c r="K450" s="61">
        <f t="shared" si="445"/>
        <v>0</v>
      </c>
      <c r="L450" s="61">
        <f>SUM(F450:K450)</f>
        <v>0</v>
      </c>
      <c r="M450" s="61">
        <f>L450/6</f>
        <v>0</v>
      </c>
      <c r="N450" s="61">
        <f t="shared" ref="N450:S450" si="446">N448*N449/1000</f>
        <v>0</v>
      </c>
      <c r="O450" s="61">
        <f t="shared" si="446"/>
        <v>0</v>
      </c>
      <c r="P450" s="61">
        <f t="shared" si="446"/>
        <v>0</v>
      </c>
      <c r="Q450" s="61">
        <f t="shared" si="446"/>
        <v>0</v>
      </c>
      <c r="R450" s="61">
        <f t="shared" si="446"/>
        <v>0</v>
      </c>
      <c r="S450" s="61">
        <f t="shared" si="446"/>
        <v>0</v>
      </c>
      <c r="T450" s="61">
        <f>SUM(N450:S450)</f>
        <v>0</v>
      </c>
      <c r="U450" s="61">
        <f>T450+L450</f>
        <v>0</v>
      </c>
      <c r="V450" s="61">
        <f>V445</f>
        <v>0</v>
      </c>
      <c r="W450" s="72">
        <f>V450-U450</f>
        <v>0</v>
      </c>
      <c r="X450" s="63">
        <f>U445-U450</f>
        <v>0</v>
      </c>
    </row>
    <row r="451" spans="1:28" s="63" customFormat="1" ht="18" hidden="1" customHeight="1">
      <c r="A451" s="583"/>
      <c r="B451" s="576"/>
      <c r="C451" s="577"/>
      <c r="D451" s="201" t="str">
        <f>серпень!D374</f>
        <v>дотація</v>
      </c>
      <c r="E451" s="71"/>
      <c r="F451" s="61"/>
      <c r="G451" s="61"/>
      <c r="H451" s="61"/>
      <c r="I451" s="61"/>
      <c r="J451" s="61"/>
      <c r="K451" s="61"/>
      <c r="L451" s="61">
        <f>SUM(F451:K451)</f>
        <v>0</v>
      </c>
      <c r="M451" s="61">
        <f>L451/6</f>
        <v>0</v>
      </c>
      <c r="N451" s="61"/>
      <c r="O451" s="61"/>
      <c r="P451" s="61"/>
      <c r="Q451" s="61"/>
      <c r="R451" s="61"/>
      <c r="S451" s="61"/>
      <c r="T451" s="61">
        <f>SUM(N451:S451)</f>
        <v>0</v>
      </c>
      <c r="U451" s="61">
        <f>T451+L451</f>
        <v>0</v>
      </c>
      <c r="V451" s="61">
        <f>V446</f>
        <v>0</v>
      </c>
      <c r="W451" s="72">
        <f>V451-U451</f>
        <v>0</v>
      </c>
      <c r="X451" s="63">
        <f>U446-U451</f>
        <v>0</v>
      </c>
    </row>
    <row r="452" spans="1:28" s="63" customFormat="1" ht="18" hidden="1" customHeight="1">
      <c r="A452" s="583"/>
      <c r="B452" s="576"/>
      <c r="C452" s="577"/>
      <c r="D452" s="201" t="str">
        <f>серпень!D375</f>
        <v xml:space="preserve">місцевий </v>
      </c>
      <c r="E452" s="71"/>
      <c r="F452" s="61">
        <f t="shared" ref="F452:K452" si="447">F450-F451</f>
        <v>0</v>
      </c>
      <c r="G452" s="61">
        <f t="shared" si="447"/>
        <v>0</v>
      </c>
      <c r="H452" s="61">
        <f t="shared" si="447"/>
        <v>0</v>
      </c>
      <c r="I452" s="61">
        <f t="shared" si="447"/>
        <v>0</v>
      </c>
      <c r="J452" s="61">
        <f t="shared" si="447"/>
        <v>0</v>
      </c>
      <c r="K452" s="61">
        <f t="shared" si="447"/>
        <v>0</v>
      </c>
      <c r="L452" s="61">
        <f>SUM(F452:K452)</f>
        <v>0</v>
      </c>
      <c r="M452" s="61">
        <f>L452/6</f>
        <v>0</v>
      </c>
      <c r="N452" s="61">
        <f t="shared" ref="N452:S452" si="448">N450-N451</f>
        <v>0</v>
      </c>
      <c r="O452" s="61">
        <f t="shared" si="448"/>
        <v>0</v>
      </c>
      <c r="P452" s="61">
        <f t="shared" si="448"/>
        <v>0</v>
      </c>
      <c r="Q452" s="61">
        <f t="shared" si="448"/>
        <v>0</v>
      </c>
      <c r="R452" s="61">
        <f t="shared" si="448"/>
        <v>0</v>
      </c>
      <c r="S452" s="61">
        <f t="shared" si="448"/>
        <v>0</v>
      </c>
      <c r="T452" s="61">
        <f>SUM(N452:S452)</f>
        <v>0</v>
      </c>
      <c r="U452" s="61">
        <f>T452+L452</f>
        <v>0</v>
      </c>
      <c r="V452" s="61">
        <f>V447</f>
        <v>0</v>
      </c>
      <c r="W452" s="72">
        <f>V452-U452</f>
        <v>0</v>
      </c>
      <c r="X452" s="63">
        <f>U447-U452</f>
        <v>0</v>
      </c>
    </row>
    <row r="453" spans="1:28" s="43" customFormat="1" ht="18" hidden="1" customHeight="1">
      <c r="A453" s="583"/>
      <c r="B453" s="576"/>
      <c r="C453" s="577"/>
      <c r="D453" s="202" t="str">
        <f>серпень!D376</f>
        <v>план</v>
      </c>
      <c r="E453" s="42"/>
      <c r="F453" s="42">
        <f t="shared" ref="F453:K453" si="449">F447</f>
        <v>0</v>
      </c>
      <c r="G453" s="42">
        <f t="shared" si="449"/>
        <v>0</v>
      </c>
      <c r="H453" s="42">
        <f t="shared" si="449"/>
        <v>0</v>
      </c>
      <c r="I453" s="42">
        <f t="shared" si="449"/>
        <v>0</v>
      </c>
      <c r="J453" s="42">
        <f t="shared" si="449"/>
        <v>0</v>
      </c>
      <c r="K453" s="42">
        <f t="shared" si="449"/>
        <v>0</v>
      </c>
      <c r="L453" s="42">
        <f>SUM(F453:K453)</f>
        <v>0</v>
      </c>
      <c r="M453" s="42">
        <f>L453/6</f>
        <v>0</v>
      </c>
      <c r="N453" s="42">
        <f t="shared" ref="N453:S453" si="450">N447+N446</f>
        <v>0</v>
      </c>
      <c r="O453" s="42">
        <f t="shared" si="450"/>
        <v>0</v>
      </c>
      <c r="P453" s="42">
        <f t="shared" si="450"/>
        <v>0</v>
      </c>
      <c r="Q453" s="42">
        <f t="shared" si="450"/>
        <v>0</v>
      </c>
      <c r="R453" s="42">
        <f t="shared" si="450"/>
        <v>0</v>
      </c>
      <c r="S453" s="42">
        <f t="shared" si="450"/>
        <v>0</v>
      </c>
      <c r="T453" s="42">
        <f>SUM(N453:S453)</f>
        <v>0</v>
      </c>
      <c r="U453" s="42">
        <f>T453+L453</f>
        <v>0</v>
      </c>
      <c r="V453" s="42">
        <f>V450</f>
        <v>0</v>
      </c>
      <c r="W453" s="42">
        <f>V453-U453</f>
        <v>0</v>
      </c>
    </row>
    <row r="454" spans="1:28" s="43" customFormat="1" ht="18" hidden="1" customHeight="1">
      <c r="A454" s="583"/>
      <c r="B454" s="576"/>
      <c r="C454" s="577"/>
      <c r="D454" s="202" t="str">
        <f>серпень!D377</f>
        <v xml:space="preserve">відхилення </v>
      </c>
      <c r="E454" s="42"/>
      <c r="F454" s="42">
        <f t="shared" ref="F454:K454" si="451">F450-F453</f>
        <v>0</v>
      </c>
      <c r="G454" s="42">
        <f t="shared" si="451"/>
        <v>0</v>
      </c>
      <c r="H454" s="42">
        <f t="shared" si="451"/>
        <v>0</v>
      </c>
      <c r="I454" s="42">
        <f t="shared" si="451"/>
        <v>0</v>
      </c>
      <c r="J454" s="42">
        <f t="shared" si="451"/>
        <v>0</v>
      </c>
      <c r="K454" s="42">
        <f t="shared" si="451"/>
        <v>0</v>
      </c>
      <c r="L454" s="42"/>
      <c r="M454" s="42"/>
      <c r="N454" s="42">
        <f t="shared" ref="N454:S454" si="452">N450-N453</f>
        <v>0</v>
      </c>
      <c r="O454" s="42">
        <f t="shared" si="452"/>
        <v>0</v>
      </c>
      <c r="P454" s="42">
        <f t="shared" si="452"/>
        <v>0</v>
      </c>
      <c r="Q454" s="42">
        <f t="shared" si="452"/>
        <v>0</v>
      </c>
      <c r="R454" s="42">
        <f t="shared" si="452"/>
        <v>0</v>
      </c>
      <c r="S454" s="42">
        <f t="shared" si="452"/>
        <v>0</v>
      </c>
      <c r="T454" s="42"/>
      <c r="U454" s="42"/>
      <c r="V454" s="42"/>
      <c r="W454" s="42"/>
    </row>
    <row r="455" spans="1:28" s="43" customFormat="1" ht="23.65" hidden="1" customHeight="1">
      <c r="A455" s="583"/>
      <c r="B455" s="578"/>
      <c r="C455" s="579"/>
      <c r="D455" s="202" t="str">
        <f>серпень!D378</f>
        <v>відхилення з наростаючим</v>
      </c>
      <c r="E455" s="42"/>
      <c r="F455" s="42">
        <f>F454</f>
        <v>0</v>
      </c>
      <c r="G455" s="42">
        <f>G454+F455</f>
        <v>0</v>
      </c>
      <c r="H455" s="42">
        <f>H454+G455</f>
        <v>0</v>
      </c>
      <c r="I455" s="42">
        <f>I454+H455</f>
        <v>0</v>
      </c>
      <c r="J455" s="42">
        <f>J454+I455</f>
        <v>0</v>
      </c>
      <c r="K455" s="42">
        <f>K454+J455</f>
        <v>0</v>
      </c>
      <c r="L455" s="42"/>
      <c r="M455" s="42"/>
      <c r="N455" s="42">
        <f>N454+K455</f>
        <v>0</v>
      </c>
      <c r="O455" s="42">
        <f>O454+N455</f>
        <v>0</v>
      </c>
      <c r="P455" s="42">
        <f>P454+O455</f>
        <v>0</v>
      </c>
      <c r="Q455" s="42">
        <f>Q454+P455</f>
        <v>0</v>
      </c>
      <c r="R455" s="42">
        <f>R454+Q455</f>
        <v>0</v>
      </c>
      <c r="S455" s="42">
        <f>S454+R455</f>
        <v>0</v>
      </c>
      <c r="T455" s="42"/>
      <c r="U455" s="42"/>
      <c r="V455" s="42"/>
      <c r="W455" s="42"/>
    </row>
    <row r="456" spans="1:28" s="10" customFormat="1" ht="18" hidden="1" customHeight="1">
      <c r="A456" s="583"/>
      <c r="B456" s="580" t="s">
        <v>38</v>
      </c>
      <c r="C456" s="575"/>
      <c r="D456" s="178" t="str">
        <f>серпень!D379</f>
        <v>факт. нат.п-ки 2023</v>
      </c>
      <c r="E456" s="11"/>
      <c r="F456" s="12"/>
      <c r="G456" s="12"/>
      <c r="H456" s="12"/>
      <c r="I456" s="12"/>
      <c r="J456" s="12"/>
      <c r="K456" s="12"/>
      <c r="L456" s="65">
        <f>SUM(F456:K456)</f>
        <v>0</v>
      </c>
      <c r="M456" s="65">
        <f>L456/6</f>
        <v>0</v>
      </c>
      <c r="N456" s="12"/>
      <c r="O456" s="12"/>
      <c r="P456" s="12"/>
      <c r="Q456" s="12"/>
      <c r="R456" s="12"/>
      <c r="S456" s="12"/>
      <c r="T456" s="65">
        <f>SUM(N456:S456)</f>
        <v>0</v>
      </c>
      <c r="U456" s="66">
        <f>T456+L456</f>
        <v>0</v>
      </c>
      <c r="V456" s="67"/>
      <c r="W456" s="38">
        <f>V456-U456</f>
        <v>0</v>
      </c>
      <c r="X456" s="36"/>
      <c r="Y456" s="3"/>
      <c r="Z456" s="3"/>
      <c r="AA456" s="3"/>
      <c r="AB456" s="3"/>
    </row>
    <row r="457" spans="1:28" s="48" customFormat="1" ht="18" hidden="1" customHeight="1">
      <c r="A457" s="583"/>
      <c r="B457" s="576"/>
      <c r="C457" s="577"/>
      <c r="D457" s="178" t="str">
        <f>серпень!D380</f>
        <v>факт. нат.п-ки 2024</v>
      </c>
      <c r="E457" s="11"/>
      <c r="F457" s="12"/>
      <c r="G457" s="12"/>
      <c r="H457" s="12"/>
      <c r="I457" s="12"/>
      <c r="J457" s="12"/>
      <c r="K457" s="12"/>
      <c r="L457" s="65">
        <f>SUM(F457:K457)</f>
        <v>0</v>
      </c>
      <c r="M457" s="65">
        <f>L457/6</f>
        <v>0</v>
      </c>
      <c r="N457" s="11"/>
      <c r="O457" s="11"/>
      <c r="P457" s="11"/>
      <c r="Q457" s="11"/>
      <c r="R457" s="11"/>
      <c r="S457" s="11"/>
      <c r="T457" s="65">
        <f>SUM(N457:S457)</f>
        <v>0</v>
      </c>
      <c r="U457" s="66">
        <f>T457+L457</f>
        <v>0</v>
      </c>
      <c r="V457" s="67"/>
      <c r="W457" s="38">
        <f>V457-U457</f>
        <v>0</v>
      </c>
      <c r="X457" s="47"/>
    </row>
    <row r="458" spans="1:28" s="10" customFormat="1" ht="18" hidden="1" customHeight="1">
      <c r="A458" s="583"/>
      <c r="B458" s="576"/>
      <c r="C458" s="577"/>
      <c r="D458" s="178" t="str">
        <f>серпень!D381</f>
        <v>факт. нат.п-ки 2025</v>
      </c>
      <c r="E458" s="11"/>
      <c r="F458" s="12"/>
      <c r="G458" s="12"/>
      <c r="H458" s="12"/>
      <c r="I458" s="12"/>
      <c r="J458" s="12"/>
      <c r="K458" s="12"/>
      <c r="L458" s="65">
        <f>SUM(F458:K458)</f>
        <v>0</v>
      </c>
      <c r="M458" s="65">
        <f>L458/6</f>
        <v>0</v>
      </c>
      <c r="N458" s="12"/>
      <c r="O458" s="12"/>
      <c r="P458" s="12"/>
      <c r="Q458" s="12"/>
      <c r="R458" s="12"/>
      <c r="S458" s="11"/>
      <c r="T458" s="65">
        <f>SUM(N458:S458)</f>
        <v>0</v>
      </c>
      <c r="U458" s="66">
        <f>T458+L458</f>
        <v>0</v>
      </c>
      <c r="V458" s="11"/>
      <c r="W458" s="38">
        <f>V458-U458</f>
        <v>0</v>
      </c>
      <c r="X458" s="36"/>
      <c r="Y458" s="3"/>
      <c r="Z458" s="3"/>
      <c r="AA458" s="3"/>
      <c r="AB458" s="3"/>
    </row>
    <row r="459" spans="1:28" s="114" customFormat="1" ht="18" hidden="1" customHeight="1">
      <c r="A459" s="583"/>
      <c r="B459" s="576"/>
      <c r="C459" s="577"/>
      <c r="D459" s="187" t="str">
        <f>серпень!D382</f>
        <v>тариф, грн.</v>
      </c>
      <c r="E459" s="49"/>
      <c r="F459" s="49">
        <v>10.56</v>
      </c>
      <c r="G459" s="49">
        <v>10.56</v>
      </c>
      <c r="H459" s="49">
        <v>10.56</v>
      </c>
      <c r="I459" s="49">
        <v>10.56</v>
      </c>
      <c r="J459" s="49">
        <v>10.56</v>
      </c>
      <c r="K459" s="49">
        <v>10.56</v>
      </c>
      <c r="L459" s="49" t="e">
        <f>L460/L458*1000</f>
        <v>#DIV/0!</v>
      </c>
      <c r="M459" s="49" t="e">
        <f>M460/M458*1000</f>
        <v>#DIV/0!</v>
      </c>
      <c r="N459" s="49">
        <v>10.56</v>
      </c>
      <c r="O459" s="49">
        <v>10.56</v>
      </c>
      <c r="P459" s="49">
        <v>10.56</v>
      </c>
      <c r="Q459" s="49">
        <v>10.56</v>
      </c>
      <c r="R459" s="49">
        <v>10.56</v>
      </c>
      <c r="S459" s="49">
        <v>10.56</v>
      </c>
      <c r="T459" s="49" t="e">
        <f>T460/T458*1000</f>
        <v>#DIV/0!</v>
      </c>
      <c r="U459" s="49" t="e">
        <f>U460/U458*1000</f>
        <v>#DIV/0!</v>
      </c>
      <c r="V459" s="68" t="e">
        <f>V460/V458*1000</f>
        <v>#DIV/0!</v>
      </c>
      <c r="W459" s="14" t="e">
        <f>W460/W458*1000</f>
        <v>#DIV/0!</v>
      </c>
      <c r="X459" s="36"/>
      <c r="Y459" s="3"/>
      <c r="Z459" s="3"/>
      <c r="AA459" s="3"/>
      <c r="AB459" s="3"/>
    </row>
    <row r="460" spans="1:28" s="114" customFormat="1" ht="18" hidden="1" customHeight="1">
      <c r="A460" s="583"/>
      <c r="B460" s="576"/>
      <c r="C460" s="577"/>
      <c r="D460" s="191" t="str">
        <f>серпень!D383</f>
        <v>сума, тис.грн.</v>
      </c>
      <c r="E460" s="52"/>
      <c r="F460" s="52">
        <f t="shared" ref="F460:K460" si="453">F458*F459/1000</f>
        <v>0</v>
      </c>
      <c r="G460" s="52">
        <f t="shared" si="453"/>
        <v>0</v>
      </c>
      <c r="H460" s="52">
        <f t="shared" si="453"/>
        <v>0</v>
      </c>
      <c r="I460" s="52">
        <f t="shared" si="453"/>
        <v>0</v>
      </c>
      <c r="J460" s="52">
        <f t="shared" si="453"/>
        <v>0</v>
      </c>
      <c r="K460" s="52">
        <f t="shared" si="453"/>
        <v>0</v>
      </c>
      <c r="L460" s="69">
        <f>SUM(F460:K460)</f>
        <v>0</v>
      </c>
      <c r="M460" s="69">
        <f>L460/6</f>
        <v>0</v>
      </c>
      <c r="N460" s="52">
        <f t="shared" ref="N460:S460" si="454">N458*N459/1000</f>
        <v>0</v>
      </c>
      <c r="O460" s="52">
        <f t="shared" si="454"/>
        <v>0</v>
      </c>
      <c r="P460" s="52">
        <f t="shared" si="454"/>
        <v>0</v>
      </c>
      <c r="Q460" s="52">
        <f t="shared" si="454"/>
        <v>0</v>
      </c>
      <c r="R460" s="52">
        <f t="shared" si="454"/>
        <v>0</v>
      </c>
      <c r="S460" s="52">
        <f t="shared" si="454"/>
        <v>0</v>
      </c>
      <c r="T460" s="69">
        <f>SUM(N460:S460)</f>
        <v>0</v>
      </c>
      <c r="U460" s="69">
        <f>T460+L460</f>
        <v>0</v>
      </c>
      <c r="V460" s="70">
        <f>V461+V462</f>
        <v>0</v>
      </c>
      <c r="W460" s="53">
        <f>V460-U460</f>
        <v>0</v>
      </c>
      <c r="X460" s="113"/>
    </row>
    <row r="461" spans="1:28" s="114" customFormat="1" ht="18" hidden="1" customHeight="1">
      <c r="A461" s="583"/>
      <c r="B461" s="576"/>
      <c r="C461" s="577"/>
      <c r="D461" s="174" t="str">
        <f>серпень!D384</f>
        <v>дотація</v>
      </c>
      <c r="E461" s="56"/>
      <c r="F461" s="52"/>
      <c r="G461" s="52"/>
      <c r="H461" s="52"/>
      <c r="I461" s="52"/>
      <c r="J461" s="52"/>
      <c r="K461" s="52"/>
      <c r="L461" s="69">
        <f>SUM(F461:K461)</f>
        <v>0</v>
      </c>
      <c r="M461" s="69">
        <f>L461/6</f>
        <v>0</v>
      </c>
      <c r="N461" s="52"/>
      <c r="O461" s="52"/>
      <c r="P461" s="52"/>
      <c r="Q461" s="52"/>
      <c r="R461" s="52"/>
      <c r="S461" s="52"/>
      <c r="T461" s="69">
        <f>SUM(N461:S461)</f>
        <v>0</v>
      </c>
      <c r="U461" s="69">
        <f>T461+L461</f>
        <v>0</v>
      </c>
      <c r="V461" s="70">
        <v>0</v>
      </c>
      <c r="W461" s="53">
        <f>V461-U461</f>
        <v>0</v>
      </c>
      <c r="X461" s="113"/>
    </row>
    <row r="462" spans="1:28" s="114" customFormat="1" ht="18" hidden="1" customHeight="1">
      <c r="A462" s="583"/>
      <c r="B462" s="576"/>
      <c r="C462" s="577"/>
      <c r="D462" s="174" t="str">
        <f>серпень!D385</f>
        <v>місцевий (план), тис.грн</v>
      </c>
      <c r="E462" s="56"/>
      <c r="F462" s="52"/>
      <c r="G462" s="52"/>
      <c r="H462" s="52"/>
      <c r="I462" s="52"/>
      <c r="J462" s="52"/>
      <c r="K462" s="52"/>
      <c r="L462" s="69">
        <f>SUM(F462:K462)</f>
        <v>0</v>
      </c>
      <c r="M462" s="69">
        <f>L462/6</f>
        <v>0</v>
      </c>
      <c r="N462" s="52"/>
      <c r="O462" s="52"/>
      <c r="P462" s="52"/>
      <c r="Q462" s="52"/>
      <c r="R462" s="52"/>
      <c r="S462" s="52"/>
      <c r="T462" s="69">
        <f>SUM(N462:S462)</f>
        <v>0</v>
      </c>
      <c r="U462" s="69">
        <f>T462+L462</f>
        <v>0</v>
      </c>
      <c r="V462" s="70"/>
      <c r="W462" s="53">
        <f>V462-U462</f>
        <v>0</v>
      </c>
      <c r="X462" s="113"/>
    </row>
    <row r="463" spans="1:28" s="3" customFormat="1" ht="18" hidden="1" customHeight="1">
      <c r="A463" s="583"/>
      <c r="B463" s="576"/>
      <c r="C463" s="577"/>
      <c r="D463" s="178" t="str">
        <f>серпень!D386</f>
        <v>касові нат.п-ки 2025</v>
      </c>
      <c r="E463" s="11"/>
      <c r="F463" s="11"/>
      <c r="G463" s="11"/>
      <c r="H463" s="11"/>
      <c r="I463" s="11"/>
      <c r="J463" s="11"/>
      <c r="K463" s="11"/>
      <c r="L463" s="65">
        <f>SUM(F463:K463)</f>
        <v>0</v>
      </c>
      <c r="M463" s="65">
        <f>L463/6</f>
        <v>0</v>
      </c>
      <c r="N463" s="11"/>
      <c r="O463" s="11"/>
      <c r="P463" s="11"/>
      <c r="Q463" s="11"/>
      <c r="R463" s="11"/>
      <c r="S463" s="11">
        <f>S458+R458</f>
        <v>0</v>
      </c>
      <c r="T463" s="65">
        <f>SUM(N463:S463)</f>
        <v>0</v>
      </c>
      <c r="U463" s="65">
        <f>T463+L463</f>
        <v>0</v>
      </c>
      <c r="V463" s="11">
        <f>V458</f>
        <v>0</v>
      </c>
      <c r="W463" s="38">
        <f>V463-U463</f>
        <v>0</v>
      </c>
      <c r="X463" s="47">
        <f>U458-U463</f>
        <v>0</v>
      </c>
    </row>
    <row r="464" spans="1:28" s="73" customFormat="1" ht="18" hidden="1" customHeight="1">
      <c r="A464" s="583"/>
      <c r="B464" s="576"/>
      <c r="C464" s="577"/>
      <c r="D464" s="187" t="str">
        <f>серпень!D387</f>
        <v>тариф, грн.</v>
      </c>
      <c r="E464" s="49" t="e">
        <f>E465/E463*1000</f>
        <v>#DIV/0!</v>
      </c>
      <c r="F464" s="49">
        <v>10.56</v>
      </c>
      <c r="G464" s="49">
        <v>10.56</v>
      </c>
      <c r="H464" s="49">
        <v>10.56</v>
      </c>
      <c r="I464" s="49">
        <v>10.56</v>
      </c>
      <c r="J464" s="49">
        <v>10.56</v>
      </c>
      <c r="K464" s="49">
        <v>10.56</v>
      </c>
      <c r="L464" s="49" t="e">
        <f>L465/L463*1000</f>
        <v>#DIV/0!</v>
      </c>
      <c r="M464" s="49" t="e">
        <f>M465/M463*1000</f>
        <v>#DIV/0!</v>
      </c>
      <c r="N464" s="49">
        <v>10.56</v>
      </c>
      <c r="O464" s="49">
        <v>10.56</v>
      </c>
      <c r="P464" s="49">
        <v>10.56</v>
      </c>
      <c r="Q464" s="49">
        <v>10.56</v>
      </c>
      <c r="R464" s="49">
        <v>10.56</v>
      </c>
      <c r="S464" s="49">
        <v>10.56</v>
      </c>
      <c r="T464" s="49" t="e">
        <f>T465/T463*1000</f>
        <v>#DIV/0!</v>
      </c>
      <c r="U464" s="49" t="e">
        <f>U465/U463*1000</f>
        <v>#DIV/0!</v>
      </c>
      <c r="V464" s="68" t="e">
        <f>V465/V463*1000</f>
        <v>#DIV/0!</v>
      </c>
      <c r="W464" s="14" t="e">
        <f>W465/W463*1000</f>
        <v>#DIV/0!</v>
      </c>
      <c r="X464" s="59"/>
      <c r="Y464" s="36"/>
      <c r="Z464" s="36"/>
      <c r="AA464" s="36"/>
      <c r="AB464" s="36"/>
    </row>
    <row r="465" spans="1:24" s="126" customFormat="1" ht="18" hidden="1" customHeight="1">
      <c r="A465" s="583"/>
      <c r="B465" s="576"/>
      <c r="C465" s="577"/>
      <c r="D465" s="198" t="str">
        <f>серпень!D388</f>
        <v>касові видатки, тис.грн.</v>
      </c>
      <c r="E465" s="71"/>
      <c r="F465" s="61">
        <f t="shared" ref="F465:K465" si="455">F463*F464/1000</f>
        <v>0</v>
      </c>
      <c r="G465" s="61">
        <f t="shared" si="455"/>
        <v>0</v>
      </c>
      <c r="H465" s="61">
        <f t="shared" si="455"/>
        <v>0</v>
      </c>
      <c r="I465" s="61">
        <f t="shared" si="455"/>
        <v>0</v>
      </c>
      <c r="J465" s="61">
        <f t="shared" si="455"/>
        <v>0</v>
      </c>
      <c r="K465" s="61">
        <f t="shared" si="455"/>
        <v>0</v>
      </c>
      <c r="L465" s="61">
        <f>SUM(F465:K465)</f>
        <v>0</v>
      </c>
      <c r="M465" s="61">
        <f>L465/6</f>
        <v>0</v>
      </c>
      <c r="N465" s="61">
        <f t="shared" ref="N465:S465" si="456">N463*N464/1000</f>
        <v>0</v>
      </c>
      <c r="O465" s="61">
        <f t="shared" si="456"/>
        <v>0</v>
      </c>
      <c r="P465" s="61">
        <f t="shared" si="456"/>
        <v>0</v>
      </c>
      <c r="Q465" s="61">
        <f t="shared" si="456"/>
        <v>0</v>
      </c>
      <c r="R465" s="61">
        <f t="shared" si="456"/>
        <v>0</v>
      </c>
      <c r="S465" s="61">
        <f t="shared" si="456"/>
        <v>0</v>
      </c>
      <c r="T465" s="61">
        <f>SUM(N465:S465)</f>
        <v>0</v>
      </c>
      <c r="U465" s="61">
        <f>T465+L465</f>
        <v>0</v>
      </c>
      <c r="V465" s="61">
        <f>V460</f>
        <v>0</v>
      </c>
      <c r="W465" s="72">
        <f>V465-U465</f>
        <v>0</v>
      </c>
      <c r="X465" s="63">
        <f>U460-U465</f>
        <v>0</v>
      </c>
    </row>
    <row r="466" spans="1:24" s="126" customFormat="1" ht="18" hidden="1" customHeight="1">
      <c r="A466" s="583"/>
      <c r="B466" s="576"/>
      <c r="C466" s="577"/>
      <c r="D466" s="201" t="str">
        <f>серпень!D389</f>
        <v>дотація</v>
      </c>
      <c r="E466" s="71"/>
      <c r="F466" s="61"/>
      <c r="G466" s="61"/>
      <c r="H466" s="61"/>
      <c r="I466" s="61"/>
      <c r="J466" s="61"/>
      <c r="K466" s="61"/>
      <c r="L466" s="61">
        <f>SUM(F466:K466)</f>
        <v>0</v>
      </c>
      <c r="M466" s="61">
        <f>L466/6</f>
        <v>0</v>
      </c>
      <c r="N466" s="61"/>
      <c r="O466" s="61"/>
      <c r="P466" s="61"/>
      <c r="Q466" s="61"/>
      <c r="R466" s="61"/>
      <c r="S466" s="61"/>
      <c r="T466" s="61">
        <f>SUM(N466:S466)</f>
        <v>0</v>
      </c>
      <c r="U466" s="61">
        <f>T466+L466</f>
        <v>0</v>
      </c>
      <c r="V466" s="61">
        <f>V461</f>
        <v>0</v>
      </c>
      <c r="W466" s="72">
        <f>V466-U466</f>
        <v>0</v>
      </c>
      <c r="X466" s="63">
        <f>U461-U466</f>
        <v>0</v>
      </c>
    </row>
    <row r="467" spans="1:24" s="126" customFormat="1" ht="18" hidden="1" customHeight="1">
      <c r="A467" s="583"/>
      <c r="B467" s="576"/>
      <c r="C467" s="577"/>
      <c r="D467" s="201" t="str">
        <f>серпень!D390</f>
        <v xml:space="preserve">місцевий </v>
      </c>
      <c r="E467" s="71"/>
      <c r="F467" s="61">
        <f t="shared" ref="F467:K467" si="457">F465-F466</f>
        <v>0</v>
      </c>
      <c r="G467" s="61">
        <f t="shared" si="457"/>
        <v>0</v>
      </c>
      <c r="H467" s="61">
        <f t="shared" si="457"/>
        <v>0</v>
      </c>
      <c r="I467" s="61">
        <f t="shared" si="457"/>
        <v>0</v>
      </c>
      <c r="J467" s="61">
        <f t="shared" si="457"/>
        <v>0</v>
      </c>
      <c r="K467" s="61">
        <f t="shared" si="457"/>
        <v>0</v>
      </c>
      <c r="L467" s="61">
        <f>SUM(F467:K467)</f>
        <v>0</v>
      </c>
      <c r="M467" s="61">
        <f>L467/6</f>
        <v>0</v>
      </c>
      <c r="N467" s="61">
        <f t="shared" ref="N467:S467" si="458">N465-N466</f>
        <v>0</v>
      </c>
      <c r="O467" s="61">
        <f t="shared" si="458"/>
        <v>0</v>
      </c>
      <c r="P467" s="61">
        <f t="shared" si="458"/>
        <v>0</v>
      </c>
      <c r="Q467" s="61">
        <f t="shared" si="458"/>
        <v>0</v>
      </c>
      <c r="R467" s="61">
        <f t="shared" si="458"/>
        <v>0</v>
      </c>
      <c r="S467" s="61">
        <f t="shared" si="458"/>
        <v>0</v>
      </c>
      <c r="T467" s="61">
        <f>SUM(N467:S467)</f>
        <v>0</v>
      </c>
      <c r="U467" s="61">
        <f>T467+L467</f>
        <v>0</v>
      </c>
      <c r="V467" s="61">
        <f>V462</f>
        <v>0</v>
      </c>
      <c r="W467" s="72">
        <f>V467-U467</f>
        <v>0</v>
      </c>
      <c r="X467" s="63">
        <f>U462-U467</f>
        <v>0</v>
      </c>
    </row>
    <row r="468" spans="1:24" s="43" customFormat="1" ht="18" hidden="1" customHeight="1">
      <c r="A468" s="583"/>
      <c r="B468" s="576"/>
      <c r="C468" s="577"/>
      <c r="D468" s="202" t="str">
        <f>серпень!D391</f>
        <v>план</v>
      </c>
      <c r="E468" s="42"/>
      <c r="F468" s="42">
        <f t="shared" ref="F468:K468" si="459">F462</f>
        <v>0</v>
      </c>
      <c r="G468" s="42">
        <f t="shared" si="459"/>
        <v>0</v>
      </c>
      <c r="H468" s="42">
        <f t="shared" si="459"/>
        <v>0</v>
      </c>
      <c r="I468" s="42">
        <f t="shared" si="459"/>
        <v>0</v>
      </c>
      <c r="J468" s="42">
        <f t="shared" si="459"/>
        <v>0</v>
      </c>
      <c r="K468" s="42">
        <f t="shared" si="459"/>
        <v>0</v>
      </c>
      <c r="L468" s="42">
        <f>SUM(F468:K468)</f>
        <v>0</v>
      </c>
      <c r="M468" s="42">
        <f>L468/6</f>
        <v>0</v>
      </c>
      <c r="N468" s="42">
        <f t="shared" ref="N468:S468" si="460">N462+N461</f>
        <v>0</v>
      </c>
      <c r="O468" s="42">
        <f t="shared" si="460"/>
        <v>0</v>
      </c>
      <c r="P468" s="42">
        <f t="shared" si="460"/>
        <v>0</v>
      </c>
      <c r="Q468" s="42">
        <f t="shared" si="460"/>
        <v>0</v>
      </c>
      <c r="R468" s="42">
        <f t="shared" si="460"/>
        <v>0</v>
      </c>
      <c r="S468" s="42">
        <f t="shared" si="460"/>
        <v>0</v>
      </c>
      <c r="T468" s="42">
        <f>SUM(N468:S468)</f>
        <v>0</v>
      </c>
      <c r="U468" s="42">
        <f>T468+L468</f>
        <v>0</v>
      </c>
      <c r="V468" s="42">
        <f>V465</f>
        <v>0</v>
      </c>
      <c r="W468" s="42">
        <f>V468-U468</f>
        <v>0</v>
      </c>
    </row>
    <row r="469" spans="1:24" s="43" customFormat="1" ht="18" hidden="1" customHeight="1">
      <c r="A469" s="583"/>
      <c r="B469" s="576"/>
      <c r="C469" s="577"/>
      <c r="D469" s="202" t="str">
        <f>серпень!D392</f>
        <v xml:space="preserve">відхилення </v>
      </c>
      <c r="E469" s="42"/>
      <c r="F469" s="42">
        <f t="shared" ref="F469:K469" si="461">F465-F468</f>
        <v>0</v>
      </c>
      <c r="G469" s="42">
        <f t="shared" si="461"/>
        <v>0</v>
      </c>
      <c r="H469" s="42">
        <f t="shared" si="461"/>
        <v>0</v>
      </c>
      <c r="I469" s="42">
        <f t="shared" si="461"/>
        <v>0</v>
      </c>
      <c r="J469" s="42">
        <f t="shared" si="461"/>
        <v>0</v>
      </c>
      <c r="K469" s="42">
        <f t="shared" si="461"/>
        <v>0</v>
      </c>
      <c r="L469" s="42"/>
      <c r="M469" s="42"/>
      <c r="N469" s="42">
        <f t="shared" ref="N469:S469" si="462">N465-N468</f>
        <v>0</v>
      </c>
      <c r="O469" s="42">
        <f t="shared" si="462"/>
        <v>0</v>
      </c>
      <c r="P469" s="42">
        <f t="shared" si="462"/>
        <v>0</v>
      </c>
      <c r="Q469" s="42">
        <f t="shared" si="462"/>
        <v>0</v>
      </c>
      <c r="R469" s="42">
        <f t="shared" si="462"/>
        <v>0</v>
      </c>
      <c r="S469" s="42">
        <f t="shared" si="462"/>
        <v>0</v>
      </c>
      <c r="T469" s="42"/>
      <c r="U469" s="42"/>
      <c r="V469" s="42"/>
      <c r="W469" s="42"/>
    </row>
    <row r="470" spans="1:24" s="43" customFormat="1" ht="18" hidden="1" customHeight="1">
      <c r="A470" s="584"/>
      <c r="B470" s="578"/>
      <c r="C470" s="579"/>
      <c r="D470" s="202" t="str">
        <f>серпень!D393</f>
        <v>відхилення з наростаючим</v>
      </c>
      <c r="E470" s="42"/>
      <c r="F470" s="42">
        <f>F469</f>
        <v>0</v>
      </c>
      <c r="G470" s="42">
        <f>G469+F470</f>
        <v>0</v>
      </c>
      <c r="H470" s="42">
        <f>H469+G470</f>
        <v>0</v>
      </c>
      <c r="I470" s="42">
        <f>I469+H470</f>
        <v>0</v>
      </c>
      <c r="J470" s="42">
        <f>J469+I470</f>
        <v>0</v>
      </c>
      <c r="K470" s="42">
        <f>K469+J470</f>
        <v>0</v>
      </c>
      <c r="L470" s="42"/>
      <c r="M470" s="42"/>
      <c r="N470" s="42">
        <f>N469+K470</f>
        <v>0</v>
      </c>
      <c r="O470" s="42">
        <f>O469+N470</f>
        <v>0</v>
      </c>
      <c r="P470" s="42">
        <f>P469+O470</f>
        <v>0</v>
      </c>
      <c r="Q470" s="42">
        <f>Q469+P470</f>
        <v>0</v>
      </c>
      <c r="R470" s="42">
        <f>R469+Q470</f>
        <v>0</v>
      </c>
      <c r="S470" s="42">
        <f>S469+R470</f>
        <v>0</v>
      </c>
      <c r="T470" s="42"/>
      <c r="U470" s="42"/>
      <c r="V470" s="42"/>
      <c r="W470" s="42"/>
    </row>
    <row r="471" spans="1:24" s="55" customFormat="1" ht="18" customHeight="1">
      <c r="A471" s="591">
        <v>2273</v>
      </c>
      <c r="B471" s="580" t="s">
        <v>26</v>
      </c>
      <c r="C471" s="575"/>
      <c r="D471" s="178" t="str">
        <f>серпень!D394</f>
        <v>факт. нат.п-ки 2023</v>
      </c>
      <c r="E471" s="11"/>
      <c r="F471" s="12">
        <f t="shared" ref="F471:K471" si="463">F486+F501</f>
        <v>200</v>
      </c>
      <c r="G471" s="12">
        <f t="shared" si="463"/>
        <v>866</v>
      </c>
      <c r="H471" s="12">
        <f t="shared" si="463"/>
        <v>3029.5</v>
      </c>
      <c r="I471" s="12">
        <f t="shared" si="463"/>
        <v>5300</v>
      </c>
      <c r="J471" s="12">
        <f t="shared" si="463"/>
        <v>5144</v>
      </c>
      <c r="K471" s="12">
        <f t="shared" si="463"/>
        <v>3280.5</v>
      </c>
      <c r="L471" s="65">
        <f>SUM(F471:K471)</f>
        <v>17820</v>
      </c>
      <c r="M471" s="65">
        <f>L471/6</f>
        <v>2970</v>
      </c>
      <c r="N471" s="12">
        <f t="shared" ref="N471:S471" si="464">N486+N501</f>
        <v>7100</v>
      </c>
      <c r="O471" s="12">
        <f t="shared" si="464"/>
        <v>6200</v>
      </c>
      <c r="P471" s="12">
        <f t="shared" si="464"/>
        <v>7200</v>
      </c>
      <c r="Q471" s="12">
        <f t="shared" si="464"/>
        <v>10300</v>
      </c>
      <c r="R471" s="12">
        <f t="shared" si="464"/>
        <v>13900</v>
      </c>
      <c r="S471" s="12">
        <f t="shared" si="464"/>
        <v>7200</v>
      </c>
      <c r="T471" s="65">
        <f>SUM(N471:S471)</f>
        <v>51900</v>
      </c>
      <c r="U471" s="65">
        <f>T471+L471</f>
        <v>69720</v>
      </c>
      <c r="V471" s="76">
        <f>V486+V501</f>
        <v>69720</v>
      </c>
      <c r="W471" s="38"/>
      <c r="X471" s="47"/>
    </row>
    <row r="472" spans="1:24" s="48" customFormat="1" ht="18" customHeight="1">
      <c r="A472" s="592"/>
      <c r="B472" s="576"/>
      <c r="C472" s="577"/>
      <c r="D472" s="178" t="str">
        <f>серпень!D395</f>
        <v>факт. нат.п-ки 2024</v>
      </c>
      <c r="E472" s="11"/>
      <c r="F472" s="12">
        <f t="shared" ref="F472:K472" si="465">F487+F502</f>
        <v>3300</v>
      </c>
      <c r="G472" s="12">
        <f t="shared" si="465"/>
        <v>3800</v>
      </c>
      <c r="H472" s="12">
        <f t="shared" si="465"/>
        <v>4334.3</v>
      </c>
      <c r="I472" s="12">
        <f t="shared" si="465"/>
        <v>3684.4</v>
      </c>
      <c r="J472" s="12">
        <f t="shared" si="465"/>
        <v>6521.8</v>
      </c>
      <c r="K472" s="12">
        <f t="shared" si="465"/>
        <v>2894</v>
      </c>
      <c r="L472" s="65">
        <f>SUM(F472:K472)</f>
        <v>24534.5</v>
      </c>
      <c r="M472" s="65">
        <f>L472/6</f>
        <v>4089.1</v>
      </c>
      <c r="N472" s="12">
        <f t="shared" ref="N472:S472" si="466">N487+N502</f>
        <v>4302</v>
      </c>
      <c r="O472" s="12">
        <f t="shared" si="466"/>
        <v>2386</v>
      </c>
      <c r="P472" s="12">
        <f t="shared" si="466"/>
        <v>5560</v>
      </c>
      <c r="Q472" s="12">
        <f t="shared" si="466"/>
        <v>11334</v>
      </c>
      <c r="R472" s="12">
        <f t="shared" si="466"/>
        <v>30310.6</v>
      </c>
      <c r="S472" s="12">
        <f t="shared" si="466"/>
        <v>30211.599999999999</v>
      </c>
      <c r="T472" s="65">
        <f>SUM(N472:S472)</f>
        <v>84104.2</v>
      </c>
      <c r="U472" s="65">
        <f>T472+L472</f>
        <v>108638.7</v>
      </c>
      <c r="V472" s="76">
        <f>V487+V502</f>
        <v>108638.7</v>
      </c>
      <c r="W472" s="38"/>
      <c r="X472" s="47"/>
    </row>
    <row r="473" spans="1:24" s="48" customFormat="1" ht="18" customHeight="1">
      <c r="A473" s="592"/>
      <c r="B473" s="576"/>
      <c r="C473" s="577"/>
      <c r="D473" s="178" t="str">
        <f>серпень!D396</f>
        <v>факт. нат.п-ки 2025</v>
      </c>
      <c r="E473" s="11"/>
      <c r="F473" s="82">
        <f t="shared" ref="F473:K473" si="467">F488+F503</f>
        <v>2099</v>
      </c>
      <c r="G473" s="82">
        <f t="shared" si="467"/>
        <v>2043</v>
      </c>
      <c r="H473" s="82">
        <f t="shared" si="467"/>
        <v>13017</v>
      </c>
      <c r="I473" s="82">
        <f t="shared" si="467"/>
        <v>4523</v>
      </c>
      <c r="J473" s="82">
        <f>J488+J503</f>
        <v>12704</v>
      </c>
      <c r="K473" s="82">
        <f t="shared" si="467"/>
        <v>7007</v>
      </c>
      <c r="L473" s="125">
        <f>SUM(F473:K473)</f>
        <v>41393</v>
      </c>
      <c r="M473" s="125">
        <f>L473/6</f>
        <v>6898.8329999999996</v>
      </c>
      <c r="N473" s="466">
        <f t="shared" ref="N473:S473" si="468">N488+N503</f>
        <v>6436</v>
      </c>
      <c r="O473" s="466">
        <f t="shared" si="468"/>
        <v>3189.6</v>
      </c>
      <c r="P473" s="466">
        <f t="shared" si="468"/>
        <v>5560</v>
      </c>
      <c r="Q473" s="466">
        <f t="shared" si="468"/>
        <v>11334</v>
      </c>
      <c r="R473" s="466">
        <f t="shared" si="468"/>
        <v>30310.6</v>
      </c>
      <c r="S473" s="466">
        <f t="shared" si="468"/>
        <v>30211.599999999999</v>
      </c>
      <c r="T473" s="465">
        <f>SUM(N473:S473)</f>
        <v>87041.8</v>
      </c>
      <c r="U473" s="465">
        <f>T473+L473</f>
        <v>128434.8</v>
      </c>
      <c r="V473" s="76">
        <f>V488+V503</f>
        <v>112626.8</v>
      </c>
      <c r="W473" s="38">
        <f>V473-U473</f>
        <v>-15808</v>
      </c>
      <c r="X473" s="47"/>
    </row>
    <row r="474" spans="1:24" s="51" customFormat="1" ht="18" customHeight="1">
      <c r="A474" s="592"/>
      <c r="B474" s="576"/>
      <c r="C474" s="577"/>
      <c r="D474" s="187" t="str">
        <f>серпень!D397</f>
        <v>тариф, грн.</v>
      </c>
      <c r="E474" s="49"/>
      <c r="F474" s="131">
        <f t="shared" ref="F474:S474" si="469">F475/F473*1000</f>
        <v>10.927108</v>
      </c>
      <c r="G474" s="131">
        <f t="shared" si="469"/>
        <v>10.883015</v>
      </c>
      <c r="H474" s="131">
        <f t="shared" si="469"/>
        <v>10.884074999999999</v>
      </c>
      <c r="I474" s="131">
        <f t="shared" si="469"/>
        <v>10.884148</v>
      </c>
      <c r="J474" s="131">
        <f t="shared" si="469"/>
        <v>10.884131</v>
      </c>
      <c r="K474" s="131">
        <f t="shared" si="469"/>
        <v>2.4840870000000002</v>
      </c>
      <c r="L474" s="129">
        <f t="shared" si="469"/>
        <v>9.4642800000000005</v>
      </c>
      <c r="M474" s="129">
        <f t="shared" si="469"/>
        <v>9.4643499999999996</v>
      </c>
      <c r="N474" s="131">
        <f t="shared" si="469"/>
        <v>10.196706000000001</v>
      </c>
      <c r="O474" s="131">
        <f t="shared" si="469"/>
        <v>9.4999369999999992</v>
      </c>
      <c r="P474" s="131">
        <f t="shared" si="469"/>
        <v>10.884173000000001</v>
      </c>
      <c r="Q474" s="131">
        <f t="shared" si="469"/>
        <v>10.884154000000001</v>
      </c>
      <c r="R474" s="131">
        <f t="shared" si="469"/>
        <v>10.884112999999999</v>
      </c>
      <c r="S474" s="131">
        <f t="shared" si="469"/>
        <v>10.884131</v>
      </c>
      <c r="T474" s="129">
        <f>T475/T473*1000</f>
        <v>10.782579999999999</v>
      </c>
      <c r="U474" s="129">
        <f>U475/U473*1000</f>
        <v>10.357710000000001</v>
      </c>
      <c r="V474" s="131">
        <f>V475/V473*1000</f>
        <v>7.0139170000000002</v>
      </c>
      <c r="W474" s="14">
        <f>W475/W473*1000</f>
        <v>34.180999999999997</v>
      </c>
      <c r="X474" s="59"/>
    </row>
    <row r="475" spans="1:24" s="130" customFormat="1" ht="18" customHeight="1">
      <c r="A475" s="592"/>
      <c r="B475" s="576"/>
      <c r="C475" s="577"/>
      <c r="D475" s="191" t="str">
        <f>серпень!D398</f>
        <v>сума, тис.грн.</v>
      </c>
      <c r="E475" s="52"/>
      <c r="F475" s="52">
        <f t="shared" ref="F475:K475" si="470">F490+F505</f>
        <v>22.936</v>
      </c>
      <c r="G475" s="52">
        <f t="shared" si="470"/>
        <v>22.234000000000002</v>
      </c>
      <c r="H475" s="52">
        <f t="shared" si="470"/>
        <v>141.678</v>
      </c>
      <c r="I475" s="52">
        <f t="shared" si="470"/>
        <v>49.228999999999999</v>
      </c>
      <c r="J475" s="52">
        <f t="shared" si="470"/>
        <v>138.27199999999999</v>
      </c>
      <c r="K475" s="52">
        <f t="shared" si="470"/>
        <v>17.405999999999999</v>
      </c>
      <c r="L475" s="69">
        <f>SUM(F475:K475)</f>
        <v>391.755</v>
      </c>
      <c r="M475" s="69">
        <f>L475/6</f>
        <v>65.293000000000006</v>
      </c>
      <c r="N475" s="52">
        <f t="shared" ref="N475:S478" si="471">N490+N505</f>
        <v>65.626000000000005</v>
      </c>
      <c r="O475" s="52">
        <f t="shared" si="471"/>
        <v>30.300999999999998</v>
      </c>
      <c r="P475" s="52">
        <f t="shared" si="471"/>
        <v>60.515999999999998</v>
      </c>
      <c r="Q475" s="52">
        <f t="shared" si="471"/>
        <v>123.361</v>
      </c>
      <c r="R475" s="52">
        <f t="shared" si="471"/>
        <v>329.904</v>
      </c>
      <c r="S475" s="52">
        <f t="shared" si="471"/>
        <v>328.827</v>
      </c>
      <c r="T475" s="69">
        <f>SUM(N475:S475)</f>
        <v>938.53499999999997</v>
      </c>
      <c r="U475" s="69">
        <f>T475+L475</f>
        <v>1330.29</v>
      </c>
      <c r="V475" s="52">
        <f>V490+V505</f>
        <v>789.95500000000004</v>
      </c>
      <c r="W475" s="52">
        <f>V475-U475</f>
        <v>-540.33500000000004</v>
      </c>
    </row>
    <row r="476" spans="1:24" s="130" customFormat="1" ht="18" customHeight="1">
      <c r="A476" s="592"/>
      <c r="B476" s="576"/>
      <c r="C476" s="577"/>
      <c r="D476" s="174" t="str">
        <f>серпень!D399</f>
        <v>дотація</v>
      </c>
      <c r="E476" s="52"/>
      <c r="F476" s="52">
        <f t="shared" ref="F476:K478" si="472">F491+F506</f>
        <v>0</v>
      </c>
      <c r="G476" s="52">
        <f t="shared" si="472"/>
        <v>0</v>
      </c>
      <c r="H476" s="52">
        <f t="shared" si="472"/>
        <v>0</v>
      </c>
      <c r="I476" s="52">
        <f t="shared" si="472"/>
        <v>0</v>
      </c>
      <c r="J476" s="52">
        <f>J491+J506</f>
        <v>0</v>
      </c>
      <c r="K476" s="52">
        <f t="shared" si="472"/>
        <v>0</v>
      </c>
      <c r="L476" s="69">
        <f>SUM(F476:K476)</f>
        <v>0</v>
      </c>
      <c r="M476" s="69">
        <f>L476/6</f>
        <v>0</v>
      </c>
      <c r="N476" s="52">
        <f t="shared" ref="N476:S478" si="473">N491+N506</f>
        <v>0</v>
      </c>
      <c r="O476" s="52">
        <f t="shared" si="473"/>
        <v>0</v>
      </c>
      <c r="P476" s="52">
        <f t="shared" si="471"/>
        <v>0</v>
      </c>
      <c r="Q476" s="52">
        <f t="shared" si="473"/>
        <v>0</v>
      </c>
      <c r="R476" s="52">
        <f t="shared" si="473"/>
        <v>0</v>
      </c>
      <c r="S476" s="52">
        <f t="shared" si="473"/>
        <v>0</v>
      </c>
      <c r="T476" s="69">
        <f>SUM(N476:S476)</f>
        <v>0</v>
      </c>
      <c r="U476" s="69">
        <f>T476+L476</f>
        <v>0</v>
      </c>
      <c r="V476" s="52">
        <f>V491+V506</f>
        <v>0</v>
      </c>
      <c r="W476" s="52">
        <f>V476-U476</f>
        <v>0</v>
      </c>
    </row>
    <row r="477" spans="1:24" s="130" customFormat="1" ht="18" customHeight="1">
      <c r="A477" s="592"/>
      <c r="B477" s="576"/>
      <c r="C477" s="577"/>
      <c r="D477" s="174" t="str">
        <f>серпень!D400</f>
        <v>місцевий (план), тис.грн</v>
      </c>
      <c r="E477" s="52"/>
      <c r="F477" s="52">
        <f t="shared" si="472"/>
        <v>0</v>
      </c>
      <c r="G477" s="52">
        <f t="shared" si="472"/>
        <v>23.001999999999999</v>
      </c>
      <c r="H477" s="52">
        <f t="shared" si="472"/>
        <v>144.76900000000001</v>
      </c>
      <c r="I477" s="52">
        <f t="shared" si="472"/>
        <v>141.679</v>
      </c>
      <c r="J477" s="52">
        <f>J492+J507</f>
        <v>35.002000000000002</v>
      </c>
      <c r="K477" s="52">
        <f t="shared" si="472"/>
        <v>132.92599999999999</v>
      </c>
      <c r="L477" s="69">
        <f>SUM(F477:K477)</f>
        <v>477.37799999999999</v>
      </c>
      <c r="M477" s="69">
        <f>L477/6</f>
        <v>79.563000000000002</v>
      </c>
      <c r="N477" s="52">
        <f t="shared" si="473"/>
        <v>6.5000000000000002E-2</v>
      </c>
      <c r="O477" s="52">
        <f t="shared" si="473"/>
        <v>0</v>
      </c>
      <c r="P477" s="52">
        <f t="shared" si="471"/>
        <v>30.300999999999998</v>
      </c>
      <c r="Q477" s="52">
        <f t="shared" si="473"/>
        <v>51.987000000000002</v>
      </c>
      <c r="R477" s="52">
        <f t="shared" si="473"/>
        <v>96.828999999999994</v>
      </c>
      <c r="S477" s="52">
        <f t="shared" si="473"/>
        <v>133.39500000000001</v>
      </c>
      <c r="T477" s="69">
        <f>SUM(N477:S477)</f>
        <v>312.577</v>
      </c>
      <c r="U477" s="69">
        <f>T477+L477</f>
        <v>789.95500000000004</v>
      </c>
      <c r="V477" s="52">
        <f>V492+V507</f>
        <v>789.95500000000004</v>
      </c>
      <c r="W477" s="52">
        <f>V477-U477</f>
        <v>0</v>
      </c>
    </row>
    <row r="478" spans="1:24" s="48" customFormat="1" ht="18" customHeight="1">
      <c r="A478" s="592"/>
      <c r="B478" s="576"/>
      <c r="C478" s="577"/>
      <c r="D478" s="178" t="str">
        <f>серпень!D401</f>
        <v>касові нат.п-ки 2025</v>
      </c>
      <c r="E478" s="11">
        <f>E493</f>
        <v>0</v>
      </c>
      <c r="F478" s="349">
        <f t="shared" si="472"/>
        <v>0</v>
      </c>
      <c r="G478" s="349">
        <f t="shared" si="472"/>
        <v>16650.8</v>
      </c>
      <c r="H478" s="349">
        <f t="shared" si="472"/>
        <v>13301</v>
      </c>
      <c r="I478" s="349">
        <f t="shared" si="472"/>
        <v>-12842.986000000001</v>
      </c>
      <c r="J478" s="349">
        <f>J493+J508</f>
        <v>13989.035</v>
      </c>
      <c r="K478" s="349">
        <f t="shared" si="472"/>
        <v>12704</v>
      </c>
      <c r="L478" s="465">
        <f>SUM(F478:K478)</f>
        <v>43801.849000000002</v>
      </c>
      <c r="M478" s="465">
        <f>L478/6</f>
        <v>7300.308</v>
      </c>
      <c r="N478" s="565">
        <f t="shared" si="473"/>
        <v>-9466</v>
      </c>
      <c r="O478" s="565">
        <f t="shared" si="473"/>
        <v>6436</v>
      </c>
      <c r="P478" s="565">
        <f t="shared" si="471"/>
        <v>10246.751</v>
      </c>
      <c r="Q478" s="565">
        <f t="shared" si="473"/>
        <v>5560</v>
      </c>
      <c r="R478" s="565">
        <f t="shared" si="473"/>
        <v>11334</v>
      </c>
      <c r="S478" s="565">
        <f t="shared" si="473"/>
        <v>60522.2</v>
      </c>
      <c r="T478" s="465">
        <f>SUM(N478:S478)</f>
        <v>84632.951000000001</v>
      </c>
      <c r="U478" s="465">
        <f>T478+L478</f>
        <v>128434.8</v>
      </c>
      <c r="V478" s="11">
        <f>V493+V508</f>
        <v>112626.8</v>
      </c>
      <c r="W478" s="38">
        <f>V478-U478</f>
        <v>-15808</v>
      </c>
      <c r="X478" s="47">
        <f>U473-U478</f>
        <v>0</v>
      </c>
    </row>
    <row r="479" spans="1:24" s="51" customFormat="1" ht="18" customHeight="1">
      <c r="A479" s="592"/>
      <c r="B479" s="576"/>
      <c r="C479" s="577"/>
      <c r="D479" s="187" t="str">
        <f>серпень!D402</f>
        <v>тариф, грн.</v>
      </c>
      <c r="E479" s="49" t="e">
        <f t="shared" ref="E479:S479" si="474">E480/E478*1000</f>
        <v>#DIV/0!</v>
      </c>
      <c r="F479" s="131" t="e">
        <f t="shared" si="474"/>
        <v>#DIV/0!</v>
      </c>
      <c r="G479" s="131">
        <f t="shared" si="474"/>
        <v>10.924519999999999</v>
      </c>
      <c r="H479" s="131">
        <f t="shared" si="474"/>
        <v>10.884069</v>
      </c>
      <c r="I479" s="131">
        <f t="shared" si="474"/>
        <v>10.88711</v>
      </c>
      <c r="J479" s="131">
        <f t="shared" si="474"/>
        <v>10.884096</v>
      </c>
      <c r="K479" s="131">
        <f t="shared" si="474"/>
        <v>2.4840990000000001</v>
      </c>
      <c r="L479" s="129">
        <f t="shared" si="474"/>
        <v>8.4622899999999994</v>
      </c>
      <c r="M479" s="129">
        <f t="shared" si="474"/>
        <v>8.4622499999999992</v>
      </c>
      <c r="N479" s="131">
        <f t="shared" si="474"/>
        <v>9.0453200000000002</v>
      </c>
      <c r="O479" s="131">
        <f t="shared" si="474"/>
        <v>10.196706000000001</v>
      </c>
      <c r="P479" s="131">
        <f t="shared" si="474"/>
        <v>13.371556</v>
      </c>
      <c r="Q479" s="131">
        <f t="shared" si="474"/>
        <v>10.884173000000001</v>
      </c>
      <c r="R479" s="131">
        <f t="shared" si="474"/>
        <v>10.884154000000001</v>
      </c>
      <c r="S479" s="131">
        <f t="shared" si="474"/>
        <v>10.884122</v>
      </c>
      <c r="T479" s="129">
        <f>T480/T478*1000</f>
        <v>11.33868</v>
      </c>
      <c r="U479" s="129">
        <f>U480/U478*1000</f>
        <v>10.357710000000001</v>
      </c>
      <c r="V479" s="131">
        <f>V480/V478*1000</f>
        <v>7.0139170000000002</v>
      </c>
      <c r="W479" s="14">
        <f>W480/W478*1000</f>
        <v>34.180999999999997</v>
      </c>
      <c r="X479" s="59"/>
    </row>
    <row r="480" spans="1:24" s="126" customFormat="1" ht="18" customHeight="1">
      <c r="A480" s="592"/>
      <c r="B480" s="576"/>
      <c r="C480" s="577"/>
      <c r="D480" s="198" t="str">
        <f>серпень!D403</f>
        <v>касові видатки, тис.грн.</v>
      </c>
      <c r="E480" s="71">
        <f t="shared" ref="E480:K482" si="475">E495+E510</f>
        <v>0</v>
      </c>
      <c r="F480" s="61">
        <f t="shared" si="475"/>
        <v>0</v>
      </c>
      <c r="G480" s="61">
        <f t="shared" si="475"/>
        <v>181.90199999999999</v>
      </c>
      <c r="H480" s="61">
        <f>H495+H510</f>
        <v>144.76900000000001</v>
      </c>
      <c r="I480" s="61">
        <f t="shared" si="475"/>
        <v>-139.82300000000001</v>
      </c>
      <c r="J480" s="61">
        <f t="shared" si="475"/>
        <v>152.25800000000001</v>
      </c>
      <c r="K480" s="61">
        <f t="shared" si="475"/>
        <v>31.558</v>
      </c>
      <c r="L480" s="61">
        <f>SUM(F480:K480)</f>
        <v>370.66399999999999</v>
      </c>
      <c r="M480" s="61">
        <f>L480/6</f>
        <v>61.777000000000001</v>
      </c>
      <c r="N480" s="61">
        <f t="shared" ref="N480:S483" si="476">N495+N510</f>
        <v>-85.623000000000005</v>
      </c>
      <c r="O480" s="61">
        <f t="shared" si="476"/>
        <v>65.626000000000005</v>
      </c>
      <c r="P480" s="61">
        <f t="shared" si="476"/>
        <v>137.01499999999999</v>
      </c>
      <c r="Q480" s="61">
        <f t="shared" si="476"/>
        <v>60.515999999999998</v>
      </c>
      <c r="R480" s="61">
        <f t="shared" si="476"/>
        <v>123.361</v>
      </c>
      <c r="S480" s="61">
        <f t="shared" si="476"/>
        <v>658.73099999999999</v>
      </c>
      <c r="T480" s="61">
        <f>SUM(N480:S480)</f>
        <v>959.62599999999998</v>
      </c>
      <c r="U480" s="61">
        <f>T480+L480</f>
        <v>1330.29</v>
      </c>
      <c r="V480" s="61">
        <f>V495+V510</f>
        <v>789.95500000000004</v>
      </c>
      <c r="W480" s="72">
        <f>V480-U480</f>
        <v>-540.33500000000004</v>
      </c>
      <c r="X480" s="63">
        <f>U475-U480</f>
        <v>0</v>
      </c>
    </row>
    <row r="481" spans="1:24" s="126" customFormat="1" ht="18" customHeight="1">
      <c r="A481" s="592"/>
      <c r="B481" s="576"/>
      <c r="C481" s="577"/>
      <c r="D481" s="201" t="str">
        <f>серпень!D404</f>
        <v>дотація</v>
      </c>
      <c r="E481" s="71"/>
      <c r="F481" s="61">
        <f t="shared" si="475"/>
        <v>0</v>
      </c>
      <c r="G481" s="61">
        <f t="shared" si="475"/>
        <v>0</v>
      </c>
      <c r="H481" s="61">
        <f t="shared" si="475"/>
        <v>0</v>
      </c>
      <c r="I481" s="61">
        <f t="shared" si="475"/>
        <v>0</v>
      </c>
      <c r="J481" s="61">
        <f>J496+J511</f>
        <v>0</v>
      </c>
      <c r="K481" s="61">
        <f t="shared" si="475"/>
        <v>0</v>
      </c>
      <c r="L481" s="61">
        <f>SUM(F481:K481)</f>
        <v>0</v>
      </c>
      <c r="M481" s="61">
        <f>L481/6</f>
        <v>0</v>
      </c>
      <c r="N481" s="61">
        <f t="shared" si="476"/>
        <v>0</v>
      </c>
      <c r="O481" s="61">
        <f t="shared" si="476"/>
        <v>0</v>
      </c>
      <c r="P481" s="61">
        <f t="shared" si="476"/>
        <v>0</v>
      </c>
      <c r="Q481" s="61">
        <f t="shared" si="476"/>
        <v>0</v>
      </c>
      <c r="R481" s="61">
        <f t="shared" si="476"/>
        <v>0</v>
      </c>
      <c r="S481" s="61">
        <f t="shared" si="476"/>
        <v>0</v>
      </c>
      <c r="T481" s="61">
        <f>SUM(N481:S481)</f>
        <v>0</v>
      </c>
      <c r="U481" s="61">
        <f>T481+L481</f>
        <v>0</v>
      </c>
      <c r="V481" s="61">
        <f>V496+V511</f>
        <v>0</v>
      </c>
      <c r="W481" s="72">
        <f>V481-U481</f>
        <v>0</v>
      </c>
      <c r="X481" s="63">
        <f>U476-U481</f>
        <v>0</v>
      </c>
    </row>
    <row r="482" spans="1:24" s="126" customFormat="1" ht="18" customHeight="1">
      <c r="A482" s="592"/>
      <c r="B482" s="576"/>
      <c r="C482" s="577"/>
      <c r="D482" s="201" t="str">
        <f>серпень!D405</f>
        <v xml:space="preserve">місцевий </v>
      </c>
      <c r="E482" s="71"/>
      <c r="F482" s="61">
        <f t="shared" si="475"/>
        <v>0</v>
      </c>
      <c r="G482" s="61">
        <f t="shared" si="475"/>
        <v>181.90199999999999</v>
      </c>
      <c r="H482" s="61">
        <f t="shared" si="475"/>
        <v>144.76900000000001</v>
      </c>
      <c r="I482" s="61">
        <f t="shared" si="475"/>
        <v>-139.82300000000001</v>
      </c>
      <c r="J482" s="61">
        <f>J497+J512</f>
        <v>152.25800000000001</v>
      </c>
      <c r="K482" s="61">
        <f t="shared" si="475"/>
        <v>31.558</v>
      </c>
      <c r="L482" s="61">
        <f>SUM(F482:K482)</f>
        <v>370.66399999999999</v>
      </c>
      <c r="M482" s="61">
        <f>L482/6</f>
        <v>61.777000000000001</v>
      </c>
      <c r="N482" s="61">
        <f t="shared" si="476"/>
        <v>-85.623000000000005</v>
      </c>
      <c r="O482" s="61">
        <f t="shared" si="476"/>
        <v>65.626000000000005</v>
      </c>
      <c r="P482" s="61">
        <f t="shared" si="476"/>
        <v>137.01499999999999</v>
      </c>
      <c r="Q482" s="61">
        <f t="shared" si="476"/>
        <v>60.515999999999998</v>
      </c>
      <c r="R482" s="61">
        <f t="shared" si="476"/>
        <v>123.361</v>
      </c>
      <c r="S482" s="61">
        <f t="shared" si="476"/>
        <v>658.73099999999999</v>
      </c>
      <c r="T482" s="61">
        <f>SUM(N482:S482)</f>
        <v>959.62599999999998</v>
      </c>
      <c r="U482" s="61">
        <f>T482+L482</f>
        <v>1330.29</v>
      </c>
      <c r="V482" s="61">
        <f>V497+V512</f>
        <v>789.95500000000004</v>
      </c>
      <c r="W482" s="72">
        <f>V482-U482</f>
        <v>-540.33500000000004</v>
      </c>
      <c r="X482" s="63">
        <f>U477-U482</f>
        <v>-540.33500000000004</v>
      </c>
    </row>
    <row r="483" spans="1:24" s="43" customFormat="1" ht="18" customHeight="1">
      <c r="A483" s="592"/>
      <c r="B483" s="576"/>
      <c r="C483" s="577"/>
      <c r="D483" s="202" t="str">
        <f>серпень!D406</f>
        <v>план</v>
      </c>
      <c r="E483" s="42"/>
      <c r="F483" s="42">
        <f t="shared" ref="F483:K483" si="477">F477</f>
        <v>0</v>
      </c>
      <c r="G483" s="42">
        <f t="shared" si="477"/>
        <v>23.001999999999999</v>
      </c>
      <c r="H483" s="42">
        <f t="shared" si="477"/>
        <v>144.76900000000001</v>
      </c>
      <c r="I483" s="42">
        <f t="shared" si="477"/>
        <v>141.679</v>
      </c>
      <c r="J483" s="42">
        <f t="shared" si="477"/>
        <v>35.002000000000002</v>
      </c>
      <c r="K483" s="42">
        <f t="shared" si="477"/>
        <v>132.92599999999999</v>
      </c>
      <c r="L483" s="42">
        <f>SUM(F483:K483)</f>
        <v>477.37799999999999</v>
      </c>
      <c r="M483" s="42">
        <f>L483/6</f>
        <v>79.563000000000002</v>
      </c>
      <c r="N483" s="42">
        <f t="shared" si="476"/>
        <v>6.5000000000000002E-2</v>
      </c>
      <c r="O483" s="42">
        <f t="shared" si="476"/>
        <v>0</v>
      </c>
      <c r="P483" s="42">
        <f t="shared" si="476"/>
        <v>30.300999999999998</v>
      </c>
      <c r="Q483" s="42">
        <f t="shared" si="476"/>
        <v>51.987000000000002</v>
      </c>
      <c r="R483" s="42">
        <f t="shared" si="476"/>
        <v>96.828999999999994</v>
      </c>
      <c r="S483" s="42">
        <f t="shared" si="476"/>
        <v>133.39500000000001</v>
      </c>
      <c r="T483" s="42">
        <f>SUM(N483:S483)</f>
        <v>312.577</v>
      </c>
      <c r="U483" s="42">
        <f>T483+L483</f>
        <v>789.95500000000004</v>
      </c>
      <c r="V483" s="42">
        <f>V477+V476</f>
        <v>789.95500000000004</v>
      </c>
      <c r="W483" s="42">
        <f>V483-U483</f>
        <v>0</v>
      </c>
    </row>
    <row r="484" spans="1:24" s="43" customFormat="1" ht="18" customHeight="1">
      <c r="A484" s="592"/>
      <c r="B484" s="576"/>
      <c r="C484" s="577"/>
      <c r="D484" s="202" t="str">
        <f>серпень!D407</f>
        <v xml:space="preserve">відхилення </v>
      </c>
      <c r="E484" s="42"/>
      <c r="F484" s="42">
        <f t="shared" ref="F484:K484" si="478">F480-F483</f>
        <v>0</v>
      </c>
      <c r="G484" s="42">
        <f t="shared" si="478"/>
        <v>158.9</v>
      </c>
      <c r="H484" s="42">
        <f t="shared" si="478"/>
        <v>0</v>
      </c>
      <c r="I484" s="42">
        <f t="shared" si="478"/>
        <v>-281.50200000000001</v>
      </c>
      <c r="J484" s="42">
        <f t="shared" si="478"/>
        <v>117.256</v>
      </c>
      <c r="K484" s="42">
        <f t="shared" si="478"/>
        <v>-101.36799999999999</v>
      </c>
      <c r="L484" s="42"/>
      <c r="M484" s="42"/>
      <c r="N484" s="42">
        <f t="shared" ref="N484:S484" si="479">N480-N483</f>
        <v>-85.688000000000002</v>
      </c>
      <c r="O484" s="42">
        <f t="shared" si="479"/>
        <v>65.626000000000005</v>
      </c>
      <c r="P484" s="42">
        <f t="shared" si="479"/>
        <v>106.714</v>
      </c>
      <c r="Q484" s="42">
        <f t="shared" si="479"/>
        <v>8.5289999999999999</v>
      </c>
      <c r="R484" s="42">
        <f t="shared" si="479"/>
        <v>26.532</v>
      </c>
      <c r="S484" s="42">
        <f t="shared" si="479"/>
        <v>525.33600000000001</v>
      </c>
      <c r="T484" s="42"/>
      <c r="U484" s="42"/>
      <c r="V484" s="42"/>
      <c r="W484" s="42"/>
    </row>
    <row r="485" spans="1:24" s="43" customFormat="1" ht="18" customHeight="1">
      <c r="A485" s="592"/>
      <c r="B485" s="576"/>
      <c r="C485" s="577"/>
      <c r="D485" s="202" t="str">
        <f>серпень!D408</f>
        <v>відхилення з наростаючим</v>
      </c>
      <c r="E485" s="42"/>
      <c r="F485" s="42">
        <f>F484</f>
        <v>0</v>
      </c>
      <c r="G485" s="42">
        <f>G484+F485</f>
        <v>158.9</v>
      </c>
      <c r="H485" s="42">
        <f>H484+G485</f>
        <v>158.9</v>
      </c>
      <c r="I485" s="42">
        <f>I484+H485</f>
        <v>-122.602</v>
      </c>
      <c r="J485" s="42">
        <f>J484+I485</f>
        <v>-5.3460000000000001</v>
      </c>
      <c r="K485" s="42">
        <f>K484+J485</f>
        <v>-106.714</v>
      </c>
      <c r="L485" s="42"/>
      <c r="M485" s="42"/>
      <c r="N485" s="42">
        <f>N484+K485</f>
        <v>-192.40199999999999</v>
      </c>
      <c r="O485" s="42">
        <f>O484+N485</f>
        <v>-126.776</v>
      </c>
      <c r="P485" s="42">
        <f>P484+O485</f>
        <v>-20.062000000000001</v>
      </c>
      <c r="Q485" s="42">
        <f>Q484+P485</f>
        <v>-11.532999999999999</v>
      </c>
      <c r="R485" s="42">
        <f>R484+Q485</f>
        <v>14.999000000000001</v>
      </c>
      <c r="S485" s="42">
        <f>S484+R485</f>
        <v>540.33500000000004</v>
      </c>
      <c r="T485" s="42"/>
      <c r="U485" s="42"/>
      <c r="V485" s="42"/>
      <c r="W485" s="42"/>
    </row>
    <row r="486" spans="1:24" s="55" customFormat="1" ht="18" customHeight="1">
      <c r="A486" s="592"/>
      <c r="B486" s="581" t="s">
        <v>32</v>
      </c>
      <c r="C486" s="581"/>
      <c r="D486" s="178" t="str">
        <f>серпень!D409</f>
        <v>факт. нат.п-ки 2023</v>
      </c>
      <c r="E486" s="11"/>
      <c r="F486" s="12">
        <v>200</v>
      </c>
      <c r="G486" s="12">
        <v>866</v>
      </c>
      <c r="H486" s="12">
        <v>3029.5</v>
      </c>
      <c r="I486" s="12">
        <v>5300</v>
      </c>
      <c r="J486" s="12">
        <v>5144</v>
      </c>
      <c r="K486" s="12">
        <v>3280.5</v>
      </c>
      <c r="L486" s="65">
        <f>SUM(F486:K486)</f>
        <v>17820</v>
      </c>
      <c r="M486" s="65">
        <f>L486/6</f>
        <v>2970</v>
      </c>
      <c r="N486" s="112">
        <v>7100</v>
      </c>
      <c r="O486" s="112">
        <v>6200</v>
      </c>
      <c r="P486" s="112">
        <v>7200</v>
      </c>
      <c r="Q486" s="112">
        <v>10300</v>
      </c>
      <c r="R486" s="112">
        <v>13900</v>
      </c>
      <c r="S486" s="112">
        <v>7200</v>
      </c>
      <c r="T486" s="65">
        <f>SUM(N486:S486)</f>
        <v>51900</v>
      </c>
      <c r="U486" s="65">
        <f>T486+L486</f>
        <v>69720</v>
      </c>
      <c r="V486" s="46">
        <v>69720</v>
      </c>
      <c r="W486" s="38"/>
      <c r="X486" s="47"/>
    </row>
    <row r="487" spans="1:24" s="48" customFormat="1" ht="18" customHeight="1">
      <c r="A487" s="592"/>
      <c r="B487" s="581"/>
      <c r="C487" s="581"/>
      <c r="D487" s="178" t="str">
        <f>серпень!D410</f>
        <v>факт. нат.п-ки 2024</v>
      </c>
      <c r="E487" s="11"/>
      <c r="F487" s="83">
        <v>3300</v>
      </c>
      <c r="G487" s="12">
        <v>3800</v>
      </c>
      <c r="H487" s="12">
        <v>4334.3</v>
      </c>
      <c r="I487" s="12">
        <v>3684.4</v>
      </c>
      <c r="J487" s="12">
        <v>6521.83</v>
      </c>
      <c r="K487" s="12">
        <v>2894</v>
      </c>
      <c r="L487" s="65">
        <f>SUM(F487:K487)</f>
        <v>24534.5</v>
      </c>
      <c r="M487" s="65">
        <f>L487/6</f>
        <v>4089.1</v>
      </c>
      <c r="N487" s="112">
        <v>4302</v>
      </c>
      <c r="O487" s="112">
        <v>2386</v>
      </c>
      <c r="P487" s="112">
        <v>5560</v>
      </c>
      <c r="Q487" s="112">
        <v>11334</v>
      </c>
      <c r="R487" s="112">
        <v>30310.6</v>
      </c>
      <c r="S487" s="112">
        <v>30211.599999999999</v>
      </c>
      <c r="T487" s="65">
        <f>SUM(N487:S487)</f>
        <v>84104.2</v>
      </c>
      <c r="U487" s="65">
        <f>T487+L487</f>
        <v>108638.7</v>
      </c>
      <c r="V487" s="11">
        <v>108638.7</v>
      </c>
      <c r="W487" s="38"/>
      <c r="X487" s="47"/>
    </row>
    <row r="488" spans="1:24" s="48" customFormat="1" ht="18" customHeight="1">
      <c r="A488" s="592"/>
      <c r="B488" s="581"/>
      <c r="C488" s="581"/>
      <c r="D488" s="178" t="str">
        <f>серпень!D411</f>
        <v>факт. нат.п-ки 2025</v>
      </c>
      <c r="E488" s="11"/>
      <c r="F488" s="535">
        <v>2099</v>
      </c>
      <c r="G488" s="563">
        <v>2043</v>
      </c>
      <c r="H488" s="563">
        <v>13017</v>
      </c>
      <c r="I488" s="563">
        <v>4523</v>
      </c>
      <c r="J488" s="563">
        <f>12704</f>
        <v>12704</v>
      </c>
      <c r="K488" s="563">
        <v>7007</v>
      </c>
      <c r="L488" s="465">
        <f>SUM(F488:K488)</f>
        <v>41393</v>
      </c>
      <c r="M488" s="465">
        <f>L488/6</f>
        <v>6898.8329999999996</v>
      </c>
      <c r="N488" s="564">
        <v>6436</v>
      </c>
      <c r="O488" s="564">
        <v>3189.6</v>
      </c>
      <c r="P488" s="564">
        <v>5560</v>
      </c>
      <c r="Q488" s="564">
        <v>11334</v>
      </c>
      <c r="R488" s="564">
        <v>30310.6</v>
      </c>
      <c r="S488" s="564">
        <v>30211.599999999999</v>
      </c>
      <c r="T488" s="465">
        <f>SUM(N488:S488)</f>
        <v>87041.8</v>
      </c>
      <c r="U488" s="465">
        <f>T488+L488</f>
        <v>128434.8</v>
      </c>
      <c r="V488" s="11">
        <v>112626.8</v>
      </c>
      <c r="W488" s="38">
        <f>V488-U488</f>
        <v>-15808</v>
      </c>
      <c r="X488" s="47"/>
    </row>
    <row r="489" spans="1:24" s="51" customFormat="1" ht="18" customHeight="1">
      <c r="A489" s="592"/>
      <c r="B489" s="581"/>
      <c r="C489" s="581"/>
      <c r="D489" s="187" t="str">
        <f>серпень!D412</f>
        <v>тариф, грн.</v>
      </c>
      <c r="E489" s="129" t="e">
        <f>E490/E488*1000</f>
        <v>#DIV/0!</v>
      </c>
      <c r="F489" s="129">
        <f t="shared" ref="F489:K489" si="480">F490/F488*1000</f>
        <v>10.927110000000001</v>
      </c>
      <c r="G489" s="129">
        <f t="shared" si="480"/>
        <v>10.88302</v>
      </c>
      <c r="H489" s="129">
        <f t="shared" si="480"/>
        <v>10.884069999999999</v>
      </c>
      <c r="I489" s="129">
        <f t="shared" si="480"/>
        <v>10.88415</v>
      </c>
      <c r="J489" s="129">
        <f t="shared" si="480"/>
        <v>10.884130000000001</v>
      </c>
      <c r="K489" s="129">
        <f t="shared" si="480"/>
        <v>2.4840900000000001</v>
      </c>
      <c r="L489" s="132">
        <f>L490/L488*1000</f>
        <v>9.4642800000000005</v>
      </c>
      <c r="M489" s="132">
        <f>M490/M488*1000</f>
        <v>9.4643499999999996</v>
      </c>
      <c r="N489" s="132">
        <f t="shared" ref="N489:O489" si="481">N490/N488*1000</f>
        <v>10.196709999999999</v>
      </c>
      <c r="O489" s="132">
        <f t="shared" si="481"/>
        <v>9.4999400000000005</v>
      </c>
      <c r="P489" s="132">
        <v>10.884119999999999</v>
      </c>
      <c r="Q489" s="132">
        <v>10.884119999999999</v>
      </c>
      <c r="R489" s="132">
        <v>10.884119999999999</v>
      </c>
      <c r="S489" s="129">
        <v>10.884119999999999</v>
      </c>
      <c r="T489" s="132">
        <f>T490/T488*1000</f>
        <v>10.782579999999999</v>
      </c>
      <c r="U489" s="132">
        <f>U490/U488*1000</f>
        <v>10.357710000000001</v>
      </c>
      <c r="V489" s="132">
        <f>V490/V488*1000</f>
        <v>7.0139199999999997</v>
      </c>
      <c r="W489" s="40">
        <f>W490/W488*1000</f>
        <v>34.181109999999997</v>
      </c>
      <c r="X489" s="59"/>
    </row>
    <row r="490" spans="1:24" s="130" customFormat="1" ht="18" customHeight="1">
      <c r="A490" s="592"/>
      <c r="B490" s="581"/>
      <c r="C490" s="581"/>
      <c r="D490" s="191" t="str">
        <f>серпень!D413</f>
        <v>сума, тис.грн.</v>
      </c>
      <c r="E490" s="52"/>
      <c r="F490" s="52">
        <v>22.936</v>
      </c>
      <c r="G490" s="52">
        <v>22.234000000000002</v>
      </c>
      <c r="H490" s="52">
        <v>141.678</v>
      </c>
      <c r="I490" s="52">
        <v>49.228999999999999</v>
      </c>
      <c r="J490" s="52">
        <f>138.272</f>
        <v>138.27199999999999</v>
      </c>
      <c r="K490" s="52">
        <v>17.405999999999999</v>
      </c>
      <c r="L490" s="69">
        <f>SUM(F490:K490)</f>
        <v>391.755</v>
      </c>
      <c r="M490" s="69">
        <f>L490/6</f>
        <v>65.293000000000006</v>
      </c>
      <c r="N490" s="52">
        <v>65.626000000000005</v>
      </c>
      <c r="O490" s="52">
        <v>30.300999999999998</v>
      </c>
      <c r="P490" s="52">
        <f t="shared" ref="P490" si="482">P488*P489/1000</f>
        <v>60.515999999999998</v>
      </c>
      <c r="Q490" s="52">
        <f t="shared" ref="Q490" si="483">Q488*Q489/1000</f>
        <v>123.361</v>
      </c>
      <c r="R490" s="52">
        <f t="shared" ref="R490" si="484">R488*R489/1000</f>
        <v>329.904</v>
      </c>
      <c r="S490" s="52">
        <f>S488*S489/1000</f>
        <v>328.827</v>
      </c>
      <c r="T490" s="69">
        <f>SUM(N490:S490)</f>
        <v>938.53499999999997</v>
      </c>
      <c r="U490" s="69">
        <f>T490+L490</f>
        <v>1330.29</v>
      </c>
      <c r="V490" s="70">
        <f>V491+V492</f>
        <v>789.95500000000004</v>
      </c>
      <c r="W490" s="53">
        <f>V490-U490</f>
        <v>-540.33500000000004</v>
      </c>
      <c r="X490" s="133"/>
    </row>
    <row r="491" spans="1:24" s="130" customFormat="1" ht="18" customHeight="1">
      <c r="A491" s="592"/>
      <c r="B491" s="581"/>
      <c r="C491" s="581"/>
      <c r="D491" s="174" t="str">
        <f>серпень!D414</f>
        <v>дотація</v>
      </c>
      <c r="E491" s="56"/>
      <c r="F491" s="52"/>
      <c r="G491" s="52"/>
      <c r="H491" s="52"/>
      <c r="I491" s="52"/>
      <c r="J491" s="52"/>
      <c r="K491" s="52"/>
      <c r="L491" s="69">
        <f>SUM(F491:K491)</f>
        <v>0</v>
      </c>
      <c r="M491" s="69">
        <f>L491/6</f>
        <v>0</v>
      </c>
      <c r="N491" s="52"/>
      <c r="O491" s="52"/>
      <c r="P491" s="52"/>
      <c r="Q491" s="52"/>
      <c r="R491" s="52"/>
      <c r="S491" s="52"/>
      <c r="T491" s="69">
        <f>SUM(N491:S491)</f>
        <v>0</v>
      </c>
      <c r="U491" s="69">
        <f>T491+L491</f>
        <v>0</v>
      </c>
      <c r="V491" s="70">
        <v>0</v>
      </c>
      <c r="W491" s="53">
        <f>V491-U491</f>
        <v>0</v>
      </c>
    </row>
    <row r="492" spans="1:24" s="130" customFormat="1" ht="18" customHeight="1">
      <c r="A492" s="592"/>
      <c r="B492" s="581"/>
      <c r="C492" s="581"/>
      <c r="D492" s="174" t="str">
        <f>серпень!D415</f>
        <v>місцевий (план), тис.грн</v>
      </c>
      <c r="E492" s="56"/>
      <c r="F492" s="52">
        <v>0</v>
      </c>
      <c r="G492" s="52">
        <v>23.001999999999999</v>
      </c>
      <c r="H492" s="52">
        <f>36.1+108.8-0.131</f>
        <v>144.76900000000001</v>
      </c>
      <c r="I492" s="52">
        <v>141.679</v>
      </c>
      <c r="J492" s="52">
        <f>35.002</f>
        <v>35.002000000000002</v>
      </c>
      <c r="K492" s="52">
        <v>132.92599999999999</v>
      </c>
      <c r="L492" s="69">
        <f>SUM(F492:K492)</f>
        <v>477.37799999999999</v>
      </c>
      <c r="M492" s="69">
        <f>L492/6</f>
        <v>79.563000000000002</v>
      </c>
      <c r="N492" s="52">
        <v>6.5000000000000002E-2</v>
      </c>
      <c r="O492" s="52">
        <f>67.45-30-37.45</f>
        <v>0</v>
      </c>
      <c r="P492" s="52">
        <v>30.300999999999998</v>
      </c>
      <c r="Q492" s="52">
        <v>51.987000000000002</v>
      </c>
      <c r="R492" s="52">
        <v>96.828999999999994</v>
      </c>
      <c r="S492" s="52">
        <v>133.39500000000001</v>
      </c>
      <c r="T492" s="69">
        <f>SUM(N492:S492)</f>
        <v>312.577</v>
      </c>
      <c r="U492" s="69">
        <f>T492+L492</f>
        <v>789.95500000000004</v>
      </c>
      <c r="V492" s="70">
        <f>1069.955-280</f>
        <v>789.95500000000004</v>
      </c>
      <c r="W492" s="53">
        <f>V492-U492</f>
        <v>0</v>
      </c>
    </row>
    <row r="493" spans="1:24" s="48" customFormat="1" ht="18" customHeight="1">
      <c r="A493" s="592"/>
      <c r="B493" s="581"/>
      <c r="C493" s="581"/>
      <c r="D493" s="178" t="str">
        <f>серпень!D416</f>
        <v>касові нат.п-ки 2025</v>
      </c>
      <c r="E493" s="11"/>
      <c r="F493" s="563">
        <v>0</v>
      </c>
      <c r="G493" s="535">
        <v>16650.8</v>
      </c>
      <c r="H493" s="563">
        <v>13301</v>
      </c>
      <c r="I493" s="563">
        <f>-139823/10.8871096</f>
        <v>-12842.986000000001</v>
      </c>
      <c r="J493" s="563">
        <v>13989.035</v>
      </c>
      <c r="K493" s="563">
        <v>12704</v>
      </c>
      <c r="L493" s="465">
        <f>SUM(F493:K493)</f>
        <v>43801.849000000002</v>
      </c>
      <c r="M493" s="465">
        <f>L493/6</f>
        <v>7300.308</v>
      </c>
      <c r="N493" s="466">
        <v>-9466</v>
      </c>
      <c r="O493" s="565">
        <v>6436</v>
      </c>
      <c r="P493" s="565">
        <f>3189.6+7057.151</f>
        <v>10246.751</v>
      </c>
      <c r="Q493" s="565">
        <v>5560</v>
      </c>
      <c r="R493" s="565">
        <v>11334</v>
      </c>
      <c r="S493" s="565">
        <f>R488+S488</f>
        <v>60522.2</v>
      </c>
      <c r="T493" s="465">
        <f>SUM(N493:S493)</f>
        <v>84632.951000000001</v>
      </c>
      <c r="U493" s="465">
        <f>T493+L493</f>
        <v>128434.8</v>
      </c>
      <c r="V493" s="11">
        <f>V488</f>
        <v>112626.8</v>
      </c>
      <c r="W493" s="38">
        <f>V493-U493</f>
        <v>-15808</v>
      </c>
      <c r="X493" s="47">
        <f>U488-U493</f>
        <v>0</v>
      </c>
    </row>
    <row r="494" spans="1:24" s="51" customFormat="1" ht="18" customHeight="1">
      <c r="A494" s="592"/>
      <c r="B494" s="581"/>
      <c r="C494" s="581"/>
      <c r="D494" s="187" t="str">
        <f>серпень!D417</f>
        <v>тариф, грн.</v>
      </c>
      <c r="E494" s="129" t="e">
        <f>E495/E493*1000</f>
        <v>#DIV/0!</v>
      </c>
      <c r="F494" s="129" t="e">
        <f t="shared" ref="F494:K494" si="485">F495/F493*1000</f>
        <v>#DIV/0!</v>
      </c>
      <c r="G494" s="129">
        <f t="shared" si="485"/>
        <v>10.924519999999999</v>
      </c>
      <c r="H494" s="129">
        <f t="shared" si="485"/>
        <v>10.884069999999999</v>
      </c>
      <c r="I494" s="129">
        <f t="shared" si="485"/>
        <v>10.88711</v>
      </c>
      <c r="J494" s="129">
        <f t="shared" si="485"/>
        <v>10.8841</v>
      </c>
      <c r="K494" s="129">
        <f t="shared" si="485"/>
        <v>2.4841000000000002</v>
      </c>
      <c r="L494" s="132">
        <f>L495/L493*1000</f>
        <v>8.4622899999999994</v>
      </c>
      <c r="M494" s="132">
        <f>M495/M493*1000</f>
        <v>8.4622499999999992</v>
      </c>
      <c r="N494" s="132">
        <f>N495/N493*1000</f>
        <v>9.0453200000000002</v>
      </c>
      <c r="O494" s="132">
        <f t="shared" ref="O494:P494" si="486">O495/O493*1000</f>
        <v>10.196709999999999</v>
      </c>
      <c r="P494" s="132">
        <f t="shared" si="486"/>
        <v>13.371560000000001</v>
      </c>
      <c r="Q494" s="129">
        <v>10.884119999999999</v>
      </c>
      <c r="R494" s="129">
        <v>10.884119999999999</v>
      </c>
      <c r="S494" s="129">
        <v>10.884119999999999</v>
      </c>
      <c r="T494" s="132">
        <f>T495/T493*1000</f>
        <v>11.33868</v>
      </c>
      <c r="U494" s="132">
        <f>U495/U493*1000</f>
        <v>10.357710000000001</v>
      </c>
      <c r="V494" s="68">
        <f>V495/V493*1000</f>
        <v>7.0140000000000002</v>
      </c>
      <c r="W494" s="14">
        <f>W495/W493*1000</f>
        <v>34.180999999999997</v>
      </c>
      <c r="X494" s="59"/>
    </row>
    <row r="495" spans="1:24" s="126" customFormat="1" ht="18" customHeight="1">
      <c r="A495" s="592"/>
      <c r="B495" s="581"/>
      <c r="C495" s="581"/>
      <c r="D495" s="198" t="str">
        <f>серпень!D418</f>
        <v>касові видатки, тис.грн.</v>
      </c>
      <c r="E495" s="71"/>
      <c r="F495" s="61">
        <v>0</v>
      </c>
      <c r="G495" s="61">
        <v>181.90199999999999</v>
      </c>
      <c r="H495" s="61">
        <v>144.76900000000001</v>
      </c>
      <c r="I495" s="61">
        <v>-139.82300000000001</v>
      </c>
      <c r="J495" s="61">
        <v>152.25800000000001</v>
      </c>
      <c r="K495" s="61">
        <v>31.558</v>
      </c>
      <c r="L495" s="61">
        <f>SUM(F495:K495)</f>
        <v>370.66399999999999</v>
      </c>
      <c r="M495" s="61">
        <f>L495/6</f>
        <v>61.777000000000001</v>
      </c>
      <c r="N495" s="61">
        <v>-85.623000000000005</v>
      </c>
      <c r="O495" s="61">
        <v>65.626000000000005</v>
      </c>
      <c r="P495" s="61">
        <f>30.301+106.714</f>
        <v>137.01499999999999</v>
      </c>
      <c r="Q495" s="61">
        <f t="shared" ref="Q495" si="487">Q493*Q494/1000</f>
        <v>60.515999999999998</v>
      </c>
      <c r="R495" s="61">
        <f t="shared" ref="R495" si="488">R493*R494/1000</f>
        <v>123.361</v>
      </c>
      <c r="S495" s="61">
        <f t="shared" ref="S495" si="489">S493*S494/1000</f>
        <v>658.73099999999999</v>
      </c>
      <c r="T495" s="61">
        <f>SUM(N495:S495)</f>
        <v>959.62599999999998</v>
      </c>
      <c r="U495" s="61">
        <f>T495+L495</f>
        <v>1330.29</v>
      </c>
      <c r="V495" s="61">
        <f>V490</f>
        <v>789.95500000000004</v>
      </c>
      <c r="W495" s="72">
        <f>V495-U495</f>
        <v>-540.33500000000004</v>
      </c>
      <c r="X495" s="63">
        <f>U490-U495</f>
        <v>0</v>
      </c>
    </row>
    <row r="496" spans="1:24" s="126" customFormat="1" ht="18" customHeight="1">
      <c r="A496" s="592"/>
      <c r="B496" s="581"/>
      <c r="C496" s="581"/>
      <c r="D496" s="201" t="str">
        <f>серпень!D419</f>
        <v>дотація</v>
      </c>
      <c r="E496" s="71"/>
      <c r="F496" s="61">
        <v>0</v>
      </c>
      <c r="G496" s="61">
        <v>0</v>
      </c>
      <c r="H496" s="61">
        <v>0</v>
      </c>
      <c r="I496" s="61">
        <v>0</v>
      </c>
      <c r="J496" s="61">
        <v>0</v>
      </c>
      <c r="K496" s="61">
        <v>0</v>
      </c>
      <c r="L496" s="61">
        <f>SUM(F496:K496)</f>
        <v>0</v>
      </c>
      <c r="M496" s="61">
        <f>L496/6</f>
        <v>0</v>
      </c>
      <c r="N496" s="61">
        <v>0</v>
      </c>
      <c r="O496" s="61">
        <v>0</v>
      </c>
      <c r="P496" s="61">
        <v>0</v>
      </c>
      <c r="Q496" s="61">
        <v>0</v>
      </c>
      <c r="R496" s="61">
        <v>0</v>
      </c>
      <c r="S496" s="61">
        <v>0</v>
      </c>
      <c r="T496" s="61">
        <f>SUM(N496:S496)</f>
        <v>0</v>
      </c>
      <c r="U496" s="61">
        <f>T496+L496</f>
        <v>0</v>
      </c>
      <c r="V496" s="61">
        <f>V491</f>
        <v>0</v>
      </c>
      <c r="W496" s="72">
        <f>V496-U496</f>
        <v>0</v>
      </c>
      <c r="X496" s="63">
        <f>U491-U496</f>
        <v>0</v>
      </c>
    </row>
    <row r="497" spans="1:24" s="126" customFormat="1" ht="18" customHeight="1">
      <c r="A497" s="592"/>
      <c r="B497" s="581"/>
      <c r="C497" s="581"/>
      <c r="D497" s="201" t="str">
        <f>серпень!D420</f>
        <v xml:space="preserve">місцевий </v>
      </c>
      <c r="E497" s="71"/>
      <c r="F497" s="61">
        <f t="shared" ref="F497:K497" si="490">F495-F496</f>
        <v>0</v>
      </c>
      <c r="G497" s="61">
        <f t="shared" si="490"/>
        <v>181.90199999999999</v>
      </c>
      <c r="H497" s="61">
        <f t="shared" si="490"/>
        <v>144.76900000000001</v>
      </c>
      <c r="I497" s="61">
        <f t="shared" si="490"/>
        <v>-139.82300000000001</v>
      </c>
      <c r="J497" s="61">
        <f t="shared" si="490"/>
        <v>152.25800000000001</v>
      </c>
      <c r="K497" s="61">
        <f t="shared" si="490"/>
        <v>31.558</v>
      </c>
      <c r="L497" s="61">
        <f>SUM(F497:K497)</f>
        <v>370.66399999999999</v>
      </c>
      <c r="M497" s="61">
        <f>L497/6</f>
        <v>61.777000000000001</v>
      </c>
      <c r="N497" s="61">
        <f t="shared" ref="N497:S497" si="491">N495-N496</f>
        <v>-85.623000000000005</v>
      </c>
      <c r="O497" s="61">
        <f t="shared" si="491"/>
        <v>65.626000000000005</v>
      </c>
      <c r="P497" s="61">
        <f t="shared" si="491"/>
        <v>137.01499999999999</v>
      </c>
      <c r="Q497" s="61">
        <f t="shared" si="491"/>
        <v>60.515999999999998</v>
      </c>
      <c r="R497" s="61">
        <f t="shared" si="491"/>
        <v>123.361</v>
      </c>
      <c r="S497" s="61">
        <f t="shared" si="491"/>
        <v>658.73099999999999</v>
      </c>
      <c r="T497" s="61">
        <f>SUM(N497:S497)</f>
        <v>959.62599999999998</v>
      </c>
      <c r="U497" s="61">
        <f>T497+L497</f>
        <v>1330.29</v>
      </c>
      <c r="V497" s="61">
        <f>V492</f>
        <v>789.95500000000004</v>
      </c>
      <c r="W497" s="72">
        <f>V497-U497</f>
        <v>-540.33500000000004</v>
      </c>
      <c r="X497" s="63">
        <f>U492-U497</f>
        <v>-540.33500000000004</v>
      </c>
    </row>
    <row r="498" spans="1:24" s="43" customFormat="1" ht="18" customHeight="1">
      <c r="A498" s="592"/>
      <c r="B498" s="581"/>
      <c r="C498" s="581"/>
      <c r="D498" s="202" t="str">
        <f>серпень!D421</f>
        <v>план</v>
      </c>
      <c r="E498" s="42"/>
      <c r="F498" s="42">
        <f t="shared" ref="F498:K498" si="492">F492</f>
        <v>0</v>
      </c>
      <c r="G498" s="42">
        <f t="shared" si="492"/>
        <v>23.001999999999999</v>
      </c>
      <c r="H498" s="42">
        <f t="shared" si="492"/>
        <v>144.76900000000001</v>
      </c>
      <c r="I498" s="42">
        <f t="shared" si="492"/>
        <v>141.679</v>
      </c>
      <c r="J498" s="42">
        <f t="shared" si="492"/>
        <v>35.002000000000002</v>
      </c>
      <c r="K498" s="42">
        <f t="shared" si="492"/>
        <v>132.92599999999999</v>
      </c>
      <c r="L498" s="42">
        <f>SUM(F498:K498)</f>
        <v>477.37799999999999</v>
      </c>
      <c r="M498" s="42">
        <f>L498/6</f>
        <v>79.563000000000002</v>
      </c>
      <c r="N498" s="42">
        <f t="shared" ref="N498:S498" si="493">N492+N491</f>
        <v>6.5000000000000002E-2</v>
      </c>
      <c r="O498" s="42">
        <f t="shared" si="493"/>
        <v>0</v>
      </c>
      <c r="P498" s="42">
        <f t="shared" si="493"/>
        <v>30.300999999999998</v>
      </c>
      <c r="Q498" s="42">
        <f t="shared" si="493"/>
        <v>51.987000000000002</v>
      </c>
      <c r="R498" s="42">
        <f t="shared" si="493"/>
        <v>96.828999999999994</v>
      </c>
      <c r="S498" s="42">
        <f t="shared" si="493"/>
        <v>133.39500000000001</v>
      </c>
      <c r="T498" s="42">
        <f>SUM(N498:S498)</f>
        <v>312.577</v>
      </c>
      <c r="U498" s="42">
        <f>T498+L498</f>
        <v>789.95500000000004</v>
      </c>
      <c r="V498" s="42">
        <f>V495</f>
        <v>789.95500000000004</v>
      </c>
      <c r="W498" s="42">
        <f>V498-U498</f>
        <v>0</v>
      </c>
    </row>
    <row r="499" spans="1:24" s="43" customFormat="1" ht="18" customHeight="1">
      <c r="A499" s="592"/>
      <c r="B499" s="581"/>
      <c r="C499" s="581"/>
      <c r="D499" s="202" t="str">
        <f>серпень!D422</f>
        <v xml:space="preserve">відхилення </v>
      </c>
      <c r="E499" s="42"/>
      <c r="F499" s="42">
        <f t="shared" ref="F499:K499" si="494">F495-F498</f>
        <v>0</v>
      </c>
      <c r="G499" s="42">
        <f t="shared" si="494"/>
        <v>158.9</v>
      </c>
      <c r="H499" s="42">
        <f t="shared" si="494"/>
        <v>0</v>
      </c>
      <c r="I499" s="42">
        <f t="shared" si="494"/>
        <v>-281.50200000000001</v>
      </c>
      <c r="J499" s="42">
        <f t="shared" si="494"/>
        <v>117.256</v>
      </c>
      <c r="K499" s="42">
        <f t="shared" si="494"/>
        <v>-101.36799999999999</v>
      </c>
      <c r="L499" s="42"/>
      <c r="M499" s="42"/>
      <c r="N499" s="42">
        <f t="shared" ref="N499:S499" si="495">N495-N498</f>
        <v>-85.688000000000002</v>
      </c>
      <c r="O499" s="42">
        <f t="shared" si="495"/>
        <v>65.626000000000005</v>
      </c>
      <c r="P499" s="42">
        <f t="shared" si="495"/>
        <v>106.714</v>
      </c>
      <c r="Q499" s="42">
        <f t="shared" si="495"/>
        <v>8.5289999999999999</v>
      </c>
      <c r="R499" s="42">
        <f t="shared" si="495"/>
        <v>26.532</v>
      </c>
      <c r="S499" s="42">
        <f t="shared" si="495"/>
        <v>525.33600000000001</v>
      </c>
      <c r="T499" s="42"/>
      <c r="U499" s="42"/>
      <c r="V499" s="42"/>
      <c r="W499" s="42"/>
    </row>
    <row r="500" spans="1:24" s="43" customFormat="1" ht="18" customHeight="1">
      <c r="A500" s="592"/>
      <c r="B500" s="581"/>
      <c r="C500" s="581"/>
      <c r="D500" s="202" t="str">
        <f>серпень!D423</f>
        <v>відхилення з наростаючим</v>
      </c>
      <c r="E500" s="42"/>
      <c r="F500" s="42">
        <f>F499</f>
        <v>0</v>
      </c>
      <c r="G500" s="42">
        <f>G499+F500</f>
        <v>158.9</v>
      </c>
      <c r="H500" s="42">
        <f>H499+G500</f>
        <v>158.9</v>
      </c>
      <c r="I500" s="42">
        <f>I499+H500</f>
        <v>-122.602</v>
      </c>
      <c r="J500" s="42">
        <f>J499+I500</f>
        <v>-5.3460000000000001</v>
      </c>
      <c r="K500" s="42">
        <f>K499+J500</f>
        <v>-106.714</v>
      </c>
      <c r="L500" s="42"/>
      <c r="M500" s="42"/>
      <c r="N500" s="42">
        <f>N499+K500</f>
        <v>-192.40199999999999</v>
      </c>
      <c r="O500" s="42">
        <f>O499+N500</f>
        <v>-126.776</v>
      </c>
      <c r="P500" s="42">
        <f>P499+O500</f>
        <v>-20.062000000000001</v>
      </c>
      <c r="Q500" s="42">
        <f>Q499+P500</f>
        <v>-11.532999999999999</v>
      </c>
      <c r="R500" s="42">
        <f>R499+Q500</f>
        <v>14.999000000000001</v>
      </c>
      <c r="S500" s="42">
        <f>S499+R500</f>
        <v>540.33500000000004</v>
      </c>
      <c r="T500" s="42"/>
      <c r="U500" s="42"/>
      <c r="V500" s="42"/>
      <c r="W500" s="42"/>
    </row>
    <row r="501" spans="1:24" s="55" customFormat="1" ht="18" hidden="1" customHeight="1">
      <c r="A501" s="592"/>
      <c r="B501" s="576" t="s">
        <v>33</v>
      </c>
      <c r="C501" s="577"/>
      <c r="D501" s="178" t="str">
        <f>серпень!D424</f>
        <v>факт. нат.п-ки 2023</v>
      </c>
      <c r="E501" s="11"/>
      <c r="F501" s="12"/>
      <c r="G501" s="12"/>
      <c r="H501" s="12"/>
      <c r="I501" s="12"/>
      <c r="J501" s="12"/>
      <c r="K501" s="12"/>
      <c r="L501" s="65">
        <f>SUM(F501:K501)</f>
        <v>0</v>
      </c>
      <c r="M501" s="65">
        <f>L501/6</f>
        <v>0</v>
      </c>
      <c r="N501" s="12"/>
      <c r="O501" s="12"/>
      <c r="P501" s="12"/>
      <c r="Q501" s="12"/>
      <c r="R501" s="12"/>
      <c r="S501" s="12"/>
      <c r="T501" s="65">
        <f>SUM(N501:S501)</f>
        <v>0</v>
      </c>
      <c r="U501" s="65">
        <f>T501+L501</f>
        <v>0</v>
      </c>
      <c r="V501" s="46"/>
      <c r="W501" s="38"/>
      <c r="X501" s="47"/>
    </row>
    <row r="502" spans="1:24" s="48" customFormat="1" ht="18" hidden="1" customHeight="1">
      <c r="A502" s="592"/>
      <c r="B502" s="576"/>
      <c r="C502" s="577"/>
      <c r="D502" s="178" t="str">
        <f>серпень!D425</f>
        <v>факт. нат.п-ки 2024</v>
      </c>
      <c r="E502" s="11"/>
      <c r="F502" s="12"/>
      <c r="G502" s="12"/>
      <c r="H502" s="12"/>
      <c r="I502" s="12"/>
      <c r="J502" s="12"/>
      <c r="K502" s="12"/>
      <c r="L502" s="65">
        <f>SUM(F502:K502)</f>
        <v>0</v>
      </c>
      <c r="M502" s="65">
        <f>L502/6</f>
        <v>0</v>
      </c>
      <c r="N502" s="11"/>
      <c r="O502" s="11"/>
      <c r="P502" s="11"/>
      <c r="Q502" s="11"/>
      <c r="R502" s="11"/>
      <c r="S502" s="11"/>
      <c r="T502" s="65">
        <f>SUM(N502:S502)</f>
        <v>0</v>
      </c>
      <c r="U502" s="65">
        <f>T502+L502</f>
        <v>0</v>
      </c>
      <c r="V502" s="46"/>
      <c r="W502" s="38"/>
      <c r="X502" s="47"/>
    </row>
    <row r="503" spans="1:24" s="48" customFormat="1" ht="18" hidden="1" customHeight="1">
      <c r="A503" s="592"/>
      <c r="B503" s="576"/>
      <c r="C503" s="577"/>
      <c r="D503" s="178" t="str">
        <f>серпень!D426</f>
        <v>факт. нат.п-ки 2025</v>
      </c>
      <c r="E503" s="11"/>
      <c r="F503" s="12"/>
      <c r="G503" s="12"/>
      <c r="H503" s="12"/>
      <c r="I503" s="12"/>
      <c r="J503" s="12"/>
      <c r="K503" s="12"/>
      <c r="L503" s="65">
        <f>SUM(F503:K503)</f>
        <v>0</v>
      </c>
      <c r="M503" s="65">
        <f>L503/6</f>
        <v>0</v>
      </c>
      <c r="N503" s="11"/>
      <c r="O503" s="11"/>
      <c r="P503" s="11"/>
      <c r="Q503" s="11"/>
      <c r="R503" s="11"/>
      <c r="S503" s="11"/>
      <c r="T503" s="65">
        <f>SUM(N503:S503)</f>
        <v>0</v>
      </c>
      <c r="U503" s="65">
        <f>T503+L503</f>
        <v>0</v>
      </c>
      <c r="V503" s="11"/>
      <c r="W503" s="38">
        <f>V503-U503</f>
        <v>0</v>
      </c>
      <c r="X503" s="47"/>
    </row>
    <row r="504" spans="1:24" s="51" customFormat="1" ht="18" hidden="1" customHeight="1">
      <c r="A504" s="592"/>
      <c r="B504" s="576"/>
      <c r="C504" s="577"/>
      <c r="D504" s="187" t="str">
        <f>серпень!D427</f>
        <v>тариф, грн.</v>
      </c>
      <c r="E504" s="49"/>
      <c r="F504" s="129">
        <v>1.68</v>
      </c>
      <c r="G504" s="129">
        <v>1.68</v>
      </c>
      <c r="H504" s="129">
        <v>1.68</v>
      </c>
      <c r="I504" s="129">
        <v>1.68</v>
      </c>
      <c r="J504" s="129">
        <v>1.68</v>
      </c>
      <c r="K504" s="129">
        <v>1.68</v>
      </c>
      <c r="L504" s="132" t="e">
        <f>L505/L503*1000</f>
        <v>#DIV/0!</v>
      </c>
      <c r="M504" s="132" t="e">
        <f>M505/M503*1000</f>
        <v>#DIV/0!</v>
      </c>
      <c r="N504" s="129">
        <v>1.68</v>
      </c>
      <c r="O504" s="129">
        <v>1.68</v>
      </c>
      <c r="P504" s="129">
        <v>1.68</v>
      </c>
      <c r="Q504" s="129">
        <v>1.68</v>
      </c>
      <c r="R504" s="129">
        <v>1.68</v>
      </c>
      <c r="S504" s="129">
        <v>1.68</v>
      </c>
      <c r="T504" s="132" t="e">
        <f>T505/T503*1000</f>
        <v>#DIV/0!</v>
      </c>
      <c r="U504" s="132" t="e">
        <f>U505/U503*1000</f>
        <v>#DIV/0!</v>
      </c>
      <c r="V504" s="132" t="e">
        <f>V505/V503*1000</f>
        <v>#DIV/0!</v>
      </c>
      <c r="W504" s="40" t="e">
        <f>W505/W503*1000</f>
        <v>#DIV/0!</v>
      </c>
      <c r="X504" s="59"/>
    </row>
    <row r="505" spans="1:24" s="130" customFormat="1" ht="18" hidden="1" customHeight="1">
      <c r="A505" s="592"/>
      <c r="B505" s="576"/>
      <c r="C505" s="577"/>
      <c r="D505" s="191" t="str">
        <f>серпень!D428</f>
        <v>сума, тис.грн.</v>
      </c>
      <c r="E505" s="52"/>
      <c r="F505" s="52">
        <f t="shared" ref="F505:K505" si="496">F503*F504/1000</f>
        <v>0</v>
      </c>
      <c r="G505" s="52">
        <f t="shared" si="496"/>
        <v>0</v>
      </c>
      <c r="H505" s="52">
        <f t="shared" si="496"/>
        <v>0</v>
      </c>
      <c r="I505" s="52">
        <f t="shared" si="496"/>
        <v>0</v>
      </c>
      <c r="J505" s="52">
        <f t="shared" si="496"/>
        <v>0</v>
      </c>
      <c r="K505" s="52">
        <f t="shared" si="496"/>
        <v>0</v>
      </c>
      <c r="L505" s="69">
        <f>SUM(F505:K505)</f>
        <v>0</v>
      </c>
      <c r="M505" s="69">
        <f>L505/6</f>
        <v>0</v>
      </c>
      <c r="N505" s="52">
        <f t="shared" ref="N505:R505" si="497">N503*N504/1000</f>
        <v>0</v>
      </c>
      <c r="O505" s="52">
        <f t="shared" si="497"/>
        <v>0</v>
      </c>
      <c r="P505" s="52">
        <f t="shared" si="497"/>
        <v>0</v>
      </c>
      <c r="Q505" s="52">
        <f t="shared" si="497"/>
        <v>0</v>
      </c>
      <c r="R505" s="52">
        <f t="shared" si="497"/>
        <v>0</v>
      </c>
      <c r="S505" s="52">
        <f>S503*S504/1000</f>
        <v>0</v>
      </c>
      <c r="T505" s="69">
        <f>SUM(N505:S505)</f>
        <v>0</v>
      </c>
      <c r="U505" s="69">
        <f>T505+L505</f>
        <v>0</v>
      </c>
      <c r="V505" s="70">
        <f>V506+V507</f>
        <v>0</v>
      </c>
      <c r="W505" s="53">
        <f>V505-U505</f>
        <v>0</v>
      </c>
      <c r="X505" s="133"/>
    </row>
    <row r="506" spans="1:24" s="130" customFormat="1" ht="18" hidden="1" customHeight="1">
      <c r="A506" s="592"/>
      <c r="B506" s="576"/>
      <c r="C506" s="577"/>
      <c r="D506" s="174" t="str">
        <f>серпень!D429</f>
        <v>дотація</v>
      </c>
      <c r="E506" s="56"/>
      <c r="F506" s="52"/>
      <c r="G506" s="52"/>
      <c r="H506" s="52"/>
      <c r="I506" s="52"/>
      <c r="J506" s="52"/>
      <c r="K506" s="52"/>
      <c r="L506" s="69">
        <f>SUM(F506:K506)</f>
        <v>0</v>
      </c>
      <c r="M506" s="69">
        <f>L506/6</f>
        <v>0</v>
      </c>
      <c r="N506" s="52"/>
      <c r="O506" s="52"/>
      <c r="P506" s="52"/>
      <c r="Q506" s="52"/>
      <c r="R506" s="52"/>
      <c r="S506" s="52"/>
      <c r="T506" s="69">
        <f>SUM(N506:S506)</f>
        <v>0</v>
      </c>
      <c r="U506" s="69">
        <f>T506+L506</f>
        <v>0</v>
      </c>
      <c r="V506" s="70">
        <v>0</v>
      </c>
      <c r="W506" s="53">
        <f>V506-U506</f>
        <v>0</v>
      </c>
    </row>
    <row r="507" spans="1:24" s="130" customFormat="1" ht="18" hidden="1" customHeight="1">
      <c r="A507" s="592"/>
      <c r="B507" s="576"/>
      <c r="C507" s="577"/>
      <c r="D507" s="174" t="str">
        <f>серпень!D430</f>
        <v>місцевий (план), тис.грн</v>
      </c>
      <c r="E507" s="56"/>
      <c r="F507" s="52"/>
      <c r="G507" s="52"/>
      <c r="H507" s="52"/>
      <c r="I507" s="52"/>
      <c r="J507" s="52"/>
      <c r="K507" s="52"/>
      <c r="L507" s="69">
        <f>SUM(F507:K507)</f>
        <v>0</v>
      </c>
      <c r="M507" s="69">
        <f>L507/6</f>
        <v>0</v>
      </c>
      <c r="N507" s="52"/>
      <c r="O507" s="52"/>
      <c r="P507" s="52"/>
      <c r="Q507" s="52"/>
      <c r="R507" s="52"/>
      <c r="S507" s="52"/>
      <c r="T507" s="69">
        <f>SUM(N507:S507)</f>
        <v>0</v>
      </c>
      <c r="U507" s="69">
        <f>T507+L507</f>
        <v>0</v>
      </c>
      <c r="V507" s="70"/>
      <c r="W507" s="53">
        <f>V507-U507</f>
        <v>0</v>
      </c>
    </row>
    <row r="508" spans="1:24" s="48" customFormat="1" ht="18" hidden="1" customHeight="1">
      <c r="A508" s="592"/>
      <c r="B508" s="576"/>
      <c r="C508" s="577"/>
      <c r="D508" s="178" t="str">
        <f>серпень!D431</f>
        <v>касові нат.п-ки 2025</v>
      </c>
      <c r="E508" s="11"/>
      <c r="F508" s="11"/>
      <c r="G508" s="12"/>
      <c r="H508" s="12"/>
      <c r="I508" s="12"/>
      <c r="J508" s="12"/>
      <c r="K508" s="12"/>
      <c r="L508" s="65">
        <f>SUM(F508:K508)</f>
        <v>0</v>
      </c>
      <c r="M508" s="65">
        <f>L508/6</f>
        <v>0</v>
      </c>
      <c r="N508" s="11"/>
      <c r="O508" s="11"/>
      <c r="P508" s="11"/>
      <c r="Q508" s="11"/>
      <c r="R508" s="11"/>
      <c r="S508" s="11"/>
      <c r="T508" s="65">
        <f>SUM(N508:S508)</f>
        <v>0</v>
      </c>
      <c r="U508" s="65">
        <f>T508+L508</f>
        <v>0</v>
      </c>
      <c r="V508" s="11">
        <f>V503</f>
        <v>0</v>
      </c>
      <c r="W508" s="38">
        <f>V508-U508</f>
        <v>0</v>
      </c>
      <c r="X508" s="47">
        <f>U503-U508</f>
        <v>0</v>
      </c>
    </row>
    <row r="509" spans="1:24" s="51" customFormat="1" ht="18" hidden="1" customHeight="1">
      <c r="A509" s="592"/>
      <c r="B509" s="576"/>
      <c r="C509" s="577"/>
      <c r="D509" s="187" t="str">
        <f>серпень!D432</f>
        <v>тариф, грн.</v>
      </c>
      <c r="E509" s="49" t="e">
        <f>E510/E508*1000</f>
        <v>#DIV/0!</v>
      </c>
      <c r="F509" s="129">
        <v>1.68</v>
      </c>
      <c r="G509" s="129">
        <v>1.68</v>
      </c>
      <c r="H509" s="129">
        <v>1.68</v>
      </c>
      <c r="I509" s="129">
        <v>1.68</v>
      </c>
      <c r="J509" s="129">
        <v>1.68</v>
      </c>
      <c r="K509" s="129">
        <v>1.68</v>
      </c>
      <c r="L509" s="132" t="e">
        <f>L510/L508*1000</f>
        <v>#DIV/0!</v>
      </c>
      <c r="M509" s="132" t="e">
        <f>M510/M508*1000</f>
        <v>#DIV/0!</v>
      </c>
      <c r="N509" s="129">
        <v>1.68</v>
      </c>
      <c r="O509" s="129">
        <v>1.68</v>
      </c>
      <c r="P509" s="129">
        <v>1.68</v>
      </c>
      <c r="Q509" s="129">
        <v>1.68</v>
      </c>
      <c r="R509" s="129">
        <v>1.68</v>
      </c>
      <c r="S509" s="129">
        <v>1.68</v>
      </c>
      <c r="T509" s="132" t="e">
        <f>T510/T508*1000</f>
        <v>#DIV/0!</v>
      </c>
      <c r="U509" s="132" t="e">
        <f>U510/U508*1000</f>
        <v>#DIV/0!</v>
      </c>
      <c r="V509" s="132" t="e">
        <f>V510/V508*1000</f>
        <v>#DIV/0!</v>
      </c>
      <c r="W509" s="40" t="e">
        <f>W510/W508*1000</f>
        <v>#DIV/0!</v>
      </c>
      <c r="X509" s="59"/>
    </row>
    <row r="510" spans="1:24" s="126" customFormat="1" ht="18" hidden="1" customHeight="1">
      <c r="A510" s="592"/>
      <c r="B510" s="576"/>
      <c r="C510" s="577"/>
      <c r="D510" s="198" t="str">
        <f>серпень!D433</f>
        <v>касові видатки, тис.грн.</v>
      </c>
      <c r="E510" s="71"/>
      <c r="F510" s="61">
        <f t="shared" ref="F510:K510" si="498">F508*F509/1000</f>
        <v>0</v>
      </c>
      <c r="G510" s="61">
        <f t="shared" si="498"/>
        <v>0</v>
      </c>
      <c r="H510" s="61">
        <f t="shared" si="498"/>
        <v>0</v>
      </c>
      <c r="I510" s="61">
        <f t="shared" si="498"/>
        <v>0</v>
      </c>
      <c r="J510" s="61">
        <f t="shared" si="498"/>
        <v>0</v>
      </c>
      <c r="K510" s="61">
        <f t="shared" si="498"/>
        <v>0</v>
      </c>
      <c r="L510" s="61">
        <f>SUM(F510:K510)</f>
        <v>0</v>
      </c>
      <c r="M510" s="61">
        <f>L510/6</f>
        <v>0</v>
      </c>
      <c r="N510" s="61">
        <f t="shared" ref="N510:S510" si="499">N508*N509/1000</f>
        <v>0</v>
      </c>
      <c r="O510" s="61">
        <f t="shared" si="499"/>
        <v>0</v>
      </c>
      <c r="P510" s="61">
        <f t="shared" si="499"/>
        <v>0</v>
      </c>
      <c r="Q510" s="61">
        <f t="shared" si="499"/>
        <v>0</v>
      </c>
      <c r="R510" s="61">
        <f t="shared" si="499"/>
        <v>0</v>
      </c>
      <c r="S510" s="61">
        <f t="shared" si="499"/>
        <v>0</v>
      </c>
      <c r="T510" s="61">
        <f>SUM(N510:S510)</f>
        <v>0</v>
      </c>
      <c r="U510" s="61">
        <f>T510+L510</f>
        <v>0</v>
      </c>
      <c r="V510" s="61">
        <f>V505</f>
        <v>0</v>
      </c>
      <c r="W510" s="72">
        <f>V510-U510</f>
        <v>0</v>
      </c>
      <c r="X510" s="63">
        <f>U505-U510</f>
        <v>0</v>
      </c>
    </row>
    <row r="511" spans="1:24" s="126" customFormat="1" ht="18" hidden="1" customHeight="1">
      <c r="A511" s="592"/>
      <c r="B511" s="576"/>
      <c r="C511" s="577"/>
      <c r="D511" s="201" t="str">
        <f>серпень!D434</f>
        <v>дотація</v>
      </c>
      <c r="E511" s="71"/>
      <c r="F511" s="61">
        <v>0</v>
      </c>
      <c r="G511" s="61">
        <v>0</v>
      </c>
      <c r="H511" s="61">
        <v>0</v>
      </c>
      <c r="I511" s="61">
        <v>0</v>
      </c>
      <c r="J511" s="61">
        <v>0</v>
      </c>
      <c r="K511" s="61">
        <v>0</v>
      </c>
      <c r="L511" s="61">
        <f>SUM(F511:K511)</f>
        <v>0</v>
      </c>
      <c r="M511" s="61">
        <f>L511/6</f>
        <v>0</v>
      </c>
      <c r="N511" s="61">
        <v>0</v>
      </c>
      <c r="O511" s="61">
        <v>0</v>
      </c>
      <c r="P511" s="61">
        <v>0</v>
      </c>
      <c r="Q511" s="61">
        <v>0</v>
      </c>
      <c r="R511" s="61">
        <v>0</v>
      </c>
      <c r="S511" s="61">
        <v>0</v>
      </c>
      <c r="T511" s="61">
        <f>SUM(N511:S511)</f>
        <v>0</v>
      </c>
      <c r="U511" s="61">
        <f>T511+L511</f>
        <v>0</v>
      </c>
      <c r="V511" s="61">
        <f>V506</f>
        <v>0</v>
      </c>
      <c r="W511" s="72">
        <f>V511-U511</f>
        <v>0</v>
      </c>
      <c r="X511" s="63">
        <f>U506-U511</f>
        <v>0</v>
      </c>
    </row>
    <row r="512" spans="1:24" s="126" customFormat="1" ht="18" hidden="1" customHeight="1">
      <c r="A512" s="592"/>
      <c r="B512" s="576"/>
      <c r="C512" s="577"/>
      <c r="D512" s="201" t="str">
        <f>серпень!D435</f>
        <v xml:space="preserve">місцевий </v>
      </c>
      <c r="E512" s="71"/>
      <c r="F512" s="61">
        <f t="shared" ref="F512:K512" si="500">F510-F511</f>
        <v>0</v>
      </c>
      <c r="G512" s="61">
        <f t="shared" si="500"/>
        <v>0</v>
      </c>
      <c r="H512" s="61">
        <f t="shared" si="500"/>
        <v>0</v>
      </c>
      <c r="I512" s="61">
        <f t="shared" si="500"/>
        <v>0</v>
      </c>
      <c r="J512" s="61">
        <f t="shared" si="500"/>
        <v>0</v>
      </c>
      <c r="K512" s="61">
        <f t="shared" si="500"/>
        <v>0</v>
      </c>
      <c r="L512" s="61">
        <f>SUM(F512:K512)</f>
        <v>0</v>
      </c>
      <c r="M512" s="61">
        <f>L512/6</f>
        <v>0</v>
      </c>
      <c r="N512" s="61">
        <f t="shared" ref="N512:S512" si="501">N510-N511</f>
        <v>0</v>
      </c>
      <c r="O512" s="61">
        <f t="shared" si="501"/>
        <v>0</v>
      </c>
      <c r="P512" s="61">
        <f t="shared" si="501"/>
        <v>0</v>
      </c>
      <c r="Q512" s="61">
        <f t="shared" si="501"/>
        <v>0</v>
      </c>
      <c r="R512" s="61">
        <f t="shared" si="501"/>
        <v>0</v>
      </c>
      <c r="S512" s="61">
        <f t="shared" si="501"/>
        <v>0</v>
      </c>
      <c r="T512" s="61">
        <f>SUM(N512:S512)</f>
        <v>0</v>
      </c>
      <c r="U512" s="61">
        <f>T512+L512</f>
        <v>0</v>
      </c>
      <c r="V512" s="61">
        <f>V507</f>
        <v>0</v>
      </c>
      <c r="W512" s="72">
        <f>V512-U512</f>
        <v>0</v>
      </c>
      <c r="X512" s="63">
        <f>U507-U512</f>
        <v>0</v>
      </c>
    </row>
    <row r="513" spans="1:28" s="43" customFormat="1" ht="18" hidden="1" customHeight="1">
      <c r="A513" s="592"/>
      <c r="B513" s="576"/>
      <c r="C513" s="577"/>
      <c r="D513" s="202" t="str">
        <f>серпень!D436</f>
        <v>план</v>
      </c>
      <c r="E513" s="42"/>
      <c r="F513" s="42">
        <f t="shared" ref="F513:K513" si="502">F507</f>
        <v>0</v>
      </c>
      <c r="G513" s="42">
        <f t="shared" si="502"/>
        <v>0</v>
      </c>
      <c r="H513" s="42">
        <f t="shared" si="502"/>
        <v>0</v>
      </c>
      <c r="I513" s="42">
        <f t="shared" si="502"/>
        <v>0</v>
      </c>
      <c r="J513" s="42">
        <f t="shared" si="502"/>
        <v>0</v>
      </c>
      <c r="K513" s="42">
        <f t="shared" si="502"/>
        <v>0</v>
      </c>
      <c r="L513" s="42">
        <f>SUM(F513:K513)</f>
        <v>0</v>
      </c>
      <c r="M513" s="42">
        <f>L513/6</f>
        <v>0</v>
      </c>
      <c r="N513" s="42">
        <f t="shared" ref="N513:S513" si="503">N507+N506</f>
        <v>0</v>
      </c>
      <c r="O513" s="42">
        <f t="shared" si="503"/>
        <v>0</v>
      </c>
      <c r="P513" s="42">
        <f t="shared" si="503"/>
        <v>0</v>
      </c>
      <c r="Q513" s="42">
        <f t="shared" si="503"/>
        <v>0</v>
      </c>
      <c r="R513" s="42">
        <f t="shared" si="503"/>
        <v>0</v>
      </c>
      <c r="S513" s="42">
        <f t="shared" si="503"/>
        <v>0</v>
      </c>
      <c r="T513" s="42">
        <f>SUM(N513:S513)</f>
        <v>0</v>
      </c>
      <c r="U513" s="42">
        <f>T513+L513</f>
        <v>0</v>
      </c>
      <c r="V513" s="42">
        <f>V510</f>
        <v>0</v>
      </c>
      <c r="W513" s="42">
        <f>V513-U513</f>
        <v>0</v>
      </c>
    </row>
    <row r="514" spans="1:28" s="43" customFormat="1" ht="18" hidden="1" customHeight="1">
      <c r="A514" s="592"/>
      <c r="B514" s="576"/>
      <c r="C514" s="577"/>
      <c r="D514" s="202" t="str">
        <f>серпень!D437</f>
        <v xml:space="preserve">відхилення </v>
      </c>
      <c r="E514" s="42"/>
      <c r="F514" s="42">
        <f t="shared" ref="F514:K514" si="504">F510-F513</f>
        <v>0</v>
      </c>
      <c r="G514" s="42">
        <f t="shared" si="504"/>
        <v>0</v>
      </c>
      <c r="H514" s="42">
        <f t="shared" si="504"/>
        <v>0</v>
      </c>
      <c r="I514" s="42">
        <f t="shared" si="504"/>
        <v>0</v>
      </c>
      <c r="J514" s="42">
        <f t="shared" si="504"/>
        <v>0</v>
      </c>
      <c r="K514" s="42">
        <f t="shared" si="504"/>
        <v>0</v>
      </c>
      <c r="L514" s="42"/>
      <c r="M514" s="42"/>
      <c r="N514" s="42">
        <f t="shared" ref="N514:S514" si="505">N510-N513</f>
        <v>0</v>
      </c>
      <c r="O514" s="42">
        <f t="shared" si="505"/>
        <v>0</v>
      </c>
      <c r="P514" s="42">
        <f t="shared" si="505"/>
        <v>0</v>
      </c>
      <c r="Q514" s="42">
        <f t="shared" si="505"/>
        <v>0</v>
      </c>
      <c r="R514" s="42">
        <f t="shared" si="505"/>
        <v>0</v>
      </c>
      <c r="S514" s="42">
        <f t="shared" si="505"/>
        <v>0</v>
      </c>
      <c r="T514" s="42"/>
      <c r="U514" s="42"/>
      <c r="V514" s="42"/>
      <c r="W514" s="42"/>
    </row>
    <row r="515" spans="1:28" s="43" customFormat="1" ht="18" hidden="1" customHeight="1">
      <c r="A515" s="593"/>
      <c r="B515" s="578"/>
      <c r="C515" s="579"/>
      <c r="D515" s="202" t="str">
        <f>серпень!D438</f>
        <v>відхилення з наростаючим</v>
      </c>
      <c r="E515" s="42"/>
      <c r="F515" s="42">
        <f>F514</f>
        <v>0</v>
      </c>
      <c r="G515" s="42">
        <f>G514+F515</f>
        <v>0</v>
      </c>
      <c r="H515" s="42">
        <f>H514+G515</f>
        <v>0</v>
      </c>
      <c r="I515" s="42">
        <f>I514+H515</f>
        <v>0</v>
      </c>
      <c r="J515" s="42">
        <f>J514+I515</f>
        <v>0</v>
      </c>
      <c r="K515" s="42">
        <f>K514+J515</f>
        <v>0</v>
      </c>
      <c r="L515" s="42"/>
      <c r="M515" s="42"/>
      <c r="N515" s="42">
        <f>N514+K515</f>
        <v>0</v>
      </c>
      <c r="O515" s="42">
        <f>O514+N515</f>
        <v>0</v>
      </c>
      <c r="P515" s="42">
        <f>P514+O515</f>
        <v>0</v>
      </c>
      <c r="Q515" s="42">
        <f>Q514+P515</f>
        <v>0</v>
      </c>
      <c r="R515" s="42">
        <f>R514+Q515</f>
        <v>0</v>
      </c>
      <c r="S515" s="42">
        <f>S514+R515</f>
        <v>0</v>
      </c>
      <c r="T515" s="42"/>
      <c r="U515" s="42"/>
      <c r="V515" s="42"/>
      <c r="W515" s="42"/>
      <c r="AB515" s="58">
        <f>Z515-Z520</f>
        <v>0</v>
      </c>
    </row>
    <row r="516" spans="1:28" s="47" customFormat="1" ht="18" customHeight="1">
      <c r="A516" s="673">
        <v>2275</v>
      </c>
      <c r="B516" s="581" t="s">
        <v>70</v>
      </c>
      <c r="C516" s="581"/>
      <c r="D516" s="178" t="str">
        <f>серпень!D439</f>
        <v>факт. нат.п-ки 2023</v>
      </c>
      <c r="E516" s="11"/>
      <c r="F516" s="12">
        <f t="shared" ref="F516:K518" si="506">F533+F704</f>
        <v>1.7</v>
      </c>
      <c r="G516" s="12">
        <f t="shared" si="506"/>
        <v>1.7</v>
      </c>
      <c r="H516" s="12">
        <f t="shared" si="506"/>
        <v>2.5</v>
      </c>
      <c r="I516" s="12">
        <f t="shared" si="506"/>
        <v>5.0999999999999996</v>
      </c>
      <c r="J516" s="12">
        <f t="shared" si="506"/>
        <v>2.2000000000000002</v>
      </c>
      <c r="K516" s="12">
        <f t="shared" si="506"/>
        <v>4.3</v>
      </c>
      <c r="L516" s="117">
        <f>SUM(F516:K516)</f>
        <v>17.5</v>
      </c>
      <c r="M516" s="117">
        <f>L516/6</f>
        <v>2.9</v>
      </c>
      <c r="N516" s="12">
        <f t="shared" ref="N516:S518" si="507">N533+N704</f>
        <v>0</v>
      </c>
      <c r="O516" s="12">
        <f t="shared" si="507"/>
        <v>2.1</v>
      </c>
      <c r="P516" s="12">
        <f t="shared" si="507"/>
        <v>3.2</v>
      </c>
      <c r="Q516" s="12">
        <f t="shared" si="507"/>
        <v>1.2</v>
      </c>
      <c r="R516" s="12">
        <f t="shared" si="507"/>
        <v>0.2</v>
      </c>
      <c r="S516" s="12">
        <f t="shared" si="507"/>
        <v>3.3</v>
      </c>
      <c r="T516" s="117">
        <f>SUM(N516:S516)</f>
        <v>10</v>
      </c>
      <c r="U516" s="117">
        <f>T516+L516</f>
        <v>27.5</v>
      </c>
      <c r="V516" s="76">
        <f>V533+V704</f>
        <v>0</v>
      </c>
      <c r="W516" s="38"/>
    </row>
    <row r="517" spans="1:28" s="47" customFormat="1" ht="18" customHeight="1">
      <c r="A517" s="673"/>
      <c r="B517" s="581"/>
      <c r="C517" s="581"/>
      <c r="D517" s="178" t="str">
        <f>серпень!D440</f>
        <v>факт. нат.п-ки 2024</v>
      </c>
      <c r="E517" s="11"/>
      <c r="F517" s="12">
        <f t="shared" si="506"/>
        <v>3.8</v>
      </c>
      <c r="G517" s="12">
        <f t="shared" si="506"/>
        <v>3.2</v>
      </c>
      <c r="H517" s="12">
        <f t="shared" si="506"/>
        <v>2.7</v>
      </c>
      <c r="I517" s="12">
        <f t="shared" si="506"/>
        <v>4.3</v>
      </c>
      <c r="J517" s="12">
        <f t="shared" si="506"/>
        <v>1.9</v>
      </c>
      <c r="K517" s="12">
        <f t="shared" si="506"/>
        <v>3.7</v>
      </c>
      <c r="L517" s="117">
        <f>SUM(F517:K517)</f>
        <v>19.600000000000001</v>
      </c>
      <c r="M517" s="117">
        <f>L517/6</f>
        <v>3.3</v>
      </c>
      <c r="N517" s="12">
        <f t="shared" si="507"/>
        <v>4.3</v>
      </c>
      <c r="O517" s="12">
        <f t="shared" si="507"/>
        <v>5.4</v>
      </c>
      <c r="P517" s="12">
        <f t="shared" si="507"/>
        <v>4.3</v>
      </c>
      <c r="Q517" s="12">
        <f t="shared" si="507"/>
        <v>3</v>
      </c>
      <c r="R517" s="12">
        <f t="shared" si="507"/>
        <v>1.2</v>
      </c>
      <c r="S517" s="12">
        <f t="shared" si="507"/>
        <v>3.3</v>
      </c>
      <c r="T517" s="117">
        <f>SUM(N517:S517)</f>
        <v>21.5</v>
      </c>
      <c r="U517" s="117">
        <f>T517+L517</f>
        <v>41.1</v>
      </c>
      <c r="V517" s="76">
        <f>V534+V705</f>
        <v>0</v>
      </c>
      <c r="W517" s="38"/>
    </row>
    <row r="518" spans="1:28" s="47" customFormat="1" ht="18" customHeight="1">
      <c r="A518" s="673"/>
      <c r="B518" s="581"/>
      <c r="C518" s="581"/>
      <c r="D518" s="178" t="str">
        <f>серпень!D441</f>
        <v>факт. нат.п-ки 2025</v>
      </c>
      <c r="E518" s="11"/>
      <c r="F518" s="351">
        <f t="shared" si="506"/>
        <v>3.2</v>
      </c>
      <c r="G518" s="351">
        <f t="shared" si="506"/>
        <v>5.4</v>
      </c>
      <c r="H518" s="351">
        <f t="shared" si="506"/>
        <v>5.4</v>
      </c>
      <c r="I518" s="351">
        <f t="shared" si="506"/>
        <v>5.4</v>
      </c>
      <c r="J518" s="351">
        <f t="shared" si="506"/>
        <v>5.4</v>
      </c>
      <c r="K518" s="82">
        <f t="shared" si="506"/>
        <v>5.4</v>
      </c>
      <c r="L518" s="464">
        <f>SUM(F518:K518)</f>
        <v>30.2</v>
      </c>
      <c r="M518" s="464">
        <f>L518/6</f>
        <v>5.0330000000000004</v>
      </c>
      <c r="N518" s="82">
        <f t="shared" si="507"/>
        <v>5.4</v>
      </c>
      <c r="O518" s="82">
        <f t="shared" si="507"/>
        <v>5.4</v>
      </c>
      <c r="P518" s="82">
        <f t="shared" si="507"/>
        <v>3.8</v>
      </c>
      <c r="Q518" s="82">
        <f t="shared" si="507"/>
        <v>3.8</v>
      </c>
      <c r="R518" s="82">
        <f t="shared" si="507"/>
        <v>3.8</v>
      </c>
      <c r="S518" s="82">
        <f t="shared" si="507"/>
        <v>3.8</v>
      </c>
      <c r="T518" s="464">
        <f>SUM(N518:S518)</f>
        <v>26</v>
      </c>
      <c r="U518" s="464">
        <f>T518+L518</f>
        <v>56.2</v>
      </c>
      <c r="V518" s="76">
        <f>V535+V706</f>
        <v>46</v>
      </c>
      <c r="W518" s="38">
        <f>V518-U518</f>
        <v>-10.199999999999999</v>
      </c>
    </row>
    <row r="519" spans="1:28" s="47" customFormat="1" ht="18" customHeight="1">
      <c r="A519" s="673"/>
      <c r="B519" s="581"/>
      <c r="C519" s="581"/>
      <c r="D519" s="187" t="str">
        <f>серпень!D442</f>
        <v>тариф, грн.</v>
      </c>
      <c r="E519" s="49"/>
      <c r="F519" s="49">
        <f t="shared" ref="F519:S519" si="508">F520/F518*1000</f>
        <v>165.93799999999999</v>
      </c>
      <c r="G519" s="49">
        <f t="shared" si="508"/>
        <v>166.667</v>
      </c>
      <c r="H519" s="49">
        <f t="shared" si="508"/>
        <v>166.667</v>
      </c>
      <c r="I519" s="49">
        <f t="shared" si="508"/>
        <v>166.667</v>
      </c>
      <c r="J519" s="49">
        <f t="shared" si="508"/>
        <v>166.667</v>
      </c>
      <c r="K519" s="49">
        <f t="shared" si="508"/>
        <v>168.333</v>
      </c>
      <c r="L519" s="49">
        <f t="shared" si="508"/>
        <v>166.887</v>
      </c>
      <c r="M519" s="49">
        <f t="shared" si="508"/>
        <v>166.898</v>
      </c>
      <c r="N519" s="49">
        <f t="shared" si="508"/>
        <v>168.333</v>
      </c>
      <c r="O519" s="49">
        <f t="shared" si="508"/>
        <v>168.333</v>
      </c>
      <c r="P519" s="49">
        <f t="shared" si="508"/>
        <v>170.78899999999999</v>
      </c>
      <c r="Q519" s="49">
        <f t="shared" si="508"/>
        <v>170.78899999999999</v>
      </c>
      <c r="R519" s="49">
        <f t="shared" si="508"/>
        <v>170.78899999999999</v>
      </c>
      <c r="S519" s="49">
        <f t="shared" si="508"/>
        <v>171.053</v>
      </c>
      <c r="T519" s="49">
        <f>T520/T518*1000</f>
        <v>169.80799999999999</v>
      </c>
      <c r="U519" s="49">
        <f>U520/U518*1000</f>
        <v>168.238</v>
      </c>
      <c r="V519" s="49">
        <f>V520/V518*1000</f>
        <v>169.32599999999999</v>
      </c>
      <c r="W519" s="49">
        <f>W520/W518*1000</f>
        <v>163.333</v>
      </c>
    </row>
    <row r="520" spans="1:28" s="130" customFormat="1" ht="18" customHeight="1">
      <c r="A520" s="673"/>
      <c r="B520" s="581"/>
      <c r="C520" s="581"/>
      <c r="D520" s="191" t="str">
        <f>серпень!D443</f>
        <v>сума, тис.грн.</v>
      </c>
      <c r="E520" s="52"/>
      <c r="F520" s="52">
        <f t="shared" ref="F520:K520" si="509">F537+F708</f>
        <v>0.53100000000000003</v>
      </c>
      <c r="G520" s="52">
        <f t="shared" si="509"/>
        <v>0.9</v>
      </c>
      <c r="H520" s="52">
        <f t="shared" si="509"/>
        <v>0.9</v>
      </c>
      <c r="I520" s="52">
        <f t="shared" si="509"/>
        <v>0.9</v>
      </c>
      <c r="J520" s="52">
        <f t="shared" si="509"/>
        <v>0.9</v>
      </c>
      <c r="K520" s="52">
        <f t="shared" si="509"/>
        <v>0.90900000000000003</v>
      </c>
      <c r="L520" s="69">
        <f>SUM(F520:K520)</f>
        <v>5.04</v>
      </c>
      <c r="M520" s="69">
        <f>L520/6</f>
        <v>0.84</v>
      </c>
      <c r="N520" s="52">
        <f t="shared" ref="N520:S520" si="510">N537+N708</f>
        <v>0.90900000000000003</v>
      </c>
      <c r="O520" s="52">
        <f t="shared" si="510"/>
        <v>0.90900000000000003</v>
      </c>
      <c r="P520" s="52">
        <f t="shared" si="510"/>
        <v>0.64900000000000002</v>
      </c>
      <c r="Q520" s="52">
        <f t="shared" si="510"/>
        <v>0.64900000000000002</v>
      </c>
      <c r="R520" s="52">
        <f t="shared" si="510"/>
        <v>0.64900000000000002</v>
      </c>
      <c r="S520" s="52">
        <f t="shared" si="510"/>
        <v>0.65</v>
      </c>
      <c r="T520" s="69">
        <f>SUM(N520:S520)</f>
        <v>4.415</v>
      </c>
      <c r="U520" s="69">
        <f>T520+L520</f>
        <v>9.4550000000000001</v>
      </c>
      <c r="V520" s="69">
        <f>V537+V708</f>
        <v>7.7889999999999997</v>
      </c>
      <c r="W520" s="52">
        <f>V520-U520</f>
        <v>-1.6659999999999999</v>
      </c>
    </row>
    <row r="521" spans="1:28" s="130" customFormat="1" ht="18" customHeight="1">
      <c r="A521" s="673"/>
      <c r="B521" s="581"/>
      <c r="C521" s="581"/>
      <c r="D521" s="174" t="str">
        <f>серпень!D444</f>
        <v>абоненська плата, тис.грн.</v>
      </c>
      <c r="E521" s="52"/>
      <c r="F521" s="52">
        <f>F538</f>
        <v>3.0000000000000001E-3</v>
      </c>
      <c r="G521" s="52">
        <f t="shared" ref="G521:K521" si="511">G538</f>
        <v>2E-3</v>
      </c>
      <c r="H521" s="52">
        <f t="shared" si="511"/>
        <v>2E-3</v>
      </c>
      <c r="I521" s="52">
        <f t="shared" si="511"/>
        <v>2E-3</v>
      </c>
      <c r="J521" s="52">
        <f t="shared" si="511"/>
        <v>2E-3</v>
      </c>
      <c r="K521" s="52">
        <f t="shared" si="511"/>
        <v>2E-3</v>
      </c>
      <c r="L521" s="69">
        <f t="shared" ref="L521:L522" si="512">SUM(F521:K521)</f>
        <v>1.2999999999999999E-2</v>
      </c>
      <c r="M521" s="69">
        <f t="shared" ref="M521:M522" si="513">L521/6</f>
        <v>2E-3</v>
      </c>
      <c r="N521" s="52">
        <f>N538</f>
        <v>2E-3</v>
      </c>
      <c r="O521" s="52">
        <f t="shared" ref="O521:S521" si="514">O538</f>
        <v>2E-3</v>
      </c>
      <c r="P521" s="52">
        <f t="shared" si="514"/>
        <v>2E-3</v>
      </c>
      <c r="Q521" s="52">
        <f t="shared" si="514"/>
        <v>2E-3</v>
      </c>
      <c r="R521" s="52">
        <f t="shared" si="514"/>
        <v>2E-3</v>
      </c>
      <c r="S521" s="52">
        <f t="shared" si="514"/>
        <v>2E-3</v>
      </c>
      <c r="T521" s="69">
        <f t="shared" ref="T521:T522" si="515">SUM(N521:S521)</f>
        <v>1.2E-2</v>
      </c>
      <c r="U521" s="69">
        <f t="shared" ref="U521:U522" si="516">T521+L521</f>
        <v>2.5000000000000001E-2</v>
      </c>
      <c r="V521" s="69">
        <f>V538</f>
        <v>2.5000000000000001E-2</v>
      </c>
      <c r="W521" s="52">
        <f t="shared" ref="W521:W522" si="517">V521-U521</f>
        <v>0</v>
      </c>
    </row>
    <row r="522" spans="1:28" s="130" customFormat="1" ht="18" customHeight="1">
      <c r="A522" s="673"/>
      <c r="B522" s="581"/>
      <c r="C522" s="581"/>
      <c r="D522" s="174" t="str">
        <f>серпень!D445</f>
        <v>разом сума тис. грн+абонплата</v>
      </c>
      <c r="E522" s="52"/>
      <c r="F522" s="52">
        <f>F520+F521</f>
        <v>0.53400000000000003</v>
      </c>
      <c r="G522" s="52">
        <f t="shared" ref="G522:K522" si="518">G520+G521</f>
        <v>0.90200000000000002</v>
      </c>
      <c r="H522" s="52">
        <f t="shared" si="518"/>
        <v>0.90200000000000002</v>
      </c>
      <c r="I522" s="52">
        <f t="shared" si="518"/>
        <v>0.90200000000000002</v>
      </c>
      <c r="J522" s="52">
        <f t="shared" si="518"/>
        <v>0.90200000000000002</v>
      </c>
      <c r="K522" s="52">
        <f t="shared" si="518"/>
        <v>0.91100000000000003</v>
      </c>
      <c r="L522" s="69">
        <f t="shared" si="512"/>
        <v>5.0529999999999999</v>
      </c>
      <c r="M522" s="69">
        <f t="shared" si="513"/>
        <v>0.84199999999999997</v>
      </c>
      <c r="N522" s="52">
        <f>N520+N521</f>
        <v>0.91100000000000003</v>
      </c>
      <c r="O522" s="52">
        <f t="shared" ref="O522" si="519">O520+O521</f>
        <v>0.91100000000000003</v>
      </c>
      <c r="P522" s="52">
        <f t="shared" ref="P522" si="520">P520+P521</f>
        <v>0.65100000000000002</v>
      </c>
      <c r="Q522" s="52">
        <f t="shared" ref="Q522" si="521">Q520+Q521</f>
        <v>0.65100000000000002</v>
      </c>
      <c r="R522" s="52">
        <f t="shared" ref="R522" si="522">R520+R521</f>
        <v>0.65100000000000002</v>
      </c>
      <c r="S522" s="52">
        <f t="shared" ref="S522" si="523">S520+S521</f>
        <v>0.65200000000000002</v>
      </c>
      <c r="T522" s="69">
        <f t="shared" si="515"/>
        <v>4.4269999999999996</v>
      </c>
      <c r="U522" s="69">
        <f t="shared" si="516"/>
        <v>9.48</v>
      </c>
      <c r="V522" s="69">
        <f t="shared" ref="V522" si="524">V520+V521</f>
        <v>7.8140000000000001</v>
      </c>
      <c r="W522" s="52">
        <f t="shared" si="517"/>
        <v>-1.6659999999999999</v>
      </c>
    </row>
    <row r="523" spans="1:28" s="130" customFormat="1" ht="17.55" customHeight="1">
      <c r="A523" s="673"/>
      <c r="B523" s="581"/>
      <c r="C523" s="581"/>
      <c r="D523" s="174" t="str">
        <f>серпень!D446</f>
        <v>дотація</v>
      </c>
      <c r="E523" s="56"/>
      <c r="F523" s="52">
        <f t="shared" ref="F523:K525" si="525">F540+F709</f>
        <v>0</v>
      </c>
      <c r="G523" s="52">
        <f t="shared" si="525"/>
        <v>0</v>
      </c>
      <c r="H523" s="52">
        <f t="shared" si="525"/>
        <v>0</v>
      </c>
      <c r="I523" s="52">
        <f t="shared" si="525"/>
        <v>0</v>
      </c>
      <c r="J523" s="52">
        <f t="shared" si="525"/>
        <v>0</v>
      </c>
      <c r="K523" s="52">
        <f t="shared" si="525"/>
        <v>0</v>
      </c>
      <c r="L523" s="69">
        <f>SUM(F523:K523)</f>
        <v>0</v>
      </c>
      <c r="M523" s="69">
        <f>L523/6</f>
        <v>0</v>
      </c>
      <c r="N523" s="52">
        <f t="shared" ref="N523:S525" si="526">N540+N709</f>
        <v>0</v>
      </c>
      <c r="O523" s="52">
        <f t="shared" si="526"/>
        <v>0</v>
      </c>
      <c r="P523" s="52">
        <f t="shared" si="526"/>
        <v>0</v>
      </c>
      <c r="Q523" s="52">
        <f t="shared" si="526"/>
        <v>0</v>
      </c>
      <c r="R523" s="52">
        <f t="shared" si="526"/>
        <v>0</v>
      </c>
      <c r="S523" s="52">
        <f t="shared" si="526"/>
        <v>0</v>
      </c>
      <c r="T523" s="69">
        <f>SUM(N523:S523)</f>
        <v>0</v>
      </c>
      <c r="U523" s="69">
        <f>T523+L523</f>
        <v>0</v>
      </c>
      <c r="V523" s="69">
        <f>V540+V709</f>
        <v>0</v>
      </c>
      <c r="W523" s="52">
        <f>V523-U523</f>
        <v>0</v>
      </c>
      <c r="X523" s="134"/>
    </row>
    <row r="524" spans="1:28" s="130" customFormat="1" ht="18" customHeight="1">
      <c r="A524" s="673"/>
      <c r="B524" s="581"/>
      <c r="C524" s="581"/>
      <c r="D524" s="174" t="str">
        <f>серпень!D447</f>
        <v>місцевий (план), тис.грн</v>
      </c>
      <c r="E524" s="56"/>
      <c r="F524" s="52">
        <f t="shared" si="525"/>
        <v>0.65200000000000002</v>
      </c>
      <c r="G524" s="52">
        <f t="shared" si="525"/>
        <v>1E-3</v>
      </c>
      <c r="H524" s="52">
        <f t="shared" si="525"/>
        <v>0.78200000000000003</v>
      </c>
      <c r="I524" s="52">
        <f t="shared" si="525"/>
        <v>0.90200000000000002</v>
      </c>
      <c r="J524" s="52">
        <f t="shared" si="525"/>
        <v>0.90200000000000002</v>
      </c>
      <c r="K524" s="52">
        <f t="shared" si="525"/>
        <v>0.71699999999999997</v>
      </c>
      <c r="L524" s="69">
        <f>SUM(F524:K524)</f>
        <v>3.956</v>
      </c>
      <c r="M524" s="69">
        <f>L524/6</f>
        <v>0.65900000000000003</v>
      </c>
      <c r="N524" s="52">
        <f t="shared" si="526"/>
        <v>0.90200000000000002</v>
      </c>
      <c r="O524" s="52">
        <f t="shared" si="526"/>
        <v>0.90200000000000002</v>
      </c>
      <c r="P524" s="52">
        <f t="shared" si="526"/>
        <v>0.4</v>
      </c>
      <c r="Q524" s="52">
        <f t="shared" si="526"/>
        <v>0.65100000000000002</v>
      </c>
      <c r="R524" s="52">
        <f t="shared" si="526"/>
        <v>0.65100000000000002</v>
      </c>
      <c r="S524" s="52">
        <f t="shared" si="526"/>
        <v>0.35199999999999998</v>
      </c>
      <c r="T524" s="69">
        <f>SUM(N524:S524)</f>
        <v>3.8580000000000001</v>
      </c>
      <c r="U524" s="69">
        <f>T524+L524</f>
        <v>7.8140000000000001</v>
      </c>
      <c r="V524" s="69">
        <f>V541+V710</f>
        <v>7.8140000000000001</v>
      </c>
      <c r="W524" s="52">
        <f>V524-U524</f>
        <v>0</v>
      </c>
    </row>
    <row r="525" spans="1:28" s="47" customFormat="1" ht="18" customHeight="1">
      <c r="A525" s="673"/>
      <c r="B525" s="581"/>
      <c r="C525" s="581"/>
      <c r="D525" s="178" t="str">
        <f>серпень!D448</f>
        <v>касові нат.п-ки 2025</v>
      </c>
      <c r="E525" s="12">
        <f>E542+E711</f>
        <v>0</v>
      </c>
      <c r="F525" s="351">
        <f t="shared" si="525"/>
        <v>0</v>
      </c>
      <c r="G525" s="351">
        <f t="shared" si="525"/>
        <v>3.2</v>
      </c>
      <c r="H525" s="351">
        <f t="shared" si="525"/>
        <v>5.4</v>
      </c>
      <c r="I525" s="351">
        <f t="shared" si="525"/>
        <v>5.3</v>
      </c>
      <c r="J525" s="351">
        <f t="shared" si="525"/>
        <v>5.3</v>
      </c>
      <c r="K525" s="351">
        <f t="shared" si="525"/>
        <v>4.3</v>
      </c>
      <c r="L525" s="464">
        <f>SUM(F525:K525)</f>
        <v>23.5</v>
      </c>
      <c r="M525" s="464">
        <f>L525/6</f>
        <v>3.9169999999999998</v>
      </c>
      <c r="N525" s="82">
        <f t="shared" si="526"/>
        <v>5.4</v>
      </c>
      <c r="O525" s="82">
        <f t="shared" si="526"/>
        <v>5.4</v>
      </c>
      <c r="P525" s="82">
        <f t="shared" si="526"/>
        <v>10.4</v>
      </c>
      <c r="Q525" s="82">
        <f t="shared" si="526"/>
        <v>3.8</v>
      </c>
      <c r="R525" s="82">
        <f t="shared" si="526"/>
        <v>3.8</v>
      </c>
      <c r="S525" s="82">
        <f t="shared" si="526"/>
        <v>3.8</v>
      </c>
      <c r="T525" s="464">
        <f>SUM(N525:S525)</f>
        <v>32.6</v>
      </c>
      <c r="U525" s="464">
        <f>T525+L525</f>
        <v>56.1</v>
      </c>
      <c r="V525" s="76">
        <f>V542+V711</f>
        <v>46</v>
      </c>
      <c r="W525" s="38">
        <f>V525-U525</f>
        <v>-10.1</v>
      </c>
      <c r="X525" s="47">
        <f>U518-U525</f>
        <v>0.1</v>
      </c>
    </row>
    <row r="526" spans="1:28" s="47" customFormat="1" ht="18" customHeight="1">
      <c r="A526" s="673"/>
      <c r="B526" s="581"/>
      <c r="C526" s="581"/>
      <c r="D526" s="187" t="str">
        <f>серпень!D449</f>
        <v>тариф, грн.</v>
      </c>
      <c r="E526" s="49" t="e">
        <f>E527/E525*1000</f>
        <v>#DIV/0!</v>
      </c>
      <c r="F526" s="49" t="e">
        <f t="shared" ref="F526:S526" si="527">F527/F525*1000</f>
        <v>#DIV/0!</v>
      </c>
      <c r="G526" s="49">
        <f t="shared" si="527"/>
        <v>166.56299999999999</v>
      </c>
      <c r="H526" s="49">
        <f t="shared" si="527"/>
        <v>167.03700000000001</v>
      </c>
      <c r="I526" s="49">
        <f t="shared" si="527"/>
        <v>170.18899999999999</v>
      </c>
      <c r="J526" s="49">
        <f t="shared" si="527"/>
        <v>170.18899999999999</v>
      </c>
      <c r="K526" s="49">
        <f t="shared" si="527"/>
        <v>166.744</v>
      </c>
      <c r="L526" s="49">
        <f t="shared" si="527"/>
        <v>168.34</v>
      </c>
      <c r="M526" s="49">
        <f t="shared" si="527"/>
        <v>168.24100000000001</v>
      </c>
      <c r="N526" s="49">
        <f t="shared" si="527"/>
        <v>167.03700000000001</v>
      </c>
      <c r="O526" s="49">
        <f t="shared" si="527"/>
        <v>167.03700000000001</v>
      </c>
      <c r="P526" s="49">
        <f t="shared" si="527"/>
        <v>169.51900000000001</v>
      </c>
      <c r="Q526" s="49">
        <f t="shared" si="527"/>
        <v>171.316</v>
      </c>
      <c r="R526" s="49">
        <f t="shared" si="527"/>
        <v>171.316</v>
      </c>
      <c r="S526" s="49">
        <f t="shared" si="527"/>
        <v>172.36799999999999</v>
      </c>
      <c r="T526" s="49">
        <f>T527/T525*1000</f>
        <v>169.44800000000001</v>
      </c>
      <c r="U526" s="49">
        <f>U527/U525*1000</f>
        <v>168.98400000000001</v>
      </c>
      <c r="V526" s="49">
        <f>V527/V525*1000</f>
        <v>169.87</v>
      </c>
      <c r="W526" s="49">
        <f>W527/W525*1000</f>
        <v>164.95</v>
      </c>
      <c r="X526" s="59"/>
    </row>
    <row r="527" spans="1:28" s="63" customFormat="1" ht="18" customHeight="1">
      <c r="A527" s="673"/>
      <c r="B527" s="581"/>
      <c r="C527" s="581"/>
      <c r="D527" s="198" t="str">
        <f>серпень!D450</f>
        <v>касові видатки, тис.грн.</v>
      </c>
      <c r="E527" s="72">
        <f t="shared" ref="E527:K527" si="528">E544+E713</f>
        <v>0</v>
      </c>
      <c r="F527" s="61">
        <f t="shared" si="528"/>
        <v>0</v>
      </c>
      <c r="G527" s="61">
        <f t="shared" si="528"/>
        <v>0.53300000000000003</v>
      </c>
      <c r="H527" s="61">
        <f t="shared" si="528"/>
        <v>0.90200000000000002</v>
      </c>
      <c r="I527" s="61">
        <f t="shared" si="528"/>
        <v>0.90200000000000002</v>
      </c>
      <c r="J527" s="61">
        <f t="shared" si="528"/>
        <v>0.90200000000000002</v>
      </c>
      <c r="K527" s="61">
        <f t="shared" si="528"/>
        <v>0.71699999999999997</v>
      </c>
      <c r="L527" s="61">
        <f>SUM(F527:K527)</f>
        <v>3.956</v>
      </c>
      <c r="M527" s="61">
        <f>L527/6</f>
        <v>0.65900000000000003</v>
      </c>
      <c r="N527" s="61">
        <f t="shared" ref="N527:S529" si="529">N544+N713</f>
        <v>0.90200000000000002</v>
      </c>
      <c r="O527" s="61">
        <f t="shared" si="529"/>
        <v>0.90200000000000002</v>
      </c>
      <c r="P527" s="61">
        <f t="shared" si="529"/>
        <v>1.7629999999999999</v>
      </c>
      <c r="Q527" s="61">
        <f t="shared" si="529"/>
        <v>0.65100000000000002</v>
      </c>
      <c r="R527" s="61">
        <f t="shared" si="529"/>
        <v>0.65100000000000002</v>
      </c>
      <c r="S527" s="61">
        <f t="shared" si="529"/>
        <v>0.65500000000000003</v>
      </c>
      <c r="T527" s="61">
        <f>SUM(N527:S527)</f>
        <v>5.524</v>
      </c>
      <c r="U527" s="61">
        <f>T527+L527</f>
        <v>9.48</v>
      </c>
      <c r="V527" s="61">
        <f>V544+V713</f>
        <v>7.8140000000000001</v>
      </c>
      <c r="W527" s="72">
        <f>V527-U527</f>
        <v>-1.6659999999999999</v>
      </c>
      <c r="X527" s="63">
        <f>U522-U527</f>
        <v>0</v>
      </c>
    </row>
    <row r="528" spans="1:28" s="63" customFormat="1" ht="18" customHeight="1">
      <c r="A528" s="673"/>
      <c r="B528" s="581"/>
      <c r="C528" s="581"/>
      <c r="D528" s="201" t="str">
        <f>серпень!D451</f>
        <v>дотація</v>
      </c>
      <c r="E528" s="71"/>
      <c r="F528" s="61">
        <f t="shared" ref="F528:K529" si="530">F545+F714</f>
        <v>0</v>
      </c>
      <c r="G528" s="61">
        <f t="shared" si="530"/>
        <v>0</v>
      </c>
      <c r="H528" s="61">
        <f t="shared" si="530"/>
        <v>0</v>
      </c>
      <c r="I528" s="61">
        <f t="shared" si="530"/>
        <v>0</v>
      </c>
      <c r="J528" s="61">
        <f t="shared" si="530"/>
        <v>0</v>
      </c>
      <c r="K528" s="61">
        <f t="shared" si="530"/>
        <v>0</v>
      </c>
      <c r="L528" s="61">
        <f>SUM(F528:K528)</f>
        <v>0</v>
      </c>
      <c r="M528" s="61">
        <f>L528/6</f>
        <v>0</v>
      </c>
      <c r="N528" s="61">
        <f t="shared" si="529"/>
        <v>0</v>
      </c>
      <c r="O528" s="61">
        <f t="shared" si="529"/>
        <v>0</v>
      </c>
      <c r="P528" s="61">
        <f t="shared" si="529"/>
        <v>0</v>
      </c>
      <c r="Q528" s="61">
        <f t="shared" si="529"/>
        <v>0</v>
      </c>
      <c r="R528" s="61">
        <f t="shared" si="529"/>
        <v>0</v>
      </c>
      <c r="S528" s="61">
        <f t="shared" si="529"/>
        <v>0</v>
      </c>
      <c r="T528" s="61">
        <f>SUM(N528:S528)</f>
        <v>0</v>
      </c>
      <c r="U528" s="61">
        <f>T528+L528</f>
        <v>0</v>
      </c>
      <c r="V528" s="61">
        <f>V545+V714</f>
        <v>0</v>
      </c>
      <c r="W528" s="72">
        <f>V528-U528</f>
        <v>0</v>
      </c>
      <c r="X528" s="63">
        <f>U523-U528</f>
        <v>0</v>
      </c>
    </row>
    <row r="529" spans="1:24" s="63" customFormat="1" ht="18" customHeight="1">
      <c r="A529" s="673"/>
      <c r="B529" s="581"/>
      <c r="C529" s="581"/>
      <c r="D529" s="201" t="str">
        <f>серпень!D452</f>
        <v xml:space="preserve">місцевий </v>
      </c>
      <c r="E529" s="71"/>
      <c r="F529" s="61">
        <f t="shared" si="530"/>
        <v>0</v>
      </c>
      <c r="G529" s="61">
        <f t="shared" si="530"/>
        <v>0.53300000000000003</v>
      </c>
      <c r="H529" s="61">
        <f t="shared" si="530"/>
        <v>0.90200000000000002</v>
      </c>
      <c r="I529" s="61">
        <f t="shared" si="530"/>
        <v>0.90200000000000002</v>
      </c>
      <c r="J529" s="61">
        <f t="shared" si="530"/>
        <v>0.90200000000000002</v>
      </c>
      <c r="K529" s="61">
        <f t="shared" si="530"/>
        <v>0.71699999999999997</v>
      </c>
      <c r="L529" s="61">
        <f>SUM(F529:K529)</f>
        <v>3.956</v>
      </c>
      <c r="M529" s="61">
        <f>L529/6</f>
        <v>0.65900000000000003</v>
      </c>
      <c r="N529" s="61">
        <f t="shared" si="529"/>
        <v>0.90200000000000002</v>
      </c>
      <c r="O529" s="61">
        <f t="shared" si="529"/>
        <v>0.90200000000000002</v>
      </c>
      <c r="P529" s="61">
        <f t="shared" si="529"/>
        <v>1.7629999999999999</v>
      </c>
      <c r="Q529" s="61">
        <f t="shared" si="529"/>
        <v>0.65100000000000002</v>
      </c>
      <c r="R529" s="61">
        <f t="shared" si="529"/>
        <v>0.65100000000000002</v>
      </c>
      <c r="S529" s="61">
        <f t="shared" si="529"/>
        <v>0.65500000000000003</v>
      </c>
      <c r="T529" s="61">
        <f>SUM(N529:S529)</f>
        <v>5.524</v>
      </c>
      <c r="U529" s="61">
        <f>T529+L529</f>
        <v>9.48</v>
      </c>
      <c r="V529" s="61">
        <f>V546+V715</f>
        <v>7.8140000000000001</v>
      </c>
      <c r="W529" s="72">
        <f>V529-U529</f>
        <v>-1.6659999999999999</v>
      </c>
      <c r="X529" s="63">
        <f>U524-U529</f>
        <v>-1.6659999999999999</v>
      </c>
    </row>
    <row r="530" spans="1:24" s="43" customFormat="1" ht="18" customHeight="1">
      <c r="A530" s="673"/>
      <c r="B530" s="581"/>
      <c r="C530" s="581"/>
      <c r="D530" s="202" t="str">
        <f>серпень!D453</f>
        <v>план</v>
      </c>
      <c r="E530" s="42"/>
      <c r="F530" s="42">
        <f t="shared" ref="F530:K530" si="531">F524</f>
        <v>0.65200000000000002</v>
      </c>
      <c r="G530" s="42">
        <f t="shared" si="531"/>
        <v>1E-3</v>
      </c>
      <c r="H530" s="42">
        <f t="shared" si="531"/>
        <v>0.78200000000000003</v>
      </c>
      <c r="I530" s="42">
        <f t="shared" si="531"/>
        <v>0.90200000000000002</v>
      </c>
      <c r="J530" s="42">
        <f t="shared" si="531"/>
        <v>0.90200000000000002</v>
      </c>
      <c r="K530" s="42">
        <f t="shared" si="531"/>
        <v>0.71699999999999997</v>
      </c>
      <c r="L530" s="42">
        <f>SUM(F530:K530)</f>
        <v>3.956</v>
      </c>
      <c r="M530" s="42">
        <f>L530/6</f>
        <v>0.65900000000000003</v>
      </c>
      <c r="N530" s="42">
        <f t="shared" ref="N530:S530" si="532">N524</f>
        <v>0.90200000000000002</v>
      </c>
      <c r="O530" s="42">
        <f t="shared" si="532"/>
        <v>0.90200000000000002</v>
      </c>
      <c r="P530" s="42">
        <f t="shared" si="532"/>
        <v>0.4</v>
      </c>
      <c r="Q530" s="42">
        <f t="shared" si="532"/>
        <v>0.65100000000000002</v>
      </c>
      <c r="R530" s="42">
        <f t="shared" si="532"/>
        <v>0.65100000000000002</v>
      </c>
      <c r="S530" s="42">
        <f t="shared" si="532"/>
        <v>0.35199999999999998</v>
      </c>
      <c r="T530" s="42">
        <f>SUM(N530:S530)</f>
        <v>3.8580000000000001</v>
      </c>
      <c r="U530" s="42">
        <f>T530+L530</f>
        <v>7.8140000000000001</v>
      </c>
      <c r="V530" s="42">
        <f>V524</f>
        <v>7.8140000000000001</v>
      </c>
      <c r="W530" s="42">
        <f>V530-U530</f>
        <v>0</v>
      </c>
    </row>
    <row r="531" spans="1:24" s="43" customFormat="1" ht="18" customHeight="1">
      <c r="A531" s="673"/>
      <c r="B531" s="581"/>
      <c r="C531" s="581"/>
      <c r="D531" s="202" t="str">
        <f>серпень!D454</f>
        <v xml:space="preserve">відхилення </v>
      </c>
      <c r="E531" s="42"/>
      <c r="F531" s="42">
        <f t="shared" ref="F531:K531" si="533">F527-F530</f>
        <v>-0.65200000000000002</v>
      </c>
      <c r="G531" s="42">
        <f t="shared" si="533"/>
        <v>0.53200000000000003</v>
      </c>
      <c r="H531" s="42">
        <f t="shared" si="533"/>
        <v>0.12</v>
      </c>
      <c r="I531" s="42">
        <f t="shared" si="533"/>
        <v>0</v>
      </c>
      <c r="J531" s="42">
        <f t="shared" si="533"/>
        <v>0</v>
      </c>
      <c r="K531" s="42">
        <f t="shared" si="533"/>
        <v>0</v>
      </c>
      <c r="L531" s="42"/>
      <c r="M531" s="42"/>
      <c r="N531" s="42">
        <f t="shared" ref="N531:S531" si="534">N527-N530</f>
        <v>0</v>
      </c>
      <c r="O531" s="42">
        <f t="shared" si="534"/>
        <v>0</v>
      </c>
      <c r="P531" s="42">
        <f t="shared" si="534"/>
        <v>1.363</v>
      </c>
      <c r="Q531" s="42">
        <f t="shared" si="534"/>
        <v>0</v>
      </c>
      <c r="R531" s="42">
        <f t="shared" si="534"/>
        <v>0</v>
      </c>
      <c r="S531" s="42">
        <f t="shared" si="534"/>
        <v>0.30299999999999999</v>
      </c>
      <c r="T531" s="42"/>
      <c r="U531" s="42"/>
      <c r="V531" s="42"/>
      <c r="W531" s="42"/>
    </row>
    <row r="532" spans="1:24" s="43" customFormat="1" ht="18" customHeight="1">
      <c r="A532" s="673"/>
      <c r="B532" s="581"/>
      <c r="C532" s="581"/>
      <c r="D532" s="202" t="str">
        <f>серпень!D455</f>
        <v>відхилення з наростаючим</v>
      </c>
      <c r="E532" s="42"/>
      <c r="F532" s="42">
        <f>F531</f>
        <v>-0.65200000000000002</v>
      </c>
      <c r="G532" s="42">
        <f>G531+F532</f>
        <v>-0.12</v>
      </c>
      <c r="H532" s="42">
        <f>H531+G532</f>
        <v>0</v>
      </c>
      <c r="I532" s="42">
        <f>I531+H532</f>
        <v>0</v>
      </c>
      <c r="J532" s="42">
        <f>J531+I532</f>
        <v>0</v>
      </c>
      <c r="K532" s="42">
        <f>K531+J532</f>
        <v>0</v>
      </c>
      <c r="L532" s="42"/>
      <c r="M532" s="42"/>
      <c r="N532" s="42">
        <f>N531+K532</f>
        <v>0</v>
      </c>
      <c r="O532" s="42">
        <f>O531+N532</f>
        <v>0</v>
      </c>
      <c r="P532" s="42">
        <f>P531+O532</f>
        <v>1.363</v>
      </c>
      <c r="Q532" s="42">
        <f>Q531+P532</f>
        <v>1.363</v>
      </c>
      <c r="R532" s="42">
        <f>R531+Q532</f>
        <v>1.363</v>
      </c>
      <c r="S532" s="42">
        <f>S531+R532</f>
        <v>1.6659999999999999</v>
      </c>
      <c r="T532" s="42"/>
      <c r="U532" s="42"/>
      <c r="V532" s="42"/>
      <c r="W532" s="42"/>
    </row>
    <row r="533" spans="1:24" s="47" customFormat="1" ht="18" customHeight="1">
      <c r="A533" s="673"/>
      <c r="B533" s="576" t="s">
        <v>90</v>
      </c>
      <c r="C533" s="577"/>
      <c r="D533" s="178" t="str">
        <f>серпень!D456</f>
        <v>факт. нат.п-ки 2023</v>
      </c>
      <c r="E533" s="11"/>
      <c r="F533" s="12">
        <f t="shared" ref="F533:K535" si="535">F550+F627</f>
        <v>1.7</v>
      </c>
      <c r="G533" s="12">
        <f t="shared" si="535"/>
        <v>1.7</v>
      </c>
      <c r="H533" s="12">
        <f t="shared" si="535"/>
        <v>2.5</v>
      </c>
      <c r="I533" s="12">
        <f t="shared" si="535"/>
        <v>5.0999999999999996</v>
      </c>
      <c r="J533" s="12">
        <f t="shared" si="535"/>
        <v>2.2000000000000002</v>
      </c>
      <c r="K533" s="12">
        <f t="shared" si="535"/>
        <v>4.3</v>
      </c>
      <c r="L533" s="117">
        <f>SUM(F533:K533)</f>
        <v>17.5</v>
      </c>
      <c r="M533" s="117">
        <f>L533/6</f>
        <v>2.9</v>
      </c>
      <c r="N533" s="12">
        <f t="shared" ref="N533:S535" si="536">N550+N627</f>
        <v>0</v>
      </c>
      <c r="O533" s="12">
        <f t="shared" si="536"/>
        <v>2.1</v>
      </c>
      <c r="P533" s="12">
        <f t="shared" si="536"/>
        <v>3.2</v>
      </c>
      <c r="Q533" s="12">
        <f t="shared" si="536"/>
        <v>1.2</v>
      </c>
      <c r="R533" s="12">
        <f t="shared" si="536"/>
        <v>0.2</v>
      </c>
      <c r="S533" s="12">
        <f t="shared" si="536"/>
        <v>3.3</v>
      </c>
      <c r="T533" s="117">
        <f>SUM(N533:S533)</f>
        <v>10</v>
      </c>
      <c r="U533" s="117">
        <f>T533+L533</f>
        <v>27.5</v>
      </c>
      <c r="V533" s="76">
        <f>V550+V627</f>
        <v>0</v>
      </c>
      <c r="W533" s="38"/>
    </row>
    <row r="534" spans="1:24" s="47" customFormat="1" ht="18" customHeight="1">
      <c r="A534" s="673"/>
      <c r="B534" s="576"/>
      <c r="C534" s="577"/>
      <c r="D534" s="178" t="str">
        <f>серпень!D457</f>
        <v>факт. нат.п-ки 2024</v>
      </c>
      <c r="E534" s="11"/>
      <c r="F534" s="12">
        <f t="shared" si="535"/>
        <v>3.8</v>
      </c>
      <c r="G534" s="12">
        <f t="shared" si="535"/>
        <v>3.2</v>
      </c>
      <c r="H534" s="12">
        <f t="shared" si="535"/>
        <v>2.7</v>
      </c>
      <c r="I534" s="12">
        <f t="shared" si="535"/>
        <v>4.3</v>
      </c>
      <c r="J534" s="12">
        <f t="shared" si="535"/>
        <v>1.9</v>
      </c>
      <c r="K534" s="12">
        <f t="shared" si="535"/>
        <v>3.7</v>
      </c>
      <c r="L534" s="117">
        <f>SUM(F534:K534)</f>
        <v>19.600000000000001</v>
      </c>
      <c r="M534" s="117">
        <f>L534/6</f>
        <v>3.3</v>
      </c>
      <c r="N534" s="12">
        <f t="shared" si="536"/>
        <v>4.3</v>
      </c>
      <c r="O534" s="12">
        <f t="shared" si="536"/>
        <v>5.4</v>
      </c>
      <c r="P534" s="12">
        <f t="shared" si="536"/>
        <v>4.3</v>
      </c>
      <c r="Q534" s="12">
        <f t="shared" si="536"/>
        <v>3</v>
      </c>
      <c r="R534" s="12">
        <f t="shared" si="536"/>
        <v>1.2</v>
      </c>
      <c r="S534" s="12">
        <f t="shared" si="536"/>
        <v>3.3</v>
      </c>
      <c r="T534" s="117">
        <f>SUM(N534:S534)</f>
        <v>21.5</v>
      </c>
      <c r="U534" s="117">
        <f>T534+L534</f>
        <v>41.1</v>
      </c>
      <c r="V534" s="76">
        <f>V551+V628</f>
        <v>0</v>
      </c>
      <c r="W534" s="38"/>
    </row>
    <row r="535" spans="1:24" s="47" customFormat="1" ht="18" customHeight="1">
      <c r="A535" s="673"/>
      <c r="B535" s="576"/>
      <c r="C535" s="577"/>
      <c r="D535" s="178" t="str">
        <f>серпень!D458</f>
        <v>факт. нат.п-ки 2025</v>
      </c>
      <c r="E535" s="11"/>
      <c r="F535" s="351">
        <f t="shared" si="535"/>
        <v>3.2</v>
      </c>
      <c r="G535" s="351">
        <f t="shared" si="535"/>
        <v>5.4</v>
      </c>
      <c r="H535" s="351">
        <f t="shared" si="535"/>
        <v>5.4</v>
      </c>
      <c r="I535" s="351">
        <f t="shared" si="535"/>
        <v>5.4</v>
      </c>
      <c r="J535" s="351">
        <f t="shared" si="535"/>
        <v>5.4</v>
      </c>
      <c r="K535" s="351">
        <f t="shared" si="535"/>
        <v>5.4</v>
      </c>
      <c r="L535" s="464">
        <f>SUM(F535:K535)</f>
        <v>30.2</v>
      </c>
      <c r="M535" s="464">
        <f>L535/6</f>
        <v>5.0330000000000004</v>
      </c>
      <c r="N535" s="351">
        <f t="shared" si="536"/>
        <v>5.4</v>
      </c>
      <c r="O535" s="82">
        <f t="shared" si="536"/>
        <v>5.4</v>
      </c>
      <c r="P535" s="82">
        <f t="shared" si="536"/>
        <v>3.8</v>
      </c>
      <c r="Q535" s="82">
        <f t="shared" si="536"/>
        <v>3.8</v>
      </c>
      <c r="R535" s="82">
        <f t="shared" si="536"/>
        <v>3.8</v>
      </c>
      <c r="S535" s="82">
        <f t="shared" si="536"/>
        <v>3.8</v>
      </c>
      <c r="T535" s="464">
        <f>SUM(N535:S535)</f>
        <v>26</v>
      </c>
      <c r="U535" s="464">
        <f>T535+L535</f>
        <v>56.2</v>
      </c>
      <c r="V535" s="76">
        <f>V552+V629</f>
        <v>46</v>
      </c>
      <c r="W535" s="38">
        <f>V535-U535</f>
        <v>-10.199999999999999</v>
      </c>
    </row>
    <row r="536" spans="1:24" s="47" customFormat="1" ht="18" customHeight="1">
      <c r="A536" s="673"/>
      <c r="B536" s="576"/>
      <c r="C536" s="577"/>
      <c r="D536" s="187" t="str">
        <f>серпень!D459</f>
        <v>тариф, грн.</v>
      </c>
      <c r="E536" s="49"/>
      <c r="F536" s="49">
        <f t="shared" ref="F536:S536" si="537">F537/F535*1000</f>
        <v>165.93799999999999</v>
      </c>
      <c r="G536" s="49">
        <f t="shared" si="537"/>
        <v>166.667</v>
      </c>
      <c r="H536" s="49">
        <f t="shared" si="537"/>
        <v>166.667</v>
      </c>
      <c r="I536" s="49">
        <f t="shared" si="537"/>
        <v>166.667</v>
      </c>
      <c r="J536" s="49">
        <f t="shared" si="537"/>
        <v>166.667</v>
      </c>
      <c r="K536" s="49">
        <f t="shared" si="537"/>
        <v>168.333</v>
      </c>
      <c r="L536" s="49">
        <f t="shared" si="537"/>
        <v>166.887</v>
      </c>
      <c r="M536" s="49">
        <f t="shared" si="537"/>
        <v>166.898</v>
      </c>
      <c r="N536" s="49">
        <f t="shared" si="537"/>
        <v>168.333</v>
      </c>
      <c r="O536" s="49">
        <f t="shared" si="537"/>
        <v>168.333</v>
      </c>
      <c r="P536" s="49">
        <f t="shared" si="537"/>
        <v>170.78899999999999</v>
      </c>
      <c r="Q536" s="49">
        <f t="shared" si="537"/>
        <v>170.78899999999999</v>
      </c>
      <c r="R536" s="49">
        <f t="shared" si="537"/>
        <v>170.78899999999999</v>
      </c>
      <c r="S536" s="49">
        <f t="shared" si="537"/>
        <v>171.053</v>
      </c>
      <c r="T536" s="49">
        <f>T537/T535*1000</f>
        <v>169.80799999999999</v>
      </c>
      <c r="U536" s="49">
        <f>U537/U535*1000</f>
        <v>168.238</v>
      </c>
      <c r="V536" s="49">
        <f>V537/V535*1000</f>
        <v>169.32599999999999</v>
      </c>
      <c r="W536" s="49">
        <f>W537/W535*1000</f>
        <v>163.333</v>
      </c>
    </row>
    <row r="537" spans="1:24" s="130" customFormat="1" ht="18" customHeight="1">
      <c r="A537" s="673"/>
      <c r="B537" s="576"/>
      <c r="C537" s="577"/>
      <c r="D537" s="191" t="str">
        <f>серпень!D460</f>
        <v>сума, тис.грн.</v>
      </c>
      <c r="E537" s="52"/>
      <c r="F537" s="52">
        <f t="shared" ref="F537:K537" si="538">F554+F631</f>
        <v>0.53100000000000003</v>
      </c>
      <c r="G537" s="52">
        <f t="shared" si="538"/>
        <v>0.9</v>
      </c>
      <c r="H537" s="52">
        <f t="shared" si="538"/>
        <v>0.9</v>
      </c>
      <c r="I537" s="52">
        <f t="shared" si="538"/>
        <v>0.9</v>
      </c>
      <c r="J537" s="52">
        <f t="shared" si="538"/>
        <v>0.9</v>
      </c>
      <c r="K537" s="52">
        <f t="shared" si="538"/>
        <v>0.90900000000000003</v>
      </c>
      <c r="L537" s="69">
        <f>SUM(F537:K537)</f>
        <v>5.04</v>
      </c>
      <c r="M537" s="69">
        <f>L537/6</f>
        <v>0.84</v>
      </c>
      <c r="N537" s="52">
        <f>N554+N631</f>
        <v>0.90900000000000003</v>
      </c>
      <c r="O537" s="52">
        <f t="shared" ref="O537:R537" si="539">O554+O631</f>
        <v>0.90900000000000003</v>
      </c>
      <c r="P537" s="52">
        <f t="shared" si="539"/>
        <v>0.64900000000000002</v>
      </c>
      <c r="Q537" s="52">
        <f t="shared" si="539"/>
        <v>0.64900000000000002</v>
      </c>
      <c r="R537" s="52">
        <f t="shared" si="539"/>
        <v>0.64900000000000002</v>
      </c>
      <c r="S537" s="52">
        <f>S554+S631</f>
        <v>0.65</v>
      </c>
      <c r="T537" s="69">
        <f>SUM(N537:S537)</f>
        <v>4.415</v>
      </c>
      <c r="U537" s="69">
        <f>T537+L537</f>
        <v>9.4550000000000001</v>
      </c>
      <c r="V537" s="69">
        <f>V554+V631</f>
        <v>7.7889999999999997</v>
      </c>
      <c r="W537" s="52">
        <f>V537-U537</f>
        <v>-1.6659999999999999</v>
      </c>
    </row>
    <row r="538" spans="1:24" s="130" customFormat="1" ht="18" customHeight="1">
      <c r="A538" s="673"/>
      <c r="B538" s="576"/>
      <c r="C538" s="577"/>
      <c r="D538" s="174" t="str">
        <f>серпень!D461</f>
        <v>абоненська плата, тис.грн.</v>
      </c>
      <c r="E538" s="52"/>
      <c r="F538" s="52">
        <f>F555+F632</f>
        <v>3.0000000000000001E-3</v>
      </c>
      <c r="G538" s="52">
        <f t="shared" ref="G538:K538" si="540">G555</f>
        <v>2E-3</v>
      </c>
      <c r="H538" s="52">
        <f t="shared" si="540"/>
        <v>2E-3</v>
      </c>
      <c r="I538" s="52">
        <f t="shared" si="540"/>
        <v>2E-3</v>
      </c>
      <c r="J538" s="52">
        <f t="shared" si="540"/>
        <v>2E-3</v>
      </c>
      <c r="K538" s="52">
        <f t="shared" si="540"/>
        <v>2E-3</v>
      </c>
      <c r="L538" s="69">
        <f t="shared" ref="L538:L539" si="541">SUM(F538:K538)</f>
        <v>1.2999999999999999E-2</v>
      </c>
      <c r="M538" s="69">
        <f t="shared" ref="M538:M539" si="542">L538/6</f>
        <v>2E-3</v>
      </c>
      <c r="N538" s="52">
        <f t="shared" ref="N538:S538" si="543">N555</f>
        <v>2E-3</v>
      </c>
      <c r="O538" s="52">
        <f t="shared" si="543"/>
        <v>2E-3</v>
      </c>
      <c r="P538" s="52">
        <f t="shared" si="543"/>
        <v>2E-3</v>
      </c>
      <c r="Q538" s="52">
        <f t="shared" si="543"/>
        <v>2E-3</v>
      </c>
      <c r="R538" s="52">
        <f t="shared" si="543"/>
        <v>2E-3</v>
      </c>
      <c r="S538" s="52">
        <f t="shared" si="543"/>
        <v>2E-3</v>
      </c>
      <c r="T538" s="69">
        <f t="shared" ref="T538:T540" si="544">SUM(N538:S538)</f>
        <v>1.2E-2</v>
      </c>
      <c r="U538" s="69">
        <f t="shared" ref="U538:U540" si="545">T538+L538</f>
        <v>2.5000000000000001E-2</v>
      </c>
      <c r="V538" s="69">
        <f t="shared" ref="V538" si="546">V555</f>
        <v>2.5000000000000001E-2</v>
      </c>
      <c r="W538" s="52">
        <f t="shared" ref="W538:W540" si="547">V538-U538</f>
        <v>0</v>
      </c>
    </row>
    <row r="539" spans="1:24" s="130" customFormat="1" ht="18" customHeight="1">
      <c r="A539" s="673"/>
      <c r="B539" s="576"/>
      <c r="C539" s="577"/>
      <c r="D539" s="174" t="str">
        <f>серпень!D462</f>
        <v>разом сума тис. грн+абонплата</v>
      </c>
      <c r="E539" s="52"/>
      <c r="F539" s="52">
        <f>F537+F538</f>
        <v>0.53400000000000003</v>
      </c>
      <c r="G539" s="52">
        <f t="shared" ref="G539:K539" si="548">G537+G538</f>
        <v>0.90200000000000002</v>
      </c>
      <c r="H539" s="52">
        <f t="shared" si="548"/>
        <v>0.90200000000000002</v>
      </c>
      <c r="I539" s="52">
        <f t="shared" si="548"/>
        <v>0.90200000000000002</v>
      </c>
      <c r="J539" s="52">
        <f t="shared" si="548"/>
        <v>0.90200000000000002</v>
      </c>
      <c r="K539" s="52">
        <f t="shared" si="548"/>
        <v>0.91100000000000003</v>
      </c>
      <c r="L539" s="69">
        <f t="shared" si="541"/>
        <v>5.0529999999999999</v>
      </c>
      <c r="M539" s="69">
        <f t="shared" si="542"/>
        <v>0.84199999999999997</v>
      </c>
      <c r="N539" s="52">
        <f t="shared" ref="N539" si="549">N537+N538</f>
        <v>0.91100000000000003</v>
      </c>
      <c r="O539" s="52">
        <f t="shared" ref="O539" si="550">O537+O538</f>
        <v>0.91100000000000003</v>
      </c>
      <c r="P539" s="52">
        <f t="shared" ref="P539" si="551">P537+P538</f>
        <v>0.65100000000000002</v>
      </c>
      <c r="Q539" s="52">
        <f t="shared" ref="Q539" si="552">Q537+Q538</f>
        <v>0.65100000000000002</v>
      </c>
      <c r="R539" s="52">
        <f t="shared" ref="R539" si="553">R537+R538</f>
        <v>0.65100000000000002</v>
      </c>
      <c r="S539" s="52">
        <f t="shared" ref="S539" si="554">S537+S538</f>
        <v>0.65200000000000002</v>
      </c>
      <c r="T539" s="69">
        <f t="shared" si="544"/>
        <v>4.4269999999999996</v>
      </c>
      <c r="U539" s="69">
        <f t="shared" si="545"/>
        <v>9.48</v>
      </c>
      <c r="V539" s="69">
        <f t="shared" ref="V539" si="555">V537+V538</f>
        <v>7.8140000000000001</v>
      </c>
      <c r="W539" s="52">
        <f t="shared" si="547"/>
        <v>-1.6659999999999999</v>
      </c>
    </row>
    <row r="540" spans="1:24" s="130" customFormat="1" ht="18" customHeight="1">
      <c r="A540" s="673"/>
      <c r="B540" s="576"/>
      <c r="C540" s="577"/>
      <c r="D540" s="174" t="str">
        <f>серпень!D463</f>
        <v>дотація</v>
      </c>
      <c r="E540" s="56"/>
      <c r="F540" s="52">
        <f t="shared" ref="F540:K542" si="556">F557+F634</f>
        <v>0</v>
      </c>
      <c r="G540" s="52">
        <f t="shared" si="556"/>
        <v>0</v>
      </c>
      <c r="H540" s="52">
        <f t="shared" si="556"/>
        <v>0</v>
      </c>
      <c r="I540" s="52">
        <f t="shared" si="556"/>
        <v>0</v>
      </c>
      <c r="J540" s="52">
        <f t="shared" si="556"/>
        <v>0</v>
      </c>
      <c r="K540" s="52">
        <f t="shared" si="556"/>
        <v>0</v>
      </c>
      <c r="L540" s="69">
        <f>SUM(F540:K540)</f>
        <v>0</v>
      </c>
      <c r="M540" s="69">
        <f>L540/6</f>
        <v>0</v>
      </c>
      <c r="N540" s="52">
        <f t="shared" ref="N540:S542" si="557">N557+N634</f>
        <v>0</v>
      </c>
      <c r="O540" s="52">
        <f t="shared" si="557"/>
        <v>0</v>
      </c>
      <c r="P540" s="52">
        <f t="shared" si="557"/>
        <v>0</v>
      </c>
      <c r="Q540" s="52">
        <f t="shared" si="557"/>
        <v>0</v>
      </c>
      <c r="R540" s="52">
        <f t="shared" si="557"/>
        <v>0</v>
      </c>
      <c r="S540" s="52">
        <f t="shared" si="557"/>
        <v>0</v>
      </c>
      <c r="T540" s="69">
        <f t="shared" si="544"/>
        <v>0</v>
      </c>
      <c r="U540" s="69">
        <f t="shared" si="545"/>
        <v>0</v>
      </c>
      <c r="V540" s="69">
        <f>V557+V634</f>
        <v>0</v>
      </c>
      <c r="W540" s="52">
        <f t="shared" si="547"/>
        <v>0</v>
      </c>
      <c r="X540" s="134"/>
    </row>
    <row r="541" spans="1:24" s="130" customFormat="1" ht="18" customHeight="1">
      <c r="A541" s="673"/>
      <c r="B541" s="576"/>
      <c r="C541" s="577"/>
      <c r="D541" s="174" t="str">
        <f>серпень!D464</f>
        <v>місцевий (план), тис.грн</v>
      </c>
      <c r="E541" s="56"/>
      <c r="F541" s="52">
        <f t="shared" si="556"/>
        <v>0.65200000000000002</v>
      </c>
      <c r="G541" s="52">
        <f t="shared" si="556"/>
        <v>1E-3</v>
      </c>
      <c r="H541" s="52">
        <f t="shared" si="556"/>
        <v>0.78200000000000003</v>
      </c>
      <c r="I541" s="52">
        <f t="shared" si="556"/>
        <v>0.90200000000000002</v>
      </c>
      <c r="J541" s="52">
        <f t="shared" si="556"/>
        <v>0.90200000000000002</v>
      </c>
      <c r="K541" s="52">
        <f t="shared" si="556"/>
        <v>0.71699999999999997</v>
      </c>
      <c r="L541" s="69">
        <f>SUM(F541:K541)</f>
        <v>3.956</v>
      </c>
      <c r="M541" s="69">
        <f>L541/6</f>
        <v>0.65900000000000003</v>
      </c>
      <c r="N541" s="52">
        <f t="shared" si="557"/>
        <v>0.90200000000000002</v>
      </c>
      <c r="O541" s="52">
        <f t="shared" si="557"/>
        <v>0.90200000000000002</v>
      </c>
      <c r="P541" s="52">
        <f t="shared" si="557"/>
        <v>0.4</v>
      </c>
      <c r="Q541" s="52">
        <f t="shared" si="557"/>
        <v>0.65100000000000002</v>
      </c>
      <c r="R541" s="52">
        <f t="shared" si="557"/>
        <v>0.65100000000000002</v>
      </c>
      <c r="S541" s="52">
        <f t="shared" si="557"/>
        <v>0.35199999999999998</v>
      </c>
      <c r="T541" s="69">
        <f>SUM(N541:S541)</f>
        <v>3.8580000000000001</v>
      </c>
      <c r="U541" s="69">
        <f>T541+L541</f>
        <v>7.8140000000000001</v>
      </c>
      <c r="V541" s="69">
        <f>V558+V635</f>
        <v>7.8140000000000001</v>
      </c>
      <c r="W541" s="52">
        <f>V541-U541</f>
        <v>0</v>
      </c>
    </row>
    <row r="542" spans="1:24" s="47" customFormat="1" ht="18" customHeight="1">
      <c r="A542" s="673"/>
      <c r="B542" s="576"/>
      <c r="C542" s="577"/>
      <c r="D542" s="178" t="str">
        <f>серпень!D465</f>
        <v>касові нат.п-ки 2025</v>
      </c>
      <c r="E542" s="12">
        <f>E559+E636</f>
        <v>0</v>
      </c>
      <c r="F542" s="351">
        <f t="shared" si="556"/>
        <v>0</v>
      </c>
      <c r="G542" s="351">
        <f t="shared" si="556"/>
        <v>3.2</v>
      </c>
      <c r="H542" s="351">
        <f t="shared" si="556"/>
        <v>5.4</v>
      </c>
      <c r="I542" s="351">
        <f t="shared" si="556"/>
        <v>5.3</v>
      </c>
      <c r="J542" s="351">
        <f t="shared" si="556"/>
        <v>5.3</v>
      </c>
      <c r="K542" s="351">
        <f t="shared" si="556"/>
        <v>4.3</v>
      </c>
      <c r="L542" s="464">
        <f>SUM(F542:K542)</f>
        <v>23.5</v>
      </c>
      <c r="M542" s="464">
        <f>L542/6</f>
        <v>3.9169999999999998</v>
      </c>
      <c r="N542" s="351">
        <f t="shared" si="557"/>
        <v>5.4</v>
      </c>
      <c r="O542" s="351">
        <f t="shared" si="557"/>
        <v>5.4</v>
      </c>
      <c r="P542" s="82">
        <f t="shared" si="557"/>
        <v>10.4</v>
      </c>
      <c r="Q542" s="82">
        <f t="shared" si="557"/>
        <v>3.8</v>
      </c>
      <c r="R542" s="82">
        <f t="shared" si="557"/>
        <v>3.8</v>
      </c>
      <c r="S542" s="82">
        <f t="shared" si="557"/>
        <v>3.8</v>
      </c>
      <c r="T542" s="464">
        <f>SUM(N542:S542)</f>
        <v>32.6</v>
      </c>
      <c r="U542" s="464">
        <f>T542+L542</f>
        <v>56.1</v>
      </c>
      <c r="V542" s="76">
        <f>V559+V636</f>
        <v>46</v>
      </c>
      <c r="W542" s="38">
        <f>V542-U542</f>
        <v>-10.1</v>
      </c>
      <c r="X542" s="47">
        <f>U535-U542</f>
        <v>0.1</v>
      </c>
    </row>
    <row r="543" spans="1:24" s="47" customFormat="1" ht="18" customHeight="1">
      <c r="A543" s="673"/>
      <c r="B543" s="576"/>
      <c r="C543" s="577"/>
      <c r="D543" s="187" t="str">
        <f>серпень!D466</f>
        <v>тариф, грн.</v>
      </c>
      <c r="E543" s="49" t="e">
        <f>E544/E542*1000</f>
        <v>#DIV/0!</v>
      </c>
      <c r="F543" s="49" t="e">
        <f t="shared" ref="F543:S543" si="558">F544/F542*1000</f>
        <v>#DIV/0!</v>
      </c>
      <c r="G543" s="49">
        <f t="shared" si="558"/>
        <v>166.56299999999999</v>
      </c>
      <c r="H543" s="49">
        <f t="shared" si="558"/>
        <v>167.03700000000001</v>
      </c>
      <c r="I543" s="49">
        <f t="shared" si="558"/>
        <v>170.18899999999999</v>
      </c>
      <c r="J543" s="49">
        <f t="shared" si="558"/>
        <v>170.18899999999999</v>
      </c>
      <c r="K543" s="49">
        <f t="shared" si="558"/>
        <v>166.744</v>
      </c>
      <c r="L543" s="49">
        <f t="shared" si="558"/>
        <v>168.34</v>
      </c>
      <c r="M543" s="49">
        <f t="shared" si="558"/>
        <v>168.24100000000001</v>
      </c>
      <c r="N543" s="49">
        <f t="shared" si="558"/>
        <v>167.03700000000001</v>
      </c>
      <c r="O543" s="49">
        <f t="shared" si="558"/>
        <v>167.03700000000001</v>
      </c>
      <c r="P543" s="49">
        <f t="shared" si="558"/>
        <v>169.51900000000001</v>
      </c>
      <c r="Q543" s="49">
        <f t="shared" si="558"/>
        <v>171.316</v>
      </c>
      <c r="R543" s="49">
        <f t="shared" si="558"/>
        <v>171.316</v>
      </c>
      <c r="S543" s="49">
        <f t="shared" si="558"/>
        <v>172.36799999999999</v>
      </c>
      <c r="T543" s="49">
        <f>T544/T542*1000</f>
        <v>169.44800000000001</v>
      </c>
      <c r="U543" s="49">
        <f>U544/U542*1000</f>
        <v>168.98400000000001</v>
      </c>
      <c r="V543" s="49">
        <f>V544/V542*1000</f>
        <v>169.87</v>
      </c>
      <c r="W543" s="49">
        <f>W544/W542*1000</f>
        <v>164.95</v>
      </c>
      <c r="X543" s="59"/>
    </row>
    <row r="544" spans="1:24" s="63" customFormat="1" ht="18" customHeight="1">
      <c r="A544" s="673"/>
      <c r="B544" s="576"/>
      <c r="C544" s="577"/>
      <c r="D544" s="198" t="str">
        <f>серпень!D467</f>
        <v>касові видатки, тис.грн.</v>
      </c>
      <c r="E544" s="72">
        <f t="shared" ref="E544:K544" si="559">E561+E638</f>
        <v>0</v>
      </c>
      <c r="F544" s="61">
        <f t="shared" si="559"/>
        <v>0</v>
      </c>
      <c r="G544" s="61">
        <f t="shared" si="559"/>
        <v>0.53300000000000003</v>
      </c>
      <c r="H544" s="61">
        <f t="shared" si="559"/>
        <v>0.90200000000000002</v>
      </c>
      <c r="I544" s="61">
        <f t="shared" si="559"/>
        <v>0.90200000000000002</v>
      </c>
      <c r="J544" s="61">
        <f t="shared" si="559"/>
        <v>0.90200000000000002</v>
      </c>
      <c r="K544" s="61">
        <f t="shared" si="559"/>
        <v>0.71699999999999997</v>
      </c>
      <c r="L544" s="61">
        <f>SUM(F544:K544)</f>
        <v>3.956</v>
      </c>
      <c r="M544" s="61">
        <f>L544/6</f>
        <v>0.65900000000000003</v>
      </c>
      <c r="N544" s="61">
        <f t="shared" ref="N544:S546" si="560">N561+N638</f>
        <v>0.90200000000000002</v>
      </c>
      <c r="O544" s="61">
        <f t="shared" si="560"/>
        <v>0.90200000000000002</v>
      </c>
      <c r="P544" s="61">
        <f t="shared" si="560"/>
        <v>1.7629999999999999</v>
      </c>
      <c r="Q544" s="61">
        <f t="shared" si="560"/>
        <v>0.65100000000000002</v>
      </c>
      <c r="R544" s="61">
        <f t="shared" si="560"/>
        <v>0.65100000000000002</v>
      </c>
      <c r="S544" s="61">
        <f t="shared" si="560"/>
        <v>0.65500000000000003</v>
      </c>
      <c r="T544" s="61">
        <f>SUM(N544:S544)</f>
        <v>5.524</v>
      </c>
      <c r="U544" s="61">
        <f>T544+L544</f>
        <v>9.48</v>
      </c>
      <c r="V544" s="61">
        <f>V561+V638</f>
        <v>7.8140000000000001</v>
      </c>
      <c r="W544" s="72">
        <f>V544-U544</f>
        <v>-1.6659999999999999</v>
      </c>
      <c r="X544" s="63">
        <f>U539-U544</f>
        <v>0</v>
      </c>
    </row>
    <row r="545" spans="1:28" s="63" customFormat="1" ht="18" customHeight="1">
      <c r="A545" s="673"/>
      <c r="B545" s="576"/>
      <c r="C545" s="577"/>
      <c r="D545" s="201" t="str">
        <f>серпень!D468</f>
        <v>дотація</v>
      </c>
      <c r="E545" s="71"/>
      <c r="F545" s="61">
        <f t="shared" ref="F545:K546" si="561">F562+F639</f>
        <v>0</v>
      </c>
      <c r="G545" s="61">
        <f t="shared" si="561"/>
        <v>0</v>
      </c>
      <c r="H545" s="61">
        <f t="shared" si="561"/>
        <v>0</v>
      </c>
      <c r="I545" s="61">
        <f t="shared" si="561"/>
        <v>0</v>
      </c>
      <c r="J545" s="61">
        <f t="shared" si="561"/>
        <v>0</v>
      </c>
      <c r="K545" s="61">
        <f t="shared" si="561"/>
        <v>0</v>
      </c>
      <c r="L545" s="61">
        <f>SUM(F545:K545)</f>
        <v>0</v>
      </c>
      <c r="M545" s="61">
        <f>L545/6</f>
        <v>0</v>
      </c>
      <c r="N545" s="61">
        <f t="shared" si="560"/>
        <v>0</v>
      </c>
      <c r="O545" s="61">
        <f t="shared" si="560"/>
        <v>0</v>
      </c>
      <c r="P545" s="61">
        <f t="shared" si="560"/>
        <v>0</v>
      </c>
      <c r="Q545" s="61">
        <f t="shared" si="560"/>
        <v>0</v>
      </c>
      <c r="R545" s="61">
        <f t="shared" si="560"/>
        <v>0</v>
      </c>
      <c r="S545" s="61">
        <f t="shared" si="560"/>
        <v>0</v>
      </c>
      <c r="T545" s="61">
        <f>SUM(N545:S545)</f>
        <v>0</v>
      </c>
      <c r="U545" s="61">
        <f>T545+L545</f>
        <v>0</v>
      </c>
      <c r="V545" s="61">
        <f>V562+V639</f>
        <v>0</v>
      </c>
      <c r="W545" s="72">
        <f>V545-U545</f>
        <v>0</v>
      </c>
      <c r="X545" s="63">
        <f>U540-U545</f>
        <v>0</v>
      </c>
    </row>
    <row r="546" spans="1:28" s="63" customFormat="1" ht="18" customHeight="1">
      <c r="A546" s="673"/>
      <c r="B546" s="576"/>
      <c r="C546" s="577"/>
      <c r="D546" s="201" t="str">
        <f>серпень!D469</f>
        <v xml:space="preserve">місцевий </v>
      </c>
      <c r="E546" s="71"/>
      <c r="F546" s="61">
        <f t="shared" si="561"/>
        <v>0</v>
      </c>
      <c r="G546" s="61">
        <f t="shared" si="561"/>
        <v>0.53300000000000003</v>
      </c>
      <c r="H546" s="61">
        <f t="shared" si="561"/>
        <v>0.90200000000000002</v>
      </c>
      <c r="I546" s="61">
        <f t="shared" si="561"/>
        <v>0.90200000000000002</v>
      </c>
      <c r="J546" s="61">
        <f t="shared" si="561"/>
        <v>0.90200000000000002</v>
      </c>
      <c r="K546" s="61">
        <f t="shared" si="561"/>
        <v>0.71699999999999997</v>
      </c>
      <c r="L546" s="61">
        <f>SUM(F546:K546)</f>
        <v>3.956</v>
      </c>
      <c r="M546" s="61">
        <f>L546/6</f>
        <v>0.65900000000000003</v>
      </c>
      <c r="N546" s="61">
        <f t="shared" si="560"/>
        <v>0.90200000000000002</v>
      </c>
      <c r="O546" s="61">
        <f t="shared" si="560"/>
        <v>0.90200000000000002</v>
      </c>
      <c r="P546" s="61">
        <f t="shared" si="560"/>
        <v>1.7629999999999999</v>
      </c>
      <c r="Q546" s="61">
        <f t="shared" si="560"/>
        <v>0.65100000000000002</v>
      </c>
      <c r="R546" s="61">
        <f t="shared" si="560"/>
        <v>0.65100000000000002</v>
      </c>
      <c r="S546" s="61">
        <f t="shared" si="560"/>
        <v>0.65500000000000003</v>
      </c>
      <c r="T546" s="61">
        <f>SUM(N546:S546)</f>
        <v>5.524</v>
      </c>
      <c r="U546" s="61">
        <f>T546+L546</f>
        <v>9.48</v>
      </c>
      <c r="V546" s="61">
        <f>V563+V640</f>
        <v>7.8140000000000001</v>
      </c>
      <c r="W546" s="72">
        <f>V546-U546</f>
        <v>-1.6659999999999999</v>
      </c>
      <c r="X546" s="63">
        <f>U541-U546</f>
        <v>-1.6659999999999999</v>
      </c>
    </row>
    <row r="547" spans="1:28" s="43" customFormat="1" ht="18" customHeight="1">
      <c r="A547" s="673"/>
      <c r="B547" s="576"/>
      <c r="C547" s="577"/>
      <c r="D547" s="202" t="str">
        <f>серпень!D470</f>
        <v>план</v>
      </c>
      <c r="E547" s="42"/>
      <c r="F547" s="42">
        <f t="shared" ref="F547:K547" si="562">F541</f>
        <v>0.65200000000000002</v>
      </c>
      <c r="G547" s="42">
        <f t="shared" si="562"/>
        <v>1E-3</v>
      </c>
      <c r="H547" s="42">
        <f t="shared" si="562"/>
        <v>0.78200000000000003</v>
      </c>
      <c r="I547" s="42">
        <f t="shared" si="562"/>
        <v>0.90200000000000002</v>
      </c>
      <c r="J547" s="42">
        <f t="shared" si="562"/>
        <v>0.90200000000000002</v>
      </c>
      <c r="K547" s="42">
        <f t="shared" si="562"/>
        <v>0.71699999999999997</v>
      </c>
      <c r="L547" s="42">
        <f>SUM(F547:K547)</f>
        <v>3.956</v>
      </c>
      <c r="M547" s="42">
        <f>L547/6</f>
        <v>0.65900000000000003</v>
      </c>
      <c r="N547" s="42">
        <f t="shared" ref="N547:S547" si="563">N541</f>
        <v>0.90200000000000002</v>
      </c>
      <c r="O547" s="42">
        <f t="shared" si="563"/>
        <v>0.90200000000000002</v>
      </c>
      <c r="P547" s="42">
        <f t="shared" si="563"/>
        <v>0.4</v>
      </c>
      <c r="Q547" s="42">
        <f t="shared" si="563"/>
        <v>0.65100000000000002</v>
      </c>
      <c r="R547" s="42">
        <f t="shared" si="563"/>
        <v>0.65100000000000002</v>
      </c>
      <c r="S547" s="42">
        <f t="shared" si="563"/>
        <v>0.35199999999999998</v>
      </c>
      <c r="T547" s="42">
        <f>SUM(N547:S547)</f>
        <v>3.8580000000000001</v>
      </c>
      <c r="U547" s="42">
        <f>T547+L547</f>
        <v>7.8140000000000001</v>
      </c>
      <c r="V547" s="42">
        <f>V541</f>
        <v>7.8140000000000001</v>
      </c>
      <c r="W547" s="42">
        <f>V547-U547</f>
        <v>0</v>
      </c>
    </row>
    <row r="548" spans="1:28" s="43" customFormat="1" ht="18" customHeight="1">
      <c r="A548" s="673"/>
      <c r="B548" s="576"/>
      <c r="C548" s="577"/>
      <c r="D548" s="202" t="str">
        <f>серпень!D471</f>
        <v xml:space="preserve">відхилення </v>
      </c>
      <c r="E548" s="42"/>
      <c r="F548" s="42">
        <f t="shared" ref="F548:K548" si="564">F544-F547</f>
        <v>-0.65200000000000002</v>
      </c>
      <c r="G548" s="42">
        <f t="shared" si="564"/>
        <v>0.53200000000000003</v>
      </c>
      <c r="H548" s="42">
        <f t="shared" si="564"/>
        <v>0.12</v>
      </c>
      <c r="I548" s="42">
        <f t="shared" si="564"/>
        <v>0</v>
      </c>
      <c r="J548" s="42">
        <f t="shared" si="564"/>
        <v>0</v>
      </c>
      <c r="K548" s="42">
        <f t="shared" si="564"/>
        <v>0</v>
      </c>
      <c r="L548" s="42"/>
      <c r="M548" s="42"/>
      <c r="N548" s="42">
        <f t="shared" ref="N548:S548" si="565">N544-N547</f>
        <v>0</v>
      </c>
      <c r="O548" s="42">
        <f t="shared" si="565"/>
        <v>0</v>
      </c>
      <c r="P548" s="42">
        <f t="shared" si="565"/>
        <v>1.363</v>
      </c>
      <c r="Q548" s="42">
        <f t="shared" si="565"/>
        <v>0</v>
      </c>
      <c r="R548" s="42">
        <f t="shared" si="565"/>
        <v>0</v>
      </c>
      <c r="S548" s="42">
        <f t="shared" si="565"/>
        <v>0.30299999999999999</v>
      </c>
      <c r="T548" s="42"/>
      <c r="U548" s="42"/>
      <c r="V548" s="42"/>
      <c r="W548" s="42"/>
    </row>
    <row r="549" spans="1:28" s="43" customFormat="1" ht="18" customHeight="1">
      <c r="A549" s="673"/>
      <c r="B549" s="576"/>
      <c r="C549" s="577"/>
      <c r="D549" s="202" t="str">
        <f>серпень!D472</f>
        <v>відхилення з наростаючим</v>
      </c>
      <c r="E549" s="42"/>
      <c r="F549" s="42">
        <f>F548</f>
        <v>-0.65200000000000002</v>
      </c>
      <c r="G549" s="42">
        <f>G548+F549</f>
        <v>-0.12</v>
      </c>
      <c r="H549" s="42">
        <f>H548+G549</f>
        <v>0</v>
      </c>
      <c r="I549" s="42">
        <f>I548+H549</f>
        <v>0</v>
      </c>
      <c r="J549" s="42">
        <f>J548+I549</f>
        <v>0</v>
      </c>
      <c r="K549" s="42">
        <f>K548+J549</f>
        <v>0</v>
      </c>
      <c r="L549" s="42"/>
      <c r="M549" s="42"/>
      <c r="N549" s="42">
        <f>N548+K549</f>
        <v>0</v>
      </c>
      <c r="O549" s="42">
        <f>O548+N549</f>
        <v>0</v>
      </c>
      <c r="P549" s="42">
        <f>P548+O549</f>
        <v>1.363</v>
      </c>
      <c r="Q549" s="42">
        <f>Q548+P549</f>
        <v>1.363</v>
      </c>
      <c r="R549" s="42">
        <f>R548+Q549</f>
        <v>1.363</v>
      </c>
      <c r="S549" s="42">
        <f>S548+R549</f>
        <v>1.6659999999999999</v>
      </c>
      <c r="T549" s="42"/>
      <c r="U549" s="42"/>
      <c r="V549" s="42"/>
      <c r="W549" s="42"/>
    </row>
    <row r="550" spans="1:28" s="55" customFormat="1" ht="18" customHeight="1">
      <c r="A550" s="673"/>
      <c r="B550" s="581" t="s">
        <v>65</v>
      </c>
      <c r="C550" s="581"/>
      <c r="D550" s="178" t="str">
        <f>серпень!D473</f>
        <v>факт. нат.п-ки 2023</v>
      </c>
      <c r="E550" s="11"/>
      <c r="F550" s="12">
        <f t="shared" ref="F550:K552" si="566">F567+F597</f>
        <v>1.7</v>
      </c>
      <c r="G550" s="12">
        <f t="shared" si="566"/>
        <v>1.7</v>
      </c>
      <c r="H550" s="12">
        <f t="shared" si="566"/>
        <v>2.5</v>
      </c>
      <c r="I550" s="12">
        <f t="shared" si="566"/>
        <v>5.0999999999999996</v>
      </c>
      <c r="J550" s="12">
        <f t="shared" si="566"/>
        <v>2.2000000000000002</v>
      </c>
      <c r="K550" s="12">
        <f t="shared" si="566"/>
        <v>4.3</v>
      </c>
      <c r="L550" s="65">
        <f>SUM(F550:K550)</f>
        <v>17.5</v>
      </c>
      <c r="M550" s="65">
        <f>L550/6</f>
        <v>2.9</v>
      </c>
      <c r="N550" s="12">
        <f t="shared" ref="N550:S552" si="567">N567+N597</f>
        <v>0</v>
      </c>
      <c r="O550" s="12">
        <f t="shared" si="567"/>
        <v>2.1</v>
      </c>
      <c r="P550" s="12">
        <f t="shared" si="567"/>
        <v>3.2</v>
      </c>
      <c r="Q550" s="12">
        <f t="shared" si="567"/>
        <v>1.2</v>
      </c>
      <c r="R550" s="12">
        <f t="shared" si="567"/>
        <v>0.2</v>
      </c>
      <c r="S550" s="12">
        <f t="shared" si="567"/>
        <v>3.3</v>
      </c>
      <c r="T550" s="65">
        <f>SUM(N550:S550)</f>
        <v>10</v>
      </c>
      <c r="U550" s="65">
        <f>T550+L550</f>
        <v>27.5</v>
      </c>
      <c r="V550" s="75">
        <f>V567+V597</f>
        <v>0</v>
      </c>
      <c r="W550" s="38"/>
      <c r="X550" s="47"/>
      <c r="Y550" s="48"/>
      <c r="Z550" s="48"/>
      <c r="AA550" s="48"/>
      <c r="AB550" s="48"/>
    </row>
    <row r="551" spans="1:28" s="48" customFormat="1" ht="18" customHeight="1">
      <c r="A551" s="673"/>
      <c r="B551" s="581"/>
      <c r="C551" s="581"/>
      <c r="D551" s="178" t="str">
        <f>серпень!D474</f>
        <v>факт. нат.п-ки 2024</v>
      </c>
      <c r="E551" s="11"/>
      <c r="F551" s="12">
        <f t="shared" si="566"/>
        <v>3.8</v>
      </c>
      <c r="G551" s="12">
        <f t="shared" si="566"/>
        <v>3.2</v>
      </c>
      <c r="H551" s="12">
        <f t="shared" si="566"/>
        <v>2.7</v>
      </c>
      <c r="I551" s="12">
        <f t="shared" si="566"/>
        <v>4.3</v>
      </c>
      <c r="J551" s="12">
        <f t="shared" si="566"/>
        <v>1.9</v>
      </c>
      <c r="K551" s="12">
        <f t="shared" si="566"/>
        <v>3.7</v>
      </c>
      <c r="L551" s="65">
        <f>SUM(F551:K551)</f>
        <v>19.600000000000001</v>
      </c>
      <c r="M551" s="65">
        <f>L551/6</f>
        <v>3.3</v>
      </c>
      <c r="N551" s="12">
        <f t="shared" si="567"/>
        <v>4.3</v>
      </c>
      <c r="O551" s="12">
        <f t="shared" si="567"/>
        <v>5.4</v>
      </c>
      <c r="P551" s="12">
        <f t="shared" si="567"/>
        <v>4.3</v>
      </c>
      <c r="Q551" s="12">
        <f t="shared" si="567"/>
        <v>3</v>
      </c>
      <c r="R551" s="12">
        <f t="shared" si="567"/>
        <v>1.2</v>
      </c>
      <c r="S551" s="12">
        <f t="shared" si="567"/>
        <v>3.3</v>
      </c>
      <c r="T551" s="65">
        <f>SUM(N551:S551)</f>
        <v>21.5</v>
      </c>
      <c r="U551" s="65">
        <f>T551+L551</f>
        <v>41.1</v>
      </c>
      <c r="V551" s="75">
        <f>V568+V598</f>
        <v>0</v>
      </c>
      <c r="W551" s="38"/>
      <c r="X551" s="47"/>
    </row>
    <row r="552" spans="1:28" s="48" customFormat="1" ht="18" customHeight="1">
      <c r="A552" s="673"/>
      <c r="B552" s="581"/>
      <c r="C552" s="581"/>
      <c r="D552" s="178" t="str">
        <f>серпень!D475</f>
        <v>факт. нат.п-ки 2025</v>
      </c>
      <c r="E552" s="11"/>
      <c r="F552" s="12">
        <f t="shared" si="566"/>
        <v>3.2</v>
      </c>
      <c r="G552" s="12">
        <f t="shared" si="566"/>
        <v>5.4</v>
      </c>
      <c r="H552" s="12">
        <f t="shared" si="566"/>
        <v>5.4</v>
      </c>
      <c r="I552" s="12">
        <f t="shared" si="566"/>
        <v>5.4</v>
      </c>
      <c r="J552" s="12">
        <f t="shared" si="566"/>
        <v>5.4</v>
      </c>
      <c r="K552" s="12">
        <f t="shared" si="566"/>
        <v>5.4</v>
      </c>
      <c r="L552" s="65">
        <f>SUM(F552:K552)</f>
        <v>30.2</v>
      </c>
      <c r="M552" s="65">
        <f>L552/6</f>
        <v>5</v>
      </c>
      <c r="N552" s="12">
        <f t="shared" si="567"/>
        <v>5.4</v>
      </c>
      <c r="O552" s="12">
        <f t="shared" si="567"/>
        <v>5.4</v>
      </c>
      <c r="P552" s="12">
        <f t="shared" si="567"/>
        <v>3.8</v>
      </c>
      <c r="Q552" s="12">
        <f t="shared" si="567"/>
        <v>3.8</v>
      </c>
      <c r="R552" s="12">
        <f t="shared" si="567"/>
        <v>3.8</v>
      </c>
      <c r="S552" s="12">
        <f t="shared" si="567"/>
        <v>3.8</v>
      </c>
      <c r="T552" s="65">
        <f>SUM(N552:S552)</f>
        <v>26</v>
      </c>
      <c r="U552" s="65">
        <f>T552+L552</f>
        <v>56.2</v>
      </c>
      <c r="V552" s="75">
        <f>V569+V599</f>
        <v>46</v>
      </c>
      <c r="W552" s="38">
        <f>V552-U552</f>
        <v>-10.199999999999999</v>
      </c>
      <c r="X552" s="47"/>
    </row>
    <row r="553" spans="1:28" s="51" customFormat="1" ht="18" customHeight="1">
      <c r="A553" s="673"/>
      <c r="B553" s="581"/>
      <c r="C553" s="581"/>
      <c r="D553" s="187" t="str">
        <f>серпень!D476</f>
        <v>тариф, грн.</v>
      </c>
      <c r="E553" s="49"/>
      <c r="F553" s="49">
        <f t="shared" ref="F553:W553" si="568">F554/F552*1000</f>
        <v>165.93799999999999</v>
      </c>
      <c r="G553" s="49">
        <f t="shared" si="568"/>
        <v>166.667</v>
      </c>
      <c r="H553" s="49">
        <f t="shared" si="568"/>
        <v>166.667</v>
      </c>
      <c r="I553" s="49">
        <f t="shared" si="568"/>
        <v>166.667</v>
      </c>
      <c r="J553" s="49">
        <f t="shared" si="568"/>
        <v>166.667</v>
      </c>
      <c r="K553" s="49">
        <f t="shared" si="568"/>
        <v>168.333</v>
      </c>
      <c r="L553" s="49">
        <f t="shared" si="568"/>
        <v>166.887</v>
      </c>
      <c r="M553" s="49">
        <f t="shared" si="568"/>
        <v>168</v>
      </c>
      <c r="N553" s="49">
        <f t="shared" si="568"/>
        <v>168.333</v>
      </c>
      <c r="O553" s="49">
        <f t="shared" si="568"/>
        <v>168.333</v>
      </c>
      <c r="P553" s="49">
        <f t="shared" si="568"/>
        <v>170.78899999999999</v>
      </c>
      <c r="Q553" s="49">
        <f t="shared" si="568"/>
        <v>170.78899999999999</v>
      </c>
      <c r="R553" s="49">
        <f t="shared" si="568"/>
        <v>170.78899999999999</v>
      </c>
      <c r="S553" s="49">
        <f t="shared" si="568"/>
        <v>171.053</v>
      </c>
      <c r="T553" s="49">
        <f t="shared" si="568"/>
        <v>169.80799999999999</v>
      </c>
      <c r="U553" s="49">
        <f t="shared" si="568"/>
        <v>168.238</v>
      </c>
      <c r="V553" s="49">
        <f t="shared" si="568"/>
        <v>169.32599999999999</v>
      </c>
      <c r="W553" s="49">
        <f t="shared" si="568"/>
        <v>163.333</v>
      </c>
      <c r="X553" s="59"/>
    </row>
    <row r="554" spans="1:28" s="130" customFormat="1" ht="18" customHeight="1">
      <c r="A554" s="673"/>
      <c r="B554" s="581"/>
      <c r="C554" s="581"/>
      <c r="D554" s="191" t="str">
        <f>серпень!D477</f>
        <v>сума, тис.грн.</v>
      </c>
      <c r="E554" s="52"/>
      <c r="F554" s="52">
        <f t="shared" ref="F554:K554" si="569">F571+F601</f>
        <v>0.53100000000000003</v>
      </c>
      <c r="G554" s="52">
        <f t="shared" si="569"/>
        <v>0.9</v>
      </c>
      <c r="H554" s="52">
        <f t="shared" si="569"/>
        <v>0.9</v>
      </c>
      <c r="I554" s="52">
        <f t="shared" si="569"/>
        <v>0.9</v>
      </c>
      <c r="J554" s="52">
        <f t="shared" si="569"/>
        <v>0.9</v>
      </c>
      <c r="K554" s="52">
        <f t="shared" si="569"/>
        <v>0.90900000000000003</v>
      </c>
      <c r="L554" s="69">
        <f>SUM(F554:K554)</f>
        <v>5.04</v>
      </c>
      <c r="M554" s="69">
        <f>L554/6</f>
        <v>0.84</v>
      </c>
      <c r="N554" s="52">
        <f t="shared" ref="N554:S554" si="570">N571+N601</f>
        <v>0.90900000000000003</v>
      </c>
      <c r="O554" s="52">
        <f t="shared" si="570"/>
        <v>0.90900000000000003</v>
      </c>
      <c r="P554" s="52">
        <f t="shared" si="570"/>
        <v>0.64900000000000002</v>
      </c>
      <c r="Q554" s="52">
        <f t="shared" si="570"/>
        <v>0.64900000000000002</v>
      </c>
      <c r="R554" s="52">
        <f t="shared" si="570"/>
        <v>0.64900000000000002</v>
      </c>
      <c r="S554" s="52">
        <f t="shared" si="570"/>
        <v>0.65</v>
      </c>
      <c r="T554" s="69">
        <f>SUM(N554:S554)</f>
        <v>4.415</v>
      </c>
      <c r="U554" s="69">
        <f>T554+L554</f>
        <v>9.4550000000000001</v>
      </c>
      <c r="V554" s="69">
        <f>V571+V601</f>
        <v>7.7889999999999997</v>
      </c>
      <c r="W554" s="52">
        <f>V554-U554</f>
        <v>-1.6659999999999999</v>
      </c>
    </row>
    <row r="555" spans="1:28" s="130" customFormat="1" ht="18" customHeight="1">
      <c r="A555" s="673"/>
      <c r="B555" s="581"/>
      <c r="C555" s="581"/>
      <c r="D555" s="174" t="str">
        <f>серпень!D478</f>
        <v>абоненська плата, тис.грн.</v>
      </c>
      <c r="E555" s="52"/>
      <c r="F555" s="52">
        <f>F586+F616</f>
        <v>3.0000000000000001E-3</v>
      </c>
      <c r="G555" s="52">
        <f t="shared" ref="G555:K555" si="571">G586+G616</f>
        <v>2E-3</v>
      </c>
      <c r="H555" s="52">
        <f t="shared" si="571"/>
        <v>2E-3</v>
      </c>
      <c r="I555" s="52">
        <f t="shared" si="571"/>
        <v>2E-3</v>
      </c>
      <c r="J555" s="52">
        <f t="shared" si="571"/>
        <v>2E-3</v>
      </c>
      <c r="K555" s="52">
        <f t="shared" si="571"/>
        <v>2E-3</v>
      </c>
      <c r="L555" s="69">
        <f t="shared" ref="L555:L556" si="572">SUM(F555:K555)</f>
        <v>1.2999999999999999E-2</v>
      </c>
      <c r="M555" s="69">
        <f t="shared" ref="M555:M556" si="573">L555/6</f>
        <v>2E-3</v>
      </c>
      <c r="N555" s="52">
        <f>N586+N616</f>
        <v>2E-3</v>
      </c>
      <c r="O555" s="52">
        <f t="shared" ref="O555:S555" si="574">O586+O616</f>
        <v>2E-3</v>
      </c>
      <c r="P555" s="52">
        <f t="shared" si="574"/>
        <v>2E-3</v>
      </c>
      <c r="Q555" s="52">
        <f t="shared" si="574"/>
        <v>2E-3</v>
      </c>
      <c r="R555" s="52">
        <f t="shared" si="574"/>
        <v>2E-3</v>
      </c>
      <c r="S555" s="52">
        <f t="shared" si="574"/>
        <v>2E-3</v>
      </c>
      <c r="T555" s="69">
        <f t="shared" ref="T555:T556" si="575">SUM(N555:S555)</f>
        <v>1.2E-2</v>
      </c>
      <c r="U555" s="69">
        <f t="shared" ref="U555:U556" si="576">T555+L555</f>
        <v>2.5000000000000001E-2</v>
      </c>
      <c r="V555" s="69">
        <f t="shared" ref="V555" si="577">V586+V616</f>
        <v>2.5000000000000001E-2</v>
      </c>
      <c r="W555" s="52">
        <f t="shared" ref="W555:W556" si="578">V555-U555</f>
        <v>0</v>
      </c>
    </row>
    <row r="556" spans="1:28" s="130" customFormat="1" ht="18" customHeight="1">
      <c r="A556" s="673"/>
      <c r="B556" s="581"/>
      <c r="C556" s="581"/>
      <c r="D556" s="174" t="str">
        <f>серпень!D479</f>
        <v>разом сума тис. грн+абонплата</v>
      </c>
      <c r="E556" s="52"/>
      <c r="F556" s="52">
        <f>F554+F555</f>
        <v>0.53400000000000003</v>
      </c>
      <c r="G556" s="52">
        <f t="shared" ref="G556:K556" si="579">G554+G555</f>
        <v>0.90200000000000002</v>
      </c>
      <c r="H556" s="52">
        <f t="shared" si="579"/>
        <v>0.90200000000000002</v>
      </c>
      <c r="I556" s="52">
        <f t="shared" si="579"/>
        <v>0.90200000000000002</v>
      </c>
      <c r="J556" s="52">
        <f t="shared" si="579"/>
        <v>0.90200000000000002</v>
      </c>
      <c r="K556" s="52">
        <f t="shared" si="579"/>
        <v>0.91100000000000003</v>
      </c>
      <c r="L556" s="69">
        <f t="shared" si="572"/>
        <v>5.0529999999999999</v>
      </c>
      <c r="M556" s="69">
        <f t="shared" si="573"/>
        <v>0.84199999999999997</v>
      </c>
      <c r="N556" s="52">
        <f>N554+N555</f>
        <v>0.91100000000000003</v>
      </c>
      <c r="O556" s="52">
        <f t="shared" ref="O556" si="580">O554+O555</f>
        <v>0.91100000000000003</v>
      </c>
      <c r="P556" s="52">
        <f t="shared" ref="P556" si="581">P554+P555</f>
        <v>0.65100000000000002</v>
      </c>
      <c r="Q556" s="52">
        <f t="shared" ref="Q556" si="582">Q554+Q555</f>
        <v>0.65100000000000002</v>
      </c>
      <c r="R556" s="52">
        <f t="shared" ref="R556" si="583">R554+R555</f>
        <v>0.65100000000000002</v>
      </c>
      <c r="S556" s="52">
        <f t="shared" ref="S556" si="584">S554+S555</f>
        <v>0.65200000000000002</v>
      </c>
      <c r="T556" s="69">
        <f t="shared" si="575"/>
        <v>4.4269999999999996</v>
      </c>
      <c r="U556" s="69">
        <f t="shared" si="576"/>
        <v>9.48</v>
      </c>
      <c r="V556" s="69">
        <f t="shared" ref="V556" si="585">V554+V555</f>
        <v>7.8140000000000001</v>
      </c>
      <c r="W556" s="52">
        <f t="shared" si="578"/>
        <v>-1.6659999999999999</v>
      </c>
    </row>
    <row r="557" spans="1:28" s="130" customFormat="1" ht="18" customHeight="1">
      <c r="A557" s="673"/>
      <c r="B557" s="581"/>
      <c r="C557" s="581"/>
      <c r="D557" s="174" t="str">
        <f>серпень!D480</f>
        <v>дотація</v>
      </c>
      <c r="E557" s="56"/>
      <c r="F557" s="52">
        <f t="shared" ref="F557:K557" si="586">F572+F602</f>
        <v>0</v>
      </c>
      <c r="G557" s="52">
        <f t="shared" si="586"/>
        <v>0</v>
      </c>
      <c r="H557" s="52">
        <f t="shared" si="586"/>
        <v>0</v>
      </c>
      <c r="I557" s="52">
        <f t="shared" si="586"/>
        <v>0</v>
      </c>
      <c r="J557" s="52">
        <f t="shared" si="586"/>
        <v>0</v>
      </c>
      <c r="K557" s="52">
        <f t="shared" si="586"/>
        <v>0</v>
      </c>
      <c r="L557" s="69">
        <f>SUM(F557:K557)</f>
        <v>0</v>
      </c>
      <c r="M557" s="69">
        <f>L557/6</f>
        <v>0</v>
      </c>
      <c r="N557" s="52">
        <f t="shared" ref="N557:S557" si="587">N572+N602</f>
        <v>0</v>
      </c>
      <c r="O557" s="52">
        <f t="shared" si="587"/>
        <v>0</v>
      </c>
      <c r="P557" s="52">
        <f t="shared" si="587"/>
        <v>0</v>
      </c>
      <c r="Q557" s="52">
        <f t="shared" si="587"/>
        <v>0</v>
      </c>
      <c r="R557" s="52">
        <f t="shared" si="587"/>
        <v>0</v>
      </c>
      <c r="S557" s="52">
        <f t="shared" si="587"/>
        <v>0</v>
      </c>
      <c r="T557" s="69">
        <f>SUM(N557:S557)</f>
        <v>0</v>
      </c>
      <c r="U557" s="69">
        <f>T557+L557</f>
        <v>0</v>
      </c>
      <c r="V557" s="69">
        <f>V572+V602</f>
        <v>0</v>
      </c>
      <c r="W557" s="52">
        <f>V557-U557</f>
        <v>0</v>
      </c>
    </row>
    <row r="558" spans="1:28" s="130" customFormat="1" ht="18" customHeight="1">
      <c r="A558" s="673"/>
      <c r="B558" s="581"/>
      <c r="C558" s="581"/>
      <c r="D558" s="174" t="str">
        <f>серпень!D481</f>
        <v>місцевий (план), тис.грн</v>
      </c>
      <c r="E558" s="56"/>
      <c r="F558" s="52">
        <f>F573+F603+F588+F618</f>
        <v>0.65200000000000002</v>
      </c>
      <c r="G558" s="52">
        <f t="shared" ref="G558:K558" si="588">G573+G603+G588+G618</f>
        <v>1E-3</v>
      </c>
      <c r="H558" s="52">
        <f t="shared" si="588"/>
        <v>0.78200000000000003</v>
      </c>
      <c r="I558" s="52">
        <f t="shared" si="588"/>
        <v>0.90200000000000002</v>
      </c>
      <c r="J558" s="52">
        <f t="shared" si="588"/>
        <v>0.90200000000000002</v>
      </c>
      <c r="K558" s="52">
        <f t="shared" si="588"/>
        <v>0.71699999999999997</v>
      </c>
      <c r="L558" s="69">
        <f>SUM(F558:K558)</f>
        <v>3.956</v>
      </c>
      <c r="M558" s="69">
        <f>L558/6</f>
        <v>0.65900000000000003</v>
      </c>
      <c r="N558" s="52">
        <f>N573+N603+N588+N618</f>
        <v>0.90200000000000002</v>
      </c>
      <c r="O558" s="52">
        <f t="shared" ref="O558:S558" si="589">O573+O603+O588+O618</f>
        <v>0.90200000000000002</v>
      </c>
      <c r="P558" s="52">
        <f t="shared" si="589"/>
        <v>0.4</v>
      </c>
      <c r="Q558" s="52">
        <f t="shared" si="589"/>
        <v>0.65100000000000002</v>
      </c>
      <c r="R558" s="52">
        <f t="shared" si="589"/>
        <v>0.65100000000000002</v>
      </c>
      <c r="S558" s="52">
        <f t="shared" si="589"/>
        <v>0.35199999999999998</v>
      </c>
      <c r="T558" s="69">
        <f>SUM(N558:S558)</f>
        <v>3.8580000000000001</v>
      </c>
      <c r="U558" s="69">
        <f>T558+L558</f>
        <v>7.8140000000000001</v>
      </c>
      <c r="V558" s="69">
        <f t="shared" ref="V558" si="590">V573+V603+V588+V618</f>
        <v>7.8140000000000001</v>
      </c>
      <c r="W558" s="52">
        <f>V558-U558</f>
        <v>0</v>
      </c>
    </row>
    <row r="559" spans="1:28" s="48" customFormat="1" ht="18" customHeight="1">
      <c r="A559" s="673"/>
      <c r="B559" s="581"/>
      <c r="C559" s="581"/>
      <c r="D559" s="178" t="str">
        <f>серпень!D482</f>
        <v>касові нат.п-ки 2025</v>
      </c>
      <c r="E559" s="11"/>
      <c r="F559" s="11">
        <f t="shared" ref="F559:K559" si="591">F574+F604</f>
        <v>0</v>
      </c>
      <c r="G559" s="11">
        <f t="shared" si="591"/>
        <v>3.2</v>
      </c>
      <c r="H559" s="11">
        <f t="shared" si="591"/>
        <v>5.4</v>
      </c>
      <c r="I559" s="11">
        <f t="shared" si="591"/>
        <v>5.3</v>
      </c>
      <c r="J559" s="11">
        <f t="shared" si="591"/>
        <v>5.3</v>
      </c>
      <c r="K559" s="11">
        <f t="shared" si="591"/>
        <v>4.3</v>
      </c>
      <c r="L559" s="65">
        <f>SUM(F559:K559)</f>
        <v>23.5</v>
      </c>
      <c r="M559" s="65">
        <f>L559/6</f>
        <v>3.9</v>
      </c>
      <c r="N559" s="11">
        <f t="shared" ref="N559:S559" si="592">N574+N604</f>
        <v>5.4</v>
      </c>
      <c r="O559" s="11">
        <f t="shared" si="592"/>
        <v>5.4</v>
      </c>
      <c r="P559" s="11">
        <f t="shared" si="592"/>
        <v>10.4</v>
      </c>
      <c r="Q559" s="11">
        <f t="shared" si="592"/>
        <v>3.8</v>
      </c>
      <c r="R559" s="11">
        <f t="shared" si="592"/>
        <v>3.8</v>
      </c>
      <c r="S559" s="11">
        <f t="shared" si="592"/>
        <v>3.8</v>
      </c>
      <c r="T559" s="65">
        <f>SUM(N559:S559)</f>
        <v>32.6</v>
      </c>
      <c r="U559" s="65">
        <f>T559+L559</f>
        <v>56.1</v>
      </c>
      <c r="V559" s="38">
        <f>V574+V604</f>
        <v>46</v>
      </c>
      <c r="W559" s="38">
        <f>V559-U559</f>
        <v>-10.1</v>
      </c>
      <c r="X559" s="47">
        <f>U552-U559</f>
        <v>0.1</v>
      </c>
    </row>
    <row r="560" spans="1:28" s="51" customFormat="1" ht="18" customHeight="1">
      <c r="A560" s="673"/>
      <c r="B560" s="581"/>
      <c r="C560" s="581"/>
      <c r="D560" s="187" t="str">
        <f>серпень!D483</f>
        <v>тариф, грн.</v>
      </c>
      <c r="E560" s="49" t="e">
        <f t="shared" ref="E560:W560" si="593">E561/E559*1000</f>
        <v>#DIV/0!</v>
      </c>
      <c r="F560" s="49" t="e">
        <f t="shared" si="593"/>
        <v>#DIV/0!</v>
      </c>
      <c r="G560" s="49">
        <f t="shared" si="593"/>
        <v>166.56299999999999</v>
      </c>
      <c r="H560" s="49">
        <f t="shared" si="593"/>
        <v>167.03700000000001</v>
      </c>
      <c r="I560" s="49">
        <f t="shared" si="593"/>
        <v>170.18899999999999</v>
      </c>
      <c r="J560" s="49">
        <f t="shared" si="593"/>
        <v>170.18899999999999</v>
      </c>
      <c r="K560" s="49">
        <f t="shared" si="593"/>
        <v>166.744</v>
      </c>
      <c r="L560" s="49">
        <f t="shared" si="593"/>
        <v>168.34</v>
      </c>
      <c r="M560" s="49">
        <f t="shared" si="593"/>
        <v>168.97399999999999</v>
      </c>
      <c r="N560" s="49">
        <f t="shared" si="593"/>
        <v>167.03700000000001</v>
      </c>
      <c r="O560" s="49">
        <f t="shared" si="593"/>
        <v>167.03700000000001</v>
      </c>
      <c r="P560" s="49">
        <f t="shared" si="593"/>
        <v>169.51900000000001</v>
      </c>
      <c r="Q560" s="49">
        <f t="shared" si="593"/>
        <v>171.316</v>
      </c>
      <c r="R560" s="49">
        <f t="shared" si="593"/>
        <v>171.316</v>
      </c>
      <c r="S560" s="49">
        <f t="shared" si="593"/>
        <v>172.36799999999999</v>
      </c>
      <c r="T560" s="49">
        <f t="shared" si="593"/>
        <v>169.44800000000001</v>
      </c>
      <c r="U560" s="49">
        <f t="shared" si="593"/>
        <v>168.98400000000001</v>
      </c>
      <c r="V560" s="49">
        <f t="shared" si="593"/>
        <v>169.87</v>
      </c>
      <c r="W560" s="49">
        <f t="shared" si="593"/>
        <v>164.95</v>
      </c>
      <c r="X560" s="59"/>
    </row>
    <row r="561" spans="1:28" s="126" customFormat="1" ht="18" customHeight="1">
      <c r="A561" s="673"/>
      <c r="B561" s="581"/>
      <c r="C561" s="581"/>
      <c r="D561" s="198" t="str">
        <f>серпень!D484</f>
        <v>касові видатки, тис.грн.</v>
      </c>
      <c r="E561" s="71"/>
      <c r="F561" s="61">
        <f>F576+F606+F591+F621</f>
        <v>0</v>
      </c>
      <c r="G561" s="61">
        <f t="shared" ref="G561:K561" si="594">G576+G606+G591+G621</f>
        <v>0.53300000000000003</v>
      </c>
      <c r="H561" s="61">
        <f t="shared" si="594"/>
        <v>0.90200000000000002</v>
      </c>
      <c r="I561" s="61">
        <f t="shared" si="594"/>
        <v>0.90200000000000002</v>
      </c>
      <c r="J561" s="61">
        <f t="shared" si="594"/>
        <v>0.90200000000000002</v>
      </c>
      <c r="K561" s="61">
        <f t="shared" si="594"/>
        <v>0.71699999999999997</v>
      </c>
      <c r="L561" s="61">
        <f>SUM(F561:K561)</f>
        <v>3.956</v>
      </c>
      <c r="M561" s="61">
        <f>L561/6</f>
        <v>0.65900000000000003</v>
      </c>
      <c r="N561" s="61">
        <f>N576+N606+N591+N621</f>
        <v>0.90200000000000002</v>
      </c>
      <c r="O561" s="61">
        <f t="shared" ref="O561:S561" si="595">O576+O606+O591+O621</f>
        <v>0.90200000000000002</v>
      </c>
      <c r="P561" s="61">
        <f t="shared" si="595"/>
        <v>1.7629999999999999</v>
      </c>
      <c r="Q561" s="61">
        <f t="shared" si="595"/>
        <v>0.65100000000000002</v>
      </c>
      <c r="R561" s="61">
        <f t="shared" si="595"/>
        <v>0.65100000000000002</v>
      </c>
      <c r="S561" s="61">
        <f t="shared" si="595"/>
        <v>0.65500000000000003</v>
      </c>
      <c r="T561" s="61">
        <f>SUM(N561:S561)</f>
        <v>5.524</v>
      </c>
      <c r="U561" s="61">
        <f>T561+L561</f>
        <v>9.48</v>
      </c>
      <c r="V561" s="61">
        <f t="shared" ref="V561" si="596">V576+V606+V591+V621</f>
        <v>7.8140000000000001</v>
      </c>
      <c r="W561" s="72">
        <f>V561-U561</f>
        <v>-1.6659999999999999</v>
      </c>
      <c r="X561" s="63">
        <f>U556-U561</f>
        <v>0</v>
      </c>
    </row>
    <row r="562" spans="1:28" s="126" customFormat="1" ht="18" customHeight="1">
      <c r="A562" s="673"/>
      <c r="B562" s="581"/>
      <c r="C562" s="581"/>
      <c r="D562" s="201" t="str">
        <f>серпень!D485</f>
        <v>дотація</v>
      </c>
      <c r="E562" s="71"/>
      <c r="F562" s="61">
        <f t="shared" ref="F562:K563" si="597">F577+F607+F592+F622</f>
        <v>0</v>
      </c>
      <c r="G562" s="61">
        <f t="shared" si="597"/>
        <v>0</v>
      </c>
      <c r="H562" s="61">
        <f t="shared" si="597"/>
        <v>0</v>
      </c>
      <c r="I562" s="61">
        <f t="shared" si="597"/>
        <v>0</v>
      </c>
      <c r="J562" s="61">
        <f t="shared" si="597"/>
        <v>0</v>
      </c>
      <c r="K562" s="61">
        <f t="shared" si="597"/>
        <v>0</v>
      </c>
      <c r="L562" s="61">
        <f>SUM(F562:K562)</f>
        <v>0</v>
      </c>
      <c r="M562" s="61">
        <f>L562/6</f>
        <v>0</v>
      </c>
      <c r="N562" s="61">
        <f t="shared" ref="N562:S562" si="598">N577+N607+N592+N622</f>
        <v>0</v>
      </c>
      <c r="O562" s="61">
        <f t="shared" si="598"/>
        <v>0</v>
      </c>
      <c r="P562" s="61">
        <f t="shared" si="598"/>
        <v>0</v>
      </c>
      <c r="Q562" s="61">
        <f t="shared" si="598"/>
        <v>0</v>
      </c>
      <c r="R562" s="61">
        <f t="shared" si="598"/>
        <v>0</v>
      </c>
      <c r="S562" s="61">
        <f t="shared" si="598"/>
        <v>0</v>
      </c>
      <c r="T562" s="61">
        <f>SUM(N562:S562)</f>
        <v>0</v>
      </c>
      <c r="U562" s="61">
        <f>T562+L562</f>
        <v>0</v>
      </c>
      <c r="V562" s="61">
        <f t="shared" ref="V562" si="599">V577+V607+V592+V622</f>
        <v>0</v>
      </c>
      <c r="W562" s="72">
        <f>V562-U562</f>
        <v>0</v>
      </c>
      <c r="X562" s="63">
        <f>U557-U562</f>
        <v>0</v>
      </c>
    </row>
    <row r="563" spans="1:28" s="126" customFormat="1" ht="18" customHeight="1">
      <c r="A563" s="673"/>
      <c r="B563" s="581"/>
      <c r="C563" s="581"/>
      <c r="D563" s="201" t="str">
        <f>серпень!D486</f>
        <v xml:space="preserve">місцевий </v>
      </c>
      <c r="E563" s="71"/>
      <c r="F563" s="61">
        <f t="shared" si="597"/>
        <v>0</v>
      </c>
      <c r="G563" s="61">
        <f t="shared" si="597"/>
        <v>0.53300000000000003</v>
      </c>
      <c r="H563" s="61">
        <f t="shared" si="597"/>
        <v>0.90200000000000002</v>
      </c>
      <c r="I563" s="61">
        <f t="shared" si="597"/>
        <v>0.90200000000000002</v>
      </c>
      <c r="J563" s="61">
        <f t="shared" si="597"/>
        <v>0.90200000000000002</v>
      </c>
      <c r="K563" s="61">
        <f t="shared" si="597"/>
        <v>0.71699999999999997</v>
      </c>
      <c r="L563" s="61">
        <f>SUM(F563:K563)</f>
        <v>3.956</v>
      </c>
      <c r="M563" s="61">
        <f>L563/6</f>
        <v>0.65900000000000003</v>
      </c>
      <c r="N563" s="61">
        <f t="shared" ref="N563:S563" si="600">N578+N608+N593+N623</f>
        <v>0.90200000000000002</v>
      </c>
      <c r="O563" s="61">
        <f t="shared" si="600"/>
        <v>0.90200000000000002</v>
      </c>
      <c r="P563" s="61">
        <f t="shared" si="600"/>
        <v>1.7629999999999999</v>
      </c>
      <c r="Q563" s="61">
        <f t="shared" si="600"/>
        <v>0.65100000000000002</v>
      </c>
      <c r="R563" s="61">
        <f t="shared" si="600"/>
        <v>0.65100000000000002</v>
      </c>
      <c r="S563" s="61">
        <f t="shared" si="600"/>
        <v>0.65500000000000003</v>
      </c>
      <c r="T563" s="61">
        <f>SUM(N563:S563)</f>
        <v>5.524</v>
      </c>
      <c r="U563" s="61">
        <f>T563+L563</f>
        <v>9.48</v>
      </c>
      <c r="V563" s="61">
        <f t="shared" ref="V563" si="601">V578+V608+V593+V623</f>
        <v>7.8140000000000001</v>
      </c>
      <c r="W563" s="72">
        <f>V563-U563</f>
        <v>-1.6659999999999999</v>
      </c>
      <c r="X563" s="63">
        <f>U558-U563</f>
        <v>-1.6659999999999999</v>
      </c>
    </row>
    <row r="564" spans="1:28" s="43" customFormat="1" ht="18" customHeight="1">
      <c r="A564" s="673"/>
      <c r="B564" s="581"/>
      <c r="C564" s="581"/>
      <c r="D564" s="202" t="str">
        <f>серпень!D487</f>
        <v>план</v>
      </c>
      <c r="E564" s="42"/>
      <c r="F564" s="42">
        <f t="shared" ref="F564:K566" si="602">F579+F609</f>
        <v>0.64900000000000002</v>
      </c>
      <c r="G564" s="42">
        <f t="shared" si="602"/>
        <v>0</v>
      </c>
      <c r="H564" s="42">
        <f t="shared" si="602"/>
        <v>0.78</v>
      </c>
      <c r="I564" s="42">
        <f t="shared" si="602"/>
        <v>0.9</v>
      </c>
      <c r="J564" s="42">
        <f t="shared" si="602"/>
        <v>0.9</v>
      </c>
      <c r="K564" s="42">
        <f t="shared" si="602"/>
        <v>0.71499999999999997</v>
      </c>
      <c r="L564" s="42">
        <f>SUM(F564:K564)</f>
        <v>3.944</v>
      </c>
      <c r="M564" s="42">
        <f>L564/6</f>
        <v>0.65700000000000003</v>
      </c>
      <c r="N564" s="42">
        <f t="shared" ref="N564:S566" si="603">N579+N609</f>
        <v>0.9</v>
      </c>
      <c r="O564" s="42">
        <f t="shared" si="603"/>
        <v>0.9</v>
      </c>
      <c r="P564" s="42">
        <f t="shared" si="603"/>
        <v>0.39800000000000002</v>
      </c>
      <c r="Q564" s="42">
        <f t="shared" si="603"/>
        <v>0.64900000000000002</v>
      </c>
      <c r="R564" s="42">
        <f t="shared" si="603"/>
        <v>0.64900000000000002</v>
      </c>
      <c r="S564" s="42">
        <f t="shared" si="603"/>
        <v>0.34899999999999998</v>
      </c>
      <c r="T564" s="42">
        <f>SUM(N564:S564)</f>
        <v>3.8450000000000002</v>
      </c>
      <c r="U564" s="42">
        <f>T564+L564</f>
        <v>7.7889999999999997</v>
      </c>
      <c r="V564" s="42">
        <f>V579+V609</f>
        <v>7.7889999999999997</v>
      </c>
      <c r="W564" s="42">
        <f>V564-U564</f>
        <v>0</v>
      </c>
    </row>
    <row r="565" spans="1:28" s="43" customFormat="1" ht="18" customHeight="1">
      <c r="A565" s="673"/>
      <c r="B565" s="581"/>
      <c r="C565" s="581"/>
      <c r="D565" s="202" t="str">
        <f>серпень!D488</f>
        <v xml:space="preserve">відхилення </v>
      </c>
      <c r="E565" s="42"/>
      <c r="F565" s="42">
        <f t="shared" si="602"/>
        <v>-0.64900000000000002</v>
      </c>
      <c r="G565" s="42">
        <f t="shared" si="602"/>
        <v>0.53100000000000003</v>
      </c>
      <c r="H565" s="42">
        <f t="shared" si="602"/>
        <v>0.12</v>
      </c>
      <c r="I565" s="42">
        <f t="shared" si="602"/>
        <v>0</v>
      </c>
      <c r="J565" s="42">
        <f t="shared" si="602"/>
        <v>0</v>
      </c>
      <c r="K565" s="42">
        <f t="shared" si="602"/>
        <v>0</v>
      </c>
      <c r="L565" s="42"/>
      <c r="M565" s="42"/>
      <c r="N565" s="42">
        <f t="shared" si="603"/>
        <v>0</v>
      </c>
      <c r="O565" s="42">
        <f t="shared" si="603"/>
        <v>0</v>
      </c>
      <c r="P565" s="42">
        <f t="shared" si="603"/>
        <v>1.363</v>
      </c>
      <c r="Q565" s="42">
        <f t="shared" si="603"/>
        <v>0</v>
      </c>
      <c r="R565" s="42">
        <f t="shared" si="603"/>
        <v>0</v>
      </c>
      <c r="S565" s="42">
        <f t="shared" si="603"/>
        <v>0.30099999999999999</v>
      </c>
      <c r="T565" s="42"/>
      <c r="U565" s="42"/>
      <c r="V565" s="42"/>
      <c r="W565" s="42"/>
    </row>
    <row r="566" spans="1:28" s="43" customFormat="1" ht="18" customHeight="1">
      <c r="A566" s="673"/>
      <c r="B566" s="581"/>
      <c r="C566" s="581"/>
      <c r="D566" s="202" t="str">
        <f>серпень!D489</f>
        <v>відхилення з наростаючим</v>
      </c>
      <c r="E566" s="42"/>
      <c r="F566" s="42">
        <f t="shared" si="602"/>
        <v>-0.64900000000000002</v>
      </c>
      <c r="G566" s="42">
        <f t="shared" si="602"/>
        <v>-0.11799999999999999</v>
      </c>
      <c r="H566" s="42">
        <f t="shared" si="602"/>
        <v>2E-3</v>
      </c>
      <c r="I566" s="42">
        <f t="shared" si="602"/>
        <v>2E-3</v>
      </c>
      <c r="J566" s="42">
        <f t="shared" si="602"/>
        <v>2E-3</v>
      </c>
      <c r="K566" s="42">
        <f t="shared" si="602"/>
        <v>2E-3</v>
      </c>
      <c r="L566" s="42"/>
      <c r="M566" s="42"/>
      <c r="N566" s="42">
        <f t="shared" si="603"/>
        <v>2E-3</v>
      </c>
      <c r="O566" s="42">
        <f t="shared" si="603"/>
        <v>2E-3</v>
      </c>
      <c r="P566" s="42">
        <f t="shared" si="603"/>
        <v>1.365</v>
      </c>
      <c r="Q566" s="42">
        <f t="shared" si="603"/>
        <v>1.365</v>
      </c>
      <c r="R566" s="42">
        <f t="shared" si="603"/>
        <v>1.365</v>
      </c>
      <c r="S566" s="42">
        <f t="shared" si="603"/>
        <v>1.6659999999999999</v>
      </c>
      <c r="T566" s="42"/>
      <c r="U566" s="42"/>
      <c r="V566" s="42"/>
      <c r="W566" s="42"/>
    </row>
    <row r="567" spans="1:28" s="55" customFormat="1" ht="18" customHeight="1">
      <c r="A567" s="673"/>
      <c r="B567" s="576" t="s">
        <v>63</v>
      </c>
      <c r="C567" s="577"/>
      <c r="D567" s="178" t="str">
        <f>серпень!D490</f>
        <v>факт. нат.п-ки 2023</v>
      </c>
      <c r="E567" s="11"/>
      <c r="F567" s="82">
        <v>1.7</v>
      </c>
      <c r="G567" s="82">
        <v>1.7</v>
      </c>
      <c r="H567" s="82">
        <v>2.5</v>
      </c>
      <c r="I567" s="82">
        <v>5.0999999999999996</v>
      </c>
      <c r="J567" s="82">
        <v>2.2000000000000002</v>
      </c>
      <c r="K567" s="82">
        <v>4.3</v>
      </c>
      <c r="L567" s="125">
        <f>SUM(F567:K567)</f>
        <v>17.5</v>
      </c>
      <c r="M567" s="125">
        <f>L567/6</f>
        <v>2.9169999999999998</v>
      </c>
      <c r="N567" s="82">
        <v>0</v>
      </c>
      <c r="O567" s="82">
        <v>2.1</v>
      </c>
      <c r="P567" s="82">
        <v>3.2</v>
      </c>
      <c r="Q567" s="82">
        <v>1.2</v>
      </c>
      <c r="R567" s="82">
        <v>0.2</v>
      </c>
      <c r="S567" s="82">
        <v>3.3</v>
      </c>
      <c r="T567" s="125">
        <f>SUM(N567:S567)</f>
        <v>10</v>
      </c>
      <c r="U567" s="125">
        <f>T567+L567</f>
        <v>27.5</v>
      </c>
      <c r="V567" s="524"/>
      <c r="W567" s="505"/>
      <c r="X567" s="47"/>
      <c r="Y567" s="48"/>
      <c r="Z567" s="48"/>
      <c r="AA567" s="48"/>
      <c r="AB567" s="48"/>
    </row>
    <row r="568" spans="1:28" s="48" customFormat="1" ht="18" customHeight="1">
      <c r="A568" s="673"/>
      <c r="B568" s="576"/>
      <c r="C568" s="577"/>
      <c r="D568" s="178" t="str">
        <f>серпень!D491</f>
        <v>факт. нат.п-ки 2024</v>
      </c>
      <c r="E568" s="11"/>
      <c r="F568" s="82">
        <v>3.8</v>
      </c>
      <c r="G568" s="82">
        <v>3.2</v>
      </c>
      <c r="H568" s="82">
        <v>2.7</v>
      </c>
      <c r="I568" s="82">
        <v>4.3</v>
      </c>
      <c r="J568" s="82">
        <v>1.9</v>
      </c>
      <c r="K568" s="82">
        <v>3.7</v>
      </c>
      <c r="L568" s="125">
        <f>SUM(F568:K568)</f>
        <v>19.600000000000001</v>
      </c>
      <c r="M568" s="125">
        <f>L568/6</f>
        <v>3.2669999999999999</v>
      </c>
      <c r="N568" s="349">
        <v>4.3</v>
      </c>
      <c r="O568" s="349">
        <v>5.4</v>
      </c>
      <c r="P568" s="349">
        <v>4.3</v>
      </c>
      <c r="Q568" s="349">
        <v>3</v>
      </c>
      <c r="R568" s="349">
        <v>1.2</v>
      </c>
      <c r="S568" s="349">
        <v>3.3</v>
      </c>
      <c r="T568" s="125">
        <f>SUM(N568:S568)</f>
        <v>21.5</v>
      </c>
      <c r="U568" s="125">
        <f>T568+L568</f>
        <v>41.1</v>
      </c>
      <c r="V568" s="505"/>
      <c r="W568" s="505"/>
      <c r="X568" s="47"/>
    </row>
    <row r="569" spans="1:28" s="48" customFormat="1" ht="18" customHeight="1">
      <c r="A569" s="673"/>
      <c r="B569" s="576"/>
      <c r="C569" s="577"/>
      <c r="D569" s="178" t="str">
        <f>серпень!D492</f>
        <v>факт. нат.п-ки 2025</v>
      </c>
      <c r="E569" s="11"/>
      <c r="F569" s="82">
        <v>3.16</v>
      </c>
      <c r="G569" s="82">
        <v>5.36</v>
      </c>
      <c r="H569" s="82">
        <v>5.36</v>
      </c>
      <c r="I569" s="82">
        <v>5.36</v>
      </c>
      <c r="J569" s="82">
        <v>5.36</v>
      </c>
      <c r="K569" s="82">
        <v>5.36</v>
      </c>
      <c r="L569" s="125">
        <f>SUM(F569:K569)</f>
        <v>29.96</v>
      </c>
      <c r="M569" s="125">
        <f>L569/6</f>
        <v>4.9930000000000003</v>
      </c>
      <c r="N569" s="82">
        <v>5.36</v>
      </c>
      <c r="O569" s="82">
        <v>5.36</v>
      </c>
      <c r="P569" s="82">
        <f t="shared" ref="P569:R569" si="604">46/12</f>
        <v>3.8330000000000002</v>
      </c>
      <c r="Q569" s="82">
        <f t="shared" si="604"/>
        <v>3.8330000000000002</v>
      </c>
      <c r="R569" s="82">
        <f t="shared" si="604"/>
        <v>3.8330000000000002</v>
      </c>
      <c r="S569" s="82">
        <f>46/12+0.004</f>
        <v>3.8370000000000002</v>
      </c>
      <c r="T569" s="125">
        <f>SUM(N569:S569)</f>
        <v>26.056000000000001</v>
      </c>
      <c r="U569" s="125">
        <f>T569+L569</f>
        <v>56.015999999999998</v>
      </c>
      <c r="V569" s="349">
        <v>46</v>
      </c>
      <c r="W569" s="505">
        <f>V569-U569</f>
        <v>-10.016</v>
      </c>
      <c r="X569" s="47"/>
    </row>
    <row r="570" spans="1:28" s="51" customFormat="1" ht="18" customHeight="1">
      <c r="A570" s="673"/>
      <c r="B570" s="576"/>
      <c r="C570" s="577"/>
      <c r="D570" s="187" t="str">
        <f>серпень!D493</f>
        <v>тариф, грн.</v>
      </c>
      <c r="E570" s="49" t="e">
        <f>E571/E569*1000</f>
        <v>#DIV/0!</v>
      </c>
      <c r="F570" s="49">
        <f t="shared" ref="F570:K570" si="605">F571/F569*1000</f>
        <v>168.03800000000001</v>
      </c>
      <c r="G570" s="49">
        <f t="shared" si="605"/>
        <v>167.91</v>
      </c>
      <c r="H570" s="49">
        <f t="shared" si="605"/>
        <v>167.91</v>
      </c>
      <c r="I570" s="49">
        <f t="shared" si="605"/>
        <v>167.91</v>
      </c>
      <c r="J570" s="49">
        <f t="shared" si="605"/>
        <v>167.91</v>
      </c>
      <c r="K570" s="49">
        <f t="shared" si="605"/>
        <v>169.59</v>
      </c>
      <c r="L570" s="68">
        <f>L571/L569*1000</f>
        <v>168.22399999999999</v>
      </c>
      <c r="M570" s="68">
        <f>M571/M569*1000</f>
        <v>168.23599999999999</v>
      </c>
      <c r="N570" s="68">
        <f t="shared" ref="N570:O570" si="606">N571/N569*1000</f>
        <v>169.59</v>
      </c>
      <c r="O570" s="68">
        <f t="shared" si="606"/>
        <v>169.59</v>
      </c>
      <c r="P570" s="49">
        <v>169.87</v>
      </c>
      <c r="Q570" s="49">
        <v>169.87</v>
      </c>
      <c r="R570" s="49">
        <v>169.87</v>
      </c>
      <c r="S570" s="49">
        <v>169.87</v>
      </c>
      <c r="T570" s="68">
        <f>T571/T569*1000</f>
        <v>169.44300000000001</v>
      </c>
      <c r="U570" s="68">
        <f>U571/U569*1000</f>
        <v>168.791</v>
      </c>
      <c r="V570" s="68">
        <f>V571/V569*1000</f>
        <v>169.32599999999999</v>
      </c>
      <c r="W570" s="14">
        <f>W571/W569*1000</f>
        <v>166.334</v>
      </c>
      <c r="X570" s="59"/>
    </row>
    <row r="571" spans="1:28" s="130" customFormat="1" ht="18" customHeight="1">
      <c r="A571" s="673"/>
      <c r="B571" s="576"/>
      <c r="C571" s="577"/>
      <c r="D571" s="191" t="str">
        <f>серпень!D494</f>
        <v>сума, тис.грн.</v>
      </c>
      <c r="E571" s="52"/>
      <c r="F571" s="52">
        <v>0.53100000000000003</v>
      </c>
      <c r="G571" s="52">
        <v>0.9</v>
      </c>
      <c r="H571" s="52">
        <v>0.9</v>
      </c>
      <c r="I571" s="52">
        <v>0.9</v>
      </c>
      <c r="J571" s="52">
        <v>0.9</v>
      </c>
      <c r="K571" s="52">
        <v>0.90900000000000003</v>
      </c>
      <c r="L571" s="69">
        <f>SUM(F571:K571)</f>
        <v>5.04</v>
      </c>
      <c r="M571" s="69">
        <f>L571/6</f>
        <v>0.84</v>
      </c>
      <c r="N571" s="52">
        <v>0.90900000000000003</v>
      </c>
      <c r="O571" s="52">
        <v>0.90900000000000003</v>
      </c>
      <c r="P571" s="52">
        <f t="shared" ref="P571" si="607">P569*P570/1000-0.002</f>
        <v>0.64900000000000002</v>
      </c>
      <c r="Q571" s="52">
        <f t="shared" ref="Q571" si="608">Q569*Q570/1000-0.002</f>
        <v>0.64900000000000002</v>
      </c>
      <c r="R571" s="52">
        <f t="shared" ref="R571" si="609">R569*R570/1000-0.002</f>
        <v>0.64900000000000002</v>
      </c>
      <c r="S571" s="52">
        <f>S569*S570/1000-0.002</f>
        <v>0.65</v>
      </c>
      <c r="T571" s="69">
        <f>SUM(N571:S571)</f>
        <v>4.415</v>
      </c>
      <c r="U571" s="69">
        <f>T571+L571</f>
        <v>9.4550000000000001</v>
      </c>
      <c r="V571" s="70">
        <f>V572+V573</f>
        <v>7.7889999999999997</v>
      </c>
      <c r="W571" s="53">
        <f>V571-U571</f>
        <v>-1.6659999999999999</v>
      </c>
    </row>
    <row r="572" spans="1:28" s="130" customFormat="1" ht="18" customHeight="1">
      <c r="A572" s="673"/>
      <c r="B572" s="576"/>
      <c r="C572" s="577"/>
      <c r="D572" s="174" t="str">
        <f>серпень!D495</f>
        <v>дотація</v>
      </c>
      <c r="E572" s="56"/>
      <c r="F572" s="52"/>
      <c r="G572" s="52"/>
      <c r="H572" s="52"/>
      <c r="I572" s="52"/>
      <c r="J572" s="52"/>
      <c r="K572" s="52"/>
      <c r="L572" s="69">
        <f>SUM(F572:K572)</f>
        <v>0</v>
      </c>
      <c r="M572" s="69">
        <f>L572/6</f>
        <v>0</v>
      </c>
      <c r="N572" s="52"/>
      <c r="O572" s="52"/>
      <c r="P572" s="52"/>
      <c r="Q572" s="52"/>
      <c r="R572" s="52"/>
      <c r="S572" s="52"/>
      <c r="T572" s="69">
        <f>SUM(N572:S572)</f>
        <v>0</v>
      </c>
      <c r="U572" s="69">
        <f>T572+L572</f>
        <v>0</v>
      </c>
      <c r="V572" s="70">
        <v>0</v>
      </c>
      <c r="W572" s="53">
        <f>V572-U572</f>
        <v>0</v>
      </c>
    </row>
    <row r="573" spans="1:28" s="130" customFormat="1" ht="18" customHeight="1">
      <c r="A573" s="673"/>
      <c r="B573" s="576"/>
      <c r="C573" s="577"/>
      <c r="D573" s="174" t="str">
        <f>серпень!D496</f>
        <v>місцевий (план), тис.грн</v>
      </c>
      <c r="E573" s="56"/>
      <c r="F573" s="52">
        <v>0.64900000000000002</v>
      </c>
      <c r="G573" s="52">
        <v>0</v>
      </c>
      <c r="H573" s="52">
        <f>0.649+0.131</f>
        <v>0.78</v>
      </c>
      <c r="I573" s="52">
        <f>0.902-0.002</f>
        <v>0.9</v>
      </c>
      <c r="J573" s="52">
        <v>0.9</v>
      </c>
      <c r="K573" s="52">
        <f>0.717-0.002</f>
        <v>0.71499999999999997</v>
      </c>
      <c r="L573" s="69">
        <f>SUM(F573:K573)</f>
        <v>3.944</v>
      </c>
      <c r="M573" s="69">
        <f>L573/6</f>
        <v>0.65700000000000003</v>
      </c>
      <c r="N573" s="52">
        <f>0.902-0.002</f>
        <v>0.9</v>
      </c>
      <c r="O573" s="52">
        <f>0.9</f>
        <v>0.9</v>
      </c>
      <c r="P573" s="52">
        <f>0.649-0.251</f>
        <v>0.39800000000000002</v>
      </c>
      <c r="Q573" s="52">
        <v>0.64900000000000002</v>
      </c>
      <c r="R573" s="52">
        <v>0.64900000000000002</v>
      </c>
      <c r="S573" s="52">
        <f>0.352-0.003</f>
        <v>0.34899999999999998</v>
      </c>
      <c r="T573" s="69">
        <f>SUM(N573:S573)</f>
        <v>3.8450000000000002</v>
      </c>
      <c r="U573" s="69">
        <f>T573+L573</f>
        <v>7.7889999999999997</v>
      </c>
      <c r="V573" s="70">
        <f>7.814-0.025</f>
        <v>7.7889999999999997</v>
      </c>
      <c r="W573" s="53">
        <f>V573-U573</f>
        <v>0</v>
      </c>
    </row>
    <row r="574" spans="1:28" s="48" customFormat="1" ht="18" customHeight="1">
      <c r="A574" s="673"/>
      <c r="B574" s="576"/>
      <c r="C574" s="577"/>
      <c r="D574" s="178" t="str">
        <f>серпень!D497</f>
        <v>касові нат.п-ки 2025</v>
      </c>
      <c r="E574" s="11"/>
      <c r="F574" s="82">
        <v>0</v>
      </c>
      <c r="G574" s="82">
        <v>3.16</v>
      </c>
      <c r="H574" s="82">
        <v>5.36</v>
      </c>
      <c r="I574" s="82">
        <f>900/169.87</f>
        <v>5.298</v>
      </c>
      <c r="J574" s="82">
        <f>902/169.87</f>
        <v>5.31</v>
      </c>
      <c r="K574" s="82">
        <v>4.26</v>
      </c>
      <c r="L574" s="125">
        <f>SUM(F574:K574)</f>
        <v>23.388000000000002</v>
      </c>
      <c r="M574" s="125">
        <f>L574/6</f>
        <v>3.8980000000000001</v>
      </c>
      <c r="N574" s="349">
        <v>5.36</v>
      </c>
      <c r="O574" s="349">
        <v>5.36</v>
      </c>
      <c r="P574" s="349">
        <f>3.833+6.572</f>
        <v>10.404999999999999</v>
      </c>
      <c r="Q574" s="349">
        <v>3.8330000000000002</v>
      </c>
      <c r="R574" s="349">
        <v>3.8330000000000002</v>
      </c>
      <c r="S574" s="349">
        <v>3.8370000000000002</v>
      </c>
      <c r="T574" s="125">
        <f>SUM(N574:S574)</f>
        <v>32.628</v>
      </c>
      <c r="U574" s="125">
        <f>T574+L574</f>
        <v>56.015999999999998</v>
      </c>
      <c r="V574" s="349">
        <f>V569</f>
        <v>46</v>
      </c>
      <c r="W574" s="505">
        <f>V574-U574</f>
        <v>-10.016</v>
      </c>
      <c r="X574" s="47">
        <f>U569-U574</f>
        <v>0</v>
      </c>
    </row>
    <row r="575" spans="1:28" s="51" customFormat="1" ht="18" customHeight="1">
      <c r="A575" s="673"/>
      <c r="B575" s="576"/>
      <c r="C575" s="577"/>
      <c r="D575" s="187" t="str">
        <f>серпень!D498</f>
        <v>тариф, грн.</v>
      </c>
      <c r="E575" s="49" t="e">
        <f>E576/E574*1000</f>
        <v>#DIV/0!</v>
      </c>
      <c r="F575" s="49" t="e">
        <f t="shared" ref="F575:K575" si="610">F576/F574*1000</f>
        <v>#DIV/0!</v>
      </c>
      <c r="G575" s="49">
        <f t="shared" si="610"/>
        <v>168.03800000000001</v>
      </c>
      <c r="H575" s="49">
        <f t="shared" si="610"/>
        <v>167.91</v>
      </c>
      <c r="I575" s="49">
        <f t="shared" si="610"/>
        <v>169.875</v>
      </c>
      <c r="J575" s="49">
        <f t="shared" si="610"/>
        <v>169.49199999999999</v>
      </c>
      <c r="K575" s="49">
        <f t="shared" si="610"/>
        <v>167.84</v>
      </c>
      <c r="L575" s="68">
        <f>L576/L574*1000</f>
        <v>168.71899999999999</v>
      </c>
      <c r="M575" s="68">
        <f>M576/M574*1000</f>
        <v>168.80500000000001</v>
      </c>
      <c r="N575" s="68">
        <f t="shared" ref="N575:O575" si="611">N576/N574*1000</f>
        <v>167.91</v>
      </c>
      <c r="O575" s="68">
        <f t="shared" si="611"/>
        <v>167.91</v>
      </c>
      <c r="P575" s="49">
        <v>169.87</v>
      </c>
      <c r="Q575" s="49">
        <v>169.87</v>
      </c>
      <c r="R575" s="49">
        <v>169.87</v>
      </c>
      <c r="S575" s="49">
        <v>169.87</v>
      </c>
      <c r="T575" s="68">
        <f>T576/T574*1000</f>
        <v>168.84299999999999</v>
      </c>
      <c r="U575" s="68">
        <f>U576/U574*1000</f>
        <v>168.791</v>
      </c>
      <c r="V575" s="68">
        <f>V576/V574*1000</f>
        <v>169.32599999999999</v>
      </c>
      <c r="W575" s="14">
        <f>W576/W574*1000</f>
        <v>166.334</v>
      </c>
      <c r="X575" s="59"/>
    </row>
    <row r="576" spans="1:28" s="126" customFormat="1" ht="18" customHeight="1">
      <c r="A576" s="673"/>
      <c r="B576" s="576"/>
      <c r="C576" s="577"/>
      <c r="D576" s="198" t="str">
        <f>серпень!D499</f>
        <v>касові видатки, тис.грн.</v>
      </c>
      <c r="E576" s="71"/>
      <c r="F576" s="61">
        <v>0</v>
      </c>
      <c r="G576" s="61">
        <v>0.53100000000000003</v>
      </c>
      <c r="H576" s="61">
        <v>0.9</v>
      </c>
      <c r="I576" s="61">
        <f>0.902-0.002</f>
        <v>0.9</v>
      </c>
      <c r="J576" s="61">
        <v>0.9</v>
      </c>
      <c r="K576" s="61">
        <v>0.71499999999999997</v>
      </c>
      <c r="L576" s="61">
        <f>SUM(F576:K576)</f>
        <v>3.9460000000000002</v>
      </c>
      <c r="M576" s="61">
        <f>L576/6</f>
        <v>0.65800000000000003</v>
      </c>
      <c r="N576" s="61">
        <v>0.9</v>
      </c>
      <c r="O576" s="61">
        <v>0.9</v>
      </c>
      <c r="P576" s="61">
        <v>1.7609999999999999</v>
      </c>
      <c r="Q576" s="61">
        <f t="shared" ref="Q576" si="612">Q574*Q575/1000-0.002</f>
        <v>0.64900000000000002</v>
      </c>
      <c r="R576" s="61">
        <f t="shared" ref="R576" si="613">R574*R575/1000-0.002</f>
        <v>0.64900000000000002</v>
      </c>
      <c r="S576" s="61">
        <f>S574*S575/1000-0.002</f>
        <v>0.65</v>
      </c>
      <c r="T576" s="61">
        <f>SUM(N576:S576)</f>
        <v>5.5090000000000003</v>
      </c>
      <c r="U576" s="61">
        <f>T576+L576</f>
        <v>9.4550000000000001</v>
      </c>
      <c r="V576" s="61">
        <f>V571</f>
        <v>7.7889999999999997</v>
      </c>
      <c r="W576" s="72">
        <f>V576-U576</f>
        <v>-1.6659999999999999</v>
      </c>
      <c r="X576" s="63">
        <f>U571-U576</f>
        <v>0</v>
      </c>
    </row>
    <row r="577" spans="1:28" s="126" customFormat="1" ht="18" customHeight="1">
      <c r="A577" s="673"/>
      <c r="B577" s="576"/>
      <c r="C577" s="577"/>
      <c r="D577" s="201" t="str">
        <f>серпень!D500</f>
        <v>дотація</v>
      </c>
      <c r="E577" s="71"/>
      <c r="F577" s="61">
        <v>0</v>
      </c>
      <c r="G577" s="61">
        <v>0</v>
      </c>
      <c r="H577" s="61">
        <v>0</v>
      </c>
      <c r="I577" s="61">
        <v>0</v>
      </c>
      <c r="J577" s="61">
        <v>0</v>
      </c>
      <c r="K577" s="61">
        <v>0</v>
      </c>
      <c r="L577" s="61">
        <f>SUM(F577:K577)</f>
        <v>0</v>
      </c>
      <c r="M577" s="61">
        <f>L577/6</f>
        <v>0</v>
      </c>
      <c r="N577" s="61">
        <v>0</v>
      </c>
      <c r="O577" s="61">
        <v>0</v>
      </c>
      <c r="P577" s="61">
        <v>0</v>
      </c>
      <c r="Q577" s="61">
        <v>0</v>
      </c>
      <c r="R577" s="61">
        <v>0</v>
      </c>
      <c r="S577" s="61">
        <v>0</v>
      </c>
      <c r="T577" s="61">
        <f>SUM(N577:S577)</f>
        <v>0</v>
      </c>
      <c r="U577" s="61">
        <f>T577+L577</f>
        <v>0</v>
      </c>
      <c r="V577" s="61">
        <f>V572</f>
        <v>0</v>
      </c>
      <c r="W577" s="72">
        <f>V577-U577</f>
        <v>0</v>
      </c>
      <c r="X577" s="63">
        <f>U572-U577</f>
        <v>0</v>
      </c>
    </row>
    <row r="578" spans="1:28" s="126" customFormat="1" ht="18" customHeight="1">
      <c r="A578" s="673"/>
      <c r="B578" s="576"/>
      <c r="C578" s="577"/>
      <c r="D578" s="201" t="str">
        <f>серпень!D501</f>
        <v xml:space="preserve">місцевий </v>
      </c>
      <c r="E578" s="71"/>
      <c r="F578" s="61">
        <f t="shared" ref="F578:K578" si="614">F576-F577</f>
        <v>0</v>
      </c>
      <c r="G578" s="61">
        <f t="shared" si="614"/>
        <v>0.53100000000000003</v>
      </c>
      <c r="H578" s="61">
        <f t="shared" si="614"/>
        <v>0.9</v>
      </c>
      <c r="I578" s="61">
        <f t="shared" si="614"/>
        <v>0.9</v>
      </c>
      <c r="J578" s="61">
        <f t="shared" si="614"/>
        <v>0.9</v>
      </c>
      <c r="K578" s="61">
        <f t="shared" si="614"/>
        <v>0.71499999999999997</v>
      </c>
      <c r="L578" s="61">
        <f>SUM(F578:K578)</f>
        <v>3.9460000000000002</v>
      </c>
      <c r="M578" s="61">
        <f>L578/6</f>
        <v>0.65800000000000003</v>
      </c>
      <c r="N578" s="61">
        <f t="shared" ref="N578:S578" si="615">N576-N577</f>
        <v>0.9</v>
      </c>
      <c r="O578" s="61">
        <f t="shared" si="615"/>
        <v>0.9</v>
      </c>
      <c r="P578" s="61">
        <f t="shared" si="615"/>
        <v>1.7609999999999999</v>
      </c>
      <c r="Q578" s="61">
        <f t="shared" si="615"/>
        <v>0.64900000000000002</v>
      </c>
      <c r="R578" s="61">
        <f t="shared" si="615"/>
        <v>0.64900000000000002</v>
      </c>
      <c r="S578" s="61">
        <f t="shared" si="615"/>
        <v>0.65</v>
      </c>
      <c r="T578" s="61">
        <f>SUM(N578:S578)</f>
        <v>5.5090000000000003</v>
      </c>
      <c r="U578" s="61">
        <f>T578+L578</f>
        <v>9.4550000000000001</v>
      </c>
      <c r="V578" s="61">
        <f>V573</f>
        <v>7.7889999999999997</v>
      </c>
      <c r="W578" s="72">
        <f>V578-U578</f>
        <v>-1.6659999999999999</v>
      </c>
      <c r="X578" s="63">
        <f>U573-U578</f>
        <v>-1.6659999999999999</v>
      </c>
    </row>
    <row r="579" spans="1:28" s="43" customFormat="1" ht="18" customHeight="1">
      <c r="A579" s="673"/>
      <c r="B579" s="576"/>
      <c r="C579" s="577"/>
      <c r="D579" s="202" t="str">
        <f>серпень!D502</f>
        <v>план</v>
      </c>
      <c r="E579" s="42"/>
      <c r="F579" s="42">
        <f t="shared" ref="F579:K579" si="616">F573</f>
        <v>0.64900000000000002</v>
      </c>
      <c r="G579" s="42">
        <f t="shared" si="616"/>
        <v>0</v>
      </c>
      <c r="H579" s="42">
        <f t="shared" si="616"/>
        <v>0.78</v>
      </c>
      <c r="I579" s="42">
        <f t="shared" si="616"/>
        <v>0.9</v>
      </c>
      <c r="J579" s="42">
        <f t="shared" si="616"/>
        <v>0.9</v>
      </c>
      <c r="K579" s="42">
        <f t="shared" si="616"/>
        <v>0.71499999999999997</v>
      </c>
      <c r="L579" s="42">
        <f>SUM(F579:K579)</f>
        <v>3.944</v>
      </c>
      <c r="M579" s="42">
        <f>L579/6</f>
        <v>0.65700000000000003</v>
      </c>
      <c r="N579" s="42">
        <f t="shared" ref="N579:S579" si="617">N573+N572</f>
        <v>0.9</v>
      </c>
      <c r="O579" s="42">
        <f t="shared" si="617"/>
        <v>0.9</v>
      </c>
      <c r="P579" s="42">
        <f t="shared" si="617"/>
        <v>0.39800000000000002</v>
      </c>
      <c r="Q579" s="42">
        <f t="shared" si="617"/>
        <v>0.64900000000000002</v>
      </c>
      <c r="R579" s="42">
        <f t="shared" si="617"/>
        <v>0.64900000000000002</v>
      </c>
      <c r="S579" s="42">
        <f t="shared" si="617"/>
        <v>0.34899999999999998</v>
      </c>
      <c r="T579" s="42">
        <f>SUM(N579:S579)</f>
        <v>3.8450000000000002</v>
      </c>
      <c r="U579" s="42">
        <f>T579+L579</f>
        <v>7.7889999999999997</v>
      </c>
      <c r="V579" s="42">
        <f>V576</f>
        <v>7.7889999999999997</v>
      </c>
      <c r="W579" s="42">
        <f>V579-U579</f>
        <v>0</v>
      </c>
    </row>
    <row r="580" spans="1:28" s="43" customFormat="1" ht="18" customHeight="1">
      <c r="A580" s="673"/>
      <c r="B580" s="576"/>
      <c r="C580" s="577"/>
      <c r="D580" s="202" t="str">
        <f>серпень!D503</f>
        <v xml:space="preserve">відхилення </v>
      </c>
      <c r="E580" s="42"/>
      <c r="F580" s="42">
        <f t="shared" ref="F580:K580" si="618">F576-F579</f>
        <v>-0.64900000000000002</v>
      </c>
      <c r="G580" s="42">
        <f t="shared" si="618"/>
        <v>0.53100000000000003</v>
      </c>
      <c r="H580" s="42">
        <f t="shared" si="618"/>
        <v>0.12</v>
      </c>
      <c r="I580" s="42">
        <f t="shared" si="618"/>
        <v>0</v>
      </c>
      <c r="J580" s="42">
        <f t="shared" si="618"/>
        <v>0</v>
      </c>
      <c r="K580" s="42">
        <f t="shared" si="618"/>
        <v>0</v>
      </c>
      <c r="L580" s="42"/>
      <c r="M580" s="42"/>
      <c r="N580" s="42">
        <f t="shared" ref="N580:S580" si="619">N576-N579</f>
        <v>0</v>
      </c>
      <c r="O580" s="42">
        <f t="shared" si="619"/>
        <v>0</v>
      </c>
      <c r="P580" s="42">
        <f t="shared" si="619"/>
        <v>1.363</v>
      </c>
      <c r="Q580" s="42">
        <f t="shared" si="619"/>
        <v>0</v>
      </c>
      <c r="R580" s="42">
        <f t="shared" si="619"/>
        <v>0</v>
      </c>
      <c r="S580" s="42">
        <f t="shared" si="619"/>
        <v>0.30099999999999999</v>
      </c>
      <c r="T580" s="42"/>
      <c r="U580" s="42"/>
      <c r="V580" s="42"/>
      <c r="W580" s="42"/>
    </row>
    <row r="581" spans="1:28" s="43" customFormat="1" ht="18" customHeight="1">
      <c r="A581" s="673"/>
      <c r="B581" s="576"/>
      <c r="C581" s="577"/>
      <c r="D581" s="202" t="str">
        <f>серпень!D504</f>
        <v>відхилення з наростаючим</v>
      </c>
      <c r="E581" s="42"/>
      <c r="F581" s="42">
        <f>F580</f>
        <v>-0.64900000000000002</v>
      </c>
      <c r="G581" s="42">
        <f>G580+F581</f>
        <v>-0.11799999999999999</v>
      </c>
      <c r="H581" s="42">
        <f>H580+G581</f>
        <v>2E-3</v>
      </c>
      <c r="I581" s="42">
        <f>I580+H581</f>
        <v>2E-3</v>
      </c>
      <c r="J581" s="42">
        <f>J580+I581</f>
        <v>2E-3</v>
      </c>
      <c r="K581" s="42">
        <f>K580+J581</f>
        <v>2E-3</v>
      </c>
      <c r="L581" s="42"/>
      <c r="M581" s="42"/>
      <c r="N581" s="42">
        <f>N580+K581</f>
        <v>2E-3</v>
      </c>
      <c r="O581" s="42">
        <f>O580+N581</f>
        <v>2E-3</v>
      </c>
      <c r="P581" s="42">
        <f>P580+O581</f>
        <v>1.365</v>
      </c>
      <c r="Q581" s="42">
        <f>Q580+P581</f>
        <v>1.365</v>
      </c>
      <c r="R581" s="42">
        <f>R580+Q581</f>
        <v>1.365</v>
      </c>
      <c r="S581" s="42">
        <f>S580+R581</f>
        <v>1.6659999999999999</v>
      </c>
      <c r="T581" s="42"/>
      <c r="U581" s="42"/>
      <c r="V581" s="42"/>
      <c r="W581" s="42"/>
    </row>
    <row r="582" spans="1:28" s="55" customFormat="1" ht="18" customHeight="1">
      <c r="A582" s="673"/>
      <c r="B582" s="654" t="s">
        <v>138</v>
      </c>
      <c r="C582" s="581"/>
      <c r="D582" s="178" t="str">
        <f>серпень!D505</f>
        <v>факт. нат.п-ки 2023</v>
      </c>
      <c r="E582" s="11"/>
      <c r="F582" s="12"/>
      <c r="G582" s="12"/>
      <c r="H582" s="12"/>
      <c r="I582" s="12"/>
      <c r="J582" s="12"/>
      <c r="K582" s="12"/>
      <c r="L582" s="65">
        <f>SUM(F582:K582)</f>
        <v>0</v>
      </c>
      <c r="M582" s="65">
        <f>L582/6</f>
        <v>0</v>
      </c>
      <c r="N582" s="12"/>
      <c r="O582" s="12"/>
      <c r="P582" s="12"/>
      <c r="Q582" s="12"/>
      <c r="R582" s="12"/>
      <c r="S582" s="12"/>
      <c r="T582" s="65">
        <f>SUM(N582:S582)</f>
        <v>0</v>
      </c>
      <c r="U582" s="65">
        <f>T582+L582</f>
        <v>0</v>
      </c>
      <c r="V582" s="67"/>
      <c r="W582" s="38"/>
      <c r="X582" s="47"/>
      <c r="Y582" s="48"/>
      <c r="Z582" s="48"/>
      <c r="AA582" s="48"/>
      <c r="AB582" s="48"/>
    </row>
    <row r="583" spans="1:28" s="48" customFormat="1" ht="18" customHeight="1">
      <c r="A583" s="673"/>
      <c r="B583" s="581"/>
      <c r="C583" s="581"/>
      <c r="D583" s="178" t="str">
        <f>серпень!D506</f>
        <v>факт. нат.п-ки 2024</v>
      </c>
      <c r="E583" s="11"/>
      <c r="F583" s="12"/>
      <c r="G583" s="12"/>
      <c r="H583" s="12"/>
      <c r="I583" s="12"/>
      <c r="J583" s="12"/>
      <c r="K583" s="12"/>
      <c r="L583" s="65">
        <f>SUM(F583:K583)</f>
        <v>0</v>
      </c>
      <c r="M583" s="65">
        <f>L583/6</f>
        <v>0</v>
      </c>
      <c r="N583" s="11"/>
      <c r="O583" s="11"/>
      <c r="P583" s="11"/>
      <c r="Q583" s="11"/>
      <c r="R583" s="11"/>
      <c r="S583" s="11"/>
      <c r="T583" s="65">
        <f>SUM(N583:S583)</f>
        <v>0</v>
      </c>
      <c r="U583" s="65">
        <f>T583+L583</f>
        <v>0</v>
      </c>
      <c r="V583" s="46"/>
      <c r="W583" s="38"/>
      <c r="X583" s="47"/>
    </row>
    <row r="584" spans="1:28" s="48" customFormat="1" ht="18" customHeight="1">
      <c r="A584" s="673"/>
      <c r="B584" s="581"/>
      <c r="C584" s="581"/>
      <c r="D584" s="178" t="str">
        <f>серпень!D507</f>
        <v>факт. нат.п-ки 2025</v>
      </c>
      <c r="E584" s="11"/>
      <c r="F584" s="12">
        <v>1</v>
      </c>
      <c r="G584" s="12">
        <v>1</v>
      </c>
      <c r="H584" s="12">
        <v>1</v>
      </c>
      <c r="I584" s="12">
        <v>1</v>
      </c>
      <c r="J584" s="12">
        <v>1</v>
      </c>
      <c r="K584" s="12">
        <v>1</v>
      </c>
      <c r="L584" s="65">
        <f>SUM(F584:K584)</f>
        <v>6</v>
      </c>
      <c r="M584" s="65">
        <f>L584/6</f>
        <v>1</v>
      </c>
      <c r="N584" s="12">
        <v>1</v>
      </c>
      <c r="O584" s="12">
        <v>1</v>
      </c>
      <c r="P584" s="12">
        <v>1</v>
      </c>
      <c r="Q584" s="12">
        <v>1</v>
      </c>
      <c r="R584" s="12">
        <v>1</v>
      </c>
      <c r="S584" s="12">
        <v>1</v>
      </c>
      <c r="T584" s="65">
        <f>SUM(N584:S584)</f>
        <v>6</v>
      </c>
      <c r="U584" s="65">
        <f>T584+L584</f>
        <v>12</v>
      </c>
      <c r="V584" s="11">
        <v>12</v>
      </c>
      <c r="W584" s="38">
        <f>V584-U584</f>
        <v>0</v>
      </c>
      <c r="X584" s="47"/>
    </row>
    <row r="585" spans="1:28" s="51" customFormat="1" ht="18" customHeight="1">
      <c r="A585" s="673"/>
      <c r="B585" s="581"/>
      <c r="C585" s="581"/>
      <c r="D585" s="187" t="str">
        <f>серпень!D508</f>
        <v>тариф, грн.</v>
      </c>
      <c r="E585" s="49"/>
      <c r="F585" s="49">
        <v>2.1</v>
      </c>
      <c r="G585" s="49">
        <v>2.1</v>
      </c>
      <c r="H585" s="49">
        <v>2.1</v>
      </c>
      <c r="I585" s="49">
        <v>2.1</v>
      </c>
      <c r="J585" s="49">
        <v>2.1</v>
      </c>
      <c r="K585" s="49">
        <v>2.1</v>
      </c>
      <c r="L585" s="68">
        <f>L586/L584*1000</f>
        <v>2.1669999999999998</v>
      </c>
      <c r="M585" s="68">
        <f>M586/M584*1000</f>
        <v>2</v>
      </c>
      <c r="N585" s="49">
        <v>2.1</v>
      </c>
      <c r="O585" s="49">
        <v>2.1</v>
      </c>
      <c r="P585" s="49">
        <v>2.1</v>
      </c>
      <c r="Q585" s="49">
        <v>2.1</v>
      </c>
      <c r="R585" s="49">
        <v>2.1</v>
      </c>
      <c r="S585" s="49">
        <v>2.1</v>
      </c>
      <c r="T585" s="68">
        <f>T586/T584*1000</f>
        <v>2</v>
      </c>
      <c r="U585" s="68">
        <f>U586/U584*1000</f>
        <v>2.0830000000000002</v>
      </c>
      <c r="V585" s="68">
        <f>V586/V584*1000</f>
        <v>2.0830000000000002</v>
      </c>
      <c r="W585" s="14" t="e">
        <f>W586/W584*1000</f>
        <v>#DIV/0!</v>
      </c>
      <c r="X585" s="59"/>
    </row>
    <row r="586" spans="1:28" s="130" customFormat="1" ht="18" customHeight="1">
      <c r="A586" s="673"/>
      <c r="B586" s="581"/>
      <c r="C586" s="581"/>
      <c r="D586" s="191" t="str">
        <f>серпень!D509</f>
        <v>сума, тис.грн.</v>
      </c>
      <c r="E586" s="52"/>
      <c r="F586" s="52">
        <f>F584*F585/1000+0.001</f>
        <v>3.0000000000000001E-3</v>
      </c>
      <c r="G586" s="52">
        <f t="shared" ref="G586:K586" si="620">G584*G585/1000</f>
        <v>2E-3</v>
      </c>
      <c r="H586" s="52">
        <f t="shared" si="620"/>
        <v>2E-3</v>
      </c>
      <c r="I586" s="52">
        <f t="shared" si="620"/>
        <v>2E-3</v>
      </c>
      <c r="J586" s="52">
        <f t="shared" si="620"/>
        <v>2E-3</v>
      </c>
      <c r="K586" s="52">
        <f t="shared" si="620"/>
        <v>2E-3</v>
      </c>
      <c r="L586" s="69">
        <f>SUM(F586:K586)</f>
        <v>1.2999999999999999E-2</v>
      </c>
      <c r="M586" s="69">
        <f>L586/6</f>
        <v>2E-3</v>
      </c>
      <c r="N586" s="52">
        <f>N584*N585/1000</f>
        <v>2E-3</v>
      </c>
      <c r="O586" s="52">
        <f t="shared" ref="O586" si="621">O584*O585/1000</f>
        <v>2E-3</v>
      </c>
      <c r="P586" s="52">
        <f t="shared" ref="P586" si="622">P584*P585/1000</f>
        <v>2E-3</v>
      </c>
      <c r="Q586" s="52">
        <f t="shared" ref="Q586" si="623">Q584*Q585/1000</f>
        <v>2E-3</v>
      </c>
      <c r="R586" s="52">
        <f t="shared" ref="R586" si="624">R584*R585/1000</f>
        <v>2E-3</v>
      </c>
      <c r="S586" s="52">
        <f>S584*S585/1000</f>
        <v>2E-3</v>
      </c>
      <c r="T586" s="69">
        <f>SUM(N586:S586)</f>
        <v>1.2E-2</v>
      </c>
      <c r="U586" s="69">
        <f>T586+L586</f>
        <v>2.5000000000000001E-2</v>
      </c>
      <c r="V586" s="70">
        <f>V587+V588</f>
        <v>2.5000000000000001E-2</v>
      </c>
      <c r="W586" s="53">
        <f>V586-U586</f>
        <v>0</v>
      </c>
    </row>
    <row r="587" spans="1:28" s="130" customFormat="1" ht="18" customHeight="1">
      <c r="A587" s="673"/>
      <c r="B587" s="581"/>
      <c r="C587" s="581"/>
      <c r="D587" s="174" t="str">
        <f>серпень!D510</f>
        <v>дотація</v>
      </c>
      <c r="E587" s="56"/>
      <c r="F587" s="52"/>
      <c r="G587" s="52"/>
      <c r="H587" s="52"/>
      <c r="I587" s="52"/>
      <c r="J587" s="52"/>
      <c r="K587" s="52"/>
      <c r="L587" s="69">
        <f>SUM(F587:K587)</f>
        <v>0</v>
      </c>
      <c r="M587" s="69">
        <f>L587/6</f>
        <v>0</v>
      </c>
      <c r="N587" s="52"/>
      <c r="O587" s="52"/>
      <c r="P587" s="52"/>
      <c r="Q587" s="52"/>
      <c r="R587" s="52"/>
      <c r="S587" s="52"/>
      <c r="T587" s="69">
        <f>SUM(N587:S587)</f>
        <v>0</v>
      </c>
      <c r="U587" s="69">
        <f>T587+L587</f>
        <v>0</v>
      </c>
      <c r="V587" s="70">
        <v>0</v>
      </c>
      <c r="W587" s="53">
        <f>V587-U587</f>
        <v>0</v>
      </c>
    </row>
    <row r="588" spans="1:28" s="130" customFormat="1" ht="18" customHeight="1">
      <c r="A588" s="673"/>
      <c r="B588" s="581"/>
      <c r="C588" s="581"/>
      <c r="D588" s="174" t="str">
        <f>серпень!D511</f>
        <v>місцевий (план), тис.грн</v>
      </c>
      <c r="E588" s="56"/>
      <c r="F588" s="52">
        <v>3.0000000000000001E-3</v>
      </c>
      <c r="G588" s="52">
        <f>0.002-0.001</f>
        <v>1E-3</v>
      </c>
      <c r="H588" s="52">
        <v>2E-3</v>
      </c>
      <c r="I588" s="52">
        <v>2E-3</v>
      </c>
      <c r="J588" s="52">
        <v>2E-3</v>
      </c>
      <c r="K588" s="52">
        <v>2E-3</v>
      </c>
      <c r="L588" s="69">
        <f>SUM(F588:K588)</f>
        <v>1.2E-2</v>
      </c>
      <c r="M588" s="69">
        <f>L588/6</f>
        <v>2E-3</v>
      </c>
      <c r="N588" s="52">
        <v>2E-3</v>
      </c>
      <c r="O588" s="52">
        <v>2E-3</v>
      </c>
      <c r="P588" s="52">
        <v>2E-3</v>
      </c>
      <c r="Q588" s="52">
        <v>2E-3</v>
      </c>
      <c r="R588" s="52">
        <v>2E-3</v>
      </c>
      <c r="S588" s="52">
        <f>0.002+0.001</f>
        <v>3.0000000000000001E-3</v>
      </c>
      <c r="T588" s="69">
        <f>SUM(N588:S588)</f>
        <v>1.2999999999999999E-2</v>
      </c>
      <c r="U588" s="69">
        <f>T588+L588</f>
        <v>2.5000000000000001E-2</v>
      </c>
      <c r="V588" s="70">
        <v>2.5000000000000001E-2</v>
      </c>
      <c r="W588" s="53">
        <f>V588-U588</f>
        <v>0</v>
      </c>
    </row>
    <row r="589" spans="1:28" s="48" customFormat="1" ht="18" customHeight="1">
      <c r="A589" s="673"/>
      <c r="B589" s="581"/>
      <c r="C589" s="581"/>
      <c r="D589" s="178" t="str">
        <f>серпень!D512</f>
        <v>касові нат.п-ки 2025</v>
      </c>
      <c r="E589" s="11"/>
      <c r="F589" s="12">
        <v>0</v>
      </c>
      <c r="G589" s="12">
        <v>1</v>
      </c>
      <c r="H589" s="12">
        <v>1</v>
      </c>
      <c r="I589" s="12">
        <v>1</v>
      </c>
      <c r="J589" s="12">
        <v>1</v>
      </c>
      <c r="K589" s="12">
        <v>1</v>
      </c>
      <c r="L589" s="65">
        <f>SUM(F589:K589)</f>
        <v>5</v>
      </c>
      <c r="M589" s="65">
        <f>L589/6</f>
        <v>0.8</v>
      </c>
      <c r="N589" s="12">
        <v>1</v>
      </c>
      <c r="O589" s="12">
        <v>1</v>
      </c>
      <c r="P589" s="12">
        <v>1</v>
      </c>
      <c r="Q589" s="12">
        <v>1</v>
      </c>
      <c r="R589" s="12">
        <v>1</v>
      </c>
      <c r="S589" s="12">
        <v>2</v>
      </c>
      <c r="T589" s="65">
        <f>SUM(N589:S589)</f>
        <v>7</v>
      </c>
      <c r="U589" s="65">
        <f>T589+L589</f>
        <v>12</v>
      </c>
      <c r="V589" s="11">
        <f>V584</f>
        <v>12</v>
      </c>
      <c r="W589" s="38">
        <f>V589-U589</f>
        <v>0</v>
      </c>
      <c r="X589" s="47">
        <f>U584-U589</f>
        <v>0</v>
      </c>
    </row>
    <row r="590" spans="1:28" s="51" customFormat="1" ht="18" customHeight="1">
      <c r="A590" s="673"/>
      <c r="B590" s="581"/>
      <c r="C590" s="581"/>
      <c r="D590" s="187" t="str">
        <f>серпень!D513</f>
        <v>тариф, грн.</v>
      </c>
      <c r="E590" s="49" t="e">
        <f>E591/E589*1000</f>
        <v>#DIV/0!</v>
      </c>
      <c r="F590" s="49" t="e">
        <f t="shared" ref="F590:H590" si="625">F591/F589*1000</f>
        <v>#DIV/0!</v>
      </c>
      <c r="G590" s="49">
        <f t="shared" si="625"/>
        <v>2</v>
      </c>
      <c r="H590" s="49">
        <f t="shared" si="625"/>
        <v>2</v>
      </c>
      <c r="I590" s="49">
        <v>2.1</v>
      </c>
      <c r="J590" s="49">
        <v>2.1</v>
      </c>
      <c r="K590" s="49">
        <v>2.1</v>
      </c>
      <c r="L590" s="68">
        <f>L591/L589*1000</f>
        <v>2</v>
      </c>
      <c r="M590" s="68">
        <f>M591/M589*1000</f>
        <v>2.5</v>
      </c>
      <c r="N590" s="49">
        <v>2.1</v>
      </c>
      <c r="O590" s="49">
        <v>2.1</v>
      </c>
      <c r="P590" s="49">
        <v>2.1</v>
      </c>
      <c r="Q590" s="49">
        <v>2.1</v>
      </c>
      <c r="R590" s="49">
        <v>2.1</v>
      </c>
      <c r="S590" s="49">
        <v>2.1</v>
      </c>
      <c r="T590" s="68">
        <f>T591/T589*1000</f>
        <v>2.1429999999999998</v>
      </c>
      <c r="U590" s="68">
        <f>U591/U589*1000</f>
        <v>2.0830000000000002</v>
      </c>
      <c r="V590" s="68">
        <f>V591/V589*1000</f>
        <v>2.0830000000000002</v>
      </c>
      <c r="W590" s="14" t="e">
        <f>W591/W589*1000</f>
        <v>#DIV/0!</v>
      </c>
      <c r="X590" s="59"/>
    </row>
    <row r="591" spans="1:28" s="126" customFormat="1" ht="18" customHeight="1">
      <c r="A591" s="673"/>
      <c r="B591" s="581"/>
      <c r="C591" s="581"/>
      <c r="D591" s="198" t="str">
        <f>серпень!D514</f>
        <v>касові видатки, тис.грн.</v>
      </c>
      <c r="E591" s="71"/>
      <c r="F591" s="61">
        <v>0</v>
      </c>
      <c r="G591" s="61">
        <v>2E-3</v>
      </c>
      <c r="H591" s="61">
        <v>2E-3</v>
      </c>
      <c r="I591" s="61">
        <f t="shared" ref="I591:K591" si="626">I589*I590/1000</f>
        <v>2E-3</v>
      </c>
      <c r="J591" s="61">
        <f t="shared" si="626"/>
        <v>2E-3</v>
      </c>
      <c r="K591" s="61">
        <f t="shared" si="626"/>
        <v>2E-3</v>
      </c>
      <c r="L591" s="61">
        <f>SUM(F591:K591)</f>
        <v>0.01</v>
      </c>
      <c r="M591" s="61">
        <f>L591/6</f>
        <v>2E-3</v>
      </c>
      <c r="N591" s="61">
        <f t="shared" ref="N591:R591" si="627">N589*N590/1000</f>
        <v>2E-3</v>
      </c>
      <c r="O591" s="61">
        <f t="shared" si="627"/>
        <v>2E-3</v>
      </c>
      <c r="P591" s="61">
        <f t="shared" si="627"/>
        <v>2E-3</v>
      </c>
      <c r="Q591" s="61">
        <f t="shared" si="627"/>
        <v>2E-3</v>
      </c>
      <c r="R591" s="61">
        <f t="shared" si="627"/>
        <v>2E-3</v>
      </c>
      <c r="S591" s="61">
        <f>S589*S590/1000+0.001</f>
        <v>5.0000000000000001E-3</v>
      </c>
      <c r="T591" s="61">
        <f>SUM(N591:S591)</f>
        <v>1.4999999999999999E-2</v>
      </c>
      <c r="U591" s="61">
        <f>T591+L591</f>
        <v>2.5000000000000001E-2</v>
      </c>
      <c r="V591" s="61">
        <f>V586</f>
        <v>2.5000000000000001E-2</v>
      </c>
      <c r="W591" s="72">
        <f>V591-U591</f>
        <v>0</v>
      </c>
      <c r="X591" s="63">
        <f>U586-U591</f>
        <v>0</v>
      </c>
    </row>
    <row r="592" spans="1:28" s="126" customFormat="1" ht="18" customHeight="1">
      <c r="A592" s="673"/>
      <c r="B592" s="581"/>
      <c r="C592" s="581"/>
      <c r="D592" s="201" t="str">
        <f>серпень!D515</f>
        <v>дотація</v>
      </c>
      <c r="E592" s="71"/>
      <c r="F592" s="61">
        <v>0</v>
      </c>
      <c r="G592" s="61">
        <v>0</v>
      </c>
      <c r="H592" s="61">
        <v>0</v>
      </c>
      <c r="I592" s="61">
        <v>0</v>
      </c>
      <c r="J592" s="61">
        <v>0</v>
      </c>
      <c r="K592" s="61">
        <v>0</v>
      </c>
      <c r="L592" s="61">
        <f>SUM(F592:K592)</f>
        <v>0</v>
      </c>
      <c r="M592" s="61">
        <f>L592/6</f>
        <v>0</v>
      </c>
      <c r="N592" s="61">
        <v>0</v>
      </c>
      <c r="O592" s="61">
        <v>0</v>
      </c>
      <c r="P592" s="61">
        <v>0</v>
      </c>
      <c r="Q592" s="61">
        <v>0</v>
      </c>
      <c r="R592" s="61">
        <v>0</v>
      </c>
      <c r="S592" s="61">
        <v>0</v>
      </c>
      <c r="T592" s="61">
        <f>SUM(N592:S592)</f>
        <v>0</v>
      </c>
      <c r="U592" s="61">
        <f>T592+L592</f>
        <v>0</v>
      </c>
      <c r="V592" s="61">
        <f>V587</f>
        <v>0</v>
      </c>
      <c r="W592" s="72">
        <f>V592-U592</f>
        <v>0</v>
      </c>
      <c r="X592" s="63">
        <f>U587-U592</f>
        <v>0</v>
      </c>
    </row>
    <row r="593" spans="1:28" s="126" customFormat="1" ht="18" customHeight="1">
      <c r="A593" s="673"/>
      <c r="B593" s="581"/>
      <c r="C593" s="581"/>
      <c r="D593" s="201" t="str">
        <f>серпень!D516</f>
        <v xml:space="preserve">місцевий </v>
      </c>
      <c r="E593" s="71"/>
      <c r="F593" s="61">
        <f t="shared" ref="F593:K593" si="628">F591-F592</f>
        <v>0</v>
      </c>
      <c r="G593" s="61">
        <f t="shared" si="628"/>
        <v>2E-3</v>
      </c>
      <c r="H593" s="61">
        <f t="shared" si="628"/>
        <v>2E-3</v>
      </c>
      <c r="I593" s="61">
        <f t="shared" si="628"/>
        <v>2E-3</v>
      </c>
      <c r="J593" s="61">
        <f t="shared" si="628"/>
        <v>2E-3</v>
      </c>
      <c r="K593" s="61">
        <f t="shared" si="628"/>
        <v>2E-3</v>
      </c>
      <c r="L593" s="61">
        <f>SUM(F593:K593)</f>
        <v>0.01</v>
      </c>
      <c r="M593" s="61">
        <f>L593/6</f>
        <v>2E-3</v>
      </c>
      <c r="N593" s="61">
        <f t="shared" ref="N593:S593" si="629">N591-N592</f>
        <v>2E-3</v>
      </c>
      <c r="O593" s="61">
        <f t="shared" si="629"/>
        <v>2E-3</v>
      </c>
      <c r="P593" s="61">
        <f t="shared" si="629"/>
        <v>2E-3</v>
      </c>
      <c r="Q593" s="61">
        <f t="shared" si="629"/>
        <v>2E-3</v>
      </c>
      <c r="R593" s="61">
        <f t="shared" si="629"/>
        <v>2E-3</v>
      </c>
      <c r="S593" s="61">
        <f t="shared" si="629"/>
        <v>5.0000000000000001E-3</v>
      </c>
      <c r="T593" s="61">
        <f>SUM(N593:S593)</f>
        <v>1.4999999999999999E-2</v>
      </c>
      <c r="U593" s="61">
        <f>T593+L593</f>
        <v>2.5000000000000001E-2</v>
      </c>
      <c r="V593" s="61">
        <f>V588</f>
        <v>2.5000000000000001E-2</v>
      </c>
      <c r="W593" s="72">
        <f>V593-U593</f>
        <v>0</v>
      </c>
      <c r="X593" s="63">
        <f>U588-U593</f>
        <v>0</v>
      </c>
    </row>
    <row r="594" spans="1:28" s="43" customFormat="1" ht="18" customHeight="1">
      <c r="A594" s="673"/>
      <c r="B594" s="581"/>
      <c r="C594" s="581"/>
      <c r="D594" s="202" t="str">
        <f>серпень!D517</f>
        <v>план</v>
      </c>
      <c r="E594" s="42"/>
      <c r="F594" s="42">
        <f t="shared" ref="F594:K594" si="630">F588</f>
        <v>3.0000000000000001E-3</v>
      </c>
      <c r="G594" s="42">
        <f t="shared" si="630"/>
        <v>1E-3</v>
      </c>
      <c r="H594" s="42">
        <f t="shared" si="630"/>
        <v>2E-3</v>
      </c>
      <c r="I594" s="42">
        <f t="shared" si="630"/>
        <v>2E-3</v>
      </c>
      <c r="J594" s="42">
        <f t="shared" si="630"/>
        <v>2E-3</v>
      </c>
      <c r="K594" s="42">
        <f t="shared" si="630"/>
        <v>2E-3</v>
      </c>
      <c r="L594" s="42">
        <f>SUM(F594:K594)</f>
        <v>1.2E-2</v>
      </c>
      <c r="M594" s="42">
        <f>L594/6</f>
        <v>2E-3</v>
      </c>
      <c r="N594" s="42">
        <f t="shared" ref="N594:S594" si="631">N588+N587</f>
        <v>2E-3</v>
      </c>
      <c r="O594" s="42">
        <f t="shared" si="631"/>
        <v>2E-3</v>
      </c>
      <c r="P594" s="42">
        <f t="shared" si="631"/>
        <v>2E-3</v>
      </c>
      <c r="Q594" s="42">
        <f t="shared" si="631"/>
        <v>2E-3</v>
      </c>
      <c r="R594" s="42">
        <f t="shared" si="631"/>
        <v>2E-3</v>
      </c>
      <c r="S594" s="42">
        <f t="shared" si="631"/>
        <v>3.0000000000000001E-3</v>
      </c>
      <c r="T594" s="42">
        <f>SUM(N594:S594)</f>
        <v>1.2999999999999999E-2</v>
      </c>
      <c r="U594" s="42">
        <f>T594+L594</f>
        <v>2.5000000000000001E-2</v>
      </c>
      <c r="V594" s="42">
        <f>V591</f>
        <v>2.5000000000000001E-2</v>
      </c>
      <c r="W594" s="42">
        <f>V594-U594</f>
        <v>0</v>
      </c>
    </row>
    <row r="595" spans="1:28" s="43" customFormat="1" ht="18" customHeight="1">
      <c r="A595" s="673"/>
      <c r="B595" s="581"/>
      <c r="C595" s="581"/>
      <c r="D595" s="202" t="str">
        <f>серпень!D518</f>
        <v xml:space="preserve">відхилення </v>
      </c>
      <c r="E595" s="42"/>
      <c r="F595" s="42">
        <f t="shared" ref="F595:K595" si="632">F591-F594</f>
        <v>-3.0000000000000001E-3</v>
      </c>
      <c r="G595" s="42">
        <f t="shared" si="632"/>
        <v>1E-3</v>
      </c>
      <c r="H595" s="42">
        <f t="shared" si="632"/>
        <v>0</v>
      </c>
      <c r="I595" s="42">
        <f t="shared" si="632"/>
        <v>0</v>
      </c>
      <c r="J595" s="42">
        <f t="shared" si="632"/>
        <v>0</v>
      </c>
      <c r="K595" s="42">
        <f t="shared" si="632"/>
        <v>0</v>
      </c>
      <c r="L595" s="42"/>
      <c r="M595" s="42"/>
      <c r="N595" s="42">
        <f t="shared" ref="N595:S595" si="633">N591-N594</f>
        <v>0</v>
      </c>
      <c r="O595" s="42">
        <f t="shared" si="633"/>
        <v>0</v>
      </c>
      <c r="P595" s="42">
        <f t="shared" si="633"/>
        <v>0</v>
      </c>
      <c r="Q595" s="42">
        <f t="shared" si="633"/>
        <v>0</v>
      </c>
      <c r="R595" s="42">
        <f t="shared" si="633"/>
        <v>0</v>
      </c>
      <c r="S595" s="42">
        <f t="shared" si="633"/>
        <v>2E-3</v>
      </c>
      <c r="T595" s="42"/>
      <c r="U595" s="42"/>
      <c r="V595" s="42"/>
      <c r="W595" s="42"/>
    </row>
    <row r="596" spans="1:28" s="43" customFormat="1" ht="18" customHeight="1">
      <c r="A596" s="673"/>
      <c r="B596" s="581"/>
      <c r="C596" s="581"/>
      <c r="D596" s="202" t="str">
        <f>серпень!D519</f>
        <v>відхилення з наростаючим</v>
      </c>
      <c r="E596" s="42"/>
      <c r="F596" s="42">
        <f>F595</f>
        <v>-3.0000000000000001E-3</v>
      </c>
      <c r="G596" s="42">
        <f>G595+F596</f>
        <v>-2E-3</v>
      </c>
      <c r="H596" s="42">
        <f>H595+G596</f>
        <v>-2E-3</v>
      </c>
      <c r="I596" s="42">
        <f>I595+H596</f>
        <v>-2E-3</v>
      </c>
      <c r="J596" s="42">
        <f>J595+I596</f>
        <v>-2E-3</v>
      </c>
      <c r="K596" s="42">
        <f>K595+J596</f>
        <v>-2E-3</v>
      </c>
      <c r="L596" s="42"/>
      <c r="M596" s="42"/>
      <c r="N596" s="42">
        <f>N595+K596</f>
        <v>-2E-3</v>
      </c>
      <c r="O596" s="42">
        <f>O595+N596</f>
        <v>-2E-3</v>
      </c>
      <c r="P596" s="42">
        <f>P595+O596</f>
        <v>-2E-3</v>
      </c>
      <c r="Q596" s="42">
        <f>Q595+P596</f>
        <v>-2E-3</v>
      </c>
      <c r="R596" s="42">
        <f>R595+Q596</f>
        <v>-2E-3</v>
      </c>
      <c r="S596" s="42">
        <f>S595+R596</f>
        <v>0</v>
      </c>
      <c r="T596" s="42"/>
      <c r="U596" s="42"/>
      <c r="V596" s="42"/>
      <c r="W596" s="42"/>
    </row>
    <row r="597" spans="1:28" s="55" customFormat="1" ht="18" hidden="1" customHeight="1">
      <c r="A597" s="673"/>
      <c r="B597" s="581" t="s">
        <v>64</v>
      </c>
      <c r="C597" s="581"/>
      <c r="D597" s="178" t="str">
        <f>серпень!D520</f>
        <v>факт. нат.п-ки 2023</v>
      </c>
      <c r="E597" s="11"/>
      <c r="F597" s="12"/>
      <c r="G597" s="12"/>
      <c r="H597" s="12"/>
      <c r="I597" s="12"/>
      <c r="J597" s="12"/>
      <c r="K597" s="12"/>
      <c r="L597" s="65">
        <f>SUM(F597:K597)</f>
        <v>0</v>
      </c>
      <c r="M597" s="65">
        <f>L597/6</f>
        <v>0</v>
      </c>
      <c r="N597" s="12"/>
      <c r="O597" s="12"/>
      <c r="P597" s="12"/>
      <c r="Q597" s="12"/>
      <c r="R597" s="12"/>
      <c r="S597" s="12"/>
      <c r="T597" s="65">
        <f>SUM(N597:S597)</f>
        <v>0</v>
      </c>
      <c r="U597" s="65">
        <f>T597+L597</f>
        <v>0</v>
      </c>
      <c r="V597" s="67"/>
      <c r="W597" s="38"/>
      <c r="X597" s="47"/>
      <c r="Y597" s="48"/>
      <c r="Z597" s="48"/>
      <c r="AA597" s="48"/>
      <c r="AB597" s="48"/>
    </row>
    <row r="598" spans="1:28" s="48" customFormat="1" ht="18" hidden="1" customHeight="1">
      <c r="A598" s="673"/>
      <c r="B598" s="581"/>
      <c r="C598" s="581"/>
      <c r="D598" s="178" t="str">
        <f>серпень!D521</f>
        <v>факт. нат.п-ки 2024</v>
      </c>
      <c r="E598" s="11"/>
      <c r="F598" s="12"/>
      <c r="G598" s="12"/>
      <c r="H598" s="12"/>
      <c r="I598" s="12"/>
      <c r="J598" s="12"/>
      <c r="K598" s="12"/>
      <c r="L598" s="65">
        <f>SUM(F598:K598)</f>
        <v>0</v>
      </c>
      <c r="M598" s="65">
        <f>L598/6</f>
        <v>0</v>
      </c>
      <c r="N598" s="11"/>
      <c r="O598" s="11"/>
      <c r="P598" s="11"/>
      <c r="Q598" s="11"/>
      <c r="R598" s="11"/>
      <c r="S598" s="11"/>
      <c r="T598" s="65">
        <f>SUM(N598:S598)</f>
        <v>0</v>
      </c>
      <c r="U598" s="65">
        <f>T598+L598</f>
        <v>0</v>
      </c>
      <c r="V598" s="67"/>
      <c r="W598" s="38"/>
      <c r="X598" s="47"/>
    </row>
    <row r="599" spans="1:28" s="48" customFormat="1" ht="18" hidden="1" customHeight="1">
      <c r="A599" s="673"/>
      <c r="B599" s="581"/>
      <c r="C599" s="581"/>
      <c r="D599" s="178" t="str">
        <f>серпень!D522</f>
        <v>факт. нат.п-ки 2025</v>
      </c>
      <c r="E599" s="11"/>
      <c r="F599" s="12"/>
      <c r="G599" s="12"/>
      <c r="H599" s="12"/>
      <c r="I599" s="12"/>
      <c r="J599" s="12"/>
      <c r="K599" s="12"/>
      <c r="L599" s="65">
        <f>SUM(F599:K599)</f>
        <v>0</v>
      </c>
      <c r="M599" s="65">
        <f>L599/6</f>
        <v>0</v>
      </c>
      <c r="N599" s="12"/>
      <c r="O599" s="12"/>
      <c r="P599" s="12"/>
      <c r="Q599" s="12"/>
      <c r="R599" s="12"/>
      <c r="S599" s="11"/>
      <c r="T599" s="65">
        <f>SUM(N599:S599)</f>
        <v>0</v>
      </c>
      <c r="U599" s="65">
        <f>T599+L599</f>
        <v>0</v>
      </c>
      <c r="V599" s="11"/>
      <c r="W599" s="38">
        <f>V599-U599</f>
        <v>0</v>
      </c>
      <c r="X599" s="47"/>
    </row>
    <row r="600" spans="1:28" s="51" customFormat="1" ht="18" hidden="1" customHeight="1">
      <c r="A600" s="673"/>
      <c r="B600" s="581"/>
      <c r="C600" s="581"/>
      <c r="D600" s="187" t="str">
        <f>серпень!D523</f>
        <v>тариф, грн.</v>
      </c>
      <c r="E600" s="49"/>
      <c r="F600" s="49">
        <v>206.86</v>
      </c>
      <c r="G600" s="49">
        <v>206.86</v>
      </c>
      <c r="H600" s="49">
        <v>206.86</v>
      </c>
      <c r="I600" s="49">
        <v>206.86</v>
      </c>
      <c r="J600" s="49">
        <v>206.86</v>
      </c>
      <c r="K600" s="49">
        <v>206.86</v>
      </c>
      <c r="L600" s="68" t="e">
        <f>L601/L599*1000</f>
        <v>#DIV/0!</v>
      </c>
      <c r="M600" s="68" t="e">
        <f>M601/M599*1000</f>
        <v>#DIV/0!</v>
      </c>
      <c r="N600" s="49">
        <v>206.86</v>
      </c>
      <c r="O600" s="49">
        <v>206.86</v>
      </c>
      <c r="P600" s="49">
        <v>206.86</v>
      </c>
      <c r="Q600" s="49">
        <v>206.86</v>
      </c>
      <c r="R600" s="49">
        <v>206.86</v>
      </c>
      <c r="S600" s="49">
        <v>206.86</v>
      </c>
      <c r="T600" s="68" t="e">
        <f>T601/T599*1000</f>
        <v>#DIV/0!</v>
      </c>
      <c r="U600" s="68" t="e">
        <f>U601/U599*1000</f>
        <v>#DIV/0!</v>
      </c>
      <c r="V600" s="68" t="e">
        <f>V601/V599*1000</f>
        <v>#DIV/0!</v>
      </c>
      <c r="W600" s="14" t="e">
        <f>W601/W599*1000</f>
        <v>#DIV/0!</v>
      </c>
      <c r="X600" s="59"/>
    </row>
    <row r="601" spans="1:28" s="130" customFormat="1" ht="18" hidden="1" customHeight="1">
      <c r="A601" s="673"/>
      <c r="B601" s="581"/>
      <c r="C601" s="581"/>
      <c r="D601" s="191" t="str">
        <f>серпень!D524</f>
        <v>сума, тис.грн.</v>
      </c>
      <c r="E601" s="52"/>
      <c r="F601" s="52">
        <f t="shared" ref="F601:K601" si="634">F599*F600/1000</f>
        <v>0</v>
      </c>
      <c r="G601" s="52">
        <f t="shared" si="634"/>
        <v>0</v>
      </c>
      <c r="H601" s="52">
        <f t="shared" si="634"/>
        <v>0</v>
      </c>
      <c r="I601" s="52">
        <f t="shared" si="634"/>
        <v>0</v>
      </c>
      <c r="J601" s="52">
        <f t="shared" si="634"/>
        <v>0</v>
      </c>
      <c r="K601" s="52">
        <f t="shared" si="634"/>
        <v>0</v>
      </c>
      <c r="L601" s="69">
        <f>SUM(F601:K601)</f>
        <v>0</v>
      </c>
      <c r="M601" s="69">
        <f>L601/6</f>
        <v>0</v>
      </c>
      <c r="N601" s="52">
        <f t="shared" ref="N601:S601" si="635">N599*N600/1000</f>
        <v>0</v>
      </c>
      <c r="O601" s="52">
        <f t="shared" si="635"/>
        <v>0</v>
      </c>
      <c r="P601" s="52">
        <f t="shared" si="635"/>
        <v>0</v>
      </c>
      <c r="Q601" s="52">
        <f t="shared" si="635"/>
        <v>0</v>
      </c>
      <c r="R601" s="52">
        <f t="shared" si="635"/>
        <v>0</v>
      </c>
      <c r="S601" s="52">
        <f t="shared" si="635"/>
        <v>0</v>
      </c>
      <c r="T601" s="69">
        <f>SUM(N601:S601)</f>
        <v>0</v>
      </c>
      <c r="U601" s="69">
        <f>T601+L601</f>
        <v>0</v>
      </c>
      <c r="V601" s="70">
        <f>V602+V603</f>
        <v>0</v>
      </c>
      <c r="W601" s="53">
        <f>V601-U601</f>
        <v>0</v>
      </c>
    </row>
    <row r="602" spans="1:28" s="130" customFormat="1" ht="18" hidden="1" customHeight="1">
      <c r="A602" s="673"/>
      <c r="B602" s="581"/>
      <c r="C602" s="581"/>
      <c r="D602" s="174" t="str">
        <f>серпень!D525</f>
        <v>дотація</v>
      </c>
      <c r="E602" s="56"/>
      <c r="F602" s="52"/>
      <c r="G602" s="52"/>
      <c r="H602" s="52"/>
      <c r="I602" s="52"/>
      <c r="J602" s="52"/>
      <c r="K602" s="52"/>
      <c r="L602" s="69">
        <f>SUM(F602:K602)</f>
        <v>0</v>
      </c>
      <c r="M602" s="69">
        <f>L602/6</f>
        <v>0</v>
      </c>
      <c r="N602" s="52"/>
      <c r="O602" s="52"/>
      <c r="P602" s="52"/>
      <c r="Q602" s="52"/>
      <c r="R602" s="52"/>
      <c r="S602" s="52"/>
      <c r="T602" s="69">
        <f>SUM(N602:S602)</f>
        <v>0</v>
      </c>
      <c r="U602" s="69">
        <f>T602+L602</f>
        <v>0</v>
      </c>
      <c r="V602" s="70">
        <v>0</v>
      </c>
      <c r="W602" s="53">
        <f>V602-U602</f>
        <v>0</v>
      </c>
    </row>
    <row r="603" spans="1:28" s="130" customFormat="1" ht="18" hidden="1" customHeight="1">
      <c r="A603" s="673"/>
      <c r="B603" s="581"/>
      <c r="C603" s="581"/>
      <c r="D603" s="174" t="str">
        <f>серпень!D526</f>
        <v>місцевий (план), тис.грн</v>
      </c>
      <c r="E603" s="56"/>
      <c r="F603" s="52"/>
      <c r="G603" s="52"/>
      <c r="H603" s="52"/>
      <c r="I603" s="52"/>
      <c r="J603" s="52"/>
      <c r="K603" s="52"/>
      <c r="L603" s="69">
        <f>SUM(F603:K603)</f>
        <v>0</v>
      </c>
      <c r="M603" s="69">
        <f>L603/6</f>
        <v>0</v>
      </c>
      <c r="N603" s="52"/>
      <c r="O603" s="52"/>
      <c r="P603" s="52"/>
      <c r="Q603" s="52"/>
      <c r="R603" s="52"/>
      <c r="S603" s="52"/>
      <c r="T603" s="69">
        <f>SUM(N603:S603)</f>
        <v>0</v>
      </c>
      <c r="U603" s="69">
        <f>T603+L603</f>
        <v>0</v>
      </c>
      <c r="V603" s="70"/>
      <c r="W603" s="53">
        <f>V603-U603</f>
        <v>0</v>
      </c>
    </row>
    <row r="604" spans="1:28" s="48" customFormat="1" ht="18" hidden="1" customHeight="1">
      <c r="A604" s="673"/>
      <c r="B604" s="581"/>
      <c r="C604" s="581"/>
      <c r="D604" s="178" t="str">
        <f>серпень!D527</f>
        <v>касові нат.п-ки 2025</v>
      </c>
      <c r="E604" s="11"/>
      <c r="F604" s="11"/>
      <c r="G604" s="11"/>
      <c r="H604" s="11"/>
      <c r="I604" s="11"/>
      <c r="J604" s="11"/>
      <c r="K604" s="11"/>
      <c r="L604" s="65">
        <f>SUM(F604:K604)</f>
        <v>0</v>
      </c>
      <c r="M604" s="65">
        <f>L604/6</f>
        <v>0</v>
      </c>
      <c r="N604" s="11"/>
      <c r="O604" s="11"/>
      <c r="P604" s="11"/>
      <c r="Q604" s="11"/>
      <c r="R604" s="11"/>
      <c r="S604" s="11"/>
      <c r="T604" s="65">
        <f>SUM(N604:S604)</f>
        <v>0</v>
      </c>
      <c r="U604" s="65">
        <f>T604+L604</f>
        <v>0</v>
      </c>
      <c r="V604" s="11">
        <f>V599</f>
        <v>0</v>
      </c>
      <c r="W604" s="38">
        <f>V604-U604</f>
        <v>0</v>
      </c>
      <c r="X604" s="47">
        <f>U599-U604</f>
        <v>0</v>
      </c>
    </row>
    <row r="605" spans="1:28" s="51" customFormat="1" ht="18" hidden="1" customHeight="1">
      <c r="A605" s="673"/>
      <c r="B605" s="581"/>
      <c r="C605" s="581"/>
      <c r="D605" s="187" t="str">
        <f>серпень!D528</f>
        <v>тариф, грн.</v>
      </c>
      <c r="E605" s="49" t="e">
        <f>E606/E604*1000</f>
        <v>#DIV/0!</v>
      </c>
      <c r="F605" s="49">
        <v>206.86</v>
      </c>
      <c r="G605" s="49">
        <v>206.86</v>
      </c>
      <c r="H605" s="49">
        <v>206.86</v>
      </c>
      <c r="I605" s="49">
        <v>206.86</v>
      </c>
      <c r="J605" s="49">
        <v>206.86</v>
      </c>
      <c r="K605" s="49">
        <v>206.86</v>
      </c>
      <c r="L605" s="68" t="e">
        <f>L606/L604*1000</f>
        <v>#DIV/0!</v>
      </c>
      <c r="M605" s="68" t="e">
        <f>M606/M604*1000</f>
        <v>#DIV/0!</v>
      </c>
      <c r="N605" s="49">
        <v>206.86</v>
      </c>
      <c r="O605" s="49">
        <v>206.86</v>
      </c>
      <c r="P605" s="49">
        <v>206.86</v>
      </c>
      <c r="Q605" s="49">
        <v>206.86</v>
      </c>
      <c r="R605" s="49">
        <v>206.86</v>
      </c>
      <c r="S605" s="49">
        <v>206.86</v>
      </c>
      <c r="T605" s="68" t="e">
        <f>T606/T604*1000</f>
        <v>#DIV/0!</v>
      </c>
      <c r="U605" s="68" t="e">
        <f>U606/U604*1000</f>
        <v>#DIV/0!</v>
      </c>
      <c r="V605" s="68" t="e">
        <f>V606/V604*1000</f>
        <v>#DIV/0!</v>
      </c>
      <c r="W605" s="14" t="e">
        <f>W606/W604*1000</f>
        <v>#DIV/0!</v>
      </c>
      <c r="X605" s="59"/>
    </row>
    <row r="606" spans="1:28" s="126" customFormat="1" ht="18" hidden="1" customHeight="1">
      <c r="A606" s="673"/>
      <c r="B606" s="581"/>
      <c r="C606" s="581"/>
      <c r="D606" s="198" t="str">
        <f>серпень!D529</f>
        <v>касові видатки, тис.грн.</v>
      </c>
      <c r="E606" s="71"/>
      <c r="F606" s="61">
        <f t="shared" ref="F606:K606" si="636">F604*F605/1000</f>
        <v>0</v>
      </c>
      <c r="G606" s="61">
        <f t="shared" si="636"/>
        <v>0</v>
      </c>
      <c r="H606" s="61">
        <f t="shared" si="636"/>
        <v>0</v>
      </c>
      <c r="I606" s="61">
        <f t="shared" si="636"/>
        <v>0</v>
      </c>
      <c r="J606" s="61">
        <f t="shared" si="636"/>
        <v>0</v>
      </c>
      <c r="K606" s="61">
        <f t="shared" si="636"/>
        <v>0</v>
      </c>
      <c r="L606" s="61">
        <f>SUM(F606:K606)</f>
        <v>0</v>
      </c>
      <c r="M606" s="61">
        <f>L606/6</f>
        <v>0</v>
      </c>
      <c r="N606" s="61">
        <f t="shared" ref="N606:S606" si="637">N604*N605/1000</f>
        <v>0</v>
      </c>
      <c r="O606" s="61">
        <f t="shared" si="637"/>
        <v>0</v>
      </c>
      <c r="P606" s="61">
        <f t="shared" si="637"/>
        <v>0</v>
      </c>
      <c r="Q606" s="61">
        <f t="shared" si="637"/>
        <v>0</v>
      </c>
      <c r="R606" s="61">
        <f t="shared" si="637"/>
        <v>0</v>
      </c>
      <c r="S606" s="61">
        <f t="shared" si="637"/>
        <v>0</v>
      </c>
      <c r="T606" s="61">
        <f>SUM(N606:S606)</f>
        <v>0</v>
      </c>
      <c r="U606" s="61">
        <f>T606+L606</f>
        <v>0</v>
      </c>
      <c r="V606" s="61">
        <f>V601</f>
        <v>0</v>
      </c>
      <c r="W606" s="72">
        <f>V606-U606</f>
        <v>0</v>
      </c>
      <c r="X606" s="63">
        <f>U601-U606</f>
        <v>0</v>
      </c>
    </row>
    <row r="607" spans="1:28" s="126" customFormat="1" ht="18" hidden="1" customHeight="1">
      <c r="A607" s="673"/>
      <c r="B607" s="581"/>
      <c r="C607" s="581"/>
      <c r="D607" s="201" t="str">
        <f>серпень!D530</f>
        <v>дотація</v>
      </c>
      <c r="E607" s="71"/>
      <c r="F607" s="61">
        <v>0</v>
      </c>
      <c r="G607" s="61">
        <v>0</v>
      </c>
      <c r="H607" s="61">
        <v>0</v>
      </c>
      <c r="I607" s="61">
        <v>0</v>
      </c>
      <c r="J607" s="61">
        <v>0</v>
      </c>
      <c r="K607" s="61">
        <v>0</v>
      </c>
      <c r="L607" s="61">
        <f>SUM(F607:K607)</f>
        <v>0</v>
      </c>
      <c r="M607" s="61">
        <f>L607/6</f>
        <v>0</v>
      </c>
      <c r="N607" s="61">
        <v>0</v>
      </c>
      <c r="O607" s="61">
        <v>0</v>
      </c>
      <c r="P607" s="61">
        <v>0</v>
      </c>
      <c r="Q607" s="61">
        <v>0</v>
      </c>
      <c r="R607" s="61">
        <v>0</v>
      </c>
      <c r="S607" s="61">
        <v>0</v>
      </c>
      <c r="T607" s="61">
        <f>SUM(N607:S607)</f>
        <v>0</v>
      </c>
      <c r="U607" s="61">
        <f>T607+L607</f>
        <v>0</v>
      </c>
      <c r="V607" s="61">
        <f>V602</f>
        <v>0</v>
      </c>
      <c r="W607" s="72">
        <f>V607-U607</f>
        <v>0</v>
      </c>
      <c r="X607" s="63"/>
    </row>
    <row r="608" spans="1:28" s="126" customFormat="1" ht="18" hidden="1" customHeight="1">
      <c r="A608" s="673"/>
      <c r="B608" s="581"/>
      <c r="C608" s="581"/>
      <c r="D608" s="201" t="str">
        <f>серпень!D531</f>
        <v xml:space="preserve">місцевий </v>
      </c>
      <c r="E608" s="71"/>
      <c r="F608" s="61">
        <f t="shared" ref="F608:K608" si="638">F606-F607</f>
        <v>0</v>
      </c>
      <c r="G608" s="61">
        <f t="shared" si="638"/>
        <v>0</v>
      </c>
      <c r="H608" s="61">
        <f t="shared" si="638"/>
        <v>0</v>
      </c>
      <c r="I608" s="61">
        <f t="shared" si="638"/>
        <v>0</v>
      </c>
      <c r="J608" s="61">
        <f t="shared" si="638"/>
        <v>0</v>
      </c>
      <c r="K608" s="61">
        <f t="shared" si="638"/>
        <v>0</v>
      </c>
      <c r="L608" s="61">
        <f>SUM(F608:K608)</f>
        <v>0</v>
      </c>
      <c r="M608" s="61">
        <f>L608/6</f>
        <v>0</v>
      </c>
      <c r="N608" s="61">
        <f t="shared" ref="N608:S608" si="639">N606-N607</f>
        <v>0</v>
      </c>
      <c r="O608" s="61">
        <f t="shared" si="639"/>
        <v>0</v>
      </c>
      <c r="P608" s="61">
        <f t="shared" si="639"/>
        <v>0</v>
      </c>
      <c r="Q608" s="61">
        <f t="shared" si="639"/>
        <v>0</v>
      </c>
      <c r="R608" s="61">
        <f t="shared" si="639"/>
        <v>0</v>
      </c>
      <c r="S608" s="61">
        <f t="shared" si="639"/>
        <v>0</v>
      </c>
      <c r="T608" s="61">
        <f>SUM(N608:S608)</f>
        <v>0</v>
      </c>
      <c r="U608" s="61">
        <f>T608+L608</f>
        <v>0</v>
      </c>
      <c r="V608" s="61">
        <f>V603</f>
        <v>0</v>
      </c>
      <c r="W608" s="72">
        <f>V608-U608</f>
        <v>0</v>
      </c>
      <c r="X608" s="63">
        <f>U603-U608</f>
        <v>0</v>
      </c>
    </row>
    <row r="609" spans="1:28" s="43" customFormat="1" ht="18" hidden="1" customHeight="1">
      <c r="A609" s="673"/>
      <c r="B609" s="581"/>
      <c r="C609" s="581"/>
      <c r="D609" s="202" t="str">
        <f>серпень!D532</f>
        <v>план</v>
      </c>
      <c r="E609" s="42"/>
      <c r="F609" s="42">
        <f t="shared" ref="F609:K609" si="640">F603</f>
        <v>0</v>
      </c>
      <c r="G609" s="42">
        <f t="shared" si="640"/>
        <v>0</v>
      </c>
      <c r="H609" s="42">
        <f t="shared" si="640"/>
        <v>0</v>
      </c>
      <c r="I609" s="42">
        <f t="shared" si="640"/>
        <v>0</v>
      </c>
      <c r="J609" s="42">
        <f t="shared" si="640"/>
        <v>0</v>
      </c>
      <c r="K609" s="42">
        <f t="shared" si="640"/>
        <v>0</v>
      </c>
      <c r="L609" s="42">
        <f>SUM(F609:K609)</f>
        <v>0</v>
      </c>
      <c r="M609" s="42">
        <f>L609/6</f>
        <v>0</v>
      </c>
      <c r="N609" s="42">
        <f t="shared" ref="N609:S609" si="641">N603+N602</f>
        <v>0</v>
      </c>
      <c r="O609" s="42">
        <f t="shared" si="641"/>
        <v>0</v>
      </c>
      <c r="P609" s="42">
        <f t="shared" si="641"/>
        <v>0</v>
      </c>
      <c r="Q609" s="42">
        <f t="shared" si="641"/>
        <v>0</v>
      </c>
      <c r="R609" s="42">
        <f t="shared" si="641"/>
        <v>0</v>
      </c>
      <c r="S609" s="42">
        <f t="shared" si="641"/>
        <v>0</v>
      </c>
      <c r="T609" s="42">
        <f>SUM(N609:S609)</f>
        <v>0</v>
      </c>
      <c r="U609" s="42">
        <f>T609+L609</f>
        <v>0</v>
      </c>
      <c r="V609" s="42">
        <f>V606</f>
        <v>0</v>
      </c>
      <c r="W609" s="42">
        <f>V609-U609</f>
        <v>0</v>
      </c>
    </row>
    <row r="610" spans="1:28" s="43" customFormat="1" ht="18" hidden="1" customHeight="1">
      <c r="A610" s="673"/>
      <c r="B610" s="581"/>
      <c r="C610" s="581"/>
      <c r="D610" s="202" t="str">
        <f>серпень!D533</f>
        <v xml:space="preserve">відхилення </v>
      </c>
      <c r="E610" s="42"/>
      <c r="F610" s="42">
        <f t="shared" ref="F610:K610" si="642">F606-F609</f>
        <v>0</v>
      </c>
      <c r="G610" s="42">
        <f t="shared" si="642"/>
        <v>0</v>
      </c>
      <c r="H610" s="42">
        <f t="shared" si="642"/>
        <v>0</v>
      </c>
      <c r="I610" s="42">
        <f t="shared" si="642"/>
        <v>0</v>
      </c>
      <c r="J610" s="42">
        <f t="shared" si="642"/>
        <v>0</v>
      </c>
      <c r="K610" s="42">
        <f t="shared" si="642"/>
        <v>0</v>
      </c>
      <c r="L610" s="42"/>
      <c r="M610" s="42"/>
      <c r="N610" s="42">
        <f t="shared" ref="N610:S610" si="643">N606-N609</f>
        <v>0</v>
      </c>
      <c r="O610" s="42">
        <f t="shared" si="643"/>
        <v>0</v>
      </c>
      <c r="P610" s="42">
        <f t="shared" si="643"/>
        <v>0</v>
      </c>
      <c r="Q610" s="42">
        <f t="shared" si="643"/>
        <v>0</v>
      </c>
      <c r="R610" s="42">
        <f t="shared" si="643"/>
        <v>0</v>
      </c>
      <c r="S610" s="42">
        <f t="shared" si="643"/>
        <v>0</v>
      </c>
      <c r="T610" s="42"/>
      <c r="U610" s="42"/>
      <c r="V610" s="42"/>
      <c r="W610" s="42"/>
    </row>
    <row r="611" spans="1:28" s="43" customFormat="1" ht="18" hidden="1" customHeight="1">
      <c r="A611" s="673"/>
      <c r="B611" s="581"/>
      <c r="C611" s="581"/>
      <c r="D611" s="202" t="str">
        <f>серпень!D534</f>
        <v>відхилення з наростаючим</v>
      </c>
      <c r="E611" s="42"/>
      <c r="F611" s="42">
        <f>F610</f>
        <v>0</v>
      </c>
      <c r="G611" s="42">
        <f>G610+F611</f>
        <v>0</v>
      </c>
      <c r="H611" s="42">
        <f>H610+G611</f>
        <v>0</v>
      </c>
      <c r="I611" s="42">
        <f>I610+H611</f>
        <v>0</v>
      </c>
      <c r="J611" s="42">
        <f>J610+I611</f>
        <v>0</v>
      </c>
      <c r="K611" s="42">
        <f>K610+J611</f>
        <v>0</v>
      </c>
      <c r="L611" s="42"/>
      <c r="M611" s="42"/>
      <c r="N611" s="42">
        <f>N610+K611</f>
        <v>0</v>
      </c>
      <c r="O611" s="42">
        <f>O610+N611</f>
        <v>0</v>
      </c>
      <c r="P611" s="42">
        <f>P610+O611</f>
        <v>0</v>
      </c>
      <c r="Q611" s="42">
        <f>Q610+P611</f>
        <v>0</v>
      </c>
      <c r="R611" s="42">
        <f>R610+Q611</f>
        <v>0</v>
      </c>
      <c r="S611" s="42">
        <f>S610+R611</f>
        <v>0</v>
      </c>
      <c r="T611" s="42"/>
      <c r="U611" s="42"/>
      <c r="V611" s="42"/>
      <c r="W611" s="42"/>
    </row>
    <row r="612" spans="1:28" s="55" customFormat="1" ht="18" hidden="1" customHeight="1">
      <c r="A612" s="673"/>
      <c r="B612" s="654" t="s">
        <v>139</v>
      </c>
      <c r="C612" s="581"/>
      <c r="D612" s="178" t="str">
        <f>серпень!D535</f>
        <v>факт. нат.п-ки 2023</v>
      </c>
      <c r="E612" s="11"/>
      <c r="F612" s="12"/>
      <c r="G612" s="12"/>
      <c r="H612" s="12"/>
      <c r="I612" s="12"/>
      <c r="J612" s="12"/>
      <c r="K612" s="12"/>
      <c r="L612" s="65">
        <f>SUM(F612:K612)</f>
        <v>0</v>
      </c>
      <c r="M612" s="65">
        <f>L612/6</f>
        <v>0</v>
      </c>
      <c r="N612" s="12"/>
      <c r="O612" s="12"/>
      <c r="P612" s="12"/>
      <c r="Q612" s="12"/>
      <c r="R612" s="12"/>
      <c r="S612" s="12"/>
      <c r="T612" s="65">
        <f>SUM(N612:S612)</f>
        <v>0</v>
      </c>
      <c r="U612" s="65">
        <f>T612+L612</f>
        <v>0</v>
      </c>
      <c r="V612" s="67"/>
      <c r="W612" s="38"/>
      <c r="X612" s="47"/>
      <c r="Y612" s="48"/>
      <c r="Z612" s="48"/>
      <c r="AA612" s="48"/>
      <c r="AB612" s="48"/>
    </row>
    <row r="613" spans="1:28" s="48" customFormat="1" ht="18" hidden="1" customHeight="1">
      <c r="A613" s="673"/>
      <c r="B613" s="581"/>
      <c r="C613" s="581"/>
      <c r="D613" s="178" t="str">
        <f>серпень!D536</f>
        <v>факт. нат.п-ки 2024</v>
      </c>
      <c r="E613" s="11"/>
      <c r="F613" s="12"/>
      <c r="G613" s="12"/>
      <c r="H613" s="12"/>
      <c r="I613" s="12"/>
      <c r="J613" s="12"/>
      <c r="K613" s="12"/>
      <c r="L613" s="65">
        <f>SUM(F613:K613)</f>
        <v>0</v>
      </c>
      <c r="M613" s="65">
        <f>L613/6</f>
        <v>0</v>
      </c>
      <c r="N613" s="11"/>
      <c r="O613" s="11"/>
      <c r="P613" s="11"/>
      <c r="Q613" s="11"/>
      <c r="R613" s="11"/>
      <c r="S613" s="11"/>
      <c r="T613" s="65">
        <f>SUM(N613:S613)</f>
        <v>0</v>
      </c>
      <c r="U613" s="65">
        <f>T613+L613</f>
        <v>0</v>
      </c>
      <c r="V613" s="67"/>
      <c r="W613" s="38"/>
      <c r="X613" s="47"/>
    </row>
    <row r="614" spans="1:28" s="48" customFormat="1" ht="18" hidden="1" customHeight="1">
      <c r="A614" s="673"/>
      <c r="B614" s="581"/>
      <c r="C614" s="581"/>
      <c r="D614" s="178" t="str">
        <f>серпень!D537</f>
        <v>факт. нат.п-ки 2025</v>
      </c>
      <c r="E614" s="11"/>
      <c r="F614" s="12"/>
      <c r="G614" s="12"/>
      <c r="H614" s="12"/>
      <c r="I614" s="12"/>
      <c r="J614" s="12"/>
      <c r="K614" s="12"/>
      <c r="L614" s="65">
        <f>SUM(F614:K614)</f>
        <v>0</v>
      </c>
      <c r="M614" s="65">
        <f>L614/6</f>
        <v>0</v>
      </c>
      <c r="N614" s="12"/>
      <c r="O614" s="12"/>
      <c r="P614" s="12"/>
      <c r="Q614" s="12"/>
      <c r="R614" s="12"/>
      <c r="S614" s="11"/>
      <c r="T614" s="65">
        <f>SUM(N614:S614)</f>
        <v>0</v>
      </c>
      <c r="U614" s="65">
        <f>T614+L614</f>
        <v>0</v>
      </c>
      <c r="V614" s="11"/>
      <c r="W614" s="38">
        <f>V614-U614</f>
        <v>0</v>
      </c>
      <c r="X614" s="47"/>
    </row>
    <row r="615" spans="1:28" s="51" customFormat="1" ht="18" hidden="1" customHeight="1">
      <c r="A615" s="673"/>
      <c r="B615" s="581"/>
      <c r="C615" s="581"/>
      <c r="D615" s="187" t="str">
        <f>серпень!D538</f>
        <v>тариф, грн.</v>
      </c>
      <c r="E615" s="49"/>
      <c r="F615" s="49">
        <v>2.1</v>
      </c>
      <c r="G615" s="49">
        <v>2.1</v>
      </c>
      <c r="H615" s="49">
        <v>2.1</v>
      </c>
      <c r="I615" s="49">
        <v>2.1</v>
      </c>
      <c r="J615" s="49">
        <v>2.1</v>
      </c>
      <c r="K615" s="49">
        <v>2.1</v>
      </c>
      <c r="L615" s="68" t="e">
        <f>L616/L614*1000</f>
        <v>#DIV/0!</v>
      </c>
      <c r="M615" s="68" t="e">
        <f>M616/M614*1000</f>
        <v>#DIV/0!</v>
      </c>
      <c r="N615" s="49">
        <v>2.1</v>
      </c>
      <c r="O615" s="49">
        <v>2.1</v>
      </c>
      <c r="P615" s="49">
        <v>2.1</v>
      </c>
      <c r="Q615" s="49">
        <v>2.1</v>
      </c>
      <c r="R615" s="49">
        <v>2.1</v>
      </c>
      <c r="S615" s="49">
        <v>2.1</v>
      </c>
      <c r="T615" s="68" t="e">
        <f>T616/T614*1000</f>
        <v>#DIV/0!</v>
      </c>
      <c r="U615" s="68" t="e">
        <f>U616/U614*1000</f>
        <v>#DIV/0!</v>
      </c>
      <c r="V615" s="68" t="e">
        <f>V616/V614*1000</f>
        <v>#DIV/0!</v>
      </c>
      <c r="W615" s="14" t="e">
        <f>W616/W614*1000</f>
        <v>#DIV/0!</v>
      </c>
      <c r="X615" s="59"/>
    </row>
    <row r="616" spans="1:28" s="130" customFormat="1" ht="18" hidden="1" customHeight="1">
      <c r="A616" s="673"/>
      <c r="B616" s="581"/>
      <c r="C616" s="581"/>
      <c r="D616" s="191" t="str">
        <f>серпень!D539</f>
        <v>сума, тис.грн.</v>
      </c>
      <c r="E616" s="52"/>
      <c r="F616" s="52">
        <f>F614*F615/1000</f>
        <v>0</v>
      </c>
      <c r="G616" s="52">
        <f t="shared" ref="G616:K616" si="644">G614*G615/1000</f>
        <v>0</v>
      </c>
      <c r="H616" s="52">
        <f t="shared" si="644"/>
        <v>0</v>
      </c>
      <c r="I616" s="52">
        <f t="shared" si="644"/>
        <v>0</v>
      </c>
      <c r="J616" s="52">
        <f t="shared" si="644"/>
        <v>0</v>
      </c>
      <c r="K616" s="52">
        <f t="shared" si="644"/>
        <v>0</v>
      </c>
      <c r="L616" s="69">
        <f>SUM(F616:K616)</f>
        <v>0</v>
      </c>
      <c r="M616" s="69">
        <f>L616/6</f>
        <v>0</v>
      </c>
      <c r="N616" s="52">
        <f t="shared" ref="N616:S616" si="645">N614*N615/1000</f>
        <v>0</v>
      </c>
      <c r="O616" s="52">
        <f t="shared" si="645"/>
        <v>0</v>
      </c>
      <c r="P616" s="52">
        <f t="shared" si="645"/>
        <v>0</v>
      </c>
      <c r="Q616" s="52">
        <f t="shared" si="645"/>
        <v>0</v>
      </c>
      <c r="R616" s="52">
        <f t="shared" si="645"/>
        <v>0</v>
      </c>
      <c r="S616" s="52">
        <f t="shared" si="645"/>
        <v>0</v>
      </c>
      <c r="T616" s="69">
        <f>SUM(N616:S616)</f>
        <v>0</v>
      </c>
      <c r="U616" s="69">
        <f>T616+L616</f>
        <v>0</v>
      </c>
      <c r="V616" s="70">
        <f>V617+V618</f>
        <v>0</v>
      </c>
      <c r="W616" s="53">
        <f>V616-U616</f>
        <v>0</v>
      </c>
    </row>
    <row r="617" spans="1:28" s="130" customFormat="1" ht="18" hidden="1" customHeight="1">
      <c r="A617" s="673"/>
      <c r="B617" s="581"/>
      <c r="C617" s="581"/>
      <c r="D617" s="174" t="str">
        <f>серпень!D540</f>
        <v>дотація</v>
      </c>
      <c r="E617" s="56"/>
      <c r="F617" s="52"/>
      <c r="G617" s="52"/>
      <c r="H617" s="52"/>
      <c r="I617" s="52"/>
      <c r="J617" s="52"/>
      <c r="K617" s="52"/>
      <c r="L617" s="69">
        <f>SUM(F617:K617)</f>
        <v>0</v>
      </c>
      <c r="M617" s="69">
        <f>L617/6</f>
        <v>0</v>
      </c>
      <c r="N617" s="52"/>
      <c r="O617" s="52"/>
      <c r="P617" s="52"/>
      <c r="Q617" s="52"/>
      <c r="R617" s="52"/>
      <c r="S617" s="52"/>
      <c r="T617" s="69">
        <f>SUM(N617:S617)</f>
        <v>0</v>
      </c>
      <c r="U617" s="69">
        <f>T617+L617</f>
        <v>0</v>
      </c>
      <c r="V617" s="70">
        <v>0</v>
      </c>
      <c r="W617" s="53">
        <f>V617-U617</f>
        <v>0</v>
      </c>
    </row>
    <row r="618" spans="1:28" s="130" customFormat="1" ht="18" hidden="1" customHeight="1">
      <c r="A618" s="673"/>
      <c r="B618" s="581"/>
      <c r="C618" s="581"/>
      <c r="D618" s="174" t="str">
        <f>серпень!D541</f>
        <v>місцевий (план), тис.грн</v>
      </c>
      <c r="E618" s="56"/>
      <c r="F618" s="52"/>
      <c r="G618" s="52"/>
      <c r="H618" s="52"/>
      <c r="I618" s="52"/>
      <c r="J618" s="52"/>
      <c r="K618" s="52"/>
      <c r="L618" s="69">
        <f>SUM(F618:K618)</f>
        <v>0</v>
      </c>
      <c r="M618" s="69">
        <f>L618/6</f>
        <v>0</v>
      </c>
      <c r="N618" s="52"/>
      <c r="O618" s="52"/>
      <c r="P618" s="52"/>
      <c r="Q618" s="52"/>
      <c r="R618" s="52"/>
      <c r="S618" s="52"/>
      <c r="T618" s="69">
        <f>SUM(N618:S618)</f>
        <v>0</v>
      </c>
      <c r="U618" s="69">
        <f>T618+L618</f>
        <v>0</v>
      </c>
      <c r="V618" s="70"/>
      <c r="W618" s="53">
        <f>V618-U618</f>
        <v>0</v>
      </c>
    </row>
    <row r="619" spans="1:28" s="48" customFormat="1" ht="18" hidden="1" customHeight="1">
      <c r="A619" s="673"/>
      <c r="B619" s="581"/>
      <c r="C619" s="581"/>
      <c r="D619" s="178" t="str">
        <f>серпень!D542</f>
        <v>касові нат.п-ки 2025</v>
      </c>
      <c r="E619" s="11"/>
      <c r="F619" s="11"/>
      <c r="G619" s="11"/>
      <c r="H619" s="11"/>
      <c r="I619" s="11"/>
      <c r="J619" s="11"/>
      <c r="K619" s="11"/>
      <c r="L619" s="65">
        <f>SUM(F619:K619)</f>
        <v>0</v>
      </c>
      <c r="M619" s="65">
        <f>L619/6</f>
        <v>0</v>
      </c>
      <c r="N619" s="11"/>
      <c r="O619" s="11"/>
      <c r="P619" s="11"/>
      <c r="Q619" s="11"/>
      <c r="R619" s="11"/>
      <c r="S619" s="11"/>
      <c r="T619" s="65">
        <f>SUM(N619:S619)</f>
        <v>0</v>
      </c>
      <c r="U619" s="65">
        <f>T619+L619</f>
        <v>0</v>
      </c>
      <c r="V619" s="11">
        <f>V614</f>
        <v>0</v>
      </c>
      <c r="W619" s="38">
        <f>V619-U619</f>
        <v>0</v>
      </c>
      <c r="X619" s="47">
        <f>U614-U619</f>
        <v>0</v>
      </c>
    </row>
    <row r="620" spans="1:28" s="51" customFormat="1" ht="18" hidden="1" customHeight="1">
      <c r="A620" s="673"/>
      <c r="B620" s="581"/>
      <c r="C620" s="581"/>
      <c r="D620" s="187" t="str">
        <f>серпень!D543</f>
        <v>тариф, грн.</v>
      </c>
      <c r="E620" s="49" t="e">
        <f>E621/E619*1000</f>
        <v>#DIV/0!</v>
      </c>
      <c r="F620" s="49">
        <v>2.1</v>
      </c>
      <c r="G620" s="49">
        <v>2.1</v>
      </c>
      <c r="H620" s="49">
        <v>2.1</v>
      </c>
      <c r="I620" s="49">
        <v>2.1</v>
      </c>
      <c r="J620" s="49">
        <v>2.1</v>
      </c>
      <c r="K620" s="49">
        <v>2.1</v>
      </c>
      <c r="L620" s="68" t="e">
        <f>L621/L619*1000</f>
        <v>#DIV/0!</v>
      </c>
      <c r="M620" s="68" t="e">
        <f>M621/M619*1000</f>
        <v>#DIV/0!</v>
      </c>
      <c r="N620" s="49">
        <v>2.1</v>
      </c>
      <c r="O620" s="49">
        <v>2.1</v>
      </c>
      <c r="P620" s="49">
        <v>2.1</v>
      </c>
      <c r="Q620" s="49">
        <v>2.1</v>
      </c>
      <c r="R620" s="49">
        <v>2.1</v>
      </c>
      <c r="S620" s="49">
        <v>2.1</v>
      </c>
      <c r="T620" s="68" t="e">
        <f>T621/T619*1000</f>
        <v>#DIV/0!</v>
      </c>
      <c r="U620" s="68" t="e">
        <f>U621/U619*1000</f>
        <v>#DIV/0!</v>
      </c>
      <c r="V620" s="68" t="e">
        <f>V621/V619*1000</f>
        <v>#DIV/0!</v>
      </c>
      <c r="W620" s="14" t="e">
        <f>W621/W619*1000</f>
        <v>#DIV/0!</v>
      </c>
      <c r="X620" s="59"/>
    </row>
    <row r="621" spans="1:28" s="126" customFormat="1" ht="18" hidden="1" customHeight="1">
      <c r="A621" s="673"/>
      <c r="B621" s="581"/>
      <c r="C621" s="581"/>
      <c r="D621" s="198" t="str">
        <f>серпень!D544</f>
        <v>касові видатки, тис.грн.</v>
      </c>
      <c r="E621" s="71"/>
      <c r="F621" s="61">
        <f>F619*F620/1000</f>
        <v>0</v>
      </c>
      <c r="G621" s="61">
        <f t="shared" ref="G621" si="646">G619*G620/1000</f>
        <v>0</v>
      </c>
      <c r="H621" s="61">
        <f t="shared" ref="H621" si="647">H619*H620/1000</f>
        <v>0</v>
      </c>
      <c r="I621" s="61">
        <f t="shared" ref="I621" si="648">I619*I620/1000</f>
        <v>0</v>
      </c>
      <c r="J621" s="61">
        <f t="shared" ref="J621" si="649">J619*J620/1000</f>
        <v>0</v>
      </c>
      <c r="K621" s="61">
        <f t="shared" ref="K621" si="650">K619*K620/1000</f>
        <v>0</v>
      </c>
      <c r="L621" s="61">
        <f>SUM(F621:K621)</f>
        <v>0</v>
      </c>
      <c r="M621" s="61">
        <f>L621/6</f>
        <v>0</v>
      </c>
      <c r="N621" s="61">
        <f>N619*N620/1000</f>
        <v>0</v>
      </c>
      <c r="O621" s="61">
        <f t="shared" ref="O621" si="651">O619*O620/1000</f>
        <v>0</v>
      </c>
      <c r="P621" s="61">
        <f t="shared" ref="P621" si="652">P619*P620/1000</f>
        <v>0</v>
      </c>
      <c r="Q621" s="61">
        <f t="shared" ref="Q621" si="653">Q619*Q620/1000</f>
        <v>0</v>
      </c>
      <c r="R621" s="61">
        <f t="shared" ref="R621" si="654">R619*R620/1000</f>
        <v>0</v>
      </c>
      <c r="S621" s="61">
        <f t="shared" ref="S621" si="655">S619*S620/1000</f>
        <v>0</v>
      </c>
      <c r="T621" s="61">
        <f>SUM(N621:S621)</f>
        <v>0</v>
      </c>
      <c r="U621" s="61">
        <f>T621+L621</f>
        <v>0</v>
      </c>
      <c r="V621" s="61">
        <f>V616</f>
        <v>0</v>
      </c>
      <c r="W621" s="72">
        <f>V621-U621</f>
        <v>0</v>
      </c>
      <c r="X621" s="63">
        <f>U616-U621</f>
        <v>0</v>
      </c>
    </row>
    <row r="622" spans="1:28" s="126" customFormat="1" ht="18" hidden="1" customHeight="1">
      <c r="A622" s="673"/>
      <c r="B622" s="581"/>
      <c r="C622" s="581"/>
      <c r="D622" s="201" t="str">
        <f>серпень!D545</f>
        <v>дотація</v>
      </c>
      <c r="E622" s="71"/>
      <c r="F622" s="61">
        <v>0</v>
      </c>
      <c r="G622" s="61">
        <v>0</v>
      </c>
      <c r="H622" s="61">
        <v>0</v>
      </c>
      <c r="I622" s="61">
        <v>0</v>
      </c>
      <c r="J622" s="61">
        <v>0</v>
      </c>
      <c r="K622" s="61">
        <v>0</v>
      </c>
      <c r="L622" s="61">
        <f>SUM(F622:K622)</f>
        <v>0</v>
      </c>
      <c r="M622" s="61">
        <f>L622/6</f>
        <v>0</v>
      </c>
      <c r="N622" s="61">
        <v>0</v>
      </c>
      <c r="O622" s="61">
        <v>0</v>
      </c>
      <c r="P622" s="61">
        <v>0</v>
      </c>
      <c r="Q622" s="61">
        <v>0</v>
      </c>
      <c r="R622" s="61">
        <v>0</v>
      </c>
      <c r="S622" s="61">
        <v>0</v>
      </c>
      <c r="T622" s="61">
        <f>SUM(N622:S622)</f>
        <v>0</v>
      </c>
      <c r="U622" s="61">
        <f>T622+L622</f>
        <v>0</v>
      </c>
      <c r="V622" s="61">
        <f>V617</f>
        <v>0</v>
      </c>
      <c r="W622" s="72">
        <f>V622-U622</f>
        <v>0</v>
      </c>
      <c r="X622" s="63"/>
    </row>
    <row r="623" spans="1:28" s="126" customFormat="1" ht="18" hidden="1" customHeight="1">
      <c r="A623" s="673"/>
      <c r="B623" s="581"/>
      <c r="C623" s="581"/>
      <c r="D623" s="201" t="str">
        <f>серпень!D546</f>
        <v xml:space="preserve">місцевий </v>
      </c>
      <c r="E623" s="71"/>
      <c r="F623" s="61">
        <f t="shared" ref="F623:K623" si="656">F621-F622</f>
        <v>0</v>
      </c>
      <c r="G623" s="61">
        <f t="shared" si="656"/>
        <v>0</v>
      </c>
      <c r="H623" s="61">
        <f t="shared" si="656"/>
        <v>0</v>
      </c>
      <c r="I623" s="61">
        <f t="shared" si="656"/>
        <v>0</v>
      </c>
      <c r="J623" s="61">
        <f t="shared" si="656"/>
        <v>0</v>
      </c>
      <c r="K623" s="61">
        <f t="shared" si="656"/>
        <v>0</v>
      </c>
      <c r="L623" s="61">
        <f>SUM(F623:K623)</f>
        <v>0</v>
      </c>
      <c r="M623" s="61">
        <f>L623/6</f>
        <v>0</v>
      </c>
      <c r="N623" s="61">
        <f t="shared" ref="N623:S623" si="657">N621-N622</f>
        <v>0</v>
      </c>
      <c r="O623" s="61">
        <f t="shared" si="657"/>
        <v>0</v>
      </c>
      <c r="P623" s="61">
        <f t="shared" si="657"/>
        <v>0</v>
      </c>
      <c r="Q623" s="61">
        <f t="shared" si="657"/>
        <v>0</v>
      </c>
      <c r="R623" s="61">
        <f t="shared" si="657"/>
        <v>0</v>
      </c>
      <c r="S623" s="61">
        <f t="shared" si="657"/>
        <v>0</v>
      </c>
      <c r="T623" s="61">
        <f>SUM(N623:S623)</f>
        <v>0</v>
      </c>
      <c r="U623" s="61">
        <f>T623+L623</f>
        <v>0</v>
      </c>
      <c r="V623" s="61">
        <f>V618</f>
        <v>0</v>
      </c>
      <c r="W623" s="72">
        <f>V623-U623</f>
        <v>0</v>
      </c>
      <c r="X623" s="63">
        <f>U618-U623</f>
        <v>0</v>
      </c>
    </row>
    <row r="624" spans="1:28" s="43" customFormat="1" ht="18" hidden="1" customHeight="1">
      <c r="A624" s="673"/>
      <c r="B624" s="581"/>
      <c r="C624" s="581"/>
      <c r="D624" s="202" t="str">
        <f>серпень!D547</f>
        <v>план</v>
      </c>
      <c r="E624" s="42"/>
      <c r="F624" s="42">
        <f t="shared" ref="F624:K624" si="658">F618</f>
        <v>0</v>
      </c>
      <c r="G624" s="42">
        <f t="shared" si="658"/>
        <v>0</v>
      </c>
      <c r="H624" s="42">
        <f t="shared" si="658"/>
        <v>0</v>
      </c>
      <c r="I624" s="42">
        <f t="shared" si="658"/>
        <v>0</v>
      </c>
      <c r="J624" s="42">
        <f t="shared" si="658"/>
        <v>0</v>
      </c>
      <c r="K624" s="42">
        <f t="shared" si="658"/>
        <v>0</v>
      </c>
      <c r="L624" s="42">
        <f>SUM(F624:K624)</f>
        <v>0</v>
      </c>
      <c r="M624" s="42">
        <f>L624/6</f>
        <v>0</v>
      </c>
      <c r="N624" s="42">
        <f t="shared" ref="N624:S624" si="659">N618+N617</f>
        <v>0</v>
      </c>
      <c r="O624" s="42">
        <f t="shared" si="659"/>
        <v>0</v>
      </c>
      <c r="P624" s="42">
        <f t="shared" si="659"/>
        <v>0</v>
      </c>
      <c r="Q624" s="42">
        <f t="shared" si="659"/>
        <v>0</v>
      </c>
      <c r="R624" s="42">
        <f t="shared" si="659"/>
        <v>0</v>
      </c>
      <c r="S624" s="42">
        <f t="shared" si="659"/>
        <v>0</v>
      </c>
      <c r="T624" s="42">
        <f>SUM(N624:S624)</f>
        <v>0</v>
      </c>
      <c r="U624" s="42">
        <f>T624+L624</f>
        <v>0</v>
      </c>
      <c r="V624" s="42">
        <f>V621</f>
        <v>0</v>
      </c>
      <c r="W624" s="42">
        <f>V624-U624</f>
        <v>0</v>
      </c>
    </row>
    <row r="625" spans="1:28" s="43" customFormat="1" ht="18" hidden="1" customHeight="1">
      <c r="A625" s="673"/>
      <c r="B625" s="581"/>
      <c r="C625" s="581"/>
      <c r="D625" s="202" t="str">
        <f>серпень!D548</f>
        <v xml:space="preserve">відхилення </v>
      </c>
      <c r="E625" s="42"/>
      <c r="F625" s="42">
        <f t="shared" ref="F625:K625" si="660">F621-F624</f>
        <v>0</v>
      </c>
      <c r="G625" s="42">
        <f t="shared" si="660"/>
        <v>0</v>
      </c>
      <c r="H625" s="42">
        <f t="shared" si="660"/>
        <v>0</v>
      </c>
      <c r="I625" s="42">
        <f t="shared" si="660"/>
        <v>0</v>
      </c>
      <c r="J625" s="42">
        <f t="shared" si="660"/>
        <v>0</v>
      </c>
      <c r="K625" s="42">
        <f t="shared" si="660"/>
        <v>0</v>
      </c>
      <c r="L625" s="42"/>
      <c r="M625" s="42"/>
      <c r="N625" s="42">
        <f t="shared" ref="N625:S625" si="661">N621-N624</f>
        <v>0</v>
      </c>
      <c r="O625" s="42">
        <f t="shared" si="661"/>
        <v>0</v>
      </c>
      <c r="P625" s="42">
        <f t="shared" si="661"/>
        <v>0</v>
      </c>
      <c r="Q625" s="42">
        <f t="shared" si="661"/>
        <v>0</v>
      </c>
      <c r="R625" s="42">
        <f t="shared" si="661"/>
        <v>0</v>
      </c>
      <c r="S625" s="42">
        <f t="shared" si="661"/>
        <v>0</v>
      </c>
      <c r="T625" s="42"/>
      <c r="U625" s="42"/>
      <c r="V625" s="42"/>
      <c r="W625" s="42"/>
    </row>
    <row r="626" spans="1:28" s="43" customFormat="1" ht="18" hidden="1" customHeight="1">
      <c r="A626" s="673"/>
      <c r="B626" s="581"/>
      <c r="C626" s="581"/>
      <c r="D626" s="202" t="str">
        <f>серпень!D549</f>
        <v>відхилення з наростаючим</v>
      </c>
      <c r="E626" s="42"/>
      <c r="F626" s="42">
        <f>F625</f>
        <v>0</v>
      </c>
      <c r="G626" s="42">
        <f>G625+F626</f>
        <v>0</v>
      </c>
      <c r="H626" s="42">
        <f>H625+G626</f>
        <v>0</v>
      </c>
      <c r="I626" s="42">
        <f>I625+H626</f>
        <v>0</v>
      </c>
      <c r="J626" s="42">
        <f>J625+I626</f>
        <v>0</v>
      </c>
      <c r="K626" s="42">
        <f>K625+J626</f>
        <v>0</v>
      </c>
      <c r="L626" s="42"/>
      <c r="M626" s="42"/>
      <c r="N626" s="42">
        <f>N625+K626</f>
        <v>0</v>
      </c>
      <c r="O626" s="42">
        <f>O625+N626</f>
        <v>0</v>
      </c>
      <c r="P626" s="42">
        <f>P625+O626</f>
        <v>0</v>
      </c>
      <c r="Q626" s="42">
        <f>Q625+P626</f>
        <v>0</v>
      </c>
      <c r="R626" s="42">
        <f>R625+Q626</f>
        <v>0</v>
      </c>
      <c r="S626" s="42">
        <f>S625+R626</f>
        <v>0</v>
      </c>
      <c r="T626" s="42"/>
      <c r="U626" s="42"/>
      <c r="V626" s="42"/>
      <c r="W626" s="42"/>
    </row>
    <row r="627" spans="1:28" s="55" customFormat="1" ht="18" hidden="1" customHeight="1">
      <c r="A627" s="673"/>
      <c r="B627" s="581" t="s">
        <v>66</v>
      </c>
      <c r="C627" s="581"/>
      <c r="D627" s="178" t="str">
        <f>серпень!D550</f>
        <v>факт. нат.п-ки 2023</v>
      </c>
      <c r="E627" s="11"/>
      <c r="F627" s="12">
        <f t="shared" ref="F627:K628" si="662">F644+F674</f>
        <v>0</v>
      </c>
      <c r="G627" s="12">
        <f t="shared" si="662"/>
        <v>0</v>
      </c>
      <c r="H627" s="12">
        <f t="shared" si="662"/>
        <v>0</v>
      </c>
      <c r="I627" s="12">
        <f t="shared" si="662"/>
        <v>0</v>
      </c>
      <c r="J627" s="12">
        <f t="shared" si="662"/>
        <v>0</v>
      </c>
      <c r="K627" s="12">
        <f t="shared" si="662"/>
        <v>0</v>
      </c>
      <c r="L627" s="65">
        <f>SUM(F627:K627)</f>
        <v>0</v>
      </c>
      <c r="M627" s="65">
        <f>L627/6</f>
        <v>0</v>
      </c>
      <c r="N627" s="12">
        <f t="shared" ref="N627:S628" si="663">N644+N674</f>
        <v>0</v>
      </c>
      <c r="O627" s="12">
        <f t="shared" si="663"/>
        <v>0</v>
      </c>
      <c r="P627" s="12">
        <f t="shared" si="663"/>
        <v>0</v>
      </c>
      <c r="Q627" s="12">
        <f t="shared" si="663"/>
        <v>0</v>
      </c>
      <c r="R627" s="12">
        <f t="shared" si="663"/>
        <v>0</v>
      </c>
      <c r="S627" s="12">
        <f t="shared" si="663"/>
        <v>0</v>
      </c>
      <c r="T627" s="65">
        <f>SUM(N627:S627)</f>
        <v>0</v>
      </c>
      <c r="U627" s="65">
        <f>T627+L627</f>
        <v>0</v>
      </c>
      <c r="V627" s="75"/>
      <c r="W627" s="38"/>
      <c r="X627" s="47"/>
      <c r="Y627" s="48"/>
      <c r="Z627" s="48"/>
      <c r="AA627" s="48"/>
      <c r="AB627" s="48"/>
    </row>
    <row r="628" spans="1:28" s="48" customFormat="1" ht="18" hidden="1" customHeight="1">
      <c r="A628" s="673"/>
      <c r="B628" s="581"/>
      <c r="C628" s="581"/>
      <c r="D628" s="178" t="str">
        <f>серпень!D551</f>
        <v>факт. нат.п-ки 2024</v>
      </c>
      <c r="E628" s="11"/>
      <c r="F628" s="12">
        <f t="shared" si="662"/>
        <v>0</v>
      </c>
      <c r="G628" s="12">
        <f t="shared" si="662"/>
        <v>0</v>
      </c>
      <c r="H628" s="12">
        <f t="shared" si="662"/>
        <v>0</v>
      </c>
      <c r="I628" s="12">
        <f t="shared" si="662"/>
        <v>0</v>
      </c>
      <c r="J628" s="12">
        <f t="shared" si="662"/>
        <v>0</v>
      </c>
      <c r="K628" s="12">
        <f t="shared" si="662"/>
        <v>0</v>
      </c>
      <c r="L628" s="65">
        <f>SUM(F628:K628)</f>
        <v>0</v>
      </c>
      <c r="M628" s="65">
        <f>L628/6</f>
        <v>0</v>
      </c>
      <c r="N628" s="12">
        <f t="shared" si="663"/>
        <v>0</v>
      </c>
      <c r="O628" s="12">
        <f t="shared" si="663"/>
        <v>0</v>
      </c>
      <c r="P628" s="12">
        <f t="shared" si="663"/>
        <v>0</v>
      </c>
      <c r="Q628" s="12">
        <f t="shared" si="663"/>
        <v>0</v>
      </c>
      <c r="R628" s="12">
        <f t="shared" si="663"/>
        <v>0</v>
      </c>
      <c r="S628" s="12">
        <f t="shared" si="663"/>
        <v>0</v>
      </c>
      <c r="T628" s="65">
        <f>SUM(N628:S628)</f>
        <v>0</v>
      </c>
      <c r="U628" s="65">
        <f>T628+L628</f>
        <v>0</v>
      </c>
      <c r="V628" s="75"/>
      <c r="W628" s="38"/>
      <c r="X628" s="47"/>
    </row>
    <row r="629" spans="1:28" s="48" customFormat="1" ht="18" hidden="1" customHeight="1">
      <c r="A629" s="673"/>
      <c r="B629" s="581"/>
      <c r="C629" s="581"/>
      <c r="D629" s="178" t="str">
        <f>серпень!D552</f>
        <v>факт. нат.п-ки 2025</v>
      </c>
      <c r="E629" s="11"/>
      <c r="F629" s="82">
        <f>F646</f>
        <v>0</v>
      </c>
      <c r="G629" s="82">
        <f t="shared" ref="G629:K629" si="664">G646</f>
        <v>0</v>
      </c>
      <c r="H629" s="82">
        <f t="shared" si="664"/>
        <v>0</v>
      </c>
      <c r="I629" s="82">
        <f t="shared" si="664"/>
        <v>0</v>
      </c>
      <c r="J629" s="82">
        <f t="shared" si="664"/>
        <v>0</v>
      </c>
      <c r="K629" s="82">
        <f t="shared" si="664"/>
        <v>0</v>
      </c>
      <c r="L629" s="465">
        <f>SUM(F629:K629)</f>
        <v>0</v>
      </c>
      <c r="M629" s="465">
        <f>L629/6</f>
        <v>0</v>
      </c>
      <c r="N629" s="82">
        <f>N646</f>
        <v>0</v>
      </c>
      <c r="O629" s="82">
        <f t="shared" ref="O629:S629" si="665">O646</f>
        <v>0</v>
      </c>
      <c r="P629" s="82">
        <f t="shared" si="665"/>
        <v>0</v>
      </c>
      <c r="Q629" s="82">
        <f t="shared" si="665"/>
        <v>0</v>
      </c>
      <c r="R629" s="12">
        <f t="shared" si="665"/>
        <v>0</v>
      </c>
      <c r="S629" s="12">
        <f t="shared" si="665"/>
        <v>0</v>
      </c>
      <c r="T629" s="465">
        <f>SUM(N629:S629)</f>
        <v>0</v>
      </c>
      <c r="U629" s="465">
        <f>T629+L629</f>
        <v>0</v>
      </c>
      <c r="V629" s="75">
        <f>V646+V676</f>
        <v>0</v>
      </c>
      <c r="W629" s="38">
        <f>V629-U629</f>
        <v>0</v>
      </c>
      <c r="X629" s="47"/>
    </row>
    <row r="630" spans="1:28" s="51" customFormat="1" ht="18" hidden="1" customHeight="1">
      <c r="A630" s="673"/>
      <c r="B630" s="581"/>
      <c r="C630" s="581"/>
      <c r="D630" s="187" t="str">
        <f>серпень!D553</f>
        <v>тариф, грн.</v>
      </c>
      <c r="E630" s="49"/>
      <c r="F630" s="49" t="e">
        <f t="shared" ref="F630:W630" si="666">F631/F629*1000</f>
        <v>#DIV/0!</v>
      </c>
      <c r="G630" s="49" t="e">
        <f t="shared" si="666"/>
        <v>#DIV/0!</v>
      </c>
      <c r="H630" s="49" t="e">
        <f t="shared" si="666"/>
        <v>#DIV/0!</v>
      </c>
      <c r="I630" s="49" t="e">
        <f t="shared" si="666"/>
        <v>#DIV/0!</v>
      </c>
      <c r="J630" s="49" t="e">
        <f t="shared" si="666"/>
        <v>#DIV/0!</v>
      </c>
      <c r="K630" s="49" t="e">
        <f t="shared" si="666"/>
        <v>#DIV/0!</v>
      </c>
      <c r="L630" s="49" t="e">
        <f t="shared" si="666"/>
        <v>#DIV/0!</v>
      </c>
      <c r="M630" s="49" t="e">
        <f t="shared" si="666"/>
        <v>#DIV/0!</v>
      </c>
      <c r="N630" s="49" t="e">
        <f t="shared" si="666"/>
        <v>#DIV/0!</v>
      </c>
      <c r="O630" s="49" t="e">
        <f t="shared" si="666"/>
        <v>#DIV/0!</v>
      </c>
      <c r="P630" s="49" t="e">
        <f t="shared" si="666"/>
        <v>#DIV/0!</v>
      </c>
      <c r="Q630" s="49" t="e">
        <f t="shared" si="666"/>
        <v>#DIV/0!</v>
      </c>
      <c r="R630" s="49" t="e">
        <f t="shared" si="666"/>
        <v>#DIV/0!</v>
      </c>
      <c r="S630" s="49" t="e">
        <f t="shared" si="666"/>
        <v>#DIV/0!</v>
      </c>
      <c r="T630" s="49" t="e">
        <f t="shared" si="666"/>
        <v>#DIV/0!</v>
      </c>
      <c r="U630" s="49" t="e">
        <f t="shared" si="666"/>
        <v>#DIV/0!</v>
      </c>
      <c r="V630" s="49" t="e">
        <f t="shared" si="666"/>
        <v>#DIV/0!</v>
      </c>
      <c r="W630" s="49" t="e">
        <f t="shared" si="666"/>
        <v>#DIV/0!</v>
      </c>
      <c r="X630" s="59"/>
    </row>
    <row r="631" spans="1:28" s="130" customFormat="1" ht="18" hidden="1" customHeight="1">
      <c r="A631" s="673"/>
      <c r="B631" s="581"/>
      <c r="C631" s="581"/>
      <c r="D631" s="191" t="str">
        <f>серпень!D554</f>
        <v>сума, тис.грн.</v>
      </c>
      <c r="E631" s="52"/>
      <c r="F631" s="52">
        <f t="shared" ref="F631:K631" si="667">F648+F678</f>
        <v>0</v>
      </c>
      <c r="G631" s="52">
        <f t="shared" si="667"/>
        <v>0</v>
      </c>
      <c r="H631" s="52">
        <f t="shared" si="667"/>
        <v>0</v>
      </c>
      <c r="I631" s="52">
        <f t="shared" si="667"/>
        <v>0</v>
      </c>
      <c r="J631" s="52">
        <f t="shared" si="667"/>
        <v>0</v>
      </c>
      <c r="K631" s="52">
        <f t="shared" si="667"/>
        <v>0</v>
      </c>
      <c r="L631" s="69">
        <f>SUM(F631:K631)</f>
        <v>0</v>
      </c>
      <c r="M631" s="69">
        <f>L631/6</f>
        <v>0</v>
      </c>
      <c r="N631" s="52">
        <f t="shared" ref="N631:S631" si="668">N648+N678</f>
        <v>0</v>
      </c>
      <c r="O631" s="52">
        <f t="shared" si="668"/>
        <v>0</v>
      </c>
      <c r="P631" s="52">
        <f t="shared" si="668"/>
        <v>0</v>
      </c>
      <c r="Q631" s="52">
        <f t="shared" si="668"/>
        <v>0</v>
      </c>
      <c r="R631" s="52">
        <f t="shared" si="668"/>
        <v>0</v>
      </c>
      <c r="S631" s="52">
        <f t="shared" si="668"/>
        <v>0</v>
      </c>
      <c r="T631" s="69">
        <f>SUM(N631:S631)</f>
        <v>0</v>
      </c>
      <c r="U631" s="69">
        <f>T631+L631</f>
        <v>0</v>
      </c>
      <c r="V631" s="69">
        <f>V648+V678</f>
        <v>0</v>
      </c>
      <c r="W631" s="52">
        <f>V631-U631</f>
        <v>0</v>
      </c>
    </row>
    <row r="632" spans="1:28" s="130" customFormat="1" ht="18" hidden="1" customHeight="1">
      <c r="A632" s="673"/>
      <c r="B632" s="581"/>
      <c r="C632" s="581"/>
      <c r="D632" s="174" t="str">
        <f>серпень!D555</f>
        <v>абоненська плата, тис.грн.</v>
      </c>
      <c r="E632" s="52"/>
      <c r="F632" s="52">
        <f>F663+F693</f>
        <v>0</v>
      </c>
      <c r="G632" s="52">
        <f t="shared" ref="G632:K632" si="669">G663+G693</f>
        <v>0</v>
      </c>
      <c r="H632" s="52">
        <f t="shared" si="669"/>
        <v>0</v>
      </c>
      <c r="I632" s="52">
        <f t="shared" si="669"/>
        <v>0</v>
      </c>
      <c r="J632" s="52">
        <f t="shared" si="669"/>
        <v>0</v>
      </c>
      <c r="K632" s="52">
        <f t="shared" si="669"/>
        <v>0</v>
      </c>
      <c r="L632" s="69">
        <f t="shared" ref="L632:L633" si="670">SUM(F632:K632)</f>
        <v>0</v>
      </c>
      <c r="M632" s="69">
        <f t="shared" ref="M632:M633" si="671">L632/6</f>
        <v>0</v>
      </c>
      <c r="N632" s="52">
        <f t="shared" ref="N632:S632" si="672">N663+N693</f>
        <v>0</v>
      </c>
      <c r="O632" s="52">
        <f t="shared" si="672"/>
        <v>0</v>
      </c>
      <c r="P632" s="52">
        <f t="shared" si="672"/>
        <v>0</v>
      </c>
      <c r="Q632" s="52">
        <f t="shared" si="672"/>
        <v>0</v>
      </c>
      <c r="R632" s="52">
        <f t="shared" si="672"/>
        <v>0</v>
      </c>
      <c r="S632" s="52">
        <f t="shared" si="672"/>
        <v>0</v>
      </c>
      <c r="T632" s="69">
        <f t="shared" ref="T632:T633" si="673">SUM(N632:S632)</f>
        <v>0</v>
      </c>
      <c r="U632" s="69">
        <f t="shared" ref="U632:U633" si="674">T632+L632</f>
        <v>0</v>
      </c>
      <c r="V632" s="69">
        <f t="shared" ref="V632" si="675">V663+V693</f>
        <v>0</v>
      </c>
      <c r="W632" s="52">
        <f t="shared" ref="W632:W633" si="676">V632-U632</f>
        <v>0</v>
      </c>
    </row>
    <row r="633" spans="1:28" s="130" customFormat="1" ht="18" hidden="1" customHeight="1">
      <c r="A633" s="673"/>
      <c r="B633" s="581"/>
      <c r="C633" s="581"/>
      <c r="D633" s="174" t="str">
        <f>серпень!D556</f>
        <v>разом сума тис. грн+абонплата</v>
      </c>
      <c r="E633" s="52"/>
      <c r="F633" s="52">
        <f>F631+F632</f>
        <v>0</v>
      </c>
      <c r="G633" s="52">
        <f t="shared" ref="G633:K633" si="677">G631+G632</f>
        <v>0</v>
      </c>
      <c r="H633" s="52">
        <f t="shared" si="677"/>
        <v>0</v>
      </c>
      <c r="I633" s="52">
        <f t="shared" si="677"/>
        <v>0</v>
      </c>
      <c r="J633" s="52">
        <f t="shared" si="677"/>
        <v>0</v>
      </c>
      <c r="K633" s="52">
        <f t="shared" si="677"/>
        <v>0</v>
      </c>
      <c r="L633" s="69">
        <f t="shared" si="670"/>
        <v>0</v>
      </c>
      <c r="M633" s="69">
        <f t="shared" si="671"/>
        <v>0</v>
      </c>
      <c r="N633" s="52">
        <f t="shared" ref="N633" si="678">N631+N632</f>
        <v>0</v>
      </c>
      <c r="O633" s="52">
        <f t="shared" ref="O633" si="679">O631+O632</f>
        <v>0</v>
      </c>
      <c r="P633" s="52">
        <f t="shared" ref="P633" si="680">P631+P632</f>
        <v>0</v>
      </c>
      <c r="Q633" s="52">
        <f t="shared" ref="Q633" si="681">Q631+Q632</f>
        <v>0</v>
      </c>
      <c r="R633" s="52">
        <f t="shared" ref="R633" si="682">R631+R632</f>
        <v>0</v>
      </c>
      <c r="S633" s="52">
        <f t="shared" ref="S633" si="683">S631+S632</f>
        <v>0</v>
      </c>
      <c r="T633" s="69">
        <f t="shared" si="673"/>
        <v>0</v>
      </c>
      <c r="U633" s="69">
        <f t="shared" si="674"/>
        <v>0</v>
      </c>
      <c r="V633" s="69">
        <f t="shared" ref="V633" si="684">V631+V632</f>
        <v>0</v>
      </c>
      <c r="W633" s="52">
        <f t="shared" si="676"/>
        <v>0</v>
      </c>
    </row>
    <row r="634" spans="1:28" s="130" customFormat="1" ht="18" hidden="1" customHeight="1">
      <c r="A634" s="673"/>
      <c r="B634" s="581"/>
      <c r="C634" s="581"/>
      <c r="D634" s="174" t="str">
        <f>серпень!D557</f>
        <v>дотація</v>
      </c>
      <c r="E634" s="56"/>
      <c r="F634" s="52">
        <f t="shared" ref="F634:K635" si="685">F649+F679</f>
        <v>0</v>
      </c>
      <c r="G634" s="52">
        <f t="shared" si="685"/>
        <v>0</v>
      </c>
      <c r="H634" s="52">
        <f t="shared" si="685"/>
        <v>0</v>
      </c>
      <c r="I634" s="52">
        <f t="shared" si="685"/>
        <v>0</v>
      </c>
      <c r="J634" s="52">
        <f t="shared" si="685"/>
        <v>0</v>
      </c>
      <c r="K634" s="52">
        <f t="shared" si="685"/>
        <v>0</v>
      </c>
      <c r="L634" s="69">
        <f>SUM(F634:K634)</f>
        <v>0</v>
      </c>
      <c r="M634" s="69">
        <f>L634/6</f>
        <v>0</v>
      </c>
      <c r="N634" s="52">
        <f t="shared" ref="N634:S635" si="686">N649+N679</f>
        <v>0</v>
      </c>
      <c r="O634" s="52">
        <f t="shared" si="686"/>
        <v>0</v>
      </c>
      <c r="P634" s="52">
        <f t="shared" si="686"/>
        <v>0</v>
      </c>
      <c r="Q634" s="52">
        <f t="shared" si="686"/>
        <v>0</v>
      </c>
      <c r="R634" s="52">
        <f t="shared" si="686"/>
        <v>0</v>
      </c>
      <c r="S634" s="52">
        <f t="shared" si="686"/>
        <v>0</v>
      </c>
      <c r="T634" s="69">
        <f>SUM(N634:S634)</f>
        <v>0</v>
      </c>
      <c r="U634" s="69">
        <f>T634+L634</f>
        <v>0</v>
      </c>
      <c r="V634" s="69">
        <f>V649+V679</f>
        <v>0</v>
      </c>
      <c r="W634" s="52">
        <f>V634-U634</f>
        <v>0</v>
      </c>
    </row>
    <row r="635" spans="1:28" s="130" customFormat="1" ht="18" hidden="1" customHeight="1">
      <c r="A635" s="673"/>
      <c r="B635" s="581"/>
      <c r="C635" s="581"/>
      <c r="D635" s="174" t="str">
        <f>серпень!D558</f>
        <v>місцевий (план), тис.грн</v>
      </c>
      <c r="E635" s="56"/>
      <c r="F635" s="52">
        <f t="shared" si="685"/>
        <v>0</v>
      </c>
      <c r="G635" s="52">
        <f t="shared" si="685"/>
        <v>0</v>
      </c>
      <c r="H635" s="52">
        <f t="shared" si="685"/>
        <v>0</v>
      </c>
      <c r="I635" s="52">
        <f t="shared" si="685"/>
        <v>0</v>
      </c>
      <c r="J635" s="52">
        <f t="shared" si="685"/>
        <v>0</v>
      </c>
      <c r="K635" s="52">
        <f t="shared" si="685"/>
        <v>0</v>
      </c>
      <c r="L635" s="69">
        <f>SUM(F635:K635)</f>
        <v>0</v>
      </c>
      <c r="M635" s="69">
        <f>L635/6</f>
        <v>0</v>
      </c>
      <c r="N635" s="52">
        <f t="shared" si="686"/>
        <v>0</v>
      </c>
      <c r="O635" s="52">
        <f t="shared" si="686"/>
        <v>0</v>
      </c>
      <c r="P635" s="52">
        <f t="shared" si="686"/>
        <v>0</v>
      </c>
      <c r="Q635" s="52">
        <f t="shared" si="686"/>
        <v>0</v>
      </c>
      <c r="R635" s="52">
        <f t="shared" si="686"/>
        <v>0</v>
      </c>
      <c r="S635" s="52">
        <f t="shared" si="686"/>
        <v>0</v>
      </c>
      <c r="T635" s="69">
        <f>SUM(N635:S635)</f>
        <v>0</v>
      </c>
      <c r="U635" s="69">
        <f>T635+L635</f>
        <v>0</v>
      </c>
      <c r="V635" s="69">
        <f>V650+V680</f>
        <v>0</v>
      </c>
      <c r="W635" s="52">
        <f>V635-U635</f>
        <v>0</v>
      </c>
    </row>
    <row r="636" spans="1:28" s="48" customFormat="1" ht="18" hidden="1" customHeight="1">
      <c r="A636" s="673"/>
      <c r="B636" s="581"/>
      <c r="C636" s="581"/>
      <c r="D636" s="178" t="str">
        <f>серпень!D559</f>
        <v>касові нат.п-ки 2025</v>
      </c>
      <c r="E636" s="11"/>
      <c r="F636" s="349">
        <f>F651</f>
        <v>0</v>
      </c>
      <c r="G636" s="349">
        <f t="shared" ref="G636:K636" si="687">G651</f>
        <v>0</v>
      </c>
      <c r="H636" s="349">
        <f t="shared" si="687"/>
        <v>0</v>
      </c>
      <c r="I636" s="349">
        <f t="shared" si="687"/>
        <v>0</v>
      </c>
      <c r="J636" s="349">
        <f t="shared" si="687"/>
        <v>0</v>
      </c>
      <c r="K636" s="349">
        <f t="shared" si="687"/>
        <v>0</v>
      </c>
      <c r="L636" s="465">
        <f>SUM(F636:K636)</f>
        <v>0</v>
      </c>
      <c r="M636" s="465">
        <f>L636/6</f>
        <v>0</v>
      </c>
      <c r="N636" s="350">
        <f>N651</f>
        <v>0</v>
      </c>
      <c r="O636" s="349">
        <f t="shared" ref="O636:S636" si="688">O651</f>
        <v>0</v>
      </c>
      <c r="P636" s="349">
        <f t="shared" si="688"/>
        <v>0</v>
      </c>
      <c r="Q636" s="349">
        <f t="shared" si="688"/>
        <v>0</v>
      </c>
      <c r="R636" s="11">
        <f t="shared" si="688"/>
        <v>0</v>
      </c>
      <c r="S636" s="11">
        <f t="shared" si="688"/>
        <v>0</v>
      </c>
      <c r="T636" s="465">
        <f>SUM(N636:S636)</f>
        <v>0</v>
      </c>
      <c r="U636" s="465">
        <f>T636+L636</f>
        <v>0</v>
      </c>
      <c r="V636" s="38">
        <f>V651+V681</f>
        <v>0</v>
      </c>
      <c r="W636" s="38">
        <f>V636-U636</f>
        <v>0</v>
      </c>
      <c r="X636" s="47">
        <f>U629-U636</f>
        <v>0</v>
      </c>
    </row>
    <row r="637" spans="1:28" s="51" customFormat="1" ht="18" hidden="1" customHeight="1">
      <c r="A637" s="673"/>
      <c r="B637" s="581"/>
      <c r="C637" s="581"/>
      <c r="D637" s="187" t="str">
        <f>серпень!D560</f>
        <v>тариф, грн.</v>
      </c>
      <c r="E637" s="49" t="e">
        <f>E638/E636*1000</f>
        <v>#DIV/0!</v>
      </c>
      <c r="F637" s="49" t="e">
        <f t="shared" ref="F637:W637" si="689">F638/F636*1000</f>
        <v>#DIV/0!</v>
      </c>
      <c r="G637" s="49" t="e">
        <f t="shared" si="689"/>
        <v>#DIV/0!</v>
      </c>
      <c r="H637" s="49" t="e">
        <f t="shared" si="689"/>
        <v>#DIV/0!</v>
      </c>
      <c r="I637" s="49" t="e">
        <f t="shared" si="689"/>
        <v>#DIV/0!</v>
      </c>
      <c r="J637" s="49" t="e">
        <f t="shared" si="689"/>
        <v>#DIV/0!</v>
      </c>
      <c r="K637" s="49" t="e">
        <f t="shared" si="689"/>
        <v>#DIV/0!</v>
      </c>
      <c r="L637" s="49" t="e">
        <f t="shared" si="689"/>
        <v>#DIV/0!</v>
      </c>
      <c r="M637" s="49" t="e">
        <f t="shared" si="689"/>
        <v>#DIV/0!</v>
      </c>
      <c r="N637" s="49" t="e">
        <f t="shared" si="689"/>
        <v>#DIV/0!</v>
      </c>
      <c r="O637" s="49" t="e">
        <f t="shared" si="689"/>
        <v>#DIV/0!</v>
      </c>
      <c r="P637" s="49" t="e">
        <f t="shared" si="689"/>
        <v>#DIV/0!</v>
      </c>
      <c r="Q637" s="49" t="e">
        <f t="shared" si="689"/>
        <v>#DIV/0!</v>
      </c>
      <c r="R637" s="49" t="e">
        <f t="shared" si="689"/>
        <v>#DIV/0!</v>
      </c>
      <c r="S637" s="49" t="e">
        <f t="shared" si="689"/>
        <v>#DIV/0!</v>
      </c>
      <c r="T637" s="49" t="e">
        <f t="shared" si="689"/>
        <v>#DIV/0!</v>
      </c>
      <c r="U637" s="49" t="e">
        <f t="shared" si="689"/>
        <v>#DIV/0!</v>
      </c>
      <c r="V637" s="49" t="e">
        <f t="shared" si="689"/>
        <v>#DIV/0!</v>
      </c>
      <c r="W637" s="49" t="e">
        <f t="shared" si="689"/>
        <v>#DIV/0!</v>
      </c>
      <c r="X637" s="59"/>
    </row>
    <row r="638" spans="1:28" s="126" customFormat="1" ht="18" hidden="1" customHeight="1">
      <c r="A638" s="673"/>
      <c r="B638" s="581"/>
      <c r="C638" s="581"/>
      <c r="D638" s="198" t="str">
        <f>серпень!D561</f>
        <v>касові видатки, тис.грн.</v>
      </c>
      <c r="E638" s="61"/>
      <c r="F638" s="61">
        <f>F653+F683+F668+F698</f>
        <v>0</v>
      </c>
      <c r="G638" s="61">
        <f t="shared" ref="G638:K643" si="690">G653+G683</f>
        <v>0</v>
      </c>
      <c r="H638" s="61">
        <f t="shared" si="690"/>
        <v>0</v>
      </c>
      <c r="I638" s="61">
        <f t="shared" si="690"/>
        <v>0</v>
      </c>
      <c r="J638" s="61">
        <f t="shared" si="690"/>
        <v>0</v>
      </c>
      <c r="K638" s="61">
        <f t="shared" si="690"/>
        <v>0</v>
      </c>
      <c r="L638" s="61">
        <f>SUM(F638:K638)</f>
        <v>0</v>
      </c>
      <c r="M638" s="61">
        <f>L638/6</f>
        <v>0</v>
      </c>
      <c r="N638" s="61">
        <f t="shared" ref="N638:S643" si="691">N653+N683</f>
        <v>0</v>
      </c>
      <c r="O638" s="61">
        <f t="shared" si="691"/>
        <v>0</v>
      </c>
      <c r="P638" s="61">
        <f t="shared" si="691"/>
        <v>0</v>
      </c>
      <c r="Q638" s="61">
        <f t="shared" si="691"/>
        <v>0</v>
      </c>
      <c r="R638" s="61">
        <f t="shared" si="691"/>
        <v>0</v>
      </c>
      <c r="S638" s="61">
        <f t="shared" si="691"/>
        <v>0</v>
      </c>
      <c r="T638" s="61">
        <f>SUM(N638:S638)</f>
        <v>0</v>
      </c>
      <c r="U638" s="61">
        <f>T638+L638</f>
        <v>0</v>
      </c>
      <c r="V638" s="61">
        <f>V653+V683</f>
        <v>0</v>
      </c>
      <c r="W638" s="72">
        <f>V638-U638</f>
        <v>0</v>
      </c>
      <c r="X638" s="63">
        <f>U631-U638</f>
        <v>0</v>
      </c>
    </row>
    <row r="639" spans="1:28" s="126" customFormat="1" ht="18" hidden="1" customHeight="1">
      <c r="A639" s="673"/>
      <c r="B639" s="581"/>
      <c r="C639" s="581"/>
      <c r="D639" s="201" t="str">
        <f>серпень!D562</f>
        <v>дотація</v>
      </c>
      <c r="E639" s="71"/>
      <c r="F639" s="61">
        <f>F654+F684</f>
        <v>0</v>
      </c>
      <c r="G639" s="61">
        <f t="shared" si="690"/>
        <v>0</v>
      </c>
      <c r="H639" s="61">
        <f t="shared" si="690"/>
        <v>0</v>
      </c>
      <c r="I639" s="61">
        <f t="shared" si="690"/>
        <v>0</v>
      </c>
      <c r="J639" s="61">
        <f t="shared" si="690"/>
        <v>0</v>
      </c>
      <c r="K639" s="61">
        <f t="shared" si="690"/>
        <v>0</v>
      </c>
      <c r="L639" s="61">
        <f>SUM(F639:K639)</f>
        <v>0</v>
      </c>
      <c r="M639" s="61">
        <f>L639/6</f>
        <v>0</v>
      </c>
      <c r="N639" s="61">
        <f t="shared" si="691"/>
        <v>0</v>
      </c>
      <c r="O639" s="61">
        <f t="shared" si="691"/>
        <v>0</v>
      </c>
      <c r="P639" s="61">
        <f t="shared" si="691"/>
        <v>0</v>
      </c>
      <c r="Q639" s="61">
        <f t="shared" si="691"/>
        <v>0</v>
      </c>
      <c r="R639" s="61">
        <f t="shared" si="691"/>
        <v>0</v>
      </c>
      <c r="S639" s="61">
        <f t="shared" si="691"/>
        <v>0</v>
      </c>
      <c r="T639" s="61">
        <f>SUM(N639:S639)</f>
        <v>0</v>
      </c>
      <c r="U639" s="61">
        <f>T639+L639</f>
        <v>0</v>
      </c>
      <c r="V639" s="61">
        <f>V654+V684</f>
        <v>0</v>
      </c>
      <c r="W639" s="72">
        <f>V639-U639</f>
        <v>0</v>
      </c>
      <c r="X639" s="63"/>
    </row>
    <row r="640" spans="1:28" s="126" customFormat="1" ht="18" hidden="1" customHeight="1">
      <c r="A640" s="673"/>
      <c r="B640" s="581"/>
      <c r="C640" s="581"/>
      <c r="D640" s="201" t="str">
        <f>серпень!D563</f>
        <v xml:space="preserve">місцевий </v>
      </c>
      <c r="E640" s="71"/>
      <c r="F640" s="61">
        <f>F655+F685</f>
        <v>0</v>
      </c>
      <c r="G640" s="61">
        <f t="shared" si="690"/>
        <v>0</v>
      </c>
      <c r="H640" s="61">
        <f t="shared" si="690"/>
        <v>0</v>
      </c>
      <c r="I640" s="61">
        <f t="shared" si="690"/>
        <v>0</v>
      </c>
      <c r="J640" s="61">
        <f t="shared" si="690"/>
        <v>0</v>
      </c>
      <c r="K640" s="61">
        <f t="shared" si="690"/>
        <v>0</v>
      </c>
      <c r="L640" s="61">
        <f>SUM(F640:K640)</f>
        <v>0</v>
      </c>
      <c r="M640" s="61">
        <f>L640/6</f>
        <v>0</v>
      </c>
      <c r="N640" s="61">
        <f t="shared" si="691"/>
        <v>0</v>
      </c>
      <c r="O640" s="61">
        <f t="shared" si="691"/>
        <v>0</v>
      </c>
      <c r="P640" s="61">
        <f t="shared" si="691"/>
        <v>0</v>
      </c>
      <c r="Q640" s="61">
        <f t="shared" si="691"/>
        <v>0</v>
      </c>
      <c r="R640" s="61">
        <f t="shared" si="691"/>
        <v>0</v>
      </c>
      <c r="S640" s="61">
        <f t="shared" si="691"/>
        <v>0</v>
      </c>
      <c r="T640" s="61">
        <f>SUM(N640:S640)</f>
        <v>0</v>
      </c>
      <c r="U640" s="61">
        <f>T640+L640</f>
        <v>0</v>
      </c>
      <c r="V640" s="61">
        <f>V655+V685</f>
        <v>0</v>
      </c>
      <c r="W640" s="72">
        <f>V640-U640</f>
        <v>0</v>
      </c>
      <c r="X640" s="63">
        <f>U635-U640</f>
        <v>0</v>
      </c>
    </row>
    <row r="641" spans="1:28" s="43" customFormat="1" ht="18" hidden="1" customHeight="1">
      <c r="A641" s="673"/>
      <c r="B641" s="581"/>
      <c r="C641" s="581"/>
      <c r="D641" s="202" t="str">
        <f>серпень!D564</f>
        <v>план</v>
      </c>
      <c r="E641" s="42"/>
      <c r="F641" s="42">
        <f>F656+F686</f>
        <v>0</v>
      </c>
      <c r="G641" s="42">
        <f t="shared" si="690"/>
        <v>0</v>
      </c>
      <c r="H641" s="42">
        <f t="shared" si="690"/>
        <v>0</v>
      </c>
      <c r="I641" s="42">
        <f t="shared" si="690"/>
        <v>0</v>
      </c>
      <c r="J641" s="42">
        <f t="shared" si="690"/>
        <v>0</v>
      </c>
      <c r="K641" s="42">
        <f t="shared" si="690"/>
        <v>0</v>
      </c>
      <c r="L641" s="42">
        <f>SUM(F641:K641)</f>
        <v>0</v>
      </c>
      <c r="M641" s="42">
        <f>L641/6</f>
        <v>0</v>
      </c>
      <c r="N641" s="42">
        <f t="shared" si="691"/>
        <v>0</v>
      </c>
      <c r="O641" s="42">
        <f t="shared" si="691"/>
        <v>0</v>
      </c>
      <c r="P641" s="42">
        <f t="shared" si="691"/>
        <v>0</v>
      </c>
      <c r="Q641" s="42">
        <f t="shared" si="691"/>
        <v>0</v>
      </c>
      <c r="R641" s="42">
        <f t="shared" si="691"/>
        <v>0</v>
      </c>
      <c r="S641" s="42">
        <f t="shared" si="691"/>
        <v>0</v>
      </c>
      <c r="T641" s="42">
        <f>SUM(N641:S641)</f>
        <v>0</v>
      </c>
      <c r="U641" s="42">
        <f>T641+L641</f>
        <v>0</v>
      </c>
      <c r="V641" s="42">
        <f>V656+V686</f>
        <v>0</v>
      </c>
      <c r="W641" s="42">
        <f>V641-U641</f>
        <v>0</v>
      </c>
    </row>
    <row r="642" spans="1:28" s="43" customFormat="1" ht="18" hidden="1" customHeight="1">
      <c r="A642" s="673"/>
      <c r="B642" s="581"/>
      <c r="C642" s="581"/>
      <c r="D642" s="202" t="str">
        <f>серпень!D565</f>
        <v xml:space="preserve">відхилення </v>
      </c>
      <c r="E642" s="42"/>
      <c r="F642" s="42">
        <f>F657+F687</f>
        <v>0</v>
      </c>
      <c r="G642" s="42">
        <f t="shared" si="690"/>
        <v>0</v>
      </c>
      <c r="H642" s="42">
        <f t="shared" si="690"/>
        <v>0</v>
      </c>
      <c r="I642" s="42">
        <f t="shared" si="690"/>
        <v>0</v>
      </c>
      <c r="J642" s="42">
        <f t="shared" si="690"/>
        <v>0</v>
      </c>
      <c r="K642" s="42">
        <f t="shared" si="690"/>
        <v>0</v>
      </c>
      <c r="L642" s="42"/>
      <c r="M642" s="42"/>
      <c r="N642" s="42">
        <f t="shared" si="691"/>
        <v>0</v>
      </c>
      <c r="O642" s="42">
        <f t="shared" si="691"/>
        <v>0</v>
      </c>
      <c r="P642" s="42">
        <f t="shared" si="691"/>
        <v>0</v>
      </c>
      <c r="Q642" s="42">
        <f t="shared" si="691"/>
        <v>0</v>
      </c>
      <c r="R642" s="42">
        <f t="shared" si="691"/>
        <v>0</v>
      </c>
      <c r="S642" s="42">
        <f t="shared" si="691"/>
        <v>0</v>
      </c>
      <c r="T642" s="42"/>
      <c r="U642" s="42"/>
      <c r="V642" s="42"/>
      <c r="W642" s="42"/>
    </row>
    <row r="643" spans="1:28" s="43" customFormat="1" ht="18" hidden="1" customHeight="1">
      <c r="A643" s="673"/>
      <c r="B643" s="581"/>
      <c r="C643" s="581"/>
      <c r="D643" s="202" t="str">
        <f>серпень!D566</f>
        <v>відхилення з наростаючим</v>
      </c>
      <c r="E643" s="42"/>
      <c r="F643" s="42">
        <f>F658+F688</f>
        <v>0</v>
      </c>
      <c r="G643" s="42">
        <f t="shared" si="690"/>
        <v>0</v>
      </c>
      <c r="H643" s="42">
        <f t="shared" si="690"/>
        <v>0</v>
      </c>
      <c r="I643" s="42">
        <f t="shared" si="690"/>
        <v>0</v>
      </c>
      <c r="J643" s="42">
        <f t="shared" si="690"/>
        <v>0</v>
      </c>
      <c r="K643" s="42">
        <f t="shared" si="690"/>
        <v>0</v>
      </c>
      <c r="L643" s="42"/>
      <c r="M643" s="42"/>
      <c r="N643" s="42">
        <f t="shared" si="691"/>
        <v>0</v>
      </c>
      <c r="O643" s="42">
        <f t="shared" si="691"/>
        <v>0</v>
      </c>
      <c r="P643" s="42">
        <f t="shared" si="691"/>
        <v>0</v>
      </c>
      <c r="Q643" s="42">
        <f t="shared" si="691"/>
        <v>0</v>
      </c>
      <c r="R643" s="42">
        <f t="shared" si="691"/>
        <v>0</v>
      </c>
      <c r="S643" s="42">
        <f t="shared" si="691"/>
        <v>0</v>
      </c>
      <c r="T643" s="42"/>
      <c r="U643" s="42"/>
      <c r="V643" s="42"/>
      <c r="W643" s="42"/>
    </row>
    <row r="644" spans="1:28" s="55" customFormat="1" ht="18" hidden="1" customHeight="1">
      <c r="A644" s="673"/>
      <c r="B644" s="581" t="s">
        <v>67</v>
      </c>
      <c r="C644" s="581"/>
      <c r="D644" s="178" t="str">
        <f>серпень!D567</f>
        <v>факт. нат.п-ки 2023</v>
      </c>
      <c r="E644" s="11"/>
      <c r="F644" s="12"/>
      <c r="G644" s="12"/>
      <c r="H644" s="12"/>
      <c r="I644" s="12"/>
      <c r="J644" s="12"/>
      <c r="K644" s="12"/>
      <c r="L644" s="65">
        <f>SUM(F644:K644)</f>
        <v>0</v>
      </c>
      <c r="M644" s="65">
        <f>L644/6</f>
        <v>0</v>
      </c>
      <c r="N644" s="83"/>
      <c r="O644" s="83"/>
      <c r="P644" s="83"/>
      <c r="Q644" s="83"/>
      <c r="R644" s="83"/>
      <c r="S644" s="83"/>
      <c r="T644" s="65">
        <f>SUM(N644:S644)</f>
        <v>0</v>
      </c>
      <c r="U644" s="118">
        <f>T644+L644</f>
        <v>0</v>
      </c>
      <c r="V644" s="67"/>
      <c r="W644" s="38"/>
      <c r="X644" s="47"/>
      <c r="Y644" s="48"/>
      <c r="Z644" s="48"/>
      <c r="AA644" s="48"/>
      <c r="AB644" s="48"/>
    </row>
    <row r="645" spans="1:28" s="48" customFormat="1" ht="18" hidden="1" customHeight="1">
      <c r="A645" s="673"/>
      <c r="B645" s="581"/>
      <c r="C645" s="581"/>
      <c r="D645" s="178" t="str">
        <f>серпень!D568</f>
        <v>факт. нат.п-ки 2024</v>
      </c>
      <c r="E645" s="11"/>
      <c r="F645" s="12"/>
      <c r="G645" s="12"/>
      <c r="H645" s="12"/>
      <c r="I645" s="12"/>
      <c r="J645" s="12"/>
      <c r="K645" s="12"/>
      <c r="L645" s="65">
        <f>SUM(F645:K645)</f>
        <v>0</v>
      </c>
      <c r="M645" s="65">
        <f>L645/6</f>
        <v>0</v>
      </c>
      <c r="N645" s="83"/>
      <c r="O645" s="83"/>
      <c r="P645" s="83"/>
      <c r="Q645" s="83"/>
      <c r="R645" s="83"/>
      <c r="S645" s="83"/>
      <c r="T645" s="65">
        <f>SUM(N645:S645)</f>
        <v>0</v>
      </c>
      <c r="U645" s="118">
        <f>T645+L645</f>
        <v>0</v>
      </c>
      <c r="V645" s="46"/>
      <c r="W645" s="38"/>
      <c r="X645" s="47"/>
    </row>
    <row r="646" spans="1:28" s="48" customFormat="1" ht="18" hidden="1" customHeight="1">
      <c r="A646" s="673"/>
      <c r="B646" s="581"/>
      <c r="C646" s="581"/>
      <c r="D646" s="178" t="str">
        <f>серпень!D569</f>
        <v>факт. нат.п-ки 2025</v>
      </c>
      <c r="E646" s="11"/>
      <c r="F646" s="351"/>
      <c r="G646" s="351"/>
      <c r="H646" s="351"/>
      <c r="I646" s="351"/>
      <c r="J646" s="351"/>
      <c r="K646" s="351"/>
      <c r="L646" s="465">
        <f>SUM(F646:K646)</f>
        <v>0</v>
      </c>
      <c r="M646" s="465">
        <f>L646/6</f>
        <v>0</v>
      </c>
      <c r="N646" s="348"/>
      <c r="O646" s="348"/>
      <c r="P646" s="348"/>
      <c r="Q646" s="348"/>
      <c r="R646" s="348"/>
      <c r="S646" s="348"/>
      <c r="T646" s="65">
        <f>SUM(N646:S646)</f>
        <v>0</v>
      </c>
      <c r="U646" s="118">
        <f>T646+L646</f>
        <v>0</v>
      </c>
      <c r="V646" s="11"/>
      <c r="W646" s="38">
        <f>V646-U646</f>
        <v>0</v>
      </c>
      <c r="X646" s="47"/>
    </row>
    <row r="647" spans="1:28" s="51" customFormat="1" ht="18" hidden="1" customHeight="1">
      <c r="A647" s="673"/>
      <c r="B647" s="581"/>
      <c r="C647" s="581"/>
      <c r="D647" s="187" t="str">
        <f>серпень!D570</f>
        <v>тариф, грн.</v>
      </c>
      <c r="E647" s="49" t="e">
        <f t="shared" ref="E647" si="692">E648/E646*1000</f>
        <v>#DIV/0!</v>
      </c>
      <c r="F647" s="49">
        <v>152.63999999999999</v>
      </c>
      <c r="G647" s="49">
        <v>152.63999999999999</v>
      </c>
      <c r="H647" s="49">
        <v>152.63999999999999</v>
      </c>
      <c r="I647" s="49">
        <v>152.63999999999999</v>
      </c>
      <c r="J647" s="49">
        <v>152.63999999999999</v>
      </c>
      <c r="K647" s="49">
        <v>152.63999999999999</v>
      </c>
      <c r="L647" s="49" t="e">
        <f>L648/L646*1000</f>
        <v>#DIV/0!</v>
      </c>
      <c r="M647" s="49" t="e">
        <f>M648/M646*1000</f>
        <v>#DIV/0!</v>
      </c>
      <c r="N647" s="49">
        <v>152.63999999999999</v>
      </c>
      <c r="O647" s="49">
        <v>152.63999999999999</v>
      </c>
      <c r="P647" s="49">
        <v>152.63999999999999</v>
      </c>
      <c r="Q647" s="49">
        <v>152.63999999999999</v>
      </c>
      <c r="R647" s="49">
        <v>152.63999999999999</v>
      </c>
      <c r="S647" s="49">
        <v>152.63999999999999</v>
      </c>
      <c r="T647" s="49" t="e">
        <f>T648/T646*1000</f>
        <v>#DIV/0!</v>
      </c>
      <c r="U647" s="49" t="e">
        <f>U648/U646*1000</f>
        <v>#DIV/0!</v>
      </c>
      <c r="V647" s="68" t="e">
        <f>V648/V646*1000</f>
        <v>#DIV/0!</v>
      </c>
      <c r="W647" s="14" t="e">
        <f>W648/W646*1000</f>
        <v>#DIV/0!</v>
      </c>
      <c r="X647" s="59"/>
    </row>
    <row r="648" spans="1:28" s="130" customFormat="1" ht="18" hidden="1" customHeight="1">
      <c r="A648" s="673"/>
      <c r="B648" s="581"/>
      <c r="C648" s="581"/>
      <c r="D648" s="191" t="str">
        <f>серпень!D571</f>
        <v>сума, тис.грн.</v>
      </c>
      <c r="E648" s="52"/>
      <c r="F648" s="52">
        <f>F646*F647/1000</f>
        <v>0</v>
      </c>
      <c r="G648" s="52">
        <f t="shared" ref="G648:K648" si="693">G646*G647/1000</f>
        <v>0</v>
      </c>
      <c r="H648" s="52">
        <f t="shared" si="693"/>
        <v>0</v>
      </c>
      <c r="I648" s="52">
        <f t="shared" si="693"/>
        <v>0</v>
      </c>
      <c r="J648" s="52">
        <f t="shared" si="693"/>
        <v>0</v>
      </c>
      <c r="K648" s="52">
        <f t="shared" si="693"/>
        <v>0</v>
      </c>
      <c r="L648" s="69">
        <f>SUM(F648:K648)</f>
        <v>0</v>
      </c>
      <c r="M648" s="69">
        <f>L648/6</f>
        <v>0</v>
      </c>
      <c r="N648" s="52">
        <f>N646*N647/1000</f>
        <v>0</v>
      </c>
      <c r="O648" s="52">
        <f t="shared" ref="O648" si="694">O646*O647/1000</f>
        <v>0</v>
      </c>
      <c r="P648" s="52">
        <f t="shared" ref="P648" si="695">P646*P647/1000</f>
        <v>0</v>
      </c>
      <c r="Q648" s="52">
        <f t="shared" ref="Q648" si="696">Q646*Q647/1000</f>
        <v>0</v>
      </c>
      <c r="R648" s="52">
        <f t="shared" ref="R648" si="697">R646*R647/1000</f>
        <v>0</v>
      </c>
      <c r="S648" s="52">
        <f t="shared" ref="S648" si="698">S646*S647/1000</f>
        <v>0</v>
      </c>
      <c r="T648" s="69">
        <f>SUM(N648:S648)</f>
        <v>0</v>
      </c>
      <c r="U648" s="69">
        <f>T648+L648</f>
        <v>0</v>
      </c>
      <c r="V648" s="70">
        <f>V649+V650</f>
        <v>0</v>
      </c>
      <c r="W648" s="53">
        <f>V648-U648</f>
        <v>0</v>
      </c>
    </row>
    <row r="649" spans="1:28" s="130" customFormat="1" ht="18" hidden="1" customHeight="1">
      <c r="A649" s="673"/>
      <c r="B649" s="581"/>
      <c r="C649" s="581"/>
      <c r="D649" s="174" t="str">
        <f>серпень!D572</f>
        <v>дотація</v>
      </c>
      <c r="E649" s="56"/>
      <c r="F649" s="52"/>
      <c r="G649" s="52"/>
      <c r="H649" s="52"/>
      <c r="I649" s="52"/>
      <c r="J649" s="52"/>
      <c r="K649" s="52"/>
      <c r="L649" s="69">
        <f>SUM(F649:K649)</f>
        <v>0</v>
      </c>
      <c r="M649" s="69">
        <f>L649/6</f>
        <v>0</v>
      </c>
      <c r="N649" s="52"/>
      <c r="O649" s="52"/>
      <c r="P649" s="52"/>
      <c r="Q649" s="52"/>
      <c r="R649" s="52"/>
      <c r="S649" s="52"/>
      <c r="T649" s="69">
        <f>SUM(N649:S649)</f>
        <v>0</v>
      </c>
      <c r="U649" s="69">
        <f>T649+L649</f>
        <v>0</v>
      </c>
      <c r="V649" s="70">
        <v>0</v>
      </c>
      <c r="W649" s="53">
        <f>V649-U649</f>
        <v>0</v>
      </c>
    </row>
    <row r="650" spans="1:28" s="130" customFormat="1" ht="18" hidden="1" customHeight="1">
      <c r="A650" s="673"/>
      <c r="B650" s="581"/>
      <c r="C650" s="581"/>
      <c r="D650" s="174" t="str">
        <f>серпень!D573</f>
        <v>місцевий (план), тис.грн</v>
      </c>
      <c r="E650" s="56"/>
      <c r="F650" s="52"/>
      <c r="G650" s="52"/>
      <c r="H650" s="52"/>
      <c r="I650" s="52"/>
      <c r="J650" s="52"/>
      <c r="K650" s="52"/>
      <c r="L650" s="69">
        <f>SUM(F650:K650)</f>
        <v>0</v>
      </c>
      <c r="M650" s="69">
        <f>L650/6</f>
        <v>0</v>
      </c>
      <c r="N650" s="52"/>
      <c r="O650" s="52"/>
      <c r="P650" s="52"/>
      <c r="Q650" s="52"/>
      <c r="R650" s="52"/>
      <c r="S650" s="52"/>
      <c r="T650" s="69">
        <f>SUM(N650:S650)</f>
        <v>0</v>
      </c>
      <c r="U650" s="69">
        <f>T650+L650</f>
        <v>0</v>
      </c>
      <c r="V650" s="70">
        <v>0</v>
      </c>
      <c r="W650" s="53">
        <f>V650-U650</f>
        <v>0</v>
      </c>
    </row>
    <row r="651" spans="1:28" s="48" customFormat="1" ht="18" hidden="1" customHeight="1">
      <c r="A651" s="673"/>
      <c r="B651" s="581"/>
      <c r="C651" s="581"/>
      <c r="D651" s="178" t="str">
        <f>серпень!D574</f>
        <v>касові нат.п-ки 2025</v>
      </c>
      <c r="E651" s="11"/>
      <c r="F651" s="441"/>
      <c r="G651" s="351"/>
      <c r="H651" s="351"/>
      <c r="I651" s="351"/>
      <c r="J651" s="351"/>
      <c r="K651" s="351"/>
      <c r="L651" s="465">
        <f>SUM(F651:K651)</f>
        <v>0</v>
      </c>
      <c r="M651" s="465">
        <f>L651/6</f>
        <v>0</v>
      </c>
      <c r="N651" s="348"/>
      <c r="O651" s="348"/>
      <c r="P651" s="348"/>
      <c r="Q651" s="348"/>
      <c r="R651" s="348"/>
      <c r="S651" s="348"/>
      <c r="T651" s="65">
        <f>SUM(N651:S651)</f>
        <v>0</v>
      </c>
      <c r="U651" s="65">
        <f>T651+L651</f>
        <v>0</v>
      </c>
      <c r="V651" s="11">
        <f>V646</f>
        <v>0</v>
      </c>
      <c r="W651" s="38">
        <f>V651-U651</f>
        <v>0</v>
      </c>
      <c r="X651" s="47">
        <f>U646-U651</f>
        <v>0</v>
      </c>
    </row>
    <row r="652" spans="1:28" s="51" customFormat="1" ht="18" hidden="1" customHeight="1">
      <c r="A652" s="673"/>
      <c r="B652" s="581"/>
      <c r="C652" s="581"/>
      <c r="D652" s="187" t="str">
        <f>серпень!D575</f>
        <v>тариф, грн.</v>
      </c>
      <c r="E652" s="49" t="e">
        <f t="shared" ref="E652" si="699">E653/E651*1000</f>
        <v>#DIV/0!</v>
      </c>
      <c r="F652" s="49">
        <v>152.63999999999999</v>
      </c>
      <c r="G652" s="49">
        <v>152.63999999999999</v>
      </c>
      <c r="H652" s="49">
        <v>152.63999999999999</v>
      </c>
      <c r="I652" s="49">
        <v>152.63999999999999</v>
      </c>
      <c r="J652" s="49">
        <v>152.63999999999999</v>
      </c>
      <c r="K652" s="49">
        <v>152.63999999999999</v>
      </c>
      <c r="L652" s="49" t="e">
        <f>L653/L651*1000</f>
        <v>#DIV/0!</v>
      </c>
      <c r="M652" s="49" t="e">
        <f>M653/M651*1000</f>
        <v>#DIV/0!</v>
      </c>
      <c r="N652" s="49">
        <v>152.63999999999999</v>
      </c>
      <c r="O652" s="49">
        <v>152.63999999999999</v>
      </c>
      <c r="P652" s="49">
        <v>152.63999999999999</v>
      </c>
      <c r="Q652" s="49">
        <v>152.63999999999999</v>
      </c>
      <c r="R652" s="49">
        <v>152.63999999999999</v>
      </c>
      <c r="S652" s="49">
        <v>152.63999999999999</v>
      </c>
      <c r="T652" s="49" t="e">
        <f>T653/T651*1000</f>
        <v>#DIV/0!</v>
      </c>
      <c r="U652" s="49" t="e">
        <f>U653/U651*1000</f>
        <v>#DIV/0!</v>
      </c>
      <c r="V652" s="68" t="e">
        <f>V653/V651*1000</f>
        <v>#DIV/0!</v>
      </c>
      <c r="W652" s="14" t="e">
        <f>W653/W651*1000</f>
        <v>#DIV/0!</v>
      </c>
      <c r="X652" s="59"/>
    </row>
    <row r="653" spans="1:28" s="126" customFormat="1" ht="18" hidden="1" customHeight="1">
      <c r="A653" s="673"/>
      <c r="B653" s="581"/>
      <c r="C653" s="581"/>
      <c r="D653" s="198" t="str">
        <f>серпень!D576</f>
        <v>касові видатки, тис.грн.</v>
      </c>
      <c r="E653" s="71"/>
      <c r="F653" s="61">
        <f>F651*F652/1000</f>
        <v>0</v>
      </c>
      <c r="G653" s="61">
        <f t="shared" ref="G653" si="700">G651*G652/1000</f>
        <v>0</v>
      </c>
      <c r="H653" s="61">
        <f t="shared" ref="H653" si="701">H651*H652/1000</f>
        <v>0</v>
      </c>
      <c r="I653" s="61">
        <f t="shared" ref="I653" si="702">I651*I652/1000</f>
        <v>0</v>
      </c>
      <c r="J653" s="61">
        <f t="shared" ref="J653" si="703">J651*J652/1000</f>
        <v>0</v>
      </c>
      <c r="K653" s="61">
        <f t="shared" ref="K653" si="704">K651*K652/1000</f>
        <v>0</v>
      </c>
      <c r="L653" s="61">
        <f>SUM(F653:K653)</f>
        <v>0</v>
      </c>
      <c r="M653" s="61">
        <f>L653/6</f>
        <v>0</v>
      </c>
      <c r="N653" s="61">
        <f>N651*N652/1000</f>
        <v>0</v>
      </c>
      <c r="O653" s="61">
        <f t="shared" ref="O653" si="705">O651*O652/1000</f>
        <v>0</v>
      </c>
      <c r="P653" s="61">
        <f t="shared" ref="P653" si="706">P651*P652/1000</f>
        <v>0</v>
      </c>
      <c r="Q653" s="61">
        <f t="shared" ref="Q653" si="707">Q651*Q652/1000</f>
        <v>0</v>
      </c>
      <c r="R653" s="61">
        <f t="shared" ref="R653" si="708">R651*R652/1000</f>
        <v>0</v>
      </c>
      <c r="S653" s="61">
        <f t="shared" ref="S653" si="709">S651*S652/1000</f>
        <v>0</v>
      </c>
      <c r="T653" s="61">
        <f>SUM(N653:S653)</f>
        <v>0</v>
      </c>
      <c r="U653" s="61">
        <f>T653+L653</f>
        <v>0</v>
      </c>
      <c r="V653" s="61">
        <f>V648</f>
        <v>0</v>
      </c>
      <c r="W653" s="72">
        <f>V653-U653</f>
        <v>0</v>
      </c>
      <c r="X653" s="63">
        <f>U648-U653</f>
        <v>0</v>
      </c>
    </row>
    <row r="654" spans="1:28" s="126" customFormat="1" ht="18" hidden="1" customHeight="1">
      <c r="A654" s="673"/>
      <c r="B654" s="581"/>
      <c r="C654" s="581"/>
      <c r="D654" s="201" t="str">
        <f>серпень!D577</f>
        <v>дотація</v>
      </c>
      <c r="E654" s="71"/>
      <c r="F654" s="61"/>
      <c r="G654" s="61"/>
      <c r="H654" s="61"/>
      <c r="I654" s="61"/>
      <c r="J654" s="61"/>
      <c r="K654" s="61"/>
      <c r="L654" s="61">
        <f>SUM(F654:K654)</f>
        <v>0</v>
      </c>
      <c r="M654" s="61">
        <f>L654/6</f>
        <v>0</v>
      </c>
      <c r="N654" s="61"/>
      <c r="O654" s="61"/>
      <c r="P654" s="61"/>
      <c r="Q654" s="61"/>
      <c r="R654" s="61"/>
      <c r="S654" s="61"/>
      <c r="T654" s="61">
        <f>SUM(N654:S654)</f>
        <v>0</v>
      </c>
      <c r="U654" s="61">
        <f>T654+L654</f>
        <v>0</v>
      </c>
      <c r="V654" s="61">
        <f>V649</f>
        <v>0</v>
      </c>
      <c r="W654" s="72">
        <f>V654-U654</f>
        <v>0</v>
      </c>
      <c r="X654" s="63"/>
    </row>
    <row r="655" spans="1:28" s="126" customFormat="1" ht="18" hidden="1" customHeight="1">
      <c r="A655" s="673"/>
      <c r="B655" s="581"/>
      <c r="C655" s="581"/>
      <c r="D655" s="201" t="str">
        <f>серпень!D578</f>
        <v xml:space="preserve">місцевий </v>
      </c>
      <c r="E655" s="71"/>
      <c r="F655" s="61">
        <f t="shared" ref="F655:K655" si="710">F653-F654</f>
        <v>0</v>
      </c>
      <c r="G655" s="61">
        <f t="shared" si="710"/>
        <v>0</v>
      </c>
      <c r="H655" s="61">
        <f t="shared" si="710"/>
        <v>0</v>
      </c>
      <c r="I655" s="61">
        <f t="shared" si="710"/>
        <v>0</v>
      </c>
      <c r="J655" s="61">
        <f t="shared" si="710"/>
        <v>0</v>
      </c>
      <c r="K655" s="61">
        <f t="shared" si="710"/>
        <v>0</v>
      </c>
      <c r="L655" s="61">
        <f>SUM(F655:K655)</f>
        <v>0</v>
      </c>
      <c r="M655" s="61">
        <f>L655/6</f>
        <v>0</v>
      </c>
      <c r="N655" s="61">
        <f t="shared" ref="N655:S655" si="711">N653-N654</f>
        <v>0</v>
      </c>
      <c r="O655" s="61">
        <f t="shared" si="711"/>
        <v>0</v>
      </c>
      <c r="P655" s="61">
        <f t="shared" si="711"/>
        <v>0</v>
      </c>
      <c r="Q655" s="61">
        <f t="shared" si="711"/>
        <v>0</v>
      </c>
      <c r="R655" s="61">
        <f t="shared" si="711"/>
        <v>0</v>
      </c>
      <c r="S655" s="61">
        <f t="shared" si="711"/>
        <v>0</v>
      </c>
      <c r="T655" s="61">
        <f>SUM(N655:S655)</f>
        <v>0</v>
      </c>
      <c r="U655" s="61">
        <f>T655+L655</f>
        <v>0</v>
      </c>
      <c r="V655" s="61">
        <f>V650</f>
        <v>0</v>
      </c>
      <c r="W655" s="72">
        <f>V655-U655</f>
        <v>0</v>
      </c>
      <c r="X655" s="63">
        <f>U650-U655</f>
        <v>0</v>
      </c>
    </row>
    <row r="656" spans="1:28" s="43" customFormat="1" ht="18" hidden="1" customHeight="1">
      <c r="A656" s="673"/>
      <c r="B656" s="581"/>
      <c r="C656" s="581"/>
      <c r="D656" s="202" t="str">
        <f>серпень!D579</f>
        <v>план</v>
      </c>
      <c r="E656" s="42"/>
      <c r="F656" s="42">
        <f t="shared" ref="F656:K656" si="712">F650</f>
        <v>0</v>
      </c>
      <c r="G656" s="42">
        <f t="shared" si="712"/>
        <v>0</v>
      </c>
      <c r="H656" s="42">
        <f t="shared" si="712"/>
        <v>0</v>
      </c>
      <c r="I656" s="42">
        <f t="shared" si="712"/>
        <v>0</v>
      </c>
      <c r="J656" s="42">
        <f t="shared" si="712"/>
        <v>0</v>
      </c>
      <c r="K656" s="42">
        <f t="shared" si="712"/>
        <v>0</v>
      </c>
      <c r="L656" s="42">
        <f>SUM(F656:K656)</f>
        <v>0</v>
      </c>
      <c r="M656" s="42">
        <f>L656/6</f>
        <v>0</v>
      </c>
      <c r="N656" s="42">
        <f t="shared" ref="N656:S656" si="713">N650+N649</f>
        <v>0</v>
      </c>
      <c r="O656" s="42">
        <f t="shared" si="713"/>
        <v>0</v>
      </c>
      <c r="P656" s="42">
        <f t="shared" si="713"/>
        <v>0</v>
      </c>
      <c r="Q656" s="42">
        <f t="shared" si="713"/>
        <v>0</v>
      </c>
      <c r="R656" s="42">
        <f t="shared" si="713"/>
        <v>0</v>
      </c>
      <c r="S656" s="42">
        <f t="shared" si="713"/>
        <v>0</v>
      </c>
      <c r="T656" s="42">
        <f>SUM(N656:S656)</f>
        <v>0</v>
      </c>
      <c r="U656" s="42">
        <f>T656+L656</f>
        <v>0</v>
      </c>
      <c r="V656" s="42">
        <f>V653</f>
        <v>0</v>
      </c>
      <c r="W656" s="42">
        <f>V656-U656</f>
        <v>0</v>
      </c>
    </row>
    <row r="657" spans="1:28" s="43" customFormat="1" ht="17.55" hidden="1" customHeight="1">
      <c r="A657" s="673"/>
      <c r="B657" s="581"/>
      <c r="C657" s="581"/>
      <c r="D657" s="202" t="str">
        <f>серпень!D580</f>
        <v xml:space="preserve">відхилення </v>
      </c>
      <c r="E657" s="42"/>
      <c r="F657" s="42">
        <f t="shared" ref="F657:K657" si="714">F653-F656</f>
        <v>0</v>
      </c>
      <c r="G657" s="42">
        <f t="shared" si="714"/>
        <v>0</v>
      </c>
      <c r="H657" s="42">
        <f t="shared" si="714"/>
        <v>0</v>
      </c>
      <c r="I657" s="42">
        <f t="shared" si="714"/>
        <v>0</v>
      </c>
      <c r="J657" s="42">
        <f t="shared" si="714"/>
        <v>0</v>
      </c>
      <c r="K657" s="42">
        <f t="shared" si="714"/>
        <v>0</v>
      </c>
      <c r="L657" s="42"/>
      <c r="M657" s="42"/>
      <c r="N657" s="42">
        <f t="shared" ref="N657:S657" si="715">N653-N656</f>
        <v>0</v>
      </c>
      <c r="O657" s="42">
        <f t="shared" si="715"/>
        <v>0</v>
      </c>
      <c r="P657" s="42">
        <f t="shared" si="715"/>
        <v>0</v>
      </c>
      <c r="Q657" s="42">
        <f t="shared" si="715"/>
        <v>0</v>
      </c>
      <c r="R657" s="42">
        <f t="shared" si="715"/>
        <v>0</v>
      </c>
      <c r="S657" s="42">
        <f t="shared" si="715"/>
        <v>0</v>
      </c>
      <c r="T657" s="42"/>
      <c r="U657" s="42"/>
      <c r="V657" s="42"/>
      <c r="W657" s="42"/>
    </row>
    <row r="658" spans="1:28" s="43" customFormat="1" ht="18" hidden="1" customHeight="1">
      <c r="A658" s="673"/>
      <c r="B658" s="581"/>
      <c r="C658" s="581"/>
      <c r="D658" s="202" t="str">
        <f>серпень!D581</f>
        <v>відхилення з наростаючим</v>
      </c>
      <c r="E658" s="42"/>
      <c r="F658" s="42">
        <f>F657</f>
        <v>0</v>
      </c>
      <c r="G658" s="42">
        <f>G657+F658</f>
        <v>0</v>
      </c>
      <c r="H658" s="42">
        <f>H657+G658</f>
        <v>0</v>
      </c>
      <c r="I658" s="42">
        <f>I657+H658</f>
        <v>0</v>
      </c>
      <c r="J658" s="42">
        <f>J657+I658</f>
        <v>0</v>
      </c>
      <c r="K658" s="42">
        <f>K657+J658</f>
        <v>0</v>
      </c>
      <c r="L658" s="42"/>
      <c r="M658" s="42"/>
      <c r="N658" s="42">
        <f>N657+K658</f>
        <v>0</v>
      </c>
      <c r="O658" s="42">
        <f>O657+N658</f>
        <v>0</v>
      </c>
      <c r="P658" s="42">
        <f>P657+O658</f>
        <v>0</v>
      </c>
      <c r="Q658" s="42">
        <f>Q657+P658</f>
        <v>0</v>
      </c>
      <c r="R658" s="42">
        <f>R657+Q658</f>
        <v>0</v>
      </c>
      <c r="S658" s="42">
        <f>S657+R658</f>
        <v>0</v>
      </c>
      <c r="T658" s="42"/>
      <c r="U658" s="42"/>
      <c r="V658" s="42"/>
      <c r="W658" s="42"/>
    </row>
    <row r="659" spans="1:28" s="55" customFormat="1" ht="18" hidden="1" customHeight="1">
      <c r="A659" s="673"/>
      <c r="B659" s="654" t="s">
        <v>140</v>
      </c>
      <c r="C659" s="581"/>
      <c r="D659" s="178" t="str">
        <f>серпень!D582</f>
        <v>факт. нат.п-ки 2023</v>
      </c>
      <c r="E659" s="11"/>
      <c r="F659" s="12"/>
      <c r="G659" s="12"/>
      <c r="H659" s="12"/>
      <c r="I659" s="12"/>
      <c r="J659" s="12"/>
      <c r="K659" s="12"/>
      <c r="L659" s="65">
        <f>SUM(F659:K659)</f>
        <v>0</v>
      </c>
      <c r="M659" s="65">
        <f>L659/6</f>
        <v>0</v>
      </c>
      <c r="N659" s="83"/>
      <c r="O659" s="83"/>
      <c r="P659" s="83"/>
      <c r="Q659" s="83"/>
      <c r="R659" s="83"/>
      <c r="S659" s="83"/>
      <c r="T659" s="65">
        <f>SUM(N659:S659)</f>
        <v>0</v>
      </c>
      <c r="U659" s="118">
        <f>T659+L659</f>
        <v>0</v>
      </c>
      <c r="V659" s="67"/>
      <c r="W659" s="38"/>
      <c r="X659" s="47"/>
      <c r="Y659" s="48"/>
      <c r="Z659" s="48"/>
      <c r="AA659" s="48"/>
      <c r="AB659" s="48"/>
    </row>
    <row r="660" spans="1:28" s="48" customFormat="1" ht="18" hidden="1" customHeight="1">
      <c r="A660" s="673"/>
      <c r="B660" s="581"/>
      <c r="C660" s="581"/>
      <c r="D660" s="178" t="str">
        <f>серпень!D583</f>
        <v>факт. нат.п-ки 2024</v>
      </c>
      <c r="E660" s="11"/>
      <c r="F660" s="12"/>
      <c r="G660" s="12"/>
      <c r="H660" s="12"/>
      <c r="I660" s="12"/>
      <c r="J660" s="12"/>
      <c r="K660" s="12"/>
      <c r="L660" s="65">
        <f>SUM(F660:K660)</f>
        <v>0</v>
      </c>
      <c r="M660" s="65">
        <f>L660/6</f>
        <v>0</v>
      </c>
      <c r="N660" s="83"/>
      <c r="O660" s="83"/>
      <c r="P660" s="83"/>
      <c r="Q660" s="83"/>
      <c r="R660" s="83"/>
      <c r="S660" s="83"/>
      <c r="T660" s="65">
        <f>SUM(N660:S660)</f>
        <v>0</v>
      </c>
      <c r="U660" s="118">
        <f>T660+L660</f>
        <v>0</v>
      </c>
      <c r="V660" s="46"/>
      <c r="W660" s="38"/>
      <c r="X660" s="47"/>
    </row>
    <row r="661" spans="1:28" s="48" customFormat="1" ht="18" hidden="1" customHeight="1">
      <c r="A661" s="673"/>
      <c r="B661" s="581"/>
      <c r="C661" s="581"/>
      <c r="D661" s="178" t="str">
        <f>серпень!D584</f>
        <v>факт. нат.п-ки 2025</v>
      </c>
      <c r="E661" s="11"/>
      <c r="F661" s="351"/>
      <c r="G661" s="351"/>
      <c r="H661" s="351"/>
      <c r="I661" s="351"/>
      <c r="J661" s="351"/>
      <c r="K661" s="351"/>
      <c r="L661" s="465">
        <f>SUM(F661:K661)</f>
        <v>0</v>
      </c>
      <c r="M661" s="465">
        <f>L661/6</f>
        <v>0</v>
      </c>
      <c r="N661" s="348"/>
      <c r="O661" s="348"/>
      <c r="P661" s="348"/>
      <c r="Q661" s="348"/>
      <c r="R661" s="348"/>
      <c r="S661" s="348"/>
      <c r="T661" s="65">
        <f>SUM(N661:S661)</f>
        <v>0</v>
      </c>
      <c r="U661" s="118">
        <f>T661+L661</f>
        <v>0</v>
      </c>
      <c r="V661" s="11"/>
      <c r="W661" s="38">
        <f>V661-U661</f>
        <v>0</v>
      </c>
      <c r="X661" s="47"/>
    </row>
    <row r="662" spans="1:28" s="51" customFormat="1" ht="18" hidden="1" customHeight="1">
      <c r="A662" s="673"/>
      <c r="B662" s="581"/>
      <c r="C662" s="581"/>
      <c r="D662" s="187" t="str">
        <f>серпень!D585</f>
        <v>тариф, грн.</v>
      </c>
      <c r="E662" s="49" t="e">
        <f t="shared" ref="E662" si="716">E663/E661*1000</f>
        <v>#DIV/0!</v>
      </c>
      <c r="F662" s="49"/>
      <c r="G662" s="49"/>
      <c r="H662" s="49"/>
      <c r="I662" s="49"/>
      <c r="J662" s="49"/>
      <c r="K662" s="49"/>
      <c r="L662" s="49" t="e">
        <f>L663/L661*1000</f>
        <v>#DIV/0!</v>
      </c>
      <c r="M662" s="49" t="e">
        <f>M663/M661*1000</f>
        <v>#DIV/0!</v>
      </c>
      <c r="N662" s="49"/>
      <c r="O662" s="49"/>
      <c r="P662" s="49"/>
      <c r="Q662" s="49"/>
      <c r="R662" s="49"/>
      <c r="S662" s="49"/>
      <c r="T662" s="49" t="e">
        <f>T663/T661*1000</f>
        <v>#DIV/0!</v>
      </c>
      <c r="U662" s="49" t="e">
        <f>U663/U661*1000</f>
        <v>#DIV/0!</v>
      </c>
      <c r="V662" s="68" t="e">
        <f>V663/V661*1000</f>
        <v>#DIV/0!</v>
      </c>
      <c r="W662" s="14" t="e">
        <f>W663/W661*1000</f>
        <v>#DIV/0!</v>
      </c>
      <c r="X662" s="59"/>
    </row>
    <row r="663" spans="1:28" s="130" customFormat="1" ht="18" hidden="1" customHeight="1">
      <c r="A663" s="673"/>
      <c r="B663" s="581"/>
      <c r="C663" s="581"/>
      <c r="D663" s="191" t="str">
        <f>серпень!D586</f>
        <v>сума, тис.грн.</v>
      </c>
      <c r="E663" s="52"/>
      <c r="F663" s="52">
        <f>F661*F662/1000</f>
        <v>0</v>
      </c>
      <c r="G663" s="52">
        <f t="shared" ref="G663" si="717">G661*G662/1000</f>
        <v>0</v>
      </c>
      <c r="H663" s="52">
        <f t="shared" ref="H663" si="718">H661*H662/1000</f>
        <v>0</v>
      </c>
      <c r="I663" s="52">
        <f t="shared" ref="I663" si="719">I661*I662/1000</f>
        <v>0</v>
      </c>
      <c r="J663" s="52">
        <f t="shared" ref="J663" si="720">J661*J662/1000</f>
        <v>0</v>
      </c>
      <c r="K663" s="52">
        <f t="shared" ref="K663" si="721">K661*K662/1000</f>
        <v>0</v>
      </c>
      <c r="L663" s="69">
        <f>SUM(F663:K663)</f>
        <v>0</v>
      </c>
      <c r="M663" s="69">
        <f>L663/6</f>
        <v>0</v>
      </c>
      <c r="N663" s="52">
        <f>N661*N662/1000</f>
        <v>0</v>
      </c>
      <c r="O663" s="52">
        <f t="shared" ref="O663" si="722">O661*O662/1000</f>
        <v>0</v>
      </c>
      <c r="P663" s="52">
        <f t="shared" ref="P663" si="723">P661*P662/1000</f>
        <v>0</v>
      </c>
      <c r="Q663" s="52">
        <f t="shared" ref="Q663" si="724">Q661*Q662/1000</f>
        <v>0</v>
      </c>
      <c r="R663" s="52">
        <f t="shared" ref="R663" si="725">R661*R662/1000</f>
        <v>0</v>
      </c>
      <c r="S663" s="52">
        <f t="shared" ref="S663" si="726">S661*S662/1000</f>
        <v>0</v>
      </c>
      <c r="T663" s="69">
        <f>SUM(N663:S663)</f>
        <v>0</v>
      </c>
      <c r="U663" s="69">
        <f>T663+L663</f>
        <v>0</v>
      </c>
      <c r="V663" s="70">
        <f>V664+V665</f>
        <v>0</v>
      </c>
      <c r="W663" s="53">
        <f>V663-U663</f>
        <v>0</v>
      </c>
    </row>
    <row r="664" spans="1:28" s="130" customFormat="1" ht="18" hidden="1" customHeight="1">
      <c r="A664" s="673"/>
      <c r="B664" s="581"/>
      <c r="C664" s="581"/>
      <c r="D664" s="174" t="str">
        <f>серпень!D587</f>
        <v>дотація</v>
      </c>
      <c r="E664" s="56"/>
      <c r="F664" s="52"/>
      <c r="G664" s="52"/>
      <c r="H664" s="52"/>
      <c r="I664" s="52"/>
      <c r="J664" s="52"/>
      <c r="K664" s="52"/>
      <c r="L664" s="69">
        <f>SUM(F664:K664)</f>
        <v>0</v>
      </c>
      <c r="M664" s="69">
        <f>L664/6</f>
        <v>0</v>
      </c>
      <c r="N664" s="52"/>
      <c r="O664" s="52"/>
      <c r="P664" s="52"/>
      <c r="Q664" s="52"/>
      <c r="R664" s="52"/>
      <c r="S664" s="52"/>
      <c r="T664" s="69">
        <f>SUM(N664:S664)</f>
        <v>0</v>
      </c>
      <c r="U664" s="69">
        <f>T664+L664</f>
        <v>0</v>
      </c>
      <c r="V664" s="70">
        <v>0</v>
      </c>
      <c r="W664" s="53">
        <f>V664-U664</f>
        <v>0</v>
      </c>
    </row>
    <row r="665" spans="1:28" s="130" customFormat="1" ht="18" hidden="1" customHeight="1">
      <c r="A665" s="673"/>
      <c r="B665" s="581"/>
      <c r="C665" s="581"/>
      <c r="D665" s="174" t="str">
        <f>серпень!D588</f>
        <v>місцевий (план), тис.грн</v>
      </c>
      <c r="E665" s="56"/>
      <c r="F665" s="52"/>
      <c r="G665" s="52"/>
      <c r="H665" s="52"/>
      <c r="I665" s="52"/>
      <c r="J665" s="52"/>
      <c r="K665" s="52"/>
      <c r="L665" s="69">
        <f>SUM(F665:K665)</f>
        <v>0</v>
      </c>
      <c r="M665" s="69">
        <f>L665/6</f>
        <v>0</v>
      </c>
      <c r="N665" s="52"/>
      <c r="O665" s="52"/>
      <c r="P665" s="52"/>
      <c r="Q665" s="52"/>
      <c r="R665" s="52"/>
      <c r="S665" s="52"/>
      <c r="T665" s="69">
        <f>SUM(N665:S665)</f>
        <v>0</v>
      </c>
      <c r="U665" s="69">
        <f>T665+L665</f>
        <v>0</v>
      </c>
      <c r="V665" s="70">
        <v>0</v>
      </c>
      <c r="W665" s="53">
        <f>V665-U665</f>
        <v>0</v>
      </c>
    </row>
    <row r="666" spans="1:28" s="48" customFormat="1" ht="18" hidden="1" customHeight="1">
      <c r="A666" s="673"/>
      <c r="B666" s="581"/>
      <c r="C666" s="581"/>
      <c r="D666" s="178" t="str">
        <f>серпень!D589</f>
        <v>касові нат.п-ки 2025</v>
      </c>
      <c r="E666" s="11"/>
      <c r="F666" s="441"/>
      <c r="G666" s="351"/>
      <c r="H666" s="351"/>
      <c r="I666" s="351"/>
      <c r="J666" s="351"/>
      <c r="K666" s="351"/>
      <c r="L666" s="465">
        <f>SUM(F666:K666)</f>
        <v>0</v>
      </c>
      <c r="M666" s="465">
        <f>L666/6</f>
        <v>0</v>
      </c>
      <c r="N666" s="348"/>
      <c r="O666" s="348"/>
      <c r="P666" s="348"/>
      <c r="Q666" s="348"/>
      <c r="R666" s="348"/>
      <c r="S666" s="348"/>
      <c r="T666" s="65">
        <f>SUM(N666:S666)</f>
        <v>0</v>
      </c>
      <c r="U666" s="65">
        <f>T666+L666</f>
        <v>0</v>
      </c>
      <c r="V666" s="11">
        <f>V661</f>
        <v>0</v>
      </c>
      <c r="W666" s="38">
        <f>V666-U666</f>
        <v>0</v>
      </c>
      <c r="X666" s="47">
        <f>U661-U666</f>
        <v>0</v>
      </c>
    </row>
    <row r="667" spans="1:28" s="51" customFormat="1" ht="18" hidden="1" customHeight="1">
      <c r="A667" s="673"/>
      <c r="B667" s="581"/>
      <c r="C667" s="581"/>
      <c r="D667" s="187" t="str">
        <f>серпень!D590</f>
        <v>тариф, грн.</v>
      </c>
      <c r="E667" s="49" t="e">
        <f t="shared" ref="E667" si="727">E668/E666*1000</f>
        <v>#DIV/0!</v>
      </c>
      <c r="F667" s="49"/>
      <c r="G667" s="49"/>
      <c r="H667" s="49"/>
      <c r="I667" s="49"/>
      <c r="J667" s="49"/>
      <c r="K667" s="49"/>
      <c r="L667" s="49" t="e">
        <f>L668/L666*1000</f>
        <v>#DIV/0!</v>
      </c>
      <c r="M667" s="49" t="e">
        <f>M668/M666*1000</f>
        <v>#DIV/0!</v>
      </c>
      <c r="N667" s="49"/>
      <c r="O667" s="49"/>
      <c r="P667" s="49"/>
      <c r="Q667" s="49"/>
      <c r="R667" s="49"/>
      <c r="S667" s="49"/>
      <c r="T667" s="49" t="e">
        <f>T668/T666*1000</f>
        <v>#DIV/0!</v>
      </c>
      <c r="U667" s="49" t="e">
        <f>U668/U666*1000</f>
        <v>#DIV/0!</v>
      </c>
      <c r="V667" s="68" t="e">
        <f>V668/V666*1000</f>
        <v>#DIV/0!</v>
      </c>
      <c r="W667" s="14" t="e">
        <f>W668/W666*1000</f>
        <v>#DIV/0!</v>
      </c>
      <c r="X667" s="59"/>
    </row>
    <row r="668" spans="1:28" s="126" customFormat="1" ht="18" hidden="1" customHeight="1">
      <c r="A668" s="673"/>
      <c r="B668" s="581"/>
      <c r="C668" s="581"/>
      <c r="D668" s="198" t="str">
        <f>серпень!D591</f>
        <v>касові видатки, тис.грн.</v>
      </c>
      <c r="E668" s="71"/>
      <c r="F668" s="61">
        <f>F666*F667/1000</f>
        <v>0</v>
      </c>
      <c r="G668" s="61">
        <f t="shared" ref="G668:K668" si="728">G666*G667/1000</f>
        <v>0</v>
      </c>
      <c r="H668" s="61">
        <f t="shared" si="728"/>
        <v>0</v>
      </c>
      <c r="I668" s="61">
        <f t="shared" si="728"/>
        <v>0</v>
      </c>
      <c r="J668" s="61">
        <f t="shared" si="728"/>
        <v>0</v>
      </c>
      <c r="K668" s="61">
        <f t="shared" si="728"/>
        <v>0</v>
      </c>
      <c r="L668" s="61">
        <f>SUM(F668:K668)</f>
        <v>0</v>
      </c>
      <c r="M668" s="61">
        <f>L668/6</f>
        <v>0</v>
      </c>
      <c r="N668" s="61">
        <f>N666*N667/1000</f>
        <v>0</v>
      </c>
      <c r="O668" s="61">
        <f t="shared" ref="O668" si="729">O666*O667/1000</f>
        <v>0</v>
      </c>
      <c r="P668" s="61">
        <f t="shared" ref="P668" si="730">P666*P667/1000</f>
        <v>0</v>
      </c>
      <c r="Q668" s="61">
        <f t="shared" ref="Q668" si="731">Q666*Q667/1000</f>
        <v>0</v>
      </c>
      <c r="R668" s="61">
        <f t="shared" ref="R668" si="732">R666*R667/1000</f>
        <v>0</v>
      </c>
      <c r="S668" s="61">
        <f t="shared" ref="S668" si="733">S666*S667/1000</f>
        <v>0</v>
      </c>
      <c r="T668" s="61">
        <f>SUM(N668:S668)</f>
        <v>0</v>
      </c>
      <c r="U668" s="61">
        <f>T668+L668</f>
        <v>0</v>
      </c>
      <c r="V668" s="61">
        <f>V663</f>
        <v>0</v>
      </c>
      <c r="W668" s="72">
        <f>V668-U668</f>
        <v>0</v>
      </c>
      <c r="X668" s="63">
        <f>U663-U668</f>
        <v>0</v>
      </c>
    </row>
    <row r="669" spans="1:28" s="126" customFormat="1" ht="18" hidden="1" customHeight="1">
      <c r="A669" s="673"/>
      <c r="B669" s="581"/>
      <c r="C669" s="581"/>
      <c r="D669" s="201" t="str">
        <f>серпень!D592</f>
        <v>дотація</v>
      </c>
      <c r="E669" s="71"/>
      <c r="F669" s="61"/>
      <c r="G669" s="61"/>
      <c r="H669" s="61"/>
      <c r="I669" s="61"/>
      <c r="J669" s="61"/>
      <c r="K669" s="61"/>
      <c r="L669" s="61">
        <f>SUM(F669:K669)</f>
        <v>0</v>
      </c>
      <c r="M669" s="61">
        <f>L669/6</f>
        <v>0</v>
      </c>
      <c r="N669" s="61"/>
      <c r="O669" s="61"/>
      <c r="P669" s="61"/>
      <c r="Q669" s="61"/>
      <c r="R669" s="61"/>
      <c r="S669" s="61"/>
      <c r="T669" s="61">
        <f>SUM(N669:S669)</f>
        <v>0</v>
      </c>
      <c r="U669" s="61">
        <f>T669+L669</f>
        <v>0</v>
      </c>
      <c r="V669" s="61">
        <f>V664</f>
        <v>0</v>
      </c>
      <c r="W669" s="72">
        <f>V669-U669</f>
        <v>0</v>
      </c>
      <c r="X669" s="63"/>
    </row>
    <row r="670" spans="1:28" s="126" customFormat="1" ht="18" hidden="1" customHeight="1">
      <c r="A670" s="673"/>
      <c r="B670" s="581"/>
      <c r="C670" s="581"/>
      <c r="D670" s="201" t="str">
        <f>серпень!D593</f>
        <v xml:space="preserve">місцевий </v>
      </c>
      <c r="E670" s="71"/>
      <c r="F670" s="61">
        <f t="shared" ref="F670:K670" si="734">F668-F669</f>
        <v>0</v>
      </c>
      <c r="G670" s="61">
        <f t="shared" si="734"/>
        <v>0</v>
      </c>
      <c r="H670" s="61">
        <f t="shared" si="734"/>
        <v>0</v>
      </c>
      <c r="I670" s="61">
        <f t="shared" si="734"/>
        <v>0</v>
      </c>
      <c r="J670" s="61">
        <f t="shared" si="734"/>
        <v>0</v>
      </c>
      <c r="K670" s="61">
        <f t="shared" si="734"/>
        <v>0</v>
      </c>
      <c r="L670" s="61">
        <f>SUM(F670:K670)</f>
        <v>0</v>
      </c>
      <c r="M670" s="61">
        <f>L670/6</f>
        <v>0</v>
      </c>
      <c r="N670" s="61">
        <f t="shared" ref="N670:S670" si="735">N668-N669</f>
        <v>0</v>
      </c>
      <c r="O670" s="61">
        <f t="shared" si="735"/>
        <v>0</v>
      </c>
      <c r="P670" s="61">
        <f t="shared" si="735"/>
        <v>0</v>
      </c>
      <c r="Q670" s="61">
        <f t="shared" si="735"/>
        <v>0</v>
      </c>
      <c r="R670" s="61">
        <f t="shared" si="735"/>
        <v>0</v>
      </c>
      <c r="S670" s="61">
        <f t="shared" si="735"/>
        <v>0</v>
      </c>
      <c r="T670" s="61">
        <f>SUM(N670:S670)</f>
        <v>0</v>
      </c>
      <c r="U670" s="61">
        <f>T670+L670</f>
        <v>0</v>
      </c>
      <c r="V670" s="61">
        <f>V665</f>
        <v>0</v>
      </c>
      <c r="W670" s="72">
        <f>V670-U670</f>
        <v>0</v>
      </c>
      <c r="X670" s="63">
        <f>U665-U670</f>
        <v>0</v>
      </c>
    </row>
    <row r="671" spans="1:28" s="43" customFormat="1" ht="18" hidden="1" customHeight="1">
      <c r="A671" s="673"/>
      <c r="B671" s="581"/>
      <c r="C671" s="581"/>
      <c r="D671" s="202" t="str">
        <f>серпень!D594</f>
        <v>план</v>
      </c>
      <c r="E671" s="42"/>
      <c r="F671" s="42">
        <f t="shared" ref="F671:K671" si="736">F665</f>
        <v>0</v>
      </c>
      <c r="G671" s="42">
        <f t="shared" si="736"/>
        <v>0</v>
      </c>
      <c r="H671" s="42">
        <f t="shared" si="736"/>
        <v>0</v>
      </c>
      <c r="I671" s="42">
        <f t="shared" si="736"/>
        <v>0</v>
      </c>
      <c r="J671" s="42">
        <f t="shared" si="736"/>
        <v>0</v>
      </c>
      <c r="K671" s="42">
        <f t="shared" si="736"/>
        <v>0</v>
      </c>
      <c r="L671" s="42">
        <f>SUM(F671:K671)</f>
        <v>0</v>
      </c>
      <c r="M671" s="42">
        <f>L671/6</f>
        <v>0</v>
      </c>
      <c r="N671" s="42">
        <f t="shared" ref="N671:S671" si="737">N665+N664</f>
        <v>0</v>
      </c>
      <c r="O671" s="42">
        <f t="shared" si="737"/>
        <v>0</v>
      </c>
      <c r="P671" s="42">
        <f t="shared" si="737"/>
        <v>0</v>
      </c>
      <c r="Q671" s="42">
        <f t="shared" si="737"/>
        <v>0</v>
      </c>
      <c r="R671" s="42">
        <f t="shared" si="737"/>
        <v>0</v>
      </c>
      <c r="S671" s="42">
        <f t="shared" si="737"/>
        <v>0</v>
      </c>
      <c r="T671" s="42">
        <f>SUM(N671:S671)</f>
        <v>0</v>
      </c>
      <c r="U671" s="42">
        <f>T671+L671</f>
        <v>0</v>
      </c>
      <c r="V671" s="42">
        <f>V668</f>
        <v>0</v>
      </c>
      <c r="W671" s="42">
        <f>V671-U671</f>
        <v>0</v>
      </c>
    </row>
    <row r="672" spans="1:28" s="43" customFormat="1" ht="17.55" hidden="1" customHeight="1">
      <c r="A672" s="673"/>
      <c r="B672" s="581"/>
      <c r="C672" s="581"/>
      <c r="D672" s="202" t="str">
        <f>серпень!D595</f>
        <v xml:space="preserve">відхилення </v>
      </c>
      <c r="E672" s="42"/>
      <c r="F672" s="42">
        <f t="shared" ref="F672:K672" si="738">F668-F671</f>
        <v>0</v>
      </c>
      <c r="G672" s="42">
        <f t="shared" si="738"/>
        <v>0</v>
      </c>
      <c r="H672" s="42">
        <f t="shared" si="738"/>
        <v>0</v>
      </c>
      <c r="I672" s="42">
        <f t="shared" si="738"/>
        <v>0</v>
      </c>
      <c r="J672" s="42">
        <f t="shared" si="738"/>
        <v>0</v>
      </c>
      <c r="K672" s="42">
        <f t="shared" si="738"/>
        <v>0</v>
      </c>
      <c r="L672" s="42"/>
      <c r="M672" s="42"/>
      <c r="N672" s="42">
        <f t="shared" ref="N672:S672" si="739">N668-N671</f>
        <v>0</v>
      </c>
      <c r="O672" s="42">
        <f t="shared" si="739"/>
        <v>0</v>
      </c>
      <c r="P672" s="42">
        <f t="shared" si="739"/>
        <v>0</v>
      </c>
      <c r="Q672" s="42">
        <f t="shared" si="739"/>
        <v>0</v>
      </c>
      <c r="R672" s="42">
        <f t="shared" si="739"/>
        <v>0</v>
      </c>
      <c r="S672" s="42">
        <f t="shared" si="739"/>
        <v>0</v>
      </c>
      <c r="T672" s="42"/>
      <c r="U672" s="42"/>
      <c r="V672" s="42"/>
      <c r="W672" s="42"/>
    </row>
    <row r="673" spans="1:28" s="43" customFormat="1" ht="18" hidden="1" customHeight="1">
      <c r="A673" s="673"/>
      <c r="B673" s="581"/>
      <c r="C673" s="581"/>
      <c r="D673" s="202" t="str">
        <f>серпень!D596</f>
        <v>відхилення з наростаючим</v>
      </c>
      <c r="E673" s="42"/>
      <c r="F673" s="42">
        <f>F672</f>
        <v>0</v>
      </c>
      <c r="G673" s="42">
        <f>G672+F673</f>
        <v>0</v>
      </c>
      <c r="H673" s="42">
        <f>H672+G673</f>
        <v>0</v>
      </c>
      <c r="I673" s="42">
        <f>I672+H673</f>
        <v>0</v>
      </c>
      <c r="J673" s="42">
        <f>J672+I673</f>
        <v>0</v>
      </c>
      <c r="K673" s="42">
        <f>K672+J673</f>
        <v>0</v>
      </c>
      <c r="L673" s="42"/>
      <c r="M673" s="42"/>
      <c r="N673" s="42">
        <f>N672+K673</f>
        <v>0</v>
      </c>
      <c r="O673" s="42">
        <f>O672+N673</f>
        <v>0</v>
      </c>
      <c r="P673" s="42">
        <f>P672+O673</f>
        <v>0</v>
      </c>
      <c r="Q673" s="42">
        <f>Q672+P673</f>
        <v>0</v>
      </c>
      <c r="R673" s="42">
        <f>R672+Q673</f>
        <v>0</v>
      </c>
      <c r="S673" s="42">
        <f>S672+R673</f>
        <v>0</v>
      </c>
      <c r="T673" s="42"/>
      <c r="U673" s="42"/>
      <c r="V673" s="42"/>
      <c r="W673" s="42"/>
    </row>
    <row r="674" spans="1:28" s="55" customFormat="1" ht="17.55" hidden="1" customHeight="1">
      <c r="A674" s="673"/>
      <c r="B674" s="581" t="s">
        <v>68</v>
      </c>
      <c r="C674" s="581"/>
      <c r="D674" s="178" t="str">
        <f>серпень!D597</f>
        <v>факт. нат.п-ки 2023</v>
      </c>
      <c r="E674" s="11"/>
      <c r="F674" s="12"/>
      <c r="G674" s="12"/>
      <c r="H674" s="12"/>
      <c r="I674" s="12"/>
      <c r="J674" s="12"/>
      <c r="K674" s="12"/>
      <c r="L674" s="65">
        <f>SUM(F674:K674)</f>
        <v>0</v>
      </c>
      <c r="M674" s="65">
        <f>L674/6</f>
        <v>0</v>
      </c>
      <c r="N674" s="12"/>
      <c r="O674" s="12"/>
      <c r="P674" s="12"/>
      <c r="Q674" s="12"/>
      <c r="R674" s="12"/>
      <c r="S674" s="12"/>
      <c r="T674" s="65">
        <f>SUM(N674:S674)</f>
        <v>0</v>
      </c>
      <c r="U674" s="66">
        <f>T674+L674</f>
        <v>0</v>
      </c>
      <c r="V674" s="67"/>
      <c r="W674" s="38">
        <f>V674-U674</f>
        <v>0</v>
      </c>
      <c r="X674" s="47"/>
      <c r="Y674" s="48"/>
      <c r="Z674" s="48"/>
      <c r="AA674" s="48"/>
      <c r="AB674" s="48"/>
    </row>
    <row r="675" spans="1:28" s="48" customFormat="1" ht="18" hidden="1" customHeight="1">
      <c r="A675" s="673"/>
      <c r="B675" s="581"/>
      <c r="C675" s="581"/>
      <c r="D675" s="178" t="str">
        <f>серпень!D598</f>
        <v>факт. нат.п-ки 2024</v>
      </c>
      <c r="E675" s="11"/>
      <c r="F675" s="12"/>
      <c r="G675" s="12"/>
      <c r="H675" s="12"/>
      <c r="I675" s="12"/>
      <c r="J675" s="12"/>
      <c r="K675" s="12"/>
      <c r="L675" s="65">
        <f>SUM(F675:K675)</f>
        <v>0</v>
      </c>
      <c r="M675" s="65">
        <f>L675/6</f>
        <v>0</v>
      </c>
      <c r="N675" s="11"/>
      <c r="O675" s="11"/>
      <c r="P675" s="11"/>
      <c r="Q675" s="11"/>
      <c r="R675" s="11"/>
      <c r="S675" s="11"/>
      <c r="T675" s="65">
        <f>SUM(N675:S675)</f>
        <v>0</v>
      </c>
      <c r="U675" s="66">
        <f>T675+L675</f>
        <v>0</v>
      </c>
      <c r="V675" s="67"/>
      <c r="W675" s="38">
        <f>V675-U675</f>
        <v>0</v>
      </c>
      <c r="X675" s="47"/>
    </row>
    <row r="676" spans="1:28" s="48" customFormat="1" ht="18" hidden="1" customHeight="1">
      <c r="A676" s="673"/>
      <c r="B676" s="581"/>
      <c r="C676" s="581"/>
      <c r="D676" s="178" t="str">
        <f>серпень!D599</f>
        <v>факт. нат.п-ки 2025</v>
      </c>
      <c r="E676" s="11"/>
      <c r="F676" s="12"/>
      <c r="G676" s="12"/>
      <c r="H676" s="12"/>
      <c r="I676" s="12"/>
      <c r="J676" s="12"/>
      <c r="K676" s="12"/>
      <c r="L676" s="65">
        <f>SUM(F676:K676)</f>
        <v>0</v>
      </c>
      <c r="M676" s="65">
        <f>L676/6</f>
        <v>0</v>
      </c>
      <c r="N676" s="12"/>
      <c r="O676" s="12"/>
      <c r="P676" s="12"/>
      <c r="Q676" s="12"/>
      <c r="R676" s="12"/>
      <c r="S676" s="11"/>
      <c r="T676" s="65">
        <f>SUM(N676:S676)</f>
        <v>0</v>
      </c>
      <c r="U676" s="66">
        <f>T676+L676</f>
        <v>0</v>
      </c>
      <c r="V676" s="11"/>
      <c r="W676" s="38">
        <f>V676-U676</f>
        <v>0</v>
      </c>
      <c r="X676" s="47"/>
    </row>
    <row r="677" spans="1:28" s="51" customFormat="1" ht="18" hidden="1" customHeight="1">
      <c r="A677" s="673"/>
      <c r="B677" s="581"/>
      <c r="C677" s="581"/>
      <c r="D677" s="187" t="str">
        <f>серпень!D600</f>
        <v>тариф, грн.</v>
      </c>
      <c r="E677" s="49"/>
      <c r="F677" s="49"/>
      <c r="G677" s="49"/>
      <c r="H677" s="49"/>
      <c r="I677" s="49"/>
      <c r="J677" s="49"/>
      <c r="K677" s="49"/>
      <c r="L677" s="49" t="e">
        <f>L678/L676*1000</f>
        <v>#DIV/0!</v>
      </c>
      <c r="M677" s="49" t="e">
        <f>M678/M676*1000</f>
        <v>#DIV/0!</v>
      </c>
      <c r="N677" s="49"/>
      <c r="O677" s="49"/>
      <c r="P677" s="49"/>
      <c r="Q677" s="49"/>
      <c r="R677" s="49"/>
      <c r="S677" s="49"/>
      <c r="T677" s="49" t="e">
        <f>T678/T676*1000</f>
        <v>#DIV/0!</v>
      </c>
      <c r="U677" s="49" t="e">
        <f>U678/U676*1000</f>
        <v>#DIV/0!</v>
      </c>
      <c r="V677" s="68" t="e">
        <f>V678/V676*1000</f>
        <v>#DIV/0!</v>
      </c>
      <c r="W677" s="14" t="e">
        <f>W678/W676*1000</f>
        <v>#DIV/0!</v>
      </c>
      <c r="X677" s="59"/>
    </row>
    <row r="678" spans="1:28" s="130" customFormat="1" ht="18" hidden="1" customHeight="1">
      <c r="A678" s="673"/>
      <c r="B678" s="581"/>
      <c r="C678" s="581"/>
      <c r="D678" s="191" t="str">
        <f>серпень!D601</f>
        <v>сума, тис.грн.</v>
      </c>
      <c r="E678" s="52"/>
      <c r="F678" s="52">
        <f t="shared" ref="F678:K678" si="740">F676*F677/1000</f>
        <v>0</v>
      </c>
      <c r="G678" s="52">
        <f t="shared" si="740"/>
        <v>0</v>
      </c>
      <c r="H678" s="52">
        <f t="shared" si="740"/>
        <v>0</v>
      </c>
      <c r="I678" s="52">
        <f t="shared" si="740"/>
        <v>0</v>
      </c>
      <c r="J678" s="52">
        <f t="shared" si="740"/>
        <v>0</v>
      </c>
      <c r="K678" s="52">
        <f t="shared" si="740"/>
        <v>0</v>
      </c>
      <c r="L678" s="69">
        <f>SUM(F678:K678)</f>
        <v>0</v>
      </c>
      <c r="M678" s="69">
        <f>L678/6</f>
        <v>0</v>
      </c>
      <c r="N678" s="52">
        <f t="shared" ref="N678:S678" si="741">N676*N677/1000</f>
        <v>0</v>
      </c>
      <c r="O678" s="52">
        <f t="shared" si="741"/>
        <v>0</v>
      </c>
      <c r="P678" s="52">
        <f t="shared" si="741"/>
        <v>0</v>
      </c>
      <c r="Q678" s="52">
        <f t="shared" si="741"/>
        <v>0</v>
      </c>
      <c r="R678" s="52">
        <f t="shared" si="741"/>
        <v>0</v>
      </c>
      <c r="S678" s="52">
        <f t="shared" si="741"/>
        <v>0</v>
      </c>
      <c r="T678" s="69">
        <f>SUM(N678:S678)</f>
        <v>0</v>
      </c>
      <c r="U678" s="69">
        <f>T678+L678</f>
        <v>0</v>
      </c>
      <c r="V678" s="70">
        <f>V679+V680</f>
        <v>0</v>
      </c>
      <c r="W678" s="53">
        <f>V678-U678</f>
        <v>0</v>
      </c>
    </row>
    <row r="679" spans="1:28" s="130" customFormat="1" ht="18" hidden="1" customHeight="1">
      <c r="A679" s="673"/>
      <c r="B679" s="581"/>
      <c r="C679" s="581"/>
      <c r="D679" s="174" t="str">
        <f>серпень!D602</f>
        <v>дотація</v>
      </c>
      <c r="E679" s="56"/>
      <c r="F679" s="52"/>
      <c r="G679" s="52"/>
      <c r="H679" s="52"/>
      <c r="I679" s="52"/>
      <c r="J679" s="52"/>
      <c r="K679" s="52"/>
      <c r="L679" s="69">
        <f>SUM(F679:K679)</f>
        <v>0</v>
      </c>
      <c r="M679" s="69">
        <f>L679/6</f>
        <v>0</v>
      </c>
      <c r="N679" s="52"/>
      <c r="O679" s="52"/>
      <c r="P679" s="52"/>
      <c r="Q679" s="52"/>
      <c r="R679" s="52"/>
      <c r="S679" s="52"/>
      <c r="T679" s="69">
        <f>SUM(N679:S679)</f>
        <v>0</v>
      </c>
      <c r="U679" s="69">
        <f>T679+L679</f>
        <v>0</v>
      </c>
      <c r="V679" s="70">
        <v>0</v>
      </c>
      <c r="W679" s="53">
        <f>V679-U679</f>
        <v>0</v>
      </c>
    </row>
    <row r="680" spans="1:28" s="130" customFormat="1" ht="18" hidden="1" customHeight="1">
      <c r="A680" s="673"/>
      <c r="B680" s="581"/>
      <c r="C680" s="581"/>
      <c r="D680" s="174" t="str">
        <f>серпень!D603</f>
        <v>місцевий (план), тис.грн</v>
      </c>
      <c r="E680" s="56"/>
      <c r="F680" s="52"/>
      <c r="G680" s="52"/>
      <c r="H680" s="52"/>
      <c r="I680" s="52"/>
      <c r="J680" s="52"/>
      <c r="K680" s="52"/>
      <c r="L680" s="69">
        <f>SUM(F680:K680)</f>
        <v>0</v>
      </c>
      <c r="M680" s="69">
        <f>L680/6</f>
        <v>0</v>
      </c>
      <c r="N680" s="52"/>
      <c r="O680" s="52"/>
      <c r="P680" s="52"/>
      <c r="Q680" s="52"/>
      <c r="R680" s="52"/>
      <c r="S680" s="52"/>
      <c r="T680" s="69">
        <f>SUM(N680:S680)</f>
        <v>0</v>
      </c>
      <c r="U680" s="69">
        <f>T680+L680</f>
        <v>0</v>
      </c>
      <c r="V680" s="70"/>
      <c r="W680" s="53">
        <f>V680-U680</f>
        <v>0</v>
      </c>
    </row>
    <row r="681" spans="1:28" s="48" customFormat="1" ht="18" hidden="1" customHeight="1">
      <c r="A681" s="673"/>
      <c r="B681" s="581"/>
      <c r="C681" s="581"/>
      <c r="D681" s="178" t="str">
        <f>серпень!D604</f>
        <v>касові нат.п-ки 2025</v>
      </c>
      <c r="E681" s="11"/>
      <c r="F681" s="11"/>
      <c r="G681" s="11"/>
      <c r="H681" s="11"/>
      <c r="I681" s="11"/>
      <c r="J681" s="11"/>
      <c r="K681" s="11"/>
      <c r="L681" s="65">
        <f>SUM(F681:K681)</f>
        <v>0</v>
      </c>
      <c r="M681" s="65">
        <f>L681/6</f>
        <v>0</v>
      </c>
      <c r="N681" s="11"/>
      <c r="O681" s="11"/>
      <c r="P681" s="11"/>
      <c r="Q681" s="11"/>
      <c r="R681" s="11"/>
      <c r="S681" s="11"/>
      <c r="T681" s="65">
        <f>SUM(N681:S681)</f>
        <v>0</v>
      </c>
      <c r="U681" s="65">
        <f>T681+L681</f>
        <v>0</v>
      </c>
      <c r="V681" s="11">
        <f>V676</f>
        <v>0</v>
      </c>
      <c r="W681" s="38">
        <f>V681-U681</f>
        <v>0</v>
      </c>
      <c r="X681" s="47">
        <f>U676-U681</f>
        <v>0</v>
      </c>
    </row>
    <row r="682" spans="1:28" s="51" customFormat="1" ht="18" hidden="1" customHeight="1">
      <c r="A682" s="673"/>
      <c r="B682" s="581"/>
      <c r="C682" s="581"/>
      <c r="D682" s="187" t="str">
        <f>серпень!D605</f>
        <v>тариф, грн.</v>
      </c>
      <c r="E682" s="49" t="e">
        <f>E683/E681*1000</f>
        <v>#DIV/0!</v>
      </c>
      <c r="F682" s="49"/>
      <c r="G682" s="49"/>
      <c r="H682" s="49"/>
      <c r="I682" s="49"/>
      <c r="J682" s="49"/>
      <c r="K682" s="49"/>
      <c r="L682" s="49" t="e">
        <f>L683/L681*1000</f>
        <v>#DIV/0!</v>
      </c>
      <c r="M682" s="49" t="e">
        <f>M683/M681*1000</f>
        <v>#DIV/0!</v>
      </c>
      <c r="N682" s="49"/>
      <c r="O682" s="49"/>
      <c r="P682" s="49"/>
      <c r="Q682" s="49"/>
      <c r="R682" s="49"/>
      <c r="S682" s="49"/>
      <c r="T682" s="49" t="e">
        <f>T683/T681*1000</f>
        <v>#DIV/0!</v>
      </c>
      <c r="U682" s="49" t="e">
        <f>U683/U681*1000</f>
        <v>#DIV/0!</v>
      </c>
      <c r="V682" s="68" t="e">
        <f>V683/V681*1000</f>
        <v>#DIV/0!</v>
      </c>
      <c r="W682" s="14" t="e">
        <f>W683/W681*1000</f>
        <v>#DIV/0!</v>
      </c>
      <c r="X682" s="59"/>
    </row>
    <row r="683" spans="1:28" s="126" customFormat="1" ht="18" hidden="1" customHeight="1">
      <c r="A683" s="673"/>
      <c r="B683" s="581"/>
      <c r="C683" s="581"/>
      <c r="D683" s="198" t="str">
        <f>серпень!D606</f>
        <v>касові видатки, тис.грн.</v>
      </c>
      <c r="E683" s="71"/>
      <c r="F683" s="61">
        <f t="shared" ref="F683:K683" si="742">F681*F682/1000</f>
        <v>0</v>
      </c>
      <c r="G683" s="61">
        <f t="shared" si="742"/>
        <v>0</v>
      </c>
      <c r="H683" s="61">
        <f t="shared" si="742"/>
        <v>0</v>
      </c>
      <c r="I683" s="61">
        <f t="shared" si="742"/>
        <v>0</v>
      </c>
      <c r="J683" s="61">
        <f t="shared" si="742"/>
        <v>0</v>
      </c>
      <c r="K683" s="61">
        <f t="shared" si="742"/>
        <v>0</v>
      </c>
      <c r="L683" s="61">
        <f>SUM(F683:K683)</f>
        <v>0</v>
      </c>
      <c r="M683" s="61">
        <f>L683/6</f>
        <v>0</v>
      </c>
      <c r="N683" s="61">
        <f t="shared" ref="N683:S683" si="743">N681*N682/1000</f>
        <v>0</v>
      </c>
      <c r="O683" s="61">
        <f t="shared" si="743"/>
        <v>0</v>
      </c>
      <c r="P683" s="61">
        <f t="shared" si="743"/>
        <v>0</v>
      </c>
      <c r="Q683" s="61">
        <f t="shared" si="743"/>
        <v>0</v>
      </c>
      <c r="R683" s="61">
        <f t="shared" si="743"/>
        <v>0</v>
      </c>
      <c r="S683" s="61">
        <f t="shared" si="743"/>
        <v>0</v>
      </c>
      <c r="T683" s="61">
        <f>SUM(N683:S683)</f>
        <v>0</v>
      </c>
      <c r="U683" s="61">
        <f>T683+L683</f>
        <v>0</v>
      </c>
      <c r="V683" s="61">
        <f>V678</f>
        <v>0</v>
      </c>
      <c r="W683" s="72">
        <f>V683-U683</f>
        <v>0</v>
      </c>
      <c r="X683" s="63">
        <f>U678-U683</f>
        <v>0</v>
      </c>
    </row>
    <row r="684" spans="1:28" s="126" customFormat="1" ht="18" hidden="1" customHeight="1">
      <c r="A684" s="673"/>
      <c r="B684" s="581"/>
      <c r="C684" s="581"/>
      <c r="D684" s="201" t="str">
        <f>серпень!D607</f>
        <v>дотація</v>
      </c>
      <c r="E684" s="71"/>
      <c r="F684" s="61"/>
      <c r="G684" s="61"/>
      <c r="H684" s="61"/>
      <c r="I684" s="61"/>
      <c r="J684" s="61"/>
      <c r="K684" s="61"/>
      <c r="L684" s="61">
        <f>SUM(F684:K684)</f>
        <v>0</v>
      </c>
      <c r="M684" s="61">
        <f>L684/6</f>
        <v>0</v>
      </c>
      <c r="N684" s="61"/>
      <c r="O684" s="61"/>
      <c r="P684" s="61"/>
      <c r="Q684" s="61"/>
      <c r="R684" s="61"/>
      <c r="S684" s="61"/>
      <c r="T684" s="61">
        <f>SUM(N684:S684)</f>
        <v>0</v>
      </c>
      <c r="U684" s="61">
        <f>T684+L684</f>
        <v>0</v>
      </c>
      <c r="V684" s="61">
        <f>V679</f>
        <v>0</v>
      </c>
      <c r="W684" s="72">
        <f>V684-U684</f>
        <v>0</v>
      </c>
      <c r="X684" s="63"/>
    </row>
    <row r="685" spans="1:28" s="126" customFormat="1" ht="18" hidden="1" customHeight="1">
      <c r="A685" s="673"/>
      <c r="B685" s="581"/>
      <c r="C685" s="581"/>
      <c r="D685" s="201" t="str">
        <f>серпень!D608</f>
        <v xml:space="preserve">місцевий </v>
      </c>
      <c r="E685" s="71"/>
      <c r="F685" s="61">
        <f t="shared" ref="F685:K685" si="744">F683-F684</f>
        <v>0</v>
      </c>
      <c r="G685" s="61">
        <f t="shared" si="744"/>
        <v>0</v>
      </c>
      <c r="H685" s="61">
        <f t="shared" si="744"/>
        <v>0</v>
      </c>
      <c r="I685" s="61">
        <f t="shared" si="744"/>
        <v>0</v>
      </c>
      <c r="J685" s="61">
        <f t="shared" si="744"/>
        <v>0</v>
      </c>
      <c r="K685" s="61">
        <f t="shared" si="744"/>
        <v>0</v>
      </c>
      <c r="L685" s="61">
        <f>SUM(F685:K685)</f>
        <v>0</v>
      </c>
      <c r="M685" s="61">
        <f>L685/6</f>
        <v>0</v>
      </c>
      <c r="N685" s="61">
        <f t="shared" ref="N685:S685" si="745">N683-N684</f>
        <v>0</v>
      </c>
      <c r="O685" s="61">
        <f t="shared" si="745"/>
        <v>0</v>
      </c>
      <c r="P685" s="61">
        <f t="shared" si="745"/>
        <v>0</v>
      </c>
      <c r="Q685" s="61">
        <f t="shared" si="745"/>
        <v>0</v>
      </c>
      <c r="R685" s="61">
        <f t="shared" si="745"/>
        <v>0</v>
      </c>
      <c r="S685" s="61">
        <f t="shared" si="745"/>
        <v>0</v>
      </c>
      <c r="T685" s="61">
        <f>SUM(N685:S685)</f>
        <v>0</v>
      </c>
      <c r="U685" s="61">
        <f>T685+L685</f>
        <v>0</v>
      </c>
      <c r="V685" s="61">
        <f>V680</f>
        <v>0</v>
      </c>
      <c r="W685" s="72">
        <f>V685-U685</f>
        <v>0</v>
      </c>
      <c r="X685" s="63">
        <f>U680-U685</f>
        <v>0</v>
      </c>
    </row>
    <row r="686" spans="1:28" s="43" customFormat="1" ht="18" hidden="1" customHeight="1">
      <c r="A686" s="673"/>
      <c r="B686" s="581"/>
      <c r="C686" s="581"/>
      <c r="D686" s="202" t="str">
        <f>серпень!D609</f>
        <v>план</v>
      </c>
      <c r="E686" s="42"/>
      <c r="F686" s="42">
        <f t="shared" ref="F686:K686" si="746">F680</f>
        <v>0</v>
      </c>
      <c r="G686" s="42">
        <f t="shared" si="746"/>
        <v>0</v>
      </c>
      <c r="H686" s="42">
        <f t="shared" si="746"/>
        <v>0</v>
      </c>
      <c r="I686" s="42">
        <f t="shared" si="746"/>
        <v>0</v>
      </c>
      <c r="J686" s="42">
        <f t="shared" si="746"/>
        <v>0</v>
      </c>
      <c r="K686" s="42">
        <f t="shared" si="746"/>
        <v>0</v>
      </c>
      <c r="L686" s="42">
        <f>SUM(F686:K686)</f>
        <v>0</v>
      </c>
      <c r="M686" s="42">
        <f>L686/6</f>
        <v>0</v>
      </c>
      <c r="N686" s="42">
        <f t="shared" ref="N686:S686" si="747">N680+N679</f>
        <v>0</v>
      </c>
      <c r="O686" s="42">
        <f t="shared" si="747"/>
        <v>0</v>
      </c>
      <c r="P686" s="42">
        <f t="shared" si="747"/>
        <v>0</v>
      </c>
      <c r="Q686" s="42">
        <f t="shared" si="747"/>
        <v>0</v>
      </c>
      <c r="R686" s="42">
        <f t="shared" si="747"/>
        <v>0</v>
      </c>
      <c r="S686" s="42">
        <f t="shared" si="747"/>
        <v>0</v>
      </c>
      <c r="T686" s="42">
        <f>SUM(N686:S686)</f>
        <v>0</v>
      </c>
      <c r="U686" s="42">
        <f>T686+L686</f>
        <v>0</v>
      </c>
      <c r="V686" s="42">
        <f>V683</f>
        <v>0</v>
      </c>
      <c r="W686" s="42">
        <f>V686-U686</f>
        <v>0</v>
      </c>
    </row>
    <row r="687" spans="1:28" s="43" customFormat="1" ht="18" hidden="1" customHeight="1">
      <c r="A687" s="673"/>
      <c r="B687" s="581"/>
      <c r="C687" s="581"/>
      <c r="D687" s="202" t="str">
        <f>серпень!D610</f>
        <v xml:space="preserve">відхилення </v>
      </c>
      <c r="E687" s="42"/>
      <c r="F687" s="42">
        <f t="shared" ref="F687:K687" si="748">F683-F686</f>
        <v>0</v>
      </c>
      <c r="G687" s="42">
        <f t="shared" si="748"/>
        <v>0</v>
      </c>
      <c r="H687" s="42">
        <f t="shared" si="748"/>
        <v>0</v>
      </c>
      <c r="I687" s="42">
        <f t="shared" si="748"/>
        <v>0</v>
      </c>
      <c r="J687" s="42">
        <f t="shared" si="748"/>
        <v>0</v>
      </c>
      <c r="K687" s="42">
        <f t="shared" si="748"/>
        <v>0</v>
      </c>
      <c r="L687" s="42"/>
      <c r="M687" s="42"/>
      <c r="N687" s="42">
        <f t="shared" ref="N687:S687" si="749">N683-N686</f>
        <v>0</v>
      </c>
      <c r="O687" s="42">
        <f t="shared" si="749"/>
        <v>0</v>
      </c>
      <c r="P687" s="42">
        <f t="shared" si="749"/>
        <v>0</v>
      </c>
      <c r="Q687" s="42">
        <f t="shared" si="749"/>
        <v>0</v>
      </c>
      <c r="R687" s="42">
        <f t="shared" si="749"/>
        <v>0</v>
      </c>
      <c r="S687" s="42">
        <f t="shared" si="749"/>
        <v>0</v>
      </c>
      <c r="T687" s="42"/>
      <c r="U687" s="42"/>
      <c r="V687" s="42"/>
      <c r="W687" s="42"/>
    </row>
    <row r="688" spans="1:28" s="43" customFormat="1" ht="17.55" hidden="1" customHeight="1">
      <c r="A688" s="673"/>
      <c r="B688" s="581"/>
      <c r="C688" s="581"/>
      <c r="D688" s="202" t="str">
        <f>серпень!D611</f>
        <v>відхилення з наростаючим</v>
      </c>
      <c r="E688" s="42"/>
      <c r="F688" s="42">
        <f>F687</f>
        <v>0</v>
      </c>
      <c r="G688" s="42">
        <f>G687+F688</f>
        <v>0</v>
      </c>
      <c r="H688" s="42">
        <f>H687+G688</f>
        <v>0</v>
      </c>
      <c r="I688" s="42">
        <f>I687+H688</f>
        <v>0</v>
      </c>
      <c r="J688" s="42">
        <f>J687+I688</f>
        <v>0</v>
      </c>
      <c r="K688" s="42">
        <f>K687+J688</f>
        <v>0</v>
      </c>
      <c r="L688" s="42"/>
      <c r="M688" s="42"/>
      <c r="N688" s="42">
        <f>N687+K688</f>
        <v>0</v>
      </c>
      <c r="O688" s="42">
        <f>O687+N688</f>
        <v>0</v>
      </c>
      <c r="P688" s="42">
        <f>P687+O688</f>
        <v>0</v>
      </c>
      <c r="Q688" s="42">
        <f>Q687+P688</f>
        <v>0</v>
      </c>
      <c r="R688" s="42">
        <f>R687+Q688</f>
        <v>0</v>
      </c>
      <c r="S688" s="42">
        <f>S687+R688</f>
        <v>0</v>
      </c>
      <c r="T688" s="42"/>
      <c r="U688" s="42"/>
      <c r="V688" s="42"/>
      <c r="W688" s="42"/>
    </row>
    <row r="689" spans="1:28" s="55" customFormat="1" ht="17.55" hidden="1" customHeight="1">
      <c r="A689" s="673"/>
      <c r="B689" s="654" t="s">
        <v>141</v>
      </c>
      <c r="C689" s="581"/>
      <c r="D689" s="178" t="str">
        <f>серпень!D612</f>
        <v>факт. нат.п-ки 2023</v>
      </c>
      <c r="E689" s="11"/>
      <c r="F689" s="12"/>
      <c r="G689" s="12"/>
      <c r="H689" s="12"/>
      <c r="I689" s="12"/>
      <c r="J689" s="12"/>
      <c r="K689" s="12"/>
      <c r="L689" s="65">
        <f>SUM(F689:K689)</f>
        <v>0</v>
      </c>
      <c r="M689" s="65">
        <f>L689/6</f>
        <v>0</v>
      </c>
      <c r="N689" s="12"/>
      <c r="O689" s="12"/>
      <c r="P689" s="12"/>
      <c r="Q689" s="12"/>
      <c r="R689" s="12"/>
      <c r="S689" s="12"/>
      <c r="T689" s="65">
        <f>SUM(N689:S689)</f>
        <v>0</v>
      </c>
      <c r="U689" s="66">
        <f>T689+L689</f>
        <v>0</v>
      </c>
      <c r="V689" s="67"/>
      <c r="W689" s="38">
        <f>V689-U689</f>
        <v>0</v>
      </c>
      <c r="X689" s="47"/>
      <c r="Y689" s="48"/>
      <c r="Z689" s="48"/>
      <c r="AA689" s="48"/>
      <c r="AB689" s="48"/>
    </row>
    <row r="690" spans="1:28" s="48" customFormat="1" ht="18" hidden="1" customHeight="1">
      <c r="A690" s="673"/>
      <c r="B690" s="581"/>
      <c r="C690" s="581"/>
      <c r="D690" s="178" t="str">
        <f>серпень!D613</f>
        <v>факт. нат.п-ки 2024</v>
      </c>
      <c r="E690" s="11"/>
      <c r="F690" s="12"/>
      <c r="G690" s="12"/>
      <c r="H690" s="12"/>
      <c r="I690" s="12"/>
      <c r="J690" s="12"/>
      <c r="K690" s="12"/>
      <c r="L690" s="65">
        <f>SUM(F690:K690)</f>
        <v>0</v>
      </c>
      <c r="M690" s="65">
        <f>L690/6</f>
        <v>0</v>
      </c>
      <c r="N690" s="11"/>
      <c r="O690" s="11"/>
      <c r="P690" s="11"/>
      <c r="Q690" s="11"/>
      <c r="R690" s="11"/>
      <c r="S690" s="11"/>
      <c r="T690" s="65">
        <f>SUM(N690:S690)</f>
        <v>0</v>
      </c>
      <c r="U690" s="66">
        <f>T690+L690</f>
        <v>0</v>
      </c>
      <c r="V690" s="67"/>
      <c r="W690" s="38">
        <f>V690-U690</f>
        <v>0</v>
      </c>
      <c r="X690" s="47"/>
    </row>
    <row r="691" spans="1:28" s="48" customFormat="1" ht="18" hidden="1" customHeight="1">
      <c r="A691" s="673"/>
      <c r="B691" s="581"/>
      <c r="C691" s="581"/>
      <c r="D691" s="178" t="str">
        <f>серпень!D614</f>
        <v>факт. нат.п-ки 2025</v>
      </c>
      <c r="E691" s="11"/>
      <c r="F691" s="12"/>
      <c r="G691" s="12"/>
      <c r="H691" s="12"/>
      <c r="I691" s="12"/>
      <c r="J691" s="12"/>
      <c r="K691" s="12"/>
      <c r="L691" s="65">
        <f>SUM(F691:K691)</f>
        <v>0</v>
      </c>
      <c r="M691" s="65">
        <f>L691/6</f>
        <v>0</v>
      </c>
      <c r="N691" s="12"/>
      <c r="O691" s="12"/>
      <c r="P691" s="12"/>
      <c r="Q691" s="12"/>
      <c r="R691" s="12"/>
      <c r="S691" s="11"/>
      <c r="T691" s="65">
        <f>SUM(N691:S691)</f>
        <v>0</v>
      </c>
      <c r="U691" s="66">
        <f>T691+L691</f>
        <v>0</v>
      </c>
      <c r="V691" s="11"/>
      <c r="W691" s="38">
        <f>V691-U691</f>
        <v>0</v>
      </c>
      <c r="X691" s="47"/>
    </row>
    <row r="692" spans="1:28" s="51" customFormat="1" ht="18" hidden="1" customHeight="1">
      <c r="A692" s="673"/>
      <c r="B692" s="581"/>
      <c r="C692" s="581"/>
      <c r="D692" s="187" t="str">
        <f>серпень!D615</f>
        <v>тариф, грн.</v>
      </c>
      <c r="E692" s="49"/>
      <c r="F692" s="49"/>
      <c r="G692" s="49"/>
      <c r="H692" s="49"/>
      <c r="I692" s="49"/>
      <c r="J692" s="49"/>
      <c r="K692" s="49"/>
      <c r="L692" s="49" t="e">
        <f>L693/L691*1000</f>
        <v>#DIV/0!</v>
      </c>
      <c r="M692" s="49" t="e">
        <f>M693/M691*1000</f>
        <v>#DIV/0!</v>
      </c>
      <c r="N692" s="49"/>
      <c r="O692" s="49"/>
      <c r="P692" s="49"/>
      <c r="Q692" s="49"/>
      <c r="R692" s="49"/>
      <c r="S692" s="49"/>
      <c r="T692" s="49" t="e">
        <f>T693/T691*1000</f>
        <v>#DIV/0!</v>
      </c>
      <c r="U692" s="49" t="e">
        <f>U693/U691*1000</f>
        <v>#DIV/0!</v>
      </c>
      <c r="V692" s="68" t="e">
        <f>V693/V691*1000</f>
        <v>#DIV/0!</v>
      </c>
      <c r="W692" s="14" t="e">
        <f>W693/W691*1000</f>
        <v>#DIV/0!</v>
      </c>
      <c r="X692" s="59"/>
    </row>
    <row r="693" spans="1:28" s="130" customFormat="1" ht="18" hidden="1" customHeight="1">
      <c r="A693" s="673"/>
      <c r="B693" s="581"/>
      <c r="C693" s="581"/>
      <c r="D693" s="191" t="str">
        <f>серпень!D616</f>
        <v>сума, тис.грн.</v>
      </c>
      <c r="E693" s="52"/>
      <c r="F693" s="52">
        <f t="shared" ref="F693:K693" si="750">F691*F692/1000</f>
        <v>0</v>
      </c>
      <c r="G693" s="52">
        <f t="shared" si="750"/>
        <v>0</v>
      </c>
      <c r="H693" s="52">
        <f t="shared" si="750"/>
        <v>0</v>
      </c>
      <c r="I693" s="52">
        <f t="shared" si="750"/>
        <v>0</v>
      </c>
      <c r="J693" s="52">
        <f t="shared" si="750"/>
        <v>0</v>
      </c>
      <c r="K693" s="52">
        <f t="shared" si="750"/>
        <v>0</v>
      </c>
      <c r="L693" s="69">
        <f>SUM(F693:K693)</f>
        <v>0</v>
      </c>
      <c r="M693" s="69">
        <f>L693/6</f>
        <v>0</v>
      </c>
      <c r="N693" s="52">
        <f t="shared" ref="N693:S693" si="751">N691*N692/1000</f>
        <v>0</v>
      </c>
      <c r="O693" s="52">
        <f t="shared" si="751"/>
        <v>0</v>
      </c>
      <c r="P693" s="52">
        <f t="shared" si="751"/>
        <v>0</v>
      </c>
      <c r="Q693" s="52">
        <f t="shared" si="751"/>
        <v>0</v>
      </c>
      <c r="R693" s="52">
        <f t="shared" si="751"/>
        <v>0</v>
      </c>
      <c r="S693" s="52">
        <f t="shared" si="751"/>
        <v>0</v>
      </c>
      <c r="T693" s="69">
        <f>SUM(N693:S693)</f>
        <v>0</v>
      </c>
      <c r="U693" s="69">
        <f>T693+L693</f>
        <v>0</v>
      </c>
      <c r="V693" s="70">
        <f>V694+V695</f>
        <v>0</v>
      </c>
      <c r="W693" s="53">
        <f>V693-U693</f>
        <v>0</v>
      </c>
    </row>
    <row r="694" spans="1:28" s="130" customFormat="1" ht="18" hidden="1" customHeight="1">
      <c r="A694" s="673"/>
      <c r="B694" s="581"/>
      <c r="C694" s="581"/>
      <c r="D694" s="174" t="str">
        <f>серпень!D617</f>
        <v>дотація</v>
      </c>
      <c r="E694" s="56"/>
      <c r="F694" s="52"/>
      <c r="G694" s="52"/>
      <c r="H694" s="52"/>
      <c r="I694" s="52"/>
      <c r="J694" s="52"/>
      <c r="K694" s="52"/>
      <c r="L694" s="69">
        <f>SUM(F694:K694)</f>
        <v>0</v>
      </c>
      <c r="M694" s="69">
        <f>L694/6</f>
        <v>0</v>
      </c>
      <c r="N694" s="52"/>
      <c r="O694" s="52"/>
      <c r="P694" s="52"/>
      <c r="Q694" s="52"/>
      <c r="R694" s="52"/>
      <c r="S694" s="52"/>
      <c r="T694" s="69">
        <f>SUM(N694:S694)</f>
        <v>0</v>
      </c>
      <c r="U694" s="69">
        <f>T694+L694</f>
        <v>0</v>
      </c>
      <c r="V694" s="70">
        <v>0</v>
      </c>
      <c r="W694" s="53">
        <f>V694-U694</f>
        <v>0</v>
      </c>
    </row>
    <row r="695" spans="1:28" s="130" customFormat="1" ht="18" hidden="1" customHeight="1">
      <c r="A695" s="673"/>
      <c r="B695" s="581"/>
      <c r="C695" s="581"/>
      <c r="D695" s="174" t="str">
        <f>серпень!D618</f>
        <v>місцевий (план), тис.грн</v>
      </c>
      <c r="E695" s="56"/>
      <c r="F695" s="52"/>
      <c r="G695" s="52"/>
      <c r="H695" s="52"/>
      <c r="I695" s="52"/>
      <c r="J695" s="52"/>
      <c r="K695" s="52"/>
      <c r="L695" s="69">
        <f>SUM(F695:K695)</f>
        <v>0</v>
      </c>
      <c r="M695" s="69">
        <f>L695/6</f>
        <v>0</v>
      </c>
      <c r="N695" s="52"/>
      <c r="O695" s="52"/>
      <c r="P695" s="52"/>
      <c r="Q695" s="52"/>
      <c r="R695" s="52"/>
      <c r="S695" s="52"/>
      <c r="T695" s="69">
        <f>SUM(N695:S695)</f>
        <v>0</v>
      </c>
      <c r="U695" s="69">
        <f>T695+L695</f>
        <v>0</v>
      </c>
      <c r="V695" s="70"/>
      <c r="W695" s="53">
        <f>V695-U695</f>
        <v>0</v>
      </c>
    </row>
    <row r="696" spans="1:28" s="48" customFormat="1" ht="18" hidden="1" customHeight="1">
      <c r="A696" s="673"/>
      <c r="B696" s="581"/>
      <c r="C696" s="581"/>
      <c r="D696" s="178" t="str">
        <f>серпень!D619</f>
        <v>касові нат.п-ки 2025</v>
      </c>
      <c r="E696" s="11"/>
      <c r="F696" s="11"/>
      <c r="G696" s="11"/>
      <c r="H696" s="11"/>
      <c r="I696" s="11"/>
      <c r="J696" s="11"/>
      <c r="K696" s="11"/>
      <c r="L696" s="65">
        <f>SUM(F696:K696)</f>
        <v>0</v>
      </c>
      <c r="M696" s="65">
        <f>L696/6</f>
        <v>0</v>
      </c>
      <c r="N696" s="11"/>
      <c r="O696" s="11"/>
      <c r="P696" s="11"/>
      <c r="Q696" s="11"/>
      <c r="R696" s="11"/>
      <c r="S696" s="11"/>
      <c r="T696" s="65">
        <f>SUM(N696:S696)</f>
        <v>0</v>
      </c>
      <c r="U696" s="65">
        <f>T696+L696</f>
        <v>0</v>
      </c>
      <c r="V696" s="11">
        <f>V691</f>
        <v>0</v>
      </c>
      <c r="W696" s="38">
        <f>V696-U696</f>
        <v>0</v>
      </c>
      <c r="X696" s="47">
        <f>U691-U696</f>
        <v>0</v>
      </c>
    </row>
    <row r="697" spans="1:28" s="51" customFormat="1" ht="18" hidden="1" customHeight="1">
      <c r="A697" s="673"/>
      <c r="B697" s="581"/>
      <c r="C697" s="581"/>
      <c r="D697" s="187" t="str">
        <f>серпень!D620</f>
        <v>тариф, грн.</v>
      </c>
      <c r="E697" s="49" t="e">
        <f>E698/E696*1000</f>
        <v>#DIV/0!</v>
      </c>
      <c r="F697" s="49"/>
      <c r="G697" s="49"/>
      <c r="H697" s="49"/>
      <c r="I697" s="49"/>
      <c r="J697" s="49"/>
      <c r="K697" s="49"/>
      <c r="L697" s="49" t="e">
        <f>L698/L696*1000</f>
        <v>#DIV/0!</v>
      </c>
      <c r="M697" s="49" t="e">
        <f>M698/M696*1000</f>
        <v>#DIV/0!</v>
      </c>
      <c r="N697" s="49"/>
      <c r="O697" s="49"/>
      <c r="P697" s="49"/>
      <c r="Q697" s="49"/>
      <c r="R697" s="49"/>
      <c r="S697" s="49"/>
      <c r="T697" s="49" t="e">
        <f>T698/T696*1000</f>
        <v>#DIV/0!</v>
      </c>
      <c r="U697" s="49" t="e">
        <f>U698/U696*1000</f>
        <v>#DIV/0!</v>
      </c>
      <c r="V697" s="68" t="e">
        <f>V698/V696*1000</f>
        <v>#DIV/0!</v>
      </c>
      <c r="W697" s="14" t="e">
        <f>W698/W696*1000</f>
        <v>#DIV/0!</v>
      </c>
      <c r="X697" s="59"/>
    </row>
    <row r="698" spans="1:28" s="126" customFormat="1" ht="18" hidden="1" customHeight="1">
      <c r="A698" s="673"/>
      <c r="B698" s="581"/>
      <c r="C698" s="581"/>
      <c r="D698" s="198" t="str">
        <f>серпень!D621</f>
        <v>касові видатки, тис.грн.</v>
      </c>
      <c r="E698" s="71"/>
      <c r="F698" s="61">
        <f t="shared" ref="F698:K698" si="752">F696*F697/1000</f>
        <v>0</v>
      </c>
      <c r="G698" s="61">
        <f t="shared" si="752"/>
        <v>0</v>
      </c>
      <c r="H698" s="61">
        <f t="shared" si="752"/>
        <v>0</v>
      </c>
      <c r="I698" s="61">
        <f t="shared" si="752"/>
        <v>0</v>
      </c>
      <c r="J698" s="61">
        <f t="shared" si="752"/>
        <v>0</v>
      </c>
      <c r="K698" s="61">
        <f t="shared" si="752"/>
        <v>0</v>
      </c>
      <c r="L698" s="61">
        <f>SUM(F698:K698)</f>
        <v>0</v>
      </c>
      <c r="M698" s="61">
        <f>L698/6</f>
        <v>0</v>
      </c>
      <c r="N698" s="61">
        <f t="shared" ref="N698:S698" si="753">N696*N697/1000</f>
        <v>0</v>
      </c>
      <c r="O698" s="61">
        <f t="shared" si="753"/>
        <v>0</v>
      </c>
      <c r="P698" s="61">
        <f t="shared" si="753"/>
        <v>0</v>
      </c>
      <c r="Q698" s="61">
        <f t="shared" si="753"/>
        <v>0</v>
      </c>
      <c r="R698" s="61">
        <f t="shared" si="753"/>
        <v>0</v>
      </c>
      <c r="S698" s="61">
        <f t="shared" si="753"/>
        <v>0</v>
      </c>
      <c r="T698" s="61">
        <f>SUM(N698:S698)</f>
        <v>0</v>
      </c>
      <c r="U698" s="61">
        <f>T698+L698</f>
        <v>0</v>
      </c>
      <c r="V698" s="61">
        <f>V693</f>
        <v>0</v>
      </c>
      <c r="W698" s="72">
        <f>V698-U698</f>
        <v>0</v>
      </c>
      <c r="X698" s="63">
        <f>U693-U698</f>
        <v>0</v>
      </c>
    </row>
    <row r="699" spans="1:28" s="126" customFormat="1" ht="18" hidden="1" customHeight="1">
      <c r="A699" s="673"/>
      <c r="B699" s="581"/>
      <c r="C699" s="581"/>
      <c r="D699" s="201" t="str">
        <f>серпень!D622</f>
        <v>дотація</v>
      </c>
      <c r="E699" s="71"/>
      <c r="F699" s="61"/>
      <c r="G699" s="61"/>
      <c r="H699" s="61"/>
      <c r="I699" s="61"/>
      <c r="J699" s="61"/>
      <c r="K699" s="61"/>
      <c r="L699" s="61">
        <f>SUM(F699:K699)</f>
        <v>0</v>
      </c>
      <c r="M699" s="61">
        <f>L699/6</f>
        <v>0</v>
      </c>
      <c r="N699" s="61"/>
      <c r="O699" s="61"/>
      <c r="P699" s="61"/>
      <c r="Q699" s="61"/>
      <c r="R699" s="61"/>
      <c r="S699" s="61"/>
      <c r="T699" s="61">
        <f>SUM(N699:S699)</f>
        <v>0</v>
      </c>
      <c r="U699" s="61">
        <f>T699+L699</f>
        <v>0</v>
      </c>
      <c r="V699" s="61">
        <f>V694</f>
        <v>0</v>
      </c>
      <c r="W699" s="72">
        <f>V699-U699</f>
        <v>0</v>
      </c>
      <c r="X699" s="63"/>
    </row>
    <row r="700" spans="1:28" s="126" customFormat="1" ht="18" hidden="1" customHeight="1">
      <c r="A700" s="673"/>
      <c r="B700" s="581"/>
      <c r="C700" s="581"/>
      <c r="D700" s="201" t="str">
        <f>серпень!D623</f>
        <v xml:space="preserve">місцевий </v>
      </c>
      <c r="E700" s="71"/>
      <c r="F700" s="61">
        <f t="shared" ref="F700:K700" si="754">F698-F699</f>
        <v>0</v>
      </c>
      <c r="G700" s="61">
        <f t="shared" si="754"/>
        <v>0</v>
      </c>
      <c r="H700" s="61">
        <f t="shared" si="754"/>
        <v>0</v>
      </c>
      <c r="I700" s="61">
        <f t="shared" si="754"/>
        <v>0</v>
      </c>
      <c r="J700" s="61">
        <f t="shared" si="754"/>
        <v>0</v>
      </c>
      <c r="K700" s="61">
        <f t="shared" si="754"/>
        <v>0</v>
      </c>
      <c r="L700" s="61">
        <f>SUM(F700:K700)</f>
        <v>0</v>
      </c>
      <c r="M700" s="61">
        <f>L700/6</f>
        <v>0</v>
      </c>
      <c r="N700" s="61">
        <f t="shared" ref="N700:S700" si="755">N698-N699</f>
        <v>0</v>
      </c>
      <c r="O700" s="61">
        <f t="shared" si="755"/>
        <v>0</v>
      </c>
      <c r="P700" s="61">
        <f t="shared" si="755"/>
        <v>0</v>
      </c>
      <c r="Q700" s="61">
        <f t="shared" si="755"/>
        <v>0</v>
      </c>
      <c r="R700" s="61">
        <f t="shared" si="755"/>
        <v>0</v>
      </c>
      <c r="S700" s="61">
        <f t="shared" si="755"/>
        <v>0</v>
      </c>
      <c r="T700" s="61">
        <f>SUM(N700:S700)</f>
        <v>0</v>
      </c>
      <c r="U700" s="61">
        <f>T700+L700</f>
        <v>0</v>
      </c>
      <c r="V700" s="61">
        <f>V695</f>
        <v>0</v>
      </c>
      <c r="W700" s="72">
        <f>V700-U700</f>
        <v>0</v>
      </c>
      <c r="X700" s="63">
        <f>U695-U700</f>
        <v>0</v>
      </c>
    </row>
    <row r="701" spans="1:28" s="43" customFormat="1" ht="18" hidden="1" customHeight="1">
      <c r="A701" s="673"/>
      <c r="B701" s="581"/>
      <c r="C701" s="581"/>
      <c r="D701" s="202" t="str">
        <f>серпень!D624</f>
        <v>план</v>
      </c>
      <c r="E701" s="42"/>
      <c r="F701" s="42">
        <f t="shared" ref="F701:K701" si="756">F695</f>
        <v>0</v>
      </c>
      <c r="G701" s="42">
        <f t="shared" si="756"/>
        <v>0</v>
      </c>
      <c r="H701" s="42">
        <f t="shared" si="756"/>
        <v>0</v>
      </c>
      <c r="I701" s="42">
        <f t="shared" si="756"/>
        <v>0</v>
      </c>
      <c r="J701" s="42">
        <f t="shared" si="756"/>
        <v>0</v>
      </c>
      <c r="K701" s="42">
        <f t="shared" si="756"/>
        <v>0</v>
      </c>
      <c r="L701" s="42">
        <f>SUM(F701:K701)</f>
        <v>0</v>
      </c>
      <c r="M701" s="42">
        <f>L701/6</f>
        <v>0</v>
      </c>
      <c r="N701" s="42">
        <f t="shared" ref="N701:S701" si="757">N695+N694</f>
        <v>0</v>
      </c>
      <c r="O701" s="42">
        <f t="shared" si="757"/>
        <v>0</v>
      </c>
      <c r="P701" s="42">
        <f t="shared" si="757"/>
        <v>0</v>
      </c>
      <c r="Q701" s="42">
        <f t="shared" si="757"/>
        <v>0</v>
      </c>
      <c r="R701" s="42">
        <f t="shared" si="757"/>
        <v>0</v>
      </c>
      <c r="S701" s="42">
        <f t="shared" si="757"/>
        <v>0</v>
      </c>
      <c r="T701" s="42">
        <f>SUM(N701:S701)</f>
        <v>0</v>
      </c>
      <c r="U701" s="42">
        <f>T701+L701</f>
        <v>0</v>
      </c>
      <c r="V701" s="42">
        <f>V698</f>
        <v>0</v>
      </c>
      <c r="W701" s="42">
        <f>V701-U701</f>
        <v>0</v>
      </c>
    </row>
    <row r="702" spans="1:28" s="43" customFormat="1" ht="18" hidden="1" customHeight="1">
      <c r="A702" s="673"/>
      <c r="B702" s="581"/>
      <c r="C702" s="581"/>
      <c r="D702" s="202" t="str">
        <f>серпень!D625</f>
        <v xml:space="preserve">відхилення </v>
      </c>
      <c r="E702" s="42"/>
      <c r="F702" s="42">
        <f t="shared" ref="F702:K702" si="758">F698-F701</f>
        <v>0</v>
      </c>
      <c r="G702" s="42">
        <f t="shared" si="758"/>
        <v>0</v>
      </c>
      <c r="H702" s="42">
        <f t="shared" si="758"/>
        <v>0</v>
      </c>
      <c r="I702" s="42">
        <f t="shared" si="758"/>
        <v>0</v>
      </c>
      <c r="J702" s="42">
        <f t="shared" si="758"/>
        <v>0</v>
      </c>
      <c r="K702" s="42">
        <f t="shared" si="758"/>
        <v>0</v>
      </c>
      <c r="L702" s="42"/>
      <c r="M702" s="42"/>
      <c r="N702" s="42">
        <f t="shared" ref="N702:S702" si="759">N698-N701</f>
        <v>0</v>
      </c>
      <c r="O702" s="42">
        <f t="shared" si="759"/>
        <v>0</v>
      </c>
      <c r="P702" s="42">
        <f t="shared" si="759"/>
        <v>0</v>
      </c>
      <c r="Q702" s="42">
        <f t="shared" si="759"/>
        <v>0</v>
      </c>
      <c r="R702" s="42">
        <f t="shared" si="759"/>
        <v>0</v>
      </c>
      <c r="S702" s="42">
        <f t="shared" si="759"/>
        <v>0</v>
      </c>
      <c r="T702" s="42"/>
      <c r="U702" s="42"/>
      <c r="V702" s="42"/>
      <c r="W702" s="42"/>
    </row>
    <row r="703" spans="1:28" s="43" customFormat="1" ht="17.55" hidden="1" customHeight="1">
      <c r="A703" s="673"/>
      <c r="B703" s="581"/>
      <c r="C703" s="581"/>
      <c r="D703" s="202" t="str">
        <f>серпень!D626</f>
        <v>відхилення з наростаючим</v>
      </c>
      <c r="E703" s="42"/>
      <c r="F703" s="42">
        <f>F702</f>
        <v>0</v>
      </c>
      <c r="G703" s="42">
        <f>G702+F703</f>
        <v>0</v>
      </c>
      <c r="H703" s="42">
        <f>H702+G703</f>
        <v>0</v>
      </c>
      <c r="I703" s="42">
        <f>I702+H703</f>
        <v>0</v>
      </c>
      <c r="J703" s="42">
        <f>J702+I703</f>
        <v>0</v>
      </c>
      <c r="K703" s="42">
        <f>K702+J703</f>
        <v>0</v>
      </c>
      <c r="L703" s="42"/>
      <c r="M703" s="42"/>
      <c r="N703" s="42">
        <f>N702+K703</f>
        <v>0</v>
      </c>
      <c r="O703" s="42">
        <f>O702+N703</f>
        <v>0</v>
      </c>
      <c r="P703" s="42">
        <f>P702+O703</f>
        <v>0</v>
      </c>
      <c r="Q703" s="42">
        <f>Q702+P703</f>
        <v>0</v>
      </c>
      <c r="R703" s="42">
        <f>R702+Q703</f>
        <v>0</v>
      </c>
      <c r="S703" s="42">
        <f>S702+R703</f>
        <v>0</v>
      </c>
      <c r="T703" s="42"/>
      <c r="U703" s="42"/>
      <c r="V703" s="42"/>
      <c r="W703" s="42"/>
    </row>
    <row r="704" spans="1:28" s="47" customFormat="1" ht="18" hidden="1" customHeight="1">
      <c r="A704" s="673"/>
      <c r="B704" s="585" t="s">
        <v>88</v>
      </c>
      <c r="C704" s="586"/>
      <c r="D704" s="178" t="str">
        <f>серпень!D627</f>
        <v>факт. нат.п-ки 2023</v>
      </c>
      <c r="E704" s="11"/>
      <c r="F704" s="12">
        <f>F719+F734</f>
        <v>0</v>
      </c>
      <c r="G704" s="12">
        <f t="shared" ref="G704:K704" si="760">G719+G734</f>
        <v>0</v>
      </c>
      <c r="H704" s="12">
        <f t="shared" si="760"/>
        <v>0</v>
      </c>
      <c r="I704" s="12">
        <f t="shared" si="760"/>
        <v>0</v>
      </c>
      <c r="J704" s="12">
        <f t="shared" si="760"/>
        <v>0</v>
      </c>
      <c r="K704" s="12">
        <f t="shared" si="760"/>
        <v>0</v>
      </c>
      <c r="L704" s="65">
        <f>SUM(F704:K704)</f>
        <v>0</v>
      </c>
      <c r="M704" s="65">
        <f>L704/6</f>
        <v>0</v>
      </c>
      <c r="N704" s="12">
        <f>N719+N734</f>
        <v>0</v>
      </c>
      <c r="O704" s="12">
        <f t="shared" ref="O704:S704" si="761">O719+O734</f>
        <v>0</v>
      </c>
      <c r="P704" s="12">
        <f t="shared" si="761"/>
        <v>0</v>
      </c>
      <c r="Q704" s="12">
        <f t="shared" si="761"/>
        <v>0</v>
      </c>
      <c r="R704" s="12">
        <f t="shared" si="761"/>
        <v>0</v>
      </c>
      <c r="S704" s="12">
        <f t="shared" si="761"/>
        <v>0</v>
      </c>
      <c r="T704" s="65">
        <f>SUM(N704:S704)</f>
        <v>0</v>
      </c>
      <c r="U704" s="66">
        <f>T704+L704</f>
        <v>0</v>
      </c>
      <c r="V704" s="67">
        <f t="shared" ref="V704" si="762">V719+V734</f>
        <v>0</v>
      </c>
      <c r="W704" s="38">
        <f>V704-U704</f>
        <v>0</v>
      </c>
    </row>
    <row r="705" spans="1:23" s="47" customFormat="1" ht="18" hidden="1" customHeight="1">
      <c r="A705" s="673"/>
      <c r="B705" s="587"/>
      <c r="C705" s="588"/>
      <c r="D705" s="178" t="str">
        <f>серпень!D628</f>
        <v>факт. нат.п-ки 2024</v>
      </c>
      <c r="E705" s="11"/>
      <c r="F705" s="12">
        <f t="shared" ref="F705:K706" si="763">F720+F735</f>
        <v>0</v>
      </c>
      <c r="G705" s="12">
        <f t="shared" si="763"/>
        <v>0</v>
      </c>
      <c r="H705" s="12">
        <f t="shared" si="763"/>
        <v>0</v>
      </c>
      <c r="I705" s="12">
        <f t="shared" si="763"/>
        <v>0</v>
      </c>
      <c r="J705" s="12">
        <f t="shared" si="763"/>
        <v>0</v>
      </c>
      <c r="K705" s="12">
        <f t="shared" si="763"/>
        <v>0</v>
      </c>
      <c r="L705" s="65">
        <f>SUM(F705:K705)</f>
        <v>0</v>
      </c>
      <c r="M705" s="65">
        <f>L705/6</f>
        <v>0</v>
      </c>
      <c r="N705" s="11">
        <f t="shared" ref="N705:S705" si="764">N720+N735</f>
        <v>0</v>
      </c>
      <c r="O705" s="11">
        <f t="shared" si="764"/>
        <v>0</v>
      </c>
      <c r="P705" s="11">
        <f t="shared" si="764"/>
        <v>0</v>
      </c>
      <c r="Q705" s="11">
        <f t="shared" si="764"/>
        <v>0</v>
      </c>
      <c r="R705" s="11">
        <f t="shared" si="764"/>
        <v>0</v>
      </c>
      <c r="S705" s="11">
        <f t="shared" si="764"/>
        <v>0</v>
      </c>
      <c r="T705" s="65">
        <f>SUM(N705:S705)</f>
        <v>0</v>
      </c>
      <c r="U705" s="66">
        <f>T705+L705</f>
        <v>0</v>
      </c>
      <c r="V705" s="67">
        <f t="shared" ref="V705" si="765">V720+V735</f>
        <v>0</v>
      </c>
      <c r="W705" s="38">
        <f>V705-U705</f>
        <v>0</v>
      </c>
    </row>
    <row r="706" spans="1:23" s="47" customFormat="1" ht="18" hidden="1" customHeight="1">
      <c r="A706" s="673"/>
      <c r="B706" s="587"/>
      <c r="C706" s="588"/>
      <c r="D706" s="178" t="str">
        <f>серпень!D629</f>
        <v>факт. нат.п-ки 2025</v>
      </c>
      <c r="E706" s="11"/>
      <c r="F706" s="12">
        <f t="shared" si="763"/>
        <v>0</v>
      </c>
      <c r="G706" s="12">
        <f t="shared" si="763"/>
        <v>0</v>
      </c>
      <c r="H706" s="12">
        <f t="shared" si="763"/>
        <v>0</v>
      </c>
      <c r="I706" s="12">
        <f t="shared" si="763"/>
        <v>0</v>
      </c>
      <c r="J706" s="12">
        <f t="shared" si="763"/>
        <v>0</v>
      </c>
      <c r="K706" s="12">
        <f t="shared" si="763"/>
        <v>0</v>
      </c>
      <c r="L706" s="65">
        <f>SUM(F706:K706)</f>
        <v>0</v>
      </c>
      <c r="M706" s="65">
        <f>L706/6</f>
        <v>0</v>
      </c>
      <c r="N706" s="12">
        <f t="shared" ref="N706:S706" si="766">N721+N736</f>
        <v>0</v>
      </c>
      <c r="O706" s="12">
        <f t="shared" si="766"/>
        <v>0</v>
      </c>
      <c r="P706" s="12">
        <f t="shared" si="766"/>
        <v>0</v>
      </c>
      <c r="Q706" s="12">
        <f t="shared" si="766"/>
        <v>0</v>
      </c>
      <c r="R706" s="12">
        <f t="shared" si="766"/>
        <v>0</v>
      </c>
      <c r="S706" s="11">
        <f t="shared" si="766"/>
        <v>0</v>
      </c>
      <c r="T706" s="65">
        <f>SUM(N706:S706)</f>
        <v>0</v>
      </c>
      <c r="U706" s="66">
        <f>T706+L706</f>
        <v>0</v>
      </c>
      <c r="V706" s="11">
        <f t="shared" ref="V706" si="767">V721+V736</f>
        <v>0</v>
      </c>
      <c r="W706" s="38">
        <f>V706-U706</f>
        <v>0</v>
      </c>
    </row>
    <row r="707" spans="1:23" s="47" customFormat="1" ht="18" hidden="1" customHeight="1">
      <c r="A707" s="673"/>
      <c r="B707" s="587"/>
      <c r="C707" s="588"/>
      <c r="D707" s="187" t="str">
        <f>серпень!D630</f>
        <v>тариф, грн.</v>
      </c>
      <c r="E707" s="49"/>
      <c r="F707" s="49" t="e">
        <f>F708/F706*1000</f>
        <v>#DIV/0!</v>
      </c>
      <c r="G707" s="49" t="e">
        <f t="shared" ref="G707:K707" si="768">G708/G706*1000</f>
        <v>#DIV/0!</v>
      </c>
      <c r="H707" s="49" t="e">
        <f t="shared" si="768"/>
        <v>#DIV/0!</v>
      </c>
      <c r="I707" s="49" t="e">
        <f t="shared" si="768"/>
        <v>#DIV/0!</v>
      </c>
      <c r="J707" s="49" t="e">
        <f t="shared" si="768"/>
        <v>#DIV/0!</v>
      </c>
      <c r="K707" s="49" t="e">
        <f t="shared" si="768"/>
        <v>#DIV/0!</v>
      </c>
      <c r="L707" s="49" t="e">
        <f>L708/L706*1000</f>
        <v>#DIV/0!</v>
      </c>
      <c r="M707" s="49" t="e">
        <f>M708/M706*1000</f>
        <v>#DIV/0!</v>
      </c>
      <c r="N707" s="49" t="e">
        <f>N708/N706*1000</f>
        <v>#DIV/0!</v>
      </c>
      <c r="O707" s="49" t="e">
        <f t="shared" ref="O707" si="769">O708/O706*1000</f>
        <v>#DIV/0!</v>
      </c>
      <c r="P707" s="49" t="e">
        <f t="shared" ref="P707" si="770">P708/P706*1000</f>
        <v>#DIV/0!</v>
      </c>
      <c r="Q707" s="49" t="e">
        <f t="shared" ref="Q707" si="771">Q708/Q706*1000</f>
        <v>#DIV/0!</v>
      </c>
      <c r="R707" s="49" t="e">
        <f t="shared" ref="R707" si="772">R708/R706*1000</f>
        <v>#DIV/0!</v>
      </c>
      <c r="S707" s="49" t="e">
        <f t="shared" ref="S707" si="773">S708/S706*1000</f>
        <v>#DIV/0!</v>
      </c>
      <c r="T707" s="49" t="e">
        <f>T708/T706*1000</f>
        <v>#DIV/0!</v>
      </c>
      <c r="U707" s="49" t="e">
        <f>U708/U706*1000</f>
        <v>#DIV/0!</v>
      </c>
      <c r="V707" s="68" t="e">
        <f>V708/V706*1000</f>
        <v>#DIV/0!</v>
      </c>
      <c r="W707" s="14" t="e">
        <f>W708/W706*1000</f>
        <v>#DIV/0!</v>
      </c>
    </row>
    <row r="708" spans="1:23" s="47" customFormat="1" ht="18" hidden="1" customHeight="1">
      <c r="A708" s="673"/>
      <c r="B708" s="587"/>
      <c r="C708" s="588"/>
      <c r="D708" s="191" t="str">
        <f>серпень!D631</f>
        <v>сума, тис.грн.</v>
      </c>
      <c r="E708" s="52"/>
      <c r="F708" s="52">
        <f>F723+F738</f>
        <v>0</v>
      </c>
      <c r="G708" s="52">
        <f t="shared" ref="G708:K708" si="774">G723+G738</f>
        <v>0</v>
      </c>
      <c r="H708" s="52">
        <f t="shared" si="774"/>
        <v>0</v>
      </c>
      <c r="I708" s="52">
        <f t="shared" si="774"/>
        <v>0</v>
      </c>
      <c r="J708" s="52">
        <f t="shared" si="774"/>
        <v>0</v>
      </c>
      <c r="K708" s="52">
        <f t="shared" si="774"/>
        <v>0</v>
      </c>
      <c r="L708" s="69">
        <f>SUM(F708:K708)</f>
        <v>0</v>
      </c>
      <c r="M708" s="69">
        <f>L708/6</f>
        <v>0</v>
      </c>
      <c r="N708" s="52">
        <f>N723+N738</f>
        <v>0</v>
      </c>
      <c r="O708" s="52">
        <f t="shared" ref="O708:S708" si="775">O723+O738</f>
        <v>0</v>
      </c>
      <c r="P708" s="52">
        <f t="shared" si="775"/>
        <v>0</v>
      </c>
      <c r="Q708" s="52">
        <f t="shared" si="775"/>
        <v>0</v>
      </c>
      <c r="R708" s="52">
        <f t="shared" si="775"/>
        <v>0</v>
      </c>
      <c r="S708" s="52">
        <f t="shared" si="775"/>
        <v>0</v>
      </c>
      <c r="T708" s="69">
        <f>SUM(N708:S708)</f>
        <v>0</v>
      </c>
      <c r="U708" s="69">
        <f>T708+L708</f>
        <v>0</v>
      </c>
      <c r="V708" s="52">
        <f t="shared" ref="V708" si="776">V723+V738</f>
        <v>0</v>
      </c>
      <c r="W708" s="53">
        <f>V708-U708</f>
        <v>0</v>
      </c>
    </row>
    <row r="709" spans="1:23" s="47" customFormat="1" ht="18" hidden="1" customHeight="1">
      <c r="A709" s="673"/>
      <c r="B709" s="587"/>
      <c r="C709" s="588"/>
      <c r="D709" s="174" t="str">
        <f>серпень!D632</f>
        <v>дотація</v>
      </c>
      <c r="E709" s="56"/>
      <c r="F709" s="52">
        <f t="shared" ref="F709:K710" si="777">F724+F739</f>
        <v>0</v>
      </c>
      <c r="G709" s="52">
        <f t="shared" si="777"/>
        <v>0</v>
      </c>
      <c r="H709" s="52">
        <f t="shared" si="777"/>
        <v>0</v>
      </c>
      <c r="I709" s="52">
        <f t="shared" si="777"/>
        <v>0</v>
      </c>
      <c r="J709" s="52">
        <f t="shared" si="777"/>
        <v>0</v>
      </c>
      <c r="K709" s="52">
        <f t="shared" si="777"/>
        <v>0</v>
      </c>
      <c r="L709" s="69">
        <f>SUM(F709:K709)</f>
        <v>0</v>
      </c>
      <c r="M709" s="69">
        <f>L709/6</f>
        <v>0</v>
      </c>
      <c r="N709" s="52">
        <f t="shared" ref="N709:S709" si="778">N724+N739</f>
        <v>0</v>
      </c>
      <c r="O709" s="52">
        <f t="shared" si="778"/>
        <v>0</v>
      </c>
      <c r="P709" s="52">
        <f t="shared" si="778"/>
        <v>0</v>
      </c>
      <c r="Q709" s="52">
        <f t="shared" si="778"/>
        <v>0</v>
      </c>
      <c r="R709" s="52">
        <f t="shared" si="778"/>
        <v>0</v>
      </c>
      <c r="S709" s="52">
        <f t="shared" si="778"/>
        <v>0</v>
      </c>
      <c r="T709" s="69">
        <f>SUM(N709:S709)</f>
        <v>0</v>
      </c>
      <c r="U709" s="69">
        <f>T709+L709</f>
        <v>0</v>
      </c>
      <c r="V709" s="52">
        <f t="shared" ref="V709" si="779">V724+V739</f>
        <v>0</v>
      </c>
      <c r="W709" s="53">
        <f>V709-U709</f>
        <v>0</v>
      </c>
    </row>
    <row r="710" spans="1:23" s="47" customFormat="1" ht="18" hidden="1" customHeight="1">
      <c r="A710" s="673"/>
      <c r="B710" s="587"/>
      <c r="C710" s="588"/>
      <c r="D710" s="174" t="str">
        <f>серпень!D633</f>
        <v>місцевий (план), тис.грн</v>
      </c>
      <c r="E710" s="56"/>
      <c r="F710" s="52">
        <f t="shared" si="777"/>
        <v>0</v>
      </c>
      <c r="G710" s="52">
        <f t="shared" si="777"/>
        <v>0</v>
      </c>
      <c r="H710" s="52">
        <f t="shared" si="777"/>
        <v>0</v>
      </c>
      <c r="I710" s="52">
        <f t="shared" si="777"/>
        <v>0</v>
      </c>
      <c r="J710" s="52">
        <f t="shared" si="777"/>
        <v>0</v>
      </c>
      <c r="K710" s="52">
        <f t="shared" si="777"/>
        <v>0</v>
      </c>
      <c r="L710" s="69">
        <f>SUM(F710:K710)</f>
        <v>0</v>
      </c>
      <c r="M710" s="69">
        <f>L710/6</f>
        <v>0</v>
      </c>
      <c r="N710" s="52">
        <f t="shared" ref="N710:S711" si="780">N725+N740</f>
        <v>0</v>
      </c>
      <c r="O710" s="52">
        <f t="shared" si="780"/>
        <v>0</v>
      </c>
      <c r="P710" s="52">
        <f t="shared" si="780"/>
        <v>0</v>
      </c>
      <c r="Q710" s="52">
        <f t="shared" si="780"/>
        <v>0</v>
      </c>
      <c r="R710" s="52">
        <f t="shared" si="780"/>
        <v>0</v>
      </c>
      <c r="S710" s="52">
        <f t="shared" si="780"/>
        <v>0</v>
      </c>
      <c r="T710" s="69">
        <f>SUM(N710:S710)</f>
        <v>0</v>
      </c>
      <c r="U710" s="69">
        <f>T710+L710</f>
        <v>0</v>
      </c>
      <c r="V710" s="52">
        <f t="shared" ref="V710" si="781">V725+V740</f>
        <v>0</v>
      </c>
      <c r="W710" s="53">
        <f>V710-U710</f>
        <v>0</v>
      </c>
    </row>
    <row r="711" spans="1:23" s="47" customFormat="1" ht="18" hidden="1" customHeight="1">
      <c r="A711" s="673"/>
      <c r="B711" s="587"/>
      <c r="C711" s="588"/>
      <c r="D711" s="178" t="str">
        <f>серпень!D634</f>
        <v>касові нат.п-ки 2025</v>
      </c>
      <c r="E711" s="11"/>
      <c r="F711" s="11">
        <f>F726+F741</f>
        <v>0</v>
      </c>
      <c r="G711" s="11">
        <f t="shared" ref="G711:K711" si="782">G726+G741</f>
        <v>0</v>
      </c>
      <c r="H711" s="11">
        <f t="shared" si="782"/>
        <v>0</v>
      </c>
      <c r="I711" s="11">
        <f t="shared" si="782"/>
        <v>0</v>
      </c>
      <c r="J711" s="11">
        <f t="shared" si="782"/>
        <v>0</v>
      </c>
      <c r="K711" s="11">
        <f t="shared" si="782"/>
        <v>0</v>
      </c>
      <c r="L711" s="65">
        <f>SUM(F711:K711)</f>
        <v>0</v>
      </c>
      <c r="M711" s="65">
        <f>L711/6</f>
        <v>0</v>
      </c>
      <c r="N711" s="11">
        <f>N726+N741</f>
        <v>0</v>
      </c>
      <c r="O711" s="11">
        <f t="shared" si="780"/>
        <v>0</v>
      </c>
      <c r="P711" s="11">
        <f t="shared" si="780"/>
        <v>0</v>
      </c>
      <c r="Q711" s="11">
        <f t="shared" si="780"/>
        <v>0</v>
      </c>
      <c r="R711" s="11">
        <f t="shared" si="780"/>
        <v>0</v>
      </c>
      <c r="S711" s="11">
        <f t="shared" si="780"/>
        <v>0</v>
      </c>
      <c r="T711" s="65">
        <f>SUM(N711:S711)</f>
        <v>0</v>
      </c>
      <c r="U711" s="65">
        <f>T711+L711</f>
        <v>0</v>
      </c>
      <c r="V711" s="11">
        <f>V706</f>
        <v>0</v>
      </c>
      <c r="W711" s="38">
        <f>V711-U711</f>
        <v>0</v>
      </c>
    </row>
    <row r="712" spans="1:23" s="47" customFormat="1" ht="18" hidden="1" customHeight="1">
      <c r="A712" s="673"/>
      <c r="B712" s="587"/>
      <c r="C712" s="588"/>
      <c r="D712" s="187" t="str">
        <f>серпень!D635</f>
        <v>тариф, грн.</v>
      </c>
      <c r="E712" s="49" t="e">
        <f>E713/E711*1000</f>
        <v>#DIV/0!</v>
      </c>
      <c r="F712" s="49" t="e">
        <f>F713/F711*1000</f>
        <v>#DIV/0!</v>
      </c>
      <c r="G712" s="49" t="e">
        <f t="shared" ref="G712:K712" si="783">G713/G711*1000</f>
        <v>#DIV/0!</v>
      </c>
      <c r="H712" s="49" t="e">
        <f t="shared" si="783"/>
        <v>#DIV/0!</v>
      </c>
      <c r="I712" s="49" t="e">
        <f t="shared" si="783"/>
        <v>#DIV/0!</v>
      </c>
      <c r="J712" s="49" t="e">
        <f t="shared" si="783"/>
        <v>#DIV/0!</v>
      </c>
      <c r="K712" s="49" t="e">
        <f t="shared" si="783"/>
        <v>#DIV/0!</v>
      </c>
      <c r="L712" s="49" t="e">
        <f>L713/L711*1000</f>
        <v>#DIV/0!</v>
      </c>
      <c r="M712" s="49" t="e">
        <f>M713/M711*1000</f>
        <v>#DIV/0!</v>
      </c>
      <c r="N712" s="49" t="e">
        <f>N713/N711*1000</f>
        <v>#DIV/0!</v>
      </c>
      <c r="O712" s="49" t="e">
        <f t="shared" ref="O712" si="784">O713/O711*1000</f>
        <v>#DIV/0!</v>
      </c>
      <c r="P712" s="49" t="e">
        <f t="shared" ref="P712" si="785">P713/P711*1000</f>
        <v>#DIV/0!</v>
      </c>
      <c r="Q712" s="49" t="e">
        <f t="shared" ref="Q712" si="786">Q713/Q711*1000</f>
        <v>#DIV/0!</v>
      </c>
      <c r="R712" s="49" t="e">
        <f t="shared" ref="R712" si="787">R713/R711*1000</f>
        <v>#DIV/0!</v>
      </c>
      <c r="S712" s="49" t="e">
        <f t="shared" ref="S712" si="788">S713/S711*1000</f>
        <v>#DIV/0!</v>
      </c>
      <c r="T712" s="49" t="e">
        <f>T713/T711*1000</f>
        <v>#DIV/0!</v>
      </c>
      <c r="U712" s="49" t="e">
        <f>U713/U711*1000</f>
        <v>#DIV/0!</v>
      </c>
      <c r="V712" s="68" t="e">
        <f>V713/V711*1000</f>
        <v>#DIV/0!</v>
      </c>
      <c r="W712" s="14" t="e">
        <f>W713/W711*1000</f>
        <v>#DIV/0!</v>
      </c>
    </row>
    <row r="713" spans="1:23" s="47" customFormat="1" ht="18" hidden="1" customHeight="1">
      <c r="A713" s="673"/>
      <c r="B713" s="587"/>
      <c r="C713" s="588"/>
      <c r="D713" s="198" t="str">
        <f>серпень!D636</f>
        <v>касові видатки, тис.грн.</v>
      </c>
      <c r="E713" s="71"/>
      <c r="F713" s="61">
        <f>F728+F743</f>
        <v>0</v>
      </c>
      <c r="G713" s="61">
        <f t="shared" ref="G713:K713" si="789">G728+G743</f>
        <v>0</v>
      </c>
      <c r="H713" s="61">
        <f t="shared" si="789"/>
        <v>0</v>
      </c>
      <c r="I713" s="61">
        <f t="shared" si="789"/>
        <v>0</v>
      </c>
      <c r="J713" s="61">
        <f t="shared" si="789"/>
        <v>0</v>
      </c>
      <c r="K713" s="61">
        <f t="shared" si="789"/>
        <v>0</v>
      </c>
      <c r="L713" s="61">
        <f>SUM(F713:K713)</f>
        <v>0</v>
      </c>
      <c r="M713" s="61">
        <f>L713/6</f>
        <v>0</v>
      </c>
      <c r="N713" s="61">
        <f>N728+N743</f>
        <v>0</v>
      </c>
      <c r="O713" s="61">
        <f t="shared" ref="O713:S713" si="790">O728+O743</f>
        <v>0</v>
      </c>
      <c r="P713" s="61">
        <f t="shared" si="790"/>
        <v>0</v>
      </c>
      <c r="Q713" s="61">
        <f t="shared" si="790"/>
        <v>0</v>
      </c>
      <c r="R713" s="61">
        <f t="shared" si="790"/>
        <v>0</v>
      </c>
      <c r="S713" s="61">
        <f t="shared" si="790"/>
        <v>0</v>
      </c>
      <c r="T713" s="61">
        <f>SUM(N713:S713)</f>
        <v>0</v>
      </c>
      <c r="U713" s="61">
        <f>T713+L713</f>
        <v>0</v>
      </c>
      <c r="V713" s="61">
        <f>V708</f>
        <v>0</v>
      </c>
      <c r="W713" s="72">
        <f>V713-U713</f>
        <v>0</v>
      </c>
    </row>
    <row r="714" spans="1:23" s="47" customFormat="1" ht="18" hidden="1" customHeight="1">
      <c r="A714" s="673"/>
      <c r="B714" s="587"/>
      <c r="C714" s="588"/>
      <c r="D714" s="201" t="str">
        <f>серпень!D637</f>
        <v>дотація</v>
      </c>
      <c r="E714" s="71"/>
      <c r="F714" s="61">
        <f t="shared" ref="F714:K715" si="791">F729+F744</f>
        <v>0</v>
      </c>
      <c r="G714" s="61">
        <f t="shared" si="791"/>
        <v>0</v>
      </c>
      <c r="H714" s="61">
        <f t="shared" si="791"/>
        <v>0</v>
      </c>
      <c r="I714" s="61">
        <f t="shared" si="791"/>
        <v>0</v>
      </c>
      <c r="J714" s="61">
        <f t="shared" si="791"/>
        <v>0</v>
      </c>
      <c r="K714" s="61">
        <f t="shared" si="791"/>
        <v>0</v>
      </c>
      <c r="L714" s="61">
        <f>SUM(F714:K714)</f>
        <v>0</v>
      </c>
      <c r="M714" s="61">
        <f>L714/6</f>
        <v>0</v>
      </c>
      <c r="N714" s="61">
        <f t="shared" ref="N714:S714" si="792">N729+N744</f>
        <v>0</v>
      </c>
      <c r="O714" s="61">
        <f t="shared" si="792"/>
        <v>0</v>
      </c>
      <c r="P714" s="61">
        <f t="shared" si="792"/>
        <v>0</v>
      </c>
      <c r="Q714" s="61">
        <f t="shared" si="792"/>
        <v>0</v>
      </c>
      <c r="R714" s="61">
        <f t="shared" si="792"/>
        <v>0</v>
      </c>
      <c r="S714" s="61">
        <f t="shared" si="792"/>
        <v>0</v>
      </c>
      <c r="T714" s="61">
        <f>SUM(N714:S714)</f>
        <v>0</v>
      </c>
      <c r="U714" s="61">
        <f>T714+L714</f>
        <v>0</v>
      </c>
      <c r="V714" s="61">
        <f>V709</f>
        <v>0</v>
      </c>
      <c r="W714" s="72">
        <f>V714-U714</f>
        <v>0</v>
      </c>
    </row>
    <row r="715" spans="1:23" s="47" customFormat="1" ht="18" hidden="1" customHeight="1">
      <c r="A715" s="673"/>
      <c r="B715" s="587"/>
      <c r="C715" s="588"/>
      <c r="D715" s="201" t="str">
        <f>серпень!D638</f>
        <v xml:space="preserve">місцевий </v>
      </c>
      <c r="E715" s="71"/>
      <c r="F715" s="61">
        <f t="shared" si="791"/>
        <v>0</v>
      </c>
      <c r="G715" s="61">
        <f t="shared" si="791"/>
        <v>0</v>
      </c>
      <c r="H715" s="61">
        <f t="shared" si="791"/>
        <v>0</v>
      </c>
      <c r="I715" s="61">
        <f t="shared" si="791"/>
        <v>0</v>
      </c>
      <c r="J715" s="61">
        <f t="shared" si="791"/>
        <v>0</v>
      </c>
      <c r="K715" s="61">
        <f t="shared" si="791"/>
        <v>0</v>
      </c>
      <c r="L715" s="61">
        <f>SUM(F715:K715)</f>
        <v>0</v>
      </c>
      <c r="M715" s="61">
        <f>L715/6</f>
        <v>0</v>
      </c>
      <c r="N715" s="61">
        <f t="shared" ref="N715:S715" si="793">N730+N745</f>
        <v>0</v>
      </c>
      <c r="O715" s="61">
        <f t="shared" si="793"/>
        <v>0</v>
      </c>
      <c r="P715" s="61">
        <f t="shared" si="793"/>
        <v>0</v>
      </c>
      <c r="Q715" s="61">
        <f t="shared" si="793"/>
        <v>0</v>
      </c>
      <c r="R715" s="61">
        <f t="shared" si="793"/>
        <v>0</v>
      </c>
      <c r="S715" s="61">
        <f t="shared" si="793"/>
        <v>0</v>
      </c>
      <c r="T715" s="61">
        <f>SUM(N715:S715)</f>
        <v>0</v>
      </c>
      <c r="U715" s="61">
        <f>T715+L715</f>
        <v>0</v>
      </c>
      <c r="V715" s="61">
        <f>V710</f>
        <v>0</v>
      </c>
      <c r="W715" s="72">
        <f>V715-U715</f>
        <v>0</v>
      </c>
    </row>
    <row r="716" spans="1:23" s="47" customFormat="1" ht="18" hidden="1" customHeight="1">
      <c r="A716" s="673"/>
      <c r="B716" s="587"/>
      <c r="C716" s="588"/>
      <c r="D716" s="202" t="str">
        <f>серпень!D639</f>
        <v>план</v>
      </c>
      <c r="E716" s="42"/>
      <c r="F716" s="42">
        <f t="shared" ref="F716:K716" si="794">F710</f>
        <v>0</v>
      </c>
      <c r="G716" s="42">
        <f t="shared" si="794"/>
        <v>0</v>
      </c>
      <c r="H716" s="42">
        <f t="shared" si="794"/>
        <v>0</v>
      </c>
      <c r="I716" s="42">
        <f t="shared" si="794"/>
        <v>0</v>
      </c>
      <c r="J716" s="42">
        <f t="shared" si="794"/>
        <v>0</v>
      </c>
      <c r="K716" s="42">
        <f t="shared" si="794"/>
        <v>0</v>
      </c>
      <c r="L716" s="42">
        <f>SUM(F716:K716)</f>
        <v>0</v>
      </c>
      <c r="M716" s="42">
        <f>L716/6</f>
        <v>0</v>
      </c>
      <c r="N716" s="42">
        <f t="shared" ref="N716:S716" si="795">N710+N709</f>
        <v>0</v>
      </c>
      <c r="O716" s="42">
        <f t="shared" si="795"/>
        <v>0</v>
      </c>
      <c r="P716" s="42">
        <f t="shared" si="795"/>
        <v>0</v>
      </c>
      <c r="Q716" s="42">
        <f t="shared" si="795"/>
        <v>0</v>
      </c>
      <c r="R716" s="42">
        <f t="shared" si="795"/>
        <v>0</v>
      </c>
      <c r="S716" s="42">
        <f t="shared" si="795"/>
        <v>0</v>
      </c>
      <c r="T716" s="42">
        <f>SUM(N716:S716)</f>
        <v>0</v>
      </c>
      <c r="U716" s="42">
        <f>T716+L716</f>
        <v>0</v>
      </c>
      <c r="V716" s="42">
        <f>V713</f>
        <v>0</v>
      </c>
      <c r="W716" s="42">
        <f>V716-U716</f>
        <v>0</v>
      </c>
    </row>
    <row r="717" spans="1:23" s="47" customFormat="1" ht="18" hidden="1" customHeight="1">
      <c r="A717" s="673"/>
      <c r="B717" s="587"/>
      <c r="C717" s="588"/>
      <c r="D717" s="202" t="str">
        <f>серпень!D640</f>
        <v xml:space="preserve">відхилення </v>
      </c>
      <c r="E717" s="42"/>
      <c r="F717" s="42">
        <f t="shared" ref="F717:K717" si="796">F713-F716</f>
        <v>0</v>
      </c>
      <c r="G717" s="42">
        <f t="shared" si="796"/>
        <v>0</v>
      </c>
      <c r="H717" s="42">
        <f t="shared" si="796"/>
        <v>0</v>
      </c>
      <c r="I717" s="42">
        <f t="shared" si="796"/>
        <v>0</v>
      </c>
      <c r="J717" s="42">
        <f t="shared" si="796"/>
        <v>0</v>
      </c>
      <c r="K717" s="42">
        <f t="shared" si="796"/>
        <v>0</v>
      </c>
      <c r="L717" s="42"/>
      <c r="M717" s="42"/>
      <c r="N717" s="42">
        <f t="shared" ref="N717:S717" si="797">N713-N716</f>
        <v>0</v>
      </c>
      <c r="O717" s="42">
        <f t="shared" si="797"/>
        <v>0</v>
      </c>
      <c r="P717" s="42">
        <f t="shared" si="797"/>
        <v>0</v>
      </c>
      <c r="Q717" s="42">
        <f t="shared" si="797"/>
        <v>0</v>
      </c>
      <c r="R717" s="42">
        <f t="shared" si="797"/>
        <v>0</v>
      </c>
      <c r="S717" s="42">
        <f t="shared" si="797"/>
        <v>0</v>
      </c>
      <c r="T717" s="42"/>
      <c r="U717" s="42"/>
      <c r="V717" s="42"/>
      <c r="W717" s="42"/>
    </row>
    <row r="718" spans="1:23" s="47" customFormat="1" ht="21.6" hidden="1" customHeight="1">
      <c r="A718" s="673"/>
      <c r="B718" s="589"/>
      <c r="C718" s="590"/>
      <c r="D718" s="202" t="str">
        <f>серпень!D641</f>
        <v>відхилення з наростаючим</v>
      </c>
      <c r="E718" s="42"/>
      <c r="F718" s="42">
        <f>F717</f>
        <v>0</v>
      </c>
      <c r="G718" s="42">
        <f>G717+F718</f>
        <v>0</v>
      </c>
      <c r="H718" s="42">
        <f>H717+G718</f>
        <v>0</v>
      </c>
      <c r="I718" s="42">
        <f>I717+H718</f>
        <v>0</v>
      </c>
      <c r="J718" s="42">
        <f>J717+I718</f>
        <v>0</v>
      </c>
      <c r="K718" s="42">
        <f>K717+J718</f>
        <v>0</v>
      </c>
      <c r="L718" s="42"/>
      <c r="M718" s="42"/>
      <c r="N718" s="42">
        <f>N717+K718</f>
        <v>0</v>
      </c>
      <c r="O718" s="42">
        <f>O717+N718</f>
        <v>0</v>
      </c>
      <c r="P718" s="42">
        <f>P717+O718</f>
        <v>0</v>
      </c>
      <c r="Q718" s="42">
        <f>Q717+P718</f>
        <v>0</v>
      </c>
      <c r="R718" s="42">
        <f>R717+Q718</f>
        <v>0</v>
      </c>
      <c r="S718" s="42">
        <f>S717+R718</f>
        <v>0</v>
      </c>
      <c r="T718" s="42"/>
      <c r="U718" s="42"/>
      <c r="V718" s="42"/>
      <c r="W718" s="42"/>
    </row>
    <row r="719" spans="1:23" s="47" customFormat="1" ht="18" hidden="1" customHeight="1">
      <c r="A719" s="673"/>
      <c r="B719" s="580" t="s">
        <v>125</v>
      </c>
      <c r="C719" s="575"/>
      <c r="D719" s="178" t="str">
        <f>серпень!D642</f>
        <v>факт. нат.п-ки 2023</v>
      </c>
      <c r="E719" s="11"/>
      <c r="F719" s="12"/>
      <c r="G719" s="12"/>
      <c r="H719" s="12"/>
      <c r="I719" s="12"/>
      <c r="J719" s="12"/>
      <c r="K719" s="12"/>
      <c r="L719" s="65">
        <f>SUM(F719:K719)</f>
        <v>0</v>
      </c>
      <c r="M719" s="65">
        <f>L719/6</f>
        <v>0</v>
      </c>
      <c r="N719" s="12"/>
      <c r="O719" s="12"/>
      <c r="P719" s="12"/>
      <c r="Q719" s="12"/>
      <c r="R719" s="12"/>
      <c r="S719" s="12"/>
      <c r="T719" s="65">
        <f>SUM(N719:S719)</f>
        <v>0</v>
      </c>
      <c r="U719" s="66">
        <f>T719+L719</f>
        <v>0</v>
      </c>
      <c r="V719" s="67"/>
      <c r="W719" s="38">
        <f>V719-U719</f>
        <v>0</v>
      </c>
    </row>
    <row r="720" spans="1:23" s="47" customFormat="1" ht="18" hidden="1" customHeight="1">
      <c r="A720" s="673"/>
      <c r="B720" s="576"/>
      <c r="C720" s="577"/>
      <c r="D720" s="178" t="str">
        <f>серпень!D643</f>
        <v>факт. нат.п-ки 2024</v>
      </c>
      <c r="E720" s="11"/>
      <c r="F720" s="12"/>
      <c r="G720" s="12"/>
      <c r="H720" s="12"/>
      <c r="I720" s="12"/>
      <c r="J720" s="12"/>
      <c r="K720" s="12"/>
      <c r="L720" s="65">
        <f>SUM(F720:K720)</f>
        <v>0</v>
      </c>
      <c r="M720" s="65">
        <f>L720/6</f>
        <v>0</v>
      </c>
      <c r="N720" s="11"/>
      <c r="O720" s="11"/>
      <c r="P720" s="11"/>
      <c r="Q720" s="11"/>
      <c r="R720" s="11"/>
      <c r="S720" s="11"/>
      <c r="T720" s="65">
        <f>SUM(N720:S720)</f>
        <v>0</v>
      </c>
      <c r="U720" s="66">
        <f>T720+L720</f>
        <v>0</v>
      </c>
      <c r="V720" s="67"/>
      <c r="W720" s="38">
        <f>V720-U720</f>
        <v>0</v>
      </c>
    </row>
    <row r="721" spans="1:23" s="47" customFormat="1" ht="18" hidden="1" customHeight="1">
      <c r="A721" s="673"/>
      <c r="B721" s="576"/>
      <c r="C721" s="577"/>
      <c r="D721" s="178" t="str">
        <f>серпень!D644</f>
        <v>факт. нат.п-ки 2025</v>
      </c>
      <c r="E721" s="11"/>
      <c r="F721" s="12"/>
      <c r="G721" s="12"/>
      <c r="H721" s="12"/>
      <c r="I721" s="12"/>
      <c r="J721" s="12"/>
      <c r="K721" s="12"/>
      <c r="L721" s="65">
        <f>SUM(F721:K721)</f>
        <v>0</v>
      </c>
      <c r="M721" s="65">
        <f>L721/6</f>
        <v>0</v>
      </c>
      <c r="N721" s="12"/>
      <c r="O721" s="12"/>
      <c r="P721" s="12"/>
      <c r="Q721" s="12"/>
      <c r="R721" s="12"/>
      <c r="S721" s="11"/>
      <c r="T721" s="65">
        <f>SUM(N721:S721)</f>
        <v>0</v>
      </c>
      <c r="U721" s="66">
        <f>T721+L721</f>
        <v>0</v>
      </c>
      <c r="V721" s="11"/>
      <c r="W721" s="38">
        <f>V721-U721</f>
        <v>0</v>
      </c>
    </row>
    <row r="722" spans="1:23" s="47" customFormat="1" ht="18" hidden="1" customHeight="1">
      <c r="A722" s="673"/>
      <c r="B722" s="576"/>
      <c r="C722" s="577"/>
      <c r="D722" s="187" t="str">
        <f>серпень!D645</f>
        <v>тариф, грн.</v>
      </c>
      <c r="E722" s="49"/>
      <c r="F722" s="49">
        <v>0</v>
      </c>
      <c r="G722" s="49">
        <v>0</v>
      </c>
      <c r="H722" s="49">
        <v>0</v>
      </c>
      <c r="I722" s="49">
        <v>0</v>
      </c>
      <c r="J722" s="49">
        <v>0</v>
      </c>
      <c r="K722" s="49">
        <v>0</v>
      </c>
      <c r="L722" s="49" t="e">
        <f>L723/L721*1000</f>
        <v>#DIV/0!</v>
      </c>
      <c r="M722" s="49" t="e">
        <f>M723/M721*1000</f>
        <v>#DIV/0!</v>
      </c>
      <c r="N722" s="49">
        <v>0</v>
      </c>
      <c r="O722" s="49">
        <v>0</v>
      </c>
      <c r="P722" s="49">
        <v>0</v>
      </c>
      <c r="Q722" s="49">
        <v>0</v>
      </c>
      <c r="R722" s="49">
        <v>0</v>
      </c>
      <c r="S722" s="49">
        <v>0</v>
      </c>
      <c r="T722" s="49" t="e">
        <f>T723/T721*1000</f>
        <v>#DIV/0!</v>
      </c>
      <c r="U722" s="49" t="e">
        <f>U723/U721*1000</f>
        <v>#DIV/0!</v>
      </c>
      <c r="V722" s="68" t="e">
        <f>V723/V721*1000</f>
        <v>#DIV/0!</v>
      </c>
      <c r="W722" s="14" t="e">
        <f>W723/W721*1000</f>
        <v>#DIV/0!</v>
      </c>
    </row>
    <row r="723" spans="1:23" s="47" customFormat="1" ht="18" hidden="1" customHeight="1">
      <c r="A723" s="673"/>
      <c r="B723" s="576"/>
      <c r="C723" s="577"/>
      <c r="D723" s="191" t="str">
        <f>серпень!D646</f>
        <v>сума, тис.грн.</v>
      </c>
      <c r="E723" s="52"/>
      <c r="F723" s="52">
        <f t="shared" ref="F723:K723" si="798">F721*F722/1000</f>
        <v>0</v>
      </c>
      <c r="G723" s="52">
        <f t="shared" si="798"/>
        <v>0</v>
      </c>
      <c r="H723" s="52">
        <f t="shared" si="798"/>
        <v>0</v>
      </c>
      <c r="I723" s="52">
        <f t="shared" si="798"/>
        <v>0</v>
      </c>
      <c r="J723" s="52">
        <f t="shared" si="798"/>
        <v>0</v>
      </c>
      <c r="K723" s="52">
        <f t="shared" si="798"/>
        <v>0</v>
      </c>
      <c r="L723" s="69">
        <f>SUM(F723:K723)</f>
        <v>0</v>
      </c>
      <c r="M723" s="69">
        <f>L723/6</f>
        <v>0</v>
      </c>
      <c r="N723" s="52">
        <f t="shared" ref="N723:S723" si="799">N721*N722/1000</f>
        <v>0</v>
      </c>
      <c r="O723" s="52">
        <f t="shared" si="799"/>
        <v>0</v>
      </c>
      <c r="P723" s="52">
        <f t="shared" si="799"/>
        <v>0</v>
      </c>
      <c r="Q723" s="52">
        <f t="shared" si="799"/>
        <v>0</v>
      </c>
      <c r="R723" s="52">
        <f t="shared" si="799"/>
        <v>0</v>
      </c>
      <c r="S723" s="52">
        <f t="shared" si="799"/>
        <v>0</v>
      </c>
      <c r="T723" s="69">
        <f>SUM(N723:S723)</f>
        <v>0</v>
      </c>
      <c r="U723" s="69">
        <f>T723+L723</f>
        <v>0</v>
      </c>
      <c r="V723" s="70">
        <f>V724+V725</f>
        <v>0</v>
      </c>
      <c r="W723" s="53">
        <f>V723-U723</f>
        <v>0</v>
      </c>
    </row>
    <row r="724" spans="1:23" s="47" customFormat="1" ht="18" hidden="1" customHeight="1">
      <c r="A724" s="673"/>
      <c r="B724" s="576"/>
      <c r="C724" s="577"/>
      <c r="D724" s="174" t="str">
        <f>серпень!D647</f>
        <v>дотація</v>
      </c>
      <c r="E724" s="56"/>
      <c r="F724" s="52"/>
      <c r="G724" s="52"/>
      <c r="H724" s="52"/>
      <c r="I724" s="52"/>
      <c r="J724" s="52"/>
      <c r="K724" s="52"/>
      <c r="L724" s="69">
        <f>SUM(F724:K724)</f>
        <v>0</v>
      </c>
      <c r="M724" s="69">
        <f>L724/6</f>
        <v>0</v>
      </c>
      <c r="N724" s="52"/>
      <c r="O724" s="52"/>
      <c r="P724" s="52"/>
      <c r="Q724" s="52"/>
      <c r="R724" s="52"/>
      <c r="S724" s="52"/>
      <c r="T724" s="69">
        <f>SUM(N724:S724)</f>
        <v>0</v>
      </c>
      <c r="U724" s="69">
        <f>T724+L724</f>
        <v>0</v>
      </c>
      <c r="V724" s="70">
        <v>0</v>
      </c>
      <c r="W724" s="53">
        <f>V724-U724</f>
        <v>0</v>
      </c>
    </row>
    <row r="725" spans="1:23" s="47" customFormat="1" ht="18" hidden="1" customHeight="1">
      <c r="A725" s="673"/>
      <c r="B725" s="576"/>
      <c r="C725" s="577"/>
      <c r="D725" s="174" t="str">
        <f>серпень!D648</f>
        <v>місцевий (план), тис.грн</v>
      </c>
      <c r="E725" s="56"/>
      <c r="F725" s="52"/>
      <c r="G725" s="52"/>
      <c r="H725" s="52"/>
      <c r="I725" s="52"/>
      <c r="J725" s="52"/>
      <c r="K725" s="52"/>
      <c r="L725" s="69">
        <f>SUM(F725:K725)</f>
        <v>0</v>
      </c>
      <c r="M725" s="69">
        <f>L725/6</f>
        <v>0</v>
      </c>
      <c r="N725" s="52"/>
      <c r="O725" s="52"/>
      <c r="P725" s="52"/>
      <c r="Q725" s="52"/>
      <c r="R725" s="52"/>
      <c r="S725" s="52"/>
      <c r="T725" s="69">
        <f>SUM(N725:S725)</f>
        <v>0</v>
      </c>
      <c r="U725" s="69">
        <f>T725+L725</f>
        <v>0</v>
      </c>
      <c r="V725" s="70"/>
      <c r="W725" s="53">
        <f>V725-U725</f>
        <v>0</v>
      </c>
    </row>
    <row r="726" spans="1:23" s="47" customFormat="1" ht="18" hidden="1" customHeight="1">
      <c r="A726" s="673"/>
      <c r="B726" s="576"/>
      <c r="C726" s="577"/>
      <c r="D726" s="178" t="str">
        <f>серпень!D649</f>
        <v>касові нат.п-ки 2025</v>
      </c>
      <c r="E726" s="11"/>
      <c r="F726" s="11"/>
      <c r="G726" s="11"/>
      <c r="H726" s="11"/>
      <c r="I726" s="11"/>
      <c r="J726" s="11"/>
      <c r="K726" s="11"/>
      <c r="L726" s="65">
        <f>SUM(F726:K726)</f>
        <v>0</v>
      </c>
      <c r="M726" s="65">
        <f>L726/6</f>
        <v>0</v>
      </c>
      <c r="N726" s="11"/>
      <c r="O726" s="11"/>
      <c r="P726" s="11"/>
      <c r="Q726" s="11"/>
      <c r="R726" s="11"/>
      <c r="S726" s="11"/>
      <c r="T726" s="65">
        <f>SUM(N726:S726)</f>
        <v>0</v>
      </c>
      <c r="U726" s="65">
        <f>T726+L726</f>
        <v>0</v>
      </c>
      <c r="V726" s="11">
        <f>V721</f>
        <v>0</v>
      </c>
      <c r="W726" s="38">
        <f>V726-U726</f>
        <v>0</v>
      </c>
    </row>
    <row r="727" spans="1:23" s="47" customFormat="1" ht="18" hidden="1" customHeight="1">
      <c r="A727" s="673"/>
      <c r="B727" s="576"/>
      <c r="C727" s="577"/>
      <c r="D727" s="187" t="str">
        <f>серпень!D650</f>
        <v>тариф, грн.</v>
      </c>
      <c r="E727" s="49" t="e">
        <f>E728/E726*1000</f>
        <v>#DIV/0!</v>
      </c>
      <c r="F727" s="49">
        <v>0</v>
      </c>
      <c r="G727" s="49">
        <v>0</v>
      </c>
      <c r="H727" s="49">
        <v>0</v>
      </c>
      <c r="I727" s="49">
        <v>0</v>
      </c>
      <c r="J727" s="49">
        <v>0</v>
      </c>
      <c r="K727" s="49">
        <v>0</v>
      </c>
      <c r="L727" s="49" t="e">
        <f>L728/L726*1000</f>
        <v>#DIV/0!</v>
      </c>
      <c r="M727" s="49" t="e">
        <f>M728/M726*1000</f>
        <v>#DIV/0!</v>
      </c>
      <c r="N727" s="49">
        <v>0</v>
      </c>
      <c r="O727" s="49">
        <v>0</v>
      </c>
      <c r="P727" s="49">
        <v>0</v>
      </c>
      <c r="Q727" s="49">
        <v>0</v>
      </c>
      <c r="R727" s="49">
        <v>0</v>
      </c>
      <c r="S727" s="49">
        <v>0</v>
      </c>
      <c r="T727" s="49" t="e">
        <f>T728/T726*1000</f>
        <v>#DIV/0!</v>
      </c>
      <c r="U727" s="49" t="e">
        <f>U728/U726*1000</f>
        <v>#DIV/0!</v>
      </c>
      <c r="V727" s="68" t="e">
        <f>V728/V726*1000</f>
        <v>#DIV/0!</v>
      </c>
      <c r="W727" s="14" t="e">
        <f>W728/W726*1000</f>
        <v>#DIV/0!</v>
      </c>
    </row>
    <row r="728" spans="1:23" s="47" customFormat="1" ht="18" hidden="1" customHeight="1">
      <c r="A728" s="673"/>
      <c r="B728" s="576"/>
      <c r="C728" s="577"/>
      <c r="D728" s="198" t="str">
        <f>серпень!D651</f>
        <v>касові видатки, тис.грн.</v>
      </c>
      <c r="E728" s="71"/>
      <c r="F728" s="61">
        <f t="shared" ref="F728:K728" si="800">F726*F727/1000</f>
        <v>0</v>
      </c>
      <c r="G728" s="61">
        <f t="shared" si="800"/>
        <v>0</v>
      </c>
      <c r="H728" s="61">
        <f t="shared" si="800"/>
        <v>0</v>
      </c>
      <c r="I728" s="61">
        <f t="shared" si="800"/>
        <v>0</v>
      </c>
      <c r="J728" s="61">
        <f t="shared" si="800"/>
        <v>0</v>
      </c>
      <c r="K728" s="61">
        <f t="shared" si="800"/>
        <v>0</v>
      </c>
      <c r="L728" s="61">
        <f>SUM(F728:K728)</f>
        <v>0</v>
      </c>
      <c r="M728" s="61">
        <f>L728/6</f>
        <v>0</v>
      </c>
      <c r="N728" s="61">
        <f t="shared" ref="N728:S728" si="801">N726*N727/1000</f>
        <v>0</v>
      </c>
      <c r="O728" s="61">
        <f t="shared" si="801"/>
        <v>0</v>
      </c>
      <c r="P728" s="61">
        <f t="shared" si="801"/>
        <v>0</v>
      </c>
      <c r="Q728" s="61">
        <f t="shared" si="801"/>
        <v>0</v>
      </c>
      <c r="R728" s="61">
        <f t="shared" si="801"/>
        <v>0</v>
      </c>
      <c r="S728" s="61">
        <f t="shared" si="801"/>
        <v>0</v>
      </c>
      <c r="T728" s="61">
        <f>SUM(N728:S728)</f>
        <v>0</v>
      </c>
      <c r="U728" s="61">
        <f>T728+L728</f>
        <v>0</v>
      </c>
      <c r="V728" s="61">
        <f>V723</f>
        <v>0</v>
      </c>
      <c r="W728" s="72">
        <f>V728-U728</f>
        <v>0</v>
      </c>
    </row>
    <row r="729" spans="1:23" s="47" customFormat="1" ht="18" hidden="1" customHeight="1">
      <c r="A729" s="673"/>
      <c r="B729" s="576"/>
      <c r="C729" s="577"/>
      <c r="D729" s="201" t="str">
        <f>серпень!D652</f>
        <v>дотація</v>
      </c>
      <c r="E729" s="71"/>
      <c r="F729" s="61"/>
      <c r="G729" s="61"/>
      <c r="H729" s="61"/>
      <c r="I729" s="61"/>
      <c r="J729" s="61"/>
      <c r="K729" s="61"/>
      <c r="L729" s="61">
        <f>SUM(F729:K729)</f>
        <v>0</v>
      </c>
      <c r="M729" s="61">
        <f>L729/6</f>
        <v>0</v>
      </c>
      <c r="N729" s="61"/>
      <c r="O729" s="61"/>
      <c r="P729" s="61"/>
      <c r="Q729" s="61"/>
      <c r="R729" s="61"/>
      <c r="S729" s="61"/>
      <c r="T729" s="61">
        <f>SUM(N729:S729)</f>
        <v>0</v>
      </c>
      <c r="U729" s="61">
        <f>T729+L729</f>
        <v>0</v>
      </c>
      <c r="V729" s="61">
        <f>V724</f>
        <v>0</v>
      </c>
      <c r="W729" s="72">
        <f>V729-U729</f>
        <v>0</v>
      </c>
    </row>
    <row r="730" spans="1:23" s="47" customFormat="1" ht="18" hidden="1" customHeight="1">
      <c r="A730" s="673"/>
      <c r="B730" s="576"/>
      <c r="C730" s="577"/>
      <c r="D730" s="201" t="str">
        <f>серпень!D653</f>
        <v xml:space="preserve">місцевий </v>
      </c>
      <c r="E730" s="71"/>
      <c r="F730" s="61">
        <f t="shared" ref="F730:K730" si="802">F728-F729</f>
        <v>0</v>
      </c>
      <c r="G730" s="61">
        <f t="shared" si="802"/>
        <v>0</v>
      </c>
      <c r="H730" s="61">
        <f t="shared" si="802"/>
        <v>0</v>
      </c>
      <c r="I730" s="61">
        <f t="shared" si="802"/>
        <v>0</v>
      </c>
      <c r="J730" s="61">
        <f t="shared" si="802"/>
        <v>0</v>
      </c>
      <c r="K730" s="61">
        <f t="shared" si="802"/>
        <v>0</v>
      </c>
      <c r="L730" s="61">
        <f>SUM(F730:K730)</f>
        <v>0</v>
      </c>
      <c r="M730" s="61">
        <f>L730/6</f>
        <v>0</v>
      </c>
      <c r="N730" s="61">
        <f t="shared" ref="N730:S730" si="803">N728-N729</f>
        <v>0</v>
      </c>
      <c r="O730" s="61">
        <f t="shared" si="803"/>
        <v>0</v>
      </c>
      <c r="P730" s="61">
        <f t="shared" si="803"/>
        <v>0</v>
      </c>
      <c r="Q730" s="61">
        <f t="shared" si="803"/>
        <v>0</v>
      </c>
      <c r="R730" s="61">
        <f t="shared" si="803"/>
        <v>0</v>
      </c>
      <c r="S730" s="61">
        <f t="shared" si="803"/>
        <v>0</v>
      </c>
      <c r="T730" s="61">
        <f>SUM(N730:S730)</f>
        <v>0</v>
      </c>
      <c r="U730" s="61">
        <f>T730+L730</f>
        <v>0</v>
      </c>
      <c r="V730" s="61">
        <f>V725</f>
        <v>0</v>
      </c>
      <c r="W730" s="72">
        <f>V730-U730</f>
        <v>0</v>
      </c>
    </row>
    <row r="731" spans="1:23" s="47" customFormat="1" ht="18" hidden="1" customHeight="1">
      <c r="A731" s="673"/>
      <c r="B731" s="576"/>
      <c r="C731" s="577"/>
      <c r="D731" s="202" t="str">
        <f>серпень!D654</f>
        <v>план</v>
      </c>
      <c r="E731" s="42"/>
      <c r="F731" s="42">
        <f t="shared" ref="F731:K731" si="804">F725</f>
        <v>0</v>
      </c>
      <c r="G731" s="42">
        <f t="shared" si="804"/>
        <v>0</v>
      </c>
      <c r="H731" s="42">
        <f t="shared" si="804"/>
        <v>0</v>
      </c>
      <c r="I731" s="42">
        <f t="shared" si="804"/>
        <v>0</v>
      </c>
      <c r="J731" s="42">
        <f t="shared" si="804"/>
        <v>0</v>
      </c>
      <c r="K731" s="42">
        <f t="shared" si="804"/>
        <v>0</v>
      </c>
      <c r="L731" s="42">
        <f>SUM(F731:K731)</f>
        <v>0</v>
      </c>
      <c r="M731" s="42">
        <f>L731/6</f>
        <v>0</v>
      </c>
      <c r="N731" s="42">
        <f t="shared" ref="N731:S731" si="805">N725+N724</f>
        <v>0</v>
      </c>
      <c r="O731" s="42">
        <f t="shared" si="805"/>
        <v>0</v>
      </c>
      <c r="P731" s="42">
        <f t="shared" si="805"/>
        <v>0</v>
      </c>
      <c r="Q731" s="42">
        <f t="shared" si="805"/>
        <v>0</v>
      </c>
      <c r="R731" s="42">
        <f t="shared" si="805"/>
        <v>0</v>
      </c>
      <c r="S731" s="42">
        <f t="shared" si="805"/>
        <v>0</v>
      </c>
      <c r="T731" s="42">
        <f>SUM(N731:S731)</f>
        <v>0</v>
      </c>
      <c r="U731" s="42">
        <f>T731+L731</f>
        <v>0</v>
      </c>
      <c r="V731" s="42">
        <f>V728</f>
        <v>0</v>
      </c>
      <c r="W731" s="42">
        <f>V731-U731</f>
        <v>0</v>
      </c>
    </row>
    <row r="732" spans="1:23" s="47" customFormat="1" ht="18" hidden="1" customHeight="1">
      <c r="A732" s="673"/>
      <c r="B732" s="576"/>
      <c r="C732" s="577"/>
      <c r="D732" s="202" t="str">
        <f>серпень!D655</f>
        <v xml:space="preserve">відхилення </v>
      </c>
      <c r="E732" s="42"/>
      <c r="F732" s="42">
        <f t="shared" ref="F732:K732" si="806">F728-F731</f>
        <v>0</v>
      </c>
      <c r="G732" s="42">
        <f t="shared" si="806"/>
        <v>0</v>
      </c>
      <c r="H732" s="42">
        <f t="shared" si="806"/>
        <v>0</v>
      </c>
      <c r="I732" s="42">
        <f t="shared" si="806"/>
        <v>0</v>
      </c>
      <c r="J732" s="42">
        <f t="shared" si="806"/>
        <v>0</v>
      </c>
      <c r="K732" s="42">
        <f t="shared" si="806"/>
        <v>0</v>
      </c>
      <c r="L732" s="42"/>
      <c r="M732" s="42"/>
      <c r="N732" s="42">
        <f t="shared" ref="N732:S732" si="807">N728-N731</f>
        <v>0</v>
      </c>
      <c r="O732" s="42">
        <f t="shared" si="807"/>
        <v>0</v>
      </c>
      <c r="P732" s="42">
        <f t="shared" si="807"/>
        <v>0</v>
      </c>
      <c r="Q732" s="42">
        <f t="shared" si="807"/>
        <v>0</v>
      </c>
      <c r="R732" s="42">
        <f t="shared" si="807"/>
        <v>0</v>
      </c>
      <c r="S732" s="42">
        <f t="shared" si="807"/>
        <v>0</v>
      </c>
      <c r="T732" s="42"/>
      <c r="U732" s="42"/>
      <c r="V732" s="42"/>
      <c r="W732" s="42"/>
    </row>
    <row r="733" spans="1:23" s="47" customFormat="1" ht="21.6" hidden="1" customHeight="1">
      <c r="A733" s="673"/>
      <c r="B733" s="578"/>
      <c r="C733" s="579"/>
      <c r="D733" s="202" t="str">
        <f>серпень!D656</f>
        <v>відхилення з наростаючим</v>
      </c>
      <c r="E733" s="42"/>
      <c r="F733" s="42">
        <f>F732</f>
        <v>0</v>
      </c>
      <c r="G733" s="42">
        <f>G732+F733</f>
        <v>0</v>
      </c>
      <c r="H733" s="42">
        <f>H732+G733</f>
        <v>0</v>
      </c>
      <c r="I733" s="42">
        <f>I732+H733</f>
        <v>0</v>
      </c>
      <c r="J733" s="42">
        <f>J732+I733</f>
        <v>0</v>
      </c>
      <c r="K733" s="42">
        <f>K732+J733</f>
        <v>0</v>
      </c>
      <c r="L733" s="42"/>
      <c r="M733" s="42"/>
      <c r="N733" s="42">
        <f>N732+K733</f>
        <v>0</v>
      </c>
      <c r="O733" s="42">
        <f>O732+N733</f>
        <v>0</v>
      </c>
      <c r="P733" s="42">
        <f>P732+O733</f>
        <v>0</v>
      </c>
      <c r="Q733" s="42">
        <f>Q732+P733</f>
        <v>0</v>
      </c>
      <c r="R733" s="42">
        <f>R732+Q733</f>
        <v>0</v>
      </c>
      <c r="S733" s="42">
        <f>S732+R733</f>
        <v>0</v>
      </c>
      <c r="T733" s="42"/>
      <c r="U733" s="42"/>
      <c r="V733" s="42"/>
      <c r="W733" s="42"/>
    </row>
    <row r="734" spans="1:23" s="47" customFormat="1" ht="18" hidden="1" customHeight="1">
      <c r="A734" s="673"/>
      <c r="B734" s="580" t="s">
        <v>124</v>
      </c>
      <c r="C734" s="575"/>
      <c r="D734" s="178" t="str">
        <f>серпень!D657</f>
        <v>факт. нат.п-ки 2023</v>
      </c>
      <c r="E734" s="11"/>
      <c r="F734" s="12"/>
      <c r="G734" s="12"/>
      <c r="H734" s="12"/>
      <c r="I734" s="12"/>
      <c r="J734" s="12"/>
      <c r="K734" s="12"/>
      <c r="L734" s="65">
        <f>SUM(F734:K734)</f>
        <v>0</v>
      </c>
      <c r="M734" s="65">
        <f>L734/6</f>
        <v>0</v>
      </c>
      <c r="N734" s="12"/>
      <c r="O734" s="12"/>
      <c r="P734" s="12"/>
      <c r="Q734" s="12"/>
      <c r="R734" s="12"/>
      <c r="S734" s="12"/>
      <c r="T734" s="65">
        <f>SUM(N734:S734)</f>
        <v>0</v>
      </c>
      <c r="U734" s="66">
        <f>T734+L734</f>
        <v>0</v>
      </c>
      <c r="V734" s="67"/>
      <c r="W734" s="38">
        <f>V734-U734</f>
        <v>0</v>
      </c>
    </row>
    <row r="735" spans="1:23" s="47" customFormat="1" ht="18" hidden="1" customHeight="1">
      <c r="A735" s="673"/>
      <c r="B735" s="576"/>
      <c r="C735" s="577"/>
      <c r="D735" s="178" t="str">
        <f>серпень!D658</f>
        <v>факт. нат.п-ки 2024</v>
      </c>
      <c r="E735" s="11"/>
      <c r="F735" s="12"/>
      <c r="G735" s="12"/>
      <c r="H735" s="12"/>
      <c r="I735" s="12"/>
      <c r="J735" s="12"/>
      <c r="K735" s="12"/>
      <c r="L735" s="65">
        <f>SUM(F735:K735)</f>
        <v>0</v>
      </c>
      <c r="M735" s="65">
        <f>L735/6</f>
        <v>0</v>
      </c>
      <c r="N735" s="11"/>
      <c r="O735" s="11"/>
      <c r="P735" s="11"/>
      <c r="Q735" s="11"/>
      <c r="R735" s="11"/>
      <c r="S735" s="11"/>
      <c r="T735" s="65">
        <f>SUM(N735:S735)</f>
        <v>0</v>
      </c>
      <c r="U735" s="66">
        <f>T735+L735</f>
        <v>0</v>
      </c>
      <c r="V735" s="67"/>
      <c r="W735" s="38">
        <f>V735-U735</f>
        <v>0</v>
      </c>
    </row>
    <row r="736" spans="1:23" s="47" customFormat="1" ht="18" hidden="1" customHeight="1">
      <c r="A736" s="673"/>
      <c r="B736" s="576"/>
      <c r="C736" s="577"/>
      <c r="D736" s="178" t="str">
        <f>серпень!D659</f>
        <v>факт. нат.п-ки 2025</v>
      </c>
      <c r="E736" s="11"/>
      <c r="F736" s="12"/>
      <c r="G736" s="12"/>
      <c r="H736" s="12"/>
      <c r="I736" s="12"/>
      <c r="J736" s="12"/>
      <c r="K736" s="12"/>
      <c r="L736" s="65">
        <f>SUM(F736:K736)</f>
        <v>0</v>
      </c>
      <c r="M736" s="65">
        <f>L736/6</f>
        <v>0</v>
      </c>
      <c r="N736" s="12"/>
      <c r="O736" s="12"/>
      <c r="P736" s="12"/>
      <c r="Q736" s="12"/>
      <c r="R736" s="12"/>
      <c r="S736" s="11"/>
      <c r="T736" s="65">
        <f>SUM(N736:S736)</f>
        <v>0</v>
      </c>
      <c r="U736" s="66">
        <f>T736+L736</f>
        <v>0</v>
      </c>
      <c r="V736" s="11"/>
      <c r="W736" s="38">
        <f>V736-U736</f>
        <v>0</v>
      </c>
    </row>
    <row r="737" spans="1:23" s="47" customFormat="1" ht="18" hidden="1" customHeight="1">
      <c r="A737" s="673"/>
      <c r="B737" s="576"/>
      <c r="C737" s="577"/>
      <c r="D737" s="187" t="str">
        <f>серпень!D660</f>
        <v>тариф, грн.</v>
      </c>
      <c r="E737" s="49"/>
      <c r="F737" s="49">
        <v>0</v>
      </c>
      <c r="G737" s="49">
        <v>0</v>
      </c>
      <c r="H737" s="49">
        <v>0</v>
      </c>
      <c r="I737" s="49">
        <v>0</v>
      </c>
      <c r="J737" s="49">
        <v>0</v>
      </c>
      <c r="K737" s="49">
        <v>0</v>
      </c>
      <c r="L737" s="49" t="e">
        <f>L738/L736*1000</f>
        <v>#DIV/0!</v>
      </c>
      <c r="M737" s="49" t="e">
        <f>M738/M736*1000</f>
        <v>#DIV/0!</v>
      </c>
      <c r="N737" s="49">
        <v>0</v>
      </c>
      <c r="O737" s="49">
        <v>0</v>
      </c>
      <c r="P737" s="49">
        <v>0</v>
      </c>
      <c r="Q737" s="49">
        <v>0</v>
      </c>
      <c r="R737" s="49">
        <v>0</v>
      </c>
      <c r="S737" s="49">
        <v>0</v>
      </c>
      <c r="T737" s="49" t="e">
        <f>T738/T736*1000</f>
        <v>#DIV/0!</v>
      </c>
      <c r="U737" s="49" t="e">
        <f>U738/U736*1000</f>
        <v>#DIV/0!</v>
      </c>
      <c r="V737" s="68" t="e">
        <f>V738/V736*1000</f>
        <v>#DIV/0!</v>
      </c>
      <c r="W737" s="14" t="e">
        <f>W738/W736*1000</f>
        <v>#DIV/0!</v>
      </c>
    </row>
    <row r="738" spans="1:23" s="47" customFormat="1" ht="18" hidden="1" customHeight="1">
      <c r="A738" s="673"/>
      <c r="B738" s="576"/>
      <c r="C738" s="577"/>
      <c r="D738" s="191" t="str">
        <f>серпень!D661</f>
        <v>сума, тис.грн.</v>
      </c>
      <c r="E738" s="52"/>
      <c r="F738" s="52">
        <f t="shared" ref="F738:K738" si="808">F736*F737/1000</f>
        <v>0</v>
      </c>
      <c r="G738" s="52">
        <f t="shared" si="808"/>
        <v>0</v>
      </c>
      <c r="H738" s="52">
        <f t="shared" si="808"/>
        <v>0</v>
      </c>
      <c r="I738" s="52">
        <f t="shared" si="808"/>
        <v>0</v>
      </c>
      <c r="J738" s="52">
        <f t="shared" si="808"/>
        <v>0</v>
      </c>
      <c r="K738" s="52">
        <f t="shared" si="808"/>
        <v>0</v>
      </c>
      <c r="L738" s="69">
        <f>SUM(F738:K738)</f>
        <v>0</v>
      </c>
      <c r="M738" s="69">
        <f>L738/6</f>
        <v>0</v>
      </c>
      <c r="N738" s="52">
        <f t="shared" ref="N738:S738" si="809">N736*N737/1000</f>
        <v>0</v>
      </c>
      <c r="O738" s="52">
        <f t="shared" si="809"/>
        <v>0</v>
      </c>
      <c r="P738" s="52">
        <f t="shared" si="809"/>
        <v>0</v>
      </c>
      <c r="Q738" s="52">
        <f t="shared" si="809"/>
        <v>0</v>
      </c>
      <c r="R738" s="52">
        <f t="shared" si="809"/>
        <v>0</v>
      </c>
      <c r="S738" s="52">
        <f t="shared" si="809"/>
        <v>0</v>
      </c>
      <c r="T738" s="69">
        <f>SUM(N738:S738)</f>
        <v>0</v>
      </c>
      <c r="U738" s="69">
        <f>T738+L738</f>
        <v>0</v>
      </c>
      <c r="V738" s="70">
        <f>V739+V740</f>
        <v>0</v>
      </c>
      <c r="W738" s="53">
        <f>V738-U738</f>
        <v>0</v>
      </c>
    </row>
    <row r="739" spans="1:23" s="47" customFormat="1" ht="18" hidden="1" customHeight="1">
      <c r="A739" s="673"/>
      <c r="B739" s="576"/>
      <c r="C739" s="577"/>
      <c r="D739" s="174" t="str">
        <f>серпень!D662</f>
        <v>дотація</v>
      </c>
      <c r="E739" s="56"/>
      <c r="F739" s="52"/>
      <c r="G739" s="52"/>
      <c r="H739" s="52"/>
      <c r="I739" s="52"/>
      <c r="J739" s="52"/>
      <c r="K739" s="52"/>
      <c r="L739" s="69">
        <f>SUM(F739:K739)</f>
        <v>0</v>
      </c>
      <c r="M739" s="69">
        <f>L739/6</f>
        <v>0</v>
      </c>
      <c r="N739" s="52"/>
      <c r="O739" s="52"/>
      <c r="P739" s="52"/>
      <c r="Q739" s="52"/>
      <c r="R739" s="52"/>
      <c r="S739" s="52"/>
      <c r="T739" s="69">
        <f>SUM(N739:S739)</f>
        <v>0</v>
      </c>
      <c r="U739" s="69">
        <f>T739+L739</f>
        <v>0</v>
      </c>
      <c r="V739" s="70">
        <v>0</v>
      </c>
      <c r="W739" s="53">
        <f>V739-U739</f>
        <v>0</v>
      </c>
    </row>
    <row r="740" spans="1:23" s="47" customFormat="1" ht="18" hidden="1" customHeight="1">
      <c r="A740" s="673"/>
      <c r="B740" s="576"/>
      <c r="C740" s="577"/>
      <c r="D740" s="174" t="str">
        <f>серпень!D663</f>
        <v>місцевий (план), тис.грн</v>
      </c>
      <c r="E740" s="56"/>
      <c r="F740" s="52"/>
      <c r="G740" s="52"/>
      <c r="H740" s="52"/>
      <c r="I740" s="52"/>
      <c r="J740" s="52"/>
      <c r="K740" s="52"/>
      <c r="L740" s="69">
        <f>SUM(F740:K740)</f>
        <v>0</v>
      </c>
      <c r="M740" s="69">
        <f>L740/6</f>
        <v>0</v>
      </c>
      <c r="N740" s="52"/>
      <c r="O740" s="52"/>
      <c r="P740" s="52"/>
      <c r="Q740" s="52"/>
      <c r="R740" s="52"/>
      <c r="S740" s="52"/>
      <c r="T740" s="69">
        <f>SUM(N740:S740)</f>
        <v>0</v>
      </c>
      <c r="U740" s="69">
        <f>T740+L740</f>
        <v>0</v>
      </c>
      <c r="V740" s="70"/>
      <c r="W740" s="53">
        <f>V740-U740</f>
        <v>0</v>
      </c>
    </row>
    <row r="741" spans="1:23" s="47" customFormat="1" ht="18" hidden="1" customHeight="1">
      <c r="A741" s="673"/>
      <c r="B741" s="576"/>
      <c r="C741" s="577"/>
      <c r="D741" s="178" t="str">
        <f>серпень!D664</f>
        <v>касові нат.п-ки 2025</v>
      </c>
      <c r="E741" s="11"/>
      <c r="F741" s="11"/>
      <c r="G741" s="11"/>
      <c r="H741" s="11"/>
      <c r="I741" s="11"/>
      <c r="J741" s="11"/>
      <c r="K741" s="11"/>
      <c r="L741" s="65">
        <f>SUM(F741:K741)</f>
        <v>0</v>
      </c>
      <c r="M741" s="65">
        <f>L741/6</f>
        <v>0</v>
      </c>
      <c r="N741" s="11"/>
      <c r="O741" s="11"/>
      <c r="P741" s="11"/>
      <c r="Q741" s="11"/>
      <c r="R741" s="11"/>
      <c r="S741" s="11"/>
      <c r="T741" s="65">
        <f>SUM(N741:S741)</f>
        <v>0</v>
      </c>
      <c r="U741" s="65">
        <f>T741+L741</f>
        <v>0</v>
      </c>
      <c r="V741" s="11">
        <f>V736</f>
        <v>0</v>
      </c>
      <c r="W741" s="38">
        <f>V741-U741</f>
        <v>0</v>
      </c>
    </row>
    <row r="742" spans="1:23" s="47" customFormat="1" ht="18" hidden="1" customHeight="1">
      <c r="A742" s="673"/>
      <c r="B742" s="576"/>
      <c r="C742" s="577"/>
      <c r="D742" s="187" t="str">
        <f>серпень!D665</f>
        <v>тариф, грн.</v>
      </c>
      <c r="E742" s="49" t="e">
        <f>E743/E741*1000</f>
        <v>#DIV/0!</v>
      </c>
      <c r="F742" s="49">
        <v>0</v>
      </c>
      <c r="G742" s="49">
        <v>0</v>
      </c>
      <c r="H742" s="49">
        <v>0</v>
      </c>
      <c r="I742" s="49">
        <v>0</v>
      </c>
      <c r="J742" s="49">
        <v>0</v>
      </c>
      <c r="K742" s="49">
        <v>0</v>
      </c>
      <c r="L742" s="49" t="e">
        <f>L743/L741*1000</f>
        <v>#DIV/0!</v>
      </c>
      <c r="M742" s="49" t="e">
        <f>M743/M741*1000</f>
        <v>#DIV/0!</v>
      </c>
      <c r="N742" s="49">
        <v>0</v>
      </c>
      <c r="O742" s="49">
        <v>0</v>
      </c>
      <c r="P742" s="49">
        <v>0</v>
      </c>
      <c r="Q742" s="49">
        <v>0</v>
      </c>
      <c r="R742" s="49">
        <v>0</v>
      </c>
      <c r="S742" s="49">
        <v>0</v>
      </c>
      <c r="T742" s="49" t="e">
        <f>T743/T741*1000</f>
        <v>#DIV/0!</v>
      </c>
      <c r="U742" s="49" t="e">
        <f>U743/U741*1000</f>
        <v>#DIV/0!</v>
      </c>
      <c r="V742" s="68" t="e">
        <f>V743/V741*1000</f>
        <v>#DIV/0!</v>
      </c>
      <c r="W742" s="14" t="e">
        <f>W743/W741*1000</f>
        <v>#DIV/0!</v>
      </c>
    </row>
    <row r="743" spans="1:23" s="47" customFormat="1" ht="18" hidden="1" customHeight="1">
      <c r="A743" s="673"/>
      <c r="B743" s="576"/>
      <c r="C743" s="577"/>
      <c r="D743" s="198" t="str">
        <f>серпень!D666</f>
        <v>касові видатки, тис.грн.</v>
      </c>
      <c r="E743" s="71"/>
      <c r="F743" s="61">
        <f t="shared" ref="F743:K743" si="810">F741*F742/1000</f>
        <v>0</v>
      </c>
      <c r="G743" s="61">
        <f t="shared" si="810"/>
        <v>0</v>
      </c>
      <c r="H743" s="61">
        <f t="shared" si="810"/>
        <v>0</v>
      </c>
      <c r="I743" s="61">
        <f t="shared" si="810"/>
        <v>0</v>
      </c>
      <c r="J743" s="61">
        <f t="shared" si="810"/>
        <v>0</v>
      </c>
      <c r="K743" s="61">
        <f t="shared" si="810"/>
        <v>0</v>
      </c>
      <c r="L743" s="61">
        <f>SUM(F743:K743)</f>
        <v>0</v>
      </c>
      <c r="M743" s="61">
        <f>L743/6</f>
        <v>0</v>
      </c>
      <c r="N743" s="61">
        <f t="shared" ref="N743:S743" si="811">N741*N742/1000</f>
        <v>0</v>
      </c>
      <c r="O743" s="61">
        <f t="shared" si="811"/>
        <v>0</v>
      </c>
      <c r="P743" s="61">
        <f t="shared" si="811"/>
        <v>0</v>
      </c>
      <c r="Q743" s="61">
        <f t="shared" si="811"/>
        <v>0</v>
      </c>
      <c r="R743" s="61">
        <f t="shared" si="811"/>
        <v>0</v>
      </c>
      <c r="S743" s="61">
        <f t="shared" si="811"/>
        <v>0</v>
      </c>
      <c r="T743" s="61">
        <f>SUM(N743:S743)</f>
        <v>0</v>
      </c>
      <c r="U743" s="61">
        <f>T743+L743</f>
        <v>0</v>
      </c>
      <c r="V743" s="61">
        <f>V738</f>
        <v>0</v>
      </c>
      <c r="W743" s="72">
        <f>V743-U743</f>
        <v>0</v>
      </c>
    </row>
    <row r="744" spans="1:23" s="47" customFormat="1" ht="18" hidden="1" customHeight="1">
      <c r="A744" s="673"/>
      <c r="B744" s="576"/>
      <c r="C744" s="577"/>
      <c r="D744" s="201" t="str">
        <f>серпень!D667</f>
        <v>дотація</v>
      </c>
      <c r="E744" s="71"/>
      <c r="F744" s="61"/>
      <c r="G744" s="61"/>
      <c r="H744" s="61"/>
      <c r="I744" s="61"/>
      <c r="J744" s="61"/>
      <c r="K744" s="61"/>
      <c r="L744" s="61">
        <f>SUM(F744:K744)</f>
        <v>0</v>
      </c>
      <c r="M744" s="61">
        <f>L744/6</f>
        <v>0</v>
      </c>
      <c r="N744" s="61"/>
      <c r="O744" s="61"/>
      <c r="P744" s="61"/>
      <c r="Q744" s="61"/>
      <c r="R744" s="61"/>
      <c r="S744" s="61"/>
      <c r="T744" s="61">
        <f>SUM(N744:S744)</f>
        <v>0</v>
      </c>
      <c r="U744" s="61">
        <f>T744+L744</f>
        <v>0</v>
      </c>
      <c r="V744" s="61">
        <f>V739</f>
        <v>0</v>
      </c>
      <c r="W744" s="72">
        <f>V744-U744</f>
        <v>0</v>
      </c>
    </row>
    <row r="745" spans="1:23" s="47" customFormat="1" ht="18" hidden="1" customHeight="1">
      <c r="A745" s="673"/>
      <c r="B745" s="576"/>
      <c r="C745" s="577"/>
      <c r="D745" s="201" t="str">
        <f>серпень!D668</f>
        <v xml:space="preserve">місцевий </v>
      </c>
      <c r="E745" s="71"/>
      <c r="F745" s="61">
        <f t="shared" ref="F745:K745" si="812">F743-F744</f>
        <v>0</v>
      </c>
      <c r="G745" s="61">
        <f t="shared" si="812"/>
        <v>0</v>
      </c>
      <c r="H745" s="61">
        <f t="shared" si="812"/>
        <v>0</v>
      </c>
      <c r="I745" s="61">
        <f t="shared" si="812"/>
        <v>0</v>
      </c>
      <c r="J745" s="61">
        <f t="shared" si="812"/>
        <v>0</v>
      </c>
      <c r="K745" s="61">
        <f t="shared" si="812"/>
        <v>0</v>
      </c>
      <c r="L745" s="61">
        <f>SUM(F745:K745)</f>
        <v>0</v>
      </c>
      <c r="M745" s="61">
        <f>L745/6</f>
        <v>0</v>
      </c>
      <c r="N745" s="61">
        <f t="shared" ref="N745:S745" si="813">N743-N744</f>
        <v>0</v>
      </c>
      <c r="O745" s="61">
        <f t="shared" si="813"/>
        <v>0</v>
      </c>
      <c r="P745" s="61">
        <f t="shared" si="813"/>
        <v>0</v>
      </c>
      <c r="Q745" s="61">
        <f t="shared" si="813"/>
        <v>0</v>
      </c>
      <c r="R745" s="61">
        <f t="shared" si="813"/>
        <v>0</v>
      </c>
      <c r="S745" s="61">
        <f t="shared" si="813"/>
        <v>0</v>
      </c>
      <c r="T745" s="61">
        <f>SUM(N745:S745)</f>
        <v>0</v>
      </c>
      <c r="U745" s="61">
        <f>T745+L745</f>
        <v>0</v>
      </c>
      <c r="V745" s="61">
        <f>V740</f>
        <v>0</v>
      </c>
      <c r="W745" s="72">
        <f>V745-U745</f>
        <v>0</v>
      </c>
    </row>
    <row r="746" spans="1:23" s="47" customFormat="1" ht="18" hidden="1" customHeight="1">
      <c r="A746" s="673"/>
      <c r="B746" s="576"/>
      <c r="C746" s="577"/>
      <c r="D746" s="202" t="str">
        <f>серпень!D669</f>
        <v>план</v>
      </c>
      <c r="E746" s="42"/>
      <c r="F746" s="42">
        <f t="shared" ref="F746:K746" si="814">F740</f>
        <v>0</v>
      </c>
      <c r="G746" s="42">
        <f t="shared" si="814"/>
        <v>0</v>
      </c>
      <c r="H746" s="42">
        <f t="shared" si="814"/>
        <v>0</v>
      </c>
      <c r="I746" s="42">
        <f t="shared" si="814"/>
        <v>0</v>
      </c>
      <c r="J746" s="42">
        <f t="shared" si="814"/>
        <v>0</v>
      </c>
      <c r="K746" s="42">
        <f t="shared" si="814"/>
        <v>0</v>
      </c>
      <c r="L746" s="42">
        <f>SUM(F746:K746)</f>
        <v>0</v>
      </c>
      <c r="M746" s="42">
        <f>L746/6</f>
        <v>0</v>
      </c>
      <c r="N746" s="42">
        <f t="shared" ref="N746:S746" si="815">N740+N739</f>
        <v>0</v>
      </c>
      <c r="O746" s="42">
        <f t="shared" si="815"/>
        <v>0</v>
      </c>
      <c r="P746" s="42">
        <f t="shared" si="815"/>
        <v>0</v>
      </c>
      <c r="Q746" s="42">
        <f t="shared" si="815"/>
        <v>0</v>
      </c>
      <c r="R746" s="42">
        <f t="shared" si="815"/>
        <v>0</v>
      </c>
      <c r="S746" s="42">
        <f t="shared" si="815"/>
        <v>0</v>
      </c>
      <c r="T746" s="42">
        <f>SUM(N746:S746)</f>
        <v>0</v>
      </c>
      <c r="U746" s="42">
        <f>T746+L746</f>
        <v>0</v>
      </c>
      <c r="V746" s="42">
        <f>V743</f>
        <v>0</v>
      </c>
      <c r="W746" s="42">
        <f>V746-U746</f>
        <v>0</v>
      </c>
    </row>
    <row r="747" spans="1:23" s="47" customFormat="1" ht="18" hidden="1" customHeight="1">
      <c r="A747" s="673"/>
      <c r="B747" s="576"/>
      <c r="C747" s="577"/>
      <c r="D747" s="202" t="str">
        <f>серпень!D670</f>
        <v xml:space="preserve">відхилення </v>
      </c>
      <c r="E747" s="42"/>
      <c r="F747" s="42">
        <f t="shared" ref="F747:K747" si="816">F743-F746</f>
        <v>0</v>
      </c>
      <c r="G747" s="42">
        <f t="shared" si="816"/>
        <v>0</v>
      </c>
      <c r="H747" s="42">
        <f t="shared" si="816"/>
        <v>0</v>
      </c>
      <c r="I747" s="42">
        <f t="shared" si="816"/>
        <v>0</v>
      </c>
      <c r="J747" s="42">
        <f t="shared" si="816"/>
        <v>0</v>
      </c>
      <c r="K747" s="42">
        <f t="shared" si="816"/>
        <v>0</v>
      </c>
      <c r="L747" s="42"/>
      <c r="M747" s="42"/>
      <c r="N747" s="42">
        <f t="shared" ref="N747:S747" si="817">N743-N746</f>
        <v>0</v>
      </c>
      <c r="O747" s="42">
        <f t="shared" si="817"/>
        <v>0</v>
      </c>
      <c r="P747" s="42">
        <f t="shared" si="817"/>
        <v>0</v>
      </c>
      <c r="Q747" s="42">
        <f t="shared" si="817"/>
        <v>0</v>
      </c>
      <c r="R747" s="42">
        <f t="shared" si="817"/>
        <v>0</v>
      </c>
      <c r="S747" s="42">
        <f t="shared" si="817"/>
        <v>0</v>
      </c>
      <c r="T747" s="42"/>
      <c r="U747" s="42"/>
      <c r="V747" s="42"/>
      <c r="W747" s="42"/>
    </row>
    <row r="748" spans="1:23" s="47" customFormat="1" ht="21.6" hidden="1" customHeight="1">
      <c r="A748" s="673"/>
      <c r="B748" s="578"/>
      <c r="C748" s="579"/>
      <c r="D748" s="202" t="str">
        <f>серпень!D671</f>
        <v>відхилення з наростаючим</v>
      </c>
      <c r="E748" s="42"/>
      <c r="F748" s="42">
        <f>F747</f>
        <v>0</v>
      </c>
      <c r="G748" s="42">
        <f>G747+F748</f>
        <v>0</v>
      </c>
      <c r="H748" s="42">
        <f>H747+G748</f>
        <v>0</v>
      </c>
      <c r="I748" s="42">
        <f>I747+H748</f>
        <v>0</v>
      </c>
      <c r="J748" s="42">
        <f>J747+I748</f>
        <v>0</v>
      </c>
      <c r="K748" s="42">
        <f>K747+J748</f>
        <v>0</v>
      </c>
      <c r="L748" s="42"/>
      <c r="M748" s="42"/>
      <c r="N748" s="42">
        <f>N747+K748</f>
        <v>0</v>
      </c>
      <c r="O748" s="42">
        <f>O747+N748</f>
        <v>0</v>
      </c>
      <c r="P748" s="42">
        <f>P747+O748</f>
        <v>0</v>
      </c>
      <c r="Q748" s="42">
        <f>Q747+P748</f>
        <v>0</v>
      </c>
      <c r="R748" s="42">
        <f>R747+Q748</f>
        <v>0</v>
      </c>
      <c r="S748" s="42">
        <f>S747+R748</f>
        <v>0</v>
      </c>
      <c r="T748" s="42"/>
      <c r="U748" s="42"/>
      <c r="V748" s="42"/>
      <c r="W748" s="42"/>
    </row>
    <row r="749" spans="1:23">
      <c r="L749" s="15"/>
      <c r="M749" s="15"/>
      <c r="N749" s="15"/>
      <c r="T749" s="15"/>
      <c r="U749" s="15"/>
    </row>
    <row r="750" spans="1:23">
      <c r="L750" s="15"/>
      <c r="M750" s="15"/>
      <c r="N750" s="15"/>
      <c r="T750" s="15"/>
      <c r="U750" s="15"/>
    </row>
    <row r="751" spans="1:23">
      <c r="L751" s="15"/>
      <c r="M751" s="15"/>
      <c r="N751" s="15"/>
      <c r="T751" s="15"/>
      <c r="U751" s="15"/>
    </row>
    <row r="752" spans="1:23">
      <c r="L752" s="15"/>
      <c r="M752" s="15"/>
      <c r="N752" s="15"/>
      <c r="T752" s="15"/>
      <c r="U752" s="15"/>
    </row>
    <row r="753" spans="12:21">
      <c r="L753" s="15"/>
      <c r="M753" s="15"/>
      <c r="N753" s="15"/>
      <c r="T753" s="15"/>
      <c r="U753" s="15"/>
    </row>
    <row r="754" spans="12:21">
      <c r="L754" s="15"/>
      <c r="M754" s="15"/>
      <c r="N754" s="15"/>
      <c r="T754" s="15"/>
      <c r="U754" s="15"/>
    </row>
    <row r="755" spans="12:21">
      <c r="L755" s="15"/>
      <c r="M755" s="15"/>
      <c r="N755" s="15"/>
      <c r="T755" s="15"/>
      <c r="U755" s="15"/>
    </row>
    <row r="756" spans="12:21">
      <c r="L756" s="15"/>
      <c r="M756" s="15"/>
      <c r="N756" s="15"/>
      <c r="T756" s="15"/>
      <c r="U756" s="15"/>
    </row>
    <row r="757" spans="12:21">
      <c r="L757" s="15"/>
      <c r="M757" s="15"/>
      <c r="N757" s="15"/>
      <c r="T757" s="15"/>
      <c r="U757" s="15"/>
    </row>
    <row r="758" spans="12:21">
      <c r="L758" s="15"/>
      <c r="M758" s="15"/>
      <c r="N758" s="15"/>
      <c r="T758" s="15"/>
      <c r="U758" s="15"/>
    </row>
    <row r="759" spans="12:21">
      <c r="L759" s="15"/>
      <c r="M759" s="15"/>
      <c r="N759" s="15"/>
      <c r="T759" s="15"/>
      <c r="U759" s="15"/>
    </row>
    <row r="760" spans="12:21">
      <c r="L760" s="15"/>
      <c r="M760" s="15"/>
      <c r="N760" s="15"/>
      <c r="T760" s="15"/>
      <c r="U760" s="15"/>
    </row>
    <row r="761" spans="12:21">
      <c r="L761" s="15"/>
      <c r="M761" s="15"/>
      <c r="N761" s="15"/>
      <c r="T761" s="15"/>
      <c r="U761" s="15"/>
    </row>
    <row r="762" spans="12:21">
      <c r="L762" s="15"/>
      <c r="M762" s="15"/>
      <c r="N762" s="15"/>
      <c r="T762" s="15"/>
      <c r="U762" s="15"/>
    </row>
    <row r="763" spans="12:21">
      <c r="L763" s="15"/>
      <c r="M763" s="15"/>
      <c r="N763" s="15"/>
      <c r="T763" s="15"/>
      <c r="U763" s="15"/>
    </row>
    <row r="764" spans="12:21">
      <c r="L764" s="15"/>
      <c r="M764" s="15"/>
      <c r="N764" s="15"/>
      <c r="T764" s="15"/>
      <c r="U764" s="15"/>
    </row>
    <row r="765" spans="12:21">
      <c r="L765" s="15"/>
      <c r="M765" s="15"/>
      <c r="N765" s="15"/>
      <c r="T765" s="15"/>
      <c r="U765" s="15"/>
    </row>
    <row r="766" spans="12:21">
      <c r="L766" s="15"/>
      <c r="M766" s="15"/>
      <c r="N766" s="15"/>
      <c r="T766" s="15"/>
      <c r="U766" s="15"/>
    </row>
    <row r="767" spans="12:21">
      <c r="L767" s="15"/>
      <c r="M767" s="15"/>
      <c r="N767" s="15"/>
      <c r="T767" s="15"/>
      <c r="U767" s="15"/>
    </row>
    <row r="768" spans="12:21">
      <c r="L768" s="15"/>
      <c r="M768" s="15"/>
      <c r="N768" s="15"/>
      <c r="T768" s="15"/>
      <c r="U768" s="15"/>
    </row>
    <row r="769" spans="12:21">
      <c r="L769" s="15"/>
      <c r="M769" s="15"/>
      <c r="N769" s="15"/>
      <c r="T769" s="15"/>
      <c r="U769" s="15"/>
    </row>
    <row r="770" spans="12:21">
      <c r="L770" s="15"/>
      <c r="M770" s="15"/>
      <c r="N770" s="15"/>
      <c r="T770" s="15"/>
      <c r="U770" s="15"/>
    </row>
    <row r="771" spans="12:21">
      <c r="L771" s="15"/>
      <c r="M771" s="15"/>
      <c r="N771" s="15"/>
      <c r="T771" s="15"/>
      <c r="U771" s="15"/>
    </row>
    <row r="772" spans="12:21">
      <c r="L772" s="15"/>
      <c r="M772" s="15"/>
      <c r="N772" s="15"/>
      <c r="T772" s="15"/>
      <c r="U772" s="15"/>
    </row>
    <row r="773" spans="12:21">
      <c r="L773" s="15"/>
      <c r="M773" s="15"/>
      <c r="N773" s="15"/>
      <c r="T773" s="15"/>
      <c r="U773" s="15"/>
    </row>
    <row r="774" spans="12:21">
      <c r="L774" s="15"/>
      <c r="M774" s="15"/>
      <c r="N774" s="15"/>
      <c r="T774" s="15"/>
      <c r="U774" s="15"/>
    </row>
    <row r="775" spans="12:21">
      <c r="L775" s="15"/>
      <c r="M775" s="15"/>
      <c r="N775" s="15"/>
      <c r="T775" s="15"/>
      <c r="U775" s="15"/>
    </row>
    <row r="776" spans="12:21">
      <c r="L776" s="15"/>
      <c r="M776" s="15"/>
      <c r="N776" s="15"/>
      <c r="T776" s="15"/>
      <c r="U776" s="15"/>
    </row>
    <row r="777" spans="12:21">
      <c r="L777" s="15"/>
      <c r="M777" s="15"/>
      <c r="N777" s="15"/>
      <c r="T777" s="15"/>
      <c r="U777" s="15"/>
    </row>
    <row r="778" spans="12:21">
      <c r="L778" s="15"/>
      <c r="M778" s="15"/>
      <c r="N778" s="15"/>
      <c r="T778" s="15"/>
      <c r="U778" s="15"/>
    </row>
    <row r="779" spans="12:21">
      <c r="L779" s="15"/>
      <c r="M779" s="15"/>
      <c r="N779" s="15"/>
      <c r="T779" s="15"/>
      <c r="U779" s="15"/>
    </row>
    <row r="780" spans="12:21">
      <c r="L780" s="15"/>
      <c r="M780" s="15"/>
      <c r="N780" s="15"/>
      <c r="T780" s="15"/>
      <c r="U780" s="15"/>
    </row>
    <row r="781" spans="12:21">
      <c r="L781" s="15"/>
      <c r="M781" s="15"/>
      <c r="N781" s="15"/>
      <c r="T781" s="15"/>
      <c r="U781" s="15"/>
    </row>
    <row r="782" spans="12:21">
      <c r="L782" s="15"/>
      <c r="M782" s="15"/>
      <c r="N782" s="15"/>
      <c r="T782" s="15"/>
      <c r="U782" s="15"/>
    </row>
    <row r="783" spans="12:21">
      <c r="L783" s="15"/>
      <c r="M783" s="15"/>
      <c r="N783" s="15"/>
      <c r="T783" s="15"/>
      <c r="U783" s="15"/>
    </row>
    <row r="784" spans="12:21">
      <c r="L784" s="15"/>
      <c r="M784" s="15"/>
      <c r="N784" s="15"/>
      <c r="T784" s="15"/>
      <c r="U784" s="15"/>
    </row>
    <row r="785" spans="12:21">
      <c r="L785" s="15"/>
      <c r="M785" s="15"/>
      <c r="N785" s="15"/>
      <c r="T785" s="15"/>
      <c r="U785" s="15"/>
    </row>
    <row r="786" spans="12:21">
      <c r="L786" s="15"/>
      <c r="M786" s="15"/>
      <c r="N786" s="15"/>
      <c r="T786" s="15"/>
      <c r="U786" s="15"/>
    </row>
    <row r="787" spans="12:21">
      <c r="L787" s="15"/>
      <c r="M787" s="15"/>
      <c r="N787" s="15"/>
      <c r="T787" s="15"/>
      <c r="U787" s="15"/>
    </row>
    <row r="788" spans="12:21">
      <c r="L788" s="15"/>
      <c r="M788" s="15"/>
      <c r="N788" s="15"/>
      <c r="T788" s="15"/>
      <c r="U788" s="15"/>
    </row>
    <row r="789" spans="12:21">
      <c r="L789" s="15"/>
      <c r="M789" s="15"/>
      <c r="N789" s="15"/>
      <c r="T789" s="15"/>
      <c r="U789" s="15"/>
    </row>
    <row r="790" spans="12:21">
      <c r="L790" s="15"/>
      <c r="M790" s="15"/>
      <c r="N790" s="15"/>
      <c r="T790" s="15"/>
      <c r="U790" s="15"/>
    </row>
    <row r="791" spans="12:21">
      <c r="L791" s="15"/>
      <c r="M791" s="15"/>
      <c r="N791" s="15"/>
      <c r="T791" s="15"/>
      <c r="U791" s="15"/>
    </row>
    <row r="792" spans="12:21">
      <c r="L792" s="15"/>
      <c r="M792" s="15"/>
      <c r="N792" s="15"/>
      <c r="T792" s="15"/>
      <c r="U792" s="15"/>
    </row>
    <row r="793" spans="12:21">
      <c r="L793" s="15"/>
      <c r="M793" s="15"/>
      <c r="N793" s="15"/>
      <c r="T793" s="15"/>
      <c r="U793" s="15"/>
    </row>
    <row r="794" spans="12:21">
      <c r="L794" s="15"/>
      <c r="M794" s="15"/>
      <c r="N794" s="15"/>
      <c r="T794" s="15"/>
      <c r="U794" s="15"/>
    </row>
    <row r="795" spans="12:21">
      <c r="L795" s="15"/>
      <c r="M795" s="15"/>
      <c r="N795" s="15"/>
      <c r="T795" s="15"/>
      <c r="U795" s="15"/>
    </row>
    <row r="796" spans="12:21">
      <c r="L796" s="15"/>
      <c r="M796" s="15"/>
      <c r="N796" s="15"/>
      <c r="T796" s="15"/>
      <c r="U796" s="15"/>
    </row>
    <row r="797" spans="12:21">
      <c r="L797" s="15"/>
      <c r="M797" s="15"/>
      <c r="N797" s="15"/>
      <c r="T797" s="15"/>
      <c r="U797" s="15"/>
    </row>
    <row r="798" spans="12:21">
      <c r="L798" s="15"/>
      <c r="M798" s="15"/>
      <c r="N798" s="15"/>
      <c r="T798" s="15"/>
      <c r="U798" s="15"/>
    </row>
    <row r="799" spans="12:21">
      <c r="L799" s="15"/>
      <c r="M799" s="15"/>
      <c r="N799" s="15"/>
      <c r="T799" s="15"/>
      <c r="U799" s="15"/>
    </row>
    <row r="800" spans="12:21">
      <c r="L800" s="15"/>
      <c r="M800" s="15"/>
      <c r="N800" s="15"/>
      <c r="T800" s="15"/>
      <c r="U800" s="15"/>
    </row>
    <row r="801" spans="12:21">
      <c r="L801" s="15"/>
      <c r="M801" s="15"/>
      <c r="N801" s="15"/>
      <c r="T801" s="15"/>
      <c r="U801" s="15"/>
    </row>
    <row r="802" spans="12:21">
      <c r="L802" s="15"/>
      <c r="M802" s="15"/>
      <c r="N802" s="15"/>
      <c r="T802" s="15"/>
      <c r="U802" s="15"/>
    </row>
    <row r="803" spans="12:21">
      <c r="L803" s="15"/>
      <c r="M803" s="15"/>
      <c r="N803" s="15"/>
      <c r="T803" s="15"/>
      <c r="U803" s="15"/>
    </row>
    <row r="804" spans="12:21">
      <c r="L804" s="15"/>
      <c r="M804" s="15"/>
      <c r="N804" s="15"/>
      <c r="T804" s="15"/>
      <c r="U804" s="15"/>
    </row>
    <row r="805" spans="12:21">
      <c r="L805" s="15"/>
      <c r="M805" s="15"/>
      <c r="N805" s="15"/>
      <c r="T805" s="15"/>
      <c r="U805" s="15"/>
    </row>
    <row r="806" spans="12:21">
      <c r="L806" s="15"/>
      <c r="M806" s="15"/>
      <c r="N806" s="15"/>
      <c r="T806" s="15"/>
      <c r="U806" s="15"/>
    </row>
    <row r="807" spans="12:21">
      <c r="L807" s="15"/>
      <c r="M807" s="15"/>
      <c r="N807" s="15"/>
      <c r="T807" s="15"/>
      <c r="U807" s="15"/>
    </row>
    <row r="808" spans="12:21">
      <c r="L808" s="15"/>
      <c r="M808" s="15"/>
      <c r="N808" s="15"/>
      <c r="T808" s="15"/>
      <c r="U808" s="15"/>
    </row>
    <row r="809" spans="12:21">
      <c r="L809" s="15"/>
      <c r="M809" s="15"/>
      <c r="N809" s="15"/>
      <c r="T809" s="15"/>
      <c r="U809" s="15"/>
    </row>
    <row r="810" spans="12:21">
      <c r="L810" s="15"/>
      <c r="M810" s="15"/>
      <c r="N810" s="15"/>
      <c r="T810" s="15"/>
      <c r="U810" s="15"/>
    </row>
    <row r="811" spans="12:21">
      <c r="L811" s="15"/>
      <c r="M811" s="15"/>
      <c r="N811" s="15"/>
      <c r="T811" s="15"/>
      <c r="U811" s="15"/>
    </row>
    <row r="812" spans="12:21">
      <c r="L812" s="15"/>
      <c r="M812" s="15"/>
      <c r="N812" s="15"/>
      <c r="T812" s="15"/>
      <c r="U812" s="15"/>
    </row>
    <row r="813" spans="12:21">
      <c r="L813" s="15"/>
      <c r="M813" s="15"/>
      <c r="N813" s="15"/>
      <c r="T813" s="15"/>
      <c r="U813" s="15"/>
    </row>
    <row r="814" spans="12:21">
      <c r="L814" s="15"/>
      <c r="M814" s="15"/>
      <c r="N814" s="15"/>
      <c r="T814" s="15"/>
      <c r="U814" s="15"/>
    </row>
    <row r="815" spans="12:21">
      <c r="L815" s="15"/>
      <c r="M815" s="15"/>
      <c r="N815" s="15"/>
      <c r="T815" s="15"/>
      <c r="U815" s="15"/>
    </row>
    <row r="816" spans="12:21">
      <c r="L816" s="15"/>
      <c r="M816" s="15"/>
      <c r="N816" s="15"/>
      <c r="T816" s="15"/>
      <c r="U816" s="15"/>
    </row>
    <row r="817" spans="12:21">
      <c r="L817" s="15"/>
      <c r="M817" s="15"/>
      <c r="N817" s="15"/>
      <c r="T817" s="15"/>
      <c r="U817" s="15"/>
    </row>
    <row r="818" spans="12:21">
      <c r="L818" s="15"/>
      <c r="M818" s="15"/>
      <c r="N818" s="15"/>
      <c r="T818" s="15"/>
      <c r="U818" s="15"/>
    </row>
    <row r="819" spans="12:21">
      <c r="L819" s="15"/>
      <c r="M819" s="15"/>
      <c r="N819" s="15"/>
      <c r="T819" s="15"/>
      <c r="U819" s="15"/>
    </row>
    <row r="820" spans="12:21">
      <c r="L820" s="15"/>
      <c r="M820" s="15"/>
      <c r="N820" s="15"/>
      <c r="T820" s="15"/>
      <c r="U820" s="15"/>
    </row>
    <row r="821" spans="12:21">
      <c r="L821" s="15"/>
      <c r="M821" s="15"/>
      <c r="N821" s="15"/>
      <c r="T821" s="15"/>
      <c r="U821" s="15"/>
    </row>
    <row r="822" spans="12:21">
      <c r="L822" s="15"/>
      <c r="M822" s="15"/>
      <c r="N822" s="15"/>
      <c r="T822" s="15"/>
      <c r="U822" s="15"/>
    </row>
    <row r="823" spans="12:21">
      <c r="L823" s="15"/>
      <c r="M823" s="15"/>
      <c r="N823" s="15"/>
      <c r="T823" s="15"/>
      <c r="U823" s="15"/>
    </row>
    <row r="824" spans="12:21">
      <c r="L824" s="15"/>
      <c r="M824" s="15"/>
      <c r="N824" s="15"/>
      <c r="T824" s="15"/>
      <c r="U824" s="15"/>
    </row>
    <row r="825" spans="12:21">
      <c r="L825" s="15"/>
      <c r="M825" s="15"/>
      <c r="N825" s="15"/>
      <c r="T825" s="15"/>
      <c r="U825" s="15"/>
    </row>
    <row r="826" spans="12:21">
      <c r="L826" s="15"/>
      <c r="M826" s="15"/>
      <c r="N826" s="15"/>
      <c r="T826" s="15"/>
      <c r="U826" s="15"/>
    </row>
    <row r="827" spans="12:21">
      <c r="L827" s="15"/>
      <c r="M827" s="15"/>
      <c r="N827" s="15"/>
      <c r="T827" s="15"/>
      <c r="U827" s="15"/>
    </row>
    <row r="828" spans="12:21">
      <c r="L828" s="15"/>
      <c r="M828" s="15"/>
      <c r="N828" s="15"/>
      <c r="T828" s="15"/>
      <c r="U828" s="15"/>
    </row>
    <row r="829" spans="12:21">
      <c r="L829" s="15"/>
      <c r="M829" s="15"/>
      <c r="N829" s="15"/>
      <c r="T829" s="15"/>
      <c r="U829" s="15"/>
    </row>
    <row r="830" spans="12:21">
      <c r="L830" s="15"/>
      <c r="M830" s="15"/>
      <c r="N830" s="15"/>
      <c r="T830" s="15"/>
      <c r="U830" s="15"/>
    </row>
    <row r="831" spans="12:21">
      <c r="L831" s="15"/>
      <c r="M831" s="15"/>
      <c r="N831" s="15"/>
      <c r="T831" s="15"/>
      <c r="U831" s="15"/>
    </row>
    <row r="832" spans="12:21">
      <c r="L832" s="15"/>
      <c r="M832" s="15"/>
      <c r="N832" s="15"/>
      <c r="T832" s="15"/>
      <c r="U832" s="15"/>
    </row>
    <row r="833" spans="12:21">
      <c r="L833" s="15"/>
      <c r="M833" s="15"/>
      <c r="N833" s="15"/>
      <c r="T833" s="15"/>
      <c r="U833" s="15"/>
    </row>
    <row r="834" spans="12:21">
      <c r="L834" s="15"/>
      <c r="M834" s="15"/>
      <c r="N834" s="15"/>
      <c r="T834" s="15"/>
      <c r="U834" s="15"/>
    </row>
    <row r="835" spans="12:21">
      <c r="L835" s="15"/>
      <c r="M835" s="15"/>
      <c r="N835" s="15"/>
      <c r="T835" s="15"/>
      <c r="U835" s="15"/>
    </row>
    <row r="836" spans="12:21">
      <c r="L836" s="15"/>
      <c r="M836" s="15"/>
      <c r="N836" s="15"/>
      <c r="T836" s="15"/>
      <c r="U836" s="15"/>
    </row>
    <row r="837" spans="12:21">
      <c r="L837" s="15"/>
      <c r="M837" s="15"/>
      <c r="N837" s="15"/>
      <c r="T837" s="15"/>
      <c r="U837" s="15"/>
    </row>
    <row r="838" spans="12:21">
      <c r="L838" s="15"/>
      <c r="M838" s="15"/>
      <c r="N838" s="15"/>
      <c r="T838" s="15"/>
      <c r="U838" s="15"/>
    </row>
    <row r="839" spans="12:21">
      <c r="L839" s="15"/>
      <c r="M839" s="15"/>
      <c r="N839" s="15"/>
      <c r="T839" s="15"/>
      <c r="U839" s="15"/>
    </row>
    <row r="840" spans="12:21">
      <c r="L840" s="15"/>
      <c r="M840" s="15"/>
      <c r="N840" s="15"/>
      <c r="T840" s="15"/>
      <c r="U840" s="15"/>
    </row>
    <row r="841" spans="12:21">
      <c r="L841" s="15"/>
      <c r="M841" s="15"/>
      <c r="N841" s="15"/>
      <c r="T841" s="15"/>
      <c r="U841" s="15"/>
    </row>
    <row r="842" spans="12:21">
      <c r="L842" s="15"/>
      <c r="M842" s="15"/>
      <c r="N842" s="15"/>
      <c r="T842" s="15"/>
      <c r="U842" s="15"/>
    </row>
    <row r="843" spans="12:21">
      <c r="L843" s="15"/>
      <c r="M843" s="15"/>
      <c r="N843" s="15"/>
      <c r="T843" s="15"/>
      <c r="U843" s="15"/>
    </row>
    <row r="844" spans="12:21">
      <c r="L844" s="15"/>
      <c r="M844" s="15"/>
      <c r="N844" s="15"/>
      <c r="T844" s="15"/>
      <c r="U844" s="15"/>
    </row>
    <row r="845" spans="12:21">
      <c r="L845" s="15"/>
      <c r="M845" s="15"/>
      <c r="N845" s="15"/>
      <c r="T845" s="15"/>
      <c r="U845" s="15"/>
    </row>
    <row r="846" spans="12:21">
      <c r="L846" s="15"/>
      <c r="M846" s="15"/>
      <c r="N846" s="15"/>
      <c r="T846" s="15"/>
      <c r="U846" s="15"/>
    </row>
    <row r="847" spans="12:21">
      <c r="L847" s="15"/>
      <c r="M847" s="15"/>
      <c r="N847" s="15"/>
      <c r="T847" s="15"/>
      <c r="U847" s="15"/>
    </row>
    <row r="848" spans="12:21">
      <c r="L848" s="15"/>
      <c r="M848" s="15"/>
      <c r="N848" s="15"/>
      <c r="T848" s="15"/>
      <c r="U848" s="15"/>
    </row>
    <row r="849" spans="12:21">
      <c r="L849" s="15"/>
      <c r="M849" s="15"/>
      <c r="N849" s="15"/>
      <c r="T849" s="15"/>
      <c r="U849" s="15"/>
    </row>
    <row r="850" spans="12:21">
      <c r="L850" s="15"/>
      <c r="M850" s="15"/>
      <c r="N850" s="15"/>
      <c r="T850" s="15"/>
      <c r="U850" s="15"/>
    </row>
    <row r="851" spans="12:21">
      <c r="L851" s="15"/>
      <c r="M851" s="15"/>
      <c r="N851" s="15"/>
      <c r="T851" s="15"/>
      <c r="U851" s="15"/>
    </row>
    <row r="852" spans="12:21">
      <c r="L852" s="15"/>
      <c r="M852" s="15"/>
      <c r="N852" s="15"/>
      <c r="T852" s="15"/>
      <c r="U852" s="15"/>
    </row>
    <row r="853" spans="12:21">
      <c r="L853" s="15"/>
      <c r="M853" s="15"/>
      <c r="N853" s="15"/>
      <c r="T853" s="15"/>
      <c r="U853" s="15"/>
    </row>
    <row r="854" spans="12:21">
      <c r="L854" s="15"/>
      <c r="M854" s="15"/>
      <c r="N854" s="15"/>
      <c r="T854" s="15"/>
      <c r="U854" s="15"/>
    </row>
    <row r="855" spans="12:21">
      <c r="L855" s="15"/>
      <c r="M855" s="15"/>
      <c r="N855" s="15"/>
      <c r="T855" s="15"/>
      <c r="U855" s="15"/>
    </row>
    <row r="856" spans="12:21">
      <c r="L856" s="15"/>
      <c r="M856" s="15"/>
      <c r="N856" s="15"/>
      <c r="T856" s="15"/>
      <c r="U856" s="15"/>
    </row>
    <row r="857" spans="12:21">
      <c r="L857" s="15"/>
      <c r="M857" s="15"/>
      <c r="N857" s="15"/>
      <c r="T857" s="15"/>
      <c r="U857" s="15"/>
    </row>
    <row r="858" spans="12:21">
      <c r="L858" s="15"/>
      <c r="M858" s="15"/>
      <c r="N858" s="15"/>
      <c r="T858" s="15"/>
      <c r="U858" s="15"/>
    </row>
    <row r="859" spans="12:21">
      <c r="L859" s="15"/>
      <c r="M859" s="15"/>
      <c r="N859" s="15"/>
      <c r="T859" s="15"/>
      <c r="U859" s="15"/>
    </row>
    <row r="860" spans="12:21">
      <c r="L860" s="15"/>
      <c r="M860" s="15"/>
      <c r="N860" s="15"/>
      <c r="T860" s="15"/>
      <c r="U860" s="15"/>
    </row>
    <row r="861" spans="12:21">
      <c r="L861" s="15"/>
      <c r="M861" s="15"/>
      <c r="N861" s="15"/>
      <c r="T861" s="15"/>
      <c r="U861" s="15"/>
    </row>
    <row r="862" spans="12:21">
      <c r="L862" s="15"/>
      <c r="M862" s="15"/>
      <c r="N862" s="15"/>
      <c r="T862" s="15"/>
      <c r="U862" s="15"/>
    </row>
    <row r="863" spans="12:21">
      <c r="L863" s="15"/>
      <c r="M863" s="15"/>
      <c r="N863" s="15"/>
      <c r="T863" s="15"/>
      <c r="U863" s="15"/>
    </row>
    <row r="864" spans="12:21">
      <c r="L864" s="15"/>
      <c r="M864" s="15"/>
      <c r="N864" s="15"/>
      <c r="T864" s="15"/>
      <c r="U864" s="15"/>
    </row>
    <row r="865" spans="12:21">
      <c r="L865" s="15"/>
      <c r="M865" s="15"/>
      <c r="N865" s="15"/>
      <c r="T865" s="15"/>
      <c r="U865" s="15"/>
    </row>
    <row r="866" spans="12:21">
      <c r="L866" s="15"/>
      <c r="M866" s="15"/>
      <c r="N866" s="15"/>
      <c r="T866" s="15"/>
      <c r="U866" s="15"/>
    </row>
    <row r="867" spans="12:21">
      <c r="L867" s="15"/>
      <c r="M867" s="15"/>
      <c r="N867" s="15"/>
      <c r="T867" s="15"/>
      <c r="U867" s="15"/>
    </row>
    <row r="868" spans="12:21">
      <c r="L868" s="15"/>
      <c r="M868" s="15"/>
      <c r="N868" s="15"/>
      <c r="T868" s="15"/>
      <c r="U868" s="15"/>
    </row>
    <row r="869" spans="12:21">
      <c r="L869" s="15"/>
      <c r="M869" s="15"/>
      <c r="N869" s="15"/>
      <c r="T869" s="15"/>
      <c r="U869" s="15"/>
    </row>
    <row r="870" spans="12:21">
      <c r="L870" s="15"/>
      <c r="M870" s="15"/>
      <c r="N870" s="15"/>
      <c r="T870" s="15"/>
      <c r="U870" s="15"/>
    </row>
    <row r="871" spans="12:21">
      <c r="L871" s="15"/>
      <c r="M871" s="15"/>
      <c r="N871" s="15"/>
      <c r="T871" s="15"/>
      <c r="U871" s="15"/>
    </row>
    <row r="872" spans="12:21">
      <c r="L872" s="15"/>
      <c r="M872" s="15"/>
      <c r="N872" s="15"/>
      <c r="T872" s="15"/>
      <c r="U872" s="15"/>
    </row>
    <row r="873" spans="12:21">
      <c r="L873" s="15"/>
      <c r="M873" s="15"/>
      <c r="N873" s="15"/>
      <c r="T873" s="15"/>
      <c r="U873" s="15"/>
    </row>
    <row r="874" spans="12:21">
      <c r="L874" s="15"/>
      <c r="M874" s="15"/>
      <c r="N874" s="15"/>
      <c r="T874" s="15"/>
      <c r="U874" s="15"/>
    </row>
    <row r="875" spans="12:21">
      <c r="L875" s="15"/>
      <c r="M875" s="15"/>
      <c r="N875" s="15"/>
      <c r="T875" s="15"/>
      <c r="U875" s="15"/>
    </row>
    <row r="876" spans="12:21">
      <c r="L876" s="15"/>
      <c r="M876" s="15"/>
      <c r="N876" s="15"/>
      <c r="T876" s="15"/>
      <c r="U876" s="15"/>
    </row>
    <row r="877" spans="12:21">
      <c r="L877" s="15"/>
      <c r="M877" s="15"/>
      <c r="N877" s="15"/>
      <c r="T877" s="15"/>
      <c r="U877" s="15"/>
    </row>
    <row r="878" spans="12:21">
      <c r="L878" s="15"/>
      <c r="M878" s="15"/>
      <c r="N878" s="15"/>
      <c r="T878" s="15"/>
      <c r="U878" s="15"/>
    </row>
    <row r="879" spans="12:21">
      <c r="L879" s="15"/>
      <c r="M879" s="15"/>
      <c r="N879" s="15"/>
      <c r="T879" s="15"/>
      <c r="U879" s="15"/>
    </row>
    <row r="880" spans="12:21">
      <c r="L880" s="15"/>
      <c r="M880" s="15"/>
      <c r="N880" s="15"/>
      <c r="T880" s="15"/>
      <c r="U880" s="15"/>
    </row>
    <row r="881" spans="12:21">
      <c r="L881" s="15"/>
      <c r="M881" s="15"/>
      <c r="N881" s="15"/>
      <c r="T881" s="15"/>
      <c r="U881" s="15"/>
    </row>
    <row r="882" spans="12:21">
      <c r="L882" s="15"/>
      <c r="M882" s="15"/>
      <c r="N882" s="15"/>
      <c r="T882" s="15"/>
      <c r="U882" s="15"/>
    </row>
    <row r="883" spans="12:21">
      <c r="L883" s="15"/>
      <c r="M883" s="15"/>
      <c r="N883" s="15"/>
      <c r="T883" s="15"/>
      <c r="U883" s="15"/>
    </row>
    <row r="884" spans="12:21">
      <c r="L884" s="15"/>
      <c r="M884" s="15"/>
      <c r="N884" s="15"/>
      <c r="T884" s="15"/>
      <c r="U884" s="15"/>
    </row>
    <row r="885" spans="12:21">
      <c r="L885" s="15"/>
      <c r="M885" s="15"/>
      <c r="N885" s="15"/>
      <c r="T885" s="15"/>
      <c r="U885" s="15"/>
    </row>
    <row r="886" spans="12:21">
      <c r="L886" s="15"/>
      <c r="M886" s="15"/>
      <c r="N886" s="15"/>
      <c r="T886" s="15"/>
      <c r="U886" s="15"/>
    </row>
    <row r="887" spans="12:21">
      <c r="L887" s="15"/>
      <c r="M887" s="15"/>
      <c r="N887" s="15"/>
      <c r="T887" s="15"/>
      <c r="U887" s="15"/>
    </row>
    <row r="888" spans="12:21">
      <c r="L888" s="15"/>
      <c r="M888" s="15"/>
      <c r="N888" s="15"/>
      <c r="T888" s="15"/>
      <c r="U888" s="15"/>
    </row>
    <row r="889" spans="12:21">
      <c r="L889" s="15"/>
      <c r="M889" s="15"/>
      <c r="N889" s="15"/>
      <c r="T889" s="15"/>
      <c r="U889" s="15"/>
    </row>
    <row r="890" spans="12:21">
      <c r="L890" s="15"/>
      <c r="M890" s="15"/>
      <c r="N890" s="15"/>
      <c r="T890" s="15"/>
      <c r="U890" s="15"/>
    </row>
    <row r="891" spans="12:21">
      <c r="L891" s="15"/>
      <c r="M891" s="15"/>
      <c r="N891" s="15"/>
      <c r="T891" s="15"/>
      <c r="U891" s="15"/>
    </row>
    <row r="892" spans="12:21">
      <c r="L892" s="15"/>
      <c r="M892" s="15"/>
      <c r="N892" s="15"/>
      <c r="T892" s="15"/>
      <c r="U892" s="15"/>
    </row>
    <row r="893" spans="12:21">
      <c r="L893" s="15"/>
      <c r="M893" s="15"/>
      <c r="N893" s="15"/>
      <c r="T893" s="15"/>
      <c r="U893" s="15"/>
    </row>
    <row r="894" spans="12:21">
      <c r="L894" s="15"/>
      <c r="M894" s="15"/>
      <c r="N894" s="15"/>
      <c r="T894" s="15"/>
      <c r="U894" s="15"/>
    </row>
    <row r="895" spans="12:21">
      <c r="L895" s="15"/>
      <c r="M895" s="15"/>
      <c r="N895" s="15"/>
      <c r="T895" s="15"/>
      <c r="U895" s="15"/>
    </row>
    <row r="896" spans="12:21">
      <c r="L896" s="15"/>
      <c r="M896" s="15"/>
      <c r="N896" s="15"/>
      <c r="T896" s="15"/>
      <c r="U896" s="15"/>
    </row>
    <row r="897" spans="12:21">
      <c r="L897" s="15"/>
      <c r="M897" s="15"/>
      <c r="N897" s="15"/>
      <c r="T897" s="15"/>
      <c r="U897" s="15"/>
    </row>
    <row r="898" spans="12:21">
      <c r="L898" s="15"/>
      <c r="M898" s="15"/>
      <c r="N898" s="15"/>
      <c r="T898" s="15"/>
      <c r="U898" s="15"/>
    </row>
    <row r="899" spans="12:21">
      <c r="L899" s="15"/>
      <c r="M899" s="15"/>
      <c r="N899" s="15"/>
      <c r="T899" s="15"/>
      <c r="U899" s="15"/>
    </row>
    <row r="900" spans="12:21">
      <c r="L900" s="15"/>
      <c r="M900" s="15"/>
      <c r="N900" s="15"/>
      <c r="T900" s="15"/>
      <c r="U900" s="15"/>
    </row>
    <row r="901" spans="12:21">
      <c r="L901" s="15"/>
      <c r="M901" s="15"/>
      <c r="N901" s="15"/>
      <c r="T901" s="15"/>
      <c r="U901" s="15"/>
    </row>
    <row r="902" spans="12:21">
      <c r="L902" s="15"/>
      <c r="M902" s="15"/>
      <c r="N902" s="15"/>
      <c r="T902" s="15"/>
      <c r="U902" s="15"/>
    </row>
    <row r="903" spans="12:21">
      <c r="L903" s="15"/>
      <c r="M903" s="15"/>
      <c r="N903" s="15"/>
      <c r="T903" s="15"/>
      <c r="U903" s="15"/>
    </row>
    <row r="904" spans="12:21">
      <c r="L904" s="15"/>
      <c r="M904" s="15"/>
      <c r="N904" s="15"/>
      <c r="T904" s="15"/>
      <c r="U904" s="15"/>
    </row>
    <row r="905" spans="12:21">
      <c r="L905" s="15"/>
      <c r="M905" s="15"/>
      <c r="N905" s="15"/>
      <c r="T905" s="15"/>
      <c r="U905" s="15"/>
    </row>
    <row r="906" spans="12:21">
      <c r="L906" s="15"/>
      <c r="M906" s="15"/>
      <c r="N906" s="15"/>
      <c r="T906" s="15"/>
      <c r="U906" s="15"/>
    </row>
    <row r="907" spans="12:21">
      <c r="L907" s="15"/>
      <c r="M907" s="15"/>
      <c r="N907" s="15"/>
      <c r="T907" s="15"/>
      <c r="U907" s="15"/>
    </row>
    <row r="908" spans="12:21">
      <c r="L908" s="15"/>
      <c r="M908" s="15"/>
      <c r="N908" s="15"/>
      <c r="T908" s="15"/>
      <c r="U908" s="15"/>
    </row>
    <row r="909" spans="12:21">
      <c r="L909" s="15"/>
      <c r="M909" s="15"/>
      <c r="N909" s="15"/>
      <c r="T909" s="15"/>
      <c r="U909" s="15"/>
    </row>
    <row r="910" spans="12:21">
      <c r="L910" s="15"/>
      <c r="M910" s="15"/>
      <c r="N910" s="15"/>
      <c r="T910" s="15"/>
      <c r="U910" s="15"/>
    </row>
    <row r="911" spans="12:21">
      <c r="L911" s="15"/>
      <c r="M911" s="15"/>
      <c r="N911" s="15"/>
      <c r="T911" s="15"/>
      <c r="U911" s="15"/>
    </row>
    <row r="912" spans="12:21">
      <c r="L912" s="15"/>
      <c r="M912" s="15"/>
      <c r="N912" s="15"/>
      <c r="T912" s="15"/>
      <c r="U912" s="15"/>
    </row>
    <row r="913" spans="12:21">
      <c r="L913" s="15"/>
      <c r="M913" s="15"/>
      <c r="N913" s="15"/>
      <c r="T913" s="15"/>
      <c r="U913" s="15"/>
    </row>
    <row r="914" spans="12:21">
      <c r="L914" s="15"/>
      <c r="M914" s="15"/>
      <c r="N914" s="15"/>
      <c r="T914" s="15"/>
      <c r="U914" s="15"/>
    </row>
    <row r="915" spans="12:21">
      <c r="L915" s="15"/>
      <c r="M915" s="15"/>
      <c r="N915" s="15"/>
      <c r="T915" s="15"/>
      <c r="U915" s="15"/>
    </row>
    <row r="916" spans="12:21">
      <c r="L916" s="15"/>
      <c r="M916" s="15"/>
      <c r="N916" s="15"/>
      <c r="T916" s="15"/>
      <c r="U916" s="15"/>
    </row>
    <row r="917" spans="12:21">
      <c r="L917" s="15"/>
      <c r="M917" s="15"/>
      <c r="N917" s="15"/>
      <c r="T917" s="15"/>
      <c r="U917" s="15"/>
    </row>
    <row r="918" spans="12:21">
      <c r="L918" s="15"/>
      <c r="M918" s="15"/>
      <c r="N918" s="15"/>
      <c r="T918" s="15"/>
      <c r="U918" s="15"/>
    </row>
    <row r="919" spans="12:21">
      <c r="L919" s="15"/>
      <c r="M919" s="15"/>
      <c r="N919" s="15"/>
      <c r="T919" s="15"/>
      <c r="U919" s="15"/>
    </row>
    <row r="920" spans="12:21">
      <c r="L920" s="15"/>
      <c r="M920" s="15"/>
      <c r="N920" s="15"/>
      <c r="T920" s="15"/>
      <c r="U920" s="15"/>
    </row>
    <row r="921" spans="12:21">
      <c r="L921" s="15"/>
      <c r="M921" s="15"/>
      <c r="N921" s="15"/>
      <c r="T921" s="15"/>
      <c r="U921" s="15"/>
    </row>
    <row r="922" spans="12:21">
      <c r="L922" s="15"/>
      <c r="M922" s="15"/>
      <c r="N922" s="15"/>
      <c r="T922" s="15"/>
      <c r="U922" s="15"/>
    </row>
    <row r="923" spans="12:21">
      <c r="L923" s="15"/>
      <c r="M923" s="15"/>
      <c r="N923" s="15"/>
      <c r="T923" s="15"/>
      <c r="U923" s="15"/>
    </row>
    <row r="924" spans="12:21">
      <c r="L924" s="15"/>
      <c r="M924" s="15"/>
      <c r="N924" s="15"/>
      <c r="T924" s="15"/>
      <c r="U924" s="15"/>
    </row>
    <row r="925" spans="12:21">
      <c r="L925" s="15"/>
      <c r="M925" s="15"/>
      <c r="N925" s="15"/>
      <c r="T925" s="15"/>
      <c r="U925" s="15"/>
    </row>
    <row r="926" spans="12:21">
      <c r="L926" s="15"/>
      <c r="M926" s="15"/>
      <c r="N926" s="15"/>
      <c r="T926" s="15"/>
      <c r="U926" s="15"/>
    </row>
    <row r="927" spans="12:21">
      <c r="L927" s="15"/>
      <c r="M927" s="15"/>
      <c r="N927" s="15"/>
      <c r="T927" s="15"/>
      <c r="U927" s="15"/>
    </row>
    <row r="928" spans="12:21">
      <c r="L928" s="15"/>
      <c r="M928" s="15"/>
      <c r="N928" s="15"/>
      <c r="T928" s="15"/>
      <c r="U928" s="15"/>
    </row>
    <row r="929" spans="12:21">
      <c r="L929" s="15"/>
      <c r="M929" s="15"/>
      <c r="N929" s="15"/>
      <c r="T929" s="15"/>
      <c r="U929" s="15"/>
    </row>
    <row r="930" spans="12:21">
      <c r="L930" s="15"/>
      <c r="M930" s="15"/>
      <c r="N930" s="15"/>
      <c r="T930" s="15"/>
      <c r="U930" s="15"/>
    </row>
    <row r="931" spans="12:21">
      <c r="L931" s="15"/>
      <c r="M931" s="15"/>
      <c r="N931" s="15"/>
      <c r="T931" s="15"/>
      <c r="U931" s="15"/>
    </row>
    <row r="932" spans="12:21">
      <c r="L932" s="15"/>
      <c r="M932" s="15"/>
      <c r="N932" s="15"/>
      <c r="T932" s="15"/>
      <c r="U932" s="15"/>
    </row>
    <row r="933" spans="12:21">
      <c r="L933" s="15"/>
      <c r="M933" s="15"/>
      <c r="N933" s="15"/>
      <c r="T933" s="15"/>
      <c r="U933" s="15"/>
    </row>
    <row r="934" spans="12:21">
      <c r="L934" s="15"/>
      <c r="M934" s="15"/>
      <c r="N934" s="15"/>
      <c r="T934" s="15"/>
      <c r="U934" s="15"/>
    </row>
    <row r="935" spans="12:21">
      <c r="L935" s="15"/>
      <c r="M935" s="15"/>
      <c r="N935" s="15"/>
      <c r="T935" s="15"/>
      <c r="U935" s="15"/>
    </row>
    <row r="936" spans="12:21">
      <c r="L936" s="15"/>
      <c r="M936" s="15"/>
      <c r="N936" s="15"/>
      <c r="T936" s="15"/>
      <c r="U936" s="15"/>
    </row>
    <row r="937" spans="12:21">
      <c r="L937" s="15"/>
      <c r="M937" s="15"/>
      <c r="N937" s="15"/>
      <c r="T937" s="15"/>
      <c r="U937" s="15"/>
    </row>
    <row r="938" spans="12:21">
      <c r="L938" s="15"/>
      <c r="M938" s="15"/>
      <c r="N938" s="15"/>
      <c r="T938" s="15"/>
      <c r="U938" s="15"/>
    </row>
    <row r="939" spans="12:21">
      <c r="L939" s="15"/>
      <c r="M939" s="15"/>
      <c r="N939" s="15"/>
      <c r="T939" s="15"/>
      <c r="U939" s="15"/>
    </row>
    <row r="940" spans="12:21">
      <c r="L940" s="15"/>
      <c r="M940" s="15"/>
      <c r="N940" s="15"/>
      <c r="T940" s="15"/>
      <c r="U940" s="15"/>
    </row>
    <row r="941" spans="12:21">
      <c r="L941" s="15"/>
      <c r="M941" s="15"/>
      <c r="N941" s="15"/>
      <c r="T941" s="15"/>
      <c r="U941" s="15"/>
    </row>
    <row r="942" spans="12:21">
      <c r="L942" s="15"/>
      <c r="M942" s="15"/>
      <c r="N942" s="15"/>
      <c r="T942" s="15"/>
      <c r="U942" s="15"/>
    </row>
    <row r="943" spans="12:21">
      <c r="L943" s="15"/>
      <c r="M943" s="15"/>
      <c r="N943" s="15"/>
      <c r="T943" s="15"/>
      <c r="U943" s="15"/>
    </row>
    <row r="944" spans="12:21">
      <c r="L944" s="15"/>
      <c r="M944" s="15"/>
      <c r="N944" s="15"/>
      <c r="T944" s="15"/>
      <c r="U944" s="15"/>
    </row>
    <row r="945" spans="12:21">
      <c r="L945" s="15"/>
      <c r="M945" s="15"/>
      <c r="N945" s="15"/>
      <c r="T945" s="15"/>
      <c r="U945" s="15"/>
    </row>
    <row r="946" spans="12:21">
      <c r="L946" s="15"/>
      <c r="M946" s="15"/>
      <c r="N946" s="15"/>
      <c r="T946" s="15"/>
      <c r="U946" s="15"/>
    </row>
    <row r="947" spans="12:21">
      <c r="L947" s="15"/>
      <c r="M947" s="15"/>
      <c r="N947" s="15"/>
      <c r="T947" s="15"/>
      <c r="U947" s="15"/>
    </row>
    <row r="948" spans="12:21">
      <c r="L948" s="15"/>
      <c r="M948" s="15"/>
      <c r="N948" s="15"/>
      <c r="T948" s="15"/>
      <c r="U948" s="15"/>
    </row>
    <row r="949" spans="12:21">
      <c r="L949" s="15"/>
      <c r="M949" s="15"/>
      <c r="N949" s="15"/>
      <c r="T949" s="15"/>
      <c r="U949" s="15"/>
    </row>
    <row r="950" spans="12:21">
      <c r="L950" s="15"/>
      <c r="M950" s="15"/>
      <c r="N950" s="15"/>
      <c r="T950" s="15"/>
      <c r="U950" s="15"/>
    </row>
    <row r="951" spans="12:21">
      <c r="L951" s="15"/>
      <c r="M951" s="15"/>
      <c r="N951" s="15"/>
      <c r="T951" s="15"/>
      <c r="U951" s="15"/>
    </row>
    <row r="952" spans="12:21">
      <c r="L952" s="15"/>
      <c r="M952" s="15"/>
      <c r="N952" s="15"/>
      <c r="T952" s="15"/>
      <c r="U952" s="15"/>
    </row>
    <row r="953" spans="12:21">
      <c r="L953" s="15"/>
      <c r="M953" s="15"/>
      <c r="N953" s="15"/>
      <c r="T953" s="15"/>
      <c r="U953" s="15"/>
    </row>
    <row r="954" spans="12:21">
      <c r="L954" s="15"/>
      <c r="M954" s="15"/>
      <c r="N954" s="15"/>
      <c r="T954" s="15"/>
      <c r="U954" s="15"/>
    </row>
    <row r="955" spans="12:21">
      <c r="L955" s="15"/>
      <c r="M955" s="15"/>
      <c r="N955" s="15"/>
      <c r="T955" s="15"/>
      <c r="U955" s="15"/>
    </row>
    <row r="956" spans="12:21">
      <c r="L956" s="15"/>
      <c r="M956" s="15"/>
      <c r="N956" s="15"/>
      <c r="T956" s="15"/>
      <c r="U956" s="15"/>
    </row>
    <row r="957" spans="12:21">
      <c r="L957" s="15"/>
      <c r="M957" s="15"/>
      <c r="N957" s="15"/>
      <c r="T957" s="15"/>
      <c r="U957" s="15"/>
    </row>
    <row r="958" spans="12:21">
      <c r="L958" s="15"/>
      <c r="M958" s="15"/>
      <c r="N958" s="15"/>
      <c r="T958" s="15"/>
      <c r="U958" s="15"/>
    </row>
    <row r="959" spans="12:21">
      <c r="L959" s="15"/>
      <c r="M959" s="15"/>
      <c r="N959" s="15"/>
      <c r="T959" s="15"/>
      <c r="U959" s="15"/>
    </row>
    <row r="960" spans="12:21">
      <c r="L960" s="15"/>
      <c r="M960" s="15"/>
      <c r="N960" s="15"/>
      <c r="T960" s="15"/>
      <c r="U960" s="15"/>
    </row>
    <row r="961" spans="12:21">
      <c r="L961" s="15"/>
      <c r="M961" s="15"/>
      <c r="N961" s="15"/>
      <c r="T961" s="15"/>
      <c r="U961" s="15"/>
    </row>
    <row r="962" spans="12:21">
      <c r="L962" s="15"/>
      <c r="M962" s="15"/>
      <c r="N962" s="15"/>
      <c r="T962" s="15"/>
      <c r="U962" s="15"/>
    </row>
    <row r="963" spans="12:21">
      <c r="L963" s="15"/>
      <c r="M963" s="15"/>
      <c r="N963" s="15"/>
      <c r="T963" s="15"/>
      <c r="U963" s="15"/>
    </row>
    <row r="964" spans="12:21">
      <c r="L964" s="15"/>
      <c r="M964" s="15"/>
      <c r="N964" s="15"/>
      <c r="T964" s="15"/>
      <c r="U964" s="15"/>
    </row>
    <row r="965" spans="12:21">
      <c r="L965" s="15"/>
      <c r="M965" s="15"/>
      <c r="N965" s="15"/>
      <c r="T965" s="15"/>
      <c r="U965" s="15"/>
    </row>
    <row r="966" spans="12:21">
      <c r="L966" s="15"/>
      <c r="M966" s="15"/>
      <c r="N966" s="15"/>
      <c r="T966" s="15"/>
      <c r="U966" s="15"/>
    </row>
    <row r="967" spans="12:21">
      <c r="L967" s="15"/>
      <c r="M967" s="15"/>
      <c r="N967" s="15"/>
      <c r="T967" s="15"/>
      <c r="U967" s="15"/>
    </row>
    <row r="968" spans="12:21">
      <c r="L968" s="15"/>
      <c r="M968" s="15"/>
      <c r="N968" s="15"/>
      <c r="T968" s="15"/>
      <c r="U968" s="15"/>
    </row>
    <row r="969" spans="12:21">
      <c r="L969" s="15"/>
      <c r="M969" s="15"/>
      <c r="N969" s="15"/>
      <c r="T969" s="15"/>
      <c r="U969" s="15"/>
    </row>
    <row r="970" spans="12:21">
      <c r="L970" s="15"/>
      <c r="M970" s="15"/>
      <c r="N970" s="15"/>
      <c r="T970" s="15"/>
      <c r="U970" s="15"/>
    </row>
    <row r="971" spans="12:21">
      <c r="L971" s="15"/>
      <c r="M971" s="15"/>
      <c r="N971" s="15"/>
      <c r="T971" s="15"/>
      <c r="U971" s="15"/>
    </row>
    <row r="972" spans="12:21">
      <c r="L972" s="15"/>
      <c r="M972" s="15"/>
      <c r="N972" s="15"/>
      <c r="T972" s="15"/>
      <c r="U972" s="15"/>
    </row>
    <row r="973" spans="12:21">
      <c r="L973" s="15"/>
      <c r="M973" s="15"/>
      <c r="N973" s="15"/>
      <c r="T973" s="15"/>
      <c r="U973" s="15"/>
    </row>
    <row r="974" spans="12:21">
      <c r="L974" s="15"/>
      <c r="M974" s="15"/>
      <c r="N974" s="15"/>
      <c r="T974" s="15"/>
      <c r="U974" s="15"/>
    </row>
    <row r="975" spans="12:21">
      <c r="L975" s="15"/>
      <c r="M975" s="15"/>
      <c r="N975" s="15"/>
      <c r="T975" s="15"/>
      <c r="U975" s="15"/>
    </row>
    <row r="976" spans="12:21">
      <c r="L976" s="15"/>
      <c r="M976" s="15"/>
      <c r="N976" s="15"/>
      <c r="T976" s="15"/>
      <c r="U976" s="15"/>
    </row>
    <row r="977" spans="12:21">
      <c r="L977" s="15"/>
      <c r="M977" s="15"/>
      <c r="N977" s="15"/>
      <c r="T977" s="15"/>
      <c r="U977" s="15"/>
    </row>
    <row r="978" spans="12:21">
      <c r="L978" s="15"/>
      <c r="M978" s="15"/>
      <c r="N978" s="15"/>
      <c r="T978" s="15"/>
      <c r="U978" s="15"/>
    </row>
    <row r="979" spans="12:21">
      <c r="L979" s="15"/>
      <c r="M979" s="15"/>
      <c r="N979" s="15"/>
      <c r="T979" s="15"/>
      <c r="U979" s="15"/>
    </row>
    <row r="980" spans="12:21">
      <c r="L980" s="15"/>
      <c r="M980" s="15"/>
      <c r="N980" s="15"/>
      <c r="T980" s="15"/>
      <c r="U980" s="15"/>
    </row>
    <row r="981" spans="12:21">
      <c r="L981" s="15"/>
      <c r="M981" s="15"/>
      <c r="N981" s="15"/>
      <c r="T981" s="15"/>
      <c r="U981" s="15"/>
    </row>
    <row r="982" spans="12:21">
      <c r="L982" s="15"/>
      <c r="M982" s="15"/>
      <c r="N982" s="15"/>
      <c r="T982" s="15"/>
      <c r="U982" s="15"/>
    </row>
    <row r="983" spans="12:21">
      <c r="L983" s="15"/>
      <c r="M983" s="15"/>
      <c r="N983" s="15"/>
      <c r="T983" s="15"/>
      <c r="U983" s="15"/>
    </row>
    <row r="984" spans="12:21">
      <c r="L984" s="15"/>
      <c r="M984" s="15"/>
      <c r="N984" s="15"/>
      <c r="T984" s="15"/>
      <c r="U984" s="15"/>
    </row>
    <row r="985" spans="12:21">
      <c r="L985" s="15"/>
      <c r="M985" s="15"/>
      <c r="N985" s="15"/>
      <c r="T985" s="15"/>
      <c r="U985" s="15"/>
    </row>
    <row r="986" spans="12:21">
      <c r="L986" s="15"/>
      <c r="M986" s="15"/>
      <c r="N986" s="15"/>
      <c r="T986" s="15"/>
      <c r="U986" s="15"/>
    </row>
    <row r="987" spans="12:21">
      <c r="L987" s="15"/>
      <c r="M987" s="15"/>
      <c r="N987" s="15"/>
      <c r="T987" s="15"/>
      <c r="U987" s="15"/>
    </row>
    <row r="988" spans="12:21">
      <c r="L988" s="15"/>
      <c r="M988" s="15"/>
      <c r="N988" s="15"/>
      <c r="T988" s="15"/>
      <c r="U988" s="15"/>
    </row>
    <row r="989" spans="12:21">
      <c r="L989" s="15"/>
      <c r="M989" s="15"/>
      <c r="N989" s="15"/>
      <c r="T989" s="15"/>
      <c r="U989" s="15"/>
    </row>
    <row r="990" spans="12:21">
      <c r="L990" s="15"/>
      <c r="M990" s="15"/>
      <c r="N990" s="15"/>
      <c r="T990" s="15"/>
      <c r="U990" s="15"/>
    </row>
    <row r="991" spans="12:21">
      <c r="L991" s="15"/>
      <c r="M991" s="15"/>
      <c r="N991" s="15"/>
      <c r="T991" s="15"/>
      <c r="U991" s="15"/>
    </row>
    <row r="992" spans="12:21">
      <c r="L992" s="15"/>
      <c r="M992" s="15"/>
      <c r="N992" s="15"/>
      <c r="T992" s="15"/>
      <c r="U992" s="15"/>
    </row>
    <row r="993" spans="12:21">
      <c r="L993" s="15"/>
      <c r="M993" s="15"/>
      <c r="N993" s="15"/>
      <c r="T993" s="15"/>
      <c r="U993" s="15"/>
    </row>
    <row r="994" spans="12:21">
      <c r="L994" s="15"/>
      <c r="M994" s="15"/>
      <c r="N994" s="15"/>
      <c r="T994" s="15"/>
      <c r="U994" s="15"/>
    </row>
    <row r="995" spans="12:21">
      <c r="L995" s="15"/>
      <c r="M995" s="15"/>
      <c r="N995" s="15"/>
      <c r="T995" s="15"/>
      <c r="U995" s="15"/>
    </row>
    <row r="996" spans="12:21">
      <c r="L996" s="15"/>
      <c r="M996" s="15"/>
      <c r="N996" s="15"/>
      <c r="T996" s="15"/>
      <c r="U996" s="15"/>
    </row>
    <row r="997" spans="12:21">
      <c r="L997" s="15"/>
      <c r="M997" s="15"/>
      <c r="N997" s="15"/>
      <c r="T997" s="15"/>
      <c r="U997" s="15"/>
    </row>
    <row r="998" spans="12:21">
      <c r="L998" s="15"/>
      <c r="M998" s="15"/>
      <c r="N998" s="15"/>
      <c r="T998" s="15"/>
      <c r="U998" s="15"/>
    </row>
    <row r="999" spans="12:21">
      <c r="L999" s="15"/>
      <c r="M999" s="15"/>
      <c r="N999" s="15"/>
      <c r="T999" s="15"/>
      <c r="U999" s="15"/>
    </row>
    <row r="1000" spans="12:21">
      <c r="L1000" s="15"/>
      <c r="M1000" s="15"/>
      <c r="N1000" s="15"/>
      <c r="T1000" s="15"/>
      <c r="U1000" s="15"/>
    </row>
    <row r="1001" spans="12:21">
      <c r="L1001" s="15"/>
      <c r="M1001" s="15"/>
      <c r="N1001" s="15"/>
      <c r="T1001" s="15"/>
      <c r="U1001" s="15"/>
    </row>
    <row r="1002" spans="12:21">
      <c r="L1002" s="15"/>
      <c r="M1002" s="15"/>
      <c r="N1002" s="15"/>
      <c r="T1002" s="15"/>
      <c r="U1002" s="15"/>
    </row>
    <row r="1003" spans="12:21">
      <c r="L1003" s="15"/>
      <c r="M1003" s="15"/>
      <c r="N1003" s="15"/>
      <c r="T1003" s="15"/>
      <c r="U1003" s="15"/>
    </row>
    <row r="1004" spans="12:21">
      <c r="L1004" s="15"/>
      <c r="M1004" s="15"/>
      <c r="N1004" s="15"/>
      <c r="T1004" s="15"/>
      <c r="U1004" s="15"/>
    </row>
    <row r="1005" spans="12:21">
      <c r="L1005" s="15"/>
      <c r="M1005" s="15"/>
      <c r="N1005" s="15"/>
      <c r="T1005" s="15"/>
      <c r="U1005" s="15"/>
    </row>
    <row r="1006" spans="12:21">
      <c r="L1006" s="15"/>
      <c r="M1006" s="15"/>
      <c r="N1006" s="15"/>
      <c r="T1006" s="15"/>
      <c r="U1006" s="15"/>
    </row>
    <row r="1007" spans="12:21">
      <c r="L1007" s="15"/>
      <c r="M1007" s="15"/>
      <c r="N1007" s="15"/>
      <c r="T1007" s="15"/>
      <c r="U1007" s="15"/>
    </row>
    <row r="1008" spans="12:21">
      <c r="L1008" s="15"/>
      <c r="M1008" s="15"/>
      <c r="N1008" s="15"/>
      <c r="T1008" s="15"/>
      <c r="U1008" s="15"/>
    </row>
    <row r="1009" spans="12:21">
      <c r="L1009" s="15"/>
      <c r="M1009" s="15"/>
      <c r="N1009" s="15"/>
      <c r="T1009" s="15"/>
      <c r="U1009" s="15"/>
    </row>
    <row r="1010" spans="12:21">
      <c r="L1010" s="15"/>
      <c r="M1010" s="15"/>
      <c r="N1010" s="15"/>
      <c r="T1010" s="15"/>
      <c r="U1010" s="15"/>
    </row>
    <row r="1011" spans="12:21">
      <c r="L1011" s="15"/>
      <c r="M1011" s="15"/>
      <c r="N1011" s="15"/>
      <c r="T1011" s="15"/>
      <c r="U1011" s="15"/>
    </row>
    <row r="1012" spans="12:21">
      <c r="L1012" s="15"/>
      <c r="M1012" s="15"/>
      <c r="N1012" s="15"/>
      <c r="T1012" s="15"/>
      <c r="U1012" s="15"/>
    </row>
    <row r="1013" spans="12:21">
      <c r="L1013" s="15"/>
      <c r="M1013" s="15"/>
      <c r="N1013" s="15"/>
      <c r="T1013" s="15"/>
      <c r="U1013" s="15"/>
    </row>
    <row r="1014" spans="12:21">
      <c r="L1014" s="15"/>
      <c r="M1014" s="15"/>
      <c r="N1014" s="15"/>
      <c r="T1014" s="15"/>
      <c r="U1014" s="15"/>
    </row>
    <row r="1015" spans="12:21">
      <c r="L1015" s="15"/>
      <c r="M1015" s="15"/>
      <c r="N1015" s="15"/>
      <c r="T1015" s="15"/>
      <c r="U1015" s="15"/>
    </row>
    <row r="1016" spans="12:21">
      <c r="L1016" s="15"/>
      <c r="M1016" s="15"/>
      <c r="N1016" s="15"/>
      <c r="T1016" s="15"/>
      <c r="U1016" s="15"/>
    </row>
    <row r="1017" spans="12:21">
      <c r="L1017" s="15"/>
      <c r="M1017" s="15"/>
      <c r="N1017" s="15"/>
      <c r="T1017" s="15"/>
      <c r="U1017" s="15"/>
    </row>
    <row r="1018" spans="12:21">
      <c r="L1018" s="15"/>
      <c r="M1018" s="15"/>
      <c r="N1018" s="15"/>
      <c r="T1018" s="15"/>
      <c r="U1018" s="15"/>
    </row>
    <row r="1019" spans="12:21">
      <c r="L1019" s="15"/>
      <c r="M1019" s="15"/>
      <c r="N1019" s="15"/>
      <c r="T1019" s="15"/>
      <c r="U1019" s="15"/>
    </row>
    <row r="1020" spans="12:21">
      <c r="L1020" s="15"/>
      <c r="M1020" s="15"/>
      <c r="N1020" s="15"/>
      <c r="T1020" s="15"/>
      <c r="U1020" s="15"/>
    </row>
    <row r="1021" spans="12:21">
      <c r="L1021" s="15"/>
      <c r="M1021" s="15"/>
      <c r="N1021" s="15"/>
      <c r="T1021" s="15"/>
      <c r="U1021" s="15"/>
    </row>
    <row r="1022" spans="12:21">
      <c r="L1022" s="15"/>
      <c r="M1022" s="15"/>
      <c r="N1022" s="15"/>
      <c r="T1022" s="15"/>
      <c r="U1022" s="15"/>
    </row>
    <row r="1023" spans="12:21">
      <c r="L1023" s="15"/>
      <c r="M1023" s="15"/>
      <c r="N1023" s="15"/>
      <c r="T1023" s="15"/>
      <c r="U1023" s="15"/>
    </row>
    <row r="1024" spans="12:21">
      <c r="L1024" s="15"/>
      <c r="M1024" s="15"/>
      <c r="N1024" s="15"/>
      <c r="T1024" s="15"/>
      <c r="U1024" s="15"/>
    </row>
    <row r="1025" spans="12:21">
      <c r="L1025" s="15"/>
      <c r="M1025" s="15"/>
      <c r="N1025" s="15"/>
      <c r="T1025" s="15"/>
      <c r="U1025" s="15"/>
    </row>
    <row r="1026" spans="12:21">
      <c r="L1026" s="15"/>
      <c r="M1026" s="15"/>
      <c r="N1026" s="15"/>
      <c r="T1026" s="15"/>
      <c r="U1026" s="15"/>
    </row>
    <row r="1027" spans="12:21">
      <c r="L1027" s="15"/>
      <c r="M1027" s="15"/>
      <c r="N1027" s="15"/>
      <c r="T1027" s="15"/>
      <c r="U1027" s="15"/>
    </row>
    <row r="1028" spans="12:21">
      <c r="L1028" s="15"/>
      <c r="M1028" s="15"/>
      <c r="N1028" s="15"/>
      <c r="T1028" s="15"/>
      <c r="U1028" s="15"/>
    </row>
    <row r="1029" spans="12:21">
      <c r="L1029" s="15"/>
      <c r="M1029" s="15"/>
      <c r="N1029" s="15"/>
      <c r="T1029" s="15"/>
      <c r="U1029" s="15"/>
    </row>
    <row r="1030" spans="12:21">
      <c r="L1030" s="15"/>
      <c r="M1030" s="15"/>
      <c r="N1030" s="15"/>
      <c r="T1030" s="15"/>
      <c r="U1030" s="15"/>
    </row>
    <row r="1031" spans="12:21">
      <c r="L1031" s="15"/>
      <c r="M1031" s="15"/>
      <c r="N1031" s="15"/>
      <c r="T1031" s="15"/>
      <c r="U1031" s="15"/>
    </row>
    <row r="1032" spans="12:21">
      <c r="L1032" s="15"/>
      <c r="M1032" s="15"/>
      <c r="N1032" s="15"/>
      <c r="T1032" s="15"/>
      <c r="U1032" s="15"/>
    </row>
    <row r="1033" spans="12:21">
      <c r="L1033" s="15"/>
      <c r="M1033" s="15"/>
      <c r="N1033" s="15"/>
      <c r="T1033" s="15"/>
      <c r="U1033" s="15"/>
    </row>
    <row r="1034" spans="12:21">
      <c r="L1034" s="15"/>
      <c r="M1034" s="15"/>
      <c r="N1034" s="15"/>
      <c r="T1034" s="15"/>
      <c r="U1034" s="15"/>
    </row>
    <row r="1035" spans="12:21">
      <c r="L1035" s="15"/>
      <c r="M1035" s="15"/>
      <c r="N1035" s="15"/>
      <c r="T1035" s="15"/>
      <c r="U1035" s="15"/>
    </row>
    <row r="1036" spans="12:21">
      <c r="L1036" s="15"/>
      <c r="M1036" s="15"/>
      <c r="N1036" s="15"/>
      <c r="T1036" s="15"/>
      <c r="U1036" s="15"/>
    </row>
    <row r="1037" spans="12:21">
      <c r="L1037" s="15"/>
      <c r="M1037" s="15"/>
      <c r="N1037" s="15"/>
      <c r="T1037" s="15"/>
      <c r="U1037" s="15"/>
    </row>
    <row r="1038" spans="12:21">
      <c r="L1038" s="15"/>
      <c r="M1038" s="15"/>
      <c r="N1038" s="15"/>
      <c r="T1038" s="15"/>
      <c r="U1038" s="15"/>
    </row>
    <row r="1039" spans="12:21">
      <c r="L1039" s="15"/>
      <c r="M1039" s="15"/>
      <c r="N1039" s="15"/>
      <c r="T1039" s="15"/>
      <c r="U1039" s="15"/>
    </row>
    <row r="1040" spans="12:21">
      <c r="L1040" s="15"/>
      <c r="M1040" s="15"/>
      <c r="N1040" s="15"/>
      <c r="T1040" s="15"/>
      <c r="U1040" s="15"/>
    </row>
    <row r="1041" spans="12:21">
      <c r="L1041" s="15"/>
      <c r="M1041" s="15"/>
      <c r="N1041" s="15"/>
      <c r="T1041" s="15"/>
      <c r="U1041" s="15"/>
    </row>
    <row r="1042" spans="12:21">
      <c r="L1042" s="15"/>
      <c r="M1042" s="15"/>
      <c r="N1042" s="15"/>
      <c r="T1042" s="15"/>
      <c r="U1042" s="15"/>
    </row>
    <row r="1043" spans="12:21">
      <c r="L1043" s="15"/>
      <c r="M1043" s="15"/>
      <c r="N1043" s="15"/>
      <c r="T1043" s="15"/>
      <c r="U1043" s="15"/>
    </row>
    <row r="1044" spans="12:21">
      <c r="L1044" s="15"/>
      <c r="M1044" s="15"/>
      <c r="N1044" s="15"/>
      <c r="T1044" s="15"/>
      <c r="U1044" s="15"/>
    </row>
    <row r="1045" spans="12:21">
      <c r="L1045" s="15"/>
      <c r="M1045" s="15"/>
      <c r="N1045" s="15"/>
      <c r="T1045" s="15"/>
      <c r="U1045" s="15"/>
    </row>
    <row r="1046" spans="12:21">
      <c r="L1046" s="15"/>
      <c r="M1046" s="15"/>
      <c r="N1046" s="15"/>
      <c r="T1046" s="15"/>
      <c r="U1046" s="15"/>
    </row>
    <row r="1047" spans="12:21">
      <c r="L1047" s="15"/>
      <c r="M1047" s="15"/>
      <c r="N1047" s="15"/>
      <c r="T1047" s="15"/>
      <c r="U1047" s="15"/>
    </row>
    <row r="1048" spans="12:21">
      <c r="L1048" s="15"/>
      <c r="M1048" s="15"/>
      <c r="N1048" s="15"/>
      <c r="T1048" s="15"/>
      <c r="U1048" s="15"/>
    </row>
    <row r="1049" spans="12:21">
      <c r="L1049" s="15"/>
      <c r="M1049" s="15"/>
      <c r="N1049" s="15"/>
      <c r="T1049" s="15"/>
      <c r="U1049" s="15"/>
    </row>
    <row r="1050" spans="12:21">
      <c r="L1050" s="15"/>
      <c r="M1050" s="15"/>
      <c r="N1050" s="15"/>
      <c r="T1050" s="15"/>
      <c r="U1050" s="15"/>
    </row>
    <row r="1051" spans="12:21">
      <c r="L1051" s="15"/>
      <c r="M1051" s="15"/>
      <c r="N1051" s="15"/>
      <c r="T1051" s="15"/>
      <c r="U1051" s="15"/>
    </row>
    <row r="1052" spans="12:21">
      <c r="L1052" s="15"/>
      <c r="M1052" s="15"/>
      <c r="N1052" s="15"/>
      <c r="T1052" s="15"/>
      <c r="U1052" s="15"/>
    </row>
    <row r="1053" spans="12:21">
      <c r="L1053" s="15"/>
      <c r="M1053" s="15"/>
      <c r="N1053" s="15"/>
      <c r="T1053" s="15"/>
      <c r="U1053" s="15"/>
    </row>
    <row r="1054" spans="12:21">
      <c r="L1054" s="15"/>
      <c r="M1054" s="15"/>
      <c r="N1054" s="15"/>
      <c r="T1054" s="15"/>
      <c r="U1054" s="15"/>
    </row>
    <row r="1055" spans="12:21">
      <c r="L1055" s="15"/>
      <c r="M1055" s="15"/>
      <c r="N1055" s="15"/>
      <c r="T1055" s="15"/>
      <c r="U1055" s="15"/>
    </row>
    <row r="1056" spans="12:21">
      <c r="L1056" s="15"/>
      <c r="M1056" s="15"/>
      <c r="N1056" s="15"/>
      <c r="T1056" s="15"/>
      <c r="U1056" s="15"/>
    </row>
    <row r="1057" spans="12:21">
      <c r="L1057" s="15"/>
      <c r="M1057" s="15"/>
      <c r="N1057" s="15"/>
      <c r="T1057" s="15"/>
      <c r="U1057" s="15"/>
    </row>
    <row r="1058" spans="12:21">
      <c r="L1058" s="15"/>
      <c r="M1058" s="15"/>
      <c r="N1058" s="15"/>
      <c r="T1058" s="15"/>
      <c r="U1058" s="15"/>
    </row>
    <row r="1059" spans="12:21">
      <c r="L1059" s="15"/>
      <c r="M1059" s="15"/>
      <c r="N1059" s="15"/>
      <c r="T1059" s="15"/>
      <c r="U1059" s="15"/>
    </row>
    <row r="1060" spans="12:21">
      <c r="L1060" s="15"/>
      <c r="M1060" s="15"/>
      <c r="N1060" s="15"/>
      <c r="T1060" s="15"/>
      <c r="U1060" s="15"/>
    </row>
    <row r="1061" spans="12:21">
      <c r="L1061" s="15"/>
      <c r="M1061" s="15"/>
      <c r="N1061" s="15"/>
      <c r="T1061" s="15"/>
      <c r="U1061" s="15"/>
    </row>
    <row r="1062" spans="12:21">
      <c r="L1062" s="15"/>
      <c r="M1062" s="15"/>
      <c r="N1062" s="15"/>
      <c r="T1062" s="15"/>
      <c r="U1062" s="15"/>
    </row>
    <row r="1063" spans="12:21">
      <c r="L1063" s="15"/>
      <c r="M1063" s="15"/>
      <c r="N1063" s="15"/>
      <c r="T1063" s="15"/>
      <c r="U1063" s="15"/>
    </row>
    <row r="1064" spans="12:21">
      <c r="L1064" s="15"/>
      <c r="M1064" s="15"/>
      <c r="N1064" s="15"/>
      <c r="T1064" s="15"/>
      <c r="U1064" s="15"/>
    </row>
    <row r="1065" spans="12:21">
      <c r="L1065" s="15"/>
      <c r="M1065" s="15"/>
      <c r="N1065" s="15"/>
      <c r="T1065" s="15"/>
      <c r="U1065" s="15"/>
    </row>
    <row r="1066" spans="12:21">
      <c r="L1066" s="15"/>
      <c r="M1066" s="15"/>
      <c r="N1066" s="15"/>
      <c r="T1066" s="15"/>
      <c r="U1066" s="15"/>
    </row>
    <row r="1067" spans="12:21">
      <c r="L1067" s="15"/>
      <c r="M1067" s="15"/>
      <c r="N1067" s="15"/>
      <c r="T1067" s="15"/>
      <c r="U1067" s="15"/>
    </row>
    <row r="1068" spans="12:21">
      <c r="L1068" s="15"/>
      <c r="M1068" s="15"/>
      <c r="N1068" s="15"/>
      <c r="T1068" s="15"/>
      <c r="U1068" s="15"/>
    </row>
    <row r="1069" spans="12:21">
      <c r="L1069" s="15"/>
      <c r="M1069" s="15"/>
      <c r="N1069" s="15"/>
      <c r="T1069" s="15"/>
      <c r="U1069" s="15"/>
    </row>
    <row r="1070" spans="12:21">
      <c r="L1070" s="15"/>
      <c r="M1070" s="15"/>
      <c r="N1070" s="15"/>
      <c r="T1070" s="15"/>
      <c r="U1070" s="15"/>
    </row>
    <row r="1071" spans="12:21">
      <c r="L1071" s="15"/>
      <c r="M1071" s="15"/>
      <c r="N1071" s="15"/>
      <c r="T1071" s="15"/>
      <c r="U1071" s="15"/>
    </row>
    <row r="1072" spans="12:21">
      <c r="L1072" s="15"/>
      <c r="M1072" s="15"/>
      <c r="N1072" s="15"/>
      <c r="T1072" s="15"/>
      <c r="U1072" s="15"/>
    </row>
    <row r="1073" spans="12:21">
      <c r="L1073" s="15"/>
      <c r="M1073" s="15"/>
      <c r="N1073" s="15"/>
      <c r="T1073" s="15"/>
      <c r="U1073" s="15"/>
    </row>
    <row r="1074" spans="12:21">
      <c r="L1074" s="15"/>
      <c r="M1074" s="15"/>
      <c r="N1074" s="15"/>
      <c r="T1074" s="15"/>
      <c r="U1074" s="15"/>
    </row>
    <row r="1075" spans="12:21">
      <c r="L1075" s="15"/>
      <c r="M1075" s="15"/>
      <c r="N1075" s="15"/>
      <c r="T1075" s="15"/>
      <c r="U1075" s="15"/>
    </row>
    <row r="1076" spans="12:21">
      <c r="L1076" s="15"/>
      <c r="M1076" s="15"/>
      <c r="N1076" s="15"/>
      <c r="T1076" s="15"/>
      <c r="U1076" s="15"/>
    </row>
    <row r="1077" spans="12:21">
      <c r="L1077" s="15"/>
      <c r="M1077" s="15"/>
      <c r="N1077" s="15"/>
      <c r="T1077" s="15"/>
      <c r="U1077" s="15"/>
    </row>
    <row r="1078" spans="12:21">
      <c r="L1078" s="15"/>
      <c r="M1078" s="15"/>
      <c r="N1078" s="15"/>
      <c r="T1078" s="15"/>
      <c r="U1078" s="15"/>
    </row>
    <row r="1079" spans="12:21">
      <c r="L1079" s="15"/>
      <c r="M1079" s="15"/>
      <c r="N1079" s="15"/>
      <c r="T1079" s="15"/>
      <c r="U1079" s="15"/>
    </row>
    <row r="1080" spans="12:21">
      <c r="L1080" s="15"/>
      <c r="M1080" s="15"/>
      <c r="N1080" s="15"/>
      <c r="T1080" s="15"/>
      <c r="U1080" s="15"/>
    </row>
    <row r="1081" spans="12:21">
      <c r="L1081" s="15"/>
      <c r="M1081" s="15"/>
      <c r="N1081" s="15"/>
      <c r="T1081" s="15"/>
      <c r="U1081" s="15"/>
    </row>
    <row r="1082" spans="12:21">
      <c r="L1082" s="15"/>
      <c r="M1082" s="15"/>
      <c r="N1082" s="15"/>
      <c r="T1082" s="15"/>
      <c r="U1082" s="15"/>
    </row>
    <row r="1083" spans="12:21">
      <c r="L1083" s="15"/>
      <c r="M1083" s="15"/>
      <c r="N1083" s="15"/>
      <c r="T1083" s="15"/>
      <c r="U1083" s="15"/>
    </row>
    <row r="1084" spans="12:21">
      <c r="L1084" s="15"/>
      <c r="M1084" s="15"/>
      <c r="N1084" s="15"/>
      <c r="T1084" s="15"/>
      <c r="U1084" s="15"/>
    </row>
    <row r="1085" spans="12:21">
      <c r="L1085" s="15"/>
      <c r="M1085" s="15"/>
      <c r="N1085" s="15"/>
      <c r="T1085" s="15"/>
      <c r="U1085" s="15"/>
    </row>
    <row r="1086" spans="12:21">
      <c r="L1086" s="15"/>
      <c r="M1086" s="15"/>
      <c r="N1086" s="15"/>
      <c r="T1086" s="15"/>
      <c r="U1086" s="15"/>
    </row>
    <row r="1087" spans="12:21">
      <c r="L1087" s="15"/>
      <c r="M1087" s="15"/>
      <c r="N1087" s="15"/>
      <c r="T1087" s="15"/>
      <c r="U1087" s="15"/>
    </row>
    <row r="1088" spans="12:21">
      <c r="L1088" s="15"/>
      <c r="M1088" s="15"/>
      <c r="N1088" s="15"/>
      <c r="T1088" s="15"/>
      <c r="U1088" s="15"/>
    </row>
    <row r="1089" spans="12:21">
      <c r="L1089" s="15"/>
      <c r="M1089" s="15"/>
      <c r="N1089" s="15"/>
      <c r="T1089" s="15"/>
      <c r="U1089" s="15"/>
    </row>
    <row r="1090" spans="12:21">
      <c r="L1090" s="15"/>
      <c r="M1090" s="15"/>
      <c r="N1090" s="15"/>
      <c r="T1090" s="15"/>
      <c r="U1090" s="15"/>
    </row>
    <row r="1091" spans="12:21">
      <c r="L1091" s="15"/>
      <c r="M1091" s="15"/>
      <c r="N1091" s="15"/>
      <c r="T1091" s="15"/>
      <c r="U1091" s="15"/>
    </row>
    <row r="1092" spans="12:21">
      <c r="L1092" s="15"/>
      <c r="M1092" s="15"/>
      <c r="N1092" s="15"/>
      <c r="T1092" s="15"/>
      <c r="U1092" s="15"/>
    </row>
    <row r="1093" spans="12:21">
      <c r="L1093" s="15"/>
      <c r="M1093" s="15"/>
      <c r="N1093" s="15"/>
      <c r="T1093" s="15"/>
      <c r="U1093" s="15"/>
    </row>
    <row r="1094" spans="12:21">
      <c r="L1094" s="15"/>
      <c r="M1094" s="15"/>
      <c r="N1094" s="15"/>
      <c r="T1094" s="15"/>
      <c r="U1094" s="15"/>
    </row>
    <row r="1095" spans="12:21">
      <c r="L1095" s="15"/>
      <c r="M1095" s="15"/>
      <c r="N1095" s="15"/>
      <c r="T1095" s="15"/>
      <c r="U1095" s="15"/>
    </row>
    <row r="1096" spans="12:21">
      <c r="L1096" s="15"/>
      <c r="M1096" s="15"/>
      <c r="N1096" s="15"/>
      <c r="T1096" s="15"/>
      <c r="U1096" s="15"/>
    </row>
    <row r="1097" spans="12:21">
      <c r="L1097" s="15"/>
      <c r="M1097" s="15"/>
      <c r="N1097" s="15"/>
      <c r="T1097" s="15"/>
      <c r="U1097" s="15"/>
    </row>
    <row r="1098" spans="12:21">
      <c r="L1098" s="15"/>
      <c r="M1098" s="15"/>
      <c r="N1098" s="15"/>
      <c r="T1098" s="15"/>
      <c r="U1098" s="15"/>
    </row>
    <row r="1099" spans="12:21">
      <c r="L1099" s="15"/>
      <c r="M1099" s="15"/>
      <c r="N1099" s="15"/>
      <c r="T1099" s="15"/>
      <c r="U1099" s="15"/>
    </row>
    <row r="1100" spans="12:21">
      <c r="L1100" s="15"/>
      <c r="M1100" s="15"/>
      <c r="N1100" s="15"/>
      <c r="T1100" s="15"/>
      <c r="U1100" s="15"/>
    </row>
    <row r="1101" spans="12:21">
      <c r="L1101" s="15"/>
      <c r="M1101" s="15"/>
      <c r="N1101" s="15"/>
      <c r="T1101" s="15"/>
      <c r="U1101" s="15"/>
    </row>
    <row r="1102" spans="12:21">
      <c r="L1102" s="15"/>
      <c r="M1102" s="15"/>
      <c r="N1102" s="15"/>
      <c r="T1102" s="15"/>
      <c r="U1102" s="15"/>
    </row>
    <row r="1103" spans="12:21">
      <c r="L1103" s="15"/>
      <c r="M1103" s="15"/>
      <c r="N1103" s="15"/>
      <c r="T1103" s="15"/>
      <c r="U1103" s="15"/>
    </row>
    <row r="1104" spans="12:21">
      <c r="L1104" s="15"/>
      <c r="M1104" s="15"/>
      <c r="N1104" s="15"/>
      <c r="T1104" s="15"/>
      <c r="U1104" s="15"/>
    </row>
    <row r="1105" spans="12:21">
      <c r="L1105" s="15"/>
      <c r="M1105" s="15"/>
      <c r="N1105" s="15"/>
      <c r="T1105" s="15"/>
      <c r="U1105" s="15"/>
    </row>
    <row r="1106" spans="12:21">
      <c r="L1106" s="15"/>
      <c r="M1106" s="15"/>
      <c r="N1106" s="15"/>
      <c r="T1106" s="15"/>
      <c r="U1106" s="15"/>
    </row>
    <row r="1107" spans="12:21">
      <c r="L1107" s="15"/>
      <c r="M1107" s="15"/>
      <c r="N1107" s="15"/>
      <c r="T1107" s="15"/>
      <c r="U1107" s="15"/>
    </row>
    <row r="1108" spans="12:21">
      <c r="L1108" s="15"/>
      <c r="M1108" s="15"/>
      <c r="N1108" s="15"/>
      <c r="T1108" s="15"/>
      <c r="U1108" s="15"/>
    </row>
    <row r="1109" spans="12:21">
      <c r="L1109" s="15"/>
      <c r="M1109" s="15"/>
      <c r="N1109" s="15"/>
      <c r="T1109" s="15"/>
      <c r="U1109" s="15"/>
    </row>
    <row r="1110" spans="12:21">
      <c r="L1110" s="15"/>
      <c r="M1110" s="15"/>
      <c r="N1110" s="15"/>
      <c r="T1110" s="15"/>
      <c r="U1110" s="15"/>
    </row>
    <row r="1111" spans="12:21">
      <c r="L1111" s="15"/>
      <c r="M1111" s="15"/>
      <c r="N1111" s="15"/>
      <c r="T1111" s="15"/>
      <c r="U1111" s="15"/>
    </row>
    <row r="1112" spans="12:21">
      <c r="L1112" s="15"/>
      <c r="M1112" s="15"/>
      <c r="N1112" s="15"/>
      <c r="T1112" s="15"/>
      <c r="U1112" s="15"/>
    </row>
    <row r="1113" spans="12:21">
      <c r="L1113" s="15"/>
      <c r="M1113" s="15"/>
      <c r="N1113" s="15"/>
      <c r="T1113" s="15"/>
      <c r="U1113" s="15"/>
    </row>
    <row r="1114" spans="12:21">
      <c r="L1114" s="15"/>
      <c r="M1114" s="15"/>
      <c r="N1114" s="15"/>
      <c r="T1114" s="15"/>
      <c r="U1114" s="15"/>
    </row>
    <row r="1115" spans="12:21">
      <c r="L1115" s="15"/>
      <c r="M1115" s="15"/>
      <c r="N1115" s="15"/>
      <c r="T1115" s="15"/>
      <c r="U1115" s="15"/>
    </row>
    <row r="1116" spans="12:21">
      <c r="L1116" s="15"/>
      <c r="M1116" s="15"/>
      <c r="N1116" s="15"/>
      <c r="T1116" s="15"/>
      <c r="U1116" s="15"/>
    </row>
    <row r="1117" spans="12:21">
      <c r="L1117" s="15"/>
      <c r="M1117" s="15"/>
      <c r="N1117" s="15"/>
      <c r="T1117" s="15"/>
      <c r="U1117" s="15"/>
    </row>
    <row r="1118" spans="12:21">
      <c r="L1118" s="15"/>
      <c r="M1118" s="15"/>
      <c r="N1118" s="15"/>
      <c r="T1118" s="15"/>
      <c r="U1118" s="15"/>
    </row>
    <row r="1119" spans="12:21">
      <c r="L1119" s="15"/>
      <c r="M1119" s="15"/>
      <c r="N1119" s="15"/>
      <c r="T1119" s="15"/>
      <c r="U1119" s="15"/>
    </row>
    <row r="1120" spans="12:21">
      <c r="L1120" s="15"/>
      <c r="M1120" s="15"/>
      <c r="N1120" s="15"/>
      <c r="T1120" s="15"/>
      <c r="U1120" s="15"/>
    </row>
    <row r="1121" spans="12:21">
      <c r="L1121" s="15"/>
      <c r="M1121" s="15"/>
      <c r="N1121" s="15"/>
      <c r="T1121" s="15"/>
      <c r="U1121" s="15"/>
    </row>
    <row r="1122" spans="12:21">
      <c r="L1122" s="15"/>
      <c r="M1122" s="15"/>
      <c r="N1122" s="15"/>
      <c r="T1122" s="15"/>
      <c r="U1122" s="15"/>
    </row>
    <row r="1123" spans="12:21">
      <c r="L1123" s="15"/>
      <c r="M1123" s="15"/>
      <c r="N1123" s="15"/>
      <c r="T1123" s="15"/>
      <c r="U1123" s="15"/>
    </row>
    <row r="1124" spans="12:21">
      <c r="L1124" s="15"/>
      <c r="M1124" s="15"/>
      <c r="N1124" s="15"/>
      <c r="T1124" s="15"/>
      <c r="U1124" s="15"/>
    </row>
    <row r="1125" spans="12:21">
      <c r="L1125" s="15"/>
      <c r="M1125" s="15"/>
      <c r="N1125" s="15"/>
      <c r="T1125" s="15"/>
      <c r="U1125" s="15"/>
    </row>
    <row r="1126" spans="12:21">
      <c r="L1126" s="15"/>
      <c r="M1126" s="15"/>
      <c r="N1126" s="15"/>
      <c r="T1126" s="15"/>
      <c r="U1126" s="15"/>
    </row>
    <row r="1127" spans="12:21">
      <c r="L1127" s="15"/>
      <c r="M1127" s="15"/>
      <c r="N1127" s="15"/>
      <c r="T1127" s="15"/>
      <c r="U1127" s="15"/>
    </row>
    <row r="1128" spans="12:21">
      <c r="L1128" s="15"/>
      <c r="M1128" s="15"/>
      <c r="N1128" s="15"/>
      <c r="T1128" s="15"/>
      <c r="U1128" s="15"/>
    </row>
    <row r="1129" spans="12:21">
      <c r="L1129" s="15"/>
      <c r="M1129" s="15"/>
      <c r="N1129" s="15"/>
      <c r="T1129" s="15"/>
      <c r="U1129" s="15"/>
    </row>
    <row r="1130" spans="12:21">
      <c r="L1130" s="15"/>
      <c r="M1130" s="15"/>
      <c r="N1130" s="15"/>
      <c r="T1130" s="15"/>
      <c r="U1130" s="15"/>
    </row>
    <row r="1131" spans="12:21">
      <c r="L1131" s="15"/>
      <c r="M1131" s="15"/>
      <c r="N1131" s="15"/>
      <c r="T1131" s="15"/>
      <c r="U1131" s="15"/>
    </row>
    <row r="1132" spans="12:21">
      <c r="L1132" s="15"/>
      <c r="M1132" s="15"/>
      <c r="N1132" s="15"/>
      <c r="T1132" s="15"/>
      <c r="U1132" s="15"/>
    </row>
    <row r="1133" spans="12:21">
      <c r="L1133" s="15"/>
      <c r="M1133" s="15"/>
      <c r="N1133" s="15"/>
      <c r="T1133" s="15"/>
      <c r="U1133" s="15"/>
    </row>
    <row r="1134" spans="12:21">
      <c r="L1134" s="15"/>
      <c r="M1134" s="15"/>
      <c r="N1134" s="15"/>
      <c r="T1134" s="15"/>
      <c r="U1134" s="15"/>
    </row>
    <row r="1135" spans="12:21">
      <c r="L1135" s="15"/>
      <c r="M1135" s="15"/>
      <c r="N1135" s="15"/>
      <c r="T1135" s="15"/>
      <c r="U1135" s="15"/>
    </row>
    <row r="1136" spans="12:21">
      <c r="L1136" s="15"/>
      <c r="M1136" s="15"/>
      <c r="N1136" s="15"/>
      <c r="T1136" s="15"/>
      <c r="U1136" s="15"/>
    </row>
    <row r="1137" spans="12:21">
      <c r="L1137" s="15"/>
      <c r="M1137" s="15"/>
      <c r="N1137" s="15"/>
      <c r="T1137" s="15"/>
      <c r="U1137" s="15"/>
    </row>
    <row r="1138" spans="12:21">
      <c r="L1138" s="15"/>
      <c r="M1138" s="15"/>
      <c r="N1138" s="15"/>
      <c r="T1138" s="15"/>
      <c r="U1138" s="15"/>
    </row>
    <row r="1139" spans="12:21">
      <c r="L1139" s="15"/>
      <c r="M1139" s="15"/>
      <c r="N1139" s="15"/>
      <c r="T1139" s="15"/>
      <c r="U1139" s="15"/>
    </row>
    <row r="1140" spans="12:21">
      <c r="L1140" s="15"/>
      <c r="M1140" s="15"/>
      <c r="N1140" s="15"/>
      <c r="T1140" s="15"/>
      <c r="U1140" s="15"/>
    </row>
    <row r="1141" spans="12:21">
      <c r="L1141" s="15"/>
      <c r="M1141" s="15"/>
      <c r="N1141" s="15"/>
      <c r="T1141" s="15"/>
      <c r="U1141" s="15"/>
    </row>
    <row r="1142" spans="12:21">
      <c r="L1142" s="15"/>
      <c r="M1142" s="15"/>
      <c r="N1142" s="15"/>
      <c r="T1142" s="15"/>
      <c r="U1142" s="15"/>
    </row>
    <row r="1143" spans="12:21">
      <c r="L1143" s="15"/>
      <c r="M1143" s="15"/>
      <c r="N1143" s="15"/>
      <c r="T1143" s="15"/>
      <c r="U1143" s="15"/>
    </row>
    <row r="1144" spans="12:21">
      <c r="L1144" s="15"/>
      <c r="M1144" s="15"/>
      <c r="N1144" s="15"/>
      <c r="T1144" s="15"/>
      <c r="U1144" s="15"/>
    </row>
    <row r="1145" spans="12:21">
      <c r="L1145" s="15"/>
      <c r="M1145" s="15"/>
      <c r="N1145" s="15"/>
      <c r="T1145" s="15"/>
      <c r="U1145" s="15"/>
    </row>
    <row r="1146" spans="12:21">
      <c r="L1146" s="15"/>
      <c r="M1146" s="15"/>
      <c r="N1146" s="15"/>
      <c r="T1146" s="15"/>
      <c r="U1146" s="15"/>
    </row>
    <row r="1147" spans="12:21">
      <c r="L1147" s="15"/>
      <c r="M1147" s="15"/>
      <c r="N1147" s="15"/>
      <c r="T1147" s="15"/>
      <c r="U1147" s="15"/>
    </row>
    <row r="1148" spans="12:21">
      <c r="L1148" s="15"/>
      <c r="M1148" s="15"/>
      <c r="N1148" s="15"/>
      <c r="T1148" s="15"/>
      <c r="U1148" s="15"/>
    </row>
    <row r="1149" spans="12:21">
      <c r="L1149" s="15"/>
      <c r="M1149" s="15"/>
      <c r="N1149" s="15"/>
      <c r="T1149" s="15"/>
      <c r="U1149" s="15"/>
    </row>
    <row r="1150" spans="12:21">
      <c r="L1150" s="15"/>
      <c r="M1150" s="15"/>
      <c r="N1150" s="15"/>
      <c r="T1150" s="15"/>
      <c r="U1150" s="15"/>
    </row>
    <row r="1151" spans="12:21">
      <c r="L1151" s="15"/>
      <c r="M1151" s="15"/>
      <c r="N1151" s="15"/>
      <c r="T1151" s="15"/>
      <c r="U1151" s="15"/>
    </row>
    <row r="1152" spans="12:21">
      <c r="L1152" s="15"/>
      <c r="M1152" s="15"/>
      <c r="N1152" s="15"/>
      <c r="T1152" s="15"/>
      <c r="U1152" s="15"/>
    </row>
    <row r="1153" spans="12:21">
      <c r="L1153" s="15"/>
      <c r="M1153" s="15"/>
      <c r="N1153" s="15"/>
      <c r="T1153" s="15"/>
      <c r="U1153" s="15"/>
    </row>
    <row r="1154" spans="12:21">
      <c r="L1154" s="15"/>
      <c r="M1154" s="15"/>
      <c r="N1154" s="15"/>
      <c r="T1154" s="15"/>
      <c r="U1154" s="15"/>
    </row>
    <row r="1155" spans="12:21">
      <c r="L1155" s="15"/>
      <c r="M1155" s="15"/>
      <c r="N1155" s="15"/>
      <c r="T1155" s="15"/>
      <c r="U1155" s="15"/>
    </row>
    <row r="1156" spans="12:21">
      <c r="L1156" s="15"/>
      <c r="M1156" s="15"/>
      <c r="N1156" s="15"/>
      <c r="T1156" s="15"/>
      <c r="U1156" s="15"/>
    </row>
    <row r="1157" spans="12:21">
      <c r="L1157" s="15"/>
      <c r="M1157" s="15"/>
      <c r="N1157" s="15"/>
      <c r="T1157" s="15"/>
      <c r="U1157" s="15"/>
    </row>
    <row r="1158" spans="12:21">
      <c r="L1158" s="15"/>
      <c r="M1158" s="15"/>
      <c r="N1158" s="15"/>
      <c r="T1158" s="15"/>
      <c r="U1158" s="15"/>
    </row>
    <row r="1159" spans="12:21">
      <c r="L1159" s="15"/>
      <c r="M1159" s="15"/>
      <c r="N1159" s="15"/>
      <c r="T1159" s="15"/>
      <c r="U1159" s="15"/>
    </row>
    <row r="1160" spans="12:21">
      <c r="L1160" s="15"/>
      <c r="M1160" s="15"/>
      <c r="N1160" s="15"/>
      <c r="T1160" s="15"/>
      <c r="U1160" s="15"/>
    </row>
    <row r="1161" spans="12:21">
      <c r="L1161" s="15"/>
      <c r="M1161" s="15"/>
      <c r="N1161" s="15"/>
      <c r="T1161" s="15"/>
      <c r="U1161" s="15"/>
    </row>
    <row r="1162" spans="12:21">
      <c r="L1162" s="15"/>
      <c r="M1162" s="15"/>
      <c r="N1162" s="15"/>
      <c r="T1162" s="15"/>
      <c r="U1162" s="15"/>
    </row>
    <row r="1163" spans="12:21">
      <c r="L1163" s="15"/>
      <c r="M1163" s="15"/>
      <c r="N1163" s="15"/>
      <c r="T1163" s="15"/>
      <c r="U1163" s="15"/>
    </row>
    <row r="1164" spans="12:21">
      <c r="L1164" s="15"/>
      <c r="M1164" s="15"/>
      <c r="N1164" s="15"/>
      <c r="T1164" s="15"/>
      <c r="U1164" s="15"/>
    </row>
    <row r="1165" spans="12:21">
      <c r="L1165" s="15"/>
      <c r="M1165" s="15"/>
      <c r="N1165" s="15"/>
      <c r="T1165" s="15"/>
      <c r="U1165" s="15"/>
    </row>
    <row r="1166" spans="12:21">
      <c r="L1166" s="15"/>
      <c r="M1166" s="15"/>
      <c r="N1166" s="15"/>
      <c r="T1166" s="15"/>
      <c r="U1166" s="15"/>
    </row>
    <row r="1167" spans="12:21">
      <c r="L1167" s="15"/>
      <c r="M1167" s="15"/>
      <c r="N1167" s="15"/>
      <c r="T1167" s="15"/>
      <c r="U1167" s="15"/>
    </row>
    <row r="1168" spans="12:21">
      <c r="L1168" s="15"/>
      <c r="M1168" s="15"/>
      <c r="N1168" s="15"/>
      <c r="T1168" s="15"/>
      <c r="U1168" s="15"/>
    </row>
    <row r="1169" spans="12:21">
      <c r="L1169" s="15"/>
      <c r="M1169" s="15"/>
      <c r="N1169" s="15"/>
      <c r="T1169" s="15"/>
      <c r="U1169" s="15"/>
    </row>
    <row r="1170" spans="12:21">
      <c r="L1170" s="15"/>
      <c r="M1170" s="15"/>
      <c r="N1170" s="15"/>
      <c r="T1170" s="15"/>
      <c r="U1170" s="15"/>
    </row>
    <row r="1171" spans="12:21">
      <c r="L1171" s="15"/>
      <c r="M1171" s="15"/>
      <c r="N1171" s="15"/>
      <c r="T1171" s="15"/>
      <c r="U1171" s="15"/>
    </row>
    <row r="1172" spans="12:21">
      <c r="L1172" s="15"/>
      <c r="M1172" s="15"/>
      <c r="N1172" s="15"/>
      <c r="T1172" s="15"/>
      <c r="U1172" s="15"/>
    </row>
    <row r="1173" spans="12:21">
      <c r="L1173" s="15"/>
      <c r="M1173" s="15"/>
      <c r="N1173" s="15"/>
      <c r="T1173" s="15"/>
      <c r="U1173" s="15"/>
    </row>
    <row r="1174" spans="12:21">
      <c r="L1174" s="15"/>
      <c r="M1174" s="15"/>
      <c r="N1174" s="15"/>
      <c r="T1174" s="15"/>
      <c r="U1174" s="15"/>
    </row>
    <row r="1175" spans="12:21">
      <c r="L1175" s="15"/>
      <c r="M1175" s="15"/>
      <c r="N1175" s="15"/>
      <c r="T1175" s="15"/>
      <c r="U1175" s="15"/>
    </row>
    <row r="1176" spans="12:21">
      <c r="L1176" s="15"/>
      <c r="M1176" s="15"/>
      <c r="N1176" s="15"/>
      <c r="T1176" s="15"/>
      <c r="U1176" s="15"/>
    </row>
    <row r="1177" spans="12:21">
      <c r="L1177" s="15"/>
      <c r="M1177" s="15"/>
      <c r="N1177" s="15"/>
      <c r="T1177" s="15"/>
      <c r="U1177" s="15"/>
    </row>
    <row r="1178" spans="12:21">
      <c r="L1178" s="15"/>
      <c r="M1178" s="15"/>
      <c r="N1178" s="15"/>
      <c r="T1178" s="15"/>
      <c r="U1178" s="15"/>
    </row>
    <row r="1179" spans="12:21">
      <c r="L1179" s="15"/>
      <c r="M1179" s="15"/>
      <c r="N1179" s="15"/>
      <c r="T1179" s="15"/>
      <c r="U1179" s="15"/>
    </row>
    <row r="1180" spans="12:21">
      <c r="L1180" s="15"/>
      <c r="M1180" s="15"/>
      <c r="N1180" s="15"/>
      <c r="T1180" s="15"/>
      <c r="U1180" s="15"/>
    </row>
    <row r="1181" spans="12:21">
      <c r="L1181" s="15"/>
      <c r="M1181" s="15"/>
      <c r="N1181" s="15"/>
      <c r="T1181" s="15"/>
      <c r="U1181" s="15"/>
    </row>
    <row r="1182" spans="12:21">
      <c r="L1182" s="15"/>
      <c r="M1182" s="15"/>
      <c r="N1182" s="15"/>
      <c r="T1182" s="15"/>
      <c r="U1182" s="15"/>
    </row>
    <row r="1183" spans="12:21">
      <c r="L1183" s="15"/>
      <c r="M1183" s="15"/>
      <c r="N1183" s="15"/>
      <c r="T1183" s="15"/>
      <c r="U1183" s="15"/>
    </row>
    <row r="1184" spans="12:21">
      <c r="L1184" s="15"/>
      <c r="M1184" s="15"/>
      <c r="N1184" s="15"/>
      <c r="T1184" s="15"/>
      <c r="U1184" s="15"/>
    </row>
    <row r="1185" spans="12:21">
      <c r="L1185" s="15"/>
      <c r="M1185" s="15"/>
      <c r="N1185" s="15"/>
      <c r="T1185" s="15"/>
      <c r="U1185" s="15"/>
    </row>
    <row r="1186" spans="12:21">
      <c r="L1186" s="15"/>
      <c r="M1186" s="15"/>
      <c r="N1186" s="15"/>
      <c r="T1186" s="15"/>
      <c r="U1186" s="15"/>
    </row>
    <row r="1187" spans="12:21">
      <c r="L1187" s="15"/>
      <c r="M1187" s="15"/>
      <c r="N1187" s="15"/>
      <c r="T1187" s="15"/>
      <c r="U1187" s="15"/>
    </row>
    <row r="1188" spans="12:21">
      <c r="L1188" s="15"/>
      <c r="M1188" s="15"/>
      <c r="N1188" s="15"/>
      <c r="T1188" s="15"/>
      <c r="U1188" s="15"/>
    </row>
    <row r="1189" spans="12:21">
      <c r="L1189" s="15"/>
      <c r="M1189" s="15"/>
      <c r="N1189" s="15"/>
      <c r="T1189" s="15"/>
      <c r="U1189" s="15"/>
    </row>
    <row r="1190" spans="12:21">
      <c r="L1190" s="15"/>
      <c r="M1190" s="15"/>
      <c r="N1190" s="15"/>
      <c r="T1190" s="15"/>
      <c r="U1190" s="15"/>
    </row>
    <row r="1191" spans="12:21">
      <c r="L1191" s="15"/>
      <c r="M1191" s="15"/>
      <c r="N1191" s="15"/>
      <c r="T1191" s="15"/>
      <c r="U1191" s="15"/>
    </row>
    <row r="1192" spans="12:21">
      <c r="L1192" s="15"/>
      <c r="M1192" s="15"/>
      <c r="N1192" s="15"/>
      <c r="T1192" s="15"/>
      <c r="U1192" s="15"/>
    </row>
    <row r="1193" spans="12:21">
      <c r="L1193" s="15"/>
      <c r="M1193" s="15"/>
      <c r="N1193" s="15"/>
      <c r="T1193" s="15"/>
      <c r="U1193" s="15"/>
    </row>
    <row r="1194" spans="12:21">
      <c r="L1194" s="15"/>
      <c r="M1194" s="15"/>
      <c r="N1194" s="15"/>
      <c r="T1194" s="15"/>
      <c r="U1194" s="15"/>
    </row>
    <row r="1195" spans="12:21">
      <c r="L1195" s="15"/>
      <c r="M1195" s="15"/>
      <c r="N1195" s="15"/>
      <c r="T1195" s="15"/>
      <c r="U1195" s="15"/>
    </row>
    <row r="1196" spans="12:21">
      <c r="L1196" s="15"/>
      <c r="M1196" s="15"/>
      <c r="N1196" s="15"/>
      <c r="T1196" s="15"/>
      <c r="U1196" s="15"/>
    </row>
    <row r="1197" spans="12:21">
      <c r="L1197" s="15"/>
      <c r="M1197" s="15"/>
      <c r="N1197" s="15"/>
      <c r="T1197" s="15"/>
      <c r="U1197" s="15"/>
    </row>
    <row r="1198" spans="12:21">
      <c r="L1198" s="15"/>
      <c r="M1198" s="15"/>
      <c r="N1198" s="15"/>
      <c r="T1198" s="15"/>
      <c r="U1198" s="15"/>
    </row>
    <row r="1199" spans="12:21">
      <c r="L1199" s="15"/>
      <c r="M1199" s="15"/>
      <c r="N1199" s="15"/>
      <c r="T1199" s="15"/>
      <c r="U1199" s="15"/>
    </row>
    <row r="1200" spans="12:21">
      <c r="L1200" s="15"/>
      <c r="M1200" s="15"/>
      <c r="N1200" s="15"/>
      <c r="T1200" s="15"/>
      <c r="U1200" s="15"/>
    </row>
    <row r="1201" spans="12:21">
      <c r="L1201" s="15"/>
      <c r="M1201" s="15"/>
      <c r="N1201" s="15"/>
      <c r="T1201" s="15"/>
      <c r="U1201" s="15"/>
    </row>
    <row r="1202" spans="12:21">
      <c r="L1202" s="15"/>
      <c r="M1202" s="15"/>
      <c r="N1202" s="15"/>
      <c r="T1202" s="15"/>
      <c r="U1202" s="15"/>
    </row>
    <row r="1203" spans="12:21">
      <c r="L1203" s="15"/>
      <c r="M1203" s="15"/>
      <c r="N1203" s="15"/>
      <c r="T1203" s="15"/>
      <c r="U1203" s="15"/>
    </row>
    <row r="1204" spans="12:21">
      <c r="L1204" s="15"/>
      <c r="M1204" s="15"/>
      <c r="N1204" s="15"/>
      <c r="T1204" s="15"/>
      <c r="U1204" s="15"/>
    </row>
    <row r="1205" spans="12:21">
      <c r="L1205" s="15"/>
      <c r="M1205" s="15"/>
      <c r="N1205" s="15"/>
      <c r="T1205" s="15"/>
      <c r="U1205" s="15"/>
    </row>
    <row r="1206" spans="12:21">
      <c r="L1206" s="15"/>
      <c r="M1206" s="15"/>
      <c r="N1206" s="15"/>
      <c r="T1206" s="15"/>
      <c r="U1206" s="15"/>
    </row>
    <row r="1207" spans="12:21">
      <c r="L1207" s="15"/>
      <c r="M1207" s="15"/>
      <c r="N1207" s="15"/>
      <c r="T1207" s="15"/>
      <c r="U1207" s="15"/>
    </row>
    <row r="1208" spans="12:21">
      <c r="L1208" s="15"/>
      <c r="M1208" s="15"/>
      <c r="N1208" s="15"/>
      <c r="T1208" s="15"/>
      <c r="U1208" s="15"/>
    </row>
    <row r="1209" spans="12:21">
      <c r="L1209" s="15"/>
      <c r="M1209" s="15"/>
      <c r="N1209" s="15"/>
      <c r="T1209" s="15"/>
      <c r="U1209" s="15"/>
    </row>
    <row r="1210" spans="12:21">
      <c r="L1210" s="15"/>
      <c r="M1210" s="15"/>
      <c r="N1210" s="15"/>
      <c r="T1210" s="15"/>
      <c r="U1210" s="15"/>
    </row>
    <row r="1211" spans="12:21">
      <c r="L1211" s="15"/>
      <c r="M1211" s="15"/>
      <c r="N1211" s="15"/>
      <c r="T1211" s="15"/>
      <c r="U1211" s="15"/>
    </row>
    <row r="1212" spans="12:21">
      <c r="L1212" s="15"/>
      <c r="M1212" s="15"/>
      <c r="N1212" s="15"/>
      <c r="T1212" s="15"/>
      <c r="U1212" s="15"/>
    </row>
    <row r="1213" spans="12:21">
      <c r="L1213" s="15"/>
      <c r="M1213" s="15"/>
      <c r="N1213" s="15"/>
      <c r="T1213" s="15"/>
      <c r="U1213" s="15"/>
    </row>
    <row r="1214" spans="12:21">
      <c r="L1214" s="15"/>
      <c r="M1214" s="15"/>
      <c r="N1214" s="15"/>
      <c r="T1214" s="15"/>
      <c r="U1214" s="15"/>
    </row>
    <row r="1215" spans="12:21">
      <c r="L1215" s="15"/>
      <c r="M1215" s="15"/>
      <c r="N1215" s="15"/>
      <c r="T1215" s="15"/>
      <c r="U1215" s="15"/>
    </row>
    <row r="1216" spans="12:21">
      <c r="L1216" s="15"/>
      <c r="M1216" s="15"/>
      <c r="N1216" s="15"/>
      <c r="T1216" s="15"/>
      <c r="U1216" s="15"/>
    </row>
    <row r="1217" spans="12:21">
      <c r="L1217" s="15"/>
      <c r="M1217" s="15"/>
      <c r="N1217" s="15"/>
      <c r="T1217" s="15"/>
      <c r="U1217" s="15"/>
    </row>
    <row r="1218" spans="12:21">
      <c r="L1218" s="15"/>
      <c r="M1218" s="15"/>
      <c r="N1218" s="15"/>
      <c r="T1218" s="15"/>
      <c r="U1218" s="15"/>
    </row>
    <row r="1219" spans="12:21">
      <c r="L1219" s="15"/>
      <c r="M1219" s="15"/>
      <c r="N1219" s="15"/>
      <c r="T1219" s="15"/>
      <c r="U1219" s="15"/>
    </row>
    <row r="1220" spans="12:21">
      <c r="L1220" s="15"/>
      <c r="M1220" s="15"/>
      <c r="N1220" s="15"/>
      <c r="T1220" s="15"/>
      <c r="U1220" s="15"/>
    </row>
    <row r="1221" spans="12:21">
      <c r="L1221" s="15"/>
      <c r="M1221" s="15"/>
      <c r="N1221" s="15"/>
      <c r="T1221" s="15"/>
      <c r="U1221" s="15"/>
    </row>
    <row r="1222" spans="12:21">
      <c r="L1222" s="15"/>
      <c r="M1222" s="15"/>
      <c r="N1222" s="15"/>
      <c r="T1222" s="15"/>
      <c r="U1222" s="15"/>
    </row>
    <row r="1223" spans="12:21">
      <c r="L1223" s="15"/>
      <c r="M1223" s="15"/>
      <c r="N1223" s="15"/>
      <c r="T1223" s="15"/>
      <c r="U1223" s="15"/>
    </row>
    <row r="1224" spans="12:21">
      <c r="L1224" s="15"/>
      <c r="M1224" s="15"/>
      <c r="N1224" s="15"/>
      <c r="T1224" s="15"/>
      <c r="U1224" s="15"/>
    </row>
    <row r="1225" spans="12:21">
      <c r="L1225" s="15"/>
      <c r="M1225" s="15"/>
      <c r="N1225" s="15"/>
      <c r="T1225" s="15"/>
      <c r="U1225" s="15"/>
    </row>
    <row r="1226" spans="12:21">
      <c r="L1226" s="15"/>
      <c r="M1226" s="15"/>
      <c r="N1226" s="15"/>
      <c r="T1226" s="15"/>
      <c r="U1226" s="15"/>
    </row>
    <row r="1227" spans="12:21">
      <c r="L1227" s="15"/>
      <c r="M1227" s="15"/>
      <c r="N1227" s="15"/>
      <c r="T1227" s="15"/>
      <c r="U1227" s="15"/>
    </row>
    <row r="1228" spans="12:21">
      <c r="L1228" s="15"/>
      <c r="M1228" s="15"/>
      <c r="N1228" s="15"/>
      <c r="T1228" s="15"/>
      <c r="U1228" s="15"/>
    </row>
    <row r="1229" spans="12:21">
      <c r="L1229" s="15"/>
      <c r="M1229" s="15"/>
      <c r="N1229" s="15"/>
      <c r="T1229" s="15"/>
      <c r="U1229" s="15"/>
    </row>
    <row r="1230" spans="12:21">
      <c r="L1230" s="15"/>
      <c r="M1230" s="15"/>
      <c r="N1230" s="15"/>
      <c r="T1230" s="15"/>
      <c r="U1230" s="15"/>
    </row>
    <row r="1231" spans="12:21">
      <c r="L1231" s="15"/>
      <c r="M1231" s="15"/>
      <c r="N1231" s="15"/>
      <c r="T1231" s="15"/>
      <c r="U1231" s="15"/>
    </row>
    <row r="1232" spans="12:21">
      <c r="L1232" s="15"/>
      <c r="M1232" s="15"/>
      <c r="N1232" s="15"/>
      <c r="T1232" s="15"/>
      <c r="U1232" s="15"/>
    </row>
    <row r="1233" spans="12:21">
      <c r="L1233" s="15"/>
      <c r="M1233" s="15"/>
      <c r="N1233" s="15"/>
      <c r="T1233" s="15"/>
      <c r="U1233" s="15"/>
    </row>
    <row r="1234" spans="12:21">
      <c r="L1234" s="15"/>
      <c r="M1234" s="15"/>
      <c r="N1234" s="15"/>
      <c r="T1234" s="15"/>
      <c r="U1234" s="15"/>
    </row>
    <row r="1235" spans="12:21">
      <c r="L1235" s="15"/>
      <c r="M1235" s="15"/>
      <c r="N1235" s="15"/>
      <c r="T1235" s="15"/>
      <c r="U1235" s="15"/>
    </row>
    <row r="1236" spans="12:21">
      <c r="L1236" s="15"/>
      <c r="M1236" s="15"/>
      <c r="N1236" s="15"/>
      <c r="T1236" s="15"/>
      <c r="U1236" s="15"/>
    </row>
    <row r="1237" spans="12:21">
      <c r="L1237" s="15"/>
      <c r="M1237" s="15"/>
      <c r="N1237" s="15"/>
      <c r="T1237" s="15"/>
      <c r="U1237" s="15"/>
    </row>
    <row r="1238" spans="12:21">
      <c r="L1238" s="15"/>
      <c r="M1238" s="15"/>
      <c r="N1238" s="15"/>
      <c r="T1238" s="15"/>
      <c r="U1238" s="15"/>
    </row>
    <row r="1239" spans="12:21">
      <c r="L1239" s="15"/>
      <c r="M1239" s="15"/>
      <c r="N1239" s="15"/>
      <c r="T1239" s="15"/>
      <c r="U1239" s="15"/>
    </row>
    <row r="1240" spans="12:21">
      <c r="L1240" s="15"/>
      <c r="M1240" s="15"/>
      <c r="N1240" s="15"/>
      <c r="T1240" s="15"/>
      <c r="U1240" s="15"/>
    </row>
    <row r="1241" spans="12:21">
      <c r="L1241" s="15"/>
      <c r="M1241" s="15"/>
      <c r="N1241" s="15"/>
      <c r="T1241" s="15"/>
      <c r="U1241" s="15"/>
    </row>
    <row r="1242" spans="12:21">
      <c r="L1242" s="15"/>
      <c r="M1242" s="15"/>
      <c r="N1242" s="15"/>
      <c r="T1242" s="15"/>
      <c r="U1242" s="15"/>
    </row>
    <row r="1243" spans="12:21">
      <c r="L1243" s="15"/>
      <c r="M1243" s="15"/>
      <c r="N1243" s="15"/>
      <c r="T1243" s="15"/>
      <c r="U1243" s="15"/>
    </row>
    <row r="1244" spans="12:21">
      <c r="L1244" s="15"/>
      <c r="M1244" s="15"/>
      <c r="N1244" s="15"/>
      <c r="T1244" s="15"/>
      <c r="U1244" s="15"/>
    </row>
    <row r="1245" spans="12:21">
      <c r="L1245" s="15"/>
      <c r="M1245" s="15"/>
      <c r="N1245" s="15"/>
      <c r="T1245" s="15"/>
      <c r="U1245" s="15"/>
    </row>
    <row r="1246" spans="12:21">
      <c r="L1246" s="15"/>
      <c r="M1246" s="15"/>
      <c r="N1246" s="15"/>
      <c r="T1246" s="15"/>
      <c r="U1246" s="15"/>
    </row>
    <row r="1247" spans="12:21">
      <c r="L1247" s="15"/>
      <c r="M1247" s="15"/>
      <c r="N1247" s="15"/>
      <c r="T1247" s="15"/>
      <c r="U1247" s="15"/>
    </row>
    <row r="1248" spans="12:21">
      <c r="L1248" s="15"/>
      <c r="M1248" s="15"/>
      <c r="N1248" s="15"/>
      <c r="T1248" s="15"/>
      <c r="U1248" s="15"/>
    </row>
    <row r="1249" spans="12:21">
      <c r="L1249" s="15"/>
      <c r="M1249" s="15"/>
      <c r="N1249" s="15"/>
      <c r="T1249" s="15"/>
      <c r="U1249" s="15"/>
    </row>
    <row r="1250" spans="12:21">
      <c r="L1250" s="15"/>
      <c r="M1250" s="15"/>
      <c r="N1250" s="15"/>
      <c r="T1250" s="15"/>
      <c r="U1250" s="15"/>
    </row>
    <row r="1251" spans="12:21">
      <c r="L1251" s="15"/>
      <c r="M1251" s="15"/>
      <c r="N1251" s="15"/>
      <c r="T1251" s="15"/>
      <c r="U1251" s="15"/>
    </row>
    <row r="1252" spans="12:21">
      <c r="L1252" s="15"/>
      <c r="M1252" s="15"/>
      <c r="N1252" s="15"/>
      <c r="T1252" s="15"/>
      <c r="U1252" s="15"/>
    </row>
    <row r="1253" spans="12:21">
      <c r="L1253" s="15"/>
      <c r="M1253" s="15"/>
      <c r="N1253" s="15"/>
      <c r="T1253" s="15"/>
      <c r="U1253" s="15"/>
    </row>
    <row r="1254" spans="12:21">
      <c r="L1254" s="15"/>
      <c r="M1254" s="15"/>
      <c r="N1254" s="15"/>
      <c r="T1254" s="15"/>
      <c r="U1254" s="15"/>
    </row>
    <row r="1255" spans="12:21">
      <c r="L1255" s="15"/>
      <c r="M1255" s="15"/>
      <c r="N1255" s="15"/>
      <c r="T1255" s="15"/>
      <c r="U1255" s="15"/>
    </row>
    <row r="1256" spans="12:21">
      <c r="L1256" s="15"/>
      <c r="M1256" s="15"/>
      <c r="N1256" s="15"/>
      <c r="T1256" s="15"/>
      <c r="U1256" s="15"/>
    </row>
    <row r="1257" spans="12:21">
      <c r="L1257" s="15"/>
      <c r="M1257" s="15"/>
      <c r="N1257" s="15"/>
      <c r="T1257" s="15"/>
      <c r="U1257" s="15"/>
    </row>
    <row r="1258" spans="12:21">
      <c r="L1258" s="15"/>
      <c r="M1258" s="15"/>
      <c r="N1258" s="15"/>
      <c r="T1258" s="15"/>
      <c r="U1258" s="15"/>
    </row>
    <row r="1259" spans="12:21">
      <c r="L1259" s="15"/>
      <c r="M1259" s="15"/>
      <c r="N1259" s="15"/>
      <c r="T1259" s="15"/>
      <c r="U1259" s="15"/>
    </row>
    <row r="1260" spans="12:21">
      <c r="L1260" s="15"/>
      <c r="M1260" s="15"/>
      <c r="N1260" s="15"/>
      <c r="T1260" s="15"/>
      <c r="U1260" s="15"/>
    </row>
    <row r="1261" spans="12:21">
      <c r="L1261" s="15"/>
      <c r="M1261" s="15"/>
      <c r="N1261" s="15"/>
      <c r="T1261" s="15"/>
      <c r="U1261" s="15"/>
    </row>
    <row r="1262" spans="12:21">
      <c r="L1262" s="15"/>
      <c r="M1262" s="15"/>
      <c r="N1262" s="15"/>
      <c r="T1262" s="15"/>
      <c r="U1262" s="15"/>
    </row>
    <row r="1263" spans="12:21">
      <c r="L1263" s="15"/>
      <c r="M1263" s="15"/>
      <c r="N1263" s="15"/>
      <c r="T1263" s="15"/>
      <c r="U1263" s="15"/>
    </row>
    <row r="1264" spans="12:21">
      <c r="L1264" s="15"/>
      <c r="M1264" s="15"/>
      <c r="N1264" s="15"/>
      <c r="T1264" s="15"/>
      <c r="U1264" s="15"/>
    </row>
    <row r="1265" spans="12:21">
      <c r="L1265" s="15"/>
      <c r="M1265" s="15"/>
      <c r="N1265" s="15"/>
      <c r="T1265" s="15"/>
      <c r="U1265" s="15"/>
    </row>
    <row r="1266" spans="12:21">
      <c r="L1266" s="15"/>
      <c r="M1266" s="15"/>
      <c r="N1266" s="15"/>
      <c r="T1266" s="15"/>
      <c r="U1266" s="15"/>
    </row>
    <row r="1267" spans="12:21">
      <c r="L1267" s="15"/>
      <c r="M1267" s="15"/>
      <c r="N1267" s="15"/>
      <c r="T1267" s="15"/>
      <c r="U1267" s="15"/>
    </row>
    <row r="1268" spans="12:21">
      <c r="L1268" s="15"/>
      <c r="M1268" s="15"/>
      <c r="N1268" s="15"/>
      <c r="T1268" s="15"/>
      <c r="U1268" s="15"/>
    </row>
    <row r="1269" spans="12:21">
      <c r="L1269" s="15"/>
      <c r="M1269" s="15"/>
      <c r="N1269" s="15"/>
      <c r="T1269" s="15"/>
      <c r="U1269" s="15"/>
    </row>
    <row r="1270" spans="12:21">
      <c r="L1270" s="15"/>
      <c r="M1270" s="15"/>
      <c r="N1270" s="15"/>
      <c r="T1270" s="15"/>
      <c r="U1270" s="15"/>
    </row>
    <row r="1271" spans="12:21">
      <c r="L1271" s="15"/>
      <c r="M1271" s="15"/>
      <c r="N1271" s="15"/>
      <c r="T1271" s="15"/>
      <c r="U1271" s="15"/>
    </row>
    <row r="1272" spans="12:21">
      <c r="L1272" s="15"/>
      <c r="M1272" s="15"/>
      <c r="N1272" s="15"/>
      <c r="T1272" s="15"/>
      <c r="U1272" s="15"/>
    </row>
    <row r="1273" spans="12:21">
      <c r="L1273" s="15"/>
      <c r="M1273" s="15"/>
      <c r="N1273" s="15"/>
      <c r="T1273" s="15"/>
      <c r="U1273" s="15"/>
    </row>
    <row r="1274" spans="12:21">
      <c r="L1274" s="15"/>
      <c r="M1274" s="15"/>
      <c r="N1274" s="15"/>
      <c r="T1274" s="15"/>
      <c r="U1274" s="15"/>
    </row>
    <row r="1275" spans="12:21">
      <c r="L1275" s="15"/>
      <c r="M1275" s="15"/>
      <c r="N1275" s="15"/>
      <c r="T1275" s="15"/>
      <c r="U1275" s="15"/>
    </row>
    <row r="1276" spans="12:21">
      <c r="L1276" s="15"/>
      <c r="M1276" s="15"/>
      <c r="N1276" s="15"/>
      <c r="T1276" s="15"/>
      <c r="U1276" s="15"/>
    </row>
    <row r="1277" spans="12:21">
      <c r="L1277" s="15"/>
      <c r="M1277" s="15"/>
      <c r="N1277" s="15"/>
      <c r="T1277" s="15"/>
      <c r="U1277" s="15"/>
    </row>
    <row r="1278" spans="12:21">
      <c r="L1278" s="15"/>
      <c r="M1278" s="15"/>
      <c r="N1278" s="15"/>
      <c r="T1278" s="15"/>
      <c r="U1278" s="15"/>
    </row>
    <row r="1279" spans="12:21">
      <c r="L1279" s="15"/>
      <c r="M1279" s="15"/>
      <c r="N1279" s="15"/>
      <c r="T1279" s="15"/>
      <c r="U1279" s="15"/>
    </row>
    <row r="1280" spans="12:21">
      <c r="L1280" s="15"/>
      <c r="M1280" s="15"/>
      <c r="N1280" s="15"/>
      <c r="T1280" s="15"/>
      <c r="U1280" s="15"/>
    </row>
    <row r="1281" spans="12:21">
      <c r="L1281" s="15"/>
      <c r="M1281" s="15"/>
      <c r="N1281" s="15"/>
      <c r="T1281" s="15"/>
      <c r="U1281" s="15"/>
    </row>
    <row r="1282" spans="12:21">
      <c r="L1282" s="15"/>
      <c r="M1282" s="15"/>
      <c r="N1282" s="15"/>
      <c r="T1282" s="15"/>
      <c r="U1282" s="15"/>
    </row>
    <row r="1283" spans="12:21">
      <c r="L1283" s="15"/>
      <c r="M1283" s="15"/>
      <c r="N1283" s="15"/>
      <c r="T1283" s="15"/>
      <c r="U1283" s="15"/>
    </row>
    <row r="1284" spans="12:21">
      <c r="L1284" s="15"/>
      <c r="M1284" s="15"/>
      <c r="N1284" s="15"/>
      <c r="T1284" s="15"/>
      <c r="U1284" s="15"/>
    </row>
    <row r="1285" spans="12:21">
      <c r="L1285" s="15"/>
      <c r="M1285" s="15"/>
      <c r="N1285" s="15"/>
      <c r="T1285" s="15"/>
      <c r="U1285" s="15"/>
    </row>
    <row r="1286" spans="12:21">
      <c r="L1286" s="15"/>
      <c r="M1286" s="15"/>
      <c r="N1286" s="15"/>
      <c r="T1286" s="15"/>
      <c r="U1286" s="15"/>
    </row>
    <row r="1287" spans="12:21">
      <c r="L1287" s="15"/>
      <c r="M1287" s="15"/>
      <c r="N1287" s="15"/>
      <c r="T1287" s="15"/>
      <c r="U1287" s="15"/>
    </row>
    <row r="1288" spans="12:21">
      <c r="L1288" s="15"/>
      <c r="M1288" s="15"/>
      <c r="N1288" s="15"/>
      <c r="T1288" s="15"/>
      <c r="U1288" s="15"/>
    </row>
    <row r="1289" spans="12:21">
      <c r="L1289" s="15"/>
      <c r="M1289" s="15"/>
      <c r="N1289" s="15"/>
      <c r="T1289" s="15"/>
      <c r="U1289" s="15"/>
    </row>
    <row r="1290" spans="12:21">
      <c r="L1290" s="15"/>
      <c r="M1290" s="15"/>
      <c r="N1290" s="15"/>
      <c r="T1290" s="15"/>
      <c r="U1290" s="15"/>
    </row>
    <row r="1291" spans="12:21">
      <c r="L1291" s="15"/>
      <c r="M1291" s="15"/>
      <c r="N1291" s="15"/>
      <c r="T1291" s="15"/>
      <c r="U1291" s="15"/>
    </row>
    <row r="1292" spans="12:21">
      <c r="L1292" s="15"/>
      <c r="M1292" s="15"/>
      <c r="N1292" s="15"/>
      <c r="T1292" s="15"/>
      <c r="U1292" s="15"/>
    </row>
    <row r="1293" spans="12:21">
      <c r="L1293" s="15"/>
      <c r="M1293" s="15"/>
      <c r="N1293" s="15"/>
      <c r="T1293" s="15"/>
      <c r="U1293" s="15"/>
    </row>
    <row r="1294" spans="12:21">
      <c r="L1294" s="15"/>
      <c r="M1294" s="15"/>
      <c r="N1294" s="15"/>
      <c r="T1294" s="15"/>
      <c r="U1294" s="15"/>
    </row>
    <row r="1295" spans="12:21">
      <c r="L1295" s="15"/>
      <c r="M1295" s="15"/>
      <c r="N1295" s="15"/>
      <c r="T1295" s="15"/>
      <c r="U1295" s="15"/>
    </row>
    <row r="1296" spans="12:21">
      <c r="L1296" s="15"/>
      <c r="M1296" s="15"/>
      <c r="N1296" s="15"/>
      <c r="T1296" s="15"/>
      <c r="U1296" s="15"/>
    </row>
    <row r="1297" spans="12:21">
      <c r="L1297" s="15"/>
      <c r="M1297" s="15"/>
      <c r="N1297" s="15"/>
      <c r="T1297" s="15"/>
      <c r="U1297" s="15"/>
    </row>
    <row r="1298" spans="12:21">
      <c r="L1298" s="15"/>
      <c r="M1298" s="15"/>
      <c r="N1298" s="15"/>
      <c r="T1298" s="15"/>
      <c r="U1298" s="15"/>
    </row>
    <row r="1299" spans="12:21">
      <c r="L1299" s="15"/>
      <c r="M1299" s="15"/>
      <c r="N1299" s="15"/>
      <c r="T1299" s="15"/>
      <c r="U1299" s="15"/>
    </row>
    <row r="1300" spans="12:21">
      <c r="L1300" s="15"/>
      <c r="M1300" s="15"/>
      <c r="N1300" s="15"/>
      <c r="T1300" s="15"/>
      <c r="U1300" s="15"/>
    </row>
    <row r="1301" spans="12:21">
      <c r="L1301" s="15"/>
      <c r="M1301" s="15"/>
      <c r="N1301" s="15"/>
      <c r="T1301" s="15"/>
      <c r="U1301" s="15"/>
    </row>
    <row r="1302" spans="12:21">
      <c r="L1302" s="15"/>
      <c r="M1302" s="15"/>
      <c r="N1302" s="15"/>
      <c r="T1302" s="15"/>
      <c r="U1302" s="15"/>
    </row>
    <row r="1303" spans="12:21">
      <c r="L1303" s="15"/>
      <c r="M1303" s="15"/>
      <c r="N1303" s="15"/>
      <c r="T1303" s="15"/>
      <c r="U1303" s="15"/>
    </row>
    <row r="1304" spans="12:21">
      <c r="L1304" s="15"/>
      <c r="M1304" s="15"/>
      <c r="N1304" s="15"/>
      <c r="T1304" s="15"/>
      <c r="U1304" s="15"/>
    </row>
    <row r="1305" spans="12:21">
      <c r="L1305" s="15"/>
      <c r="M1305" s="15"/>
      <c r="N1305" s="15"/>
      <c r="T1305" s="15"/>
      <c r="U1305" s="15"/>
    </row>
    <row r="1306" spans="12:21">
      <c r="L1306" s="15"/>
      <c r="M1306" s="15"/>
      <c r="N1306" s="15"/>
      <c r="T1306" s="15"/>
      <c r="U1306" s="15"/>
    </row>
    <row r="1307" spans="12:21">
      <c r="L1307" s="15"/>
      <c r="M1307" s="15"/>
      <c r="N1307" s="15"/>
      <c r="T1307" s="15"/>
      <c r="U1307" s="15"/>
    </row>
    <row r="1308" spans="12:21">
      <c r="L1308" s="15"/>
      <c r="M1308" s="15"/>
      <c r="N1308" s="15"/>
      <c r="T1308" s="15"/>
      <c r="U1308" s="15"/>
    </row>
    <row r="1309" spans="12:21">
      <c r="L1309" s="15"/>
      <c r="M1309" s="15"/>
      <c r="N1309" s="15"/>
      <c r="T1309" s="15"/>
      <c r="U1309" s="15"/>
    </row>
    <row r="1310" spans="12:21">
      <c r="L1310" s="15"/>
      <c r="M1310" s="15"/>
      <c r="N1310" s="15"/>
      <c r="T1310" s="15"/>
      <c r="U1310" s="15"/>
    </row>
    <row r="1311" spans="12:21">
      <c r="L1311" s="15"/>
      <c r="M1311" s="15"/>
      <c r="N1311" s="15"/>
      <c r="T1311" s="15"/>
      <c r="U1311" s="15"/>
    </row>
    <row r="1312" spans="12:21">
      <c r="L1312" s="15"/>
      <c r="M1312" s="15"/>
      <c r="N1312" s="15"/>
      <c r="T1312" s="15"/>
      <c r="U1312" s="15"/>
    </row>
    <row r="1313" spans="12:21">
      <c r="L1313" s="15"/>
      <c r="M1313" s="15"/>
      <c r="N1313" s="15"/>
      <c r="T1313" s="15"/>
      <c r="U1313" s="15"/>
    </row>
    <row r="1314" spans="12:21">
      <c r="L1314" s="15"/>
      <c r="M1314" s="15"/>
      <c r="N1314" s="15"/>
      <c r="T1314" s="15"/>
      <c r="U1314" s="15"/>
    </row>
    <row r="1315" spans="12:21">
      <c r="L1315" s="15"/>
      <c r="M1315" s="15"/>
      <c r="N1315" s="15"/>
      <c r="T1315" s="15"/>
      <c r="U1315" s="15"/>
    </row>
    <row r="1316" spans="12:21">
      <c r="L1316" s="15"/>
      <c r="M1316" s="15"/>
      <c r="N1316" s="15"/>
      <c r="T1316" s="15"/>
      <c r="U1316" s="15"/>
    </row>
    <row r="1317" spans="12:21">
      <c r="L1317" s="15"/>
      <c r="M1317" s="15"/>
      <c r="N1317" s="15"/>
      <c r="T1317" s="15"/>
      <c r="U1317" s="15"/>
    </row>
    <row r="1318" spans="12:21">
      <c r="L1318" s="15"/>
      <c r="M1318" s="15"/>
      <c r="N1318" s="15"/>
      <c r="T1318" s="15"/>
      <c r="U1318" s="15"/>
    </row>
    <row r="1319" spans="12:21">
      <c r="L1319" s="15"/>
      <c r="M1319" s="15"/>
      <c r="N1319" s="15"/>
      <c r="T1319" s="15"/>
      <c r="U1319" s="15"/>
    </row>
    <row r="1320" spans="12:21">
      <c r="L1320" s="15"/>
      <c r="M1320" s="15"/>
      <c r="N1320" s="15"/>
      <c r="T1320" s="15"/>
      <c r="U1320" s="15"/>
    </row>
    <row r="1321" spans="12:21">
      <c r="L1321" s="15"/>
      <c r="M1321" s="15"/>
      <c r="N1321" s="15"/>
      <c r="T1321" s="15"/>
      <c r="U1321" s="15"/>
    </row>
    <row r="1322" spans="12:21">
      <c r="L1322" s="15"/>
      <c r="M1322" s="15"/>
      <c r="N1322" s="15"/>
      <c r="T1322" s="15"/>
      <c r="U1322" s="15"/>
    </row>
    <row r="1323" spans="12:21">
      <c r="L1323" s="15"/>
      <c r="M1323" s="15"/>
      <c r="N1323" s="15"/>
      <c r="T1323" s="15"/>
      <c r="U1323" s="15"/>
    </row>
    <row r="1324" spans="12:21">
      <c r="L1324" s="15"/>
      <c r="M1324" s="15"/>
      <c r="N1324" s="15"/>
      <c r="T1324" s="15"/>
      <c r="U1324" s="15"/>
    </row>
    <row r="1325" spans="12:21">
      <c r="L1325" s="15"/>
      <c r="M1325" s="15"/>
      <c r="N1325" s="15"/>
      <c r="T1325" s="15"/>
      <c r="U1325" s="15"/>
    </row>
    <row r="1326" spans="12:21">
      <c r="L1326" s="15"/>
      <c r="M1326" s="15"/>
      <c r="N1326" s="15"/>
      <c r="T1326" s="15"/>
      <c r="U1326" s="15"/>
    </row>
    <row r="1327" spans="12:21">
      <c r="L1327" s="15"/>
      <c r="M1327" s="15"/>
      <c r="N1327" s="15"/>
      <c r="T1327" s="15"/>
      <c r="U1327" s="15"/>
    </row>
    <row r="1328" spans="12:21">
      <c r="L1328" s="15"/>
      <c r="M1328" s="15"/>
      <c r="N1328" s="15"/>
      <c r="T1328" s="15"/>
      <c r="U1328" s="15"/>
    </row>
    <row r="1329" spans="12:21">
      <c r="L1329" s="15"/>
      <c r="M1329" s="15"/>
      <c r="N1329" s="15"/>
      <c r="T1329" s="15"/>
      <c r="U1329" s="15"/>
    </row>
    <row r="1330" spans="12:21">
      <c r="L1330" s="15"/>
      <c r="M1330" s="15"/>
      <c r="N1330" s="15"/>
      <c r="T1330" s="15"/>
      <c r="U1330" s="15"/>
    </row>
    <row r="1331" spans="12:21">
      <c r="L1331" s="15"/>
      <c r="M1331" s="15"/>
      <c r="N1331" s="15"/>
      <c r="T1331" s="15"/>
      <c r="U1331" s="15"/>
    </row>
    <row r="1332" spans="12:21">
      <c r="L1332" s="15"/>
      <c r="M1332" s="15"/>
      <c r="N1332" s="15"/>
      <c r="T1332" s="15"/>
      <c r="U1332" s="15"/>
    </row>
    <row r="1333" spans="12:21">
      <c r="L1333" s="15"/>
      <c r="M1333" s="15"/>
      <c r="N1333" s="15"/>
      <c r="T1333" s="15"/>
      <c r="U1333" s="15"/>
    </row>
    <row r="1334" spans="12:21">
      <c r="L1334" s="15"/>
      <c r="M1334" s="15"/>
      <c r="N1334" s="15"/>
      <c r="T1334" s="15"/>
      <c r="U1334" s="15"/>
    </row>
    <row r="1335" spans="12:21">
      <c r="L1335" s="15"/>
      <c r="M1335" s="15"/>
      <c r="N1335" s="15"/>
      <c r="T1335" s="15"/>
      <c r="U1335" s="15"/>
    </row>
    <row r="1336" spans="12:21">
      <c r="L1336" s="15"/>
      <c r="M1336" s="15"/>
      <c r="N1336" s="15"/>
      <c r="T1336" s="15"/>
      <c r="U1336" s="15"/>
    </row>
    <row r="1337" spans="12:21">
      <c r="L1337" s="15"/>
      <c r="M1337" s="15"/>
      <c r="N1337" s="15"/>
      <c r="T1337" s="15"/>
      <c r="U1337" s="15"/>
    </row>
    <row r="1338" spans="12:21">
      <c r="L1338" s="15"/>
      <c r="M1338" s="15"/>
      <c r="N1338" s="15"/>
      <c r="T1338" s="15"/>
      <c r="U1338" s="15"/>
    </row>
    <row r="1339" spans="12:21">
      <c r="L1339" s="15"/>
      <c r="M1339" s="15"/>
      <c r="N1339" s="15"/>
      <c r="T1339" s="15"/>
      <c r="U1339" s="15"/>
    </row>
    <row r="1340" spans="12:21">
      <c r="L1340" s="15"/>
      <c r="M1340" s="15"/>
      <c r="N1340" s="15"/>
      <c r="T1340" s="15"/>
      <c r="U1340" s="15"/>
    </row>
    <row r="1341" spans="12:21">
      <c r="L1341" s="15"/>
      <c r="M1341" s="15"/>
      <c r="N1341" s="15"/>
      <c r="T1341" s="15"/>
      <c r="U1341" s="15"/>
    </row>
    <row r="1342" spans="12:21">
      <c r="L1342" s="15"/>
      <c r="M1342" s="15"/>
      <c r="N1342" s="15"/>
      <c r="T1342" s="15"/>
      <c r="U1342" s="15"/>
    </row>
    <row r="1343" spans="12:21">
      <c r="L1343" s="15"/>
      <c r="M1343" s="15"/>
      <c r="N1343" s="15"/>
      <c r="T1343" s="15"/>
      <c r="U1343" s="15"/>
    </row>
    <row r="1344" spans="12:21">
      <c r="L1344" s="15"/>
      <c r="M1344" s="15"/>
      <c r="N1344" s="15"/>
      <c r="T1344" s="15"/>
      <c r="U1344" s="15"/>
    </row>
    <row r="1345" spans="12:21">
      <c r="L1345" s="15"/>
      <c r="M1345" s="15"/>
      <c r="N1345" s="15"/>
      <c r="T1345" s="15"/>
      <c r="U1345" s="15"/>
    </row>
    <row r="1346" spans="12:21">
      <c r="L1346" s="15"/>
      <c r="M1346" s="15"/>
      <c r="N1346" s="15"/>
      <c r="T1346" s="15"/>
      <c r="U1346" s="15"/>
    </row>
    <row r="1347" spans="12:21">
      <c r="L1347" s="15"/>
      <c r="M1347" s="15"/>
      <c r="N1347" s="15"/>
      <c r="T1347" s="15"/>
      <c r="U1347" s="15"/>
    </row>
    <row r="1348" spans="12:21">
      <c r="L1348" s="15"/>
      <c r="M1348" s="15"/>
      <c r="N1348" s="15"/>
      <c r="T1348" s="15"/>
      <c r="U1348" s="15"/>
    </row>
    <row r="1349" spans="12:21">
      <c r="L1349" s="15"/>
      <c r="M1349" s="15"/>
      <c r="N1349" s="15"/>
      <c r="T1349" s="15"/>
      <c r="U1349" s="15"/>
    </row>
    <row r="1350" spans="12:21">
      <c r="L1350" s="15"/>
      <c r="M1350" s="15"/>
      <c r="N1350" s="15"/>
      <c r="T1350" s="15"/>
      <c r="U1350" s="15"/>
    </row>
    <row r="1351" spans="12:21">
      <c r="L1351" s="15"/>
      <c r="M1351" s="15"/>
      <c r="N1351" s="15"/>
      <c r="T1351" s="15"/>
      <c r="U1351" s="15"/>
    </row>
    <row r="1352" spans="12:21">
      <c r="L1352" s="15"/>
      <c r="M1352" s="15"/>
      <c r="N1352" s="15"/>
      <c r="T1352" s="15"/>
      <c r="U1352" s="15"/>
    </row>
    <row r="1353" spans="12:21">
      <c r="L1353" s="15"/>
      <c r="M1353" s="15"/>
      <c r="N1353" s="15"/>
      <c r="T1353" s="15"/>
      <c r="U1353" s="15"/>
    </row>
    <row r="1354" spans="12:21">
      <c r="L1354" s="15"/>
      <c r="M1354" s="15"/>
      <c r="N1354" s="15"/>
      <c r="T1354" s="15"/>
      <c r="U1354" s="15"/>
    </row>
    <row r="1355" spans="12:21">
      <c r="L1355" s="15"/>
      <c r="M1355" s="15"/>
      <c r="N1355" s="15"/>
      <c r="T1355" s="15"/>
      <c r="U1355" s="15"/>
    </row>
    <row r="1356" spans="12:21">
      <c r="L1356" s="15"/>
      <c r="M1356" s="15"/>
      <c r="N1356" s="15"/>
      <c r="T1356" s="15"/>
      <c r="U1356" s="15"/>
    </row>
    <row r="1357" spans="12:21">
      <c r="L1357" s="15"/>
      <c r="M1357" s="15"/>
      <c r="N1357" s="15"/>
      <c r="T1357" s="15"/>
      <c r="U1357" s="15"/>
    </row>
    <row r="1358" spans="12:21">
      <c r="L1358" s="15"/>
      <c r="M1358" s="15"/>
      <c r="N1358" s="15"/>
      <c r="T1358" s="15"/>
      <c r="U1358" s="15"/>
    </row>
    <row r="1359" spans="12:21">
      <c r="L1359" s="15"/>
      <c r="M1359" s="15"/>
      <c r="N1359" s="15"/>
      <c r="T1359" s="15"/>
      <c r="U1359" s="15"/>
    </row>
    <row r="1360" spans="12:21">
      <c r="L1360" s="15"/>
      <c r="M1360" s="15"/>
      <c r="N1360" s="15"/>
      <c r="T1360" s="15"/>
      <c r="U1360" s="15"/>
    </row>
    <row r="1361" spans="12:21">
      <c r="L1361" s="15"/>
      <c r="M1361" s="15"/>
      <c r="N1361" s="15"/>
      <c r="T1361" s="15"/>
      <c r="U1361" s="15"/>
    </row>
    <row r="1362" spans="12:21">
      <c r="L1362" s="15"/>
      <c r="M1362" s="15"/>
      <c r="N1362" s="15"/>
      <c r="T1362" s="15"/>
      <c r="U1362" s="15"/>
    </row>
    <row r="1363" spans="12:21">
      <c r="L1363" s="15"/>
      <c r="M1363" s="15"/>
      <c r="N1363" s="15"/>
      <c r="T1363" s="15"/>
      <c r="U1363" s="15"/>
    </row>
    <row r="1364" spans="12:21">
      <c r="L1364" s="15"/>
      <c r="M1364" s="15"/>
      <c r="N1364" s="15"/>
      <c r="T1364" s="15"/>
      <c r="U1364" s="15"/>
    </row>
    <row r="1365" spans="12:21">
      <c r="L1365" s="15"/>
      <c r="M1365" s="15"/>
      <c r="N1365" s="15"/>
      <c r="T1365" s="15"/>
      <c r="U1365" s="15"/>
    </row>
    <row r="1366" spans="12:21">
      <c r="L1366" s="15"/>
      <c r="M1366" s="15"/>
      <c r="N1366" s="15"/>
      <c r="T1366" s="15"/>
      <c r="U1366" s="15"/>
    </row>
    <row r="1367" spans="12:21">
      <c r="L1367" s="15"/>
      <c r="M1367" s="15"/>
      <c r="N1367" s="15"/>
      <c r="T1367" s="15"/>
      <c r="U1367" s="15"/>
    </row>
    <row r="1368" spans="12:21">
      <c r="L1368" s="15"/>
      <c r="M1368" s="15"/>
      <c r="N1368" s="15"/>
      <c r="T1368" s="15"/>
      <c r="U1368" s="15"/>
    </row>
    <row r="1369" spans="12:21">
      <c r="L1369" s="15"/>
      <c r="M1369" s="15"/>
      <c r="N1369" s="15"/>
      <c r="T1369" s="15"/>
      <c r="U1369" s="15"/>
    </row>
    <row r="1370" spans="12:21">
      <c r="L1370" s="15"/>
      <c r="M1370" s="15"/>
      <c r="N1370" s="15"/>
      <c r="T1370" s="15"/>
      <c r="U1370" s="15"/>
    </row>
    <row r="1371" spans="12:21">
      <c r="L1371" s="15"/>
      <c r="M1371" s="15"/>
      <c r="N1371" s="15"/>
      <c r="T1371" s="15"/>
      <c r="U1371" s="15"/>
    </row>
    <row r="1372" spans="12:21">
      <c r="L1372" s="15"/>
      <c r="M1372" s="15"/>
      <c r="N1372" s="15"/>
      <c r="T1372" s="15"/>
      <c r="U1372" s="15"/>
    </row>
    <row r="1373" spans="12:21">
      <c r="L1373" s="15"/>
      <c r="M1373" s="15"/>
      <c r="N1373" s="15"/>
      <c r="T1373" s="15"/>
      <c r="U1373" s="15"/>
    </row>
    <row r="1374" spans="12:21">
      <c r="L1374" s="15"/>
      <c r="M1374" s="15"/>
      <c r="N1374" s="15"/>
      <c r="T1374" s="15"/>
      <c r="U1374" s="15"/>
    </row>
    <row r="1375" spans="12:21">
      <c r="L1375" s="15"/>
      <c r="M1375" s="15"/>
      <c r="N1375" s="15"/>
      <c r="T1375" s="15"/>
      <c r="U1375" s="15"/>
    </row>
    <row r="1376" spans="12:21">
      <c r="L1376" s="15"/>
      <c r="M1376" s="15"/>
      <c r="N1376" s="15"/>
      <c r="T1376" s="15"/>
      <c r="U1376" s="15"/>
    </row>
    <row r="1377" spans="12:21">
      <c r="L1377" s="15"/>
      <c r="M1377" s="15"/>
      <c r="N1377" s="15"/>
      <c r="T1377" s="15"/>
      <c r="U1377" s="15"/>
    </row>
    <row r="1378" spans="12:21">
      <c r="L1378" s="15"/>
      <c r="M1378" s="15"/>
      <c r="N1378" s="15"/>
      <c r="T1378" s="15"/>
      <c r="U1378" s="15"/>
    </row>
    <row r="1379" spans="12:21">
      <c r="L1379" s="15"/>
      <c r="M1379" s="15"/>
      <c r="N1379" s="15"/>
      <c r="T1379" s="15"/>
      <c r="U1379" s="15"/>
    </row>
    <row r="1380" spans="12:21">
      <c r="L1380" s="15"/>
      <c r="M1380" s="15"/>
      <c r="N1380" s="15"/>
      <c r="T1380" s="15"/>
      <c r="U1380" s="15"/>
    </row>
    <row r="1381" spans="12:21">
      <c r="L1381" s="15"/>
      <c r="M1381" s="15"/>
      <c r="N1381" s="15"/>
      <c r="T1381" s="15"/>
      <c r="U1381" s="15"/>
    </row>
    <row r="1382" spans="12:21">
      <c r="L1382" s="15"/>
      <c r="M1382" s="15"/>
      <c r="N1382" s="15"/>
      <c r="T1382" s="15"/>
      <c r="U1382" s="15"/>
    </row>
    <row r="1383" spans="12:21">
      <c r="L1383" s="15"/>
      <c r="M1383" s="15"/>
      <c r="N1383" s="15"/>
      <c r="T1383" s="15"/>
      <c r="U1383" s="15"/>
    </row>
    <row r="1384" spans="12:21">
      <c r="L1384" s="15"/>
      <c r="M1384" s="15"/>
      <c r="N1384" s="15"/>
      <c r="T1384" s="15"/>
      <c r="U1384" s="15"/>
    </row>
    <row r="1385" spans="12:21">
      <c r="L1385" s="15"/>
      <c r="M1385" s="15"/>
      <c r="N1385" s="15"/>
      <c r="T1385" s="15"/>
      <c r="U1385" s="15"/>
    </row>
    <row r="1386" spans="12:21">
      <c r="L1386" s="15"/>
      <c r="M1386" s="15"/>
      <c r="N1386" s="15"/>
      <c r="T1386" s="15"/>
      <c r="U1386" s="15"/>
    </row>
    <row r="1387" spans="12:21">
      <c r="L1387" s="15"/>
      <c r="M1387" s="15"/>
      <c r="N1387" s="15"/>
      <c r="T1387" s="15"/>
      <c r="U1387" s="15"/>
    </row>
    <row r="1388" spans="12:21">
      <c r="L1388" s="15"/>
      <c r="M1388" s="15"/>
      <c r="N1388" s="15"/>
      <c r="T1388" s="15"/>
      <c r="U1388" s="15"/>
    </row>
    <row r="1389" spans="12:21">
      <c r="L1389" s="15"/>
      <c r="M1389" s="15"/>
      <c r="N1389" s="15"/>
      <c r="T1389" s="15"/>
      <c r="U1389" s="15"/>
    </row>
    <row r="1390" spans="12:21">
      <c r="L1390" s="15"/>
      <c r="M1390" s="15"/>
      <c r="N1390" s="15"/>
      <c r="T1390" s="15"/>
      <c r="U1390" s="15"/>
    </row>
    <row r="1391" spans="12:21">
      <c r="L1391" s="15"/>
      <c r="M1391" s="15"/>
      <c r="N1391" s="15"/>
      <c r="T1391" s="15"/>
      <c r="U1391" s="15"/>
    </row>
    <row r="1392" spans="12:21">
      <c r="L1392" s="15"/>
      <c r="M1392" s="15"/>
      <c r="N1392" s="15"/>
      <c r="T1392" s="15"/>
      <c r="U1392" s="15"/>
    </row>
    <row r="1393" spans="12:21">
      <c r="L1393" s="15"/>
      <c r="M1393" s="15"/>
      <c r="N1393" s="15"/>
      <c r="T1393" s="15"/>
      <c r="U1393" s="15"/>
    </row>
    <row r="1394" spans="12:21">
      <c r="L1394" s="15"/>
      <c r="M1394" s="15"/>
      <c r="N1394" s="15"/>
      <c r="T1394" s="15"/>
      <c r="U1394" s="15"/>
    </row>
    <row r="1395" spans="12:21">
      <c r="L1395" s="15"/>
      <c r="M1395" s="15"/>
      <c r="N1395" s="15"/>
      <c r="T1395" s="15"/>
      <c r="U1395" s="15"/>
    </row>
    <row r="1396" spans="12:21">
      <c r="L1396" s="15"/>
      <c r="M1396" s="15"/>
      <c r="N1396" s="15"/>
      <c r="T1396" s="15"/>
      <c r="U1396" s="15"/>
    </row>
    <row r="1397" spans="12:21">
      <c r="L1397" s="15"/>
      <c r="M1397" s="15"/>
      <c r="N1397" s="15"/>
      <c r="T1397" s="15"/>
      <c r="U1397" s="15"/>
    </row>
    <row r="1398" spans="12:21">
      <c r="L1398" s="15"/>
      <c r="M1398" s="15"/>
      <c r="N1398" s="15"/>
      <c r="T1398" s="15"/>
      <c r="U1398" s="15"/>
    </row>
    <row r="1399" spans="12:21">
      <c r="L1399" s="15"/>
      <c r="M1399" s="15"/>
      <c r="N1399" s="15"/>
      <c r="T1399" s="15"/>
      <c r="U1399" s="15"/>
    </row>
    <row r="1400" spans="12:21">
      <c r="L1400" s="15"/>
      <c r="M1400" s="15"/>
      <c r="N1400" s="15"/>
      <c r="T1400" s="15"/>
      <c r="U1400" s="15"/>
    </row>
    <row r="1401" spans="12:21">
      <c r="L1401" s="15"/>
      <c r="M1401" s="15"/>
      <c r="N1401" s="15"/>
      <c r="T1401" s="15"/>
      <c r="U1401" s="15"/>
    </row>
    <row r="1402" spans="12:21">
      <c r="L1402" s="15"/>
      <c r="M1402" s="15"/>
      <c r="N1402" s="15"/>
      <c r="T1402" s="15"/>
      <c r="U1402" s="15"/>
    </row>
    <row r="1403" spans="12:21">
      <c r="L1403" s="15"/>
      <c r="M1403" s="15"/>
      <c r="N1403" s="15"/>
      <c r="T1403" s="15"/>
      <c r="U1403" s="15"/>
    </row>
    <row r="1404" spans="12:21">
      <c r="L1404" s="15"/>
      <c r="M1404" s="15"/>
      <c r="N1404" s="15"/>
      <c r="T1404" s="15"/>
      <c r="U1404" s="15"/>
    </row>
    <row r="1405" spans="12:21">
      <c r="L1405" s="15"/>
      <c r="M1405" s="15"/>
      <c r="N1405" s="15"/>
      <c r="T1405" s="15"/>
      <c r="U1405" s="15"/>
    </row>
    <row r="1406" spans="12:21">
      <c r="L1406" s="15"/>
      <c r="M1406" s="15"/>
      <c r="N1406" s="15"/>
      <c r="T1406" s="15"/>
      <c r="U1406" s="15"/>
    </row>
    <row r="1407" spans="12:21">
      <c r="L1407" s="15"/>
      <c r="M1407" s="15"/>
      <c r="N1407" s="15"/>
      <c r="T1407" s="15"/>
      <c r="U1407" s="15"/>
    </row>
    <row r="1408" spans="12:21">
      <c r="L1408" s="15"/>
      <c r="M1408" s="15"/>
      <c r="N1408" s="15"/>
      <c r="T1408" s="15"/>
      <c r="U1408" s="15"/>
    </row>
    <row r="1409" spans="12:21">
      <c r="L1409" s="15"/>
      <c r="M1409" s="15"/>
      <c r="N1409" s="15"/>
      <c r="T1409" s="15"/>
      <c r="U1409" s="15"/>
    </row>
    <row r="1410" spans="12:21">
      <c r="L1410" s="15"/>
      <c r="M1410" s="15"/>
      <c r="N1410" s="15"/>
      <c r="T1410" s="15"/>
      <c r="U1410" s="15"/>
    </row>
    <row r="1411" spans="12:21">
      <c r="L1411" s="15"/>
      <c r="M1411" s="15"/>
      <c r="N1411" s="15"/>
      <c r="T1411" s="15"/>
      <c r="U1411" s="15"/>
    </row>
    <row r="1412" spans="12:21">
      <c r="L1412" s="15"/>
      <c r="M1412" s="15"/>
      <c r="N1412" s="15"/>
      <c r="T1412" s="15"/>
      <c r="U1412" s="15"/>
    </row>
    <row r="1413" spans="12:21">
      <c r="L1413" s="15"/>
      <c r="M1413" s="15"/>
      <c r="N1413" s="15"/>
      <c r="T1413" s="15"/>
      <c r="U1413" s="15"/>
    </row>
    <row r="1414" spans="12:21">
      <c r="L1414" s="15"/>
      <c r="M1414" s="15"/>
      <c r="N1414" s="15"/>
      <c r="T1414" s="15"/>
      <c r="U1414" s="15"/>
    </row>
    <row r="1415" spans="12:21">
      <c r="L1415" s="15"/>
      <c r="M1415" s="15"/>
      <c r="N1415" s="15"/>
      <c r="T1415" s="15"/>
      <c r="U1415" s="15"/>
    </row>
    <row r="1416" spans="12:21">
      <c r="L1416" s="15"/>
      <c r="M1416" s="15"/>
      <c r="N1416" s="15"/>
      <c r="T1416" s="15"/>
      <c r="U1416" s="15"/>
    </row>
    <row r="1417" spans="12:21">
      <c r="L1417" s="15"/>
      <c r="M1417" s="15"/>
      <c r="N1417" s="15"/>
      <c r="T1417" s="15"/>
      <c r="U1417" s="15"/>
    </row>
    <row r="1418" spans="12:21">
      <c r="L1418" s="15"/>
      <c r="M1418" s="15"/>
      <c r="N1418" s="15"/>
      <c r="T1418" s="15"/>
      <c r="U1418" s="15"/>
    </row>
    <row r="1419" spans="12:21">
      <c r="L1419" s="15"/>
      <c r="M1419" s="15"/>
      <c r="N1419" s="15"/>
      <c r="T1419" s="15"/>
      <c r="U1419" s="15"/>
    </row>
    <row r="1420" spans="12:21">
      <c r="L1420" s="15"/>
      <c r="M1420" s="15"/>
      <c r="N1420" s="15"/>
      <c r="T1420" s="15"/>
      <c r="U1420" s="15"/>
    </row>
    <row r="1421" spans="12:21">
      <c r="L1421" s="15"/>
      <c r="M1421" s="15"/>
      <c r="N1421" s="15"/>
      <c r="T1421" s="15"/>
      <c r="U1421" s="15"/>
    </row>
    <row r="1422" spans="12:21">
      <c r="L1422" s="15"/>
      <c r="M1422" s="15"/>
      <c r="N1422" s="15"/>
      <c r="T1422" s="15"/>
      <c r="U1422" s="15"/>
    </row>
    <row r="1423" spans="12:21">
      <c r="L1423" s="15"/>
      <c r="M1423" s="15"/>
      <c r="N1423" s="15"/>
      <c r="T1423" s="15"/>
      <c r="U1423" s="15"/>
    </row>
    <row r="1424" spans="12:21">
      <c r="L1424" s="15"/>
      <c r="M1424" s="15"/>
      <c r="N1424" s="15"/>
      <c r="T1424" s="15"/>
      <c r="U1424" s="15"/>
    </row>
    <row r="1425" spans="12:21">
      <c r="L1425" s="15"/>
      <c r="M1425" s="15"/>
      <c r="N1425" s="15"/>
      <c r="T1425" s="15"/>
      <c r="U1425" s="15"/>
    </row>
    <row r="1426" spans="12:21">
      <c r="L1426" s="15"/>
      <c r="M1426" s="15"/>
      <c r="N1426" s="15"/>
      <c r="T1426" s="15"/>
      <c r="U1426" s="15"/>
    </row>
    <row r="1427" spans="12:21">
      <c r="L1427" s="15"/>
      <c r="M1427" s="15"/>
      <c r="N1427" s="15"/>
      <c r="T1427" s="15"/>
      <c r="U1427" s="15"/>
    </row>
    <row r="1428" spans="12:21">
      <c r="L1428" s="15"/>
      <c r="M1428" s="15"/>
      <c r="N1428" s="15"/>
      <c r="T1428" s="15"/>
      <c r="U1428" s="15"/>
    </row>
    <row r="1429" spans="12:21">
      <c r="L1429" s="15"/>
      <c r="M1429" s="15"/>
      <c r="N1429" s="15"/>
      <c r="T1429" s="15"/>
      <c r="U1429" s="15"/>
    </row>
    <row r="1430" spans="12:21">
      <c r="L1430" s="15"/>
      <c r="M1430" s="15"/>
      <c r="N1430" s="15"/>
      <c r="T1430" s="15"/>
      <c r="U1430" s="15"/>
    </row>
    <row r="1431" spans="12:21">
      <c r="L1431" s="15"/>
      <c r="M1431" s="15"/>
      <c r="N1431" s="15"/>
      <c r="T1431" s="15"/>
      <c r="U1431" s="15"/>
    </row>
    <row r="1432" spans="12:21">
      <c r="L1432" s="15"/>
      <c r="M1432" s="15"/>
      <c r="N1432" s="15"/>
      <c r="T1432" s="15"/>
      <c r="U1432" s="15"/>
    </row>
    <row r="1433" spans="12:21">
      <c r="L1433" s="15"/>
      <c r="M1433" s="15"/>
      <c r="N1433" s="15"/>
      <c r="T1433" s="15"/>
      <c r="U1433" s="15"/>
    </row>
    <row r="1434" spans="12:21">
      <c r="L1434" s="15"/>
      <c r="M1434" s="15"/>
      <c r="N1434" s="15"/>
      <c r="T1434" s="15"/>
      <c r="U1434" s="15"/>
    </row>
    <row r="1435" spans="12:21">
      <c r="L1435" s="15"/>
      <c r="M1435" s="15"/>
      <c r="N1435" s="15"/>
      <c r="T1435" s="15"/>
      <c r="U1435" s="15"/>
    </row>
    <row r="1436" spans="12:21">
      <c r="L1436" s="15"/>
      <c r="M1436" s="15"/>
      <c r="N1436" s="15"/>
      <c r="T1436" s="15"/>
      <c r="U1436" s="15"/>
    </row>
    <row r="1437" spans="12:21">
      <c r="L1437" s="15"/>
      <c r="M1437" s="15"/>
      <c r="N1437" s="15"/>
      <c r="T1437" s="15"/>
      <c r="U1437" s="15"/>
    </row>
    <row r="1438" spans="12:21">
      <c r="L1438" s="15"/>
      <c r="M1438" s="15"/>
      <c r="N1438" s="15"/>
      <c r="T1438" s="15"/>
      <c r="U1438" s="15"/>
    </row>
    <row r="1439" spans="12:21">
      <c r="L1439" s="15"/>
      <c r="M1439" s="15"/>
      <c r="N1439" s="15"/>
      <c r="T1439" s="15"/>
      <c r="U1439" s="15"/>
    </row>
    <row r="1440" spans="12:21">
      <c r="L1440" s="15"/>
      <c r="M1440" s="15"/>
      <c r="N1440" s="15"/>
      <c r="T1440" s="15"/>
      <c r="U1440" s="15"/>
    </row>
    <row r="1441" spans="12:21">
      <c r="L1441" s="15"/>
      <c r="M1441" s="15"/>
      <c r="N1441" s="15"/>
      <c r="T1441" s="15"/>
      <c r="U1441" s="15"/>
    </row>
    <row r="1442" spans="12:21">
      <c r="L1442" s="15"/>
      <c r="M1442" s="15"/>
      <c r="N1442" s="15"/>
      <c r="T1442" s="15"/>
      <c r="U1442" s="15"/>
    </row>
    <row r="1443" spans="12:21">
      <c r="L1443" s="15"/>
      <c r="M1443" s="15"/>
      <c r="N1443" s="15"/>
      <c r="T1443" s="15"/>
      <c r="U1443" s="15"/>
    </row>
    <row r="1444" spans="12:21">
      <c r="L1444" s="15"/>
      <c r="M1444" s="15"/>
      <c r="N1444" s="15"/>
      <c r="T1444" s="15"/>
      <c r="U1444" s="15"/>
    </row>
    <row r="1445" spans="12:21">
      <c r="L1445" s="15"/>
      <c r="M1445" s="15"/>
      <c r="N1445" s="15"/>
      <c r="T1445" s="15"/>
      <c r="U1445" s="15"/>
    </row>
    <row r="1446" spans="12:21">
      <c r="L1446" s="15"/>
      <c r="M1446" s="15"/>
      <c r="N1446" s="15"/>
      <c r="T1446" s="15"/>
      <c r="U1446" s="15"/>
    </row>
    <row r="1447" spans="12:21">
      <c r="L1447" s="15"/>
      <c r="M1447" s="15"/>
      <c r="N1447" s="15"/>
      <c r="T1447" s="15"/>
      <c r="U1447" s="15"/>
    </row>
    <row r="1448" spans="12:21">
      <c r="L1448" s="15"/>
      <c r="M1448" s="15"/>
      <c r="N1448" s="15"/>
      <c r="T1448" s="15"/>
      <c r="U1448" s="15"/>
    </row>
    <row r="1449" spans="12:21">
      <c r="L1449" s="15"/>
      <c r="M1449" s="15"/>
      <c r="N1449" s="15"/>
      <c r="T1449" s="15"/>
      <c r="U1449" s="15"/>
    </row>
    <row r="1450" spans="12:21">
      <c r="L1450" s="15"/>
      <c r="M1450" s="15"/>
      <c r="N1450" s="15"/>
      <c r="T1450" s="15"/>
      <c r="U1450" s="15"/>
    </row>
    <row r="1451" spans="12:21">
      <c r="L1451" s="15"/>
      <c r="M1451" s="15"/>
      <c r="N1451" s="15"/>
      <c r="T1451" s="15"/>
      <c r="U1451" s="15"/>
    </row>
    <row r="1452" spans="12:21">
      <c r="L1452" s="15"/>
      <c r="M1452" s="15"/>
      <c r="N1452" s="15"/>
      <c r="T1452" s="15"/>
      <c r="U1452" s="15"/>
    </row>
    <row r="1453" spans="12:21">
      <c r="L1453" s="15"/>
      <c r="M1453" s="15"/>
      <c r="N1453" s="15"/>
      <c r="T1453" s="15"/>
      <c r="U1453" s="15"/>
    </row>
    <row r="1454" spans="12:21">
      <c r="L1454" s="15"/>
      <c r="M1454" s="15"/>
      <c r="N1454" s="15"/>
      <c r="T1454" s="15"/>
      <c r="U1454" s="15"/>
    </row>
    <row r="1455" spans="12:21">
      <c r="L1455" s="15"/>
      <c r="M1455" s="15"/>
      <c r="N1455" s="15"/>
      <c r="T1455" s="15"/>
      <c r="U1455" s="15"/>
    </row>
    <row r="1456" spans="12:21">
      <c r="L1456" s="15"/>
      <c r="M1456" s="15"/>
      <c r="N1456" s="15"/>
      <c r="T1456" s="15"/>
      <c r="U1456" s="15"/>
    </row>
    <row r="1457" spans="12:21">
      <c r="L1457" s="15"/>
      <c r="M1457" s="15"/>
      <c r="N1457" s="15"/>
      <c r="T1457" s="15"/>
      <c r="U1457" s="15"/>
    </row>
    <row r="1458" spans="12:21">
      <c r="L1458" s="15"/>
      <c r="M1458" s="15"/>
      <c r="N1458" s="15"/>
      <c r="T1458" s="15"/>
      <c r="U1458" s="15"/>
    </row>
    <row r="1459" spans="12:21">
      <c r="L1459" s="15"/>
      <c r="M1459" s="15"/>
      <c r="N1459" s="15"/>
      <c r="T1459" s="15"/>
      <c r="U1459" s="15"/>
    </row>
    <row r="1460" spans="12:21">
      <c r="L1460" s="15"/>
      <c r="M1460" s="15"/>
      <c r="N1460" s="15"/>
      <c r="T1460" s="15"/>
      <c r="U1460" s="15"/>
    </row>
    <row r="1461" spans="12:21">
      <c r="L1461" s="15"/>
      <c r="M1461" s="15"/>
      <c r="N1461" s="15"/>
      <c r="T1461" s="15"/>
      <c r="U1461" s="15"/>
    </row>
    <row r="1462" spans="12:21">
      <c r="L1462" s="15"/>
      <c r="M1462" s="15"/>
      <c r="N1462" s="15"/>
      <c r="T1462" s="15"/>
      <c r="U1462" s="15"/>
    </row>
    <row r="1463" spans="12:21">
      <c r="L1463" s="15"/>
      <c r="M1463" s="15"/>
      <c r="N1463" s="15"/>
      <c r="T1463" s="15"/>
      <c r="U1463" s="15"/>
    </row>
    <row r="1464" spans="12:21">
      <c r="L1464" s="15"/>
      <c r="M1464" s="15"/>
      <c r="N1464" s="15"/>
      <c r="T1464" s="15"/>
      <c r="U1464" s="15"/>
    </row>
    <row r="1465" spans="12:21">
      <c r="L1465" s="15"/>
      <c r="M1465" s="15"/>
      <c r="N1465" s="15"/>
      <c r="T1465" s="15"/>
      <c r="U1465" s="15"/>
    </row>
    <row r="1466" spans="12:21">
      <c r="L1466" s="15"/>
      <c r="M1466" s="15"/>
      <c r="N1466" s="15"/>
      <c r="T1466" s="15"/>
      <c r="U1466" s="15"/>
    </row>
    <row r="1467" spans="12:21">
      <c r="L1467" s="15"/>
      <c r="M1467" s="15"/>
      <c r="N1467" s="15"/>
      <c r="T1467" s="15"/>
      <c r="U1467" s="15"/>
    </row>
    <row r="1468" spans="12:21">
      <c r="L1468" s="15"/>
      <c r="M1468" s="15"/>
      <c r="N1468" s="15"/>
      <c r="T1468" s="15"/>
      <c r="U1468" s="15"/>
    </row>
    <row r="1469" spans="12:21">
      <c r="L1469" s="15"/>
      <c r="M1469" s="15"/>
      <c r="N1469" s="15"/>
      <c r="T1469" s="15"/>
      <c r="U1469" s="15"/>
    </row>
    <row r="1470" spans="12:21">
      <c r="L1470" s="15"/>
      <c r="M1470" s="15"/>
      <c r="N1470" s="15"/>
      <c r="T1470" s="15"/>
      <c r="U1470" s="15"/>
    </row>
    <row r="1471" spans="12:21">
      <c r="L1471" s="15"/>
      <c r="M1471" s="15"/>
      <c r="N1471" s="15"/>
      <c r="T1471" s="15"/>
      <c r="U1471" s="15"/>
    </row>
    <row r="1472" spans="12:21">
      <c r="L1472" s="15"/>
      <c r="M1472" s="15"/>
      <c r="N1472" s="15"/>
      <c r="T1472" s="15"/>
      <c r="U1472" s="15"/>
    </row>
    <row r="1473" spans="12:21">
      <c r="L1473" s="15"/>
      <c r="M1473" s="15"/>
      <c r="N1473" s="15"/>
      <c r="T1473" s="15"/>
      <c r="U1473" s="15"/>
    </row>
    <row r="1474" spans="12:21">
      <c r="L1474" s="15"/>
      <c r="M1474" s="15"/>
      <c r="N1474" s="15"/>
      <c r="T1474" s="15"/>
      <c r="U1474" s="15"/>
    </row>
    <row r="1475" spans="12:21">
      <c r="L1475" s="15"/>
      <c r="M1475" s="15"/>
      <c r="N1475" s="15"/>
      <c r="T1475" s="15"/>
      <c r="U1475" s="15"/>
    </row>
    <row r="1476" spans="12:21">
      <c r="L1476" s="15"/>
      <c r="M1476" s="15"/>
      <c r="N1476" s="15"/>
      <c r="T1476" s="15"/>
      <c r="U1476" s="15"/>
    </row>
    <row r="1477" spans="12:21">
      <c r="L1477" s="15"/>
      <c r="M1477" s="15"/>
      <c r="N1477" s="15"/>
      <c r="T1477" s="15"/>
      <c r="U1477" s="15"/>
    </row>
    <row r="1478" spans="12:21">
      <c r="L1478" s="15"/>
      <c r="M1478" s="15"/>
      <c r="N1478" s="15"/>
      <c r="T1478" s="15"/>
      <c r="U1478" s="15"/>
    </row>
    <row r="1479" spans="12:21">
      <c r="L1479" s="15"/>
      <c r="M1479" s="15"/>
      <c r="N1479" s="15"/>
      <c r="T1479" s="15"/>
      <c r="U1479" s="15"/>
    </row>
    <row r="1480" spans="12:21">
      <c r="L1480" s="15"/>
      <c r="M1480" s="15"/>
      <c r="N1480" s="15"/>
      <c r="T1480" s="15"/>
      <c r="U1480" s="15"/>
    </row>
    <row r="1481" spans="12:21">
      <c r="L1481" s="15"/>
      <c r="M1481" s="15"/>
      <c r="N1481" s="15"/>
      <c r="T1481" s="15"/>
      <c r="U1481" s="15"/>
    </row>
    <row r="1482" spans="12:21">
      <c r="L1482" s="15"/>
      <c r="M1482" s="15"/>
      <c r="N1482" s="15"/>
      <c r="T1482" s="15"/>
      <c r="U1482" s="15"/>
    </row>
    <row r="1483" spans="12:21">
      <c r="L1483" s="15"/>
      <c r="M1483" s="15"/>
      <c r="N1483" s="15"/>
      <c r="T1483" s="15"/>
      <c r="U1483" s="15"/>
    </row>
    <row r="1484" spans="12:21">
      <c r="L1484" s="15"/>
      <c r="M1484" s="15"/>
      <c r="N1484" s="15"/>
      <c r="T1484" s="15"/>
      <c r="U1484" s="15"/>
    </row>
    <row r="1485" spans="12:21">
      <c r="L1485" s="15"/>
      <c r="M1485" s="15"/>
      <c r="N1485" s="15"/>
      <c r="T1485" s="15"/>
      <c r="U1485" s="15"/>
    </row>
    <row r="1486" spans="12:21">
      <c r="L1486" s="15"/>
      <c r="M1486" s="15"/>
      <c r="N1486" s="15"/>
      <c r="T1486" s="15"/>
      <c r="U1486" s="15"/>
    </row>
    <row r="1487" spans="12:21">
      <c r="L1487" s="15"/>
      <c r="M1487" s="15"/>
      <c r="N1487" s="15"/>
      <c r="T1487" s="15"/>
      <c r="U1487" s="15"/>
    </row>
    <row r="1488" spans="12:21">
      <c r="L1488" s="15"/>
      <c r="M1488" s="15"/>
      <c r="N1488" s="15"/>
      <c r="T1488" s="15"/>
      <c r="U1488" s="15"/>
    </row>
    <row r="1489" spans="12:21">
      <c r="L1489" s="15"/>
      <c r="M1489" s="15"/>
      <c r="N1489" s="15"/>
      <c r="T1489" s="15"/>
      <c r="U1489" s="15"/>
    </row>
    <row r="1490" spans="12:21">
      <c r="L1490" s="15"/>
      <c r="M1490" s="15"/>
      <c r="N1490" s="15"/>
      <c r="T1490" s="15"/>
      <c r="U1490" s="15"/>
    </row>
    <row r="1491" spans="12:21">
      <c r="L1491" s="15"/>
      <c r="M1491" s="15"/>
      <c r="N1491" s="15"/>
      <c r="T1491" s="15"/>
      <c r="U1491" s="15"/>
    </row>
    <row r="1492" spans="12:21">
      <c r="L1492" s="15"/>
      <c r="M1492" s="15"/>
      <c r="N1492" s="15"/>
      <c r="T1492" s="15"/>
      <c r="U1492" s="15"/>
    </row>
    <row r="1493" spans="12:21">
      <c r="L1493" s="15"/>
      <c r="M1493" s="15"/>
      <c r="N1493" s="15"/>
      <c r="T1493" s="15"/>
      <c r="U1493" s="15"/>
    </row>
    <row r="1494" spans="12:21">
      <c r="L1494" s="15"/>
      <c r="M1494" s="15"/>
      <c r="N1494" s="15"/>
      <c r="T1494" s="15"/>
      <c r="U1494" s="15"/>
    </row>
    <row r="1495" spans="12:21">
      <c r="L1495" s="15"/>
      <c r="M1495" s="15"/>
      <c r="N1495" s="15"/>
      <c r="T1495" s="15"/>
      <c r="U1495" s="15"/>
    </row>
    <row r="1496" spans="12:21">
      <c r="L1496" s="15"/>
      <c r="M1496" s="15"/>
      <c r="N1496" s="15"/>
      <c r="T1496" s="15"/>
      <c r="U1496" s="15"/>
    </row>
    <row r="1497" spans="12:21">
      <c r="L1497" s="15"/>
      <c r="M1497" s="15"/>
      <c r="N1497" s="15"/>
      <c r="T1497" s="15"/>
      <c r="U1497" s="15"/>
    </row>
    <row r="1498" spans="12:21">
      <c r="L1498" s="15"/>
      <c r="M1498" s="15"/>
      <c r="N1498" s="15"/>
      <c r="T1498" s="15"/>
      <c r="U1498" s="15"/>
    </row>
    <row r="1499" spans="12:21">
      <c r="L1499" s="15"/>
      <c r="M1499" s="15"/>
      <c r="N1499" s="15"/>
      <c r="T1499" s="15"/>
      <c r="U1499" s="15"/>
    </row>
    <row r="1500" spans="12:21">
      <c r="L1500" s="15"/>
      <c r="M1500" s="15"/>
      <c r="N1500" s="15"/>
      <c r="T1500" s="15"/>
      <c r="U1500" s="15"/>
    </row>
    <row r="1501" spans="12:21">
      <c r="L1501" s="15"/>
      <c r="M1501" s="15"/>
      <c r="N1501" s="15"/>
      <c r="T1501" s="15"/>
      <c r="U1501" s="15"/>
    </row>
    <row r="1502" spans="12:21">
      <c r="L1502" s="15"/>
      <c r="M1502" s="15"/>
      <c r="N1502" s="15"/>
      <c r="T1502" s="15"/>
      <c r="U1502" s="15"/>
    </row>
    <row r="1503" spans="12:21">
      <c r="L1503" s="15"/>
      <c r="M1503" s="15"/>
      <c r="N1503" s="15"/>
      <c r="T1503" s="15"/>
      <c r="U1503" s="15"/>
    </row>
    <row r="1504" spans="12:21">
      <c r="L1504" s="15"/>
      <c r="M1504" s="15"/>
      <c r="N1504" s="15"/>
      <c r="T1504" s="15"/>
      <c r="U1504" s="15"/>
    </row>
    <row r="1505" spans="12:21">
      <c r="L1505" s="15"/>
      <c r="M1505" s="15"/>
      <c r="N1505" s="15"/>
      <c r="T1505" s="15"/>
      <c r="U1505" s="15"/>
    </row>
    <row r="1506" spans="12:21">
      <c r="L1506" s="15"/>
      <c r="M1506" s="15"/>
      <c r="N1506" s="15"/>
      <c r="T1506" s="15"/>
      <c r="U1506" s="15"/>
    </row>
    <row r="1507" spans="12:21">
      <c r="L1507" s="15"/>
      <c r="M1507" s="15"/>
      <c r="N1507" s="15"/>
      <c r="T1507" s="15"/>
      <c r="U1507" s="15"/>
    </row>
    <row r="1508" spans="12:21">
      <c r="L1508" s="15"/>
      <c r="M1508" s="15"/>
      <c r="N1508" s="15"/>
      <c r="T1508" s="15"/>
      <c r="U1508" s="15"/>
    </row>
    <row r="1509" spans="12:21">
      <c r="L1509" s="15"/>
      <c r="M1509" s="15"/>
      <c r="N1509" s="15"/>
      <c r="T1509" s="15"/>
      <c r="U1509" s="15"/>
    </row>
    <row r="1510" spans="12:21">
      <c r="L1510" s="15"/>
      <c r="M1510" s="15"/>
      <c r="N1510" s="15"/>
      <c r="T1510" s="15"/>
      <c r="U1510" s="15"/>
    </row>
    <row r="1511" spans="12:21">
      <c r="L1511" s="15"/>
      <c r="M1511" s="15"/>
      <c r="N1511" s="15"/>
      <c r="T1511" s="15"/>
      <c r="U1511" s="15"/>
    </row>
    <row r="1512" spans="12:21">
      <c r="L1512" s="15"/>
      <c r="M1512" s="15"/>
      <c r="N1512" s="15"/>
      <c r="T1512" s="15"/>
      <c r="U1512" s="15"/>
    </row>
    <row r="1513" spans="12:21">
      <c r="L1513" s="15"/>
      <c r="M1513" s="15"/>
      <c r="N1513" s="15"/>
      <c r="T1513" s="15"/>
      <c r="U1513" s="15"/>
    </row>
    <row r="1514" spans="12:21">
      <c r="L1514" s="15"/>
      <c r="M1514" s="15"/>
      <c r="N1514" s="15"/>
      <c r="T1514" s="15"/>
      <c r="U1514" s="15"/>
    </row>
    <row r="1515" spans="12:21">
      <c r="L1515" s="15"/>
      <c r="M1515" s="15"/>
      <c r="N1515" s="15"/>
      <c r="T1515" s="15"/>
      <c r="U1515" s="15"/>
    </row>
    <row r="1516" spans="12:21">
      <c r="L1516" s="15"/>
      <c r="M1516" s="15"/>
      <c r="N1516" s="15"/>
      <c r="T1516" s="15"/>
      <c r="U1516" s="15"/>
    </row>
    <row r="1517" spans="12:21">
      <c r="L1517" s="15"/>
      <c r="M1517" s="15"/>
      <c r="N1517" s="15"/>
      <c r="T1517" s="15"/>
      <c r="U1517" s="15"/>
    </row>
    <row r="1518" spans="12:21">
      <c r="L1518" s="15"/>
      <c r="M1518" s="15"/>
      <c r="N1518" s="15"/>
      <c r="T1518" s="15"/>
      <c r="U1518" s="15"/>
    </row>
    <row r="1519" spans="12:21">
      <c r="L1519" s="15"/>
      <c r="M1519" s="15"/>
      <c r="N1519" s="15"/>
      <c r="T1519" s="15"/>
      <c r="U1519" s="15"/>
    </row>
    <row r="1520" spans="12:21">
      <c r="L1520" s="15"/>
      <c r="M1520" s="15"/>
      <c r="N1520" s="15"/>
      <c r="T1520" s="15"/>
      <c r="U1520" s="15"/>
    </row>
    <row r="1521" spans="12:21">
      <c r="L1521" s="15"/>
      <c r="M1521" s="15"/>
      <c r="N1521" s="15"/>
      <c r="T1521" s="15"/>
      <c r="U1521" s="15"/>
    </row>
    <row r="1522" spans="12:21">
      <c r="L1522" s="15"/>
      <c r="M1522" s="15"/>
      <c r="N1522" s="15"/>
      <c r="T1522" s="15"/>
      <c r="U1522" s="15"/>
    </row>
    <row r="1523" spans="12:21">
      <c r="L1523" s="15"/>
      <c r="M1523" s="15"/>
      <c r="N1523" s="15"/>
      <c r="T1523" s="15"/>
      <c r="U1523" s="15"/>
    </row>
    <row r="1524" spans="12:21">
      <c r="L1524" s="15"/>
      <c r="M1524" s="15"/>
      <c r="N1524" s="15"/>
      <c r="T1524" s="15"/>
      <c r="U1524" s="15"/>
    </row>
    <row r="1525" spans="12:21">
      <c r="L1525" s="15"/>
      <c r="M1525" s="15"/>
      <c r="N1525" s="15"/>
      <c r="T1525" s="15"/>
      <c r="U1525" s="15"/>
    </row>
    <row r="1526" spans="12:21">
      <c r="L1526" s="15"/>
      <c r="M1526" s="15"/>
      <c r="N1526" s="15"/>
      <c r="T1526" s="15"/>
      <c r="U1526" s="15"/>
    </row>
    <row r="1527" spans="12:21">
      <c r="L1527" s="15"/>
      <c r="M1527" s="15"/>
      <c r="N1527" s="15"/>
      <c r="T1527" s="15"/>
      <c r="U1527" s="15"/>
    </row>
    <row r="1528" spans="12:21">
      <c r="L1528" s="15"/>
      <c r="M1528" s="15"/>
      <c r="N1528" s="15"/>
      <c r="T1528" s="15"/>
      <c r="U1528" s="15"/>
    </row>
    <row r="1529" spans="12:21">
      <c r="L1529" s="15"/>
      <c r="M1529" s="15"/>
      <c r="N1529" s="15"/>
      <c r="T1529" s="15"/>
      <c r="U1529" s="15"/>
    </row>
    <row r="1530" spans="12:21">
      <c r="L1530" s="15"/>
      <c r="M1530" s="15"/>
      <c r="N1530" s="15"/>
      <c r="T1530" s="15"/>
      <c r="U1530" s="15"/>
    </row>
    <row r="1531" spans="12:21">
      <c r="L1531" s="15"/>
      <c r="M1531" s="15"/>
      <c r="N1531" s="15"/>
      <c r="T1531" s="15"/>
      <c r="U1531" s="15"/>
    </row>
    <row r="1532" spans="12:21">
      <c r="L1532" s="15"/>
      <c r="M1532" s="15"/>
      <c r="N1532" s="15"/>
      <c r="T1532" s="15"/>
      <c r="U1532" s="15"/>
    </row>
    <row r="1533" spans="12:21">
      <c r="L1533" s="15"/>
      <c r="M1533" s="15"/>
      <c r="N1533" s="15"/>
      <c r="T1533" s="15"/>
      <c r="U1533" s="15"/>
    </row>
    <row r="1534" spans="12:21">
      <c r="L1534" s="15"/>
      <c r="M1534" s="15"/>
      <c r="N1534" s="15"/>
      <c r="T1534" s="15"/>
      <c r="U1534" s="15"/>
    </row>
    <row r="1535" spans="12:21">
      <c r="L1535" s="15"/>
      <c r="M1535" s="15"/>
      <c r="N1535" s="15"/>
      <c r="T1535" s="15"/>
      <c r="U1535" s="15"/>
    </row>
    <row r="1536" spans="12:21">
      <c r="L1536" s="15"/>
      <c r="M1536" s="15"/>
      <c r="N1536" s="15"/>
      <c r="T1536" s="15"/>
      <c r="U1536" s="15"/>
    </row>
    <row r="1537" spans="12:21">
      <c r="L1537" s="15"/>
      <c r="M1537" s="15"/>
      <c r="N1537" s="15"/>
      <c r="T1537" s="15"/>
      <c r="U1537" s="15"/>
    </row>
    <row r="1538" spans="12:21">
      <c r="L1538" s="15"/>
      <c r="M1538" s="15"/>
      <c r="N1538" s="15"/>
      <c r="T1538" s="15"/>
      <c r="U1538" s="15"/>
    </row>
    <row r="1539" spans="12:21">
      <c r="L1539" s="15"/>
      <c r="M1539" s="15"/>
      <c r="N1539" s="15"/>
      <c r="T1539" s="15"/>
      <c r="U1539" s="15"/>
    </row>
    <row r="1540" spans="12:21">
      <c r="L1540" s="15"/>
      <c r="M1540" s="15"/>
      <c r="N1540" s="15"/>
      <c r="T1540" s="15"/>
      <c r="U1540" s="15"/>
    </row>
    <row r="1541" spans="12:21">
      <c r="L1541" s="15"/>
      <c r="M1541" s="15"/>
      <c r="N1541" s="15"/>
      <c r="T1541" s="15"/>
      <c r="U1541" s="15"/>
    </row>
    <row r="1542" spans="12:21">
      <c r="L1542" s="15"/>
      <c r="M1542" s="15"/>
      <c r="N1542" s="15"/>
      <c r="T1542" s="15"/>
      <c r="U1542" s="15"/>
    </row>
    <row r="1543" spans="12:21">
      <c r="L1543" s="15"/>
      <c r="M1543" s="15"/>
      <c r="N1543" s="15"/>
      <c r="T1543" s="15"/>
      <c r="U1543" s="15"/>
    </row>
    <row r="1544" spans="12:21">
      <c r="L1544" s="15"/>
      <c r="M1544" s="15"/>
      <c r="N1544" s="15"/>
      <c r="T1544" s="15"/>
      <c r="U1544" s="15"/>
    </row>
    <row r="1545" spans="12:21">
      <c r="L1545" s="15"/>
      <c r="M1545" s="15"/>
      <c r="N1545" s="15"/>
      <c r="T1545" s="15"/>
      <c r="U1545" s="15"/>
    </row>
    <row r="1546" spans="12:21">
      <c r="L1546" s="15"/>
      <c r="M1546" s="15"/>
      <c r="N1546" s="15"/>
      <c r="T1546" s="15"/>
      <c r="U1546" s="15"/>
    </row>
    <row r="1547" spans="12:21">
      <c r="L1547" s="15"/>
      <c r="M1547" s="15"/>
      <c r="N1547" s="15"/>
      <c r="T1547" s="15"/>
      <c r="U1547" s="15"/>
    </row>
    <row r="1548" spans="12:21">
      <c r="L1548" s="15"/>
      <c r="M1548" s="15"/>
      <c r="N1548" s="15"/>
      <c r="T1548" s="15"/>
      <c r="U1548" s="15"/>
    </row>
    <row r="1549" spans="12:21">
      <c r="L1549" s="15"/>
      <c r="M1549" s="15"/>
      <c r="N1549" s="15"/>
      <c r="T1549" s="15"/>
      <c r="U1549" s="15"/>
    </row>
    <row r="1550" spans="12:21">
      <c r="L1550" s="15"/>
      <c r="M1550" s="15"/>
      <c r="N1550" s="15"/>
      <c r="T1550" s="15"/>
      <c r="U1550" s="15"/>
    </row>
    <row r="1551" spans="12:21">
      <c r="L1551" s="15"/>
      <c r="M1551" s="15"/>
      <c r="N1551" s="15"/>
      <c r="T1551" s="15"/>
      <c r="U1551" s="15"/>
    </row>
    <row r="1552" spans="12:21">
      <c r="L1552" s="15"/>
      <c r="M1552" s="15"/>
      <c r="N1552" s="15"/>
      <c r="T1552" s="15"/>
      <c r="U1552" s="15"/>
    </row>
    <row r="1553" spans="12:21">
      <c r="L1553" s="15"/>
      <c r="M1553" s="15"/>
      <c r="N1553" s="15"/>
      <c r="T1553" s="15"/>
      <c r="U1553" s="15"/>
    </row>
    <row r="1554" spans="12:21">
      <c r="L1554" s="15"/>
      <c r="M1554" s="15"/>
      <c r="N1554" s="15"/>
      <c r="T1554" s="15"/>
      <c r="U1554" s="15"/>
    </row>
    <row r="1555" spans="12:21">
      <c r="L1555" s="15"/>
      <c r="M1555" s="15"/>
      <c r="N1555" s="15"/>
      <c r="T1555" s="15"/>
      <c r="U1555" s="15"/>
    </row>
    <row r="1556" spans="12:21">
      <c r="L1556" s="15"/>
      <c r="M1556" s="15"/>
      <c r="N1556" s="15"/>
      <c r="T1556" s="15"/>
      <c r="U1556" s="15"/>
    </row>
    <row r="1557" spans="12:21">
      <c r="L1557" s="15"/>
      <c r="M1557" s="15"/>
      <c r="N1557" s="15"/>
      <c r="T1557" s="15"/>
      <c r="U1557" s="15"/>
    </row>
    <row r="1558" spans="12:21">
      <c r="L1558" s="15"/>
      <c r="M1558" s="15"/>
      <c r="N1558" s="15"/>
      <c r="T1558" s="15"/>
      <c r="U1558" s="15"/>
    </row>
    <row r="1559" spans="12:21">
      <c r="L1559" s="15"/>
      <c r="M1559" s="15"/>
      <c r="N1559" s="15"/>
      <c r="T1559" s="15"/>
      <c r="U1559" s="15"/>
    </row>
    <row r="1560" spans="12:21">
      <c r="L1560" s="15"/>
      <c r="M1560" s="15"/>
      <c r="N1560" s="15"/>
      <c r="T1560" s="15"/>
      <c r="U1560" s="15"/>
    </row>
    <row r="1561" spans="12:21">
      <c r="L1561" s="15"/>
      <c r="M1561" s="15"/>
      <c r="N1561" s="15"/>
      <c r="T1561" s="15"/>
      <c r="U1561" s="15"/>
    </row>
    <row r="1562" spans="12:21">
      <c r="L1562" s="15"/>
      <c r="M1562" s="15"/>
      <c r="N1562" s="15"/>
      <c r="T1562" s="15"/>
      <c r="U1562" s="15"/>
    </row>
    <row r="1563" spans="12:21">
      <c r="L1563" s="15"/>
      <c r="M1563" s="15"/>
      <c r="N1563" s="15"/>
      <c r="T1563" s="15"/>
      <c r="U1563" s="15"/>
    </row>
    <row r="1564" spans="12:21">
      <c r="L1564" s="15"/>
      <c r="M1564" s="15"/>
      <c r="N1564" s="15"/>
      <c r="T1564" s="15"/>
      <c r="U1564" s="15"/>
    </row>
    <row r="1565" spans="12:21">
      <c r="L1565" s="15"/>
      <c r="M1565" s="15"/>
      <c r="N1565" s="15"/>
      <c r="T1565" s="15"/>
      <c r="U1565" s="15"/>
    </row>
    <row r="1566" spans="12:21">
      <c r="L1566" s="15"/>
      <c r="M1566" s="15"/>
      <c r="N1566" s="15"/>
      <c r="T1566" s="15"/>
      <c r="U1566" s="15"/>
    </row>
    <row r="1567" spans="12:21">
      <c r="L1567" s="15"/>
      <c r="M1567" s="15"/>
      <c r="N1567" s="15"/>
      <c r="T1567" s="15"/>
      <c r="U1567" s="15"/>
    </row>
    <row r="1568" spans="12:21">
      <c r="L1568" s="15"/>
      <c r="M1568" s="15"/>
      <c r="N1568" s="15"/>
      <c r="T1568" s="15"/>
      <c r="U1568" s="15"/>
    </row>
    <row r="1569" spans="12:21">
      <c r="L1569" s="15"/>
      <c r="M1569" s="15"/>
      <c r="N1569" s="15"/>
      <c r="T1569" s="15"/>
      <c r="U1569" s="15"/>
    </row>
    <row r="1570" spans="12:21">
      <c r="L1570" s="15"/>
      <c r="M1570" s="15"/>
      <c r="N1570" s="15"/>
      <c r="T1570" s="15"/>
      <c r="U1570" s="15"/>
    </row>
    <row r="1571" spans="12:21">
      <c r="L1571" s="15"/>
      <c r="M1571" s="15"/>
      <c r="N1571" s="15"/>
      <c r="T1571" s="15"/>
      <c r="U1571" s="15"/>
    </row>
    <row r="1572" spans="12:21">
      <c r="L1572" s="15"/>
      <c r="M1572" s="15"/>
      <c r="N1572" s="15"/>
      <c r="T1572" s="15"/>
      <c r="U1572" s="15"/>
    </row>
    <row r="1573" spans="12:21">
      <c r="L1573" s="15"/>
      <c r="M1573" s="15"/>
      <c r="N1573" s="15"/>
      <c r="T1573" s="15"/>
      <c r="U1573" s="15"/>
    </row>
    <row r="1574" spans="12:21">
      <c r="L1574" s="15"/>
      <c r="M1574" s="15"/>
      <c r="N1574" s="15"/>
      <c r="T1574" s="15"/>
      <c r="U1574" s="15"/>
    </row>
    <row r="1575" spans="12:21">
      <c r="L1575" s="15"/>
      <c r="M1575" s="15"/>
      <c r="N1575" s="15"/>
      <c r="T1575" s="15"/>
      <c r="U1575" s="15"/>
    </row>
    <row r="1576" spans="12:21">
      <c r="L1576" s="15"/>
      <c r="M1576" s="15"/>
      <c r="N1576" s="15"/>
      <c r="T1576" s="15"/>
      <c r="U1576" s="15"/>
    </row>
    <row r="1577" spans="12:21">
      <c r="L1577" s="15"/>
      <c r="M1577" s="15"/>
      <c r="N1577" s="15"/>
      <c r="T1577" s="15"/>
      <c r="U1577" s="15"/>
    </row>
    <row r="1578" spans="12:21">
      <c r="L1578" s="15"/>
      <c r="M1578" s="15"/>
      <c r="N1578" s="15"/>
      <c r="T1578" s="15"/>
      <c r="U1578" s="15"/>
    </row>
    <row r="1579" spans="12:21">
      <c r="L1579" s="15"/>
      <c r="M1579" s="15"/>
      <c r="N1579" s="15"/>
      <c r="T1579" s="15"/>
      <c r="U1579" s="15"/>
    </row>
    <row r="1580" spans="12:21">
      <c r="L1580" s="15"/>
      <c r="M1580" s="15"/>
      <c r="N1580" s="15"/>
      <c r="T1580" s="15"/>
      <c r="U1580" s="15"/>
    </row>
    <row r="1581" spans="12:21">
      <c r="L1581" s="15"/>
      <c r="M1581" s="15"/>
      <c r="N1581" s="15"/>
      <c r="T1581" s="15"/>
      <c r="U1581" s="15"/>
    </row>
    <row r="1582" spans="12:21">
      <c r="L1582" s="15"/>
      <c r="M1582" s="15"/>
      <c r="N1582" s="15"/>
      <c r="T1582" s="15"/>
      <c r="U1582" s="15"/>
    </row>
    <row r="1583" spans="12:21">
      <c r="L1583" s="15"/>
      <c r="M1583" s="15"/>
      <c r="N1583" s="15"/>
      <c r="T1583" s="15"/>
      <c r="U1583" s="15"/>
    </row>
    <row r="1584" spans="12:21">
      <c r="L1584" s="15"/>
      <c r="M1584" s="15"/>
      <c r="N1584" s="15"/>
      <c r="T1584" s="15"/>
      <c r="U1584" s="15"/>
    </row>
    <row r="1585" spans="12:21">
      <c r="L1585" s="15"/>
      <c r="M1585" s="15"/>
      <c r="N1585" s="15"/>
      <c r="T1585" s="15"/>
      <c r="U1585" s="15"/>
    </row>
    <row r="1586" spans="12:21">
      <c r="L1586" s="15"/>
      <c r="M1586" s="15"/>
      <c r="N1586" s="15"/>
      <c r="T1586" s="15"/>
      <c r="U1586" s="15"/>
    </row>
    <row r="1587" spans="12:21">
      <c r="L1587" s="15"/>
      <c r="M1587" s="15"/>
      <c r="N1587" s="15"/>
      <c r="T1587" s="15"/>
      <c r="U1587" s="15"/>
    </row>
    <row r="1588" spans="12:21">
      <c r="L1588" s="15"/>
      <c r="M1588" s="15"/>
      <c r="N1588" s="15"/>
      <c r="T1588" s="15"/>
      <c r="U1588" s="15"/>
    </row>
    <row r="1589" spans="12:21">
      <c r="L1589" s="15"/>
      <c r="M1589" s="15"/>
      <c r="N1589" s="15"/>
      <c r="T1589" s="15"/>
      <c r="U1589" s="15"/>
    </row>
    <row r="1590" spans="12:21">
      <c r="L1590" s="15"/>
      <c r="M1590" s="15"/>
      <c r="N1590" s="15"/>
      <c r="T1590" s="15"/>
      <c r="U1590" s="15"/>
    </row>
    <row r="1591" spans="12:21">
      <c r="L1591" s="15"/>
      <c r="M1591" s="15"/>
      <c r="N1591" s="15"/>
      <c r="T1591" s="15"/>
      <c r="U1591" s="15"/>
    </row>
    <row r="1592" spans="12:21">
      <c r="L1592" s="15"/>
      <c r="M1592" s="15"/>
      <c r="N1592" s="15"/>
      <c r="T1592" s="15"/>
      <c r="U1592" s="15"/>
    </row>
    <row r="1593" spans="12:21">
      <c r="L1593" s="15"/>
      <c r="M1593" s="15"/>
      <c r="N1593" s="15"/>
      <c r="T1593" s="15"/>
      <c r="U1593" s="15"/>
    </row>
    <row r="1594" spans="12:21">
      <c r="L1594" s="15"/>
      <c r="M1594" s="15"/>
      <c r="N1594" s="15"/>
      <c r="T1594" s="15"/>
      <c r="U1594" s="15"/>
    </row>
    <row r="1595" spans="12:21">
      <c r="L1595" s="15"/>
      <c r="M1595" s="15"/>
      <c r="N1595" s="15"/>
      <c r="T1595" s="15"/>
      <c r="U1595" s="15"/>
    </row>
    <row r="1596" spans="12:21">
      <c r="L1596" s="15"/>
      <c r="M1596" s="15"/>
      <c r="N1596" s="15"/>
      <c r="T1596" s="15"/>
      <c r="U1596" s="15"/>
    </row>
    <row r="1597" spans="12:21">
      <c r="L1597" s="15"/>
      <c r="M1597" s="15"/>
      <c r="N1597" s="15"/>
      <c r="T1597" s="15"/>
      <c r="U1597" s="15"/>
    </row>
    <row r="1598" spans="12:21">
      <c r="L1598" s="15"/>
      <c r="M1598" s="15"/>
      <c r="N1598" s="15"/>
      <c r="T1598" s="15"/>
      <c r="U1598" s="15"/>
    </row>
    <row r="1599" spans="12:21">
      <c r="L1599" s="15"/>
      <c r="M1599" s="15"/>
      <c r="N1599" s="15"/>
      <c r="T1599" s="15"/>
      <c r="U1599" s="15"/>
    </row>
    <row r="1600" spans="12:21">
      <c r="L1600" s="15"/>
      <c r="M1600" s="15"/>
      <c r="N1600" s="15"/>
      <c r="T1600" s="15"/>
      <c r="U1600" s="15"/>
    </row>
    <row r="1601" spans="12:21">
      <c r="L1601" s="15"/>
      <c r="M1601" s="15"/>
      <c r="N1601" s="15"/>
      <c r="T1601" s="15"/>
      <c r="U1601" s="15"/>
    </row>
    <row r="1602" spans="12:21">
      <c r="L1602" s="15"/>
      <c r="M1602" s="15"/>
      <c r="N1602" s="15"/>
      <c r="T1602" s="15"/>
      <c r="U1602" s="15"/>
    </row>
    <row r="1603" spans="12:21">
      <c r="L1603" s="15"/>
      <c r="M1603" s="15"/>
      <c r="N1603" s="15"/>
      <c r="T1603" s="15"/>
      <c r="U1603" s="15"/>
    </row>
    <row r="1604" spans="12:21">
      <c r="L1604" s="15"/>
      <c r="M1604" s="15"/>
      <c r="N1604" s="15"/>
      <c r="T1604" s="15"/>
      <c r="U1604" s="15"/>
    </row>
    <row r="1605" spans="12:21">
      <c r="L1605" s="15"/>
      <c r="M1605" s="15"/>
      <c r="N1605" s="15"/>
      <c r="T1605" s="15"/>
      <c r="U1605" s="15"/>
    </row>
    <row r="1606" spans="12:21">
      <c r="L1606" s="15"/>
      <c r="M1606" s="15"/>
      <c r="N1606" s="15"/>
      <c r="T1606" s="15"/>
      <c r="U1606" s="15"/>
    </row>
    <row r="1607" spans="12:21">
      <c r="L1607" s="15"/>
      <c r="M1607" s="15"/>
      <c r="N1607" s="15"/>
      <c r="T1607" s="15"/>
      <c r="U1607" s="15"/>
    </row>
    <row r="1608" spans="12:21">
      <c r="L1608" s="15"/>
      <c r="M1608" s="15"/>
      <c r="N1608" s="15"/>
      <c r="T1608" s="15"/>
      <c r="U1608" s="15"/>
    </row>
    <row r="1609" spans="12:21">
      <c r="L1609" s="15"/>
      <c r="M1609" s="15"/>
      <c r="N1609" s="15"/>
      <c r="T1609" s="15"/>
      <c r="U1609" s="15"/>
    </row>
    <row r="1610" spans="12:21">
      <c r="L1610" s="15"/>
      <c r="M1610" s="15"/>
      <c r="N1610" s="15"/>
      <c r="T1610" s="15"/>
      <c r="U1610" s="15"/>
    </row>
    <row r="1611" spans="12:21">
      <c r="L1611" s="15"/>
      <c r="M1611" s="15"/>
      <c r="N1611" s="15"/>
      <c r="T1611" s="15"/>
      <c r="U1611" s="15"/>
    </row>
    <row r="1612" spans="12:21">
      <c r="L1612" s="15"/>
      <c r="M1612" s="15"/>
      <c r="N1612" s="15"/>
      <c r="T1612" s="15"/>
      <c r="U1612" s="15"/>
    </row>
    <row r="1613" spans="12:21">
      <c r="L1613" s="15"/>
      <c r="M1613" s="15"/>
      <c r="N1613" s="15"/>
      <c r="T1613" s="15"/>
      <c r="U1613" s="15"/>
    </row>
    <row r="1614" spans="12:21">
      <c r="L1614" s="15"/>
      <c r="M1614" s="15"/>
      <c r="N1614" s="15"/>
      <c r="T1614" s="15"/>
      <c r="U1614" s="15"/>
    </row>
    <row r="1615" spans="12:21">
      <c r="L1615" s="15"/>
      <c r="M1615" s="15"/>
      <c r="N1615" s="15"/>
      <c r="T1615" s="15"/>
      <c r="U1615" s="15"/>
    </row>
    <row r="1616" spans="12:21">
      <c r="L1616" s="15"/>
      <c r="M1616" s="15"/>
      <c r="N1616" s="15"/>
      <c r="T1616" s="15"/>
      <c r="U1616" s="15"/>
    </row>
    <row r="1617" spans="12:21">
      <c r="L1617" s="15"/>
      <c r="M1617" s="15"/>
      <c r="N1617" s="15"/>
      <c r="T1617" s="15"/>
      <c r="U1617" s="15"/>
    </row>
    <row r="1618" spans="12:21">
      <c r="L1618" s="15"/>
      <c r="M1618" s="15"/>
      <c r="N1618" s="15"/>
      <c r="T1618" s="15"/>
      <c r="U1618" s="15"/>
    </row>
    <row r="1619" spans="12:21">
      <c r="L1619" s="15"/>
      <c r="M1619" s="15"/>
      <c r="N1619" s="15"/>
      <c r="T1619" s="15"/>
      <c r="U1619" s="15"/>
    </row>
    <row r="1620" spans="12:21">
      <c r="L1620" s="15"/>
      <c r="M1620" s="15"/>
      <c r="N1620" s="15"/>
      <c r="T1620" s="15"/>
      <c r="U1620" s="15"/>
    </row>
    <row r="1621" spans="12:21">
      <c r="L1621" s="15"/>
      <c r="M1621" s="15"/>
      <c r="N1621" s="15"/>
      <c r="T1621" s="15"/>
      <c r="U1621" s="15"/>
    </row>
    <row r="1622" spans="12:21">
      <c r="L1622" s="15"/>
      <c r="M1622" s="15"/>
      <c r="N1622" s="15"/>
      <c r="T1622" s="15"/>
      <c r="U1622" s="15"/>
    </row>
    <row r="1623" spans="12:21">
      <c r="L1623" s="15"/>
      <c r="M1623" s="15"/>
      <c r="N1623" s="15"/>
      <c r="T1623" s="15"/>
      <c r="U1623" s="15"/>
    </row>
    <row r="1624" spans="12:21">
      <c r="L1624" s="15"/>
      <c r="M1624" s="15"/>
      <c r="N1624" s="15"/>
      <c r="T1624" s="15"/>
      <c r="U1624" s="15"/>
    </row>
    <row r="1625" spans="12:21">
      <c r="L1625" s="15"/>
      <c r="M1625" s="15"/>
      <c r="N1625" s="15"/>
      <c r="T1625" s="15"/>
      <c r="U1625" s="15"/>
    </row>
    <row r="1626" spans="12:21">
      <c r="L1626" s="15"/>
      <c r="M1626" s="15"/>
      <c r="N1626" s="15"/>
      <c r="T1626" s="15"/>
      <c r="U1626" s="15"/>
    </row>
    <row r="1627" spans="12:21">
      <c r="L1627" s="15"/>
      <c r="M1627" s="15"/>
      <c r="N1627" s="15"/>
      <c r="T1627" s="15"/>
      <c r="U1627" s="15"/>
    </row>
    <row r="1628" spans="12:21">
      <c r="L1628" s="15"/>
      <c r="M1628" s="15"/>
      <c r="N1628" s="15"/>
      <c r="T1628" s="15"/>
      <c r="U1628" s="15"/>
    </row>
    <row r="1629" spans="12:21">
      <c r="L1629" s="15"/>
      <c r="M1629" s="15"/>
      <c r="N1629" s="15"/>
      <c r="T1629" s="15"/>
      <c r="U1629" s="15"/>
    </row>
    <row r="1630" spans="12:21">
      <c r="L1630" s="15"/>
      <c r="M1630" s="15"/>
      <c r="N1630" s="15"/>
      <c r="T1630" s="15"/>
      <c r="U1630" s="15"/>
    </row>
    <row r="1631" spans="12:21">
      <c r="L1631" s="15"/>
      <c r="M1631" s="15"/>
      <c r="N1631" s="15"/>
      <c r="T1631" s="15"/>
      <c r="U1631" s="15"/>
    </row>
    <row r="1632" spans="12:21">
      <c r="L1632" s="15"/>
      <c r="M1632" s="15"/>
      <c r="N1632" s="15"/>
      <c r="T1632" s="15"/>
      <c r="U1632" s="15"/>
    </row>
    <row r="1633" spans="12:21">
      <c r="L1633" s="15"/>
      <c r="M1633" s="15"/>
      <c r="N1633" s="15"/>
      <c r="T1633" s="15"/>
      <c r="U1633" s="15"/>
    </row>
    <row r="1634" spans="12:21">
      <c r="L1634" s="15"/>
      <c r="M1634" s="15"/>
      <c r="N1634" s="15"/>
      <c r="T1634" s="15"/>
      <c r="U1634" s="15"/>
    </row>
    <row r="1635" spans="12:21">
      <c r="L1635" s="15"/>
      <c r="M1635" s="15"/>
      <c r="N1635" s="15"/>
      <c r="T1635" s="15"/>
      <c r="U1635" s="15"/>
    </row>
    <row r="1636" spans="12:21">
      <c r="L1636" s="15"/>
      <c r="M1636" s="15"/>
      <c r="N1636" s="15"/>
      <c r="T1636" s="15"/>
      <c r="U1636" s="15"/>
    </row>
    <row r="1637" spans="12:21">
      <c r="L1637" s="15"/>
      <c r="M1637" s="15"/>
      <c r="N1637" s="15"/>
      <c r="T1637" s="15"/>
      <c r="U1637" s="15"/>
    </row>
    <row r="1638" spans="12:21">
      <c r="L1638" s="15"/>
      <c r="M1638" s="15"/>
      <c r="N1638" s="15"/>
      <c r="T1638" s="15"/>
      <c r="U1638" s="15"/>
    </row>
    <row r="1639" spans="12:21">
      <c r="L1639" s="15"/>
      <c r="M1639" s="15"/>
      <c r="N1639" s="15"/>
      <c r="T1639" s="15"/>
      <c r="U1639" s="15"/>
    </row>
    <row r="1640" spans="12:21">
      <c r="L1640" s="15"/>
      <c r="M1640" s="15"/>
      <c r="N1640" s="15"/>
      <c r="T1640" s="15"/>
      <c r="U1640" s="15"/>
    </row>
    <row r="1641" spans="12:21">
      <c r="L1641" s="15"/>
      <c r="M1641" s="15"/>
      <c r="N1641" s="15"/>
      <c r="T1641" s="15"/>
      <c r="U1641" s="15"/>
    </row>
    <row r="1642" spans="12:21">
      <c r="L1642" s="15"/>
      <c r="M1642" s="15"/>
      <c r="N1642" s="15"/>
      <c r="T1642" s="15"/>
      <c r="U1642" s="15"/>
    </row>
    <row r="1643" spans="12:21">
      <c r="L1643" s="15"/>
      <c r="M1643" s="15"/>
      <c r="N1643" s="15"/>
      <c r="T1643" s="15"/>
      <c r="U1643" s="15"/>
    </row>
    <row r="1644" spans="12:21">
      <c r="L1644" s="15"/>
      <c r="M1644" s="15"/>
      <c r="N1644" s="15"/>
      <c r="T1644" s="15"/>
      <c r="U1644" s="15"/>
    </row>
    <row r="1645" spans="12:21">
      <c r="L1645" s="15"/>
      <c r="M1645" s="15"/>
      <c r="N1645" s="15"/>
      <c r="T1645" s="15"/>
      <c r="U1645" s="15"/>
    </row>
    <row r="1646" spans="12:21">
      <c r="L1646" s="15"/>
      <c r="M1646" s="15"/>
      <c r="N1646" s="15"/>
      <c r="T1646" s="15"/>
      <c r="U1646" s="15"/>
    </row>
    <row r="1647" spans="12:21">
      <c r="L1647" s="15"/>
      <c r="M1647" s="15"/>
      <c r="N1647" s="15"/>
      <c r="T1647" s="15"/>
      <c r="U1647" s="15"/>
    </row>
    <row r="1648" spans="12:21">
      <c r="L1648" s="15"/>
      <c r="M1648" s="15"/>
      <c r="N1648" s="15"/>
      <c r="T1648" s="15"/>
      <c r="U1648" s="15"/>
    </row>
    <row r="1649" spans="12:21">
      <c r="L1649" s="15"/>
      <c r="M1649" s="15"/>
      <c r="N1649" s="15"/>
      <c r="T1649" s="15"/>
      <c r="U1649" s="15"/>
    </row>
    <row r="1650" spans="12:21">
      <c r="L1650" s="15"/>
      <c r="M1650" s="15"/>
      <c r="N1650" s="15"/>
      <c r="T1650" s="15"/>
      <c r="U1650" s="15"/>
    </row>
    <row r="1651" spans="12:21">
      <c r="L1651" s="15"/>
      <c r="M1651" s="15"/>
      <c r="N1651" s="15"/>
      <c r="T1651" s="15"/>
      <c r="U1651" s="15"/>
    </row>
    <row r="1652" spans="12:21">
      <c r="L1652" s="15"/>
      <c r="M1652" s="15"/>
      <c r="N1652" s="15"/>
      <c r="T1652" s="15"/>
      <c r="U1652" s="15"/>
    </row>
    <row r="1653" spans="12:21">
      <c r="L1653" s="15"/>
      <c r="M1653" s="15"/>
      <c r="N1653" s="15"/>
      <c r="T1653" s="15"/>
      <c r="U1653" s="15"/>
    </row>
    <row r="1654" spans="12:21">
      <c r="L1654" s="15"/>
      <c r="M1654" s="15"/>
      <c r="N1654" s="15"/>
      <c r="T1654" s="15"/>
      <c r="U1654" s="15"/>
    </row>
    <row r="1655" spans="12:21">
      <c r="L1655" s="15"/>
      <c r="M1655" s="15"/>
      <c r="N1655" s="15"/>
      <c r="T1655" s="15"/>
      <c r="U1655" s="15"/>
    </row>
    <row r="1656" spans="12:21">
      <c r="L1656" s="15"/>
      <c r="M1656" s="15"/>
      <c r="N1656" s="15"/>
      <c r="T1656" s="15"/>
      <c r="U1656" s="15"/>
    </row>
    <row r="1657" spans="12:21">
      <c r="L1657" s="15"/>
      <c r="M1657" s="15"/>
      <c r="N1657" s="15"/>
      <c r="T1657" s="15"/>
      <c r="U1657" s="15"/>
    </row>
    <row r="1658" spans="12:21">
      <c r="L1658" s="15"/>
      <c r="M1658" s="15"/>
      <c r="N1658" s="15"/>
      <c r="T1658" s="15"/>
      <c r="U1658" s="15"/>
    </row>
    <row r="1659" spans="12:21">
      <c r="L1659" s="15"/>
      <c r="M1659" s="15"/>
      <c r="N1659" s="15"/>
      <c r="T1659" s="15"/>
      <c r="U1659" s="15"/>
    </row>
    <row r="1660" spans="12:21">
      <c r="L1660" s="15"/>
      <c r="M1660" s="15"/>
      <c r="N1660" s="15"/>
      <c r="T1660" s="15"/>
      <c r="U1660" s="15"/>
    </row>
    <row r="1661" spans="12:21">
      <c r="L1661" s="15"/>
      <c r="M1661" s="15"/>
      <c r="N1661" s="15"/>
      <c r="T1661" s="15"/>
      <c r="U1661" s="15"/>
    </row>
    <row r="1662" spans="12:21">
      <c r="L1662" s="15"/>
      <c r="M1662" s="15"/>
      <c r="N1662" s="15"/>
      <c r="T1662" s="15"/>
      <c r="U1662" s="15"/>
    </row>
    <row r="1663" spans="12:21">
      <c r="L1663" s="15"/>
      <c r="M1663" s="15"/>
      <c r="N1663" s="15"/>
      <c r="T1663" s="15"/>
      <c r="U1663" s="15"/>
    </row>
    <row r="1664" spans="12:21">
      <c r="L1664" s="15"/>
      <c r="M1664" s="15"/>
      <c r="N1664" s="15"/>
      <c r="T1664" s="15"/>
      <c r="U1664" s="15"/>
    </row>
    <row r="1665" spans="12:21">
      <c r="L1665" s="15"/>
      <c r="M1665" s="15"/>
      <c r="N1665" s="15"/>
      <c r="T1665" s="15"/>
      <c r="U1665" s="15"/>
    </row>
    <row r="1666" spans="12:21">
      <c r="L1666" s="15"/>
      <c r="M1666" s="15"/>
      <c r="N1666" s="15"/>
      <c r="T1666" s="15"/>
      <c r="U1666" s="15"/>
    </row>
    <row r="1667" spans="12:21">
      <c r="L1667" s="15"/>
      <c r="M1667" s="15"/>
      <c r="N1667" s="15"/>
      <c r="T1667" s="15"/>
      <c r="U1667" s="15"/>
    </row>
    <row r="1668" spans="12:21">
      <c r="L1668" s="15"/>
      <c r="M1668" s="15"/>
      <c r="N1668" s="15"/>
      <c r="T1668" s="15"/>
      <c r="U1668" s="15"/>
    </row>
    <row r="1669" spans="12:21">
      <c r="L1669" s="15"/>
      <c r="M1669" s="15"/>
      <c r="N1669" s="15"/>
      <c r="T1669" s="15"/>
      <c r="U1669" s="15"/>
    </row>
    <row r="1670" spans="12:21">
      <c r="L1670" s="15"/>
      <c r="M1670" s="15"/>
      <c r="N1670" s="15"/>
      <c r="T1670" s="15"/>
      <c r="U1670" s="15"/>
    </row>
    <row r="1671" spans="12:21">
      <c r="L1671" s="15"/>
      <c r="M1671" s="15"/>
      <c r="N1671" s="15"/>
      <c r="T1671" s="15"/>
      <c r="U1671" s="15"/>
    </row>
    <row r="1672" spans="12:21">
      <c r="L1672" s="15"/>
      <c r="M1672" s="15"/>
      <c r="N1672" s="15"/>
      <c r="T1672" s="15"/>
      <c r="U1672" s="15"/>
    </row>
    <row r="1673" spans="12:21">
      <c r="L1673" s="15"/>
      <c r="M1673" s="15"/>
      <c r="N1673" s="15"/>
      <c r="T1673" s="15"/>
      <c r="U1673" s="15"/>
    </row>
    <row r="1674" spans="12:21">
      <c r="L1674" s="15"/>
      <c r="M1674" s="15"/>
      <c r="N1674" s="15"/>
      <c r="T1674" s="15"/>
      <c r="U1674" s="15"/>
    </row>
    <row r="1675" spans="12:21">
      <c r="L1675" s="15"/>
      <c r="M1675" s="15"/>
      <c r="N1675" s="15"/>
      <c r="T1675" s="15"/>
      <c r="U1675" s="15"/>
    </row>
    <row r="1676" spans="12:21">
      <c r="L1676" s="15"/>
      <c r="M1676" s="15"/>
      <c r="N1676" s="15"/>
      <c r="T1676" s="15"/>
      <c r="U1676" s="15"/>
    </row>
    <row r="1677" spans="12:21">
      <c r="L1677" s="15"/>
      <c r="M1677" s="15"/>
      <c r="N1677" s="15"/>
      <c r="T1677" s="15"/>
      <c r="U1677" s="15"/>
    </row>
    <row r="1678" spans="12:21">
      <c r="L1678" s="15"/>
      <c r="M1678" s="15"/>
      <c r="N1678" s="15"/>
      <c r="T1678" s="15"/>
      <c r="U1678" s="15"/>
    </row>
    <row r="1679" spans="12:21">
      <c r="L1679" s="15"/>
      <c r="M1679" s="15"/>
      <c r="N1679" s="15"/>
      <c r="T1679" s="15"/>
      <c r="U1679" s="15"/>
    </row>
    <row r="1680" spans="12:21">
      <c r="L1680" s="15"/>
      <c r="M1680" s="15"/>
      <c r="N1680" s="15"/>
      <c r="T1680" s="15"/>
      <c r="U1680" s="15"/>
    </row>
    <row r="1681" spans="12:21">
      <c r="L1681" s="15"/>
      <c r="M1681" s="15"/>
      <c r="N1681" s="15"/>
      <c r="T1681" s="15"/>
      <c r="U1681" s="15"/>
    </row>
    <row r="1682" spans="12:21">
      <c r="L1682" s="15"/>
      <c r="M1682" s="15"/>
      <c r="N1682" s="15"/>
      <c r="T1682" s="15"/>
      <c r="U1682" s="15"/>
    </row>
    <row r="1683" spans="12:21">
      <c r="L1683" s="15"/>
      <c r="M1683" s="15"/>
      <c r="N1683" s="15"/>
      <c r="T1683" s="15"/>
      <c r="U1683" s="15"/>
    </row>
    <row r="1684" spans="12:21">
      <c r="L1684" s="15"/>
      <c r="M1684" s="15"/>
      <c r="N1684" s="15"/>
      <c r="T1684" s="15"/>
      <c r="U1684" s="15"/>
    </row>
    <row r="1685" spans="12:21">
      <c r="L1685" s="15"/>
      <c r="M1685" s="15"/>
      <c r="N1685" s="15"/>
      <c r="T1685" s="15"/>
      <c r="U1685" s="15"/>
    </row>
    <row r="1686" spans="12:21">
      <c r="L1686" s="15"/>
      <c r="M1686" s="15"/>
      <c r="N1686" s="15"/>
      <c r="T1686" s="15"/>
      <c r="U1686" s="15"/>
    </row>
    <row r="1687" spans="12:21">
      <c r="L1687" s="15"/>
      <c r="M1687" s="15"/>
      <c r="N1687" s="15"/>
      <c r="T1687" s="15"/>
      <c r="U1687" s="15"/>
    </row>
    <row r="1688" spans="12:21">
      <c r="L1688" s="15"/>
      <c r="M1688" s="15"/>
      <c r="N1688" s="15"/>
      <c r="T1688" s="15"/>
      <c r="U1688" s="15"/>
    </row>
    <row r="1689" spans="12:21">
      <c r="L1689" s="15"/>
      <c r="M1689" s="15"/>
      <c r="N1689" s="15"/>
      <c r="T1689" s="15"/>
      <c r="U1689" s="15"/>
    </row>
    <row r="1690" spans="12:21">
      <c r="L1690" s="15"/>
      <c r="M1690" s="15"/>
      <c r="N1690" s="15"/>
      <c r="T1690" s="15"/>
      <c r="U1690" s="15"/>
    </row>
    <row r="1691" spans="12:21">
      <c r="L1691" s="15"/>
      <c r="M1691" s="15"/>
      <c r="N1691" s="15"/>
      <c r="T1691" s="15"/>
      <c r="U1691" s="15"/>
    </row>
    <row r="1692" spans="12:21">
      <c r="L1692" s="15"/>
      <c r="M1692" s="15"/>
      <c r="N1692" s="15"/>
      <c r="T1692" s="15"/>
      <c r="U1692" s="15"/>
    </row>
    <row r="1693" spans="12:21">
      <c r="L1693" s="15"/>
      <c r="M1693" s="15"/>
      <c r="N1693" s="15"/>
      <c r="T1693" s="15"/>
      <c r="U1693" s="15"/>
    </row>
    <row r="1694" spans="12:21">
      <c r="L1694" s="15"/>
      <c r="M1694" s="15"/>
      <c r="N1694" s="15"/>
      <c r="T1694" s="15"/>
      <c r="U1694" s="15"/>
    </row>
    <row r="1695" spans="12:21">
      <c r="L1695" s="15"/>
      <c r="M1695" s="15"/>
      <c r="N1695" s="15"/>
      <c r="T1695" s="15"/>
      <c r="U1695" s="15"/>
    </row>
    <row r="1696" spans="12:21">
      <c r="L1696" s="15"/>
      <c r="M1696" s="15"/>
      <c r="N1696" s="15"/>
      <c r="T1696" s="15"/>
      <c r="U1696" s="15"/>
    </row>
    <row r="1697" spans="12:21">
      <c r="L1697" s="15"/>
      <c r="M1697" s="15"/>
      <c r="N1697" s="15"/>
      <c r="T1697" s="15"/>
      <c r="U1697" s="15"/>
    </row>
    <row r="1698" spans="12:21">
      <c r="L1698" s="15"/>
      <c r="M1698" s="15"/>
      <c r="N1698" s="15"/>
      <c r="T1698" s="15"/>
      <c r="U1698" s="15"/>
    </row>
    <row r="1699" spans="12:21">
      <c r="L1699" s="15"/>
      <c r="M1699" s="15"/>
      <c r="N1699" s="15"/>
      <c r="T1699" s="15"/>
      <c r="U1699" s="15"/>
    </row>
    <row r="1700" spans="12:21">
      <c r="L1700" s="15"/>
      <c r="M1700" s="15"/>
      <c r="N1700" s="15"/>
      <c r="T1700" s="15"/>
      <c r="U1700" s="15"/>
    </row>
    <row r="1701" spans="12:21">
      <c r="L1701" s="15"/>
      <c r="M1701" s="15"/>
      <c r="N1701" s="15"/>
      <c r="T1701" s="15"/>
      <c r="U1701" s="15"/>
    </row>
    <row r="1702" spans="12:21">
      <c r="L1702" s="15"/>
      <c r="M1702" s="15"/>
      <c r="N1702" s="15"/>
      <c r="T1702" s="15"/>
      <c r="U1702" s="15"/>
    </row>
    <row r="1703" spans="12:21">
      <c r="L1703" s="15"/>
      <c r="M1703" s="15"/>
      <c r="N1703" s="15"/>
      <c r="T1703" s="15"/>
      <c r="U1703" s="15"/>
    </row>
    <row r="1704" spans="12:21">
      <c r="L1704" s="15"/>
      <c r="M1704" s="15"/>
      <c r="N1704" s="15"/>
      <c r="T1704" s="15"/>
      <c r="U1704" s="15"/>
    </row>
    <row r="1705" spans="12:21">
      <c r="L1705" s="15"/>
      <c r="M1705" s="15"/>
      <c r="N1705" s="15"/>
      <c r="T1705" s="15"/>
      <c r="U1705" s="15"/>
    </row>
    <row r="1706" spans="12:21">
      <c r="L1706" s="15"/>
      <c r="M1706" s="15"/>
      <c r="N1706" s="15"/>
      <c r="T1706" s="15"/>
      <c r="U1706" s="15"/>
    </row>
    <row r="1707" spans="12:21">
      <c r="L1707" s="15"/>
      <c r="M1707" s="15"/>
      <c r="N1707" s="15"/>
      <c r="T1707" s="15"/>
      <c r="U1707" s="15"/>
    </row>
    <row r="1708" spans="12:21">
      <c r="L1708" s="15"/>
      <c r="M1708" s="15"/>
      <c r="N1708" s="15"/>
      <c r="T1708" s="15"/>
      <c r="U1708" s="15"/>
    </row>
    <row r="1709" spans="12:21">
      <c r="L1709" s="15"/>
      <c r="M1709" s="15"/>
      <c r="N1709" s="15"/>
      <c r="T1709" s="15"/>
      <c r="U1709" s="15"/>
    </row>
    <row r="1710" spans="12:21">
      <c r="L1710" s="15"/>
      <c r="M1710" s="15"/>
      <c r="N1710" s="15"/>
      <c r="T1710" s="15"/>
      <c r="U1710" s="15"/>
    </row>
    <row r="1711" spans="12:21">
      <c r="L1711" s="15"/>
      <c r="M1711" s="15"/>
      <c r="N1711" s="15"/>
      <c r="T1711" s="15"/>
      <c r="U1711" s="15"/>
    </row>
    <row r="1712" spans="12:21">
      <c r="L1712" s="15"/>
      <c r="M1712" s="15"/>
      <c r="N1712" s="15"/>
      <c r="T1712" s="15"/>
      <c r="U1712" s="15"/>
    </row>
    <row r="1713" spans="12:21">
      <c r="L1713" s="15"/>
      <c r="M1713" s="15"/>
      <c r="N1713" s="15"/>
      <c r="T1713" s="15"/>
      <c r="U1713" s="15"/>
    </row>
    <row r="1714" spans="12:21">
      <c r="L1714" s="15"/>
      <c r="M1714" s="15"/>
      <c r="N1714" s="15"/>
      <c r="T1714" s="15"/>
      <c r="U1714" s="15"/>
    </row>
    <row r="1715" spans="12:21">
      <c r="L1715" s="15"/>
      <c r="M1715" s="15"/>
      <c r="N1715" s="15"/>
      <c r="T1715" s="15"/>
      <c r="U1715" s="15"/>
    </row>
    <row r="1716" spans="12:21">
      <c r="L1716" s="15"/>
      <c r="M1716" s="15"/>
      <c r="N1716" s="15"/>
      <c r="T1716" s="15"/>
      <c r="U1716" s="15"/>
    </row>
    <row r="1717" spans="12:21">
      <c r="L1717" s="15"/>
      <c r="M1717" s="15"/>
      <c r="N1717" s="15"/>
      <c r="T1717" s="15"/>
      <c r="U1717" s="15"/>
    </row>
    <row r="1718" spans="12:21">
      <c r="L1718" s="15"/>
      <c r="M1718" s="15"/>
      <c r="N1718" s="15"/>
      <c r="T1718" s="15"/>
      <c r="U1718" s="15"/>
    </row>
    <row r="1719" spans="12:21">
      <c r="L1719" s="15"/>
      <c r="M1719" s="15"/>
      <c r="N1719" s="15"/>
      <c r="T1719" s="15"/>
      <c r="U1719" s="15"/>
    </row>
    <row r="1720" spans="12:21">
      <c r="L1720" s="15"/>
      <c r="M1720" s="15"/>
      <c r="N1720" s="15"/>
      <c r="T1720" s="15"/>
      <c r="U1720" s="15"/>
    </row>
    <row r="1721" spans="12:21">
      <c r="L1721" s="15"/>
      <c r="M1721" s="15"/>
      <c r="N1721" s="15"/>
      <c r="T1721" s="15"/>
      <c r="U1721" s="15"/>
    </row>
    <row r="1722" spans="12:21">
      <c r="L1722" s="15"/>
      <c r="M1722" s="15"/>
      <c r="N1722" s="15"/>
      <c r="T1722" s="15"/>
      <c r="U1722" s="15"/>
    </row>
    <row r="1723" spans="12:21">
      <c r="L1723" s="15"/>
      <c r="M1723" s="15"/>
      <c r="N1723" s="15"/>
      <c r="T1723" s="15"/>
      <c r="U1723" s="15"/>
    </row>
    <row r="1724" spans="12:21">
      <c r="L1724" s="15"/>
      <c r="M1724" s="15"/>
      <c r="N1724" s="15"/>
      <c r="T1724" s="15"/>
      <c r="U1724" s="15"/>
    </row>
    <row r="1725" spans="12:21">
      <c r="L1725" s="15"/>
      <c r="M1725" s="15"/>
      <c r="N1725" s="15"/>
      <c r="T1725" s="15"/>
      <c r="U1725" s="15"/>
    </row>
    <row r="1726" spans="12:21">
      <c r="L1726" s="15"/>
      <c r="M1726" s="15"/>
      <c r="N1726" s="15"/>
      <c r="T1726" s="15"/>
      <c r="U1726" s="15"/>
    </row>
    <row r="1727" spans="12:21">
      <c r="L1727" s="15"/>
      <c r="M1727" s="15"/>
      <c r="N1727" s="15"/>
      <c r="T1727" s="15"/>
      <c r="U1727" s="15"/>
    </row>
    <row r="1728" spans="12:21">
      <c r="L1728" s="15"/>
      <c r="M1728" s="15"/>
      <c r="N1728" s="15"/>
      <c r="T1728" s="15"/>
      <c r="U1728" s="15"/>
    </row>
    <row r="1729" spans="12:21">
      <c r="L1729" s="15"/>
      <c r="M1729" s="15"/>
      <c r="N1729" s="15"/>
      <c r="T1729" s="15"/>
      <c r="U1729" s="15"/>
    </row>
    <row r="1730" spans="12:21">
      <c r="L1730" s="15"/>
      <c r="M1730" s="15"/>
      <c r="N1730" s="15"/>
      <c r="T1730" s="15"/>
      <c r="U1730" s="15"/>
    </row>
    <row r="1731" spans="12:21">
      <c r="L1731" s="15"/>
      <c r="M1731" s="15"/>
      <c r="N1731" s="15"/>
      <c r="T1731" s="15"/>
      <c r="U1731" s="15"/>
    </row>
    <row r="1732" spans="12:21">
      <c r="L1732" s="15"/>
      <c r="M1732" s="15"/>
      <c r="N1732" s="15"/>
      <c r="T1732" s="15"/>
      <c r="U1732" s="15"/>
    </row>
    <row r="1733" spans="12:21">
      <c r="L1733" s="15"/>
      <c r="M1733" s="15"/>
      <c r="N1733" s="15"/>
      <c r="T1733" s="15"/>
      <c r="U1733" s="15"/>
    </row>
    <row r="1734" spans="12:21">
      <c r="L1734" s="15"/>
      <c r="M1734" s="15"/>
      <c r="N1734" s="15"/>
      <c r="T1734" s="15"/>
      <c r="U1734" s="15"/>
    </row>
    <row r="1735" spans="12:21">
      <c r="L1735" s="15"/>
      <c r="M1735" s="15"/>
      <c r="N1735" s="15"/>
      <c r="T1735" s="15"/>
      <c r="U1735" s="15"/>
    </row>
    <row r="1736" spans="12:21">
      <c r="L1736" s="15"/>
      <c r="M1736" s="15"/>
      <c r="N1736" s="15"/>
      <c r="T1736" s="15"/>
      <c r="U1736" s="15"/>
    </row>
    <row r="1737" spans="12:21">
      <c r="L1737" s="15"/>
      <c r="M1737" s="15"/>
      <c r="N1737" s="15"/>
      <c r="T1737" s="15"/>
      <c r="U1737" s="15"/>
    </row>
    <row r="1738" spans="12:21">
      <c r="L1738" s="15"/>
      <c r="M1738" s="15"/>
      <c r="N1738" s="15"/>
      <c r="T1738" s="15"/>
      <c r="U1738" s="15"/>
    </row>
    <row r="1739" spans="12:21">
      <c r="L1739" s="15"/>
      <c r="M1739" s="15"/>
      <c r="N1739" s="15"/>
      <c r="T1739" s="15"/>
      <c r="U1739" s="15"/>
    </row>
    <row r="1740" spans="12:21">
      <c r="L1740" s="15"/>
      <c r="M1740" s="15"/>
      <c r="N1740" s="15"/>
      <c r="T1740" s="15"/>
      <c r="U1740" s="15"/>
    </row>
    <row r="1741" spans="12:21">
      <c r="L1741" s="15"/>
      <c r="M1741" s="15"/>
      <c r="N1741" s="15"/>
      <c r="T1741" s="15"/>
      <c r="U1741" s="15"/>
    </row>
    <row r="1742" spans="12:21">
      <c r="L1742" s="15"/>
      <c r="M1742" s="15"/>
      <c r="N1742" s="15"/>
      <c r="T1742" s="15"/>
      <c r="U1742" s="15"/>
    </row>
    <row r="1743" spans="12:21">
      <c r="L1743" s="15"/>
      <c r="M1743" s="15"/>
      <c r="N1743" s="15"/>
      <c r="T1743" s="15"/>
      <c r="U1743" s="15"/>
    </row>
    <row r="1744" spans="12:21">
      <c r="L1744" s="15"/>
      <c r="M1744" s="15"/>
      <c r="N1744" s="15"/>
      <c r="T1744" s="15"/>
      <c r="U1744" s="15"/>
    </row>
    <row r="1745" spans="12:21">
      <c r="L1745" s="15"/>
      <c r="M1745" s="15"/>
      <c r="N1745" s="15"/>
      <c r="T1745" s="15"/>
      <c r="U1745" s="15"/>
    </row>
    <row r="1746" spans="12:21">
      <c r="L1746" s="15"/>
      <c r="M1746" s="15"/>
      <c r="N1746" s="15"/>
      <c r="T1746" s="15"/>
      <c r="U1746" s="15"/>
    </row>
    <row r="1747" spans="12:21">
      <c r="L1747" s="15"/>
      <c r="M1747" s="15"/>
      <c r="N1747" s="15"/>
      <c r="T1747" s="15"/>
      <c r="U1747" s="15"/>
    </row>
    <row r="1748" spans="12:21">
      <c r="L1748" s="15"/>
      <c r="M1748" s="15"/>
      <c r="N1748" s="15"/>
      <c r="T1748" s="15"/>
      <c r="U1748" s="15"/>
    </row>
    <row r="1749" spans="12:21">
      <c r="L1749" s="15"/>
      <c r="M1749" s="15"/>
      <c r="N1749" s="15"/>
      <c r="T1749" s="15"/>
      <c r="U1749" s="15"/>
    </row>
    <row r="1750" spans="12:21">
      <c r="L1750" s="15"/>
      <c r="M1750" s="15"/>
      <c r="N1750" s="15"/>
      <c r="T1750" s="15"/>
      <c r="U1750" s="15"/>
    </row>
    <row r="1751" spans="12:21">
      <c r="L1751" s="15"/>
      <c r="M1751" s="15"/>
      <c r="N1751" s="15"/>
      <c r="T1751" s="15"/>
      <c r="U1751" s="15"/>
    </row>
    <row r="1752" spans="12:21">
      <c r="L1752" s="15"/>
      <c r="M1752" s="15"/>
      <c r="N1752" s="15"/>
      <c r="T1752" s="15"/>
      <c r="U1752" s="15"/>
    </row>
    <row r="1753" spans="12:21">
      <c r="L1753" s="15"/>
      <c r="M1753" s="15"/>
      <c r="N1753" s="15"/>
      <c r="T1753" s="15"/>
      <c r="U1753" s="15"/>
    </row>
    <row r="1754" spans="12:21">
      <c r="L1754" s="15"/>
      <c r="M1754" s="15"/>
      <c r="N1754" s="15"/>
      <c r="T1754" s="15"/>
      <c r="U1754" s="15"/>
    </row>
    <row r="1755" spans="12:21">
      <c r="L1755" s="15"/>
      <c r="M1755" s="15"/>
      <c r="N1755" s="15"/>
      <c r="T1755" s="15"/>
      <c r="U1755" s="15"/>
    </row>
    <row r="1756" spans="12:21">
      <c r="L1756" s="15"/>
      <c r="M1756" s="15"/>
      <c r="N1756" s="15"/>
      <c r="T1756" s="15"/>
      <c r="U1756" s="15"/>
    </row>
    <row r="1757" spans="12:21">
      <c r="L1757" s="15"/>
      <c r="M1757" s="15"/>
      <c r="N1757" s="15"/>
      <c r="T1757" s="15"/>
      <c r="U1757" s="15"/>
    </row>
    <row r="1758" spans="12:21">
      <c r="L1758" s="15"/>
      <c r="M1758" s="15"/>
      <c r="N1758" s="15"/>
      <c r="T1758" s="15"/>
      <c r="U1758" s="15"/>
    </row>
    <row r="1759" spans="12:21">
      <c r="L1759" s="15"/>
      <c r="M1759" s="15"/>
      <c r="N1759" s="15"/>
      <c r="T1759" s="15"/>
      <c r="U1759" s="15"/>
    </row>
    <row r="1760" spans="12:21">
      <c r="L1760" s="15"/>
      <c r="M1760" s="15"/>
      <c r="N1760" s="15"/>
      <c r="T1760" s="15"/>
      <c r="U1760" s="15"/>
    </row>
    <row r="1761" spans="12:21">
      <c r="L1761" s="15"/>
      <c r="M1761" s="15"/>
      <c r="N1761" s="15"/>
      <c r="T1761" s="15"/>
      <c r="U1761" s="15"/>
    </row>
    <row r="1762" spans="12:21">
      <c r="L1762" s="15"/>
      <c r="M1762" s="15"/>
      <c r="N1762" s="15"/>
      <c r="T1762" s="15"/>
      <c r="U1762" s="15"/>
    </row>
    <row r="1763" spans="12:21">
      <c r="L1763" s="15"/>
      <c r="M1763" s="15"/>
      <c r="N1763" s="15"/>
      <c r="T1763" s="15"/>
      <c r="U1763" s="15"/>
    </row>
    <row r="1764" spans="12:21">
      <c r="L1764" s="15"/>
      <c r="M1764" s="15"/>
      <c r="N1764" s="15"/>
      <c r="T1764" s="15"/>
      <c r="U1764" s="15"/>
    </row>
    <row r="1765" spans="12:21">
      <c r="L1765" s="15"/>
      <c r="M1765" s="15"/>
      <c r="N1765" s="15"/>
      <c r="T1765" s="15"/>
      <c r="U1765" s="15"/>
    </row>
    <row r="1766" spans="12:21">
      <c r="L1766" s="15"/>
      <c r="M1766" s="15"/>
      <c r="N1766" s="15"/>
      <c r="T1766" s="15"/>
      <c r="U1766" s="15"/>
    </row>
    <row r="1767" spans="12:21">
      <c r="L1767" s="15"/>
      <c r="M1767" s="15"/>
      <c r="N1767" s="15"/>
      <c r="T1767" s="15"/>
      <c r="U1767" s="15"/>
    </row>
    <row r="1768" spans="12:21">
      <c r="L1768" s="15"/>
      <c r="M1768" s="15"/>
      <c r="N1768" s="15"/>
      <c r="T1768" s="15"/>
      <c r="U1768" s="15"/>
    </row>
    <row r="1769" spans="12:21">
      <c r="L1769" s="15"/>
      <c r="M1769" s="15"/>
      <c r="N1769" s="15"/>
      <c r="T1769" s="15"/>
      <c r="U1769" s="15"/>
    </row>
    <row r="1770" spans="12:21">
      <c r="L1770" s="15"/>
      <c r="M1770" s="15"/>
      <c r="N1770" s="15"/>
      <c r="T1770" s="15"/>
      <c r="U1770" s="15"/>
    </row>
    <row r="1771" spans="12:21">
      <c r="L1771" s="15"/>
      <c r="M1771" s="15"/>
      <c r="N1771" s="15"/>
      <c r="T1771" s="15"/>
      <c r="U1771" s="15"/>
    </row>
    <row r="1772" spans="12:21">
      <c r="L1772" s="15"/>
      <c r="M1772" s="15"/>
      <c r="N1772" s="15"/>
      <c r="T1772" s="15"/>
      <c r="U1772" s="15"/>
    </row>
    <row r="1773" spans="12:21">
      <c r="L1773" s="15"/>
      <c r="M1773" s="15"/>
      <c r="N1773" s="15"/>
      <c r="T1773" s="15"/>
      <c r="U1773" s="15"/>
    </row>
    <row r="1774" spans="12:21">
      <c r="L1774" s="15"/>
      <c r="M1774" s="15"/>
      <c r="N1774" s="15"/>
      <c r="T1774" s="15"/>
      <c r="U1774" s="15"/>
    </row>
    <row r="1775" spans="12:21">
      <c r="L1775" s="15"/>
      <c r="M1775" s="15"/>
      <c r="N1775" s="15"/>
      <c r="T1775" s="15"/>
      <c r="U1775" s="15"/>
    </row>
    <row r="1776" spans="12:21">
      <c r="L1776" s="15"/>
      <c r="M1776" s="15"/>
      <c r="N1776" s="15"/>
      <c r="T1776" s="15"/>
      <c r="U1776" s="15"/>
    </row>
    <row r="1777" spans="12:21">
      <c r="L1777" s="15"/>
      <c r="M1777" s="15"/>
      <c r="N1777" s="15"/>
      <c r="T1777" s="15"/>
      <c r="U1777" s="15"/>
    </row>
    <row r="1778" spans="12:21">
      <c r="L1778" s="15"/>
      <c r="M1778" s="15"/>
      <c r="N1778" s="15"/>
      <c r="T1778" s="15"/>
      <c r="U1778" s="15"/>
    </row>
    <row r="1779" spans="12:21">
      <c r="L1779" s="15"/>
      <c r="M1779" s="15"/>
      <c r="N1779" s="15"/>
      <c r="T1779" s="15"/>
      <c r="U1779" s="15"/>
    </row>
    <row r="1780" spans="12:21">
      <c r="L1780" s="15"/>
      <c r="M1780" s="15"/>
      <c r="N1780" s="15"/>
      <c r="T1780" s="15"/>
      <c r="U1780" s="15"/>
    </row>
    <row r="1781" spans="12:21">
      <c r="L1781" s="15"/>
      <c r="M1781" s="15"/>
      <c r="N1781" s="15"/>
      <c r="T1781" s="15"/>
      <c r="U1781" s="15"/>
    </row>
    <row r="1782" spans="12:21">
      <c r="L1782" s="15"/>
      <c r="M1782" s="15"/>
      <c r="N1782" s="15"/>
      <c r="T1782" s="15"/>
      <c r="U1782" s="15"/>
    </row>
    <row r="1783" spans="12:21">
      <c r="L1783" s="15"/>
      <c r="M1783" s="15"/>
      <c r="N1783" s="15"/>
      <c r="T1783" s="15"/>
      <c r="U1783" s="15"/>
    </row>
    <row r="1784" spans="12:21">
      <c r="L1784" s="15"/>
      <c r="M1784" s="15"/>
      <c r="N1784" s="15"/>
      <c r="T1784" s="15"/>
      <c r="U1784" s="15"/>
    </row>
    <row r="1785" spans="12:21">
      <c r="L1785" s="15"/>
      <c r="M1785" s="15"/>
      <c r="N1785" s="15"/>
      <c r="T1785" s="15"/>
      <c r="U1785" s="15"/>
    </row>
    <row r="1786" spans="12:21">
      <c r="L1786" s="15"/>
      <c r="M1786" s="15"/>
      <c r="N1786" s="15"/>
      <c r="T1786" s="15"/>
      <c r="U1786" s="15"/>
    </row>
    <row r="1787" spans="12:21">
      <c r="L1787" s="15"/>
      <c r="M1787" s="15"/>
      <c r="N1787" s="15"/>
      <c r="T1787" s="15"/>
      <c r="U1787" s="15"/>
    </row>
    <row r="1788" spans="12:21">
      <c r="L1788" s="15"/>
      <c r="M1788" s="15"/>
      <c r="N1788" s="15"/>
      <c r="T1788" s="15"/>
      <c r="U1788" s="15"/>
    </row>
    <row r="1789" spans="12:21">
      <c r="L1789" s="15"/>
      <c r="M1789" s="15"/>
      <c r="N1789" s="15"/>
      <c r="T1789" s="15"/>
      <c r="U1789" s="15"/>
    </row>
    <row r="1790" spans="12:21">
      <c r="L1790" s="15"/>
      <c r="M1790" s="15"/>
      <c r="N1790" s="15"/>
      <c r="T1790" s="15"/>
      <c r="U1790" s="15"/>
    </row>
    <row r="1791" spans="12:21">
      <c r="L1791" s="15"/>
      <c r="M1791" s="15"/>
      <c r="N1791" s="15"/>
      <c r="T1791" s="15"/>
      <c r="U1791" s="15"/>
    </row>
    <row r="1792" spans="12:21">
      <c r="L1792" s="15"/>
      <c r="M1792" s="15"/>
      <c r="N1792" s="15"/>
      <c r="T1792" s="15"/>
      <c r="U1792" s="15"/>
    </row>
    <row r="1793" spans="12:21">
      <c r="L1793" s="15"/>
      <c r="M1793" s="15"/>
      <c r="N1793" s="15"/>
      <c r="T1793" s="15"/>
      <c r="U1793" s="15"/>
    </row>
    <row r="1794" spans="12:21">
      <c r="L1794" s="15"/>
      <c r="M1794" s="15"/>
      <c r="N1794" s="15"/>
      <c r="T1794" s="15"/>
      <c r="U1794" s="15"/>
    </row>
    <row r="1795" spans="12:21">
      <c r="L1795" s="15"/>
      <c r="M1795" s="15"/>
      <c r="N1795" s="15"/>
      <c r="T1795" s="15"/>
      <c r="U1795" s="15"/>
    </row>
    <row r="1796" spans="12:21">
      <c r="L1796" s="15"/>
      <c r="M1796" s="15"/>
      <c r="N1796" s="15"/>
      <c r="T1796" s="15"/>
      <c r="U1796" s="15"/>
    </row>
    <row r="1797" spans="12:21">
      <c r="L1797" s="15"/>
      <c r="M1797" s="15"/>
      <c r="N1797" s="15"/>
      <c r="T1797" s="15"/>
      <c r="U1797" s="15"/>
    </row>
    <row r="1798" spans="12:21">
      <c r="L1798" s="15"/>
      <c r="M1798" s="15"/>
      <c r="N1798" s="15"/>
      <c r="T1798" s="15"/>
      <c r="U1798" s="15"/>
    </row>
    <row r="1799" spans="12:21">
      <c r="L1799" s="15"/>
      <c r="M1799" s="15"/>
      <c r="N1799" s="15"/>
      <c r="T1799" s="15"/>
      <c r="U1799" s="15"/>
    </row>
    <row r="1800" spans="12:21">
      <c r="L1800" s="15"/>
      <c r="M1800" s="15"/>
      <c r="N1800" s="15"/>
      <c r="T1800" s="15"/>
      <c r="U1800" s="15"/>
    </row>
    <row r="1801" spans="12:21">
      <c r="L1801" s="15"/>
      <c r="M1801" s="15"/>
      <c r="N1801" s="15"/>
      <c r="T1801" s="15"/>
      <c r="U1801" s="15"/>
    </row>
    <row r="1802" spans="12:21">
      <c r="L1802" s="15"/>
      <c r="M1802" s="15"/>
      <c r="N1802" s="15"/>
      <c r="T1802" s="15"/>
      <c r="U1802" s="15"/>
    </row>
    <row r="1803" spans="12:21">
      <c r="L1803" s="15"/>
      <c r="M1803" s="15"/>
      <c r="N1803" s="15"/>
      <c r="T1803" s="15"/>
      <c r="U1803" s="15"/>
    </row>
    <row r="1804" spans="12:21">
      <c r="L1804" s="15"/>
      <c r="M1804" s="15"/>
      <c r="N1804" s="15"/>
      <c r="T1804" s="15"/>
      <c r="U1804" s="15"/>
    </row>
    <row r="1805" spans="12:21">
      <c r="L1805" s="15"/>
      <c r="M1805" s="15"/>
      <c r="N1805" s="15"/>
      <c r="T1805" s="15"/>
      <c r="U1805" s="15"/>
    </row>
    <row r="1806" spans="12:21">
      <c r="L1806" s="15"/>
      <c r="M1806" s="15"/>
      <c r="N1806" s="15"/>
      <c r="T1806" s="15"/>
      <c r="U1806" s="15"/>
    </row>
    <row r="1807" spans="12:21">
      <c r="L1807" s="15"/>
      <c r="M1807" s="15"/>
      <c r="N1807" s="15"/>
      <c r="T1807" s="15"/>
      <c r="U1807" s="15"/>
    </row>
    <row r="1808" spans="12:21">
      <c r="L1808" s="15"/>
      <c r="M1808" s="15"/>
      <c r="N1808" s="15"/>
      <c r="T1808" s="15"/>
      <c r="U1808" s="15"/>
    </row>
    <row r="1809" spans="12:21">
      <c r="L1809" s="15"/>
      <c r="M1809" s="15"/>
      <c r="N1809" s="15"/>
      <c r="T1809" s="15"/>
      <c r="U1809" s="15"/>
    </row>
    <row r="1810" spans="12:21">
      <c r="L1810" s="15"/>
      <c r="M1810" s="15"/>
      <c r="N1810" s="15"/>
      <c r="T1810" s="15"/>
      <c r="U1810" s="15"/>
    </row>
    <row r="1811" spans="12:21">
      <c r="L1811" s="15"/>
      <c r="M1811" s="15"/>
      <c r="N1811" s="15"/>
      <c r="T1811" s="15"/>
      <c r="U1811" s="15"/>
    </row>
    <row r="1812" spans="12:21">
      <c r="L1812" s="15"/>
      <c r="M1812" s="15"/>
      <c r="N1812" s="15"/>
      <c r="T1812" s="15"/>
      <c r="U1812" s="15"/>
    </row>
    <row r="1813" spans="12:21">
      <c r="L1813" s="15"/>
      <c r="M1813" s="15"/>
      <c r="N1813" s="15"/>
      <c r="T1813" s="15"/>
      <c r="U1813" s="15"/>
    </row>
    <row r="1814" spans="12:21">
      <c r="L1814" s="15"/>
      <c r="M1814" s="15"/>
      <c r="N1814" s="15"/>
      <c r="T1814" s="15"/>
      <c r="U1814" s="15"/>
    </row>
    <row r="1815" spans="12:21">
      <c r="L1815" s="15"/>
      <c r="M1815" s="15"/>
      <c r="N1815" s="15"/>
      <c r="T1815" s="15"/>
      <c r="U1815" s="15"/>
    </row>
    <row r="1816" spans="12:21">
      <c r="L1816" s="15"/>
      <c r="M1816" s="15"/>
      <c r="N1816" s="15"/>
      <c r="T1816" s="15"/>
      <c r="U1816" s="15"/>
    </row>
    <row r="1817" spans="12:21">
      <c r="L1817" s="15"/>
      <c r="M1817" s="15"/>
      <c r="N1817" s="15"/>
      <c r="T1817" s="15"/>
      <c r="U1817" s="15"/>
    </row>
    <row r="1818" spans="12:21">
      <c r="L1818" s="15"/>
      <c r="M1818" s="15"/>
      <c r="N1818" s="15"/>
      <c r="T1818" s="15"/>
      <c r="U1818" s="15"/>
    </row>
    <row r="1819" spans="12:21">
      <c r="L1819" s="15"/>
      <c r="M1819" s="15"/>
      <c r="N1819" s="15"/>
      <c r="T1819" s="15"/>
      <c r="U1819" s="15"/>
    </row>
    <row r="1820" spans="12:21">
      <c r="L1820" s="15"/>
      <c r="M1820" s="15"/>
      <c r="N1820" s="15"/>
      <c r="T1820" s="15"/>
      <c r="U1820" s="15"/>
    </row>
    <row r="1821" spans="12:21">
      <c r="L1821" s="15"/>
      <c r="M1821" s="15"/>
      <c r="N1821" s="15"/>
      <c r="T1821" s="15"/>
      <c r="U1821" s="15"/>
    </row>
    <row r="1822" spans="12:21">
      <c r="L1822" s="15"/>
      <c r="M1822" s="15"/>
      <c r="N1822" s="15"/>
      <c r="T1822" s="15"/>
      <c r="U1822" s="15"/>
    </row>
    <row r="1823" spans="12:21">
      <c r="L1823" s="15"/>
      <c r="M1823" s="15"/>
      <c r="N1823" s="15"/>
      <c r="T1823" s="15"/>
      <c r="U1823" s="15"/>
    </row>
    <row r="1824" spans="12:21">
      <c r="L1824" s="15"/>
      <c r="M1824" s="15"/>
      <c r="N1824" s="15"/>
      <c r="T1824" s="15"/>
      <c r="U1824" s="15"/>
    </row>
    <row r="1825" spans="12:21">
      <c r="L1825" s="15"/>
      <c r="M1825" s="15"/>
      <c r="N1825" s="15"/>
      <c r="T1825" s="15"/>
      <c r="U1825" s="15"/>
    </row>
    <row r="1826" spans="12:21">
      <c r="L1826" s="15"/>
      <c r="M1826" s="15"/>
      <c r="N1826" s="15"/>
      <c r="T1826" s="15"/>
      <c r="U1826" s="15"/>
    </row>
    <row r="1827" spans="12:21">
      <c r="L1827" s="15"/>
      <c r="M1827" s="15"/>
      <c r="N1827" s="15"/>
      <c r="T1827" s="15"/>
      <c r="U1827" s="15"/>
    </row>
    <row r="1828" spans="12:21">
      <c r="L1828" s="15"/>
      <c r="M1828" s="15"/>
      <c r="N1828" s="15"/>
      <c r="T1828" s="15"/>
      <c r="U1828" s="15"/>
    </row>
    <row r="1829" spans="12:21">
      <c r="L1829" s="15"/>
      <c r="M1829" s="15"/>
      <c r="N1829" s="15"/>
      <c r="T1829" s="15"/>
      <c r="U1829" s="15"/>
    </row>
    <row r="1830" spans="12:21">
      <c r="L1830" s="15"/>
      <c r="M1830" s="15"/>
      <c r="N1830" s="15"/>
      <c r="T1830" s="15"/>
      <c r="U1830" s="15"/>
    </row>
    <row r="1831" spans="12:21">
      <c r="L1831" s="15"/>
      <c r="M1831" s="15"/>
      <c r="N1831" s="15"/>
      <c r="T1831" s="15"/>
      <c r="U1831" s="15"/>
    </row>
    <row r="1832" spans="12:21">
      <c r="L1832" s="15"/>
      <c r="M1832" s="15"/>
      <c r="N1832" s="15"/>
      <c r="T1832" s="15"/>
      <c r="U1832" s="15"/>
    </row>
    <row r="1833" spans="12:21">
      <c r="L1833" s="15"/>
      <c r="M1833" s="15"/>
      <c r="N1833" s="15"/>
      <c r="T1833" s="15"/>
      <c r="U1833" s="15"/>
    </row>
    <row r="1834" spans="12:21">
      <c r="L1834" s="15"/>
      <c r="M1834" s="15"/>
      <c r="N1834" s="15"/>
      <c r="T1834" s="15"/>
      <c r="U1834" s="15"/>
    </row>
    <row r="1835" spans="12:21">
      <c r="L1835" s="15"/>
      <c r="M1835" s="15"/>
      <c r="N1835" s="15"/>
      <c r="T1835" s="15"/>
      <c r="U1835" s="15"/>
    </row>
    <row r="1836" spans="12:21">
      <c r="L1836" s="15"/>
      <c r="M1836" s="15"/>
      <c r="N1836" s="15"/>
      <c r="T1836" s="15"/>
      <c r="U1836" s="15"/>
    </row>
    <row r="1837" spans="12:21">
      <c r="L1837" s="15"/>
      <c r="M1837" s="15"/>
      <c r="N1837" s="15"/>
      <c r="T1837" s="15"/>
      <c r="U1837" s="15"/>
    </row>
    <row r="1838" spans="12:21">
      <c r="L1838" s="15"/>
      <c r="M1838" s="15"/>
      <c r="N1838" s="15"/>
      <c r="T1838" s="15"/>
      <c r="U1838" s="15"/>
    </row>
    <row r="1839" spans="12:21">
      <c r="L1839" s="15"/>
      <c r="M1839" s="15"/>
      <c r="N1839" s="15"/>
      <c r="T1839" s="15"/>
      <c r="U1839" s="15"/>
    </row>
    <row r="1840" spans="12:21">
      <c r="L1840" s="15"/>
      <c r="M1840" s="15"/>
      <c r="N1840" s="15"/>
      <c r="T1840" s="15"/>
      <c r="U1840" s="15"/>
    </row>
    <row r="1841" spans="12:21">
      <c r="L1841" s="15"/>
      <c r="M1841" s="15"/>
      <c r="N1841" s="15"/>
      <c r="T1841" s="15"/>
      <c r="U1841" s="15"/>
    </row>
    <row r="1842" spans="12:21">
      <c r="L1842" s="15"/>
      <c r="M1842" s="15"/>
      <c r="N1842" s="15"/>
      <c r="T1842" s="15"/>
      <c r="U1842" s="15"/>
    </row>
    <row r="1843" spans="12:21">
      <c r="L1843" s="15"/>
      <c r="M1843" s="15"/>
      <c r="N1843" s="15"/>
      <c r="T1843" s="15"/>
      <c r="U1843" s="15"/>
    </row>
    <row r="1844" spans="12:21">
      <c r="L1844" s="15"/>
      <c r="M1844" s="15"/>
      <c r="N1844" s="15"/>
      <c r="T1844" s="15"/>
      <c r="U1844" s="15"/>
    </row>
    <row r="1845" spans="12:21">
      <c r="L1845" s="15"/>
      <c r="M1845" s="15"/>
      <c r="N1845" s="15"/>
      <c r="T1845" s="15"/>
      <c r="U1845" s="15"/>
    </row>
    <row r="1846" spans="12:21">
      <c r="L1846" s="15"/>
      <c r="M1846" s="15"/>
      <c r="N1846" s="15"/>
      <c r="T1846" s="15"/>
      <c r="U1846" s="15"/>
    </row>
    <row r="1847" spans="12:21">
      <c r="L1847" s="15"/>
      <c r="M1847" s="15"/>
      <c r="N1847" s="15"/>
      <c r="T1847" s="15"/>
      <c r="U1847" s="15"/>
    </row>
    <row r="1848" spans="12:21">
      <c r="L1848" s="15"/>
      <c r="M1848" s="15"/>
      <c r="N1848" s="15"/>
      <c r="T1848" s="15"/>
      <c r="U1848" s="15"/>
    </row>
    <row r="1849" spans="12:21">
      <c r="L1849" s="15"/>
      <c r="M1849" s="15"/>
      <c r="N1849" s="15"/>
      <c r="T1849" s="15"/>
      <c r="U1849" s="15"/>
    </row>
    <row r="1850" spans="12:21">
      <c r="L1850" s="15"/>
      <c r="M1850" s="15"/>
      <c r="N1850" s="15"/>
      <c r="T1850" s="15"/>
      <c r="U1850" s="15"/>
    </row>
    <row r="1851" spans="12:21">
      <c r="L1851" s="15"/>
      <c r="M1851" s="15"/>
      <c r="N1851" s="15"/>
      <c r="T1851" s="15"/>
      <c r="U1851" s="15"/>
    </row>
    <row r="1852" spans="12:21">
      <c r="L1852" s="15"/>
      <c r="M1852" s="15"/>
      <c r="N1852" s="15"/>
      <c r="T1852" s="15"/>
      <c r="U1852" s="15"/>
    </row>
    <row r="1853" spans="12:21">
      <c r="L1853" s="15"/>
      <c r="M1853" s="15"/>
      <c r="N1853" s="15"/>
      <c r="T1853" s="15"/>
      <c r="U1853" s="15"/>
    </row>
    <row r="1854" spans="12:21">
      <c r="L1854" s="15"/>
      <c r="M1854" s="15"/>
      <c r="N1854" s="15"/>
      <c r="T1854" s="15"/>
      <c r="U1854" s="15"/>
    </row>
    <row r="1855" spans="12:21">
      <c r="L1855" s="15"/>
      <c r="M1855" s="15"/>
      <c r="N1855" s="15"/>
      <c r="T1855" s="15"/>
      <c r="U1855" s="15"/>
    </row>
    <row r="1856" spans="12:21">
      <c r="L1856" s="15"/>
      <c r="M1856" s="15"/>
      <c r="N1856" s="15"/>
      <c r="T1856" s="15"/>
      <c r="U1856" s="15"/>
    </row>
    <row r="1857" spans="12:21">
      <c r="L1857" s="15"/>
      <c r="M1857" s="15"/>
      <c r="N1857" s="15"/>
      <c r="T1857" s="15"/>
      <c r="U1857" s="15"/>
    </row>
    <row r="1858" spans="12:21">
      <c r="L1858" s="15"/>
      <c r="M1858" s="15"/>
      <c r="N1858" s="15"/>
      <c r="T1858" s="15"/>
      <c r="U1858" s="15"/>
    </row>
    <row r="1859" spans="12:21">
      <c r="L1859" s="15"/>
      <c r="M1859" s="15"/>
      <c r="N1859" s="15"/>
      <c r="T1859" s="15"/>
      <c r="U1859" s="15"/>
    </row>
    <row r="1860" spans="12:21">
      <c r="L1860" s="15"/>
      <c r="M1860" s="15"/>
      <c r="N1860" s="15"/>
      <c r="T1860" s="15"/>
      <c r="U1860" s="15"/>
    </row>
    <row r="1861" spans="12:21">
      <c r="L1861" s="15"/>
      <c r="M1861" s="15"/>
      <c r="N1861" s="15"/>
      <c r="T1861" s="15"/>
      <c r="U1861" s="15"/>
    </row>
    <row r="1862" spans="12:21">
      <c r="L1862" s="15"/>
      <c r="M1862" s="15"/>
      <c r="N1862" s="15"/>
      <c r="T1862" s="15"/>
      <c r="U1862" s="15"/>
    </row>
    <row r="1863" spans="12:21">
      <c r="L1863" s="15"/>
      <c r="M1863" s="15"/>
      <c r="N1863" s="15"/>
      <c r="T1863" s="15"/>
      <c r="U1863" s="15"/>
    </row>
    <row r="1864" spans="12:21">
      <c r="L1864" s="15"/>
      <c r="M1864" s="15"/>
      <c r="N1864" s="15"/>
      <c r="T1864" s="15"/>
      <c r="U1864" s="15"/>
    </row>
    <row r="1865" spans="12:21">
      <c r="L1865" s="15"/>
      <c r="M1865" s="15"/>
      <c r="N1865" s="15"/>
      <c r="T1865" s="15"/>
      <c r="U1865" s="15"/>
    </row>
    <row r="1866" spans="12:21">
      <c r="L1866" s="15"/>
      <c r="M1866" s="15"/>
      <c r="N1866" s="15"/>
      <c r="T1866" s="15"/>
      <c r="U1866" s="15"/>
    </row>
    <row r="1867" spans="12:21">
      <c r="L1867" s="15"/>
      <c r="M1867" s="15"/>
      <c r="N1867" s="15"/>
      <c r="T1867" s="15"/>
      <c r="U1867" s="15"/>
    </row>
    <row r="1868" spans="12:21">
      <c r="L1868" s="15"/>
      <c r="M1868" s="15"/>
      <c r="N1868" s="15"/>
      <c r="T1868" s="15"/>
      <c r="U1868" s="15"/>
    </row>
    <row r="1869" spans="12:21">
      <c r="L1869" s="15"/>
      <c r="M1869" s="15"/>
      <c r="N1869" s="15"/>
      <c r="T1869" s="15"/>
      <c r="U1869" s="15"/>
    </row>
    <row r="1870" spans="12:21">
      <c r="L1870" s="15"/>
      <c r="M1870" s="15"/>
      <c r="N1870" s="15"/>
      <c r="T1870" s="15"/>
      <c r="U1870" s="15"/>
    </row>
    <row r="1871" spans="12:21">
      <c r="L1871" s="15"/>
      <c r="M1871" s="15"/>
      <c r="N1871" s="15"/>
      <c r="T1871" s="15"/>
      <c r="U1871" s="15"/>
    </row>
    <row r="1872" spans="12:21">
      <c r="L1872" s="15"/>
      <c r="M1872" s="15"/>
      <c r="N1872" s="15"/>
      <c r="T1872" s="15"/>
      <c r="U1872" s="15"/>
    </row>
    <row r="1873" spans="12:21">
      <c r="L1873" s="15"/>
      <c r="M1873" s="15"/>
      <c r="N1873" s="15"/>
      <c r="T1873" s="15"/>
      <c r="U1873" s="15"/>
    </row>
    <row r="1874" spans="12:21">
      <c r="L1874" s="15"/>
      <c r="M1874" s="15"/>
      <c r="N1874" s="15"/>
      <c r="T1874" s="15"/>
      <c r="U1874" s="15"/>
    </row>
    <row r="1875" spans="12:21">
      <c r="L1875" s="15"/>
      <c r="M1875" s="15"/>
      <c r="N1875" s="15"/>
      <c r="T1875" s="15"/>
      <c r="U1875" s="15"/>
    </row>
    <row r="1876" spans="12:21">
      <c r="L1876" s="15"/>
      <c r="M1876" s="15"/>
      <c r="N1876" s="15"/>
      <c r="T1876" s="15"/>
      <c r="U1876" s="15"/>
    </row>
    <row r="1877" spans="12:21">
      <c r="L1877" s="15"/>
      <c r="M1877" s="15"/>
      <c r="N1877" s="15"/>
      <c r="T1877" s="15"/>
      <c r="U1877" s="15"/>
    </row>
    <row r="1878" spans="12:21">
      <c r="L1878" s="15"/>
      <c r="M1878" s="15"/>
      <c r="N1878" s="15"/>
      <c r="T1878" s="15"/>
      <c r="U1878" s="15"/>
    </row>
    <row r="1879" spans="12:21">
      <c r="L1879" s="15"/>
      <c r="M1879" s="15"/>
      <c r="N1879" s="15"/>
      <c r="T1879" s="15"/>
      <c r="U1879" s="15"/>
    </row>
    <row r="1880" spans="12:21">
      <c r="L1880" s="15"/>
      <c r="M1880" s="15"/>
      <c r="N1880" s="15"/>
      <c r="T1880" s="15"/>
      <c r="U1880" s="15"/>
    </row>
    <row r="1881" spans="12:21">
      <c r="L1881" s="15"/>
      <c r="M1881" s="15"/>
      <c r="N1881" s="15"/>
      <c r="T1881" s="15"/>
      <c r="U1881" s="15"/>
    </row>
    <row r="1882" spans="12:21">
      <c r="L1882" s="15"/>
      <c r="M1882" s="15"/>
      <c r="N1882" s="15"/>
      <c r="T1882" s="15"/>
      <c r="U1882" s="15"/>
    </row>
    <row r="1883" spans="12:21">
      <c r="L1883" s="15"/>
      <c r="M1883" s="15"/>
      <c r="N1883" s="15"/>
      <c r="T1883" s="15"/>
      <c r="U1883" s="15"/>
    </row>
    <row r="1884" spans="12:21">
      <c r="L1884" s="15"/>
      <c r="M1884" s="15"/>
      <c r="N1884" s="15"/>
      <c r="T1884" s="15"/>
      <c r="U1884" s="15"/>
    </row>
    <row r="1885" spans="12:21">
      <c r="L1885" s="15"/>
      <c r="M1885" s="15"/>
      <c r="N1885" s="15"/>
      <c r="T1885" s="15"/>
      <c r="U1885" s="15"/>
    </row>
    <row r="1886" spans="12:21">
      <c r="L1886" s="15"/>
      <c r="M1886" s="15"/>
      <c r="N1886" s="15"/>
      <c r="T1886" s="15"/>
      <c r="U1886" s="15"/>
    </row>
    <row r="1887" spans="12:21">
      <c r="L1887" s="15"/>
      <c r="M1887" s="15"/>
      <c r="N1887" s="15"/>
      <c r="T1887" s="15"/>
      <c r="U1887" s="15"/>
    </row>
    <row r="1888" spans="12:21">
      <c r="L1888" s="15"/>
      <c r="M1888" s="15"/>
      <c r="N1888" s="15"/>
      <c r="T1888" s="15"/>
      <c r="U1888" s="15"/>
    </row>
    <row r="1889" spans="12:21">
      <c r="L1889" s="15"/>
      <c r="M1889" s="15"/>
      <c r="N1889" s="15"/>
      <c r="T1889" s="15"/>
      <c r="U1889" s="15"/>
    </row>
    <row r="1890" spans="12:21">
      <c r="L1890" s="15"/>
      <c r="M1890" s="15"/>
      <c r="N1890" s="15"/>
      <c r="T1890" s="15"/>
      <c r="U1890" s="15"/>
    </row>
    <row r="1891" spans="12:21">
      <c r="N1891" s="15"/>
    </row>
  </sheetData>
  <mergeCells count="73">
    <mergeCell ref="A208:A252"/>
    <mergeCell ref="A330:A346"/>
    <mergeCell ref="A347:A408"/>
    <mergeCell ref="B486:C500"/>
    <mergeCell ref="B501:C515"/>
    <mergeCell ref="A409:A470"/>
    <mergeCell ref="B426:C440"/>
    <mergeCell ref="B441:C455"/>
    <mergeCell ref="B456:C470"/>
    <mergeCell ref="B471:C485"/>
    <mergeCell ref="A471:A515"/>
    <mergeCell ref="B238:C252"/>
    <mergeCell ref="B330:C346"/>
    <mergeCell ref="A253:A329"/>
    <mergeCell ref="B253:C269"/>
    <mergeCell ref="B270:B299"/>
    <mergeCell ref="V1:W1"/>
    <mergeCell ref="C6:W6"/>
    <mergeCell ref="C7:W7"/>
    <mergeCell ref="C8:W8"/>
    <mergeCell ref="D9:U9"/>
    <mergeCell ref="W13:W14"/>
    <mergeCell ref="A15:W15"/>
    <mergeCell ref="A16:C18"/>
    <mergeCell ref="A19:C21"/>
    <mergeCell ref="A22:A207"/>
    <mergeCell ref="C88:C102"/>
    <mergeCell ref="C133:C147"/>
    <mergeCell ref="A13:C14"/>
    <mergeCell ref="D13:D14"/>
    <mergeCell ref="E13:E14"/>
    <mergeCell ref="F13:U13"/>
    <mergeCell ref="V13:V14"/>
    <mergeCell ref="C73:C87"/>
    <mergeCell ref="C103:C117"/>
    <mergeCell ref="B163:C177"/>
    <mergeCell ref="B178:C192"/>
    <mergeCell ref="B193:C207"/>
    <mergeCell ref="B208:C222"/>
    <mergeCell ref="B223:C237"/>
    <mergeCell ref="C118:C132"/>
    <mergeCell ref="C148:C162"/>
    <mergeCell ref="B22:C38"/>
    <mergeCell ref="B39:C55"/>
    <mergeCell ref="B56:C72"/>
    <mergeCell ref="B73:B117"/>
    <mergeCell ref="B118:B162"/>
    <mergeCell ref="C285:C299"/>
    <mergeCell ref="B300:B329"/>
    <mergeCell ref="C315:C329"/>
    <mergeCell ref="C270:C284"/>
    <mergeCell ref="C300:C314"/>
    <mergeCell ref="B347:C363"/>
    <mergeCell ref="B364:C378"/>
    <mergeCell ref="B379:C393"/>
    <mergeCell ref="B394:C408"/>
    <mergeCell ref="B409:C425"/>
    <mergeCell ref="B719:C733"/>
    <mergeCell ref="B734:C748"/>
    <mergeCell ref="A516:A748"/>
    <mergeCell ref="B704:C718"/>
    <mergeCell ref="B567:C581"/>
    <mergeCell ref="B597:C611"/>
    <mergeCell ref="B627:C643"/>
    <mergeCell ref="B644:C658"/>
    <mergeCell ref="B674:C688"/>
    <mergeCell ref="B582:C596"/>
    <mergeCell ref="B612:C626"/>
    <mergeCell ref="B659:C673"/>
    <mergeCell ref="B689:C703"/>
    <mergeCell ref="B516:C532"/>
    <mergeCell ref="B533:C549"/>
    <mergeCell ref="B550:C566"/>
  </mergeCells>
  <pageMargins left="0.19685039370078741" right="0.19685039370078741" top="0.31496062992125984" bottom="0.19685039370078741" header="0.19685039370078741" footer="0.19685039370078741"/>
  <pageSetup paperSize="9" scale="32" fitToHeight="2" orientation="portrait" r:id="rId1"/>
  <rowBreaks count="2" manualBreakCount="2">
    <brk id="363" max="22" man="1"/>
    <brk id="611" max="2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C000"/>
  </sheetPr>
  <dimension ref="A1:AB1906"/>
  <sheetViews>
    <sheetView view="pageBreakPreview" zoomScale="70" zoomScaleNormal="70" zoomScaleSheetLayoutView="70" workbookViewId="0">
      <pane xSplit="5" ySplit="15" topLeftCell="H16" activePane="bottomRight" state="frozen"/>
      <selection activeCell="K525" sqref="K525"/>
      <selection pane="topRight" activeCell="K525" sqref="K525"/>
      <selection pane="bottomLeft" activeCell="K525" sqref="K525"/>
      <selection pane="bottomRight" activeCell="S607" sqref="S607"/>
    </sheetView>
  </sheetViews>
  <sheetFormatPr defaultColWidth="9.33203125" defaultRowHeight="12.55"/>
  <cols>
    <col min="1" max="1" width="10.44140625" style="249" customWidth="1"/>
    <col min="2" max="2" width="6.44140625" style="249" customWidth="1"/>
    <col min="3" max="3" width="7" style="155" customWidth="1"/>
    <col min="4" max="4" width="33.5546875" style="155" customWidth="1"/>
    <col min="5" max="5" width="14" style="1" customWidth="1"/>
    <col min="6" max="6" width="12.44140625" style="15" customWidth="1"/>
    <col min="7" max="8" width="11.44140625" style="15" customWidth="1"/>
    <col min="9" max="9" width="12.88671875" style="15" customWidth="1"/>
    <col min="10" max="11" width="11.44140625" style="15" customWidth="1"/>
    <col min="12" max="12" width="12" style="16" customWidth="1"/>
    <col min="13" max="13" width="11.44140625" style="16" customWidth="1"/>
    <col min="14" max="14" width="12.33203125" style="17" customWidth="1"/>
    <col min="15" max="15" width="11.44140625" style="15" customWidth="1"/>
    <col min="16" max="16" width="12.21875" style="15" customWidth="1"/>
    <col min="17" max="17" width="11.44140625" style="15" customWidth="1"/>
    <col min="18" max="18" width="13" style="15" customWidth="1"/>
    <col min="19" max="19" width="13.5546875" style="15" customWidth="1"/>
    <col min="20" max="20" width="13.44140625" style="16" customWidth="1"/>
    <col min="21" max="21" width="13.5546875" style="16" customWidth="1"/>
    <col min="22" max="22" width="14.6640625" style="78" customWidth="1"/>
    <col min="23" max="23" width="13.44140625" style="15" customWidth="1"/>
    <col min="24" max="24" width="13.44140625" style="13" customWidth="1"/>
    <col min="25" max="25" width="12" style="13" bestFit="1" customWidth="1"/>
    <col min="26" max="27" width="15.109375" style="13" customWidth="1"/>
    <col min="28" max="16384" width="9.33203125" style="13"/>
  </cols>
  <sheetData>
    <row r="1" spans="1:27" s="3" customFormat="1" ht="30.7" customHeight="1">
      <c r="A1" s="543" t="s">
        <v>51</v>
      </c>
      <c r="B1" s="155"/>
      <c r="C1" s="155"/>
      <c r="D1" s="155"/>
      <c r="E1" s="493" t="s">
        <v>131</v>
      </c>
      <c r="F1" s="472">
        <v>14000</v>
      </c>
      <c r="G1" s="472">
        <v>778496</v>
      </c>
      <c r="H1" s="472">
        <v>932421</v>
      </c>
      <c r="I1" s="472">
        <v>604847</v>
      </c>
      <c r="J1" s="472">
        <v>211632</v>
      </c>
      <c r="K1" s="472">
        <v>74642</v>
      </c>
      <c r="L1" s="472"/>
      <c r="M1" s="472"/>
      <c r="N1" s="472">
        <v>150345</v>
      </c>
      <c r="O1" s="472">
        <v>160732</v>
      </c>
      <c r="P1" s="472">
        <v>270811</v>
      </c>
      <c r="Q1" s="472">
        <v>341880</v>
      </c>
      <c r="R1" s="472">
        <v>375885</v>
      </c>
      <c r="S1" s="472">
        <v>1952663</v>
      </c>
      <c r="T1" s="472">
        <v>5868354</v>
      </c>
      <c r="U1" s="329">
        <v>5868354</v>
      </c>
      <c r="V1" s="681" t="s">
        <v>3</v>
      </c>
      <c r="W1" s="681"/>
      <c r="Y1" s="311"/>
      <c r="Z1" s="310"/>
      <c r="AA1" s="312"/>
    </row>
    <row r="2" spans="1:27" s="3" customFormat="1" ht="17.7" customHeight="1">
      <c r="A2" s="155"/>
      <c r="B2" s="155"/>
      <c r="C2" s="39"/>
      <c r="D2" s="159"/>
      <c r="E2" s="385"/>
      <c r="F2" s="476">
        <f>F1/1000</f>
        <v>14</v>
      </c>
      <c r="G2" s="476">
        <f t="shared" ref="G2:K2" si="0">G1/1000</f>
        <v>778.49599999999998</v>
      </c>
      <c r="H2" s="476">
        <f t="shared" si="0"/>
        <v>932.42100000000005</v>
      </c>
      <c r="I2" s="476">
        <f t="shared" si="0"/>
        <v>604.84699999999998</v>
      </c>
      <c r="J2" s="476">
        <f t="shared" si="0"/>
        <v>211.63200000000001</v>
      </c>
      <c r="K2" s="476">
        <f t="shared" si="0"/>
        <v>74.641999999999996</v>
      </c>
      <c r="L2" s="476"/>
      <c r="M2" s="476"/>
      <c r="N2" s="476">
        <f>N1/1000</f>
        <v>150.345</v>
      </c>
      <c r="O2" s="476">
        <f t="shared" ref="O2:S2" si="1">O1/1000</f>
        <v>160.732</v>
      </c>
      <c r="P2" s="476">
        <f t="shared" si="1"/>
        <v>270.81099999999998</v>
      </c>
      <c r="Q2" s="476">
        <f t="shared" si="1"/>
        <v>341.88</v>
      </c>
      <c r="R2" s="476">
        <f t="shared" si="1"/>
        <v>375.88499999999999</v>
      </c>
      <c r="S2" s="476">
        <f t="shared" si="1"/>
        <v>1952.663</v>
      </c>
      <c r="T2" s="479">
        <f>SUM(F2:S2)</f>
        <v>5868.3540000000003</v>
      </c>
      <c r="U2" s="329">
        <f>U1/1000</f>
        <v>5868.3540000000003</v>
      </c>
      <c r="V2" s="515"/>
      <c r="W2" s="515"/>
      <c r="Y2" s="163"/>
      <c r="Z2" s="293"/>
      <c r="AA2" s="270"/>
    </row>
    <row r="3" spans="1:27" s="3" customFormat="1" ht="17.7" customHeight="1">
      <c r="A3" s="155"/>
      <c r="B3" s="155"/>
      <c r="C3" s="39"/>
      <c r="D3" s="159"/>
      <c r="E3" s="385"/>
      <c r="F3" s="477">
        <f>F2-F17-F18</f>
        <v>0</v>
      </c>
      <c r="G3" s="477">
        <f t="shared" ref="G3:K3" si="2">G2-G17-G18</f>
        <v>0</v>
      </c>
      <c r="H3" s="477">
        <f t="shared" si="2"/>
        <v>0</v>
      </c>
      <c r="I3" s="477">
        <f t="shared" si="2"/>
        <v>0</v>
      </c>
      <c r="J3" s="477">
        <f t="shared" si="2"/>
        <v>0</v>
      </c>
      <c r="K3" s="477">
        <f t="shared" si="2"/>
        <v>0</v>
      </c>
      <c r="L3" s="477"/>
      <c r="M3" s="477"/>
      <c r="N3" s="477">
        <f>N2-N17-N18</f>
        <v>0</v>
      </c>
      <c r="O3" s="477">
        <f t="shared" ref="O3" si="3">O2-O17-O18</f>
        <v>0</v>
      </c>
      <c r="P3" s="477">
        <f t="shared" ref="P3" si="4">P2-P17-P18</f>
        <v>0</v>
      </c>
      <c r="Q3" s="477">
        <f t="shared" ref="Q3" si="5">Q2-Q17-Q18</f>
        <v>0</v>
      </c>
      <c r="R3" s="477">
        <f t="shared" ref="R3" si="6">R2-R17-R18</f>
        <v>0</v>
      </c>
      <c r="S3" s="477">
        <f t="shared" ref="S3" si="7">S2-S17-S18</f>
        <v>0</v>
      </c>
      <c r="T3" s="478">
        <f>SUM(F3:S3)</f>
        <v>0</v>
      </c>
      <c r="U3" s="329">
        <f>U2-V16</f>
        <v>0</v>
      </c>
      <c r="V3" s="77"/>
      <c r="W3" s="1"/>
      <c r="Y3" s="163"/>
      <c r="Z3" s="293"/>
      <c r="AA3" s="270"/>
    </row>
    <row r="4" spans="1:27" s="3" customFormat="1" ht="17.7" customHeight="1">
      <c r="A4" s="155"/>
      <c r="B4" s="155"/>
      <c r="C4" s="3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77"/>
      <c r="W4" s="1"/>
      <c r="Y4" s="163"/>
      <c r="Z4" s="293"/>
      <c r="AA4" s="270"/>
    </row>
    <row r="5" spans="1:27" s="3" customFormat="1" ht="17.7" customHeight="1">
      <c r="A5" s="155"/>
      <c r="B5" s="155"/>
      <c r="C5" s="39"/>
      <c r="D5" s="159"/>
      <c r="E5" s="4"/>
      <c r="F5" s="159"/>
      <c r="G5" s="159"/>
      <c r="H5" s="159"/>
      <c r="I5" s="424"/>
      <c r="J5" s="424"/>
      <c r="K5" s="424"/>
      <c r="L5" s="424"/>
      <c r="M5" s="1"/>
      <c r="N5" s="1"/>
      <c r="O5" s="1"/>
      <c r="P5" s="1"/>
      <c r="Q5" s="1"/>
      <c r="R5" s="81"/>
      <c r="S5" s="1"/>
      <c r="T5" s="1"/>
      <c r="U5" s="1"/>
      <c r="V5" s="77"/>
      <c r="W5" s="1"/>
      <c r="X5" s="3">
        <f>0.1115741+0.46872549</f>
        <v>0.58029958999999998</v>
      </c>
      <c r="Y5" s="163"/>
      <c r="Z5" s="293"/>
      <c r="AA5" s="270"/>
    </row>
    <row r="6" spans="1:27" s="7" customFormat="1" ht="17.55">
      <c r="A6" s="162"/>
      <c r="B6" s="162"/>
      <c r="C6" s="680" t="s">
        <v>85</v>
      </c>
      <c r="D6" s="680"/>
      <c r="E6" s="680"/>
      <c r="F6" s="680"/>
      <c r="G6" s="680"/>
      <c r="H6" s="680"/>
      <c r="I6" s="680"/>
      <c r="J6" s="680"/>
      <c r="K6" s="680"/>
      <c r="L6" s="680"/>
      <c r="M6" s="680"/>
      <c r="N6" s="680"/>
      <c r="O6" s="680"/>
      <c r="P6" s="680"/>
      <c r="Q6" s="680"/>
      <c r="R6" s="680"/>
      <c r="S6" s="680"/>
      <c r="T6" s="680"/>
      <c r="U6" s="680"/>
      <c r="V6" s="680"/>
      <c r="W6" s="680"/>
      <c r="Y6" s="163"/>
      <c r="Z6" s="293"/>
      <c r="AA6" s="270"/>
    </row>
    <row r="7" spans="1:27" s="7" customFormat="1" ht="15.65">
      <c r="A7" s="162"/>
      <c r="B7" s="162"/>
      <c r="C7" s="674" t="s">
        <v>112</v>
      </c>
      <c r="D7" s="674"/>
      <c r="E7" s="674"/>
      <c r="F7" s="674"/>
      <c r="G7" s="674"/>
      <c r="H7" s="674"/>
      <c r="I7" s="674"/>
      <c r="J7" s="674"/>
      <c r="K7" s="674"/>
      <c r="L7" s="674"/>
      <c r="M7" s="674"/>
      <c r="N7" s="674"/>
      <c r="O7" s="674"/>
      <c r="P7" s="674"/>
      <c r="Q7" s="674"/>
      <c r="R7" s="674"/>
      <c r="S7" s="674"/>
      <c r="T7" s="674"/>
      <c r="U7" s="674"/>
      <c r="V7" s="674"/>
      <c r="W7" s="674"/>
      <c r="Y7" s="163"/>
      <c r="Z7" s="293"/>
      <c r="AA7" s="270"/>
    </row>
    <row r="8" spans="1:27" s="7" customFormat="1" ht="15.65">
      <c r="A8" s="162"/>
      <c r="B8" s="162"/>
      <c r="C8" s="613" t="str">
        <f>серпень!C8</f>
        <v>станом на 01.09.2025</v>
      </c>
      <c r="D8" s="613"/>
      <c r="E8" s="613"/>
      <c r="F8" s="613"/>
      <c r="G8" s="613"/>
      <c r="H8" s="613"/>
      <c r="I8" s="613"/>
      <c r="J8" s="613"/>
      <c r="K8" s="613"/>
      <c r="L8" s="613"/>
      <c r="M8" s="613"/>
      <c r="N8" s="613"/>
      <c r="O8" s="613"/>
      <c r="P8" s="613"/>
      <c r="Q8" s="613"/>
      <c r="R8" s="613"/>
      <c r="S8" s="613"/>
      <c r="T8" s="613"/>
      <c r="U8" s="613"/>
      <c r="V8" s="613"/>
      <c r="W8" s="613"/>
      <c r="Y8" s="163"/>
      <c r="Z8" s="293"/>
      <c r="AA8" s="270"/>
    </row>
    <row r="9" spans="1:27" s="7" customFormat="1" ht="15.65">
      <c r="A9" s="162"/>
      <c r="B9" s="162"/>
      <c r="C9" s="162"/>
      <c r="D9" s="674"/>
      <c r="E9" s="674"/>
      <c r="F9" s="674"/>
      <c r="G9" s="674"/>
      <c r="H9" s="674"/>
      <c r="I9" s="674"/>
      <c r="J9" s="674"/>
      <c r="K9" s="674"/>
      <c r="L9" s="674"/>
      <c r="M9" s="674"/>
      <c r="N9" s="674"/>
      <c r="O9" s="674"/>
      <c r="P9" s="674"/>
      <c r="Q9" s="674"/>
      <c r="R9" s="674"/>
      <c r="S9" s="674"/>
      <c r="T9" s="674"/>
      <c r="U9" s="674"/>
      <c r="V9" s="79"/>
      <c r="W9" s="6"/>
    </row>
    <row r="10" spans="1:27" s="379" customFormat="1" ht="19.899999999999999" customHeight="1">
      <c r="A10" s="372"/>
      <c r="B10" s="372"/>
      <c r="C10" s="372"/>
      <c r="D10" s="378"/>
      <c r="E10" s="529" t="s">
        <v>126</v>
      </c>
      <c r="F10" s="373">
        <v>14000</v>
      </c>
      <c r="G10" s="373">
        <v>766614.99</v>
      </c>
      <c r="H10" s="373">
        <v>902834.35</v>
      </c>
      <c r="I10" s="373">
        <v>545756.82999999996</v>
      </c>
      <c r="J10" s="373">
        <v>221468.3</v>
      </c>
      <c r="K10" s="373">
        <v>150986.66</v>
      </c>
      <c r="L10" s="373"/>
      <c r="M10" s="373"/>
      <c r="N10" s="373">
        <v>163749.84</v>
      </c>
      <c r="O10" s="373">
        <v>161520.76</v>
      </c>
      <c r="P10" s="373"/>
      <c r="Q10" s="373"/>
      <c r="R10" s="373"/>
      <c r="S10" s="373"/>
      <c r="T10" s="373"/>
      <c r="U10" s="373"/>
      <c r="V10" s="394"/>
      <c r="W10" s="373"/>
    </row>
    <row r="11" spans="1:27" s="3" customFormat="1" ht="19.899999999999999" customHeight="1">
      <c r="A11" s="155"/>
      <c r="B11" s="155"/>
      <c r="C11" s="155"/>
      <c r="D11" s="164"/>
      <c r="E11" s="1"/>
      <c r="F11" s="81">
        <f>F10/1000</f>
        <v>14</v>
      </c>
      <c r="G11" s="81">
        <f t="shared" ref="G11:K11" si="8">G10/1000</f>
        <v>766.61500000000001</v>
      </c>
      <c r="H11" s="81">
        <f t="shared" si="8"/>
        <v>902.83399999999995</v>
      </c>
      <c r="I11" s="81">
        <f t="shared" si="8"/>
        <v>545.75699999999995</v>
      </c>
      <c r="J11" s="81">
        <f t="shared" si="8"/>
        <v>221.46799999999999</v>
      </c>
      <c r="K11" s="81">
        <f t="shared" si="8"/>
        <v>150.98699999999999</v>
      </c>
      <c r="L11" s="1"/>
      <c r="M11" s="1"/>
      <c r="N11" s="81">
        <f>N10/1000</f>
        <v>163.75</v>
      </c>
      <c r="O11" s="81">
        <f t="shared" ref="O11:S11" si="9">O10/1000</f>
        <v>161.52099999999999</v>
      </c>
      <c r="P11" s="81">
        <f t="shared" si="9"/>
        <v>0</v>
      </c>
      <c r="Q11" s="81">
        <f t="shared" si="9"/>
        <v>0</v>
      </c>
      <c r="R11" s="81">
        <f t="shared" si="9"/>
        <v>0</v>
      </c>
      <c r="S11" s="81">
        <f t="shared" si="9"/>
        <v>0</v>
      </c>
      <c r="T11" s="1"/>
      <c r="U11" s="1"/>
      <c r="V11" s="79"/>
      <c r="W11" s="1"/>
    </row>
    <row r="12" spans="1:27" s="36" customFormat="1" ht="19.899999999999999" customHeight="1">
      <c r="A12" s="525"/>
      <c r="B12" s="525"/>
      <c r="C12" s="525"/>
      <c r="D12" s="526"/>
      <c r="E12" s="527"/>
      <c r="F12" s="527">
        <f>F11-F19</f>
        <v>0</v>
      </c>
      <c r="G12" s="527">
        <f t="shared" ref="G12:K12" si="10">G11-G19</f>
        <v>0</v>
      </c>
      <c r="H12" s="527">
        <f t="shared" si="10"/>
        <v>0</v>
      </c>
      <c r="I12" s="527">
        <f t="shared" si="10"/>
        <v>0</v>
      </c>
      <c r="J12" s="527">
        <f t="shared" si="10"/>
        <v>0</v>
      </c>
      <c r="K12" s="527">
        <f t="shared" si="10"/>
        <v>0</v>
      </c>
      <c r="L12" s="527"/>
      <c r="M12" s="527"/>
      <c r="N12" s="527">
        <f>N11-N19</f>
        <v>0</v>
      </c>
      <c r="O12" s="527">
        <f t="shared" ref="O12" si="11">O11-O19</f>
        <v>0</v>
      </c>
      <c r="P12" s="527">
        <f t="shared" ref="P12" si="12">P11-P19</f>
        <v>-198.977</v>
      </c>
      <c r="Q12" s="527">
        <f t="shared" ref="Q12" si="13">Q11-Q19</f>
        <v>-279.86700000000002</v>
      </c>
      <c r="R12" s="527">
        <f t="shared" ref="R12" si="14">R11-R19</f>
        <v>-363.61599999999999</v>
      </c>
      <c r="S12" s="527">
        <f t="shared" ref="S12" si="15">S11-S19</f>
        <v>-1631.9369999999999</v>
      </c>
      <c r="T12" s="527">
        <f>SUM(F12:S12)</f>
        <v>-2474.3969999999999</v>
      </c>
      <c r="U12" s="527"/>
      <c r="V12" s="549"/>
      <c r="W12" s="527"/>
    </row>
    <row r="13" spans="1:27" s="3" customFormat="1" ht="39.450000000000003" customHeight="1">
      <c r="A13" s="668" t="s">
        <v>5</v>
      </c>
      <c r="B13" s="668"/>
      <c r="C13" s="668"/>
      <c r="D13" s="668"/>
      <c r="E13" s="648" t="str">
        <f>серпень!E13</f>
        <v>оплата в січні 2025 за грудень 2024 року/в грудні 2024за січень 2025</v>
      </c>
      <c r="F13" s="685" t="s">
        <v>6</v>
      </c>
      <c r="G13" s="686"/>
      <c r="H13" s="686"/>
      <c r="I13" s="686"/>
      <c r="J13" s="686"/>
      <c r="K13" s="686"/>
      <c r="L13" s="686"/>
      <c r="M13" s="686"/>
      <c r="N13" s="686"/>
      <c r="O13" s="686"/>
      <c r="P13" s="686"/>
      <c r="Q13" s="686"/>
      <c r="R13" s="686"/>
      <c r="S13" s="686"/>
      <c r="T13" s="686"/>
      <c r="U13" s="687"/>
      <c r="V13" s="688" t="s">
        <v>7</v>
      </c>
      <c r="W13" s="688" t="s">
        <v>8</v>
      </c>
    </row>
    <row r="14" spans="1:27" s="3" customFormat="1" ht="51.05" customHeight="1">
      <c r="A14" s="668"/>
      <c r="B14" s="668"/>
      <c r="C14" s="668"/>
      <c r="D14" s="672"/>
      <c r="E14" s="649"/>
      <c r="F14" s="255" t="s">
        <v>9</v>
      </c>
      <c r="G14" s="255" t="s">
        <v>10</v>
      </c>
      <c r="H14" s="255" t="s">
        <v>11</v>
      </c>
      <c r="I14" s="255" t="s">
        <v>12</v>
      </c>
      <c r="J14" s="255" t="s">
        <v>13</v>
      </c>
      <c r="K14" s="255" t="s">
        <v>14</v>
      </c>
      <c r="L14" s="9" t="s">
        <v>15</v>
      </c>
      <c r="M14" s="9" t="s">
        <v>16</v>
      </c>
      <c r="N14" s="255" t="s">
        <v>17</v>
      </c>
      <c r="O14" s="255" t="s">
        <v>18</v>
      </c>
      <c r="P14" s="255" t="s">
        <v>19</v>
      </c>
      <c r="Q14" s="255" t="s">
        <v>20</v>
      </c>
      <c r="R14" s="255" t="s">
        <v>21</v>
      </c>
      <c r="S14" s="255" t="s">
        <v>22</v>
      </c>
      <c r="T14" s="9" t="s">
        <v>23</v>
      </c>
      <c r="U14" s="9" t="s">
        <v>2</v>
      </c>
      <c r="V14" s="689"/>
      <c r="W14" s="689"/>
    </row>
    <row r="15" spans="1:27" s="18" customFormat="1" ht="18.649999999999999" customHeight="1">
      <c r="A15" s="677" t="s">
        <v>94</v>
      </c>
      <c r="B15" s="678"/>
      <c r="C15" s="678"/>
      <c r="D15" s="678"/>
      <c r="E15" s="678"/>
      <c r="F15" s="678"/>
      <c r="G15" s="678"/>
      <c r="H15" s="678"/>
      <c r="I15" s="678"/>
      <c r="J15" s="678"/>
      <c r="K15" s="678"/>
      <c r="L15" s="678"/>
      <c r="M15" s="678"/>
      <c r="N15" s="678"/>
      <c r="O15" s="678"/>
      <c r="P15" s="678"/>
      <c r="Q15" s="678"/>
      <c r="R15" s="678"/>
      <c r="S15" s="678"/>
      <c r="T15" s="678"/>
      <c r="U15" s="678"/>
      <c r="V15" s="678"/>
      <c r="W15" s="679"/>
      <c r="X15" s="37"/>
      <c r="Y15" s="454"/>
    </row>
    <row r="16" spans="1:27" s="173" customFormat="1" ht="18" customHeight="1">
      <c r="A16" s="621">
        <v>2270</v>
      </c>
      <c r="B16" s="622"/>
      <c r="C16" s="623"/>
      <c r="D16" s="170" t="s">
        <v>0</v>
      </c>
      <c r="E16" s="171"/>
      <c r="F16" s="171">
        <f>F28+F336+F475+F522</f>
        <v>766.49</v>
      </c>
      <c r="G16" s="171">
        <f t="shared" ref="G16:K16" si="16">G28+G336+G475+G522</f>
        <v>898.56899999999996</v>
      </c>
      <c r="H16" s="171">
        <f t="shared" si="16"/>
        <v>546.41600000000005</v>
      </c>
      <c r="I16" s="171">
        <f t="shared" si="16"/>
        <v>216.066</v>
      </c>
      <c r="J16" s="171">
        <f t="shared" si="16"/>
        <v>153.87200000000001</v>
      </c>
      <c r="K16" s="171">
        <f t="shared" si="16"/>
        <v>162.04499999999999</v>
      </c>
      <c r="L16" s="171">
        <f t="shared" ref="L16:L18" si="17">SUM(F16:K16)</f>
        <v>2743.4580000000001</v>
      </c>
      <c r="M16" s="171">
        <f t="shared" ref="M16:M18" si="18">L16/6</f>
        <v>457.24299999999999</v>
      </c>
      <c r="N16" s="171">
        <f>N28+N336+N475+N522</f>
        <v>168.476</v>
      </c>
      <c r="O16" s="171">
        <f t="shared" ref="O16:S16" si="19">O28+O336+O475+O522</f>
        <v>194.697</v>
      </c>
      <c r="P16" s="171">
        <f t="shared" si="19"/>
        <v>279.43299999999999</v>
      </c>
      <c r="Q16" s="171">
        <f t="shared" si="19"/>
        <v>361.22300000000001</v>
      </c>
      <c r="R16" s="171">
        <f t="shared" si="19"/>
        <v>697.96699999999998</v>
      </c>
      <c r="S16" s="171">
        <f t="shared" si="19"/>
        <v>956.07500000000005</v>
      </c>
      <c r="T16" s="171">
        <f t="shared" ref="T16:T18" si="20">SUM(N16:S16)</f>
        <v>2657.8710000000001</v>
      </c>
      <c r="U16" s="171">
        <f>T16+L16</f>
        <v>5401.3289999999997</v>
      </c>
      <c r="V16" s="171">
        <f t="shared" ref="V16" si="21">V28+V336+V475+V522</f>
        <v>5868.3540000000003</v>
      </c>
      <c r="W16" s="171">
        <f t="shared" ref="W16:W18" si="22">V16-U16</f>
        <v>467.02499999999998</v>
      </c>
      <c r="X16" s="172"/>
    </row>
    <row r="17" spans="1:27" s="173" customFormat="1" ht="18" customHeight="1">
      <c r="A17" s="624"/>
      <c r="B17" s="625"/>
      <c r="C17" s="626"/>
      <c r="D17" s="174" t="s">
        <v>55</v>
      </c>
      <c r="E17" s="171"/>
      <c r="F17" s="171">
        <f t="shared" ref="F17:K17" si="23">F29+F337+F476+F540</f>
        <v>0</v>
      </c>
      <c r="G17" s="171">
        <f t="shared" si="23"/>
        <v>0</v>
      </c>
      <c r="H17" s="171">
        <f t="shared" si="23"/>
        <v>114.822</v>
      </c>
      <c r="I17" s="171">
        <f t="shared" si="23"/>
        <v>60.920999999999999</v>
      </c>
      <c r="J17" s="171">
        <f t="shared" si="23"/>
        <v>67.36</v>
      </c>
      <c r="K17" s="171">
        <f t="shared" si="23"/>
        <v>0</v>
      </c>
      <c r="L17" s="171">
        <f t="shared" si="17"/>
        <v>243.10300000000001</v>
      </c>
      <c r="M17" s="171">
        <f>L17/6</f>
        <v>40.517000000000003</v>
      </c>
      <c r="N17" s="171">
        <f t="shared" ref="N17:S17" si="24">N29+N337+N476+N540</f>
        <v>0</v>
      </c>
      <c r="O17" s="171">
        <f t="shared" si="24"/>
        <v>0</v>
      </c>
      <c r="P17" s="171">
        <f t="shared" si="24"/>
        <v>0</v>
      </c>
      <c r="Q17" s="171">
        <f t="shared" si="24"/>
        <v>0</v>
      </c>
      <c r="R17" s="171">
        <f t="shared" si="24"/>
        <v>0</v>
      </c>
      <c r="S17" s="171">
        <f t="shared" si="24"/>
        <v>0</v>
      </c>
      <c r="T17" s="171">
        <f t="shared" si="20"/>
        <v>0</v>
      </c>
      <c r="U17" s="171">
        <f>T17+L17</f>
        <v>243.10300000000001</v>
      </c>
      <c r="V17" s="171">
        <f>V29+V337+V476+V540</f>
        <v>243.10300000000001</v>
      </c>
      <c r="W17" s="171">
        <f t="shared" si="22"/>
        <v>0</v>
      </c>
      <c r="X17" s="172"/>
    </row>
    <row r="18" spans="1:27" s="173" customFormat="1" ht="18" customHeight="1">
      <c r="A18" s="627"/>
      <c r="B18" s="628"/>
      <c r="C18" s="629"/>
      <c r="D18" s="170" t="s">
        <v>24</v>
      </c>
      <c r="E18" s="171"/>
      <c r="F18" s="171">
        <f>F30+F338+F477+F524</f>
        <v>14</v>
      </c>
      <c r="G18" s="171">
        <f t="shared" ref="G18:K18" si="25">G30+G338+G477+G524</f>
        <v>778.49599999999998</v>
      </c>
      <c r="H18" s="171">
        <f t="shared" si="25"/>
        <v>817.59900000000005</v>
      </c>
      <c r="I18" s="171">
        <f t="shared" si="25"/>
        <v>543.92600000000004</v>
      </c>
      <c r="J18" s="171">
        <f t="shared" si="25"/>
        <v>144.27199999999999</v>
      </c>
      <c r="K18" s="171">
        <f t="shared" si="25"/>
        <v>74.641999999999996</v>
      </c>
      <c r="L18" s="171">
        <f t="shared" si="17"/>
        <v>2372.9349999999999</v>
      </c>
      <c r="M18" s="171">
        <f t="shared" si="18"/>
        <v>395.48899999999998</v>
      </c>
      <c r="N18" s="171">
        <f t="shared" ref="N18:S18" si="26">N30+N338+N477+N524</f>
        <v>150.345</v>
      </c>
      <c r="O18" s="171">
        <f t="shared" si="26"/>
        <v>160.732</v>
      </c>
      <c r="P18" s="171">
        <f t="shared" si="26"/>
        <v>270.81099999999998</v>
      </c>
      <c r="Q18" s="171">
        <f t="shared" si="26"/>
        <v>341.88</v>
      </c>
      <c r="R18" s="171">
        <f t="shared" si="26"/>
        <v>375.88499999999999</v>
      </c>
      <c r="S18" s="171">
        <f t="shared" si="26"/>
        <v>1952.663</v>
      </c>
      <c r="T18" s="171">
        <f t="shared" si="20"/>
        <v>3252.3159999999998</v>
      </c>
      <c r="U18" s="171">
        <f>T18+L18</f>
        <v>5625.2510000000002</v>
      </c>
      <c r="V18" s="171">
        <f>V30+V338+V477+V524</f>
        <v>5625.2510000000002</v>
      </c>
      <c r="W18" s="171">
        <f t="shared" si="22"/>
        <v>0</v>
      </c>
      <c r="X18" s="172"/>
    </row>
    <row r="19" spans="1:27" s="116" customFormat="1" ht="18" customHeight="1">
      <c r="A19" s="630">
        <v>2270</v>
      </c>
      <c r="B19" s="631"/>
      <c r="C19" s="632"/>
      <c r="D19" s="115" t="s">
        <v>25</v>
      </c>
      <c r="E19" s="62">
        <f t="shared" ref="E19:K19" si="27">E33+E341+E480+E527</f>
        <v>0</v>
      </c>
      <c r="F19" s="62">
        <f t="shared" ref="F19:G21" si="28">F33+F341+F480+F527</f>
        <v>14</v>
      </c>
      <c r="G19" s="62">
        <f t="shared" si="28"/>
        <v>766.61500000000001</v>
      </c>
      <c r="H19" s="62">
        <f t="shared" si="27"/>
        <v>902.83399999999995</v>
      </c>
      <c r="I19" s="62">
        <f t="shared" si="27"/>
        <v>545.75699999999995</v>
      </c>
      <c r="J19" s="62">
        <f t="shared" si="27"/>
        <v>221.46799999999999</v>
      </c>
      <c r="K19" s="62">
        <f t="shared" si="27"/>
        <v>150.98699999999999</v>
      </c>
      <c r="L19" s="62">
        <f t="shared" ref="L19:L21" si="29">SUM(F19:K19)</f>
        <v>2601.6610000000001</v>
      </c>
      <c r="M19" s="62">
        <f t="shared" ref="M19:M21" si="30">L19/6</f>
        <v>433.61</v>
      </c>
      <c r="N19" s="62">
        <f t="shared" ref="N19:S21" si="31">N33+N341+N480+N527</f>
        <v>163.75</v>
      </c>
      <c r="O19" s="62">
        <f t="shared" si="31"/>
        <v>161.52099999999999</v>
      </c>
      <c r="P19" s="62">
        <f t="shared" si="31"/>
        <v>198.977</v>
      </c>
      <c r="Q19" s="62">
        <f t="shared" si="31"/>
        <v>279.86700000000002</v>
      </c>
      <c r="R19" s="62">
        <f t="shared" si="31"/>
        <v>363.61599999999999</v>
      </c>
      <c r="S19" s="62">
        <f t="shared" si="31"/>
        <v>1631.9369999999999</v>
      </c>
      <c r="T19" s="62">
        <f t="shared" ref="T19:T21" si="32">SUM(N19:S19)</f>
        <v>2799.6680000000001</v>
      </c>
      <c r="U19" s="62">
        <f t="shared" ref="U19:U21" si="33">T19+L19</f>
        <v>5401.3289999999997</v>
      </c>
      <c r="V19" s="62">
        <f>V33+V341+V480+V527</f>
        <v>5868.3540000000003</v>
      </c>
      <c r="W19" s="62">
        <f>V19-U19</f>
        <v>467.02499999999998</v>
      </c>
      <c r="X19" s="63">
        <f>U16-U19</f>
        <v>0</v>
      </c>
      <c r="Y19" s="257"/>
      <c r="Z19" s="139"/>
      <c r="AA19" s="139"/>
    </row>
    <row r="20" spans="1:27" s="116" customFormat="1" ht="18" customHeight="1">
      <c r="A20" s="633"/>
      <c r="B20" s="634"/>
      <c r="C20" s="635"/>
      <c r="D20" s="115" t="s">
        <v>55</v>
      </c>
      <c r="E20" s="62"/>
      <c r="F20" s="62">
        <f t="shared" si="28"/>
        <v>0</v>
      </c>
      <c r="G20" s="62">
        <f t="shared" si="28"/>
        <v>0</v>
      </c>
      <c r="H20" s="62">
        <f t="shared" ref="H20:K21" si="34">H34+H342+H481+H528</f>
        <v>100.69199999999999</v>
      </c>
      <c r="I20" s="62">
        <f t="shared" si="34"/>
        <v>14.13</v>
      </c>
      <c r="J20" s="62">
        <f t="shared" si="34"/>
        <v>60.920999999999999</v>
      </c>
      <c r="K20" s="62">
        <f t="shared" si="34"/>
        <v>67.36</v>
      </c>
      <c r="L20" s="62">
        <f t="shared" si="29"/>
        <v>243.10300000000001</v>
      </c>
      <c r="M20" s="62">
        <f t="shared" si="30"/>
        <v>40.517000000000003</v>
      </c>
      <c r="N20" s="62">
        <f t="shared" si="31"/>
        <v>0</v>
      </c>
      <c r="O20" s="62">
        <f t="shared" si="31"/>
        <v>0</v>
      </c>
      <c r="P20" s="62">
        <f t="shared" si="31"/>
        <v>0</v>
      </c>
      <c r="Q20" s="62">
        <f t="shared" si="31"/>
        <v>0</v>
      </c>
      <c r="R20" s="62">
        <f t="shared" si="31"/>
        <v>0</v>
      </c>
      <c r="S20" s="62">
        <f t="shared" si="31"/>
        <v>0</v>
      </c>
      <c r="T20" s="62">
        <f t="shared" si="32"/>
        <v>0</v>
      </c>
      <c r="U20" s="62">
        <f t="shared" si="33"/>
        <v>243.10300000000001</v>
      </c>
      <c r="V20" s="62">
        <f>V34+V342+V481+V528</f>
        <v>243.10300000000001</v>
      </c>
      <c r="W20" s="62">
        <f t="shared" ref="W20:W21" si="35">V20-U20</f>
        <v>0</v>
      </c>
      <c r="X20" s="63">
        <f>U17-U20</f>
        <v>0</v>
      </c>
    </row>
    <row r="21" spans="1:27" s="116" customFormat="1" ht="18" customHeight="1">
      <c r="A21" s="636"/>
      <c r="B21" s="637"/>
      <c r="C21" s="638"/>
      <c r="D21" s="115" t="s">
        <v>24</v>
      </c>
      <c r="E21" s="62"/>
      <c r="F21" s="62">
        <f t="shared" si="28"/>
        <v>14</v>
      </c>
      <c r="G21" s="62">
        <f t="shared" si="28"/>
        <v>766.61500000000001</v>
      </c>
      <c r="H21" s="62">
        <f t="shared" si="34"/>
        <v>802.14200000000005</v>
      </c>
      <c r="I21" s="62">
        <f t="shared" si="34"/>
        <v>531.62699999999995</v>
      </c>
      <c r="J21" s="62">
        <f t="shared" si="34"/>
        <v>160.547</v>
      </c>
      <c r="K21" s="62">
        <f t="shared" si="34"/>
        <v>83.626999999999995</v>
      </c>
      <c r="L21" s="62">
        <f t="shared" si="29"/>
        <v>2358.558</v>
      </c>
      <c r="M21" s="62">
        <f t="shared" si="30"/>
        <v>393.09300000000002</v>
      </c>
      <c r="N21" s="62">
        <f t="shared" si="31"/>
        <v>163.75</v>
      </c>
      <c r="O21" s="62">
        <f t="shared" si="31"/>
        <v>161.52099999999999</v>
      </c>
      <c r="P21" s="62">
        <f t="shared" si="31"/>
        <v>198.977</v>
      </c>
      <c r="Q21" s="62">
        <f t="shared" si="31"/>
        <v>279.86700000000002</v>
      </c>
      <c r="R21" s="62">
        <f t="shared" si="31"/>
        <v>363.61599999999999</v>
      </c>
      <c r="S21" s="62">
        <f t="shared" si="31"/>
        <v>1631.9369999999999</v>
      </c>
      <c r="T21" s="62">
        <f t="shared" si="32"/>
        <v>2799.6680000000001</v>
      </c>
      <c r="U21" s="62">
        <f t="shared" si="33"/>
        <v>5158.2259999999997</v>
      </c>
      <c r="V21" s="62">
        <f>V35+V343+V482+V529</f>
        <v>5625.2510000000002</v>
      </c>
      <c r="W21" s="62">
        <f t="shared" si="35"/>
        <v>467.02499999999998</v>
      </c>
      <c r="X21" s="63">
        <f>U18-U21</f>
        <v>467.02499999999998</v>
      </c>
      <c r="Y21" s="139"/>
      <c r="Z21" s="139"/>
      <c r="AA21" s="139"/>
    </row>
    <row r="22" spans="1:27" s="186" customFormat="1" ht="18" customHeight="1">
      <c r="A22" s="609">
        <v>2271</v>
      </c>
      <c r="B22" s="580" t="s">
        <v>86</v>
      </c>
      <c r="C22" s="575"/>
      <c r="D22" s="178" t="str">
        <f>серпень!D22</f>
        <v>факт. нат.п-ки 2023</v>
      </c>
      <c r="E22" s="179"/>
      <c r="F22" s="180">
        <f t="shared" ref="F22:K24" si="36">F56+F163+F208+F253</f>
        <v>282.7</v>
      </c>
      <c r="G22" s="180">
        <f t="shared" si="36"/>
        <v>255</v>
      </c>
      <c r="H22" s="180">
        <f t="shared" si="36"/>
        <v>311.89999999999998</v>
      </c>
      <c r="I22" s="180">
        <f t="shared" si="36"/>
        <v>0.6</v>
      </c>
      <c r="J22" s="180">
        <f t="shared" si="36"/>
        <v>0.5</v>
      </c>
      <c r="K22" s="180">
        <f t="shared" si="36"/>
        <v>0.6</v>
      </c>
      <c r="L22" s="181">
        <f t="shared" ref="L22:L23" si="37">SUM(F22:K22)</f>
        <v>851.3</v>
      </c>
      <c r="M22" s="181">
        <f>L22/6</f>
        <v>141.9</v>
      </c>
      <c r="N22" s="180">
        <f t="shared" ref="N22:S24" si="38">N56+N163+N208+N253</f>
        <v>42</v>
      </c>
      <c r="O22" s="180">
        <f t="shared" si="38"/>
        <v>0.4</v>
      </c>
      <c r="P22" s="180">
        <f t="shared" si="38"/>
        <v>269.8</v>
      </c>
      <c r="Q22" s="180">
        <f t="shared" si="38"/>
        <v>328.6</v>
      </c>
      <c r="R22" s="180">
        <f t="shared" si="38"/>
        <v>413.1</v>
      </c>
      <c r="S22" s="180">
        <f t="shared" si="38"/>
        <v>620.5</v>
      </c>
      <c r="T22" s="181">
        <f t="shared" ref="T22:T23" si="39">SUM(N22:S22)</f>
        <v>1674.4</v>
      </c>
      <c r="U22" s="182">
        <f>T22+L22</f>
        <v>2525.6999999999998</v>
      </c>
      <c r="V22" s="183">
        <f>V56+V163+V208+V253</f>
        <v>442.4</v>
      </c>
      <c r="W22" s="184"/>
      <c r="X22" s="185"/>
    </row>
    <row r="23" spans="1:27" s="186" customFormat="1" ht="18" customHeight="1">
      <c r="A23" s="610"/>
      <c r="B23" s="576"/>
      <c r="C23" s="577"/>
      <c r="D23" s="178" t="str">
        <f>серпень!D23</f>
        <v>факт. нат.п-ки 2024</v>
      </c>
      <c r="E23" s="179"/>
      <c r="F23" s="180">
        <f t="shared" si="36"/>
        <v>194.6</v>
      </c>
      <c r="G23" s="180">
        <f t="shared" si="36"/>
        <v>360.3</v>
      </c>
      <c r="H23" s="180">
        <f t="shared" si="36"/>
        <v>222.6</v>
      </c>
      <c r="I23" s="180">
        <f t="shared" si="36"/>
        <v>150.30000000000001</v>
      </c>
      <c r="J23" s="180">
        <f t="shared" si="36"/>
        <v>169.9</v>
      </c>
      <c r="K23" s="180">
        <f t="shared" si="36"/>
        <v>0.5</v>
      </c>
      <c r="L23" s="181">
        <f t="shared" si="37"/>
        <v>1098.2</v>
      </c>
      <c r="M23" s="181">
        <f>L23/6</f>
        <v>183</v>
      </c>
      <c r="N23" s="180">
        <f t="shared" si="38"/>
        <v>0.4</v>
      </c>
      <c r="O23" s="180">
        <f t="shared" si="38"/>
        <v>0.4</v>
      </c>
      <c r="P23" s="180">
        <f t="shared" si="38"/>
        <v>0.4</v>
      </c>
      <c r="Q23" s="180">
        <f t="shared" si="38"/>
        <v>0.4</v>
      </c>
      <c r="R23" s="180">
        <f t="shared" si="38"/>
        <v>87.5</v>
      </c>
      <c r="S23" s="180">
        <f t="shared" si="38"/>
        <v>198</v>
      </c>
      <c r="T23" s="181">
        <f t="shared" si="39"/>
        <v>287.10000000000002</v>
      </c>
      <c r="U23" s="182">
        <f t="shared" ref="U23:U24" si="40">T23+L23</f>
        <v>1385.3</v>
      </c>
      <c r="V23" s="183">
        <f>V57+V164+V209+V254</f>
        <v>1015.7</v>
      </c>
      <c r="W23" s="184"/>
      <c r="X23" s="185"/>
    </row>
    <row r="24" spans="1:27" s="186" customFormat="1" ht="18" customHeight="1">
      <c r="A24" s="610"/>
      <c r="B24" s="576"/>
      <c r="C24" s="577"/>
      <c r="D24" s="178" t="str">
        <f>серпень!D24</f>
        <v>факт. нат.п-ки 2025</v>
      </c>
      <c r="E24" s="179"/>
      <c r="F24" s="356">
        <f>F58+F165+F210+F255</f>
        <v>228.3</v>
      </c>
      <c r="G24" s="356">
        <f t="shared" si="36"/>
        <v>304.2</v>
      </c>
      <c r="H24" s="356">
        <f t="shared" si="36"/>
        <v>168.6</v>
      </c>
      <c r="I24" s="356">
        <f t="shared" si="36"/>
        <v>0</v>
      </c>
      <c r="J24" s="356">
        <f t="shared" si="36"/>
        <v>0</v>
      </c>
      <c r="K24" s="356">
        <f t="shared" si="36"/>
        <v>0</v>
      </c>
      <c r="L24" s="357">
        <f t="shared" ref="L24" si="41">SUM(F24:K24)</f>
        <v>701.1</v>
      </c>
      <c r="M24" s="357">
        <f>L24/6</f>
        <v>116.85</v>
      </c>
      <c r="N24" s="356">
        <f>N58+N165+N210+N255</f>
        <v>0</v>
      </c>
      <c r="O24" s="356">
        <f t="shared" ref="O24:Q24" si="42">O58+O165+O210+O255</f>
        <v>0</v>
      </c>
      <c r="P24" s="356">
        <f t="shared" si="42"/>
        <v>0</v>
      </c>
      <c r="Q24" s="356">
        <f t="shared" si="42"/>
        <v>0</v>
      </c>
      <c r="R24" s="356">
        <f t="shared" si="38"/>
        <v>107.1</v>
      </c>
      <c r="S24" s="375">
        <f t="shared" si="38"/>
        <v>195.4</v>
      </c>
      <c r="T24" s="357">
        <f t="shared" ref="T24" si="43">SUM(N24:S24)</f>
        <v>302.5</v>
      </c>
      <c r="U24" s="357">
        <f t="shared" si="40"/>
        <v>1003.6</v>
      </c>
      <c r="V24" s="183">
        <f>V58+V165+V210+V255</f>
        <v>890.2</v>
      </c>
      <c r="W24" s="184">
        <f>V24-U24</f>
        <v>-113.4</v>
      </c>
      <c r="X24" s="185"/>
    </row>
    <row r="25" spans="1:27" s="190" customFormat="1" ht="18" customHeight="1">
      <c r="A25" s="610"/>
      <c r="B25" s="576"/>
      <c r="C25" s="577"/>
      <c r="D25" s="187" t="str">
        <f>серпень!D25</f>
        <v>тариф, грн.</v>
      </c>
      <c r="E25" s="188"/>
      <c r="F25" s="188">
        <f>F26/F24*1000</f>
        <v>2346.1190000000001</v>
      </c>
      <c r="G25" s="188">
        <f t="shared" ref="G25:W25" si="44">G26/G24*1000</f>
        <v>2328.7280000000001</v>
      </c>
      <c r="H25" s="188">
        <f t="shared" si="44"/>
        <v>2272.6990000000001</v>
      </c>
      <c r="I25" s="188" t="e">
        <f t="shared" si="44"/>
        <v>#DIV/0!</v>
      </c>
      <c r="J25" s="188" t="e">
        <f t="shared" si="44"/>
        <v>#DIV/0!</v>
      </c>
      <c r="K25" s="188" t="e">
        <f t="shared" si="44"/>
        <v>#DIV/0!</v>
      </c>
      <c r="L25" s="188">
        <f t="shared" si="44"/>
        <v>2320.9169999999999</v>
      </c>
      <c r="M25" s="188">
        <f t="shared" si="44"/>
        <v>2320.9160000000002</v>
      </c>
      <c r="N25" s="188" t="e">
        <f t="shared" si="44"/>
        <v>#DIV/0!</v>
      </c>
      <c r="O25" s="188" t="e">
        <f>O26/O24*1000</f>
        <v>#DIV/0!</v>
      </c>
      <c r="P25" s="188" t="e">
        <f>P26/P24*1000</f>
        <v>#DIV/0!</v>
      </c>
      <c r="Q25" s="188" t="e">
        <f>Q26/Q24*1000</f>
        <v>#DIV/0!</v>
      </c>
      <c r="R25" s="188">
        <f>R26/R24*1000</f>
        <v>2311.8020000000001</v>
      </c>
      <c r="S25" s="188">
        <f>S26/S24*1000</f>
        <v>2496.6990000000001</v>
      </c>
      <c r="T25" s="188">
        <f t="shared" si="44"/>
        <v>2431.2359999999999</v>
      </c>
      <c r="U25" s="188">
        <f t="shared" si="44"/>
        <v>2354.1689999999999</v>
      </c>
      <c r="V25" s="188">
        <f t="shared" si="44"/>
        <v>2391.5419999999999</v>
      </c>
      <c r="W25" s="189">
        <f t="shared" si="44"/>
        <v>2060.7849999999999</v>
      </c>
      <c r="X25" s="185"/>
    </row>
    <row r="26" spans="1:27" s="196" customFormat="1" ht="18" customHeight="1">
      <c r="A26" s="610"/>
      <c r="B26" s="576"/>
      <c r="C26" s="577"/>
      <c r="D26" s="191" t="str">
        <f>серпень!D26</f>
        <v>сума, тис.грн.</v>
      </c>
      <c r="E26" s="192"/>
      <c r="F26" s="193">
        <f>F60+F167+F212+F257</f>
        <v>535.61900000000003</v>
      </c>
      <c r="G26" s="193">
        <f t="shared" ref="G26:K26" si="45">G60+G167+G212+G257</f>
        <v>708.399</v>
      </c>
      <c r="H26" s="193">
        <f t="shared" si="45"/>
        <v>383.17700000000002</v>
      </c>
      <c r="I26" s="193">
        <f t="shared" si="45"/>
        <v>0</v>
      </c>
      <c r="J26" s="193">
        <f t="shared" si="45"/>
        <v>0</v>
      </c>
      <c r="K26" s="193">
        <f t="shared" si="45"/>
        <v>0</v>
      </c>
      <c r="L26" s="194">
        <f t="shared" ref="L26:L31" si="46">SUM(F26:K26)</f>
        <v>1627.1949999999999</v>
      </c>
      <c r="M26" s="194">
        <f t="shared" ref="M26:M31" si="47">L26/6</f>
        <v>271.19900000000001</v>
      </c>
      <c r="N26" s="193">
        <f t="shared" ref="N26:S26" si="48">N60+N167+N212+N257</f>
        <v>0</v>
      </c>
      <c r="O26" s="193">
        <f t="shared" si="48"/>
        <v>0</v>
      </c>
      <c r="P26" s="193">
        <f t="shared" si="48"/>
        <v>0</v>
      </c>
      <c r="Q26" s="193">
        <f t="shared" si="48"/>
        <v>0</v>
      </c>
      <c r="R26" s="193">
        <f t="shared" si="48"/>
        <v>247.59399999999999</v>
      </c>
      <c r="S26" s="193">
        <f t="shared" si="48"/>
        <v>487.85500000000002</v>
      </c>
      <c r="T26" s="194">
        <f>SUM(N26:S26)</f>
        <v>735.44899999999996</v>
      </c>
      <c r="U26" s="194">
        <f>T26+L26</f>
        <v>2362.6439999999998</v>
      </c>
      <c r="V26" s="171">
        <f>V60+V167+V212+V257</f>
        <v>2128.951</v>
      </c>
      <c r="W26" s="193">
        <f>W60+W167+W212+W257</f>
        <v>-233.69300000000001</v>
      </c>
      <c r="X26" s="195"/>
    </row>
    <row r="27" spans="1:27" s="196" customFormat="1" ht="18" customHeight="1">
      <c r="A27" s="610"/>
      <c r="B27" s="576"/>
      <c r="C27" s="577"/>
      <c r="D27" s="174" t="str">
        <f>серпень!D27</f>
        <v>абоненська плата, тис.грн.</v>
      </c>
      <c r="E27" s="192"/>
      <c r="F27" s="278">
        <f>F44+F258</f>
        <v>60.39</v>
      </c>
      <c r="G27" s="278">
        <f t="shared" ref="G27:K27" si="49">G44+G258</f>
        <v>60.619</v>
      </c>
      <c r="H27" s="278">
        <f t="shared" si="49"/>
        <v>60.619</v>
      </c>
      <c r="I27" s="278">
        <f t="shared" si="49"/>
        <v>48.963999999999999</v>
      </c>
      <c r="J27" s="278">
        <f t="shared" si="49"/>
        <v>54.804000000000002</v>
      </c>
      <c r="K27" s="278">
        <f t="shared" si="49"/>
        <v>48.963999999999999</v>
      </c>
      <c r="L27" s="194">
        <f t="shared" si="46"/>
        <v>334.36</v>
      </c>
      <c r="M27" s="194">
        <f t="shared" si="47"/>
        <v>55.726999999999997</v>
      </c>
      <c r="N27" s="278">
        <f>N44+N258</f>
        <v>60.643000000000001</v>
      </c>
      <c r="O27" s="278">
        <f t="shared" ref="O27:S27" si="50">O44+O258</f>
        <v>60.643000000000001</v>
      </c>
      <c r="P27" s="278">
        <f t="shared" si="50"/>
        <v>106.125</v>
      </c>
      <c r="Q27" s="278">
        <f t="shared" si="50"/>
        <v>106.125</v>
      </c>
      <c r="R27" s="278">
        <f t="shared" si="50"/>
        <v>106.125</v>
      </c>
      <c r="S27" s="278">
        <f t="shared" si="50"/>
        <v>106.125</v>
      </c>
      <c r="T27" s="194">
        <f>SUM(N27:S27)</f>
        <v>545.78599999999994</v>
      </c>
      <c r="U27" s="194">
        <f>T27+L27</f>
        <v>880.14599999999996</v>
      </c>
      <c r="V27" s="171">
        <f t="shared" ref="V27" si="51">V44+V258</f>
        <v>1293.4159999999999</v>
      </c>
      <c r="W27" s="193">
        <f>W61+W168+W213+W258</f>
        <v>413.27</v>
      </c>
      <c r="X27" s="195"/>
    </row>
    <row r="28" spans="1:27" s="196" customFormat="1" ht="18" customHeight="1">
      <c r="A28" s="610"/>
      <c r="B28" s="576"/>
      <c r="C28" s="577"/>
      <c r="D28" s="174" t="str">
        <f>серпень!D28</f>
        <v>разом сума тис. грн+абонплата</v>
      </c>
      <c r="E28" s="192"/>
      <c r="F28" s="278">
        <f>F62+F167+F212+F259</f>
        <v>596.00900000000001</v>
      </c>
      <c r="G28" s="278">
        <f t="shared" ref="G28:K28" si="52">G62+G167+G212+G259</f>
        <v>769.01800000000003</v>
      </c>
      <c r="H28" s="278">
        <f t="shared" si="52"/>
        <v>443.79599999999999</v>
      </c>
      <c r="I28" s="278">
        <f t="shared" si="52"/>
        <v>48.963999999999999</v>
      </c>
      <c r="J28" s="278">
        <f t="shared" si="52"/>
        <v>54.804000000000002</v>
      </c>
      <c r="K28" s="278">
        <f t="shared" si="52"/>
        <v>48.963999999999999</v>
      </c>
      <c r="L28" s="194">
        <f t="shared" si="46"/>
        <v>1961.5550000000001</v>
      </c>
      <c r="M28" s="194">
        <f t="shared" si="47"/>
        <v>326.92599999999999</v>
      </c>
      <c r="N28" s="278">
        <f>N62+N167+N212+N259</f>
        <v>60.643000000000001</v>
      </c>
      <c r="O28" s="278">
        <f t="shared" ref="O28:R28" si="53">O62+O167+O212+O259</f>
        <v>60.643000000000001</v>
      </c>
      <c r="P28" s="278">
        <f t="shared" si="53"/>
        <v>106.125</v>
      </c>
      <c r="Q28" s="278">
        <f t="shared" si="53"/>
        <v>106.125</v>
      </c>
      <c r="R28" s="278">
        <f t="shared" si="53"/>
        <v>353.71899999999999</v>
      </c>
      <c r="S28" s="278">
        <f>S62+S167+S212+S259</f>
        <v>593.98</v>
      </c>
      <c r="T28" s="194">
        <f t="shared" ref="T28:T29" si="54">SUM(N28:S28)</f>
        <v>1281.2349999999999</v>
      </c>
      <c r="U28" s="194">
        <f t="shared" ref="U28:U29" si="55">T28+L28</f>
        <v>3242.79</v>
      </c>
      <c r="V28" s="171">
        <f>V45+V259</f>
        <v>3422.3670000000002</v>
      </c>
      <c r="W28" s="278">
        <f t="shared" ref="W28" si="56">W26+W27</f>
        <v>179.577</v>
      </c>
      <c r="X28" s="195"/>
    </row>
    <row r="29" spans="1:27" s="196" customFormat="1" ht="18" customHeight="1">
      <c r="A29" s="610"/>
      <c r="B29" s="576"/>
      <c r="C29" s="577"/>
      <c r="D29" s="174" t="str">
        <f>серпень!D29</f>
        <v>дотація</v>
      </c>
      <c r="E29" s="192"/>
      <c r="F29" s="193">
        <f t="shared" ref="F29:K31" si="57">F63+F168+F213+F260</f>
        <v>0</v>
      </c>
      <c r="G29" s="193">
        <f t="shared" si="57"/>
        <v>0</v>
      </c>
      <c r="H29" s="193">
        <f t="shared" si="57"/>
        <v>63.845999999999997</v>
      </c>
      <c r="I29" s="193">
        <f t="shared" si="57"/>
        <v>24.728000000000002</v>
      </c>
      <c r="J29" s="193">
        <f t="shared" si="57"/>
        <v>0</v>
      </c>
      <c r="K29" s="193">
        <f t="shared" si="57"/>
        <v>0</v>
      </c>
      <c r="L29" s="194">
        <f t="shared" si="46"/>
        <v>88.573999999999998</v>
      </c>
      <c r="M29" s="194">
        <f t="shared" si="47"/>
        <v>14.762</v>
      </c>
      <c r="N29" s="193">
        <f t="shared" ref="N29:S31" si="58">N63+N168+N213+N260</f>
        <v>0</v>
      </c>
      <c r="O29" s="193">
        <f t="shared" si="58"/>
        <v>0</v>
      </c>
      <c r="P29" s="193">
        <f t="shared" si="58"/>
        <v>0</v>
      </c>
      <c r="Q29" s="193">
        <f t="shared" si="58"/>
        <v>0</v>
      </c>
      <c r="R29" s="193">
        <f t="shared" si="58"/>
        <v>0</v>
      </c>
      <c r="S29" s="193">
        <f t="shared" si="58"/>
        <v>0</v>
      </c>
      <c r="T29" s="194">
        <f t="shared" si="54"/>
        <v>0</v>
      </c>
      <c r="U29" s="194">
        <f t="shared" si="55"/>
        <v>88.573999999999998</v>
      </c>
      <c r="V29" s="171">
        <f>V63+V168+V213+V260</f>
        <v>88.573999999999998</v>
      </c>
      <c r="W29" s="192">
        <f t="shared" ref="W29" si="59">W63+W169+W214+W260</f>
        <v>0</v>
      </c>
      <c r="X29" s="195"/>
      <c r="Y29" s="197"/>
    </row>
    <row r="30" spans="1:27" s="196" customFormat="1" ht="18" customHeight="1">
      <c r="A30" s="610"/>
      <c r="B30" s="576"/>
      <c r="C30" s="577"/>
      <c r="D30" s="174" t="str">
        <f>серпень!D30</f>
        <v>місцевий (план), тис.грн</v>
      </c>
      <c r="E30" s="192"/>
      <c r="F30" s="193">
        <f t="shared" si="57"/>
        <v>0</v>
      </c>
      <c r="G30" s="193">
        <f t="shared" si="57"/>
        <v>596.00900000000001</v>
      </c>
      <c r="H30" s="193">
        <f t="shared" si="57"/>
        <v>722.17100000000005</v>
      </c>
      <c r="I30" s="193">
        <f t="shared" si="57"/>
        <v>463.68</v>
      </c>
      <c r="J30" s="193">
        <f t="shared" si="57"/>
        <v>0.23699999999999999</v>
      </c>
      <c r="K30" s="193">
        <f t="shared" si="57"/>
        <v>42.003</v>
      </c>
      <c r="L30" s="194">
        <f t="shared" si="46"/>
        <v>1824.1</v>
      </c>
      <c r="M30" s="194">
        <f t="shared" si="47"/>
        <v>304.017</v>
      </c>
      <c r="N30" s="193">
        <f t="shared" si="58"/>
        <v>48.886000000000003</v>
      </c>
      <c r="O30" s="193">
        <f t="shared" si="58"/>
        <v>60.723999999999997</v>
      </c>
      <c r="P30" s="193">
        <f t="shared" si="58"/>
        <v>105.724</v>
      </c>
      <c r="Q30" s="193">
        <f t="shared" si="58"/>
        <v>124.724</v>
      </c>
      <c r="R30" s="193">
        <f t="shared" si="58"/>
        <v>105.724</v>
      </c>
      <c r="S30" s="193">
        <f t="shared" si="58"/>
        <v>1063.9110000000001</v>
      </c>
      <c r="T30" s="194">
        <f>SUM(N30:S30)</f>
        <v>1509.693</v>
      </c>
      <c r="U30" s="194">
        <f>T30+L30</f>
        <v>3333.7930000000001</v>
      </c>
      <c r="V30" s="171">
        <f>V64+V169+V214+V261</f>
        <v>3333.7930000000001</v>
      </c>
      <c r="W30" s="192">
        <f>W64+W169+W214</f>
        <v>0</v>
      </c>
      <c r="X30" s="195"/>
      <c r="Y30" s="197"/>
    </row>
    <row r="31" spans="1:27" s="186" customFormat="1" ht="18" customHeight="1">
      <c r="A31" s="610"/>
      <c r="B31" s="576"/>
      <c r="C31" s="577"/>
      <c r="D31" s="178" t="str">
        <f>серпень!D31</f>
        <v>касові нат.п-ки 2025</v>
      </c>
      <c r="E31" s="180">
        <f>E65+E170+E215+E262</f>
        <v>0</v>
      </c>
      <c r="F31" s="259">
        <f>F65+F170+F215+F262</f>
        <v>0</v>
      </c>
      <c r="G31" s="259">
        <f t="shared" si="57"/>
        <v>228.3</v>
      </c>
      <c r="H31" s="259">
        <f t="shared" si="57"/>
        <v>304.2</v>
      </c>
      <c r="I31" s="259">
        <f t="shared" si="57"/>
        <v>168.6</v>
      </c>
      <c r="J31" s="259">
        <f t="shared" si="57"/>
        <v>0</v>
      </c>
      <c r="K31" s="259">
        <f t="shared" si="57"/>
        <v>0</v>
      </c>
      <c r="L31" s="338">
        <f t="shared" si="46"/>
        <v>701.1</v>
      </c>
      <c r="M31" s="338">
        <f t="shared" si="47"/>
        <v>116.85</v>
      </c>
      <c r="N31" s="259">
        <f>N65+N170+N215+N262</f>
        <v>0</v>
      </c>
      <c r="O31" s="259">
        <f t="shared" ref="O31:Q31" si="60">O65+O170+O215+O262</f>
        <v>0</v>
      </c>
      <c r="P31" s="259">
        <f t="shared" si="60"/>
        <v>0</v>
      </c>
      <c r="Q31" s="259">
        <f t="shared" si="60"/>
        <v>0</v>
      </c>
      <c r="R31" s="259">
        <f t="shared" si="58"/>
        <v>0</v>
      </c>
      <c r="S31" s="259">
        <f t="shared" si="58"/>
        <v>302.5</v>
      </c>
      <c r="T31" s="338">
        <f>SUM(N31:S31)</f>
        <v>302.5</v>
      </c>
      <c r="U31" s="338">
        <f>T31+L31</f>
        <v>1003.6</v>
      </c>
      <c r="V31" s="183">
        <f t="shared" ref="V31:W31" si="61">V65+V170+V215</f>
        <v>890.2</v>
      </c>
      <c r="W31" s="184">
        <f t="shared" si="61"/>
        <v>-113.4</v>
      </c>
      <c r="X31" s="279">
        <f>U24-U31</f>
        <v>0</v>
      </c>
    </row>
    <row r="32" spans="1:27" s="190" customFormat="1" ht="18" customHeight="1">
      <c r="A32" s="610"/>
      <c r="B32" s="576"/>
      <c r="C32" s="577"/>
      <c r="D32" s="187" t="str">
        <f>серпень!D32</f>
        <v>тариф, грн.</v>
      </c>
      <c r="E32" s="188" t="e">
        <f t="shared" ref="E32:K32" si="62">E33/E31*1000</f>
        <v>#DIV/0!</v>
      </c>
      <c r="F32" s="188" t="e">
        <f t="shared" si="62"/>
        <v>#DIV/0!</v>
      </c>
      <c r="G32" s="188">
        <f t="shared" si="62"/>
        <v>2610.64</v>
      </c>
      <c r="H32" s="188">
        <f t="shared" si="62"/>
        <v>2528.0010000000002</v>
      </c>
      <c r="I32" s="188">
        <f t="shared" si="62"/>
        <v>2632.2420000000002</v>
      </c>
      <c r="J32" s="188" t="e">
        <f t="shared" si="62"/>
        <v>#DIV/0!</v>
      </c>
      <c r="K32" s="188" t="e">
        <f t="shared" si="62"/>
        <v>#DIV/0!</v>
      </c>
      <c r="L32" s="188">
        <f>L33/L31*1000</f>
        <v>2727.9859999999999</v>
      </c>
      <c r="M32" s="188">
        <f>M33/M31*1000</f>
        <v>2727.9850000000001</v>
      </c>
      <c r="N32" s="188" t="e">
        <f t="shared" ref="N32:S32" si="63">N33/N31*1000</f>
        <v>#DIV/0!</v>
      </c>
      <c r="O32" s="188" t="e">
        <f t="shared" si="63"/>
        <v>#DIV/0!</v>
      </c>
      <c r="P32" s="188" t="e">
        <f t="shared" si="63"/>
        <v>#DIV/0!</v>
      </c>
      <c r="Q32" s="188" t="e">
        <f t="shared" si="63"/>
        <v>#DIV/0!</v>
      </c>
      <c r="R32" s="188" t="e">
        <f t="shared" si="63"/>
        <v>#DIV/0!</v>
      </c>
      <c r="S32" s="188">
        <f t="shared" si="63"/>
        <v>3132.893</v>
      </c>
      <c r="T32" s="188">
        <f>T33/T31*1000</f>
        <v>4397.3519999999999</v>
      </c>
      <c r="U32" s="188">
        <f>U33/U31*1000</f>
        <v>3231.1579999999999</v>
      </c>
      <c r="V32" s="188">
        <f>V33/V31*1000</f>
        <v>3844.4920000000002</v>
      </c>
      <c r="W32" s="189">
        <f>W33/W31*1000</f>
        <v>-1583.5709999999999</v>
      </c>
      <c r="X32" s="185"/>
    </row>
    <row r="33" spans="1:25" s="176" customFormat="1" ht="18" customHeight="1">
      <c r="A33" s="610"/>
      <c r="B33" s="576"/>
      <c r="C33" s="577"/>
      <c r="D33" s="198" t="str">
        <f>серпень!D33</f>
        <v>касові видатки, тис.грн.</v>
      </c>
      <c r="E33" s="199">
        <f t="shared" ref="E33" si="64">E67+E172+E217+E264</f>
        <v>0</v>
      </c>
      <c r="F33" s="199">
        <f>F67+F172+F217+F264</f>
        <v>0</v>
      </c>
      <c r="G33" s="199">
        <f t="shared" ref="G33:K33" si="65">G67+G172+G217+G264</f>
        <v>596.00900000000001</v>
      </c>
      <c r="H33" s="199">
        <f t="shared" si="65"/>
        <v>769.01800000000003</v>
      </c>
      <c r="I33" s="199">
        <f t="shared" si="65"/>
        <v>443.79599999999999</v>
      </c>
      <c r="J33" s="199">
        <f t="shared" si="65"/>
        <v>48.963999999999999</v>
      </c>
      <c r="K33" s="199">
        <f t="shared" si="65"/>
        <v>54.804000000000002</v>
      </c>
      <c r="L33" s="199">
        <f>SUM(F33:K33)</f>
        <v>1912.5909999999999</v>
      </c>
      <c r="M33" s="199">
        <f>L33/6</f>
        <v>318.76499999999999</v>
      </c>
      <c r="N33" s="199">
        <f>N67+N172+N217+N264</f>
        <v>48.963000000000001</v>
      </c>
      <c r="O33" s="199">
        <f t="shared" ref="O33:S33" si="66">O67+O172+O217+O264</f>
        <v>60.643000000000001</v>
      </c>
      <c r="P33" s="199">
        <f t="shared" si="66"/>
        <v>60.643000000000001</v>
      </c>
      <c r="Q33" s="199">
        <f t="shared" si="66"/>
        <v>106.125</v>
      </c>
      <c r="R33" s="199">
        <f t="shared" si="66"/>
        <v>106.125</v>
      </c>
      <c r="S33" s="199">
        <f t="shared" si="66"/>
        <v>947.7</v>
      </c>
      <c r="T33" s="199">
        <f>SUM(N33:S33)</f>
        <v>1330.1990000000001</v>
      </c>
      <c r="U33" s="199">
        <f>T33+L33</f>
        <v>3242.79</v>
      </c>
      <c r="V33" s="175">
        <f>V67+V172+V217+V264</f>
        <v>3422.3670000000002</v>
      </c>
      <c r="W33" s="200">
        <f>W67+W172+W217+W264</f>
        <v>179.577</v>
      </c>
      <c r="X33" s="176">
        <f>U28-U33</f>
        <v>0</v>
      </c>
    </row>
    <row r="34" spans="1:25" s="176" customFormat="1" ht="18" customHeight="1">
      <c r="A34" s="610"/>
      <c r="B34" s="576"/>
      <c r="C34" s="577"/>
      <c r="D34" s="201" t="str">
        <f>серпень!D34</f>
        <v>дотація</v>
      </c>
      <c r="E34" s="199"/>
      <c r="F34" s="199">
        <f t="shared" ref="F34:K35" si="67">F68+F173+F218+F265</f>
        <v>0</v>
      </c>
      <c r="G34" s="199">
        <f t="shared" si="67"/>
        <v>0</v>
      </c>
      <c r="H34" s="199">
        <f t="shared" si="67"/>
        <v>63.845999999999997</v>
      </c>
      <c r="I34" s="199">
        <f t="shared" si="67"/>
        <v>0</v>
      </c>
      <c r="J34" s="199">
        <f t="shared" si="67"/>
        <v>24.728000000000002</v>
      </c>
      <c r="K34" s="199">
        <f t="shared" si="67"/>
        <v>0</v>
      </c>
      <c r="L34" s="199">
        <f>SUM(F34:K34)</f>
        <v>88.573999999999998</v>
      </c>
      <c r="M34" s="199">
        <f>L34/6</f>
        <v>14.762</v>
      </c>
      <c r="N34" s="199">
        <f t="shared" ref="N34:S35" si="68">N68+N173+N218+N265</f>
        <v>0</v>
      </c>
      <c r="O34" s="199">
        <f t="shared" si="68"/>
        <v>0</v>
      </c>
      <c r="P34" s="199">
        <f t="shared" si="68"/>
        <v>0</v>
      </c>
      <c r="Q34" s="199">
        <f t="shared" si="68"/>
        <v>0</v>
      </c>
      <c r="R34" s="199">
        <f t="shared" si="68"/>
        <v>0</v>
      </c>
      <c r="S34" s="199">
        <f t="shared" si="68"/>
        <v>0</v>
      </c>
      <c r="T34" s="199">
        <f>SUM(N34:S34)</f>
        <v>0</v>
      </c>
      <c r="U34" s="199">
        <f>T34+L34</f>
        <v>88.573999999999998</v>
      </c>
      <c r="V34" s="175">
        <f>V68+V173+V218+V265</f>
        <v>88.573999999999998</v>
      </c>
      <c r="W34" s="200">
        <f>V34-U34</f>
        <v>0</v>
      </c>
      <c r="X34" s="176">
        <f>U29-U34</f>
        <v>0</v>
      </c>
    </row>
    <row r="35" spans="1:25" s="176" customFormat="1" ht="18" customHeight="1">
      <c r="A35" s="610"/>
      <c r="B35" s="576"/>
      <c r="C35" s="577"/>
      <c r="D35" s="201" t="str">
        <f>серпень!D35</f>
        <v xml:space="preserve">місцевий </v>
      </c>
      <c r="E35" s="199"/>
      <c r="F35" s="199">
        <f t="shared" si="67"/>
        <v>0</v>
      </c>
      <c r="G35" s="199">
        <f t="shared" si="67"/>
        <v>596.00900000000001</v>
      </c>
      <c r="H35" s="199">
        <f t="shared" si="67"/>
        <v>705.17200000000003</v>
      </c>
      <c r="I35" s="199">
        <f t="shared" si="67"/>
        <v>443.79599999999999</v>
      </c>
      <c r="J35" s="199">
        <f t="shared" si="67"/>
        <v>24.236000000000001</v>
      </c>
      <c r="K35" s="199">
        <f t="shared" si="67"/>
        <v>54.804000000000002</v>
      </c>
      <c r="L35" s="199">
        <f>SUM(F35:K35)</f>
        <v>1824.0170000000001</v>
      </c>
      <c r="M35" s="199">
        <f>L35/6</f>
        <v>304.00299999999999</v>
      </c>
      <c r="N35" s="199">
        <f t="shared" si="68"/>
        <v>48.963000000000001</v>
      </c>
      <c r="O35" s="199">
        <f t="shared" si="68"/>
        <v>60.643000000000001</v>
      </c>
      <c r="P35" s="199">
        <f t="shared" si="68"/>
        <v>60.643000000000001</v>
      </c>
      <c r="Q35" s="199">
        <f t="shared" si="68"/>
        <v>106.125</v>
      </c>
      <c r="R35" s="199">
        <f t="shared" si="68"/>
        <v>106.125</v>
      </c>
      <c r="S35" s="199">
        <f t="shared" si="68"/>
        <v>947.7</v>
      </c>
      <c r="T35" s="199">
        <f>SUM(N35:S35)</f>
        <v>1330.1990000000001</v>
      </c>
      <c r="U35" s="199">
        <f>T35+L35</f>
        <v>3154.2159999999999</v>
      </c>
      <c r="V35" s="175">
        <f>V69+V174+V219+V266</f>
        <v>3333.7930000000001</v>
      </c>
      <c r="W35" s="200">
        <f>V35-U35</f>
        <v>179.577</v>
      </c>
      <c r="X35" s="176">
        <f>U30-U35</f>
        <v>179.577</v>
      </c>
    </row>
    <row r="36" spans="1:25" s="205" customFormat="1" ht="18" customHeight="1">
      <c r="A36" s="610"/>
      <c r="B36" s="576"/>
      <c r="C36" s="577"/>
      <c r="D36" s="202" t="str">
        <f>серпень!D36</f>
        <v>план</v>
      </c>
      <c r="E36" s="203"/>
      <c r="F36" s="203">
        <f>F30+F29</f>
        <v>0</v>
      </c>
      <c r="G36" s="203">
        <f t="shared" ref="G36:K36" si="69">G30+G29</f>
        <v>596.00900000000001</v>
      </c>
      <c r="H36" s="203">
        <f t="shared" si="69"/>
        <v>786.01700000000005</v>
      </c>
      <c r="I36" s="203">
        <f t="shared" si="69"/>
        <v>488.40800000000002</v>
      </c>
      <c r="J36" s="203">
        <f t="shared" si="69"/>
        <v>0.23699999999999999</v>
      </c>
      <c r="K36" s="203">
        <f t="shared" si="69"/>
        <v>42.003</v>
      </c>
      <c r="L36" s="203">
        <f>SUM(F36:K36)</f>
        <v>1912.674</v>
      </c>
      <c r="M36" s="203">
        <f>L36/6</f>
        <v>318.779</v>
      </c>
      <c r="N36" s="203">
        <f>N30+N29</f>
        <v>48.886000000000003</v>
      </c>
      <c r="O36" s="203">
        <f t="shared" ref="O36:S36" si="70">O30+O29</f>
        <v>60.723999999999997</v>
      </c>
      <c r="P36" s="203">
        <f t="shared" si="70"/>
        <v>105.724</v>
      </c>
      <c r="Q36" s="203">
        <f t="shared" si="70"/>
        <v>124.724</v>
      </c>
      <c r="R36" s="203">
        <f t="shared" si="70"/>
        <v>105.724</v>
      </c>
      <c r="S36" s="203">
        <f t="shared" si="70"/>
        <v>1063.9110000000001</v>
      </c>
      <c r="T36" s="203">
        <f>SUM(N36:S36)</f>
        <v>1509.693</v>
      </c>
      <c r="U36" s="203">
        <f>T36+L36</f>
        <v>3422.3670000000002</v>
      </c>
      <c r="V36" s="204">
        <f>V70+V175+V220+V267</f>
        <v>3422.3670000000002</v>
      </c>
      <c r="W36" s="203">
        <f>V36-U36</f>
        <v>0</v>
      </c>
    </row>
    <row r="37" spans="1:25" s="205" customFormat="1" ht="18" customHeight="1">
      <c r="A37" s="610"/>
      <c r="B37" s="576"/>
      <c r="C37" s="577"/>
      <c r="D37" s="202" t="str">
        <f>серпень!D37</f>
        <v xml:space="preserve">відхилення </v>
      </c>
      <c r="E37" s="203"/>
      <c r="F37" s="203">
        <f t="shared" ref="F37:K37" si="71">F33-F36</f>
        <v>0</v>
      </c>
      <c r="G37" s="203">
        <f t="shared" si="71"/>
        <v>0</v>
      </c>
      <c r="H37" s="203">
        <f t="shared" si="71"/>
        <v>-16.998999999999999</v>
      </c>
      <c r="I37" s="203">
        <f t="shared" si="71"/>
        <v>-44.612000000000002</v>
      </c>
      <c r="J37" s="203">
        <f t="shared" si="71"/>
        <v>48.726999999999997</v>
      </c>
      <c r="K37" s="203">
        <f t="shared" si="71"/>
        <v>12.801</v>
      </c>
      <c r="L37" s="203"/>
      <c r="M37" s="203"/>
      <c r="N37" s="203">
        <f t="shared" ref="N37:S37" si="72">N33-N36</f>
        <v>7.6999999999999999E-2</v>
      </c>
      <c r="O37" s="203">
        <f t="shared" si="72"/>
        <v>-8.1000000000000003E-2</v>
      </c>
      <c r="P37" s="203">
        <f t="shared" si="72"/>
        <v>-45.081000000000003</v>
      </c>
      <c r="Q37" s="203">
        <f t="shared" si="72"/>
        <v>-18.599</v>
      </c>
      <c r="R37" s="203">
        <f t="shared" si="72"/>
        <v>0.40100000000000002</v>
      </c>
      <c r="S37" s="203">
        <f t="shared" si="72"/>
        <v>-116.211</v>
      </c>
      <c r="T37" s="203"/>
      <c r="U37" s="203"/>
      <c r="V37" s="203"/>
      <c r="W37" s="203"/>
    </row>
    <row r="38" spans="1:25" s="205" customFormat="1" ht="18" customHeight="1">
      <c r="A38" s="610"/>
      <c r="B38" s="576"/>
      <c r="C38" s="577"/>
      <c r="D38" s="202" t="str">
        <f>серпень!D38</f>
        <v>відхилення з наростаючим</v>
      </c>
      <c r="E38" s="203"/>
      <c r="F38" s="203">
        <f>F37</f>
        <v>0</v>
      </c>
      <c r="G38" s="203">
        <f>G37+F38</f>
        <v>0</v>
      </c>
      <c r="H38" s="203">
        <f>H37+G38</f>
        <v>-16.998999999999999</v>
      </c>
      <c r="I38" s="203">
        <f>I37+H38</f>
        <v>-61.610999999999997</v>
      </c>
      <c r="J38" s="203">
        <f>J37+I38</f>
        <v>-12.884</v>
      </c>
      <c r="K38" s="203">
        <f>K37+J38</f>
        <v>-8.3000000000000004E-2</v>
      </c>
      <c r="L38" s="203"/>
      <c r="M38" s="203"/>
      <c r="N38" s="203">
        <f>N37+K38</f>
        <v>-6.0000000000000001E-3</v>
      </c>
      <c r="O38" s="203">
        <f>O37+N38</f>
        <v>-8.6999999999999994E-2</v>
      </c>
      <c r="P38" s="203">
        <f>P37+O38</f>
        <v>-45.167999999999999</v>
      </c>
      <c r="Q38" s="203">
        <f>Q37+P38</f>
        <v>-63.767000000000003</v>
      </c>
      <c r="R38" s="203">
        <f>R37+Q38</f>
        <v>-63.366</v>
      </c>
      <c r="S38" s="203">
        <f>S37+R38</f>
        <v>-179.577</v>
      </c>
      <c r="T38" s="203"/>
      <c r="U38" s="203"/>
      <c r="V38" s="203"/>
      <c r="W38" s="203"/>
    </row>
    <row r="39" spans="1:25" s="206" customFormat="1" ht="18" customHeight="1">
      <c r="A39" s="610"/>
      <c r="B39" s="581" t="s">
        <v>71</v>
      </c>
      <c r="C39" s="581"/>
      <c r="D39" s="178" t="str">
        <f>серпень!D39</f>
        <v>факт. нат.п-ки 2023</v>
      </c>
      <c r="E39" s="179"/>
      <c r="F39" s="180">
        <f t="shared" ref="F39:K40" si="73">F56+F163+F208</f>
        <v>282.7</v>
      </c>
      <c r="G39" s="180">
        <f t="shared" si="73"/>
        <v>198</v>
      </c>
      <c r="H39" s="180">
        <f t="shared" si="73"/>
        <v>173.6</v>
      </c>
      <c r="I39" s="180">
        <f t="shared" si="73"/>
        <v>0.6</v>
      </c>
      <c r="J39" s="180">
        <f t="shared" si="73"/>
        <v>0.5</v>
      </c>
      <c r="K39" s="180">
        <f t="shared" si="73"/>
        <v>0.6</v>
      </c>
      <c r="L39" s="181">
        <f>SUM(F39:K39)</f>
        <v>656</v>
      </c>
      <c r="M39" s="181">
        <f>L39/6</f>
        <v>109.3</v>
      </c>
      <c r="N39" s="180">
        <f t="shared" ref="N39:S40" si="74">N56+N163+N208</f>
        <v>0.6</v>
      </c>
      <c r="O39" s="180">
        <f t="shared" si="74"/>
        <v>0.4</v>
      </c>
      <c r="P39" s="180">
        <f t="shared" si="74"/>
        <v>0.6</v>
      </c>
      <c r="Q39" s="180">
        <f t="shared" si="74"/>
        <v>0.6</v>
      </c>
      <c r="R39" s="180">
        <f t="shared" si="74"/>
        <v>87.7</v>
      </c>
      <c r="S39" s="180">
        <f t="shared" si="74"/>
        <v>187.7</v>
      </c>
      <c r="T39" s="181">
        <f>SUM(N39:S39)</f>
        <v>277.60000000000002</v>
      </c>
      <c r="U39" s="182">
        <f>T39+L39</f>
        <v>933.6</v>
      </c>
      <c r="V39" s="183">
        <f>V56+V163</f>
        <v>442.4</v>
      </c>
      <c r="W39" s="184"/>
    </row>
    <row r="40" spans="1:25" s="206" customFormat="1" ht="18" customHeight="1">
      <c r="A40" s="610"/>
      <c r="B40" s="581"/>
      <c r="C40" s="581"/>
      <c r="D40" s="178" t="str">
        <f>серпень!D40</f>
        <v>факт. нат.п-ки 2024</v>
      </c>
      <c r="E40" s="179"/>
      <c r="F40" s="180">
        <f t="shared" si="73"/>
        <v>194.6</v>
      </c>
      <c r="G40" s="180">
        <f t="shared" si="73"/>
        <v>190.3</v>
      </c>
      <c r="H40" s="180">
        <f t="shared" si="73"/>
        <v>186.1</v>
      </c>
      <c r="I40" s="180">
        <f t="shared" si="73"/>
        <v>0.5</v>
      </c>
      <c r="J40" s="180">
        <f t="shared" si="73"/>
        <v>0.5</v>
      </c>
      <c r="K40" s="180">
        <f t="shared" si="73"/>
        <v>0.5</v>
      </c>
      <c r="L40" s="181">
        <f>SUM(F40:K40)</f>
        <v>572.5</v>
      </c>
      <c r="M40" s="181">
        <f>L40/6</f>
        <v>95.4</v>
      </c>
      <c r="N40" s="180">
        <f t="shared" si="74"/>
        <v>0.4</v>
      </c>
      <c r="O40" s="180">
        <f t="shared" si="74"/>
        <v>0.4</v>
      </c>
      <c r="P40" s="180">
        <f t="shared" si="74"/>
        <v>0.4</v>
      </c>
      <c r="Q40" s="180">
        <f t="shared" si="74"/>
        <v>0.4</v>
      </c>
      <c r="R40" s="180">
        <f t="shared" si="74"/>
        <v>87.5</v>
      </c>
      <c r="S40" s="180">
        <f t="shared" si="74"/>
        <v>198</v>
      </c>
      <c r="T40" s="181">
        <f>SUM(N40:S40)</f>
        <v>287.10000000000002</v>
      </c>
      <c r="U40" s="182">
        <f>T40+L40</f>
        <v>859.6</v>
      </c>
      <c r="V40" s="183">
        <f>V57+V164</f>
        <v>1015.7</v>
      </c>
      <c r="W40" s="184"/>
    </row>
    <row r="41" spans="1:25" s="206" customFormat="1" ht="18" customHeight="1">
      <c r="A41" s="610"/>
      <c r="B41" s="581"/>
      <c r="C41" s="581"/>
      <c r="D41" s="178" t="str">
        <f>серпень!D41</f>
        <v>факт. нат.п-ки 2025</v>
      </c>
      <c r="E41" s="179"/>
      <c r="F41" s="180">
        <f>F90+F135+F165+F210</f>
        <v>228.3</v>
      </c>
      <c r="G41" s="180">
        <f t="shared" ref="G41:K41" si="75">G90+G135+G165+G210</f>
        <v>304.2</v>
      </c>
      <c r="H41" s="180">
        <f t="shared" si="75"/>
        <v>168.6</v>
      </c>
      <c r="I41" s="180">
        <f t="shared" si="75"/>
        <v>0</v>
      </c>
      <c r="J41" s="180">
        <f t="shared" si="75"/>
        <v>0</v>
      </c>
      <c r="K41" s="180">
        <f t="shared" si="75"/>
        <v>0</v>
      </c>
      <c r="L41" s="181">
        <f>SUM(F41:K41)</f>
        <v>701.1</v>
      </c>
      <c r="M41" s="181">
        <f>L41/6</f>
        <v>116.9</v>
      </c>
      <c r="N41" s="180">
        <f>N90+N135+N165+N210</f>
        <v>0</v>
      </c>
      <c r="O41" s="180">
        <f t="shared" ref="O41:S41" si="76">O90+O135+O165+O210</f>
        <v>0</v>
      </c>
      <c r="P41" s="180">
        <f t="shared" si="76"/>
        <v>0</v>
      </c>
      <c r="Q41" s="180">
        <f t="shared" si="76"/>
        <v>0</v>
      </c>
      <c r="R41" s="180">
        <f t="shared" si="76"/>
        <v>107.1</v>
      </c>
      <c r="S41" s="180">
        <f t="shared" si="76"/>
        <v>195.4</v>
      </c>
      <c r="T41" s="181">
        <f>SUM(N41:S41)</f>
        <v>302.5</v>
      </c>
      <c r="U41" s="182">
        <f>T41+L41</f>
        <v>1003.6</v>
      </c>
      <c r="V41" s="264">
        <f t="shared" ref="V41" si="77">V58+V165+V210</f>
        <v>890.2</v>
      </c>
      <c r="W41" s="184">
        <f>V41-U41</f>
        <v>-113.4</v>
      </c>
    </row>
    <row r="42" spans="1:25" s="206" customFormat="1" ht="18" customHeight="1">
      <c r="A42" s="610"/>
      <c r="B42" s="581"/>
      <c r="C42" s="581"/>
      <c r="D42" s="187" t="str">
        <f>серпень!D42</f>
        <v>тариф, грн.</v>
      </c>
      <c r="E42" s="188"/>
      <c r="F42" s="188">
        <f t="shared" ref="F42:S42" si="78">F43/F41*1000</f>
        <v>2346.1190000000001</v>
      </c>
      <c r="G42" s="188">
        <f t="shared" si="78"/>
        <v>2328.7280000000001</v>
      </c>
      <c r="H42" s="188">
        <f t="shared" si="78"/>
        <v>2272.6990000000001</v>
      </c>
      <c r="I42" s="188" t="e">
        <f>I43/I41*1000</f>
        <v>#DIV/0!</v>
      </c>
      <c r="J42" s="188" t="e">
        <f>J43/J41*1000</f>
        <v>#DIV/0!</v>
      </c>
      <c r="K42" s="188" t="e">
        <f t="shared" si="78"/>
        <v>#DIV/0!</v>
      </c>
      <c r="L42" s="188">
        <f t="shared" si="78"/>
        <v>2320.9169999999999</v>
      </c>
      <c r="M42" s="188">
        <f t="shared" si="78"/>
        <v>2319.9229999999998</v>
      </c>
      <c r="N42" s="188" t="e">
        <f t="shared" si="78"/>
        <v>#DIV/0!</v>
      </c>
      <c r="O42" s="188" t="e">
        <f t="shared" si="78"/>
        <v>#DIV/0!</v>
      </c>
      <c r="P42" s="188" t="e">
        <f t="shared" si="78"/>
        <v>#DIV/0!</v>
      </c>
      <c r="Q42" s="188" t="e">
        <f t="shared" si="78"/>
        <v>#DIV/0!</v>
      </c>
      <c r="R42" s="188">
        <f t="shared" si="78"/>
        <v>2311.8020000000001</v>
      </c>
      <c r="S42" s="188">
        <f t="shared" si="78"/>
        <v>2496.6990000000001</v>
      </c>
      <c r="T42" s="188">
        <f>T43/T41*1000</f>
        <v>2431.2359999999999</v>
      </c>
      <c r="U42" s="188">
        <f>U43/U41*1000</f>
        <v>2354.1689999999999</v>
      </c>
      <c r="V42" s="188">
        <f>V43/V41*1000</f>
        <v>2391.5419999999999</v>
      </c>
      <c r="W42" s="189">
        <f>W43/W41*1000</f>
        <v>2060.7849999999999</v>
      </c>
    </row>
    <row r="43" spans="1:25" s="206" customFormat="1" ht="18" customHeight="1">
      <c r="A43" s="610"/>
      <c r="B43" s="581"/>
      <c r="C43" s="581"/>
      <c r="D43" s="191" t="str">
        <f>серпень!D43</f>
        <v>сума, тис.грн.</v>
      </c>
      <c r="E43" s="192"/>
      <c r="F43" s="193">
        <f>F92+F137+F167+F212</f>
        <v>535.61900000000003</v>
      </c>
      <c r="G43" s="193">
        <f t="shared" ref="G43:K43" si="79">G92+G137+G167+G212</f>
        <v>708.399</v>
      </c>
      <c r="H43" s="193">
        <f t="shared" si="79"/>
        <v>383.17700000000002</v>
      </c>
      <c r="I43" s="193">
        <f t="shared" si="79"/>
        <v>0</v>
      </c>
      <c r="J43" s="193">
        <f t="shared" si="79"/>
        <v>0</v>
      </c>
      <c r="K43" s="193">
        <f t="shared" si="79"/>
        <v>0</v>
      </c>
      <c r="L43" s="194">
        <f t="shared" ref="L43:L48" si="80">SUM(F43:K43)</f>
        <v>1627.1949999999999</v>
      </c>
      <c r="M43" s="194">
        <f t="shared" ref="M43:M48" si="81">L43/6</f>
        <v>271.19900000000001</v>
      </c>
      <c r="N43" s="193">
        <f>N92+N137+N167+N212</f>
        <v>0</v>
      </c>
      <c r="O43" s="193">
        <f t="shared" ref="O43:S43" si="82">O92+O137+O167+O212</f>
        <v>0</v>
      </c>
      <c r="P43" s="193">
        <f t="shared" si="82"/>
        <v>0</v>
      </c>
      <c r="Q43" s="193">
        <f t="shared" si="82"/>
        <v>0</v>
      </c>
      <c r="R43" s="193">
        <f t="shared" si="82"/>
        <v>247.59399999999999</v>
      </c>
      <c r="S43" s="193">
        <f t="shared" si="82"/>
        <v>487.85500000000002</v>
      </c>
      <c r="T43" s="194">
        <f>SUM(N43:S43)</f>
        <v>735.44899999999996</v>
      </c>
      <c r="U43" s="194">
        <f>T43+L43</f>
        <v>2362.6439999999998</v>
      </c>
      <c r="V43" s="171">
        <f>V60+V167+V212</f>
        <v>2128.951</v>
      </c>
      <c r="W43" s="193">
        <f>V43-U43</f>
        <v>-233.69300000000001</v>
      </c>
    </row>
    <row r="44" spans="1:25" s="206" customFormat="1" ht="18" customHeight="1">
      <c r="A44" s="610"/>
      <c r="B44" s="581"/>
      <c r="C44" s="581"/>
      <c r="D44" s="174" t="str">
        <f>серпень!D44</f>
        <v>абоненська плата, тис.грн.</v>
      </c>
      <c r="E44" s="192"/>
      <c r="F44" s="193">
        <f>F77+F107+F122+F152</f>
        <v>60.39</v>
      </c>
      <c r="G44" s="193">
        <f t="shared" ref="G44:K44" si="83">G77+G107+G122+G152</f>
        <v>60.619</v>
      </c>
      <c r="H44" s="193">
        <f t="shared" si="83"/>
        <v>60.619</v>
      </c>
      <c r="I44" s="193">
        <f t="shared" si="83"/>
        <v>48.963999999999999</v>
      </c>
      <c r="J44" s="193">
        <f t="shared" si="83"/>
        <v>54.804000000000002</v>
      </c>
      <c r="K44" s="193">
        <f t="shared" si="83"/>
        <v>48.963999999999999</v>
      </c>
      <c r="L44" s="194">
        <f t="shared" si="80"/>
        <v>334.36</v>
      </c>
      <c r="M44" s="194">
        <f t="shared" si="81"/>
        <v>55.726999999999997</v>
      </c>
      <c r="N44" s="193">
        <f>N77+N107+N122+N152</f>
        <v>60.643000000000001</v>
      </c>
      <c r="O44" s="193">
        <f t="shared" ref="O44:S44" si="84">O77+O107+O122+O152</f>
        <v>60.643000000000001</v>
      </c>
      <c r="P44" s="193">
        <f t="shared" si="84"/>
        <v>106.125</v>
      </c>
      <c r="Q44" s="193">
        <f t="shared" si="84"/>
        <v>106.125</v>
      </c>
      <c r="R44" s="193">
        <f t="shared" si="84"/>
        <v>106.125</v>
      </c>
      <c r="S44" s="193">
        <f t="shared" si="84"/>
        <v>106.125</v>
      </c>
      <c r="T44" s="194">
        <f t="shared" ref="T44:T46" si="85">SUM(N44:S44)</f>
        <v>545.78599999999994</v>
      </c>
      <c r="U44" s="194">
        <f t="shared" ref="U44:U46" si="86">T44+L44</f>
        <v>880.14599999999996</v>
      </c>
      <c r="V44" s="171">
        <f t="shared" ref="V44:V45" si="87">V61</f>
        <v>1293.4159999999999</v>
      </c>
      <c r="W44" s="193">
        <f t="shared" ref="W44:W45" si="88">V44-U44</f>
        <v>413.27</v>
      </c>
    </row>
    <row r="45" spans="1:25" s="206" customFormat="1" ht="18" customHeight="1">
      <c r="A45" s="610"/>
      <c r="B45" s="581"/>
      <c r="C45" s="581"/>
      <c r="D45" s="174" t="str">
        <f>серпень!D45</f>
        <v>разом сума тис. грн+абонплата</v>
      </c>
      <c r="E45" s="192"/>
      <c r="F45" s="193">
        <f>F43+F44</f>
        <v>596.00900000000001</v>
      </c>
      <c r="G45" s="193">
        <f t="shared" ref="G45:K45" si="89">G43+G44</f>
        <v>769.01800000000003</v>
      </c>
      <c r="H45" s="193">
        <f t="shared" si="89"/>
        <v>443.79599999999999</v>
      </c>
      <c r="I45" s="193">
        <f t="shared" si="89"/>
        <v>48.963999999999999</v>
      </c>
      <c r="J45" s="193">
        <f t="shared" si="89"/>
        <v>54.804000000000002</v>
      </c>
      <c r="K45" s="193">
        <f t="shared" si="89"/>
        <v>48.963999999999999</v>
      </c>
      <c r="L45" s="194">
        <f t="shared" si="80"/>
        <v>1961.5550000000001</v>
      </c>
      <c r="M45" s="194">
        <f t="shared" si="81"/>
        <v>326.92599999999999</v>
      </c>
      <c r="N45" s="193">
        <f t="shared" ref="N45:S45" si="90">N43+N44</f>
        <v>60.643000000000001</v>
      </c>
      <c r="O45" s="193">
        <f t="shared" si="90"/>
        <v>60.643000000000001</v>
      </c>
      <c r="P45" s="193">
        <f t="shared" si="90"/>
        <v>106.125</v>
      </c>
      <c r="Q45" s="193">
        <f t="shared" si="90"/>
        <v>106.125</v>
      </c>
      <c r="R45" s="193">
        <f t="shared" si="90"/>
        <v>353.71899999999999</v>
      </c>
      <c r="S45" s="193">
        <f t="shared" si="90"/>
        <v>593.98</v>
      </c>
      <c r="T45" s="194">
        <f t="shared" ref="T45" si="91">SUM(N45:S45)</f>
        <v>1281.2349999999999</v>
      </c>
      <c r="U45" s="194">
        <f t="shared" si="86"/>
        <v>3242.79</v>
      </c>
      <c r="V45" s="171">
        <f t="shared" si="87"/>
        <v>3422.3670000000002</v>
      </c>
      <c r="W45" s="193">
        <f t="shared" si="88"/>
        <v>179.577</v>
      </c>
    </row>
    <row r="46" spans="1:25" s="206" customFormat="1" ht="18" customHeight="1">
      <c r="A46" s="610"/>
      <c r="B46" s="581"/>
      <c r="C46" s="581"/>
      <c r="D46" s="174" t="str">
        <f>серпень!D46</f>
        <v>дотація</v>
      </c>
      <c r="E46" s="192"/>
      <c r="F46" s="193">
        <f>F63+F168+F213</f>
        <v>0</v>
      </c>
      <c r="G46" s="193">
        <f t="shared" ref="G46:K47" si="92">G63+G168+G213</f>
        <v>0</v>
      </c>
      <c r="H46" s="193">
        <f t="shared" si="92"/>
        <v>63.845999999999997</v>
      </c>
      <c r="I46" s="193">
        <f t="shared" si="92"/>
        <v>24.728000000000002</v>
      </c>
      <c r="J46" s="193">
        <f t="shared" si="92"/>
        <v>0</v>
      </c>
      <c r="K46" s="193">
        <f t="shared" si="92"/>
        <v>0</v>
      </c>
      <c r="L46" s="194">
        <f t="shared" si="80"/>
        <v>88.573999999999998</v>
      </c>
      <c r="M46" s="194">
        <f t="shared" si="81"/>
        <v>14.762</v>
      </c>
      <c r="N46" s="193">
        <f t="shared" ref="N46:S47" si="93">N63+N168+N213</f>
        <v>0</v>
      </c>
      <c r="O46" s="193">
        <f t="shared" si="93"/>
        <v>0</v>
      </c>
      <c r="P46" s="193">
        <f t="shared" si="93"/>
        <v>0</v>
      </c>
      <c r="Q46" s="193">
        <f t="shared" si="93"/>
        <v>0</v>
      </c>
      <c r="R46" s="193">
        <f t="shared" si="93"/>
        <v>0</v>
      </c>
      <c r="S46" s="193">
        <f t="shared" si="93"/>
        <v>0</v>
      </c>
      <c r="T46" s="194">
        <f t="shared" si="85"/>
        <v>0</v>
      </c>
      <c r="U46" s="194">
        <f t="shared" si="86"/>
        <v>88.573999999999998</v>
      </c>
      <c r="V46" s="171">
        <f t="shared" ref="V46" si="94">V63+V168+V213</f>
        <v>88.573999999999998</v>
      </c>
      <c r="W46" s="192">
        <f>V46-U46</f>
        <v>0</v>
      </c>
    </row>
    <row r="47" spans="1:25" s="206" customFormat="1" ht="18" customHeight="1">
      <c r="A47" s="610"/>
      <c r="B47" s="581"/>
      <c r="C47" s="581"/>
      <c r="D47" s="174" t="str">
        <f>серпень!D47</f>
        <v>місцевий (план), тис.грн</v>
      </c>
      <c r="E47" s="192"/>
      <c r="F47" s="193">
        <f>F64+F169+F214</f>
        <v>0</v>
      </c>
      <c r="G47" s="193">
        <f t="shared" si="92"/>
        <v>596.00900000000001</v>
      </c>
      <c r="H47" s="193">
        <f t="shared" si="92"/>
        <v>722.17100000000005</v>
      </c>
      <c r="I47" s="193">
        <f t="shared" si="92"/>
        <v>463.68</v>
      </c>
      <c r="J47" s="193">
        <f t="shared" si="92"/>
        <v>0.23699999999999999</v>
      </c>
      <c r="K47" s="193">
        <f t="shared" si="92"/>
        <v>42.003</v>
      </c>
      <c r="L47" s="194">
        <f t="shared" si="80"/>
        <v>1824.1</v>
      </c>
      <c r="M47" s="194">
        <f t="shared" si="81"/>
        <v>304.017</v>
      </c>
      <c r="N47" s="193">
        <f t="shared" si="93"/>
        <v>48.886000000000003</v>
      </c>
      <c r="O47" s="193">
        <f t="shared" si="93"/>
        <v>60.723999999999997</v>
      </c>
      <c r="P47" s="193">
        <f t="shared" si="93"/>
        <v>105.724</v>
      </c>
      <c r="Q47" s="193">
        <f t="shared" si="93"/>
        <v>124.724</v>
      </c>
      <c r="R47" s="193">
        <f t="shared" si="93"/>
        <v>105.724</v>
      </c>
      <c r="S47" s="193">
        <f>S64+S169+S214</f>
        <v>1063.9110000000001</v>
      </c>
      <c r="T47" s="194">
        <f>SUM(N47:S47)</f>
        <v>1509.693</v>
      </c>
      <c r="U47" s="194">
        <f>T47+L47</f>
        <v>3333.7930000000001</v>
      </c>
      <c r="V47" s="171">
        <f>V64+V169+V214</f>
        <v>3333.7930000000001</v>
      </c>
      <c r="W47" s="192">
        <f>V47-U47</f>
        <v>0</v>
      </c>
    </row>
    <row r="48" spans="1:25" s="206" customFormat="1" ht="18" customHeight="1">
      <c r="A48" s="610"/>
      <c r="B48" s="581"/>
      <c r="C48" s="581"/>
      <c r="D48" s="178" t="str">
        <f>серпень!D48</f>
        <v>касові нат.п-ки 2025</v>
      </c>
      <c r="E48" s="179">
        <f t="shared" ref="E48" si="95">E65+E170+E215</f>
        <v>0</v>
      </c>
      <c r="F48" s="264">
        <f>F95+F140+F170+F215</f>
        <v>0</v>
      </c>
      <c r="G48" s="180">
        <f t="shared" ref="G48:K48" si="96">G95+G140+G170+G215</f>
        <v>228.3</v>
      </c>
      <c r="H48" s="180">
        <f t="shared" si="96"/>
        <v>304.2</v>
      </c>
      <c r="I48" s="264">
        <f t="shared" si="96"/>
        <v>168.6</v>
      </c>
      <c r="J48" s="264">
        <f>J95+J140+J170+J215</f>
        <v>0</v>
      </c>
      <c r="K48" s="264">
        <f t="shared" si="96"/>
        <v>0</v>
      </c>
      <c r="L48" s="181">
        <f t="shared" si="80"/>
        <v>701.1</v>
      </c>
      <c r="M48" s="181">
        <f t="shared" si="81"/>
        <v>116.9</v>
      </c>
      <c r="N48" s="264">
        <f>N95+N140+N170+N215</f>
        <v>0</v>
      </c>
      <c r="O48" s="264">
        <f t="shared" ref="O48:S48" si="97">O95+O140+O170+O215</f>
        <v>0</v>
      </c>
      <c r="P48" s="264">
        <f t="shared" si="97"/>
        <v>0</v>
      </c>
      <c r="Q48" s="264">
        <f t="shared" si="97"/>
        <v>0</v>
      </c>
      <c r="R48" s="264">
        <f t="shared" si="97"/>
        <v>0</v>
      </c>
      <c r="S48" s="264">
        <f t="shared" si="97"/>
        <v>302.5</v>
      </c>
      <c r="T48" s="181">
        <f>SUM(N48:S48)</f>
        <v>302.5</v>
      </c>
      <c r="U48" s="181">
        <f>T48+L48</f>
        <v>1003.6</v>
      </c>
      <c r="V48" s="260">
        <f t="shared" ref="V48" si="98">V80+V95+V110+V125+V140+V155+V170+V215</f>
        <v>902.39099999999996</v>
      </c>
      <c r="W48" s="184">
        <f>V48-U48</f>
        <v>-101.2</v>
      </c>
      <c r="X48" s="206">
        <f>U41-U48</f>
        <v>0</v>
      </c>
      <c r="Y48" s="176"/>
    </row>
    <row r="49" spans="1:24" s="206" customFormat="1" ht="18" customHeight="1">
      <c r="A49" s="610"/>
      <c r="B49" s="581"/>
      <c r="C49" s="581"/>
      <c r="D49" s="187" t="str">
        <f>серпень!D49</f>
        <v>тариф, грн.</v>
      </c>
      <c r="E49" s="188" t="e">
        <f t="shared" ref="E49:S49" si="99">E50/E48*1000</f>
        <v>#DIV/0!</v>
      </c>
      <c r="F49" s="188" t="e">
        <f t="shared" si="99"/>
        <v>#DIV/0!</v>
      </c>
      <c r="G49" s="188">
        <f t="shared" si="99"/>
        <v>2610.64</v>
      </c>
      <c r="H49" s="188">
        <f t="shared" si="99"/>
        <v>2528.0010000000002</v>
      </c>
      <c r="I49" s="188">
        <f>I50/I48*1000</f>
        <v>2632.2420000000002</v>
      </c>
      <c r="J49" s="188" t="e">
        <f>J50/J48*1000</f>
        <v>#DIV/0!</v>
      </c>
      <c r="K49" s="188" t="e">
        <f t="shared" si="99"/>
        <v>#DIV/0!</v>
      </c>
      <c r="L49" s="188">
        <f t="shared" si="99"/>
        <v>2727.9859999999999</v>
      </c>
      <c r="M49" s="188">
        <f t="shared" si="99"/>
        <v>2726.8180000000002</v>
      </c>
      <c r="N49" s="188" t="e">
        <f t="shared" si="99"/>
        <v>#DIV/0!</v>
      </c>
      <c r="O49" s="188" t="e">
        <f t="shared" si="99"/>
        <v>#DIV/0!</v>
      </c>
      <c r="P49" s="188" t="e">
        <f t="shared" si="99"/>
        <v>#DIV/0!</v>
      </c>
      <c r="Q49" s="188" t="e">
        <f t="shared" si="99"/>
        <v>#DIV/0!</v>
      </c>
      <c r="R49" s="188" t="e">
        <f t="shared" si="99"/>
        <v>#DIV/0!</v>
      </c>
      <c r="S49" s="188">
        <f t="shared" si="99"/>
        <v>3132.893</v>
      </c>
      <c r="T49" s="188">
        <f>T50/T48*1000</f>
        <v>4397.3519999999999</v>
      </c>
      <c r="U49" s="188">
        <f>U50/U48*1000</f>
        <v>3231.1579999999999</v>
      </c>
      <c r="V49" s="188">
        <f>V50/V48*1000</f>
        <v>3792.5540000000001</v>
      </c>
      <c r="W49" s="189">
        <f>W50/W48*1000</f>
        <v>-1774.4760000000001</v>
      </c>
    </row>
    <row r="50" spans="1:24" s="176" customFormat="1" ht="18" customHeight="1">
      <c r="A50" s="610"/>
      <c r="B50" s="581"/>
      <c r="C50" s="581"/>
      <c r="D50" s="198" t="str">
        <f>серпень!D50</f>
        <v>касові видатки, тис.грн.</v>
      </c>
      <c r="E50" s="199">
        <f t="shared" ref="E50" si="100">E67+E172+E217</f>
        <v>0</v>
      </c>
      <c r="F50" s="199">
        <f>F67+F172+F217</f>
        <v>0</v>
      </c>
      <c r="G50" s="199">
        <f t="shared" ref="F50:K52" si="101">G67+G172+G217</f>
        <v>596.00900000000001</v>
      </c>
      <c r="H50" s="199">
        <f t="shared" si="101"/>
        <v>769.01800000000003</v>
      </c>
      <c r="I50" s="199">
        <f t="shared" si="101"/>
        <v>443.79599999999999</v>
      </c>
      <c r="J50" s="199">
        <f t="shared" si="101"/>
        <v>48.963999999999999</v>
      </c>
      <c r="K50" s="199">
        <f t="shared" si="101"/>
        <v>54.804000000000002</v>
      </c>
      <c r="L50" s="199">
        <f>SUM(F50:K50)</f>
        <v>1912.5909999999999</v>
      </c>
      <c r="M50" s="199">
        <f>L50/6</f>
        <v>318.76499999999999</v>
      </c>
      <c r="N50" s="199">
        <f>N67+N172+N217</f>
        <v>48.963000000000001</v>
      </c>
      <c r="O50" s="199">
        <f t="shared" ref="O50:S50" si="102">O67+O172+O217</f>
        <v>60.643000000000001</v>
      </c>
      <c r="P50" s="199">
        <f t="shared" si="102"/>
        <v>60.643000000000001</v>
      </c>
      <c r="Q50" s="199">
        <f t="shared" si="102"/>
        <v>106.125</v>
      </c>
      <c r="R50" s="199">
        <f t="shared" si="102"/>
        <v>106.125</v>
      </c>
      <c r="S50" s="199">
        <f t="shared" si="102"/>
        <v>947.7</v>
      </c>
      <c r="T50" s="199">
        <f>SUM(N50:S50)</f>
        <v>1330.1990000000001</v>
      </c>
      <c r="U50" s="199">
        <f>T50+L50</f>
        <v>3242.79</v>
      </c>
      <c r="V50" s="175">
        <f>V67+V172+V217</f>
        <v>3422.3670000000002</v>
      </c>
      <c r="W50" s="200">
        <f>V50-U50</f>
        <v>179.577</v>
      </c>
      <c r="X50" s="176">
        <f>U45-U50</f>
        <v>0</v>
      </c>
    </row>
    <row r="51" spans="1:24" s="176" customFormat="1" ht="18" customHeight="1">
      <c r="A51" s="610"/>
      <c r="B51" s="581"/>
      <c r="C51" s="581"/>
      <c r="D51" s="201" t="str">
        <f>серпень!D51</f>
        <v>дотація</v>
      </c>
      <c r="E51" s="199"/>
      <c r="F51" s="199">
        <f>F68+F173+F218</f>
        <v>0</v>
      </c>
      <c r="G51" s="199">
        <f t="shared" si="101"/>
        <v>0</v>
      </c>
      <c r="H51" s="199">
        <f t="shared" si="101"/>
        <v>63.845999999999997</v>
      </c>
      <c r="I51" s="199">
        <f t="shared" si="101"/>
        <v>0</v>
      </c>
      <c r="J51" s="199">
        <f t="shared" si="101"/>
        <v>24.728000000000002</v>
      </c>
      <c r="K51" s="199">
        <f t="shared" si="101"/>
        <v>0</v>
      </c>
      <c r="L51" s="199">
        <f>SUM(F51:K51)</f>
        <v>88.573999999999998</v>
      </c>
      <c r="M51" s="199">
        <f>L51/6</f>
        <v>14.762</v>
      </c>
      <c r="N51" s="199">
        <f t="shared" ref="N51:S52" si="103">N68+N173+N218</f>
        <v>0</v>
      </c>
      <c r="O51" s="199">
        <f t="shared" si="103"/>
        <v>0</v>
      </c>
      <c r="P51" s="199">
        <f t="shared" si="103"/>
        <v>0</v>
      </c>
      <c r="Q51" s="199">
        <f t="shared" si="103"/>
        <v>0</v>
      </c>
      <c r="R51" s="199">
        <f t="shared" si="103"/>
        <v>0</v>
      </c>
      <c r="S51" s="199">
        <f t="shared" si="103"/>
        <v>0</v>
      </c>
      <c r="T51" s="199">
        <f>SUM(N51:S51)</f>
        <v>0</v>
      </c>
      <c r="U51" s="199">
        <f>T51+L51</f>
        <v>88.573999999999998</v>
      </c>
      <c r="V51" s="175">
        <f>V68+V173+V218</f>
        <v>88.573999999999998</v>
      </c>
      <c r="W51" s="200">
        <f>V51-U51</f>
        <v>0</v>
      </c>
      <c r="X51" s="176">
        <f>U46-U51</f>
        <v>0</v>
      </c>
    </row>
    <row r="52" spans="1:24" s="176" customFormat="1" ht="18" customHeight="1">
      <c r="A52" s="610"/>
      <c r="B52" s="581"/>
      <c r="C52" s="581"/>
      <c r="D52" s="201" t="str">
        <f>серпень!D52</f>
        <v xml:space="preserve">місцевий </v>
      </c>
      <c r="E52" s="199"/>
      <c r="F52" s="199">
        <f t="shared" si="101"/>
        <v>0</v>
      </c>
      <c r="G52" s="199">
        <f t="shared" si="101"/>
        <v>596.00900000000001</v>
      </c>
      <c r="H52" s="199">
        <f t="shared" si="101"/>
        <v>705.17200000000003</v>
      </c>
      <c r="I52" s="199">
        <f>I69+I174+I219</f>
        <v>443.79599999999999</v>
      </c>
      <c r="J52" s="199">
        <f t="shared" si="101"/>
        <v>24.236000000000001</v>
      </c>
      <c r="K52" s="199">
        <f t="shared" si="101"/>
        <v>54.804000000000002</v>
      </c>
      <c r="L52" s="199">
        <f>SUM(F52:K52)</f>
        <v>1824.0170000000001</v>
      </c>
      <c r="M52" s="199">
        <f>L52/6</f>
        <v>304.00299999999999</v>
      </c>
      <c r="N52" s="199">
        <f t="shared" si="103"/>
        <v>48.963000000000001</v>
      </c>
      <c r="O52" s="199">
        <f t="shared" si="103"/>
        <v>60.643000000000001</v>
      </c>
      <c r="P52" s="199">
        <f t="shared" si="103"/>
        <v>60.643000000000001</v>
      </c>
      <c r="Q52" s="199">
        <f t="shared" si="103"/>
        <v>106.125</v>
      </c>
      <c r="R52" s="199">
        <f t="shared" si="103"/>
        <v>106.125</v>
      </c>
      <c r="S52" s="199">
        <f t="shared" si="103"/>
        <v>947.7</v>
      </c>
      <c r="T52" s="199">
        <f>SUM(N52:S52)</f>
        <v>1330.1990000000001</v>
      </c>
      <c r="U52" s="199">
        <f>T52+L52</f>
        <v>3154.2159999999999</v>
      </c>
      <c r="V52" s="175">
        <f>V69+V174+V219</f>
        <v>3333.7930000000001</v>
      </c>
      <c r="W52" s="200">
        <f>V52-U52</f>
        <v>179.577</v>
      </c>
      <c r="X52" s="176">
        <f>U47-U52</f>
        <v>179.577</v>
      </c>
    </row>
    <row r="53" spans="1:24" s="205" customFormat="1" ht="18" customHeight="1">
      <c r="A53" s="610"/>
      <c r="B53" s="581"/>
      <c r="C53" s="581"/>
      <c r="D53" s="202" t="str">
        <f>серпень!D53</f>
        <v>план</v>
      </c>
      <c r="E53" s="203"/>
      <c r="F53" s="203">
        <f>F47+F46</f>
        <v>0</v>
      </c>
      <c r="G53" s="203">
        <f t="shared" ref="G53:H53" si="104">G47+G46</f>
        <v>596.00900000000001</v>
      </c>
      <c r="H53" s="203">
        <f t="shared" si="104"/>
        <v>786.01700000000005</v>
      </c>
      <c r="I53" s="203">
        <f>I47+I46</f>
        <v>488.40800000000002</v>
      </c>
      <c r="J53" s="203">
        <f t="shared" ref="J53:K53" si="105">J47+J46</f>
        <v>0.23699999999999999</v>
      </c>
      <c r="K53" s="203">
        <f t="shared" si="105"/>
        <v>42.003</v>
      </c>
      <c r="L53" s="203">
        <f>SUM(F53:K53)</f>
        <v>1912.674</v>
      </c>
      <c r="M53" s="203">
        <f>L53/6</f>
        <v>318.779</v>
      </c>
      <c r="N53" s="203">
        <f>N47+N46</f>
        <v>48.886000000000003</v>
      </c>
      <c r="O53" s="203">
        <f t="shared" ref="O53:P53" si="106">O47+O46</f>
        <v>60.723999999999997</v>
      </c>
      <c r="P53" s="203">
        <f t="shared" si="106"/>
        <v>105.724</v>
      </c>
      <c r="Q53" s="203">
        <f>Q47+Q46</f>
        <v>124.724</v>
      </c>
      <c r="R53" s="203">
        <f t="shared" ref="R53:S53" si="107">R47+R46</f>
        <v>105.724</v>
      </c>
      <c r="S53" s="203">
        <f t="shared" si="107"/>
        <v>1063.9110000000001</v>
      </c>
      <c r="T53" s="203">
        <f>SUM(N53:S53)</f>
        <v>1509.693</v>
      </c>
      <c r="U53" s="203">
        <f>T53+L53</f>
        <v>3422.3670000000002</v>
      </c>
      <c r="V53" s="204">
        <f>V47+V46</f>
        <v>3422.3670000000002</v>
      </c>
      <c r="W53" s="203">
        <f>V53-U53</f>
        <v>0</v>
      </c>
    </row>
    <row r="54" spans="1:24" s="205" customFormat="1" ht="18" customHeight="1">
      <c r="A54" s="610"/>
      <c r="B54" s="581"/>
      <c r="C54" s="581"/>
      <c r="D54" s="202" t="str">
        <f>серпень!D54</f>
        <v xml:space="preserve">відхилення </v>
      </c>
      <c r="E54" s="203"/>
      <c r="F54" s="203">
        <f t="shared" ref="F54:K54" si="108">F50-F53</f>
        <v>0</v>
      </c>
      <c r="G54" s="203">
        <f t="shared" si="108"/>
        <v>0</v>
      </c>
      <c r="H54" s="203">
        <f t="shared" si="108"/>
        <v>-16.998999999999999</v>
      </c>
      <c r="I54" s="203">
        <f t="shared" si="108"/>
        <v>-44.612000000000002</v>
      </c>
      <c r="J54" s="203">
        <f t="shared" si="108"/>
        <v>48.726999999999997</v>
      </c>
      <c r="K54" s="203">
        <f t="shared" si="108"/>
        <v>12.801</v>
      </c>
      <c r="L54" s="203"/>
      <c r="M54" s="203"/>
      <c r="N54" s="203">
        <f t="shared" ref="N54:S54" si="109">N50-N53</f>
        <v>7.6999999999999999E-2</v>
      </c>
      <c r="O54" s="203">
        <f t="shared" si="109"/>
        <v>-8.1000000000000003E-2</v>
      </c>
      <c r="P54" s="203">
        <f t="shared" si="109"/>
        <v>-45.081000000000003</v>
      </c>
      <c r="Q54" s="203">
        <f t="shared" si="109"/>
        <v>-18.599</v>
      </c>
      <c r="R54" s="203">
        <f t="shared" si="109"/>
        <v>0.40100000000000002</v>
      </c>
      <c r="S54" s="203">
        <f t="shared" si="109"/>
        <v>-116.211</v>
      </c>
      <c r="T54" s="203"/>
      <c r="U54" s="203"/>
      <c r="V54" s="203"/>
      <c r="W54" s="203"/>
    </row>
    <row r="55" spans="1:24" s="205" customFormat="1" ht="18" customHeight="1">
      <c r="A55" s="610"/>
      <c r="B55" s="581"/>
      <c r="C55" s="581"/>
      <c r="D55" s="202" t="str">
        <f>серпень!D55</f>
        <v>відхилення з наростаючим</v>
      </c>
      <c r="E55" s="203"/>
      <c r="F55" s="203">
        <f>F54</f>
        <v>0</v>
      </c>
      <c r="G55" s="203">
        <f>G54+F55</f>
        <v>0</v>
      </c>
      <c r="H55" s="203">
        <f>H54+G55</f>
        <v>-16.998999999999999</v>
      </c>
      <c r="I55" s="203">
        <f>I54+H55</f>
        <v>-61.610999999999997</v>
      </c>
      <c r="J55" s="203">
        <f>J54+I55</f>
        <v>-12.884</v>
      </c>
      <c r="K55" s="203">
        <f>K54+J55</f>
        <v>-8.3000000000000004E-2</v>
      </c>
      <c r="L55" s="203"/>
      <c r="M55" s="203"/>
      <c r="N55" s="203">
        <f>N54+K55</f>
        <v>-6.0000000000000001E-3</v>
      </c>
      <c r="O55" s="203">
        <f>O54+N55</f>
        <v>-8.6999999999999994E-2</v>
      </c>
      <c r="P55" s="203">
        <f>P54+O55</f>
        <v>-45.167999999999999</v>
      </c>
      <c r="Q55" s="203">
        <f>Q54+P55</f>
        <v>-63.767000000000003</v>
      </c>
      <c r="R55" s="203">
        <f>R54+Q55</f>
        <v>-63.366</v>
      </c>
      <c r="S55" s="203">
        <f>S54+R55</f>
        <v>-179.577</v>
      </c>
      <c r="T55" s="203"/>
      <c r="U55" s="203"/>
      <c r="V55" s="203"/>
      <c r="W55" s="203"/>
    </row>
    <row r="56" spans="1:24" s="209" customFormat="1" ht="18" customHeight="1">
      <c r="A56" s="610"/>
      <c r="B56" s="580" t="s">
        <v>53</v>
      </c>
      <c r="C56" s="575"/>
      <c r="D56" s="178" t="str">
        <f>серпень!D56</f>
        <v>факт. нат.п-ки 2023</v>
      </c>
      <c r="E56" s="179"/>
      <c r="F56" s="180">
        <f t="shared" ref="F56:K57" si="110">F73+F88+F103+F118+F133+F148</f>
        <v>282.7</v>
      </c>
      <c r="G56" s="180">
        <f t="shared" si="110"/>
        <v>198</v>
      </c>
      <c r="H56" s="180">
        <f t="shared" si="110"/>
        <v>173.6</v>
      </c>
      <c r="I56" s="180">
        <f t="shared" si="110"/>
        <v>0.6</v>
      </c>
      <c r="J56" s="180">
        <f t="shared" si="110"/>
        <v>0.5</v>
      </c>
      <c r="K56" s="180">
        <f t="shared" si="110"/>
        <v>0.6</v>
      </c>
      <c r="L56" s="207">
        <f>SUM(F56:K56)</f>
        <v>656</v>
      </c>
      <c r="M56" s="207">
        <f>L56/6</f>
        <v>109.3</v>
      </c>
      <c r="N56" s="180">
        <f t="shared" ref="N56:S57" si="111">N73+N88+N103+N118+N133+N148</f>
        <v>0.6</v>
      </c>
      <c r="O56" s="180">
        <f t="shared" si="111"/>
        <v>0.4</v>
      </c>
      <c r="P56" s="180">
        <f t="shared" si="111"/>
        <v>0.6</v>
      </c>
      <c r="Q56" s="180">
        <f t="shared" si="111"/>
        <v>0.6</v>
      </c>
      <c r="R56" s="180">
        <f t="shared" si="111"/>
        <v>87.7</v>
      </c>
      <c r="S56" s="180">
        <f t="shared" si="111"/>
        <v>187.7</v>
      </c>
      <c r="T56" s="207">
        <f>SUM(N56:S56)</f>
        <v>277.60000000000002</v>
      </c>
      <c r="U56" s="208">
        <f>T56+L56</f>
        <v>933.6</v>
      </c>
      <c r="V56" s="183">
        <f>V88+V133</f>
        <v>442.4</v>
      </c>
      <c r="W56" s="184"/>
    </row>
    <row r="57" spans="1:24" s="209" customFormat="1" ht="18.649999999999999" customHeight="1">
      <c r="A57" s="610"/>
      <c r="B57" s="576"/>
      <c r="C57" s="577"/>
      <c r="D57" s="178" t="str">
        <f>серпень!D57</f>
        <v>факт. нат.п-ки 2024</v>
      </c>
      <c r="E57" s="179"/>
      <c r="F57" s="180">
        <f t="shared" si="110"/>
        <v>194.6</v>
      </c>
      <c r="G57" s="180">
        <f t="shared" si="110"/>
        <v>190.3</v>
      </c>
      <c r="H57" s="180">
        <f t="shared" si="110"/>
        <v>186.1</v>
      </c>
      <c r="I57" s="180">
        <f t="shared" si="110"/>
        <v>0.5</v>
      </c>
      <c r="J57" s="180">
        <f t="shared" si="110"/>
        <v>0.5</v>
      </c>
      <c r="K57" s="180">
        <f t="shared" si="110"/>
        <v>0.5</v>
      </c>
      <c r="L57" s="207">
        <f>SUM(F57:K57)</f>
        <v>572.5</v>
      </c>
      <c r="M57" s="207">
        <f>L57/6</f>
        <v>95.4</v>
      </c>
      <c r="N57" s="179">
        <f t="shared" si="111"/>
        <v>0.4</v>
      </c>
      <c r="O57" s="179">
        <f t="shared" si="111"/>
        <v>0.4</v>
      </c>
      <c r="P57" s="179">
        <f t="shared" si="111"/>
        <v>0.4</v>
      </c>
      <c r="Q57" s="179">
        <f t="shared" si="111"/>
        <v>0.4</v>
      </c>
      <c r="R57" s="179">
        <f t="shared" si="111"/>
        <v>87.5</v>
      </c>
      <c r="S57" s="179">
        <f t="shared" si="111"/>
        <v>198</v>
      </c>
      <c r="T57" s="207">
        <f>SUM(N57:S57)</f>
        <v>287.10000000000002</v>
      </c>
      <c r="U57" s="208">
        <f>T57+L57</f>
        <v>859.6</v>
      </c>
      <c r="V57" s="183">
        <f>V89+V134</f>
        <v>1015.7</v>
      </c>
      <c r="W57" s="184"/>
    </row>
    <row r="58" spans="1:24" s="209" customFormat="1" ht="18" customHeight="1">
      <c r="A58" s="610"/>
      <c r="B58" s="576"/>
      <c r="C58" s="577"/>
      <c r="D58" s="178" t="str">
        <f>серпень!D58</f>
        <v>факт. нат.п-ки 2025</v>
      </c>
      <c r="E58" s="179"/>
      <c r="F58" s="415">
        <f>F90+F135</f>
        <v>228.3</v>
      </c>
      <c r="G58" s="415">
        <f t="shared" ref="G58:K58" si="112">G90+G135</f>
        <v>304.2</v>
      </c>
      <c r="H58" s="415">
        <f t="shared" si="112"/>
        <v>168.6</v>
      </c>
      <c r="I58" s="415">
        <f t="shared" si="112"/>
        <v>0</v>
      </c>
      <c r="J58" s="415">
        <f t="shared" si="112"/>
        <v>0</v>
      </c>
      <c r="K58" s="415">
        <f t="shared" si="112"/>
        <v>0</v>
      </c>
      <c r="L58" s="355">
        <f>SUM(F58:K58)</f>
        <v>701.1</v>
      </c>
      <c r="M58" s="324">
        <f>L58/6</f>
        <v>116.85</v>
      </c>
      <c r="N58" s="415">
        <f>N90+N135</f>
        <v>0</v>
      </c>
      <c r="O58" s="415">
        <f t="shared" ref="O58:S58" si="113">O90+O135</f>
        <v>0</v>
      </c>
      <c r="P58" s="415">
        <f t="shared" si="113"/>
        <v>0</v>
      </c>
      <c r="Q58" s="415">
        <f t="shared" si="113"/>
        <v>0</v>
      </c>
      <c r="R58" s="415">
        <f t="shared" si="113"/>
        <v>107.1</v>
      </c>
      <c r="S58" s="415">
        <f t="shared" si="113"/>
        <v>195.4</v>
      </c>
      <c r="T58" s="331">
        <f>SUM(N58:S58)</f>
        <v>302.5</v>
      </c>
      <c r="U58" s="335">
        <f>T58+L58</f>
        <v>1003.6</v>
      </c>
      <c r="V58" s="233">
        <f>V90+V135</f>
        <v>890.2</v>
      </c>
      <c r="W58" s="184">
        <f>V58-U58</f>
        <v>-113.4</v>
      </c>
    </row>
    <row r="59" spans="1:24" s="209" customFormat="1" ht="18" customHeight="1">
      <c r="A59" s="610"/>
      <c r="B59" s="576"/>
      <c r="C59" s="577"/>
      <c r="D59" s="187" t="str">
        <f>серпень!D59</f>
        <v>тариф, грн.</v>
      </c>
      <c r="E59" s="188"/>
      <c r="F59" s="188">
        <f t="shared" ref="F59:S59" si="114">F60/F58*1000</f>
        <v>2346.1190000000001</v>
      </c>
      <c r="G59" s="188">
        <f t="shared" si="114"/>
        <v>2328.7280000000001</v>
      </c>
      <c r="H59" s="188">
        <f t="shared" si="114"/>
        <v>2272.6990000000001</v>
      </c>
      <c r="I59" s="188" t="e">
        <f>I60/I58*1000</f>
        <v>#DIV/0!</v>
      </c>
      <c r="J59" s="188" t="e">
        <f>J60/J58*1000</f>
        <v>#DIV/0!</v>
      </c>
      <c r="K59" s="188" t="e">
        <f t="shared" si="114"/>
        <v>#DIV/0!</v>
      </c>
      <c r="L59" s="188">
        <f t="shared" si="114"/>
        <v>2320.9169999999999</v>
      </c>
      <c r="M59" s="188">
        <f t="shared" si="114"/>
        <v>2320.9160000000002</v>
      </c>
      <c r="N59" s="188" t="e">
        <f t="shared" si="114"/>
        <v>#DIV/0!</v>
      </c>
      <c r="O59" s="188" t="e">
        <f t="shared" si="114"/>
        <v>#DIV/0!</v>
      </c>
      <c r="P59" s="188" t="e">
        <f t="shared" si="114"/>
        <v>#DIV/0!</v>
      </c>
      <c r="Q59" s="188" t="e">
        <f t="shared" si="114"/>
        <v>#DIV/0!</v>
      </c>
      <c r="R59" s="188">
        <f t="shared" si="114"/>
        <v>2311.8020000000001</v>
      </c>
      <c r="S59" s="188">
        <f t="shared" si="114"/>
        <v>2496.6990000000001</v>
      </c>
      <c r="T59" s="188">
        <f>T60/T58*1000</f>
        <v>2431.2359999999999</v>
      </c>
      <c r="U59" s="188">
        <f>U60/U58*1000</f>
        <v>2354.1689999999999</v>
      </c>
      <c r="V59" s="188">
        <f>V60/V58*1000</f>
        <v>2391.5419999999999</v>
      </c>
      <c r="W59" s="189">
        <f>W60/W58*1000</f>
        <v>2060.7849999999999</v>
      </c>
    </row>
    <row r="60" spans="1:24" s="209" customFormat="1" ht="18" customHeight="1">
      <c r="A60" s="610"/>
      <c r="B60" s="576"/>
      <c r="C60" s="577"/>
      <c r="D60" s="191" t="str">
        <f>серпень!D60</f>
        <v>сума, тис.грн.</v>
      </c>
      <c r="E60" s="192"/>
      <c r="F60" s="192">
        <f>F92+F137</f>
        <v>535.61900000000003</v>
      </c>
      <c r="G60" s="192">
        <f t="shared" ref="G60:K60" si="115">G92+G137</f>
        <v>708.399</v>
      </c>
      <c r="H60" s="192">
        <f t="shared" si="115"/>
        <v>383.17700000000002</v>
      </c>
      <c r="I60" s="192">
        <f t="shared" si="115"/>
        <v>0</v>
      </c>
      <c r="J60" s="192">
        <f t="shared" si="115"/>
        <v>0</v>
      </c>
      <c r="K60" s="192">
        <f t="shared" si="115"/>
        <v>0</v>
      </c>
      <c r="L60" s="192">
        <f t="shared" ref="L60:L65" si="116">SUM(F60:K60)</f>
        <v>1627.1949999999999</v>
      </c>
      <c r="M60" s="192">
        <f t="shared" ref="M60:M65" si="117">L60/6</f>
        <v>271.19900000000001</v>
      </c>
      <c r="N60" s="192">
        <f>N92+N137</f>
        <v>0</v>
      </c>
      <c r="O60" s="192">
        <f t="shared" ref="O60:S60" si="118">O92+O137</f>
        <v>0</v>
      </c>
      <c r="P60" s="192">
        <f t="shared" si="118"/>
        <v>0</v>
      </c>
      <c r="Q60" s="192">
        <f t="shared" si="118"/>
        <v>0</v>
      </c>
      <c r="R60" s="192">
        <f t="shared" si="118"/>
        <v>247.59399999999999</v>
      </c>
      <c r="S60" s="192">
        <f t="shared" si="118"/>
        <v>487.85500000000002</v>
      </c>
      <c r="T60" s="192">
        <f t="shared" ref="T60:T65" si="119">SUM(N60:S60)</f>
        <v>735.44899999999996</v>
      </c>
      <c r="U60" s="192">
        <f t="shared" ref="U60:U65" si="120">T60+L60</f>
        <v>2362.6439999999998</v>
      </c>
      <c r="V60" s="192">
        <f t="shared" ref="V60" si="121">V92+V137</f>
        <v>2128.951</v>
      </c>
      <c r="W60" s="193">
        <f>V60-U60</f>
        <v>-233.69300000000001</v>
      </c>
    </row>
    <row r="61" spans="1:24" s="209" customFormat="1" ht="18" customHeight="1">
      <c r="A61" s="610"/>
      <c r="B61" s="576"/>
      <c r="C61" s="577"/>
      <c r="D61" s="174" t="str">
        <f>серпень!D61</f>
        <v>абоненська плата, тис.грн.</v>
      </c>
      <c r="E61" s="192"/>
      <c r="F61" s="192">
        <f>F77+F107+F122+F152</f>
        <v>60.39</v>
      </c>
      <c r="G61" s="192">
        <f t="shared" ref="G61:K61" si="122">G77+G107+G122+G152</f>
        <v>60.619</v>
      </c>
      <c r="H61" s="192">
        <f t="shared" si="122"/>
        <v>60.619</v>
      </c>
      <c r="I61" s="192">
        <f t="shared" si="122"/>
        <v>48.963999999999999</v>
      </c>
      <c r="J61" s="192">
        <f t="shared" si="122"/>
        <v>54.804000000000002</v>
      </c>
      <c r="K61" s="192">
        <f t="shared" si="122"/>
        <v>48.963999999999999</v>
      </c>
      <c r="L61" s="192">
        <f t="shared" si="116"/>
        <v>334.36</v>
      </c>
      <c r="M61" s="192">
        <f t="shared" si="117"/>
        <v>55.726999999999997</v>
      </c>
      <c r="N61" s="192">
        <f>N77+N107+N122+N152</f>
        <v>60.643000000000001</v>
      </c>
      <c r="O61" s="192">
        <f t="shared" ref="O61:S61" si="123">O77+O107+O122+O152</f>
        <v>60.643000000000001</v>
      </c>
      <c r="P61" s="192">
        <f t="shared" si="123"/>
        <v>106.125</v>
      </c>
      <c r="Q61" s="192">
        <f t="shared" si="123"/>
        <v>106.125</v>
      </c>
      <c r="R61" s="192">
        <f t="shared" si="123"/>
        <v>106.125</v>
      </c>
      <c r="S61" s="192">
        <f t="shared" si="123"/>
        <v>106.125</v>
      </c>
      <c r="T61" s="192">
        <f t="shared" si="119"/>
        <v>545.78599999999994</v>
      </c>
      <c r="U61" s="192">
        <f t="shared" si="120"/>
        <v>880.14599999999996</v>
      </c>
      <c r="V61" s="192">
        <f t="shared" ref="V61" si="124">V77+V107+V122+V152</f>
        <v>1293.4159999999999</v>
      </c>
      <c r="W61" s="193">
        <f t="shared" ref="W61:W63" si="125">V61-U61</f>
        <v>413.27</v>
      </c>
    </row>
    <row r="62" spans="1:24" s="209" customFormat="1" ht="18" customHeight="1">
      <c r="A62" s="610"/>
      <c r="B62" s="576"/>
      <c r="C62" s="577"/>
      <c r="D62" s="174" t="str">
        <f>серпень!D62</f>
        <v>разом сума тис. грн+абонплата</v>
      </c>
      <c r="E62" s="192"/>
      <c r="F62" s="192">
        <f>F60+F61</f>
        <v>596.00900000000001</v>
      </c>
      <c r="G62" s="192">
        <f t="shared" ref="G62:K62" si="126">G60+G61</f>
        <v>769.01800000000003</v>
      </c>
      <c r="H62" s="192">
        <f t="shared" si="126"/>
        <v>443.79599999999999</v>
      </c>
      <c r="I62" s="192">
        <f t="shared" si="126"/>
        <v>48.963999999999999</v>
      </c>
      <c r="J62" s="192">
        <f t="shared" si="126"/>
        <v>54.804000000000002</v>
      </c>
      <c r="K62" s="192">
        <f t="shared" si="126"/>
        <v>48.963999999999999</v>
      </c>
      <c r="L62" s="192">
        <f t="shared" si="116"/>
        <v>1961.5550000000001</v>
      </c>
      <c r="M62" s="192">
        <f t="shared" si="117"/>
        <v>326.92599999999999</v>
      </c>
      <c r="N62" s="192">
        <f t="shared" ref="N62:S62" si="127">N60+N61</f>
        <v>60.643000000000001</v>
      </c>
      <c r="O62" s="192">
        <f t="shared" si="127"/>
        <v>60.643000000000001</v>
      </c>
      <c r="P62" s="192">
        <f t="shared" si="127"/>
        <v>106.125</v>
      </c>
      <c r="Q62" s="192">
        <f t="shared" si="127"/>
        <v>106.125</v>
      </c>
      <c r="R62" s="192">
        <f t="shared" si="127"/>
        <v>353.71899999999999</v>
      </c>
      <c r="S62" s="192">
        <f t="shared" si="127"/>
        <v>593.98</v>
      </c>
      <c r="T62" s="192">
        <f t="shared" si="119"/>
        <v>1281.2349999999999</v>
      </c>
      <c r="U62" s="192">
        <f t="shared" si="120"/>
        <v>3242.79</v>
      </c>
      <c r="V62" s="192">
        <f t="shared" ref="V62" si="128">V60+V61</f>
        <v>3422.3670000000002</v>
      </c>
      <c r="W62" s="193">
        <f t="shared" si="125"/>
        <v>179.577</v>
      </c>
    </row>
    <row r="63" spans="1:24" s="209" customFormat="1" ht="18" customHeight="1">
      <c r="A63" s="610"/>
      <c r="B63" s="576"/>
      <c r="C63" s="577"/>
      <c r="D63" s="174" t="str">
        <f>серпень!D63</f>
        <v>дотація</v>
      </c>
      <c r="E63" s="210"/>
      <c r="F63" s="192">
        <f t="shared" ref="F63:K64" si="129">F78+F93+F108+F123+F138+F153</f>
        <v>0</v>
      </c>
      <c r="G63" s="192">
        <f t="shared" si="129"/>
        <v>0</v>
      </c>
      <c r="H63" s="192">
        <f t="shared" si="129"/>
        <v>63.845999999999997</v>
      </c>
      <c r="I63" s="192">
        <f t="shared" si="129"/>
        <v>24.728000000000002</v>
      </c>
      <c r="J63" s="192">
        <f t="shared" si="129"/>
        <v>0</v>
      </c>
      <c r="K63" s="192">
        <f t="shared" si="129"/>
        <v>0</v>
      </c>
      <c r="L63" s="192">
        <f t="shared" si="116"/>
        <v>88.573999999999998</v>
      </c>
      <c r="M63" s="192">
        <f t="shared" si="117"/>
        <v>14.762</v>
      </c>
      <c r="N63" s="192">
        <f t="shared" ref="N63:S64" si="130">N78+N93+N108+N123+N138+N153</f>
        <v>0</v>
      </c>
      <c r="O63" s="192">
        <f t="shared" si="130"/>
        <v>0</v>
      </c>
      <c r="P63" s="192">
        <f t="shared" si="130"/>
        <v>0</v>
      </c>
      <c r="Q63" s="192">
        <f t="shared" si="130"/>
        <v>0</v>
      </c>
      <c r="R63" s="192">
        <f t="shared" si="130"/>
        <v>0</v>
      </c>
      <c r="S63" s="192">
        <f t="shared" si="130"/>
        <v>0</v>
      </c>
      <c r="T63" s="192">
        <f t="shared" si="119"/>
        <v>0</v>
      </c>
      <c r="U63" s="192">
        <f t="shared" si="120"/>
        <v>88.573999999999998</v>
      </c>
      <c r="V63" s="192">
        <f>V78+V93+V108+V123+V138+V153</f>
        <v>88.573999999999998</v>
      </c>
      <c r="W63" s="211">
        <f t="shared" si="125"/>
        <v>0</v>
      </c>
    </row>
    <row r="64" spans="1:24" s="209" customFormat="1" ht="18" customHeight="1">
      <c r="A64" s="610"/>
      <c r="B64" s="576"/>
      <c r="C64" s="577"/>
      <c r="D64" s="174" t="str">
        <f>серпень!D64</f>
        <v>місцевий (план), тис.грн</v>
      </c>
      <c r="E64" s="210"/>
      <c r="F64" s="192">
        <f>F79+F94+F109+F124+F139+F154</f>
        <v>0</v>
      </c>
      <c r="G64" s="192">
        <f t="shared" si="129"/>
        <v>596.00900000000001</v>
      </c>
      <c r="H64" s="192">
        <f t="shared" si="129"/>
        <v>722.17100000000005</v>
      </c>
      <c r="I64" s="192">
        <f t="shared" si="129"/>
        <v>463.68</v>
      </c>
      <c r="J64" s="192">
        <f t="shared" si="129"/>
        <v>0.23699999999999999</v>
      </c>
      <c r="K64" s="192">
        <f t="shared" si="129"/>
        <v>42.003</v>
      </c>
      <c r="L64" s="192">
        <f t="shared" si="116"/>
        <v>1824.1</v>
      </c>
      <c r="M64" s="192">
        <f t="shared" si="117"/>
        <v>304.017</v>
      </c>
      <c r="N64" s="192">
        <f t="shared" si="130"/>
        <v>48.886000000000003</v>
      </c>
      <c r="O64" s="192">
        <f t="shared" si="130"/>
        <v>60.723999999999997</v>
      </c>
      <c r="P64" s="192">
        <f t="shared" si="130"/>
        <v>105.724</v>
      </c>
      <c r="Q64" s="192">
        <f t="shared" si="130"/>
        <v>124.724</v>
      </c>
      <c r="R64" s="192">
        <f t="shared" si="130"/>
        <v>105.724</v>
      </c>
      <c r="S64" s="192">
        <f t="shared" si="130"/>
        <v>1063.9110000000001</v>
      </c>
      <c r="T64" s="192">
        <f t="shared" si="119"/>
        <v>1509.693</v>
      </c>
      <c r="U64" s="192">
        <f t="shared" si="120"/>
        <v>3333.7930000000001</v>
      </c>
      <c r="V64" s="192">
        <f t="shared" ref="V64" si="131">V79+V94+V109+V124+V139+V154</f>
        <v>3333.7930000000001</v>
      </c>
      <c r="W64" s="193">
        <f>V64-U64</f>
        <v>0</v>
      </c>
    </row>
    <row r="65" spans="1:24" s="209" customFormat="1" ht="18" customHeight="1">
      <c r="A65" s="610"/>
      <c r="B65" s="576"/>
      <c r="C65" s="577"/>
      <c r="D65" s="178" t="str">
        <f>серпень!D65</f>
        <v>касові нат.п-ки 2025</v>
      </c>
      <c r="E65" s="260">
        <f>E80+E95+E110+E125+E140+E155</f>
        <v>0</v>
      </c>
      <c r="F65" s="414">
        <f>F95+F140</f>
        <v>0</v>
      </c>
      <c r="G65" s="414">
        <f t="shared" ref="G65:K65" si="132">G95+G140</f>
        <v>228.3</v>
      </c>
      <c r="H65" s="414">
        <f t="shared" si="132"/>
        <v>304.2</v>
      </c>
      <c r="I65" s="414">
        <f t="shared" si="132"/>
        <v>168.6</v>
      </c>
      <c r="J65" s="414">
        <f t="shared" si="132"/>
        <v>0</v>
      </c>
      <c r="K65" s="414">
        <f t="shared" si="132"/>
        <v>0</v>
      </c>
      <c r="L65" s="355">
        <f t="shared" si="116"/>
        <v>701.1</v>
      </c>
      <c r="M65" s="324">
        <f t="shared" si="117"/>
        <v>116.85</v>
      </c>
      <c r="N65" s="414">
        <f>N95+N140</f>
        <v>0</v>
      </c>
      <c r="O65" s="414">
        <f t="shared" ref="O65:S65" si="133">O95+O140</f>
        <v>0</v>
      </c>
      <c r="P65" s="414">
        <f t="shared" si="133"/>
        <v>0</v>
      </c>
      <c r="Q65" s="414">
        <f t="shared" si="133"/>
        <v>0</v>
      </c>
      <c r="R65" s="414">
        <f t="shared" si="133"/>
        <v>0</v>
      </c>
      <c r="S65" s="414">
        <f t="shared" si="133"/>
        <v>302.5</v>
      </c>
      <c r="T65" s="331">
        <f t="shared" si="119"/>
        <v>302.5</v>
      </c>
      <c r="U65" s="331">
        <f t="shared" si="120"/>
        <v>1003.6</v>
      </c>
      <c r="V65" s="414">
        <f t="shared" ref="V65" si="134">V95+V140</f>
        <v>890.2</v>
      </c>
      <c r="W65" s="184">
        <f>V65-U65</f>
        <v>-113.4</v>
      </c>
      <c r="X65" s="209">
        <f>U58-U65</f>
        <v>0</v>
      </c>
    </row>
    <row r="66" spans="1:24" s="209" customFormat="1" ht="18" customHeight="1">
      <c r="A66" s="610"/>
      <c r="B66" s="576"/>
      <c r="C66" s="577"/>
      <c r="D66" s="187" t="str">
        <f>серпень!D66</f>
        <v>тариф, грн.</v>
      </c>
      <c r="E66" s="188" t="e">
        <f t="shared" ref="E66:S66" si="135">E67/E65*1000</f>
        <v>#DIV/0!</v>
      </c>
      <c r="F66" s="188" t="e">
        <f t="shared" si="135"/>
        <v>#DIV/0!</v>
      </c>
      <c r="G66" s="188">
        <f t="shared" si="135"/>
        <v>2610.64</v>
      </c>
      <c r="H66" s="188">
        <f t="shared" si="135"/>
        <v>2528.0010000000002</v>
      </c>
      <c r="I66" s="188">
        <f>I67/I65*1000</f>
        <v>2632.2420000000002</v>
      </c>
      <c r="J66" s="188" t="e">
        <f>J67/J65*1000</f>
        <v>#DIV/0!</v>
      </c>
      <c r="K66" s="188" t="e">
        <f t="shared" si="135"/>
        <v>#DIV/0!</v>
      </c>
      <c r="L66" s="188">
        <f t="shared" si="135"/>
        <v>2727.9859999999999</v>
      </c>
      <c r="M66" s="188">
        <f t="shared" si="135"/>
        <v>2727.9850000000001</v>
      </c>
      <c r="N66" s="188" t="e">
        <f t="shared" si="135"/>
        <v>#DIV/0!</v>
      </c>
      <c r="O66" s="188" t="e">
        <f t="shared" si="135"/>
        <v>#DIV/0!</v>
      </c>
      <c r="P66" s="188" t="e">
        <f t="shared" si="135"/>
        <v>#DIV/0!</v>
      </c>
      <c r="Q66" s="188" t="e">
        <f t="shared" si="135"/>
        <v>#DIV/0!</v>
      </c>
      <c r="R66" s="188" t="e">
        <f t="shared" si="135"/>
        <v>#DIV/0!</v>
      </c>
      <c r="S66" s="188">
        <f t="shared" si="135"/>
        <v>3132.893</v>
      </c>
      <c r="T66" s="188">
        <f>T67/T65*1000</f>
        <v>4397.3519999999999</v>
      </c>
      <c r="U66" s="188">
        <f>U67/U65*1000</f>
        <v>3231.1579999999999</v>
      </c>
      <c r="V66" s="188">
        <f>V67/V65*1000</f>
        <v>3844.4920000000002</v>
      </c>
      <c r="W66" s="189">
        <f>W67/W65*1000</f>
        <v>-1583.5709999999999</v>
      </c>
    </row>
    <row r="67" spans="1:24" s="213" customFormat="1" ht="18" customHeight="1">
      <c r="A67" s="610"/>
      <c r="B67" s="576"/>
      <c r="C67" s="577"/>
      <c r="D67" s="198" t="str">
        <f>серпень!D67</f>
        <v>касові видатки, тис.грн.</v>
      </c>
      <c r="E67" s="199">
        <f>E82+E97+E112+E127+E142+E157+E279+E294+E309+E324</f>
        <v>0</v>
      </c>
      <c r="F67" s="199">
        <f>F82+F97+F112+F127+F142+F157</f>
        <v>0</v>
      </c>
      <c r="G67" s="199">
        <f t="shared" ref="G67:K67" si="136">G82+G97+G112+G127+G142+G157</f>
        <v>596.00900000000001</v>
      </c>
      <c r="H67" s="199">
        <f t="shared" si="136"/>
        <v>769.01800000000003</v>
      </c>
      <c r="I67" s="199">
        <f t="shared" si="136"/>
        <v>443.79599999999999</v>
      </c>
      <c r="J67" s="199">
        <f t="shared" si="136"/>
        <v>48.963999999999999</v>
      </c>
      <c r="K67" s="199">
        <f t="shared" si="136"/>
        <v>54.804000000000002</v>
      </c>
      <c r="L67" s="199">
        <f>SUM(F67:K67)</f>
        <v>1912.5909999999999</v>
      </c>
      <c r="M67" s="199">
        <f>L67/6</f>
        <v>318.76499999999999</v>
      </c>
      <c r="N67" s="199">
        <f>N82+N97+N112+N127+N142+N157</f>
        <v>48.963000000000001</v>
      </c>
      <c r="O67" s="199">
        <f t="shared" ref="O67:S67" si="137">O82+O97+O112+O127+O142+O157</f>
        <v>60.643000000000001</v>
      </c>
      <c r="P67" s="199">
        <f t="shared" si="137"/>
        <v>60.643000000000001</v>
      </c>
      <c r="Q67" s="199">
        <f t="shared" si="137"/>
        <v>106.125</v>
      </c>
      <c r="R67" s="199">
        <f t="shared" si="137"/>
        <v>106.125</v>
      </c>
      <c r="S67" s="199">
        <f t="shared" si="137"/>
        <v>947.7</v>
      </c>
      <c r="T67" s="199">
        <f>SUM(N67:S67)</f>
        <v>1330.1990000000001</v>
      </c>
      <c r="U67" s="199">
        <f>T67+L67</f>
        <v>3242.79</v>
      </c>
      <c r="V67" s="199">
        <f t="shared" ref="V67:V69" si="138">V82+V97+V112+V127+V142+V157</f>
        <v>3422.3670000000002</v>
      </c>
      <c r="W67" s="175">
        <f>V67-U67</f>
        <v>179.577</v>
      </c>
      <c r="X67" s="213">
        <f>U62-U67</f>
        <v>0</v>
      </c>
    </row>
    <row r="68" spans="1:24" s="213" customFormat="1" ht="18" customHeight="1">
      <c r="A68" s="610"/>
      <c r="B68" s="576"/>
      <c r="C68" s="577"/>
      <c r="D68" s="201" t="str">
        <f>серпень!D68</f>
        <v>дотація</v>
      </c>
      <c r="E68" s="212"/>
      <c r="F68" s="199">
        <f t="shared" ref="F68:K69" si="139">F83+F98+F113+F128+F143+F158</f>
        <v>0</v>
      </c>
      <c r="G68" s="199">
        <f t="shared" si="139"/>
        <v>0</v>
      </c>
      <c r="H68" s="199">
        <f t="shared" si="139"/>
        <v>63.845999999999997</v>
      </c>
      <c r="I68" s="199">
        <f t="shared" si="139"/>
        <v>0</v>
      </c>
      <c r="J68" s="199">
        <f t="shared" si="139"/>
        <v>24.728000000000002</v>
      </c>
      <c r="K68" s="199">
        <f t="shared" si="139"/>
        <v>0</v>
      </c>
      <c r="L68" s="199">
        <f>SUM(F68:K68)</f>
        <v>88.573999999999998</v>
      </c>
      <c r="M68" s="199">
        <f>L68/6</f>
        <v>14.762</v>
      </c>
      <c r="N68" s="199">
        <f t="shared" ref="N68:S69" si="140">N83+N98+N113+N128+N143+N158</f>
        <v>0</v>
      </c>
      <c r="O68" s="199">
        <f t="shared" si="140"/>
        <v>0</v>
      </c>
      <c r="P68" s="199">
        <f t="shared" si="140"/>
        <v>0</v>
      </c>
      <c r="Q68" s="199">
        <f t="shared" si="140"/>
        <v>0</v>
      </c>
      <c r="R68" s="199">
        <f t="shared" si="140"/>
        <v>0</v>
      </c>
      <c r="S68" s="199">
        <f t="shared" si="140"/>
        <v>0</v>
      </c>
      <c r="T68" s="199">
        <f>SUM(N68:S68)</f>
        <v>0</v>
      </c>
      <c r="U68" s="199">
        <f>T68+L68</f>
        <v>88.573999999999998</v>
      </c>
      <c r="V68" s="199">
        <f>V83+V98+V113+V128+V143+V158</f>
        <v>88.573999999999998</v>
      </c>
      <c r="W68" s="175">
        <f>V68-U68</f>
        <v>0</v>
      </c>
      <c r="X68" s="213">
        <f>U63-U68</f>
        <v>0</v>
      </c>
    </row>
    <row r="69" spans="1:24" s="213" customFormat="1" ht="18" customHeight="1">
      <c r="A69" s="610"/>
      <c r="B69" s="576"/>
      <c r="C69" s="577"/>
      <c r="D69" s="201" t="str">
        <f>серпень!D69</f>
        <v xml:space="preserve">місцевий </v>
      </c>
      <c r="E69" s="212"/>
      <c r="F69" s="199">
        <f t="shared" si="139"/>
        <v>0</v>
      </c>
      <c r="G69" s="199">
        <f t="shared" si="139"/>
        <v>596.00900000000001</v>
      </c>
      <c r="H69" s="199">
        <f t="shared" si="139"/>
        <v>705.17200000000003</v>
      </c>
      <c r="I69" s="199">
        <f t="shared" si="139"/>
        <v>443.79599999999999</v>
      </c>
      <c r="J69" s="199">
        <f t="shared" si="139"/>
        <v>24.236000000000001</v>
      </c>
      <c r="K69" s="199">
        <f t="shared" si="139"/>
        <v>54.804000000000002</v>
      </c>
      <c r="L69" s="199">
        <f>SUM(F69:K69)</f>
        <v>1824.0170000000001</v>
      </c>
      <c r="M69" s="199">
        <f>L69/6</f>
        <v>304.00299999999999</v>
      </c>
      <c r="N69" s="199">
        <f t="shared" si="140"/>
        <v>48.963000000000001</v>
      </c>
      <c r="O69" s="199">
        <f t="shared" si="140"/>
        <v>60.643000000000001</v>
      </c>
      <c r="P69" s="199">
        <f t="shared" si="140"/>
        <v>60.643000000000001</v>
      </c>
      <c r="Q69" s="199">
        <f t="shared" si="140"/>
        <v>106.125</v>
      </c>
      <c r="R69" s="199">
        <f t="shared" si="140"/>
        <v>106.125</v>
      </c>
      <c r="S69" s="199">
        <f t="shared" si="140"/>
        <v>947.7</v>
      </c>
      <c r="T69" s="199">
        <f>SUM(N69:S69)</f>
        <v>1330.1990000000001</v>
      </c>
      <c r="U69" s="199">
        <f>T69+L69</f>
        <v>3154.2159999999999</v>
      </c>
      <c r="V69" s="199">
        <f t="shared" si="138"/>
        <v>3333.7930000000001</v>
      </c>
      <c r="W69" s="175">
        <f>V69-U69</f>
        <v>179.577</v>
      </c>
      <c r="X69" s="213">
        <f>U64-U69</f>
        <v>179.577</v>
      </c>
    </row>
    <row r="70" spans="1:24" s="214" customFormat="1" ht="18" customHeight="1">
      <c r="A70" s="610"/>
      <c r="B70" s="576"/>
      <c r="C70" s="577"/>
      <c r="D70" s="202" t="str">
        <f>серпень!D70</f>
        <v>план</v>
      </c>
      <c r="E70" s="203"/>
      <c r="F70" s="203">
        <f t="shared" ref="F70:H70" si="141">F64+F63</f>
        <v>0</v>
      </c>
      <c r="G70" s="203">
        <f t="shared" si="141"/>
        <v>596.00900000000001</v>
      </c>
      <c r="H70" s="203">
        <f t="shared" si="141"/>
        <v>786.01700000000005</v>
      </c>
      <c r="I70" s="203">
        <f>I64+I63</f>
        <v>488.40800000000002</v>
      </c>
      <c r="J70" s="203">
        <f t="shared" ref="J70:K70" si="142">J64+J63</f>
        <v>0.23699999999999999</v>
      </c>
      <c r="K70" s="203">
        <f t="shared" si="142"/>
        <v>42.003</v>
      </c>
      <c r="L70" s="203">
        <f>SUM(F70:K70)</f>
        <v>1912.674</v>
      </c>
      <c r="M70" s="203">
        <f>L70/6</f>
        <v>318.779</v>
      </c>
      <c r="N70" s="203">
        <f>N64+N63</f>
        <v>48.886000000000003</v>
      </c>
      <c r="O70" s="203">
        <f t="shared" ref="O70:S70" si="143">O64+O63</f>
        <v>60.723999999999997</v>
      </c>
      <c r="P70" s="203">
        <f t="shared" si="143"/>
        <v>105.724</v>
      </c>
      <c r="Q70" s="203">
        <f>Q64+Q63</f>
        <v>124.724</v>
      </c>
      <c r="R70" s="203">
        <f t="shared" si="143"/>
        <v>105.724</v>
      </c>
      <c r="S70" s="204">
        <f t="shared" si="143"/>
        <v>1063.9110000000001</v>
      </c>
      <c r="T70" s="203">
        <f>SUM(N70:S70)</f>
        <v>1509.693</v>
      </c>
      <c r="U70" s="203">
        <f>T70+L70</f>
        <v>3422.3670000000002</v>
      </c>
      <c r="V70" s="203">
        <f>V64+V63</f>
        <v>3422.3670000000002</v>
      </c>
      <c r="W70" s="204">
        <f>V70-U70</f>
        <v>0</v>
      </c>
    </row>
    <row r="71" spans="1:24" s="214" customFormat="1" ht="18" customHeight="1">
      <c r="A71" s="610"/>
      <c r="B71" s="576"/>
      <c r="C71" s="577"/>
      <c r="D71" s="202" t="str">
        <f>серпень!D71</f>
        <v xml:space="preserve">відхилення </v>
      </c>
      <c r="E71" s="203"/>
      <c r="F71" s="203">
        <f t="shared" ref="F71:K71" si="144">F67-F70</f>
        <v>0</v>
      </c>
      <c r="G71" s="203">
        <f t="shared" si="144"/>
        <v>0</v>
      </c>
      <c r="H71" s="203">
        <f t="shared" si="144"/>
        <v>-16.998999999999999</v>
      </c>
      <c r="I71" s="203">
        <f t="shared" si="144"/>
        <v>-44.612000000000002</v>
      </c>
      <c r="J71" s="203">
        <f t="shared" si="144"/>
        <v>48.726999999999997</v>
      </c>
      <c r="K71" s="203">
        <f t="shared" si="144"/>
        <v>12.801</v>
      </c>
      <c r="L71" s="203"/>
      <c r="M71" s="203"/>
      <c r="N71" s="203">
        <f>N67-N70</f>
        <v>7.6999999999999999E-2</v>
      </c>
      <c r="O71" s="203">
        <f t="shared" ref="O71:S71" si="145">O67-O70</f>
        <v>-8.1000000000000003E-2</v>
      </c>
      <c r="P71" s="203">
        <f t="shared" si="145"/>
        <v>-45.081000000000003</v>
      </c>
      <c r="Q71" s="203">
        <f t="shared" si="145"/>
        <v>-18.599</v>
      </c>
      <c r="R71" s="203">
        <f t="shared" si="145"/>
        <v>0.40100000000000002</v>
      </c>
      <c r="S71" s="203">
        <f t="shared" si="145"/>
        <v>-116.211</v>
      </c>
      <c r="T71" s="203"/>
      <c r="U71" s="203"/>
      <c r="V71" s="203"/>
      <c r="W71" s="203"/>
    </row>
    <row r="72" spans="1:24" s="214" customFormat="1" ht="18" customHeight="1">
      <c r="A72" s="610"/>
      <c r="B72" s="578"/>
      <c r="C72" s="579"/>
      <c r="D72" s="202" t="str">
        <f>серпень!D72</f>
        <v>відхилення з наростаючим</v>
      </c>
      <c r="E72" s="203"/>
      <c r="F72" s="203">
        <f>F71</f>
        <v>0</v>
      </c>
      <c r="G72" s="203">
        <f>G71+F72</f>
        <v>0</v>
      </c>
      <c r="H72" s="203">
        <f>H71+G72</f>
        <v>-16.998999999999999</v>
      </c>
      <c r="I72" s="203">
        <f>I71+H72</f>
        <v>-61.610999999999997</v>
      </c>
      <c r="J72" s="203">
        <f>J71+I72</f>
        <v>-12.884</v>
      </c>
      <c r="K72" s="203">
        <f>K71+J72</f>
        <v>-8.3000000000000004E-2</v>
      </c>
      <c r="L72" s="203"/>
      <c r="M72" s="203"/>
      <c r="N72" s="203">
        <f>N71+K72</f>
        <v>-6.0000000000000001E-3</v>
      </c>
      <c r="O72" s="203">
        <f>O71+N72</f>
        <v>-8.6999999999999994E-2</v>
      </c>
      <c r="P72" s="203">
        <f>P71+O72</f>
        <v>-45.167999999999999</v>
      </c>
      <c r="Q72" s="203">
        <f>Q71+P72</f>
        <v>-63.767000000000003</v>
      </c>
      <c r="R72" s="203">
        <f>R71+Q72</f>
        <v>-63.366</v>
      </c>
      <c r="S72" s="203">
        <f>S71+R72</f>
        <v>-179.577</v>
      </c>
      <c r="T72" s="203"/>
      <c r="U72" s="203"/>
      <c r="V72" s="203"/>
      <c r="W72" s="203"/>
    </row>
    <row r="73" spans="1:24" s="214" customFormat="1" ht="18" customHeight="1">
      <c r="A73" s="610"/>
      <c r="B73" s="582" t="s">
        <v>54</v>
      </c>
      <c r="C73" s="582" t="s">
        <v>98</v>
      </c>
      <c r="D73" s="178" t="str">
        <f>серпень!D73</f>
        <v>факт. нат.п-ки 2023</v>
      </c>
      <c r="E73" s="179"/>
      <c r="F73" s="399">
        <v>1.3805000000000001</v>
      </c>
      <c r="G73" s="399">
        <v>0.18329999999999999</v>
      </c>
      <c r="H73" s="342">
        <v>0.46639999999999998</v>
      </c>
      <c r="I73" s="342">
        <v>0.5796</v>
      </c>
      <c r="J73" s="342">
        <v>0.45789999999999997</v>
      </c>
      <c r="K73" s="342">
        <v>0.5796</v>
      </c>
      <c r="L73" s="400">
        <f>SUM(F73:K73)</f>
        <v>3.6473</v>
      </c>
      <c r="M73" s="400">
        <f>L73/6</f>
        <v>0.60788299999999995</v>
      </c>
      <c r="N73" s="342">
        <v>0.5796</v>
      </c>
      <c r="O73" s="342">
        <v>0.3745</v>
      </c>
      <c r="P73" s="342">
        <v>0.57879999999999998</v>
      </c>
      <c r="Q73" s="342">
        <v>0.57879999999999998</v>
      </c>
      <c r="R73" s="342">
        <v>0.57845000000000002</v>
      </c>
      <c r="S73" s="342">
        <v>0.57845000000000002</v>
      </c>
      <c r="T73" s="400">
        <f>SUM(N73:S73)</f>
        <v>3.2686000000000002</v>
      </c>
      <c r="U73" s="400">
        <f>T73+L73</f>
        <v>6.9158999999999997</v>
      </c>
      <c r="V73" s="342">
        <v>6.8685999999999998</v>
      </c>
      <c r="W73" s="399"/>
    </row>
    <row r="74" spans="1:24" s="214" customFormat="1" ht="18" customHeight="1">
      <c r="A74" s="610"/>
      <c r="B74" s="583"/>
      <c r="C74" s="583"/>
      <c r="D74" s="178" t="str">
        <f>серпень!D74</f>
        <v>факт. нат.п-ки 2024</v>
      </c>
      <c r="E74" s="179"/>
      <c r="F74" s="399">
        <v>0.58062999999999998</v>
      </c>
      <c r="G74" s="399">
        <v>0.58030000000000004</v>
      </c>
      <c r="H74" s="342">
        <v>0.58030000000000004</v>
      </c>
      <c r="I74" s="342">
        <v>0.53922999999999999</v>
      </c>
      <c r="J74" s="342">
        <v>0.53724000000000005</v>
      </c>
      <c r="K74" s="342">
        <v>0.46872999999999998</v>
      </c>
      <c r="L74" s="400">
        <f>SUM(F74:K74)</f>
        <v>3.2864300000000002</v>
      </c>
      <c r="M74" s="400">
        <f>L74/6</f>
        <v>0.54773799999999995</v>
      </c>
      <c r="N74" s="342">
        <v>0.44663999999999998</v>
      </c>
      <c r="O74" s="342">
        <v>0.44801999999999997</v>
      </c>
      <c r="P74" s="342">
        <v>0.44112000000000001</v>
      </c>
      <c r="Q74" s="342">
        <v>0.44681999999999999</v>
      </c>
      <c r="R74" s="342">
        <v>0.44681999999999999</v>
      </c>
      <c r="S74" s="342">
        <v>0.44681999999999999</v>
      </c>
      <c r="T74" s="400">
        <f>SUM(N74:S74)</f>
        <v>2.67624</v>
      </c>
      <c r="U74" s="400">
        <f>T74+L74</f>
        <v>5.9626700000000001</v>
      </c>
      <c r="V74" s="342">
        <v>5.9626400000000004</v>
      </c>
      <c r="W74" s="399"/>
    </row>
    <row r="75" spans="1:24" s="214" customFormat="1" ht="18" customHeight="1">
      <c r="A75" s="610"/>
      <c r="B75" s="583"/>
      <c r="C75" s="583"/>
      <c r="D75" s="178" t="str">
        <f>серпень!D75</f>
        <v>факт. нат.п-ки 2025</v>
      </c>
      <c r="E75" s="179"/>
      <c r="F75" s="342">
        <v>0.58029900000000001</v>
      </c>
      <c r="G75" s="342">
        <v>0.58029900000000001</v>
      </c>
      <c r="H75" s="342">
        <v>0.58029900000000001</v>
      </c>
      <c r="I75" s="342">
        <v>0.468725</v>
      </c>
      <c r="J75" s="342">
        <v>0.52463099999999996</v>
      </c>
      <c r="K75" s="342">
        <v>0.468725</v>
      </c>
      <c r="L75" s="400">
        <f>SUM(F75:K75)</f>
        <v>3.2029779999999999</v>
      </c>
      <c r="M75" s="400">
        <f>L75/6</f>
        <v>0.53383000000000003</v>
      </c>
      <c r="N75" s="342">
        <f>60643/104461.02</f>
        <v>0.58053200000000005</v>
      </c>
      <c r="O75" s="342">
        <f>60643/104461.02</f>
        <v>0.58053200000000005</v>
      </c>
      <c r="P75" s="342">
        <v>1.015925</v>
      </c>
      <c r="Q75" s="342">
        <v>1.015925</v>
      </c>
      <c r="R75" s="342">
        <v>1.015925</v>
      </c>
      <c r="S75" s="342">
        <v>1.015925</v>
      </c>
      <c r="T75" s="400">
        <f>SUM(N75:S75)</f>
        <v>5.2247640000000004</v>
      </c>
      <c r="U75" s="400">
        <f>T75+L75</f>
        <v>8.4277420000000003</v>
      </c>
      <c r="V75" s="342">
        <v>12.1911</v>
      </c>
      <c r="W75" s="399">
        <f>U75-V75</f>
        <v>-3.7633580000000002</v>
      </c>
    </row>
    <row r="76" spans="1:24" s="214" customFormat="1" ht="18" customHeight="1">
      <c r="A76" s="610"/>
      <c r="B76" s="583"/>
      <c r="C76" s="583"/>
      <c r="D76" s="187" t="str">
        <f>серпень!D76</f>
        <v>тариф, грн.</v>
      </c>
      <c r="E76" s="188" t="e">
        <f t="shared" ref="E76:K76" si="146">E77/E75*1000</f>
        <v>#DIV/0!</v>
      </c>
      <c r="F76" s="188">
        <f t="shared" si="146"/>
        <v>104067.041</v>
      </c>
      <c r="G76" s="188">
        <f t="shared" si="146"/>
        <v>104461.66499999999</v>
      </c>
      <c r="H76" s="188">
        <f t="shared" si="146"/>
        <v>104461.66499999999</v>
      </c>
      <c r="I76" s="188">
        <f t="shared" si="146"/>
        <v>104462.105</v>
      </c>
      <c r="J76" s="188">
        <f t="shared" si="146"/>
        <v>104461.993</v>
      </c>
      <c r="K76" s="188">
        <f t="shared" si="146"/>
        <v>104462.105</v>
      </c>
      <c r="L76" s="217">
        <f>L77/L75*1000</f>
        <v>104390.35</v>
      </c>
      <c r="M76" s="217">
        <f>M77/M75*1000</f>
        <v>104390.91</v>
      </c>
      <c r="N76" s="217">
        <f>N77/N75*1000</f>
        <v>104461.08</v>
      </c>
      <c r="O76" s="217">
        <f>O77/O75*1000</f>
        <v>104461.08</v>
      </c>
      <c r="P76" s="217">
        <v>104461.02</v>
      </c>
      <c r="Q76" s="217">
        <v>104461.02</v>
      </c>
      <c r="R76" s="217">
        <v>104461.02</v>
      </c>
      <c r="S76" s="217">
        <v>104461.02</v>
      </c>
      <c r="T76" s="217">
        <f>T77/T75*1000</f>
        <v>104461.37</v>
      </c>
      <c r="U76" s="217">
        <f>U77/U75*1000</f>
        <v>104434.38</v>
      </c>
      <c r="V76" s="218">
        <f>V77/V75*1000</f>
        <v>106095.102</v>
      </c>
      <c r="W76" s="219">
        <f>W77/W75*1000</f>
        <v>-109814.16099999999</v>
      </c>
    </row>
    <row r="77" spans="1:24" s="214" customFormat="1" ht="18" customHeight="1">
      <c r="A77" s="610"/>
      <c r="B77" s="583"/>
      <c r="C77" s="583"/>
      <c r="D77" s="191" t="str">
        <f>серпень!D77</f>
        <v>сума, тис.грн.</v>
      </c>
      <c r="E77" s="192"/>
      <c r="F77" s="192">
        <v>60.39</v>
      </c>
      <c r="G77" s="192">
        <v>60.619</v>
      </c>
      <c r="H77" s="192">
        <v>60.619</v>
      </c>
      <c r="I77" s="192">
        <v>48.963999999999999</v>
      </c>
      <c r="J77" s="192">
        <v>54.804000000000002</v>
      </c>
      <c r="K77" s="192">
        <v>48.963999999999999</v>
      </c>
      <c r="L77" s="194">
        <f>SUM(F77:K77)</f>
        <v>334.36</v>
      </c>
      <c r="M77" s="194">
        <f>L77/6</f>
        <v>55.726999999999997</v>
      </c>
      <c r="N77" s="192">
        <v>60.643000000000001</v>
      </c>
      <c r="O77" s="192">
        <v>60.643000000000001</v>
      </c>
      <c r="P77" s="192">
        <f t="shared" ref="P77" si="147">P75*P76/1000</f>
        <v>106.125</v>
      </c>
      <c r="Q77" s="192">
        <f t="shared" ref="Q77" si="148">Q75*Q76/1000</f>
        <v>106.125</v>
      </c>
      <c r="R77" s="192">
        <f t="shared" ref="R77" si="149">R75*R76/1000</f>
        <v>106.125</v>
      </c>
      <c r="S77" s="192">
        <f t="shared" ref="S77" si="150">S75*S76/1000</f>
        <v>106.125</v>
      </c>
      <c r="T77" s="194">
        <f>SUM(N77:S77)</f>
        <v>545.78599999999994</v>
      </c>
      <c r="U77" s="194">
        <f>T77+L77</f>
        <v>880.14599999999996</v>
      </c>
      <c r="V77" s="171">
        <f>V78+V79</f>
        <v>1293.4159999999999</v>
      </c>
      <c r="W77" s="192">
        <f>V77-U77</f>
        <v>413.27</v>
      </c>
    </row>
    <row r="78" spans="1:24" s="214" customFormat="1" ht="18" customHeight="1">
      <c r="A78" s="610"/>
      <c r="B78" s="583"/>
      <c r="C78" s="583"/>
      <c r="D78" s="174" t="str">
        <f>серпень!D78</f>
        <v>дотація</v>
      </c>
      <c r="E78" s="210"/>
      <c r="F78" s="192"/>
      <c r="G78" s="192"/>
      <c r="H78" s="192"/>
      <c r="I78" s="192">
        <v>24.728000000000002</v>
      </c>
      <c r="J78" s="192"/>
      <c r="K78" s="192"/>
      <c r="L78" s="194">
        <f>SUM(F78:K78)</f>
        <v>24.728000000000002</v>
      </c>
      <c r="M78" s="194">
        <f>L78/6</f>
        <v>4.1210000000000004</v>
      </c>
      <c r="N78" s="192"/>
      <c r="O78" s="192"/>
      <c r="P78" s="192"/>
      <c r="Q78" s="192"/>
      <c r="R78" s="192"/>
      <c r="S78" s="192"/>
      <c r="T78" s="194">
        <f>SUM(N78:S78)</f>
        <v>0</v>
      </c>
      <c r="U78" s="194">
        <f>T78+L78</f>
        <v>24.728000000000002</v>
      </c>
      <c r="V78" s="171">
        <v>24.728000000000002</v>
      </c>
      <c r="W78" s="192">
        <f>V78-U78</f>
        <v>0</v>
      </c>
    </row>
    <row r="79" spans="1:24" s="214" customFormat="1" ht="18" customHeight="1">
      <c r="A79" s="610"/>
      <c r="B79" s="583"/>
      <c r="C79" s="583"/>
      <c r="D79" s="174" t="str">
        <f>серпень!D79</f>
        <v>місцевий (план), тис.грн</v>
      </c>
      <c r="E79" s="210"/>
      <c r="F79" s="192">
        <f>20.937-20.937</f>
        <v>0</v>
      </c>
      <c r="G79" s="192">
        <v>105.724</v>
      </c>
      <c r="H79" s="192">
        <v>105.724</v>
      </c>
      <c r="I79" s="192">
        <f>105.724-19</f>
        <v>86.724000000000004</v>
      </c>
      <c r="J79" s="192">
        <f>105.724-105.487</f>
        <v>0.23699999999999999</v>
      </c>
      <c r="K79" s="192">
        <v>42.003</v>
      </c>
      <c r="L79" s="194">
        <f>SUM(F79:K79)</f>
        <v>340.41199999999998</v>
      </c>
      <c r="M79" s="194">
        <f>L79/6</f>
        <v>56.734999999999999</v>
      </c>
      <c r="N79" s="192">
        <v>48.886000000000003</v>
      </c>
      <c r="O79" s="192">
        <v>60.723999999999997</v>
      </c>
      <c r="P79" s="192">
        <v>105.724</v>
      </c>
      <c r="Q79" s="192">
        <f>105.724+19</f>
        <v>124.724</v>
      </c>
      <c r="R79" s="192">
        <v>105.724</v>
      </c>
      <c r="S79" s="192">
        <f>381.298+56.196+45</f>
        <v>482.49400000000003</v>
      </c>
      <c r="T79" s="194">
        <f>SUM(N79:S79)</f>
        <v>928.27599999999995</v>
      </c>
      <c r="U79" s="194">
        <f>T79+L79</f>
        <v>1268.6880000000001</v>
      </c>
      <c r="V79" s="171">
        <v>1268.6880000000001</v>
      </c>
      <c r="W79" s="192">
        <f>V79-U79</f>
        <v>0</v>
      </c>
    </row>
    <row r="80" spans="1:24" s="214" customFormat="1" ht="18" customHeight="1">
      <c r="A80" s="610"/>
      <c r="B80" s="583"/>
      <c r="C80" s="583"/>
      <c r="D80" s="178" t="str">
        <f>серпень!D80</f>
        <v>касові нат.п-ки 2025</v>
      </c>
      <c r="E80" s="179"/>
      <c r="F80" s="258">
        <v>0</v>
      </c>
      <c r="G80" s="346">
        <v>0.58030000000000004</v>
      </c>
      <c r="H80" s="346">
        <v>0.58030000000000004</v>
      </c>
      <c r="I80" s="346">
        <v>0.58030000000000004</v>
      </c>
      <c r="J80" s="346">
        <v>0.46872999999999998</v>
      </c>
      <c r="K80" s="346">
        <v>0.52463000000000004</v>
      </c>
      <c r="L80" s="333">
        <f>SUM(F80:K80)</f>
        <v>2.7342599999999999</v>
      </c>
      <c r="M80" s="333">
        <f>L80/6</f>
        <v>0.45571</v>
      </c>
      <c r="N80" s="346">
        <v>0.46872999999999998</v>
      </c>
      <c r="O80" s="346">
        <v>0.58052999999999999</v>
      </c>
      <c r="P80" s="288">
        <v>0.58053200000000005</v>
      </c>
      <c r="Q80" s="346">
        <v>1.01593</v>
      </c>
      <c r="R80" s="346">
        <v>1.01593</v>
      </c>
      <c r="S80" s="346">
        <f>R75+S75</f>
        <v>2.0318499999999999</v>
      </c>
      <c r="T80" s="333">
        <f>SUM(N80:S80)</f>
        <v>5.6935000000000002</v>
      </c>
      <c r="U80" s="333">
        <f>T80+L80</f>
        <v>8.4277599999999993</v>
      </c>
      <c r="V80" s="288">
        <f>V75</f>
        <v>12.1911</v>
      </c>
      <c r="W80" s="184">
        <f>V80-U80</f>
        <v>3.8</v>
      </c>
      <c r="X80" s="460">
        <f>U75-U80</f>
        <v>0</v>
      </c>
    </row>
    <row r="81" spans="1:24" s="214" customFormat="1" ht="18" customHeight="1">
      <c r="A81" s="610"/>
      <c r="B81" s="583"/>
      <c r="C81" s="583"/>
      <c r="D81" s="187" t="str">
        <f>серпень!D81</f>
        <v>тариф, грн.</v>
      </c>
      <c r="E81" s="188" t="e">
        <f t="shared" ref="E81:K81" si="151">E82/E80*1000</f>
        <v>#DIV/0!</v>
      </c>
      <c r="F81" s="188" t="e">
        <f t="shared" si="151"/>
        <v>#DIV/0!</v>
      </c>
      <c r="G81" s="188">
        <f t="shared" si="151"/>
        <v>104066.86199999999</v>
      </c>
      <c r="H81" s="188">
        <f t="shared" si="151"/>
        <v>104461.485</v>
      </c>
      <c r="I81" s="188">
        <f t="shared" si="151"/>
        <v>104461.485</v>
      </c>
      <c r="J81" s="188">
        <f t="shared" si="151"/>
        <v>104460.99</v>
      </c>
      <c r="K81" s="188">
        <f t="shared" si="151"/>
        <v>104462.192</v>
      </c>
      <c r="L81" s="217">
        <f>L82/L80*1000</f>
        <v>104377.78</v>
      </c>
      <c r="M81" s="217">
        <f>M82/M80*1000</f>
        <v>104377.78</v>
      </c>
      <c r="N81" s="217">
        <f>N82/N80*1000</f>
        <v>104458.86</v>
      </c>
      <c r="O81" s="217">
        <f t="shared" ref="O81:P81" si="152">O82/O80*1000</f>
        <v>104461.44</v>
      </c>
      <c r="P81" s="217">
        <f t="shared" si="152"/>
        <v>104461.08</v>
      </c>
      <c r="Q81" s="217">
        <v>104461.02</v>
      </c>
      <c r="R81" s="217">
        <v>104461.02</v>
      </c>
      <c r="S81" s="217">
        <v>104461.02</v>
      </c>
      <c r="T81" s="217">
        <f>T82/T80*1000</f>
        <v>104461.23</v>
      </c>
      <c r="U81" s="217">
        <f>U82/U80*1000</f>
        <v>104434.16</v>
      </c>
      <c r="V81" s="218">
        <f>V82/V80*1000</f>
        <v>106095.102</v>
      </c>
      <c r="W81" s="219">
        <f>W82/W80*1000</f>
        <v>108755.26300000001</v>
      </c>
      <c r="X81" s="36"/>
    </row>
    <row r="82" spans="1:24" s="214" customFormat="1" ht="18" customHeight="1">
      <c r="A82" s="610"/>
      <c r="B82" s="583"/>
      <c r="C82" s="583"/>
      <c r="D82" s="198" t="str">
        <f>серпень!D82</f>
        <v>касові видатки, тис.грн.</v>
      </c>
      <c r="E82" s="220"/>
      <c r="F82" s="199">
        <v>0</v>
      </c>
      <c r="G82" s="199">
        <v>60.39</v>
      </c>
      <c r="H82" s="199">
        <v>60.619</v>
      </c>
      <c r="I82" s="199">
        <v>60.619</v>
      </c>
      <c r="J82" s="199">
        <v>48.963999999999999</v>
      </c>
      <c r="K82" s="199">
        <v>54.804000000000002</v>
      </c>
      <c r="L82" s="199">
        <f>SUM(F82:K82)</f>
        <v>285.39600000000002</v>
      </c>
      <c r="M82" s="199">
        <f>L82/6</f>
        <v>47.566000000000003</v>
      </c>
      <c r="N82" s="199">
        <f>48.964-0.001</f>
        <v>48.963000000000001</v>
      </c>
      <c r="O82" s="199">
        <v>60.643000000000001</v>
      </c>
      <c r="P82" s="199">
        <v>60.643000000000001</v>
      </c>
      <c r="Q82" s="199">
        <f t="shared" ref="Q82" si="153">Q80*Q81/1000</f>
        <v>106.125</v>
      </c>
      <c r="R82" s="199">
        <f t="shared" ref="R82" si="154">R80*R81/1000</f>
        <v>106.125</v>
      </c>
      <c r="S82" s="199">
        <f>S80*S81/1000+0.002</f>
        <v>212.251</v>
      </c>
      <c r="T82" s="199">
        <f>SUM(N82:S82)</f>
        <v>594.75</v>
      </c>
      <c r="U82" s="199">
        <f>T82+L82</f>
        <v>880.14599999999996</v>
      </c>
      <c r="V82" s="199">
        <f>V77</f>
        <v>1293.4159999999999</v>
      </c>
      <c r="W82" s="221">
        <f>V82-U82</f>
        <v>413.27</v>
      </c>
      <c r="X82" s="74">
        <f>U77-U82</f>
        <v>0</v>
      </c>
    </row>
    <row r="83" spans="1:24" s="214" customFormat="1" ht="18" customHeight="1">
      <c r="A83" s="610"/>
      <c r="B83" s="583"/>
      <c r="C83" s="583"/>
      <c r="D83" s="201" t="str">
        <f>серпень!D83</f>
        <v>дотація</v>
      </c>
      <c r="E83" s="220"/>
      <c r="F83" s="199"/>
      <c r="G83" s="199"/>
      <c r="H83" s="199"/>
      <c r="I83" s="199"/>
      <c r="J83" s="199">
        <v>24.728000000000002</v>
      </c>
      <c r="K83" s="199"/>
      <c r="L83" s="199">
        <f>SUM(F83:K83)</f>
        <v>24.728000000000002</v>
      </c>
      <c r="M83" s="199">
        <f>L83/6</f>
        <v>4.1210000000000004</v>
      </c>
      <c r="N83" s="199"/>
      <c r="O83" s="199"/>
      <c r="P83" s="199"/>
      <c r="Q83" s="199"/>
      <c r="R83" s="199"/>
      <c r="S83" s="199"/>
      <c r="T83" s="199">
        <f>SUM(N83:S83)</f>
        <v>0</v>
      </c>
      <c r="U83" s="199">
        <f>T83+L83</f>
        <v>24.728000000000002</v>
      </c>
      <c r="V83" s="199">
        <f>V78</f>
        <v>24.728000000000002</v>
      </c>
      <c r="W83" s="221">
        <f>V83-U83</f>
        <v>0</v>
      </c>
      <c r="X83" s="74">
        <f>U78-U83</f>
        <v>0</v>
      </c>
    </row>
    <row r="84" spans="1:24" s="214" customFormat="1" ht="18" customHeight="1">
      <c r="A84" s="610"/>
      <c r="B84" s="583"/>
      <c r="C84" s="583"/>
      <c r="D84" s="201" t="str">
        <f>серпень!D84</f>
        <v xml:space="preserve">місцевий </v>
      </c>
      <c r="E84" s="220"/>
      <c r="F84" s="199">
        <f t="shared" ref="F84:K84" si="155">F82-F83</f>
        <v>0</v>
      </c>
      <c r="G84" s="199">
        <f t="shared" si="155"/>
        <v>60.39</v>
      </c>
      <c r="H84" s="199">
        <f t="shared" si="155"/>
        <v>60.619</v>
      </c>
      <c r="I84" s="199">
        <f t="shared" si="155"/>
        <v>60.619</v>
      </c>
      <c r="J84" s="199">
        <f>J82-J83</f>
        <v>24.236000000000001</v>
      </c>
      <c r="K84" s="199">
        <f t="shared" si="155"/>
        <v>54.804000000000002</v>
      </c>
      <c r="L84" s="199">
        <f>SUM(F84:K84)</f>
        <v>260.66800000000001</v>
      </c>
      <c r="M84" s="199">
        <f>L84/6</f>
        <v>43.445</v>
      </c>
      <c r="N84" s="199">
        <f t="shared" ref="N84:S84" si="156">N82-N83</f>
        <v>48.963000000000001</v>
      </c>
      <c r="O84" s="199">
        <f>O82-O83</f>
        <v>60.643000000000001</v>
      </c>
      <c r="P84" s="199">
        <f t="shared" si="156"/>
        <v>60.643000000000001</v>
      </c>
      <c r="Q84" s="199">
        <f t="shared" si="156"/>
        <v>106.125</v>
      </c>
      <c r="R84" s="199">
        <f t="shared" si="156"/>
        <v>106.125</v>
      </c>
      <c r="S84" s="199">
        <f t="shared" si="156"/>
        <v>212.251</v>
      </c>
      <c r="T84" s="199">
        <f>SUM(N84:S84)</f>
        <v>594.75</v>
      </c>
      <c r="U84" s="199">
        <f>T84+L84</f>
        <v>855.41800000000001</v>
      </c>
      <c r="V84" s="199">
        <f>V79</f>
        <v>1268.6880000000001</v>
      </c>
      <c r="W84" s="221">
        <f>V84-U84</f>
        <v>413.27</v>
      </c>
      <c r="X84" s="74">
        <f>U79-U84</f>
        <v>413.27</v>
      </c>
    </row>
    <row r="85" spans="1:24" s="214" customFormat="1" ht="18" customHeight="1">
      <c r="A85" s="610"/>
      <c r="B85" s="583"/>
      <c r="C85" s="583"/>
      <c r="D85" s="202" t="str">
        <f>серпень!D85</f>
        <v>план</v>
      </c>
      <c r="E85" s="203"/>
      <c r="F85" s="203">
        <f t="shared" ref="F85:K85" si="157">F78+F79</f>
        <v>0</v>
      </c>
      <c r="G85" s="203">
        <f t="shared" si="157"/>
        <v>105.724</v>
      </c>
      <c r="H85" s="203">
        <f t="shared" si="157"/>
        <v>105.724</v>
      </c>
      <c r="I85" s="203">
        <f t="shared" si="157"/>
        <v>111.452</v>
      </c>
      <c r="J85" s="203">
        <f t="shared" si="157"/>
        <v>0.23699999999999999</v>
      </c>
      <c r="K85" s="203">
        <f t="shared" si="157"/>
        <v>42.003</v>
      </c>
      <c r="L85" s="203">
        <f>SUM(F85:K85)</f>
        <v>365.14</v>
      </c>
      <c r="M85" s="203">
        <f>L85/6</f>
        <v>60.856999999999999</v>
      </c>
      <c r="N85" s="203">
        <f t="shared" ref="N85:S85" si="158">N79+N78</f>
        <v>48.886000000000003</v>
      </c>
      <c r="O85" s="203">
        <f t="shared" si="158"/>
        <v>60.723999999999997</v>
      </c>
      <c r="P85" s="203">
        <f t="shared" si="158"/>
        <v>105.724</v>
      </c>
      <c r="Q85" s="203">
        <f t="shared" si="158"/>
        <v>124.724</v>
      </c>
      <c r="R85" s="203">
        <f t="shared" si="158"/>
        <v>105.724</v>
      </c>
      <c r="S85" s="203">
        <f t="shared" si="158"/>
        <v>482.49400000000003</v>
      </c>
      <c r="T85" s="203">
        <f>SUM(N85:S85)</f>
        <v>928.27599999999995</v>
      </c>
      <c r="U85" s="203">
        <f>T85+L85</f>
        <v>1293.4159999999999</v>
      </c>
      <c r="V85" s="203">
        <f>V82</f>
        <v>1293.4159999999999</v>
      </c>
      <c r="W85" s="203">
        <f>V85-U85</f>
        <v>0</v>
      </c>
    </row>
    <row r="86" spans="1:24" s="214" customFormat="1" ht="18" customHeight="1">
      <c r="A86" s="610"/>
      <c r="B86" s="583"/>
      <c r="C86" s="583"/>
      <c r="D86" s="202" t="str">
        <f>серпень!D86</f>
        <v xml:space="preserve">відхилення </v>
      </c>
      <c r="E86" s="203"/>
      <c r="F86" s="203">
        <f t="shared" ref="F86:K86" si="159">F82-F85</f>
        <v>0</v>
      </c>
      <c r="G86" s="203">
        <f t="shared" si="159"/>
        <v>-45.334000000000003</v>
      </c>
      <c r="H86" s="203">
        <f t="shared" si="159"/>
        <v>-45.104999999999997</v>
      </c>
      <c r="I86" s="203">
        <f t="shared" si="159"/>
        <v>-50.832999999999998</v>
      </c>
      <c r="J86" s="203">
        <f t="shared" si="159"/>
        <v>48.726999999999997</v>
      </c>
      <c r="K86" s="203">
        <f t="shared" si="159"/>
        <v>12.801</v>
      </c>
      <c r="L86" s="203"/>
      <c r="M86" s="203"/>
      <c r="N86" s="203">
        <f t="shared" ref="N86:S86" si="160">N82-N85</f>
        <v>7.6999999999999999E-2</v>
      </c>
      <c r="O86" s="203">
        <f t="shared" si="160"/>
        <v>-8.1000000000000003E-2</v>
      </c>
      <c r="P86" s="203">
        <f t="shared" si="160"/>
        <v>-45.081000000000003</v>
      </c>
      <c r="Q86" s="203">
        <f t="shared" si="160"/>
        <v>-18.599</v>
      </c>
      <c r="R86" s="203">
        <f t="shared" si="160"/>
        <v>0.40100000000000002</v>
      </c>
      <c r="S86" s="203">
        <f t="shared" si="160"/>
        <v>-270.24299999999999</v>
      </c>
      <c r="T86" s="203"/>
      <c r="U86" s="203"/>
      <c r="V86" s="203"/>
      <c r="W86" s="203"/>
    </row>
    <row r="87" spans="1:24" s="214" customFormat="1" ht="25.2" customHeight="1">
      <c r="A87" s="610"/>
      <c r="B87" s="583"/>
      <c r="C87" s="584"/>
      <c r="D87" s="202" t="str">
        <f>серпень!D87</f>
        <v>відхилення з наростаючим</v>
      </c>
      <c r="E87" s="203"/>
      <c r="F87" s="203">
        <f>F86</f>
        <v>0</v>
      </c>
      <c r="G87" s="203">
        <f>G86+F87</f>
        <v>-45.334000000000003</v>
      </c>
      <c r="H87" s="203">
        <f>H86+G87</f>
        <v>-90.438999999999993</v>
      </c>
      <c r="I87" s="203">
        <f>I86+H87</f>
        <v>-141.27199999999999</v>
      </c>
      <c r="J87" s="203">
        <f>J86+I87</f>
        <v>-92.545000000000002</v>
      </c>
      <c r="K87" s="203">
        <f>K86+J87</f>
        <v>-79.744</v>
      </c>
      <c r="L87" s="203"/>
      <c r="M87" s="203"/>
      <c r="N87" s="203">
        <f>N86+K87</f>
        <v>-79.667000000000002</v>
      </c>
      <c r="O87" s="203">
        <f>O86+N87</f>
        <v>-79.748000000000005</v>
      </c>
      <c r="P87" s="203">
        <f>P86+O87</f>
        <v>-124.82899999999999</v>
      </c>
      <c r="Q87" s="203">
        <f>Q86+P87</f>
        <v>-143.428</v>
      </c>
      <c r="R87" s="203">
        <f>R86+Q87</f>
        <v>-143.02699999999999</v>
      </c>
      <c r="S87" s="203">
        <f>S86+R87</f>
        <v>-413.27</v>
      </c>
      <c r="T87" s="203"/>
      <c r="U87" s="203"/>
      <c r="V87" s="203"/>
      <c r="W87" s="203"/>
    </row>
    <row r="88" spans="1:24" s="47" customFormat="1" ht="18" customHeight="1">
      <c r="A88" s="610"/>
      <c r="B88" s="583"/>
      <c r="C88" s="582" t="s">
        <v>99</v>
      </c>
      <c r="D88" s="178" t="str">
        <f>серпень!D88</f>
        <v>факт. нат.п-ки 2023</v>
      </c>
      <c r="E88" s="11"/>
      <c r="F88" s="12">
        <v>113.3</v>
      </c>
      <c r="G88" s="12">
        <v>101.1</v>
      </c>
      <c r="H88" s="12">
        <v>52.5</v>
      </c>
      <c r="I88" s="12">
        <v>0</v>
      </c>
      <c r="J88" s="12">
        <v>0</v>
      </c>
      <c r="K88" s="12">
        <v>0</v>
      </c>
      <c r="L88" s="65">
        <f>SUM(F88:K88)</f>
        <v>266.89999999999998</v>
      </c>
      <c r="M88" s="65">
        <f>L88/6</f>
        <v>44.5</v>
      </c>
      <c r="N88" s="11">
        <v>0</v>
      </c>
      <c r="O88" s="11">
        <v>0</v>
      </c>
      <c r="P88" s="11">
        <v>0</v>
      </c>
      <c r="Q88" s="11">
        <v>0</v>
      </c>
      <c r="R88" s="11">
        <v>48.8</v>
      </c>
      <c r="S88" s="11">
        <v>126.7</v>
      </c>
      <c r="T88" s="65">
        <f>SUM(N88:S88)</f>
        <v>175.5</v>
      </c>
      <c r="U88" s="65">
        <f>T88+L88</f>
        <v>442.4</v>
      </c>
      <c r="V88" s="46">
        <v>442.4</v>
      </c>
      <c r="W88" s="38"/>
    </row>
    <row r="89" spans="1:24" s="47" customFormat="1" ht="18" customHeight="1">
      <c r="A89" s="610"/>
      <c r="B89" s="583"/>
      <c r="C89" s="583"/>
      <c r="D89" s="178" t="str">
        <f>серпень!D89</f>
        <v>факт. нат.п-ки 2024</v>
      </c>
      <c r="E89" s="11"/>
      <c r="F89" s="12">
        <v>133.1</v>
      </c>
      <c r="G89" s="12">
        <v>86.1</v>
      </c>
      <c r="H89" s="12">
        <v>83.4</v>
      </c>
      <c r="I89" s="12">
        <v>0</v>
      </c>
      <c r="J89" s="12">
        <v>0</v>
      </c>
      <c r="K89" s="12">
        <v>0</v>
      </c>
      <c r="L89" s="65">
        <f>SUM(F89:K89)</f>
        <v>302.60000000000002</v>
      </c>
      <c r="M89" s="65">
        <f>L89/6</f>
        <v>50.4</v>
      </c>
      <c r="N89" s="11">
        <v>0</v>
      </c>
      <c r="O89" s="11">
        <v>0</v>
      </c>
      <c r="P89" s="11">
        <v>0</v>
      </c>
      <c r="Q89" s="11">
        <v>0</v>
      </c>
      <c r="R89" s="11">
        <v>48.8</v>
      </c>
      <c r="S89" s="11">
        <v>137.19999999999999</v>
      </c>
      <c r="T89" s="65">
        <f>SUM(N89:S89)</f>
        <v>186</v>
      </c>
      <c r="U89" s="65">
        <f>T89+L89</f>
        <v>488.6</v>
      </c>
      <c r="V89" s="11">
        <v>488.6</v>
      </c>
      <c r="W89" s="38"/>
    </row>
    <row r="90" spans="1:24" s="47" customFormat="1" ht="18" customHeight="1">
      <c r="A90" s="610"/>
      <c r="B90" s="583"/>
      <c r="C90" s="583"/>
      <c r="D90" s="178" t="str">
        <f>серпень!D90</f>
        <v>факт. нат.п-ки 2025</v>
      </c>
      <c r="E90" s="11"/>
      <c r="F90" s="12">
        <v>124</v>
      </c>
      <c r="G90" s="12">
        <v>142.19999999999999</v>
      </c>
      <c r="H90" s="12">
        <v>72.2</v>
      </c>
      <c r="I90" s="12">
        <v>0</v>
      </c>
      <c r="J90" s="12">
        <v>0</v>
      </c>
      <c r="K90" s="12">
        <v>0</v>
      </c>
      <c r="L90" s="65">
        <f>SUM(F90:K90)</f>
        <v>338.4</v>
      </c>
      <c r="M90" s="65">
        <f>L90/6</f>
        <v>56.4</v>
      </c>
      <c r="N90" s="11">
        <v>0</v>
      </c>
      <c r="O90" s="11">
        <v>0</v>
      </c>
      <c r="P90" s="11">
        <v>0</v>
      </c>
      <c r="Q90" s="11">
        <v>0</v>
      </c>
      <c r="R90" s="11">
        <v>48.8</v>
      </c>
      <c r="S90" s="11">
        <v>114.1</v>
      </c>
      <c r="T90" s="65">
        <f>SUM(N90:S90)</f>
        <v>162.9</v>
      </c>
      <c r="U90" s="65">
        <f>T90+L90</f>
        <v>501.3</v>
      </c>
      <c r="V90" s="11">
        <v>465.5</v>
      </c>
      <c r="W90" s="38">
        <f>U90-V90</f>
        <v>35.799999999999997</v>
      </c>
    </row>
    <row r="91" spans="1:24" s="47" customFormat="1" ht="18" customHeight="1">
      <c r="A91" s="610"/>
      <c r="B91" s="583"/>
      <c r="C91" s="583"/>
      <c r="D91" s="187" t="str">
        <f>серпень!D91</f>
        <v>тариф, грн.</v>
      </c>
      <c r="E91" s="49" t="e">
        <f t="shared" ref="E91:K91" si="161">E92/E90*1000</f>
        <v>#DIV/0!</v>
      </c>
      <c r="F91" s="49">
        <f t="shared" si="161"/>
        <v>2927.4270000000001</v>
      </c>
      <c r="G91" s="49">
        <f t="shared" si="161"/>
        <v>3096.4630000000002</v>
      </c>
      <c r="H91" s="49">
        <f t="shared" si="161"/>
        <v>3096.634</v>
      </c>
      <c r="I91" s="49" t="e">
        <f t="shared" si="161"/>
        <v>#DIV/0!</v>
      </c>
      <c r="J91" s="49" t="e">
        <f t="shared" si="161"/>
        <v>#DIV/0!</v>
      </c>
      <c r="K91" s="49" t="e">
        <f t="shared" si="161"/>
        <v>#DIV/0!</v>
      </c>
      <c r="L91" s="217">
        <f t="shared" ref="L91:M91" si="162">L92/L90*1000</f>
        <v>3034.56</v>
      </c>
      <c r="M91" s="217">
        <f t="shared" si="162"/>
        <v>3034.56</v>
      </c>
      <c r="N91" s="217">
        <v>3096.37</v>
      </c>
      <c r="O91" s="217">
        <v>3096.37</v>
      </c>
      <c r="P91" s="217">
        <v>3096.37</v>
      </c>
      <c r="Q91" s="217">
        <v>3096.37</v>
      </c>
      <c r="R91" s="217">
        <v>3096.37</v>
      </c>
      <c r="S91" s="217">
        <v>3096.37</v>
      </c>
      <c r="T91" s="121">
        <f>T92/T90*1000</f>
        <v>3096.38</v>
      </c>
      <c r="U91" s="121">
        <f>U92/U90*1000</f>
        <v>3054.65</v>
      </c>
      <c r="V91" s="68">
        <f>V92/V90*1000</f>
        <v>2926.3009999999999</v>
      </c>
      <c r="W91" s="14">
        <f>W92/W90*1000</f>
        <v>-4723.5200000000004</v>
      </c>
    </row>
    <row r="92" spans="1:24" s="47" customFormat="1" ht="18" customHeight="1">
      <c r="A92" s="610"/>
      <c r="B92" s="583"/>
      <c r="C92" s="583"/>
      <c r="D92" s="191" t="str">
        <f>серпень!D92</f>
        <v>сума, тис.грн.</v>
      </c>
      <c r="E92" s="52"/>
      <c r="F92" s="52">
        <v>363.00099999999998</v>
      </c>
      <c r="G92" s="52">
        <v>440.31700000000001</v>
      </c>
      <c r="H92" s="52">
        <v>223.577</v>
      </c>
      <c r="I92" s="52">
        <v>0</v>
      </c>
      <c r="J92" s="52">
        <v>0</v>
      </c>
      <c r="K92" s="52">
        <v>0</v>
      </c>
      <c r="L92" s="69">
        <f>SUM(F92:K92)</f>
        <v>1026.895</v>
      </c>
      <c r="M92" s="69">
        <f>L92/6</f>
        <v>171.149</v>
      </c>
      <c r="N92" s="52">
        <f>N90*N91/1000</f>
        <v>0</v>
      </c>
      <c r="O92" s="52">
        <f t="shared" ref="O92" si="163">O90*O91/1000</f>
        <v>0</v>
      </c>
      <c r="P92" s="52">
        <f t="shared" ref="P92" si="164">P90*P91/1000</f>
        <v>0</v>
      </c>
      <c r="Q92" s="52">
        <f t="shared" ref="Q92" si="165">Q90*Q91/1000</f>
        <v>0</v>
      </c>
      <c r="R92" s="52">
        <f t="shared" ref="R92" si="166">R90*R91/1000</f>
        <v>151.10300000000001</v>
      </c>
      <c r="S92" s="52">
        <f>S90*S91/1000+0.001</f>
        <v>353.29700000000003</v>
      </c>
      <c r="T92" s="69">
        <f>SUM(N92:S92)</f>
        <v>504.4</v>
      </c>
      <c r="U92" s="69">
        <f>T92+L92</f>
        <v>1531.2950000000001</v>
      </c>
      <c r="V92" s="70">
        <f>V93+V94</f>
        <v>1362.193</v>
      </c>
      <c r="W92" s="53">
        <f>V92-U92</f>
        <v>-169.102</v>
      </c>
    </row>
    <row r="93" spans="1:24" s="47" customFormat="1" ht="18" customHeight="1">
      <c r="A93" s="610"/>
      <c r="B93" s="583"/>
      <c r="C93" s="583"/>
      <c r="D93" s="174" t="str">
        <f>серпень!D93</f>
        <v>дотація</v>
      </c>
      <c r="E93" s="56"/>
      <c r="F93" s="52"/>
      <c r="G93" s="52"/>
      <c r="H93" s="52"/>
      <c r="I93" s="52">
        <v>0</v>
      </c>
      <c r="J93" s="52"/>
      <c r="K93" s="52"/>
      <c r="L93" s="69">
        <f>SUM(F93:K93)</f>
        <v>0</v>
      </c>
      <c r="M93" s="69">
        <f>L93/6</f>
        <v>0</v>
      </c>
      <c r="N93" s="52"/>
      <c r="O93" s="52"/>
      <c r="P93" s="52"/>
      <c r="Q93" s="52"/>
      <c r="R93" s="52"/>
      <c r="S93" s="52"/>
      <c r="T93" s="69">
        <f>SUM(N93:S93)</f>
        <v>0</v>
      </c>
      <c r="U93" s="69">
        <f>T93+L93</f>
        <v>0</v>
      </c>
      <c r="V93" s="70"/>
      <c r="W93" s="53">
        <f>V93-U93</f>
        <v>0</v>
      </c>
    </row>
    <row r="94" spans="1:24" s="47" customFormat="1" ht="18" customHeight="1">
      <c r="A94" s="610"/>
      <c r="B94" s="583"/>
      <c r="C94" s="583"/>
      <c r="D94" s="174" t="str">
        <f>серпень!D94</f>
        <v>місцевий (план), тис.грн</v>
      </c>
      <c r="E94" s="56"/>
      <c r="F94" s="52">
        <f>56.642-56.642</f>
        <v>0</v>
      </c>
      <c r="G94" s="52">
        <v>389.49099999999999</v>
      </c>
      <c r="H94" s="52">
        <f>251.954+193.027</f>
        <v>444.98099999999999</v>
      </c>
      <c r="I94" s="52">
        <f>244.053-85.7+19</f>
        <v>177.35300000000001</v>
      </c>
      <c r="J94" s="52">
        <v>0</v>
      </c>
      <c r="K94" s="52">
        <v>0</v>
      </c>
      <c r="L94" s="69">
        <f>SUM(F94:K94)</f>
        <v>1011.825</v>
      </c>
      <c r="M94" s="69">
        <f>L94/6</f>
        <v>168.63800000000001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f>476.695-193.027+85.7-19</f>
        <v>350.36799999999999</v>
      </c>
      <c r="T94" s="69">
        <f>SUM(N94:S94)</f>
        <v>350.36799999999999</v>
      </c>
      <c r="U94" s="69">
        <f>T94+L94</f>
        <v>1362.193</v>
      </c>
      <c r="V94" s="70">
        <v>1362.193</v>
      </c>
      <c r="W94" s="53">
        <f>V94-U94</f>
        <v>0</v>
      </c>
    </row>
    <row r="95" spans="1:24" s="47" customFormat="1" ht="18" customHeight="1">
      <c r="A95" s="610"/>
      <c r="B95" s="583"/>
      <c r="C95" s="583"/>
      <c r="D95" s="178" t="str">
        <f>серпень!D95</f>
        <v>касові нат.п-ки 2025</v>
      </c>
      <c r="E95" s="11"/>
      <c r="F95" s="83">
        <v>0</v>
      </c>
      <c r="G95" s="12">
        <v>124</v>
      </c>
      <c r="H95" s="12">
        <v>142.19999999999999</v>
      </c>
      <c r="I95" s="12">
        <v>72.2</v>
      </c>
      <c r="J95" s="12">
        <v>0</v>
      </c>
      <c r="K95" s="12"/>
      <c r="L95" s="65">
        <f>SUM(F95:K95)</f>
        <v>338.4</v>
      </c>
      <c r="M95" s="65">
        <f>L95/6</f>
        <v>56.4</v>
      </c>
      <c r="N95" s="11"/>
      <c r="O95" s="11"/>
      <c r="P95" s="11"/>
      <c r="Q95" s="11"/>
      <c r="R95" s="11"/>
      <c r="S95" s="11">
        <f>R90+S90</f>
        <v>162.9</v>
      </c>
      <c r="T95" s="65">
        <f>SUM(N95:S95)</f>
        <v>162.9</v>
      </c>
      <c r="U95" s="65">
        <f>T95+L95</f>
        <v>501.3</v>
      </c>
      <c r="V95" s="11">
        <f>V90</f>
        <v>465.5</v>
      </c>
      <c r="W95" s="38">
        <f>V95-U95</f>
        <v>-35.799999999999997</v>
      </c>
      <c r="X95" s="47">
        <f>U90-U95</f>
        <v>0</v>
      </c>
    </row>
    <row r="96" spans="1:24" s="47" customFormat="1" ht="18" customHeight="1">
      <c r="A96" s="610"/>
      <c r="B96" s="583"/>
      <c r="C96" s="583"/>
      <c r="D96" s="187" t="str">
        <f>серпень!D96</f>
        <v>тариф, грн.</v>
      </c>
      <c r="E96" s="49" t="e">
        <f t="shared" ref="E96:K96" si="167">E97/E95*1000</f>
        <v>#DIV/0!</v>
      </c>
      <c r="F96" s="49" t="e">
        <f t="shared" si="167"/>
        <v>#DIV/0!</v>
      </c>
      <c r="G96" s="49">
        <f t="shared" si="167"/>
        <v>2927.4270000000001</v>
      </c>
      <c r="H96" s="49">
        <f t="shared" si="167"/>
        <v>3096.4630000000002</v>
      </c>
      <c r="I96" s="49">
        <f t="shared" si="167"/>
        <v>3096.634</v>
      </c>
      <c r="J96" s="49" t="e">
        <f t="shared" si="167"/>
        <v>#DIV/0!</v>
      </c>
      <c r="K96" s="49" t="e">
        <f t="shared" si="167"/>
        <v>#DIV/0!</v>
      </c>
      <c r="L96" s="217">
        <f>L97/L95*1000</f>
        <v>3034.56</v>
      </c>
      <c r="M96" s="217">
        <f>M97/M95*1000</f>
        <v>3034.56</v>
      </c>
      <c r="N96" s="217">
        <v>3096.37</v>
      </c>
      <c r="O96" s="217">
        <v>3096.37</v>
      </c>
      <c r="P96" s="217">
        <v>3096.37</v>
      </c>
      <c r="Q96" s="217">
        <v>3096.37</v>
      </c>
      <c r="R96" s="217">
        <v>3096.37</v>
      </c>
      <c r="S96" s="217">
        <v>3096.37</v>
      </c>
      <c r="T96" s="121">
        <f>T97/T95*1000</f>
        <v>3096.38</v>
      </c>
      <c r="U96" s="121">
        <f>U97/U95*1000</f>
        <v>3054.65</v>
      </c>
      <c r="V96" s="68">
        <f>V97/V95*1000</f>
        <v>2926.3009999999999</v>
      </c>
      <c r="W96" s="14">
        <f>W97/W95*1000</f>
        <v>4723.5200000000004</v>
      </c>
    </row>
    <row r="97" spans="1:24" s="63" customFormat="1" ht="18" customHeight="1">
      <c r="A97" s="610"/>
      <c r="B97" s="583"/>
      <c r="C97" s="583"/>
      <c r="D97" s="198" t="str">
        <f>серпень!D97</f>
        <v>касові видатки, тис.грн.</v>
      </c>
      <c r="E97" s="71"/>
      <c r="F97" s="61">
        <v>0</v>
      </c>
      <c r="G97" s="61">
        <v>363.00099999999998</v>
      </c>
      <c r="H97" s="61">
        <v>440.31700000000001</v>
      </c>
      <c r="I97" s="61">
        <v>223.577</v>
      </c>
      <c r="J97" s="61">
        <v>0</v>
      </c>
      <c r="K97" s="61">
        <v>0</v>
      </c>
      <c r="L97" s="61">
        <f>SUM(F97:K97)</f>
        <v>1026.895</v>
      </c>
      <c r="M97" s="61">
        <f>L97/6</f>
        <v>171.149</v>
      </c>
      <c r="N97" s="61">
        <f>N95*N96/1000</f>
        <v>0</v>
      </c>
      <c r="O97" s="61">
        <f t="shared" ref="O97" si="168">O95*O96/1000</f>
        <v>0</v>
      </c>
      <c r="P97" s="61">
        <f t="shared" ref="P97" si="169">P95*P96/1000</f>
        <v>0</v>
      </c>
      <c r="Q97" s="61">
        <f t="shared" ref="Q97" si="170">Q95*Q96/1000</f>
        <v>0</v>
      </c>
      <c r="R97" s="61">
        <f t="shared" ref="R97" si="171">R95*R96/1000</f>
        <v>0</v>
      </c>
      <c r="S97" s="61">
        <f>S95*S96/1000+0.001</f>
        <v>504.4</v>
      </c>
      <c r="T97" s="61">
        <f>SUM(N97:S97)</f>
        <v>504.4</v>
      </c>
      <c r="U97" s="61">
        <f>T97+L97</f>
        <v>1531.2950000000001</v>
      </c>
      <c r="V97" s="61">
        <f>V92</f>
        <v>1362.193</v>
      </c>
      <c r="W97" s="72">
        <f>V97-U97</f>
        <v>-169.102</v>
      </c>
      <c r="X97" s="63">
        <f>U92-U97</f>
        <v>0</v>
      </c>
    </row>
    <row r="98" spans="1:24" s="63" customFormat="1" ht="18" customHeight="1">
      <c r="A98" s="610"/>
      <c r="B98" s="583"/>
      <c r="C98" s="583"/>
      <c r="D98" s="201" t="str">
        <f>серпень!D98</f>
        <v>дотація</v>
      </c>
      <c r="E98" s="71"/>
      <c r="F98" s="61">
        <v>0</v>
      </c>
      <c r="G98" s="61">
        <v>0</v>
      </c>
      <c r="H98" s="61">
        <v>0</v>
      </c>
      <c r="I98" s="61">
        <v>0</v>
      </c>
      <c r="J98" s="61">
        <v>0</v>
      </c>
      <c r="K98" s="61">
        <v>0</v>
      </c>
      <c r="L98" s="61">
        <f>SUM(F98:K98)</f>
        <v>0</v>
      </c>
      <c r="M98" s="61">
        <f>L98/6</f>
        <v>0</v>
      </c>
      <c r="N98" s="61">
        <v>0</v>
      </c>
      <c r="O98" s="61">
        <v>0</v>
      </c>
      <c r="P98" s="61">
        <v>0</v>
      </c>
      <c r="Q98" s="61">
        <v>0</v>
      </c>
      <c r="R98" s="61">
        <v>0</v>
      </c>
      <c r="S98" s="61">
        <v>0</v>
      </c>
      <c r="T98" s="61">
        <f>SUM(N98:S98)</f>
        <v>0</v>
      </c>
      <c r="U98" s="61">
        <f>T98+L98</f>
        <v>0</v>
      </c>
      <c r="V98" s="61">
        <f>V93</f>
        <v>0</v>
      </c>
      <c r="W98" s="72">
        <f>V98-U98</f>
        <v>0</v>
      </c>
      <c r="X98" s="63">
        <f>U93-U98</f>
        <v>0</v>
      </c>
    </row>
    <row r="99" spans="1:24" s="63" customFormat="1" ht="18" customHeight="1">
      <c r="A99" s="610"/>
      <c r="B99" s="583"/>
      <c r="C99" s="583"/>
      <c r="D99" s="201" t="str">
        <f>серпень!D99</f>
        <v xml:space="preserve">місцевий </v>
      </c>
      <c r="E99" s="71"/>
      <c r="F99" s="61">
        <f t="shared" ref="F99:K99" si="172">F97-F98</f>
        <v>0</v>
      </c>
      <c r="G99" s="61">
        <f t="shared" si="172"/>
        <v>363.00099999999998</v>
      </c>
      <c r="H99" s="61">
        <f t="shared" si="172"/>
        <v>440.31700000000001</v>
      </c>
      <c r="I99" s="61">
        <f t="shared" si="172"/>
        <v>223.577</v>
      </c>
      <c r="J99" s="61">
        <f t="shared" si="172"/>
        <v>0</v>
      </c>
      <c r="K99" s="61">
        <f t="shared" si="172"/>
        <v>0</v>
      </c>
      <c r="L99" s="61">
        <f>SUM(F99:K99)</f>
        <v>1026.895</v>
      </c>
      <c r="M99" s="61">
        <f>L99/6</f>
        <v>171.149</v>
      </c>
      <c r="N99" s="61">
        <f t="shared" ref="N99:S99" si="173">N97-N98</f>
        <v>0</v>
      </c>
      <c r="O99" s="61">
        <f t="shared" si="173"/>
        <v>0</v>
      </c>
      <c r="P99" s="61">
        <f t="shared" si="173"/>
        <v>0</v>
      </c>
      <c r="Q99" s="61">
        <f t="shared" si="173"/>
        <v>0</v>
      </c>
      <c r="R99" s="61">
        <f t="shared" si="173"/>
        <v>0</v>
      </c>
      <c r="S99" s="61">
        <f t="shared" si="173"/>
        <v>504.4</v>
      </c>
      <c r="T99" s="61">
        <f>SUM(N99:S99)</f>
        <v>504.4</v>
      </c>
      <c r="U99" s="61">
        <f>T99+L99</f>
        <v>1531.2950000000001</v>
      </c>
      <c r="V99" s="61">
        <f>V94</f>
        <v>1362.193</v>
      </c>
      <c r="W99" s="72">
        <f>V99-U99</f>
        <v>-169.102</v>
      </c>
      <c r="X99" s="63">
        <f>U94-U99</f>
        <v>-169.102</v>
      </c>
    </row>
    <row r="100" spans="1:24" s="43" customFormat="1" ht="18" customHeight="1">
      <c r="A100" s="610"/>
      <c r="B100" s="583"/>
      <c r="C100" s="583"/>
      <c r="D100" s="202" t="str">
        <f>серпень!D100</f>
        <v>план</v>
      </c>
      <c r="E100" s="42"/>
      <c r="F100" s="42">
        <f t="shared" ref="F100:K100" si="174">F93+F94</f>
        <v>0</v>
      </c>
      <c r="G100" s="42">
        <f t="shared" si="174"/>
        <v>389.49099999999999</v>
      </c>
      <c r="H100" s="42">
        <f t="shared" si="174"/>
        <v>444.98099999999999</v>
      </c>
      <c r="I100" s="42">
        <f t="shared" si="174"/>
        <v>177.35300000000001</v>
      </c>
      <c r="J100" s="42">
        <f t="shared" si="174"/>
        <v>0</v>
      </c>
      <c r="K100" s="42">
        <f t="shared" si="174"/>
        <v>0</v>
      </c>
      <c r="L100" s="42">
        <f>SUM(F100:K100)</f>
        <v>1011.825</v>
      </c>
      <c r="M100" s="42">
        <f>L100/6</f>
        <v>168.63800000000001</v>
      </c>
      <c r="N100" s="42">
        <f t="shared" ref="N100:S100" si="175">N94+N93</f>
        <v>0</v>
      </c>
      <c r="O100" s="42">
        <f t="shared" si="175"/>
        <v>0</v>
      </c>
      <c r="P100" s="42">
        <f t="shared" si="175"/>
        <v>0</v>
      </c>
      <c r="Q100" s="42">
        <f t="shared" si="175"/>
        <v>0</v>
      </c>
      <c r="R100" s="42">
        <f t="shared" si="175"/>
        <v>0</v>
      </c>
      <c r="S100" s="42">
        <f t="shared" si="175"/>
        <v>350.36799999999999</v>
      </c>
      <c r="T100" s="42">
        <f>SUM(N100:S100)</f>
        <v>350.36799999999999</v>
      </c>
      <c r="U100" s="42">
        <f>T100+L100</f>
        <v>1362.193</v>
      </c>
      <c r="V100" s="42">
        <f>V97</f>
        <v>1362.193</v>
      </c>
      <c r="W100" s="42">
        <f>V100-U100</f>
        <v>0</v>
      </c>
    </row>
    <row r="101" spans="1:24" s="43" customFormat="1" ht="18" customHeight="1">
      <c r="A101" s="610"/>
      <c r="B101" s="583"/>
      <c r="C101" s="583"/>
      <c r="D101" s="202" t="str">
        <f>серпень!D101</f>
        <v xml:space="preserve">відхилення </v>
      </c>
      <c r="E101" s="42"/>
      <c r="F101" s="42">
        <f t="shared" ref="F101:K101" si="176">F97-F100</f>
        <v>0</v>
      </c>
      <c r="G101" s="42">
        <f t="shared" si="176"/>
        <v>-26.49</v>
      </c>
      <c r="H101" s="42">
        <f t="shared" si="176"/>
        <v>-4.6639999999999997</v>
      </c>
      <c r="I101" s="42">
        <f t="shared" si="176"/>
        <v>46.223999999999997</v>
      </c>
      <c r="J101" s="42">
        <f t="shared" si="176"/>
        <v>0</v>
      </c>
      <c r="K101" s="42">
        <f t="shared" si="176"/>
        <v>0</v>
      </c>
      <c r="L101" s="42"/>
      <c r="M101" s="42"/>
      <c r="N101" s="42">
        <f t="shared" ref="N101:S101" si="177">N97-N100</f>
        <v>0</v>
      </c>
      <c r="O101" s="42">
        <f t="shared" si="177"/>
        <v>0</v>
      </c>
      <c r="P101" s="42">
        <f t="shared" si="177"/>
        <v>0</v>
      </c>
      <c r="Q101" s="42">
        <f t="shared" si="177"/>
        <v>0</v>
      </c>
      <c r="R101" s="42">
        <f t="shared" si="177"/>
        <v>0</v>
      </c>
      <c r="S101" s="42">
        <f t="shared" si="177"/>
        <v>154.03200000000001</v>
      </c>
      <c r="T101" s="42"/>
      <c r="U101" s="42"/>
      <c r="V101" s="42"/>
      <c r="W101" s="42"/>
    </row>
    <row r="102" spans="1:24" s="43" customFormat="1" ht="25.2" customHeight="1">
      <c r="A102" s="610"/>
      <c r="B102" s="583"/>
      <c r="C102" s="584"/>
      <c r="D102" s="202" t="str">
        <f>серпень!D102</f>
        <v>відхилення з наростаючим</v>
      </c>
      <c r="E102" s="42"/>
      <c r="F102" s="42">
        <f>F101</f>
        <v>0</v>
      </c>
      <c r="G102" s="42">
        <f>G101+F102</f>
        <v>-26.49</v>
      </c>
      <c r="H102" s="42">
        <f>H101+G102</f>
        <v>-31.154</v>
      </c>
      <c r="I102" s="42">
        <f>I101+H102</f>
        <v>15.07</v>
      </c>
      <c r="J102" s="42">
        <f>J101+I102</f>
        <v>15.07</v>
      </c>
      <c r="K102" s="42">
        <f>K101+J102</f>
        <v>15.07</v>
      </c>
      <c r="L102" s="42"/>
      <c r="M102" s="42"/>
      <c r="N102" s="42">
        <f>N101+K102</f>
        <v>15.07</v>
      </c>
      <c r="O102" s="42">
        <f>O101+N102</f>
        <v>15.07</v>
      </c>
      <c r="P102" s="42">
        <f>P101+O102</f>
        <v>15.07</v>
      </c>
      <c r="Q102" s="42">
        <f>Q101+P102</f>
        <v>15.07</v>
      </c>
      <c r="R102" s="42">
        <f>R101+Q102</f>
        <v>15.07</v>
      </c>
      <c r="S102" s="42">
        <f>S101+R102</f>
        <v>169.102</v>
      </c>
      <c r="T102" s="42"/>
      <c r="U102" s="42"/>
      <c r="V102" s="42"/>
      <c r="W102" s="42"/>
    </row>
    <row r="103" spans="1:24" s="43" customFormat="1" ht="18" hidden="1" customHeight="1">
      <c r="A103" s="610"/>
      <c r="B103" s="583"/>
      <c r="C103" s="582" t="s">
        <v>96</v>
      </c>
      <c r="D103" s="178" t="str">
        <f>серпень!D103</f>
        <v>факт. нат.п-ки 2023</v>
      </c>
      <c r="E103" s="179"/>
      <c r="F103" s="184"/>
      <c r="G103" s="184"/>
      <c r="H103" s="179"/>
      <c r="I103" s="179"/>
      <c r="J103" s="179"/>
      <c r="K103" s="179"/>
      <c r="L103" s="215">
        <f>SUM(F103:K103)</f>
        <v>0</v>
      </c>
      <c r="M103" s="215">
        <f>L103/6</f>
        <v>0</v>
      </c>
      <c r="N103" s="179"/>
      <c r="O103" s="179"/>
      <c r="P103" s="179"/>
      <c r="Q103" s="179"/>
      <c r="R103" s="179"/>
      <c r="S103" s="179"/>
      <c r="T103" s="215">
        <f>SUM(N103:S103)</f>
        <v>0</v>
      </c>
      <c r="U103" s="215">
        <f>T103+L103</f>
        <v>0</v>
      </c>
      <c r="V103" s="179"/>
      <c r="W103" s="184"/>
    </row>
    <row r="104" spans="1:24" s="43" customFormat="1" ht="18" hidden="1" customHeight="1">
      <c r="A104" s="610"/>
      <c r="B104" s="583"/>
      <c r="C104" s="583"/>
      <c r="D104" s="178" t="str">
        <f>серпень!D104</f>
        <v>факт. нат.п-ки 2024</v>
      </c>
      <c r="E104" s="179"/>
      <c r="F104" s="184"/>
      <c r="G104" s="184"/>
      <c r="H104" s="179"/>
      <c r="I104" s="179"/>
      <c r="J104" s="179"/>
      <c r="K104" s="179"/>
      <c r="L104" s="215">
        <f>SUM(F104:K104)</f>
        <v>0</v>
      </c>
      <c r="M104" s="215">
        <f>L104/6</f>
        <v>0</v>
      </c>
      <c r="N104" s="179"/>
      <c r="O104" s="179"/>
      <c r="P104" s="179"/>
      <c r="Q104" s="179"/>
      <c r="R104" s="179"/>
      <c r="S104" s="179"/>
      <c r="T104" s="215">
        <f>SUM(N104:S104)</f>
        <v>0</v>
      </c>
      <c r="U104" s="215">
        <f>T104+L104</f>
        <v>0</v>
      </c>
      <c r="V104" s="179"/>
      <c r="W104" s="184"/>
    </row>
    <row r="105" spans="1:24" s="205" customFormat="1" ht="23.5" hidden="1" customHeight="1">
      <c r="A105" s="610"/>
      <c r="B105" s="583"/>
      <c r="C105" s="583"/>
      <c r="D105" s="178" t="str">
        <f>серпень!D105</f>
        <v>факт. нат.п-ки 2025</v>
      </c>
      <c r="E105" s="179"/>
      <c r="F105" s="184"/>
      <c r="G105" s="184"/>
      <c r="H105" s="179"/>
      <c r="I105" s="216"/>
      <c r="J105" s="179"/>
      <c r="K105" s="179"/>
      <c r="L105" s="215">
        <f>SUM(F105:K105)</f>
        <v>0</v>
      </c>
      <c r="M105" s="215">
        <f>L105/6</f>
        <v>0</v>
      </c>
      <c r="N105" s="179"/>
      <c r="O105" s="179"/>
      <c r="P105" s="179"/>
      <c r="Q105" s="179"/>
      <c r="R105" s="179"/>
      <c r="S105" s="179"/>
      <c r="T105" s="215">
        <f>SUM(N105:S105)</f>
        <v>0</v>
      </c>
      <c r="U105" s="215">
        <f>T105+L105</f>
        <v>0</v>
      </c>
      <c r="V105" s="179"/>
      <c r="W105" s="184">
        <f>U105-V105</f>
        <v>0</v>
      </c>
    </row>
    <row r="106" spans="1:24" s="205" customFormat="1" ht="23.5" hidden="1" customHeight="1">
      <c r="A106" s="610"/>
      <c r="B106" s="583"/>
      <c r="C106" s="583"/>
      <c r="D106" s="187" t="str">
        <f>серпень!D106</f>
        <v>тариф, грн.</v>
      </c>
      <c r="E106" s="188"/>
      <c r="F106" s="188"/>
      <c r="G106" s="188"/>
      <c r="H106" s="188"/>
      <c r="I106" s="188"/>
      <c r="J106" s="188" t="e">
        <f t="shared" ref="J106:K106" si="178">J107/J105*1000</f>
        <v>#DIV/0!</v>
      </c>
      <c r="K106" s="188" t="e">
        <f t="shared" si="178"/>
        <v>#DIV/0!</v>
      </c>
      <c r="L106" s="217" t="e">
        <f>L107/L105*1000</f>
        <v>#DIV/0!</v>
      </c>
      <c r="M106" s="217" t="e">
        <f>M107/M105*1000</f>
        <v>#DIV/0!</v>
      </c>
      <c r="N106" s="188"/>
      <c r="O106" s="188"/>
      <c r="P106" s="218"/>
      <c r="Q106" s="218"/>
      <c r="R106" s="218"/>
      <c r="S106" s="218"/>
      <c r="T106" s="217" t="e">
        <f>T107/T105*1000</f>
        <v>#DIV/0!</v>
      </c>
      <c r="U106" s="217" t="e">
        <f>U107/U105*1000</f>
        <v>#DIV/0!</v>
      </c>
      <c r="V106" s="218" t="e">
        <f>V107/V105*1000</f>
        <v>#DIV/0!</v>
      </c>
      <c r="W106" s="219" t="e">
        <f>W107/W105*1000</f>
        <v>#DIV/0!</v>
      </c>
    </row>
    <row r="107" spans="1:24" s="205" customFormat="1" ht="23.5" hidden="1" customHeight="1">
      <c r="A107" s="610"/>
      <c r="B107" s="583"/>
      <c r="C107" s="583"/>
      <c r="D107" s="191" t="str">
        <f>серпень!D107</f>
        <v>сума, тис.грн.</v>
      </c>
      <c r="E107" s="192"/>
      <c r="F107" s="192"/>
      <c r="G107" s="192"/>
      <c r="H107" s="192"/>
      <c r="I107" s="192"/>
      <c r="J107" s="192"/>
      <c r="K107" s="192"/>
      <c r="L107" s="194">
        <f>SUM(F107:K107)</f>
        <v>0</v>
      </c>
      <c r="M107" s="194">
        <f>L107/6</f>
        <v>0</v>
      </c>
      <c r="N107" s="192"/>
      <c r="O107" s="192"/>
      <c r="P107" s="192"/>
      <c r="Q107" s="192"/>
      <c r="R107" s="192"/>
      <c r="S107" s="192"/>
      <c r="T107" s="194">
        <f>SUM(N107:S107)</f>
        <v>0</v>
      </c>
      <c r="U107" s="194">
        <f>T107+L107</f>
        <v>0</v>
      </c>
      <c r="V107" s="171">
        <f>V108+V109</f>
        <v>0</v>
      </c>
      <c r="W107" s="192">
        <f>V107-U107</f>
        <v>0</v>
      </c>
    </row>
    <row r="108" spans="1:24" s="205" customFormat="1" ht="23.5" hidden="1" customHeight="1">
      <c r="A108" s="610"/>
      <c r="B108" s="583"/>
      <c r="C108" s="583"/>
      <c r="D108" s="174" t="str">
        <f>серпень!D108</f>
        <v>дотація</v>
      </c>
      <c r="E108" s="210"/>
      <c r="F108" s="192"/>
      <c r="G108" s="192"/>
      <c r="H108" s="192"/>
      <c r="I108" s="192"/>
      <c r="J108" s="192"/>
      <c r="K108" s="192"/>
      <c r="L108" s="194">
        <f>SUM(F108:K108)</f>
        <v>0</v>
      </c>
      <c r="M108" s="194">
        <f>L108/6</f>
        <v>0</v>
      </c>
      <c r="N108" s="192"/>
      <c r="O108" s="192"/>
      <c r="P108" s="192"/>
      <c r="Q108" s="192"/>
      <c r="R108" s="192"/>
      <c r="S108" s="192"/>
      <c r="T108" s="194">
        <f>SUM(N108:S108)</f>
        <v>0</v>
      </c>
      <c r="U108" s="194">
        <f>T108+L108</f>
        <v>0</v>
      </c>
      <c r="V108" s="171"/>
      <c r="W108" s="192">
        <f>V108-U108</f>
        <v>0</v>
      </c>
    </row>
    <row r="109" spans="1:24" s="205" customFormat="1" ht="23.5" hidden="1" customHeight="1">
      <c r="A109" s="610"/>
      <c r="B109" s="583"/>
      <c r="C109" s="583"/>
      <c r="D109" s="174" t="str">
        <f>серпень!D109</f>
        <v>місцевий (план), тис.грн</v>
      </c>
      <c r="E109" s="210"/>
      <c r="F109" s="192"/>
      <c r="G109" s="192"/>
      <c r="H109" s="192"/>
      <c r="I109" s="192"/>
      <c r="J109" s="192"/>
      <c r="K109" s="192"/>
      <c r="L109" s="194">
        <f>SUM(F109:K109)</f>
        <v>0</v>
      </c>
      <c r="M109" s="194">
        <f>L109/6</f>
        <v>0</v>
      </c>
      <c r="N109" s="192"/>
      <c r="O109" s="192"/>
      <c r="P109" s="192"/>
      <c r="Q109" s="192"/>
      <c r="R109" s="192"/>
      <c r="S109" s="192"/>
      <c r="T109" s="194">
        <f>SUM(N109:S109)</f>
        <v>0</v>
      </c>
      <c r="U109" s="194">
        <f>T109+L109</f>
        <v>0</v>
      </c>
      <c r="V109" s="171"/>
      <c r="W109" s="192">
        <f>V109-U109</f>
        <v>0</v>
      </c>
    </row>
    <row r="110" spans="1:24" s="205" customFormat="1" ht="23.5" hidden="1" customHeight="1">
      <c r="A110" s="610"/>
      <c r="B110" s="583"/>
      <c r="C110" s="583"/>
      <c r="D110" s="178" t="str">
        <f>серпень!D110</f>
        <v>касові нат.п-ки 2025</v>
      </c>
      <c r="E110" s="179"/>
      <c r="F110" s="184"/>
      <c r="G110" s="184"/>
      <c r="H110" s="179"/>
      <c r="I110" s="179"/>
      <c r="J110" s="216"/>
      <c r="K110" s="179"/>
      <c r="L110" s="215">
        <f>SUM(F110:K110)</f>
        <v>0</v>
      </c>
      <c r="M110" s="215">
        <f>L110/6</f>
        <v>0</v>
      </c>
      <c r="N110" s="179"/>
      <c r="O110" s="179"/>
      <c r="P110" s="179"/>
      <c r="Q110" s="179"/>
      <c r="R110" s="179"/>
      <c r="S110" s="179"/>
      <c r="T110" s="215">
        <f>SUM(N110:S110)</f>
        <v>0</v>
      </c>
      <c r="U110" s="215">
        <f>T110+L110</f>
        <v>0</v>
      </c>
      <c r="V110" s="179">
        <f>V105</f>
        <v>0</v>
      </c>
      <c r="W110" s="184">
        <f>V110-U110</f>
        <v>0</v>
      </c>
      <c r="X110" s="185">
        <f>U105-U110</f>
        <v>0</v>
      </c>
    </row>
    <row r="111" spans="1:24" s="205" customFormat="1" ht="23.5" hidden="1" customHeight="1">
      <c r="A111" s="610"/>
      <c r="B111" s="583"/>
      <c r="C111" s="583"/>
      <c r="D111" s="187" t="str">
        <f>серпень!D111</f>
        <v>тариф, грн.</v>
      </c>
      <c r="E111" s="188" t="e">
        <f t="shared" ref="E111" si="179">E112/E110*1000</f>
        <v>#DIV/0!</v>
      </c>
      <c r="F111" s="188"/>
      <c r="G111" s="188"/>
      <c r="H111" s="188"/>
      <c r="I111" s="188"/>
      <c r="J111" s="188"/>
      <c r="K111" s="188"/>
      <c r="L111" s="217" t="e">
        <f>L112/L110*1000</f>
        <v>#DIV/0!</v>
      </c>
      <c r="M111" s="217" t="e">
        <f>M112/M110*1000</f>
        <v>#DIV/0!</v>
      </c>
      <c r="N111" s="188"/>
      <c r="O111" s="188"/>
      <c r="P111" s="188"/>
      <c r="Q111" s="218"/>
      <c r="R111" s="218"/>
      <c r="S111" s="218"/>
      <c r="T111" s="217" t="e">
        <f>T112/T110*1000</f>
        <v>#DIV/0!</v>
      </c>
      <c r="U111" s="217" t="e">
        <f>U112/U110*1000</f>
        <v>#DIV/0!</v>
      </c>
      <c r="V111" s="218" t="e">
        <f>V112/V110*1000</f>
        <v>#DIV/0!</v>
      </c>
      <c r="W111" s="219" t="e">
        <f>W112/W110*1000</f>
        <v>#DIV/0!</v>
      </c>
      <c r="X111" s="185"/>
    </row>
    <row r="112" spans="1:24" s="205" customFormat="1" ht="23.5" hidden="1" customHeight="1">
      <c r="A112" s="610"/>
      <c r="B112" s="583"/>
      <c r="C112" s="583"/>
      <c r="D112" s="198" t="str">
        <f>серпень!D112</f>
        <v>касові видатки, тис.грн.</v>
      </c>
      <c r="E112" s="220"/>
      <c r="F112" s="199"/>
      <c r="G112" s="199"/>
      <c r="H112" s="199"/>
      <c r="I112" s="199"/>
      <c r="J112" s="199"/>
      <c r="K112" s="199"/>
      <c r="L112" s="199">
        <f>SUM(F112:K112)</f>
        <v>0</v>
      </c>
      <c r="M112" s="199">
        <f>L112/6</f>
        <v>0</v>
      </c>
      <c r="N112" s="199"/>
      <c r="O112" s="199"/>
      <c r="P112" s="199"/>
      <c r="Q112" s="199"/>
      <c r="R112" s="199"/>
      <c r="S112" s="199"/>
      <c r="T112" s="199">
        <f>SUM(N112:S112)</f>
        <v>0</v>
      </c>
      <c r="U112" s="199">
        <f>T112+L112</f>
        <v>0</v>
      </c>
      <c r="V112" s="199">
        <f>V107</f>
        <v>0</v>
      </c>
      <c r="W112" s="221">
        <f>V112-U112</f>
        <v>0</v>
      </c>
      <c r="X112" s="176">
        <f>U107-U112</f>
        <v>0</v>
      </c>
    </row>
    <row r="113" spans="1:24" s="205" customFormat="1" ht="23.5" hidden="1" customHeight="1">
      <c r="A113" s="610"/>
      <c r="B113" s="583"/>
      <c r="C113" s="583"/>
      <c r="D113" s="201" t="str">
        <f>серпень!D113</f>
        <v>дотація</v>
      </c>
      <c r="E113" s="220"/>
      <c r="F113" s="199">
        <v>0</v>
      </c>
      <c r="G113" s="199">
        <v>0</v>
      </c>
      <c r="H113" s="199">
        <v>0</v>
      </c>
      <c r="I113" s="199">
        <v>0</v>
      </c>
      <c r="J113" s="199">
        <v>0</v>
      </c>
      <c r="K113" s="199">
        <v>0</v>
      </c>
      <c r="L113" s="199">
        <f>SUM(F113:K113)</f>
        <v>0</v>
      </c>
      <c r="M113" s="199">
        <f>L113/6</f>
        <v>0</v>
      </c>
      <c r="N113" s="199">
        <v>0</v>
      </c>
      <c r="O113" s="199">
        <v>0</v>
      </c>
      <c r="P113" s="199">
        <v>0</v>
      </c>
      <c r="Q113" s="199">
        <v>0</v>
      </c>
      <c r="R113" s="199">
        <v>0</v>
      </c>
      <c r="S113" s="199">
        <v>0</v>
      </c>
      <c r="T113" s="199">
        <f>SUM(N113:S113)</f>
        <v>0</v>
      </c>
      <c r="U113" s="199">
        <f>T113+L113</f>
        <v>0</v>
      </c>
      <c r="V113" s="199">
        <f>V108</f>
        <v>0</v>
      </c>
      <c r="W113" s="221">
        <f>V113-U113</f>
        <v>0</v>
      </c>
      <c r="X113" s="176">
        <f>U108-U113</f>
        <v>0</v>
      </c>
    </row>
    <row r="114" spans="1:24" s="205" customFormat="1" ht="23.5" hidden="1" customHeight="1">
      <c r="A114" s="610"/>
      <c r="B114" s="583"/>
      <c r="C114" s="583"/>
      <c r="D114" s="201" t="str">
        <f>серпень!D114</f>
        <v xml:space="preserve">місцевий </v>
      </c>
      <c r="E114" s="220"/>
      <c r="F114" s="199">
        <f t="shared" ref="F114:K114" si="180">F112-F113</f>
        <v>0</v>
      </c>
      <c r="G114" s="199">
        <f t="shared" si="180"/>
        <v>0</v>
      </c>
      <c r="H114" s="199">
        <f t="shared" si="180"/>
        <v>0</v>
      </c>
      <c r="I114" s="199">
        <f t="shared" si="180"/>
        <v>0</v>
      </c>
      <c r="J114" s="199">
        <f t="shared" si="180"/>
        <v>0</v>
      </c>
      <c r="K114" s="199">
        <f t="shared" si="180"/>
        <v>0</v>
      </c>
      <c r="L114" s="199">
        <f>SUM(F114:K114)</f>
        <v>0</v>
      </c>
      <c r="M114" s="199">
        <f>L114/6</f>
        <v>0</v>
      </c>
      <c r="N114" s="199">
        <f t="shared" ref="N114:S114" si="181">N112-N113</f>
        <v>0</v>
      </c>
      <c r="O114" s="199">
        <f t="shared" si="181"/>
        <v>0</v>
      </c>
      <c r="P114" s="199">
        <f t="shared" si="181"/>
        <v>0</v>
      </c>
      <c r="Q114" s="199">
        <f t="shared" si="181"/>
        <v>0</v>
      </c>
      <c r="R114" s="199">
        <f t="shared" si="181"/>
        <v>0</v>
      </c>
      <c r="S114" s="199">
        <f t="shared" si="181"/>
        <v>0</v>
      </c>
      <c r="T114" s="199">
        <f>SUM(N114:S114)</f>
        <v>0</v>
      </c>
      <c r="U114" s="199">
        <f>T114+L114</f>
        <v>0</v>
      </c>
      <c r="V114" s="199">
        <f>V109</f>
        <v>0</v>
      </c>
      <c r="W114" s="221">
        <f>V114-U114</f>
        <v>0</v>
      </c>
      <c r="X114" s="176">
        <f>U109-U114</f>
        <v>0</v>
      </c>
    </row>
    <row r="115" spans="1:24" s="43" customFormat="1" ht="18" hidden="1" customHeight="1">
      <c r="A115" s="610"/>
      <c r="B115" s="583"/>
      <c r="C115" s="583"/>
      <c r="D115" s="202" t="str">
        <f>серпень!D115</f>
        <v>план</v>
      </c>
      <c r="E115" s="203"/>
      <c r="F115" s="203">
        <f t="shared" ref="F115:K115" si="182">F108+F109</f>
        <v>0</v>
      </c>
      <c r="G115" s="203">
        <f t="shared" si="182"/>
        <v>0</v>
      </c>
      <c r="H115" s="203">
        <f t="shared" si="182"/>
        <v>0</v>
      </c>
      <c r="I115" s="203">
        <f t="shared" si="182"/>
        <v>0</v>
      </c>
      <c r="J115" s="203">
        <f t="shared" si="182"/>
        <v>0</v>
      </c>
      <c r="K115" s="203">
        <f t="shared" si="182"/>
        <v>0</v>
      </c>
      <c r="L115" s="203">
        <f>SUM(F115:K115)</f>
        <v>0</v>
      </c>
      <c r="M115" s="203">
        <f>L115/6</f>
        <v>0</v>
      </c>
      <c r="N115" s="203">
        <f t="shared" ref="N115:S115" si="183">N109+N108</f>
        <v>0</v>
      </c>
      <c r="O115" s="203">
        <f t="shared" si="183"/>
        <v>0</v>
      </c>
      <c r="P115" s="203">
        <f t="shared" si="183"/>
        <v>0</v>
      </c>
      <c r="Q115" s="203">
        <f t="shared" si="183"/>
        <v>0</v>
      </c>
      <c r="R115" s="203">
        <f t="shared" si="183"/>
        <v>0</v>
      </c>
      <c r="S115" s="203">
        <f t="shared" si="183"/>
        <v>0</v>
      </c>
      <c r="T115" s="203">
        <f>SUM(N115:S115)</f>
        <v>0</v>
      </c>
      <c r="U115" s="203">
        <f>T115+L115</f>
        <v>0</v>
      </c>
      <c r="V115" s="203">
        <f>V112</f>
        <v>0</v>
      </c>
      <c r="W115" s="203">
        <f>V115-U115</f>
        <v>0</v>
      </c>
    </row>
    <row r="116" spans="1:24" s="43" customFormat="1" ht="18" hidden="1" customHeight="1">
      <c r="A116" s="610"/>
      <c r="B116" s="583"/>
      <c r="C116" s="583"/>
      <c r="D116" s="202" t="str">
        <f>серпень!D116</f>
        <v xml:space="preserve">відхилення </v>
      </c>
      <c r="E116" s="203"/>
      <c r="F116" s="203">
        <f t="shared" ref="F116:K116" si="184">F112-F115</f>
        <v>0</v>
      </c>
      <c r="G116" s="203">
        <f t="shared" si="184"/>
        <v>0</v>
      </c>
      <c r="H116" s="203">
        <f t="shared" si="184"/>
        <v>0</v>
      </c>
      <c r="I116" s="203">
        <f t="shared" si="184"/>
        <v>0</v>
      </c>
      <c r="J116" s="203">
        <f t="shared" si="184"/>
        <v>0</v>
      </c>
      <c r="K116" s="203">
        <f t="shared" si="184"/>
        <v>0</v>
      </c>
      <c r="L116" s="203"/>
      <c r="M116" s="203"/>
      <c r="N116" s="203">
        <f t="shared" ref="N116:S116" si="185">N112-N115</f>
        <v>0</v>
      </c>
      <c r="O116" s="203">
        <f t="shared" si="185"/>
        <v>0</v>
      </c>
      <c r="P116" s="203">
        <f t="shared" si="185"/>
        <v>0</v>
      </c>
      <c r="Q116" s="203">
        <f t="shared" si="185"/>
        <v>0</v>
      </c>
      <c r="R116" s="203">
        <f t="shared" si="185"/>
        <v>0</v>
      </c>
      <c r="S116" s="203">
        <f t="shared" si="185"/>
        <v>0</v>
      </c>
      <c r="T116" s="203"/>
      <c r="U116" s="203"/>
      <c r="V116" s="203"/>
      <c r="W116" s="203"/>
    </row>
    <row r="117" spans="1:24" s="43" customFormat="1" ht="18" hidden="1" customHeight="1">
      <c r="A117" s="610"/>
      <c r="B117" s="583"/>
      <c r="C117" s="584"/>
      <c r="D117" s="202" t="str">
        <f>серпень!D117</f>
        <v>відхилення з наростаючим</v>
      </c>
      <c r="E117" s="203"/>
      <c r="F117" s="203">
        <f>F116</f>
        <v>0</v>
      </c>
      <c r="G117" s="203">
        <f>G116+F117</f>
        <v>0</v>
      </c>
      <c r="H117" s="203">
        <f>H116+G117</f>
        <v>0</v>
      </c>
      <c r="I117" s="203">
        <f>I116+H117</f>
        <v>0</v>
      </c>
      <c r="J117" s="203">
        <f>J116+I117</f>
        <v>0</v>
      </c>
      <c r="K117" s="203">
        <f>K116+J117</f>
        <v>0</v>
      </c>
      <c r="L117" s="203"/>
      <c r="M117" s="203"/>
      <c r="N117" s="203">
        <f>N116+K117</f>
        <v>0</v>
      </c>
      <c r="O117" s="203">
        <f>O116+N117</f>
        <v>0</v>
      </c>
      <c r="P117" s="203">
        <f>P116+O117</f>
        <v>0</v>
      </c>
      <c r="Q117" s="203">
        <f>Q116+P117</f>
        <v>0</v>
      </c>
      <c r="R117" s="203">
        <f>R116+Q117</f>
        <v>0</v>
      </c>
      <c r="S117" s="203">
        <f>S116+R117</f>
        <v>0</v>
      </c>
      <c r="T117" s="203"/>
      <c r="U117" s="203"/>
      <c r="V117" s="203"/>
      <c r="W117" s="203"/>
    </row>
    <row r="118" spans="1:24" s="43" customFormat="1" ht="18" hidden="1" customHeight="1">
      <c r="A118" s="610"/>
      <c r="B118" s="581" t="s">
        <v>57</v>
      </c>
      <c r="C118" s="582" t="s">
        <v>98</v>
      </c>
      <c r="D118" s="178" t="str">
        <f>серпень!D118</f>
        <v>факт. нат.п-ки 2023</v>
      </c>
      <c r="E118" s="179"/>
      <c r="F118" s="184"/>
      <c r="G118" s="184"/>
      <c r="H118" s="179"/>
      <c r="I118" s="179"/>
      <c r="J118" s="179"/>
      <c r="K118" s="179"/>
      <c r="L118" s="215">
        <f>SUM(F118:K118)</f>
        <v>0</v>
      </c>
      <c r="M118" s="215">
        <f>L118/6</f>
        <v>0</v>
      </c>
      <c r="N118" s="179"/>
      <c r="O118" s="179"/>
      <c r="P118" s="179"/>
      <c r="Q118" s="179"/>
      <c r="R118" s="179"/>
      <c r="S118" s="179"/>
      <c r="T118" s="215">
        <f>SUM(N118:S118)</f>
        <v>0</v>
      </c>
      <c r="U118" s="215">
        <f>T118+L118</f>
        <v>0</v>
      </c>
      <c r="V118" s="179"/>
      <c r="W118" s="184"/>
    </row>
    <row r="119" spans="1:24" s="43" customFormat="1" ht="18" hidden="1" customHeight="1">
      <c r="A119" s="610"/>
      <c r="B119" s="581"/>
      <c r="C119" s="583"/>
      <c r="D119" s="178" t="str">
        <f>серпень!D119</f>
        <v>факт. нат.п-ки 2024</v>
      </c>
      <c r="E119" s="179"/>
      <c r="F119" s="184"/>
      <c r="G119" s="184"/>
      <c r="H119" s="179"/>
      <c r="I119" s="179"/>
      <c r="J119" s="179"/>
      <c r="K119" s="179"/>
      <c r="L119" s="215">
        <f>SUM(F119:K119)</f>
        <v>0</v>
      </c>
      <c r="M119" s="215">
        <f>L119/6</f>
        <v>0</v>
      </c>
      <c r="N119" s="179"/>
      <c r="O119" s="179"/>
      <c r="P119" s="179"/>
      <c r="Q119" s="179"/>
      <c r="R119" s="179"/>
      <c r="S119" s="179"/>
      <c r="T119" s="215">
        <f>SUM(N119:S119)</f>
        <v>0</v>
      </c>
      <c r="U119" s="215">
        <f>T119+L119</f>
        <v>0</v>
      </c>
      <c r="V119" s="179"/>
      <c r="W119" s="184"/>
    </row>
    <row r="120" spans="1:24" s="43" customFormat="1" ht="18" hidden="1" customHeight="1">
      <c r="A120" s="610"/>
      <c r="B120" s="581"/>
      <c r="C120" s="583"/>
      <c r="D120" s="178" t="str">
        <f>серпень!D120</f>
        <v>факт. нат.п-ки 2025</v>
      </c>
      <c r="E120" s="179"/>
      <c r="F120" s="184"/>
      <c r="G120" s="184"/>
      <c r="H120" s="179"/>
      <c r="I120" s="216"/>
      <c r="J120" s="179"/>
      <c r="K120" s="179"/>
      <c r="L120" s="215">
        <f>SUM(F120:K120)</f>
        <v>0</v>
      </c>
      <c r="M120" s="215">
        <f>L120/6</f>
        <v>0</v>
      </c>
      <c r="N120" s="179"/>
      <c r="O120" s="179"/>
      <c r="P120" s="179"/>
      <c r="Q120" s="179"/>
      <c r="R120" s="179"/>
      <c r="S120" s="179"/>
      <c r="T120" s="215">
        <f>SUM(N120:S120)</f>
        <v>0</v>
      </c>
      <c r="U120" s="215">
        <f>T120+L120</f>
        <v>0</v>
      </c>
      <c r="V120" s="179"/>
      <c r="W120" s="184">
        <f>U120-V120</f>
        <v>0</v>
      </c>
    </row>
    <row r="121" spans="1:24" s="43" customFormat="1" ht="18" hidden="1" customHeight="1">
      <c r="A121" s="610"/>
      <c r="B121" s="581"/>
      <c r="C121" s="583"/>
      <c r="D121" s="187" t="str">
        <f>серпень!D121</f>
        <v>тариф, грн.</v>
      </c>
      <c r="E121" s="188"/>
      <c r="F121" s="188"/>
      <c r="G121" s="188"/>
      <c r="H121" s="188"/>
      <c r="I121" s="188"/>
      <c r="J121" s="188"/>
      <c r="K121" s="188"/>
      <c r="L121" s="217" t="e">
        <f>L122/L120*1000</f>
        <v>#DIV/0!</v>
      </c>
      <c r="M121" s="217" t="e">
        <f>M122/M120*1000</f>
        <v>#DIV/0!</v>
      </c>
      <c r="N121" s="188"/>
      <c r="O121" s="188"/>
      <c r="P121" s="188"/>
      <c r="Q121" s="188"/>
      <c r="R121" s="188"/>
      <c r="S121" s="188"/>
      <c r="T121" s="217" t="e">
        <f>T122/T120*1000</f>
        <v>#DIV/0!</v>
      </c>
      <c r="U121" s="217" t="e">
        <f>U122/U120*1000</f>
        <v>#DIV/0!</v>
      </c>
      <c r="V121" s="218" t="e">
        <f>V122/V120*1000</f>
        <v>#DIV/0!</v>
      </c>
      <c r="W121" s="219" t="e">
        <f>W122/W120*1000</f>
        <v>#DIV/0!</v>
      </c>
    </row>
    <row r="122" spans="1:24" s="43" customFormat="1" ht="18" hidden="1" customHeight="1">
      <c r="A122" s="610"/>
      <c r="B122" s="581"/>
      <c r="C122" s="583"/>
      <c r="D122" s="191" t="str">
        <f>серпень!D122</f>
        <v>сума, тис.грн.</v>
      </c>
      <c r="E122" s="192"/>
      <c r="F122" s="192"/>
      <c r="G122" s="192"/>
      <c r="H122" s="192"/>
      <c r="I122" s="192"/>
      <c r="J122" s="192"/>
      <c r="K122" s="192"/>
      <c r="L122" s="194">
        <f>SUM(F122:K122)</f>
        <v>0</v>
      </c>
      <c r="M122" s="194">
        <f>L122/6</f>
        <v>0</v>
      </c>
      <c r="N122" s="192"/>
      <c r="O122" s="192"/>
      <c r="P122" s="192"/>
      <c r="Q122" s="192"/>
      <c r="R122" s="192"/>
      <c r="S122" s="192"/>
      <c r="T122" s="194">
        <f>SUM(N122:S122)</f>
        <v>0</v>
      </c>
      <c r="U122" s="194">
        <f>T122+L122</f>
        <v>0</v>
      </c>
      <c r="V122" s="171">
        <f>V123+V124</f>
        <v>0</v>
      </c>
      <c r="W122" s="192">
        <f>V122-U122</f>
        <v>0</v>
      </c>
    </row>
    <row r="123" spans="1:24" s="43" customFormat="1" ht="18" hidden="1" customHeight="1">
      <c r="A123" s="610"/>
      <c r="B123" s="581"/>
      <c r="C123" s="583"/>
      <c r="D123" s="174" t="str">
        <f>серпень!D123</f>
        <v>дотація</v>
      </c>
      <c r="E123" s="210"/>
      <c r="F123" s="192"/>
      <c r="G123" s="192"/>
      <c r="H123" s="192"/>
      <c r="I123" s="192"/>
      <c r="J123" s="192"/>
      <c r="K123" s="192"/>
      <c r="L123" s="194">
        <f>SUM(F123:K123)</f>
        <v>0</v>
      </c>
      <c r="M123" s="194">
        <f>L123/6</f>
        <v>0</v>
      </c>
      <c r="N123" s="192"/>
      <c r="O123" s="192"/>
      <c r="P123" s="192"/>
      <c r="Q123" s="192"/>
      <c r="R123" s="192"/>
      <c r="S123" s="192"/>
      <c r="T123" s="194">
        <f>SUM(N123:S123)</f>
        <v>0</v>
      </c>
      <c r="U123" s="194">
        <f>T123+L123</f>
        <v>0</v>
      </c>
      <c r="V123" s="171"/>
      <c r="W123" s="192">
        <f>V123-U123</f>
        <v>0</v>
      </c>
    </row>
    <row r="124" spans="1:24" s="43" customFormat="1" ht="18" hidden="1" customHeight="1">
      <c r="A124" s="610"/>
      <c r="B124" s="581"/>
      <c r="C124" s="583"/>
      <c r="D124" s="174" t="str">
        <f>серпень!D124</f>
        <v>місцевий (план), тис.грн</v>
      </c>
      <c r="E124" s="210"/>
      <c r="F124" s="192"/>
      <c r="G124" s="192"/>
      <c r="H124" s="192"/>
      <c r="I124" s="192"/>
      <c r="J124" s="192"/>
      <c r="K124" s="192"/>
      <c r="L124" s="194">
        <f>SUM(F124:K124)</f>
        <v>0</v>
      </c>
      <c r="M124" s="194">
        <f>L124/6</f>
        <v>0</v>
      </c>
      <c r="N124" s="192"/>
      <c r="O124" s="192"/>
      <c r="P124" s="192"/>
      <c r="Q124" s="192"/>
      <c r="R124" s="192"/>
      <c r="S124" s="192"/>
      <c r="T124" s="194">
        <f>SUM(N124:S124)</f>
        <v>0</v>
      </c>
      <c r="U124" s="194">
        <f>T124+L124</f>
        <v>0</v>
      </c>
      <c r="V124" s="171"/>
      <c r="W124" s="192">
        <f>V124-U124</f>
        <v>0</v>
      </c>
    </row>
    <row r="125" spans="1:24" s="43" customFormat="1" ht="18" hidden="1" customHeight="1">
      <c r="A125" s="610"/>
      <c r="B125" s="581"/>
      <c r="C125" s="583"/>
      <c r="D125" s="178" t="str">
        <f>серпень!D125</f>
        <v>касові нат.п-ки 2025</v>
      </c>
      <c r="E125" s="179"/>
      <c r="F125" s="184"/>
      <c r="G125" s="184"/>
      <c r="H125" s="179"/>
      <c r="I125" s="179"/>
      <c r="J125" s="216"/>
      <c r="K125" s="179"/>
      <c r="L125" s="215">
        <f>SUM(F125:K125)</f>
        <v>0</v>
      </c>
      <c r="M125" s="215">
        <f>L125/6</f>
        <v>0</v>
      </c>
      <c r="N125" s="179"/>
      <c r="O125" s="179"/>
      <c r="P125" s="179"/>
      <c r="Q125" s="179"/>
      <c r="R125" s="179"/>
      <c r="S125" s="179"/>
      <c r="T125" s="215">
        <f>SUM(N125:S125)</f>
        <v>0</v>
      </c>
      <c r="U125" s="215">
        <f>T125+L125</f>
        <v>0</v>
      </c>
      <c r="V125" s="179">
        <f>V120</f>
        <v>0</v>
      </c>
      <c r="W125" s="184">
        <f>V125-U125</f>
        <v>0</v>
      </c>
      <c r="X125" s="47">
        <f>U120-U125</f>
        <v>0</v>
      </c>
    </row>
    <row r="126" spans="1:24" s="43" customFormat="1" ht="18" hidden="1" customHeight="1">
      <c r="A126" s="610"/>
      <c r="B126" s="581"/>
      <c r="C126" s="583"/>
      <c r="D126" s="187" t="str">
        <f>серпень!D126</f>
        <v>тариф, грн.</v>
      </c>
      <c r="E126" s="188" t="e">
        <f t="shared" ref="E126" si="186">E127/E125*1000</f>
        <v>#DIV/0!</v>
      </c>
      <c r="F126" s="188"/>
      <c r="G126" s="188"/>
      <c r="H126" s="188"/>
      <c r="I126" s="188"/>
      <c r="J126" s="188"/>
      <c r="K126" s="188"/>
      <c r="L126" s="217" t="e">
        <f>L127/L125*1000</f>
        <v>#DIV/0!</v>
      </c>
      <c r="M126" s="217" t="e">
        <f>M127/M125*1000</f>
        <v>#DIV/0!</v>
      </c>
      <c r="N126" s="188"/>
      <c r="O126" s="188"/>
      <c r="P126" s="188"/>
      <c r="Q126" s="188"/>
      <c r="R126" s="188"/>
      <c r="S126" s="188"/>
      <c r="T126" s="217" t="e">
        <f>T127/T125*1000</f>
        <v>#DIV/0!</v>
      </c>
      <c r="U126" s="217" t="e">
        <f>U127/U125*1000</f>
        <v>#DIV/0!</v>
      </c>
      <c r="V126" s="218" t="e">
        <f>V127/V125*1000</f>
        <v>#DIV/0!</v>
      </c>
      <c r="W126" s="219" t="e">
        <f>W127/W125*1000</f>
        <v>#DIV/0!</v>
      </c>
      <c r="X126" s="47"/>
    </row>
    <row r="127" spans="1:24" s="43" customFormat="1" ht="18" hidden="1" customHeight="1">
      <c r="A127" s="610"/>
      <c r="B127" s="581"/>
      <c r="C127" s="583"/>
      <c r="D127" s="198" t="str">
        <f>серпень!D127</f>
        <v>касові видатки, тис.грн.</v>
      </c>
      <c r="E127" s="220"/>
      <c r="F127" s="199"/>
      <c r="G127" s="199"/>
      <c r="H127" s="199"/>
      <c r="I127" s="199"/>
      <c r="J127" s="199"/>
      <c r="K127" s="199"/>
      <c r="L127" s="199">
        <f>SUM(F127:K127)</f>
        <v>0</v>
      </c>
      <c r="M127" s="199">
        <f>L127/6</f>
        <v>0</v>
      </c>
      <c r="N127" s="199"/>
      <c r="O127" s="199"/>
      <c r="P127" s="199"/>
      <c r="Q127" s="199"/>
      <c r="R127" s="199"/>
      <c r="S127" s="199"/>
      <c r="T127" s="199">
        <f>SUM(N127:S127)</f>
        <v>0</v>
      </c>
      <c r="U127" s="199">
        <f>T127+L127</f>
        <v>0</v>
      </c>
      <c r="V127" s="199">
        <f>V122</f>
        <v>0</v>
      </c>
      <c r="W127" s="221">
        <f>V127-U127</f>
        <v>0</v>
      </c>
      <c r="X127" s="63">
        <f>U122-U127</f>
        <v>0</v>
      </c>
    </row>
    <row r="128" spans="1:24" s="43" customFormat="1" ht="18" hidden="1" customHeight="1">
      <c r="A128" s="610"/>
      <c r="B128" s="581"/>
      <c r="C128" s="583"/>
      <c r="D128" s="201" t="str">
        <f>серпень!D128</f>
        <v>дотація</v>
      </c>
      <c r="E128" s="220"/>
      <c r="F128" s="199"/>
      <c r="G128" s="199"/>
      <c r="H128" s="199"/>
      <c r="I128" s="199"/>
      <c r="J128" s="199"/>
      <c r="K128" s="199"/>
      <c r="L128" s="199">
        <f>SUM(F128:K128)</f>
        <v>0</v>
      </c>
      <c r="M128" s="199">
        <f>L128/6</f>
        <v>0</v>
      </c>
      <c r="N128" s="199"/>
      <c r="O128" s="199"/>
      <c r="P128" s="199"/>
      <c r="Q128" s="199"/>
      <c r="R128" s="199"/>
      <c r="S128" s="199"/>
      <c r="T128" s="199">
        <f>SUM(N128:S128)</f>
        <v>0</v>
      </c>
      <c r="U128" s="199">
        <f>T128+L128</f>
        <v>0</v>
      </c>
      <c r="V128" s="199">
        <f>V123</f>
        <v>0</v>
      </c>
      <c r="W128" s="221">
        <f>V128-U128</f>
        <v>0</v>
      </c>
      <c r="X128" s="63">
        <f>U123-U128</f>
        <v>0</v>
      </c>
    </row>
    <row r="129" spans="1:24" s="43" customFormat="1" ht="18" hidden="1" customHeight="1">
      <c r="A129" s="610"/>
      <c r="B129" s="581"/>
      <c r="C129" s="583"/>
      <c r="D129" s="201" t="str">
        <f>серпень!D129</f>
        <v xml:space="preserve">місцевий </v>
      </c>
      <c r="E129" s="220"/>
      <c r="F129" s="199"/>
      <c r="G129" s="199"/>
      <c r="H129" s="199"/>
      <c r="I129" s="199"/>
      <c r="J129" s="199"/>
      <c r="K129" s="199"/>
      <c r="L129" s="199">
        <f>SUM(F129:K129)</f>
        <v>0</v>
      </c>
      <c r="M129" s="199">
        <f>L129/6</f>
        <v>0</v>
      </c>
      <c r="N129" s="199"/>
      <c r="O129" s="199"/>
      <c r="P129" s="199"/>
      <c r="Q129" s="199"/>
      <c r="R129" s="199"/>
      <c r="S129" s="199"/>
      <c r="T129" s="199">
        <f>SUM(N129:S129)</f>
        <v>0</v>
      </c>
      <c r="U129" s="199">
        <f>T129+L129</f>
        <v>0</v>
      </c>
      <c r="V129" s="199">
        <f>V124</f>
        <v>0</v>
      </c>
      <c r="W129" s="221">
        <f>V129-U129</f>
        <v>0</v>
      </c>
      <c r="X129" s="63">
        <f>U124-U129</f>
        <v>0</v>
      </c>
    </row>
    <row r="130" spans="1:24" s="43" customFormat="1" ht="18" hidden="1" customHeight="1">
      <c r="A130" s="610"/>
      <c r="B130" s="581"/>
      <c r="C130" s="583"/>
      <c r="D130" s="202" t="str">
        <f>серпень!D130</f>
        <v>план</v>
      </c>
      <c r="E130" s="203"/>
      <c r="F130" s="203">
        <f t="shared" ref="F130:K130" si="187">F123+F124</f>
        <v>0</v>
      </c>
      <c r="G130" s="203">
        <f t="shared" si="187"/>
        <v>0</v>
      </c>
      <c r="H130" s="203">
        <f t="shared" si="187"/>
        <v>0</v>
      </c>
      <c r="I130" s="203">
        <f t="shared" si="187"/>
        <v>0</v>
      </c>
      <c r="J130" s="203">
        <f t="shared" si="187"/>
        <v>0</v>
      </c>
      <c r="K130" s="203">
        <f t="shared" si="187"/>
        <v>0</v>
      </c>
      <c r="L130" s="203">
        <f>SUM(F130:K130)</f>
        <v>0</v>
      </c>
      <c r="M130" s="203">
        <f>L130/6</f>
        <v>0</v>
      </c>
      <c r="N130" s="203">
        <f t="shared" ref="N130:S130" si="188">N124+N123</f>
        <v>0</v>
      </c>
      <c r="O130" s="203">
        <f t="shared" si="188"/>
        <v>0</v>
      </c>
      <c r="P130" s="203">
        <f t="shared" si="188"/>
        <v>0</v>
      </c>
      <c r="Q130" s="203">
        <f t="shared" si="188"/>
        <v>0</v>
      </c>
      <c r="R130" s="203">
        <f t="shared" si="188"/>
        <v>0</v>
      </c>
      <c r="S130" s="203">
        <f t="shared" si="188"/>
        <v>0</v>
      </c>
      <c r="T130" s="203">
        <f>SUM(N130:S130)</f>
        <v>0</v>
      </c>
      <c r="U130" s="203">
        <f>T130+L130</f>
        <v>0</v>
      </c>
      <c r="V130" s="203">
        <f>V127</f>
        <v>0</v>
      </c>
      <c r="W130" s="203">
        <f>V130-U130</f>
        <v>0</v>
      </c>
    </row>
    <row r="131" spans="1:24" s="43" customFormat="1" ht="18" hidden="1" customHeight="1">
      <c r="A131" s="610"/>
      <c r="B131" s="581"/>
      <c r="C131" s="583"/>
      <c r="D131" s="202" t="str">
        <f>серпень!D131</f>
        <v xml:space="preserve">відхилення </v>
      </c>
      <c r="E131" s="203"/>
      <c r="F131" s="203">
        <f t="shared" ref="F131:K131" si="189">F127-F130</f>
        <v>0</v>
      </c>
      <c r="G131" s="203">
        <f t="shared" si="189"/>
        <v>0</v>
      </c>
      <c r="H131" s="203">
        <f t="shared" si="189"/>
        <v>0</v>
      </c>
      <c r="I131" s="203">
        <f t="shared" si="189"/>
        <v>0</v>
      </c>
      <c r="J131" s="203">
        <f t="shared" si="189"/>
        <v>0</v>
      </c>
      <c r="K131" s="203">
        <f t="shared" si="189"/>
        <v>0</v>
      </c>
      <c r="L131" s="203"/>
      <c r="M131" s="203"/>
      <c r="N131" s="203">
        <f t="shared" ref="N131:S131" si="190">N127-N130</f>
        <v>0</v>
      </c>
      <c r="O131" s="203">
        <f t="shared" si="190"/>
        <v>0</v>
      </c>
      <c r="P131" s="203">
        <f t="shared" si="190"/>
        <v>0</v>
      </c>
      <c r="Q131" s="203">
        <f t="shared" si="190"/>
        <v>0</v>
      </c>
      <c r="R131" s="203">
        <f t="shared" si="190"/>
        <v>0</v>
      </c>
      <c r="S131" s="203">
        <f t="shared" si="190"/>
        <v>0</v>
      </c>
      <c r="T131" s="203"/>
      <c r="U131" s="203"/>
      <c r="V131" s="203"/>
      <c r="W131" s="203"/>
    </row>
    <row r="132" spans="1:24" s="43" customFormat="1" ht="27.1" hidden="1" customHeight="1">
      <c r="A132" s="610"/>
      <c r="B132" s="581"/>
      <c r="C132" s="584"/>
      <c r="D132" s="202" t="str">
        <f>серпень!D132</f>
        <v>відхилення з наростаючим</v>
      </c>
      <c r="E132" s="203"/>
      <c r="F132" s="203">
        <f>F131</f>
        <v>0</v>
      </c>
      <c r="G132" s="203">
        <f>G131+F132</f>
        <v>0</v>
      </c>
      <c r="H132" s="203">
        <f>H131+G132</f>
        <v>0</v>
      </c>
      <c r="I132" s="203">
        <f>I131+H132</f>
        <v>0</v>
      </c>
      <c r="J132" s="203">
        <f>J131+I132</f>
        <v>0</v>
      </c>
      <c r="K132" s="203">
        <f>K131+J132</f>
        <v>0</v>
      </c>
      <c r="L132" s="203"/>
      <c r="M132" s="203"/>
      <c r="N132" s="203">
        <f>N131+K132</f>
        <v>0</v>
      </c>
      <c r="O132" s="203">
        <f>O131+N132</f>
        <v>0</v>
      </c>
      <c r="P132" s="203">
        <f>P131+O132</f>
        <v>0</v>
      </c>
      <c r="Q132" s="203">
        <f>Q131+P132</f>
        <v>0</v>
      </c>
      <c r="R132" s="203">
        <f>R131+Q132</f>
        <v>0</v>
      </c>
      <c r="S132" s="203">
        <f>S131+R132</f>
        <v>0</v>
      </c>
      <c r="T132" s="203"/>
      <c r="U132" s="203"/>
      <c r="V132" s="203"/>
      <c r="W132" s="203"/>
    </row>
    <row r="133" spans="1:24" s="47" customFormat="1" ht="18" customHeight="1">
      <c r="A133" s="610"/>
      <c r="B133" s="581"/>
      <c r="C133" s="582" t="s">
        <v>99</v>
      </c>
      <c r="D133" s="178" t="str">
        <f>серпень!D133</f>
        <v>факт. нат.п-ки 2023</v>
      </c>
      <c r="E133" s="11"/>
      <c r="F133" s="12">
        <v>168</v>
      </c>
      <c r="G133" s="12">
        <v>96.7</v>
      </c>
      <c r="H133" s="12">
        <v>120.6</v>
      </c>
      <c r="I133" s="12">
        <v>0</v>
      </c>
      <c r="J133" s="12">
        <v>0</v>
      </c>
      <c r="K133" s="12">
        <v>0</v>
      </c>
      <c r="L133" s="65">
        <f>SUM(F133:K133)</f>
        <v>385.3</v>
      </c>
      <c r="M133" s="65">
        <f>L133/6</f>
        <v>64.2</v>
      </c>
      <c r="N133" s="11">
        <v>0</v>
      </c>
      <c r="O133" s="11">
        <v>0</v>
      </c>
      <c r="P133" s="11">
        <v>0</v>
      </c>
      <c r="Q133" s="11">
        <v>0</v>
      </c>
      <c r="R133" s="11">
        <v>38.299999999999997</v>
      </c>
      <c r="S133" s="11">
        <v>60.4</v>
      </c>
      <c r="T133" s="65">
        <f>SUM(N133:S133)</f>
        <v>98.7</v>
      </c>
      <c r="U133" s="65">
        <f>T133+L133</f>
        <v>484</v>
      </c>
      <c r="V133" s="11"/>
      <c r="W133" s="38"/>
    </row>
    <row r="134" spans="1:24" s="47" customFormat="1" ht="18" customHeight="1">
      <c r="A134" s="610"/>
      <c r="B134" s="581"/>
      <c r="C134" s="583"/>
      <c r="D134" s="178" t="str">
        <f>серпень!D134</f>
        <v>факт. нат.п-ки 2024</v>
      </c>
      <c r="E134" s="11"/>
      <c r="F134" s="12">
        <v>60.9</v>
      </c>
      <c r="G134" s="12">
        <v>103.6</v>
      </c>
      <c r="H134" s="12">
        <v>102.1</v>
      </c>
      <c r="I134" s="12">
        <v>0</v>
      </c>
      <c r="J134" s="12">
        <v>0</v>
      </c>
      <c r="K134" s="12">
        <v>0</v>
      </c>
      <c r="L134" s="65">
        <f>SUM(F134:K134)</f>
        <v>266.60000000000002</v>
      </c>
      <c r="M134" s="65">
        <f>L134/6</f>
        <v>44.4</v>
      </c>
      <c r="N134" s="11">
        <v>0</v>
      </c>
      <c r="O134" s="11">
        <v>0</v>
      </c>
      <c r="P134" s="11">
        <v>0</v>
      </c>
      <c r="Q134" s="11">
        <v>0</v>
      </c>
      <c r="R134" s="11">
        <v>38.299999999999997</v>
      </c>
      <c r="S134" s="11">
        <v>60.4</v>
      </c>
      <c r="T134" s="65">
        <f>SUM(N134:S134)</f>
        <v>98.7</v>
      </c>
      <c r="U134" s="65">
        <f>T134+L134</f>
        <v>365.3</v>
      </c>
      <c r="V134" s="11">
        <v>527.1</v>
      </c>
      <c r="W134" s="38"/>
    </row>
    <row r="135" spans="1:24" s="47" customFormat="1" ht="18" customHeight="1">
      <c r="A135" s="610"/>
      <c r="B135" s="581"/>
      <c r="C135" s="583"/>
      <c r="D135" s="178" t="str">
        <f>серпень!D135</f>
        <v>факт. нат.п-ки 2025</v>
      </c>
      <c r="E135" s="11"/>
      <c r="F135" s="12">
        <v>104.3</v>
      </c>
      <c r="G135" s="12">
        <v>162</v>
      </c>
      <c r="H135" s="12">
        <v>96.4</v>
      </c>
      <c r="I135" s="12">
        <v>0</v>
      </c>
      <c r="J135" s="12">
        <v>0</v>
      </c>
      <c r="K135" s="12">
        <v>0</v>
      </c>
      <c r="L135" s="65">
        <f>SUM(F135:K135)</f>
        <v>362.7</v>
      </c>
      <c r="M135" s="65">
        <f>L135/6</f>
        <v>60.5</v>
      </c>
      <c r="N135" s="11">
        <v>0</v>
      </c>
      <c r="O135" s="11">
        <v>0</v>
      </c>
      <c r="P135" s="11">
        <v>0</v>
      </c>
      <c r="Q135" s="11">
        <v>0</v>
      </c>
      <c r="R135" s="11">
        <v>58.3</v>
      </c>
      <c r="S135" s="11">
        <v>81.3</v>
      </c>
      <c r="T135" s="65">
        <f>SUM(N135:S135)</f>
        <v>139.6</v>
      </c>
      <c r="U135" s="65">
        <f>T135+L135</f>
        <v>502.3</v>
      </c>
      <c r="V135" s="11">
        <v>424.7</v>
      </c>
      <c r="W135" s="38">
        <f>V135-U135</f>
        <v>-77.599999999999994</v>
      </c>
    </row>
    <row r="136" spans="1:24" s="47" customFormat="1" ht="18" customHeight="1">
      <c r="A136" s="610"/>
      <c r="B136" s="581"/>
      <c r="C136" s="583"/>
      <c r="D136" s="187" t="str">
        <f>серпень!D136</f>
        <v>тариф, грн.</v>
      </c>
      <c r="E136" s="49" t="e">
        <f t="shared" ref="E136:K136" si="191">E137/E135*1000</f>
        <v>#DIV/0!</v>
      </c>
      <c r="F136" s="49">
        <f t="shared" si="191"/>
        <v>1655.0139999999999</v>
      </c>
      <c r="G136" s="49">
        <f t="shared" si="191"/>
        <v>1654.827</v>
      </c>
      <c r="H136" s="49">
        <f t="shared" si="191"/>
        <v>1655.6020000000001</v>
      </c>
      <c r="I136" s="49" t="e">
        <f t="shared" si="191"/>
        <v>#DIV/0!</v>
      </c>
      <c r="J136" s="49" t="e">
        <f t="shared" si="191"/>
        <v>#DIV/0!</v>
      </c>
      <c r="K136" s="49" t="e">
        <f t="shared" si="191"/>
        <v>#DIV/0!</v>
      </c>
      <c r="L136" s="49">
        <f t="shared" ref="L136" si="192">L137/L135*1000</f>
        <v>1655.087</v>
      </c>
      <c r="M136" s="121">
        <f>M137/M135*1000</f>
        <v>1653.72</v>
      </c>
      <c r="N136" s="121">
        <v>1655.08</v>
      </c>
      <c r="O136" s="121">
        <v>1655.08</v>
      </c>
      <c r="P136" s="121">
        <v>1655.08</v>
      </c>
      <c r="Q136" s="121">
        <v>1655.08</v>
      </c>
      <c r="R136" s="121">
        <v>1655.08</v>
      </c>
      <c r="S136" s="121">
        <v>1655.08</v>
      </c>
      <c r="T136" s="121">
        <f>T137/T135*1000</f>
        <v>1655.08</v>
      </c>
      <c r="U136" s="121">
        <f>U137/U135*1000</f>
        <v>1655.08</v>
      </c>
      <c r="V136" s="68">
        <f>V137/V135*1000</f>
        <v>1805.4110000000001</v>
      </c>
      <c r="W136" s="14">
        <f>W137/W135*1000</f>
        <v>832.35799999999995</v>
      </c>
    </row>
    <row r="137" spans="1:24" s="47" customFormat="1" ht="18" customHeight="1">
      <c r="A137" s="610"/>
      <c r="B137" s="581"/>
      <c r="C137" s="583"/>
      <c r="D137" s="191" t="str">
        <f>серпень!D137</f>
        <v>сума, тис.грн.</v>
      </c>
      <c r="E137" s="52"/>
      <c r="F137" s="52">
        <v>172.61799999999999</v>
      </c>
      <c r="G137" s="52">
        <v>268.08199999999999</v>
      </c>
      <c r="H137" s="52">
        <v>159.6</v>
      </c>
      <c r="I137" s="52">
        <v>0</v>
      </c>
      <c r="J137" s="52">
        <v>0</v>
      </c>
      <c r="K137" s="52">
        <v>0</v>
      </c>
      <c r="L137" s="69">
        <f>SUM(F137:K137)</f>
        <v>600.29999999999995</v>
      </c>
      <c r="M137" s="69">
        <f>L137/6</f>
        <v>100.05</v>
      </c>
      <c r="N137" s="52">
        <f>N135*N136/1000</f>
        <v>0</v>
      </c>
      <c r="O137" s="52">
        <f t="shared" ref="O137" si="193">O135*O136/1000</f>
        <v>0</v>
      </c>
      <c r="P137" s="52">
        <f t="shared" ref="P137" si="194">P135*P136/1000</f>
        <v>0</v>
      </c>
      <c r="Q137" s="52">
        <f t="shared" ref="Q137" si="195">Q135*Q136/1000</f>
        <v>0</v>
      </c>
      <c r="R137" s="52">
        <f t="shared" ref="R137" si="196">R135*R136/1000</f>
        <v>96.491</v>
      </c>
      <c r="S137" s="52">
        <f t="shared" ref="S137" si="197">S135*S136/1000</f>
        <v>134.55799999999999</v>
      </c>
      <c r="T137" s="69">
        <f>SUM(N137:S137)</f>
        <v>231.04900000000001</v>
      </c>
      <c r="U137" s="69">
        <f>T137+L137</f>
        <v>831.34900000000005</v>
      </c>
      <c r="V137" s="70">
        <f>V138+V139</f>
        <v>766.75800000000004</v>
      </c>
      <c r="W137" s="53">
        <f>V137-U137</f>
        <v>-64.590999999999994</v>
      </c>
    </row>
    <row r="138" spans="1:24" s="47" customFormat="1" ht="18" customHeight="1">
      <c r="A138" s="610"/>
      <c r="B138" s="581"/>
      <c r="C138" s="583"/>
      <c r="D138" s="174" t="str">
        <f>серпень!D138</f>
        <v>дотація</v>
      </c>
      <c r="E138" s="56"/>
      <c r="F138" s="52"/>
      <c r="G138" s="52"/>
      <c r="H138" s="52">
        <v>63.845999999999997</v>
      </c>
      <c r="I138" s="52">
        <v>0</v>
      </c>
      <c r="J138" s="52"/>
      <c r="K138" s="52"/>
      <c r="L138" s="69">
        <f>SUM(F138:K138)</f>
        <v>63.845999999999997</v>
      </c>
      <c r="M138" s="69">
        <f>L138/6</f>
        <v>10.641</v>
      </c>
      <c r="N138" s="52"/>
      <c r="O138" s="52"/>
      <c r="P138" s="52"/>
      <c r="Q138" s="52"/>
      <c r="R138" s="52"/>
      <c r="S138" s="52"/>
      <c r="T138" s="69">
        <f>SUM(N138:S138)</f>
        <v>0</v>
      </c>
      <c r="U138" s="69">
        <f>T138+L138</f>
        <v>63.845999999999997</v>
      </c>
      <c r="V138" s="70">
        <f>36.847+26.999</f>
        <v>63.845999999999997</v>
      </c>
      <c r="W138" s="53">
        <f>V138-U138</f>
        <v>0</v>
      </c>
    </row>
    <row r="139" spans="1:24" s="47" customFormat="1" ht="18" customHeight="1">
      <c r="A139" s="610"/>
      <c r="B139" s="581"/>
      <c r="C139" s="583"/>
      <c r="D139" s="174" t="str">
        <f>серпень!D139</f>
        <v>місцевий (план), тис.грн</v>
      </c>
      <c r="E139" s="56"/>
      <c r="F139" s="52">
        <f>33.598-33.598</f>
        <v>0</v>
      </c>
      <c r="G139" s="52">
        <v>100.794</v>
      </c>
      <c r="H139" s="52">
        <v>171.46600000000001</v>
      </c>
      <c r="I139" s="52">
        <v>199.60300000000001</v>
      </c>
      <c r="J139" s="52">
        <v>0</v>
      </c>
      <c r="K139" s="52">
        <v>0</v>
      </c>
      <c r="L139" s="69">
        <f>SUM(F139:K139)</f>
        <v>471.863</v>
      </c>
      <c r="M139" s="69">
        <f>L139/6</f>
        <v>78.644000000000005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231.04900000000001</v>
      </c>
      <c r="T139" s="69">
        <f>SUM(N139:S139)</f>
        <v>231.04900000000001</v>
      </c>
      <c r="U139" s="69">
        <f>T139+L139</f>
        <v>702.91200000000003</v>
      </c>
      <c r="V139" s="69">
        <v>702.91200000000003</v>
      </c>
      <c r="W139" s="53">
        <f>V139-U139</f>
        <v>0</v>
      </c>
    </row>
    <row r="140" spans="1:24" s="47" customFormat="1" ht="18" customHeight="1">
      <c r="A140" s="610"/>
      <c r="B140" s="581"/>
      <c r="C140" s="583"/>
      <c r="D140" s="178" t="str">
        <f>серпень!D140</f>
        <v>касові нат.п-ки 2025</v>
      </c>
      <c r="E140" s="11"/>
      <c r="F140" s="11">
        <v>0</v>
      </c>
      <c r="G140" s="11">
        <v>104.3</v>
      </c>
      <c r="H140" s="11">
        <v>162</v>
      </c>
      <c r="I140" s="11">
        <v>96.4</v>
      </c>
      <c r="J140" s="11">
        <v>0</v>
      </c>
      <c r="K140" s="11">
        <v>0</v>
      </c>
      <c r="L140" s="65">
        <f>SUM(F140:K140)</f>
        <v>362.7</v>
      </c>
      <c r="M140" s="65">
        <f>L140/6</f>
        <v>60.5</v>
      </c>
      <c r="N140" s="11"/>
      <c r="O140" s="11"/>
      <c r="P140" s="11"/>
      <c r="Q140" s="11"/>
      <c r="R140" s="11"/>
      <c r="S140" s="11">
        <f>R135+S135</f>
        <v>139.6</v>
      </c>
      <c r="T140" s="65">
        <f>SUM(N140:S140)</f>
        <v>139.6</v>
      </c>
      <c r="U140" s="65">
        <f>T140+L140</f>
        <v>502.3</v>
      </c>
      <c r="V140" s="11">
        <f>V135</f>
        <v>424.7</v>
      </c>
      <c r="W140" s="38">
        <f>V140-U140</f>
        <v>-77.599999999999994</v>
      </c>
      <c r="X140" s="47">
        <f>U135-U140</f>
        <v>0</v>
      </c>
    </row>
    <row r="141" spans="1:24" s="47" customFormat="1" ht="18" customHeight="1">
      <c r="A141" s="610"/>
      <c r="B141" s="581"/>
      <c r="C141" s="583"/>
      <c r="D141" s="187" t="str">
        <f>серпень!D141</f>
        <v>тариф, грн.</v>
      </c>
      <c r="E141" s="49" t="e">
        <f t="shared" ref="E141:I141" si="198">E142/E140*1000</f>
        <v>#DIV/0!</v>
      </c>
      <c r="F141" s="49" t="e">
        <f t="shared" si="198"/>
        <v>#DIV/0!</v>
      </c>
      <c r="G141" s="49">
        <f t="shared" si="198"/>
        <v>1655.0139999999999</v>
      </c>
      <c r="H141" s="49">
        <f t="shared" si="198"/>
        <v>1654.827</v>
      </c>
      <c r="I141" s="49">
        <f t="shared" si="198"/>
        <v>1655.6020000000001</v>
      </c>
      <c r="J141" s="49">
        <v>1655.08</v>
      </c>
      <c r="K141" s="49">
        <v>1655.08</v>
      </c>
      <c r="L141" s="49">
        <f t="shared" ref="L141" si="199">L142/L140*1000</f>
        <v>1655.087</v>
      </c>
      <c r="M141" s="121">
        <f>M142/M140*1000</f>
        <v>1653.72</v>
      </c>
      <c r="N141" s="121">
        <v>1655.08</v>
      </c>
      <c r="O141" s="121">
        <v>1655.08</v>
      </c>
      <c r="P141" s="121">
        <v>1655.08</v>
      </c>
      <c r="Q141" s="121">
        <v>1655.08</v>
      </c>
      <c r="R141" s="121">
        <v>1655.08</v>
      </c>
      <c r="S141" s="49">
        <v>1655.08</v>
      </c>
      <c r="T141" s="121">
        <f>T142/T140*1000</f>
        <v>1655.08</v>
      </c>
      <c r="U141" s="121">
        <f>U142/U140*1000</f>
        <v>1655.08</v>
      </c>
      <c r="V141" s="68">
        <f>V142/V140*1000</f>
        <v>1805.4110000000001</v>
      </c>
      <c r="W141" s="14">
        <f>W142/W140*1000</f>
        <v>832.35799999999995</v>
      </c>
    </row>
    <row r="142" spans="1:24" s="63" customFormat="1" ht="18" customHeight="1">
      <c r="A142" s="610"/>
      <c r="B142" s="581"/>
      <c r="C142" s="583"/>
      <c r="D142" s="198" t="str">
        <f>серпень!D142</f>
        <v>касові видатки, тис.грн.</v>
      </c>
      <c r="E142" s="71"/>
      <c r="F142" s="61">
        <v>0</v>
      </c>
      <c r="G142" s="61">
        <v>172.61799999999999</v>
      </c>
      <c r="H142" s="61">
        <v>268.08199999999999</v>
      </c>
      <c r="I142" s="61">
        <v>159.6</v>
      </c>
      <c r="J142" s="61">
        <f t="shared" ref="J142:K142" si="200">J140*J141/1000</f>
        <v>0</v>
      </c>
      <c r="K142" s="61">
        <f t="shared" si="200"/>
        <v>0</v>
      </c>
      <c r="L142" s="61">
        <f>SUM(F142:K142)</f>
        <v>600.29999999999995</v>
      </c>
      <c r="M142" s="61">
        <f>L142/6</f>
        <v>100.05</v>
      </c>
      <c r="N142" s="61">
        <f>N140*N141/1000</f>
        <v>0</v>
      </c>
      <c r="O142" s="61">
        <f t="shared" ref="O142" si="201">O140*O141/1000</f>
        <v>0</v>
      </c>
      <c r="P142" s="61">
        <f t="shared" ref="P142" si="202">P140*P141/1000</f>
        <v>0</v>
      </c>
      <c r="Q142" s="61">
        <f t="shared" ref="Q142" si="203">Q140*Q141/1000</f>
        <v>0</v>
      </c>
      <c r="R142" s="61">
        <f t="shared" ref="R142" si="204">R140*R141/1000</f>
        <v>0</v>
      </c>
      <c r="S142" s="61">
        <f t="shared" ref="S142" si="205">S140*S141/1000</f>
        <v>231.04900000000001</v>
      </c>
      <c r="T142" s="61">
        <f>SUM(N142:S142)</f>
        <v>231.04900000000001</v>
      </c>
      <c r="U142" s="61">
        <f>T142+L142</f>
        <v>831.34900000000005</v>
      </c>
      <c r="V142" s="61">
        <f>V137</f>
        <v>766.75800000000004</v>
      </c>
      <c r="W142" s="72">
        <f>V142-U142</f>
        <v>-64.590999999999994</v>
      </c>
      <c r="X142" s="63">
        <f>U137-U142</f>
        <v>0</v>
      </c>
    </row>
    <row r="143" spans="1:24" s="63" customFormat="1" ht="18" customHeight="1">
      <c r="A143" s="610"/>
      <c r="B143" s="581"/>
      <c r="C143" s="583"/>
      <c r="D143" s="201" t="str">
        <f>серпень!D143</f>
        <v>дотація</v>
      </c>
      <c r="E143" s="71"/>
      <c r="F143" s="61">
        <v>0</v>
      </c>
      <c r="G143" s="61">
        <v>0</v>
      </c>
      <c r="H143" s="61">
        <v>63.845999999999997</v>
      </c>
      <c r="I143" s="61">
        <v>0</v>
      </c>
      <c r="J143" s="61">
        <v>0</v>
      </c>
      <c r="K143" s="61">
        <v>0</v>
      </c>
      <c r="L143" s="61">
        <f>SUM(F143:K143)</f>
        <v>63.845999999999997</v>
      </c>
      <c r="M143" s="61">
        <f>L143/6</f>
        <v>10.641</v>
      </c>
      <c r="N143" s="61">
        <v>0</v>
      </c>
      <c r="O143" s="61">
        <f>O138</f>
        <v>0</v>
      </c>
      <c r="P143" s="61">
        <f t="shared" ref="P143:Q143" si="206">P138</f>
        <v>0</v>
      </c>
      <c r="Q143" s="61">
        <f t="shared" si="206"/>
        <v>0</v>
      </c>
      <c r="R143" s="61">
        <v>0</v>
      </c>
      <c r="S143" s="61">
        <v>0</v>
      </c>
      <c r="T143" s="61">
        <f>SUM(N143:S143)</f>
        <v>0</v>
      </c>
      <c r="U143" s="61">
        <f>T143+L143</f>
        <v>63.845999999999997</v>
      </c>
      <c r="V143" s="61">
        <f>V138</f>
        <v>63.845999999999997</v>
      </c>
      <c r="W143" s="72">
        <f>V143-U143</f>
        <v>0</v>
      </c>
      <c r="X143" s="63">
        <f>U138-U143</f>
        <v>0</v>
      </c>
    </row>
    <row r="144" spans="1:24" s="63" customFormat="1" ht="18" customHeight="1">
      <c r="A144" s="610"/>
      <c r="B144" s="581"/>
      <c r="C144" s="583"/>
      <c r="D144" s="201" t="str">
        <f>серпень!D144</f>
        <v xml:space="preserve">місцевий </v>
      </c>
      <c r="E144" s="71"/>
      <c r="F144" s="61">
        <f t="shared" ref="F144:K144" si="207">F142-F143</f>
        <v>0</v>
      </c>
      <c r="G144" s="61">
        <f t="shared" si="207"/>
        <v>172.61799999999999</v>
      </c>
      <c r="H144" s="61">
        <f t="shared" si="207"/>
        <v>204.23599999999999</v>
      </c>
      <c r="I144" s="61">
        <f t="shared" si="207"/>
        <v>159.6</v>
      </c>
      <c r="J144" s="61">
        <f t="shared" si="207"/>
        <v>0</v>
      </c>
      <c r="K144" s="61">
        <f t="shared" si="207"/>
        <v>0</v>
      </c>
      <c r="L144" s="61">
        <f>SUM(F144:K144)</f>
        <v>536.45399999999995</v>
      </c>
      <c r="M144" s="61">
        <f>L144/6</f>
        <v>89.409000000000006</v>
      </c>
      <c r="N144" s="61">
        <f t="shared" ref="N144:S144" si="208">N142-N143</f>
        <v>0</v>
      </c>
      <c r="O144" s="61">
        <f t="shared" si="208"/>
        <v>0</v>
      </c>
      <c r="P144" s="61">
        <f t="shared" si="208"/>
        <v>0</v>
      </c>
      <c r="Q144" s="61">
        <f t="shared" si="208"/>
        <v>0</v>
      </c>
      <c r="R144" s="61">
        <f t="shared" si="208"/>
        <v>0</v>
      </c>
      <c r="S144" s="61">
        <f t="shared" si="208"/>
        <v>231.04900000000001</v>
      </c>
      <c r="T144" s="61">
        <f>SUM(N144:S144)</f>
        <v>231.04900000000001</v>
      </c>
      <c r="U144" s="61">
        <f>T144+L144</f>
        <v>767.50300000000004</v>
      </c>
      <c r="V144" s="61">
        <f>V139</f>
        <v>702.91200000000003</v>
      </c>
      <c r="W144" s="72">
        <f>V144-U144</f>
        <v>-64.590999999999994</v>
      </c>
      <c r="X144" s="63">
        <f>U139-U144</f>
        <v>-64.590999999999994</v>
      </c>
    </row>
    <row r="145" spans="1:24" s="43" customFormat="1" ht="18" customHeight="1">
      <c r="A145" s="610"/>
      <c r="B145" s="581"/>
      <c r="C145" s="583"/>
      <c r="D145" s="202" t="str">
        <f>серпень!D145</f>
        <v>план</v>
      </c>
      <c r="E145" s="42"/>
      <c r="F145" s="42">
        <f>F139+F138</f>
        <v>0</v>
      </c>
      <c r="G145" s="42">
        <f t="shared" ref="G145:K145" si="209">G139+G138</f>
        <v>100.794</v>
      </c>
      <c r="H145" s="42">
        <f t="shared" si="209"/>
        <v>235.31200000000001</v>
      </c>
      <c r="I145" s="42">
        <f t="shared" si="209"/>
        <v>199.60300000000001</v>
      </c>
      <c r="J145" s="42">
        <f t="shared" si="209"/>
        <v>0</v>
      </c>
      <c r="K145" s="42">
        <f t="shared" si="209"/>
        <v>0</v>
      </c>
      <c r="L145" s="42">
        <f>SUM(F145:K145)</f>
        <v>535.70899999999995</v>
      </c>
      <c r="M145" s="42">
        <f>L145/6</f>
        <v>89.284999999999997</v>
      </c>
      <c r="N145" s="42">
        <f>N139+N138</f>
        <v>0</v>
      </c>
      <c r="O145" s="42">
        <f t="shared" ref="O145:S145" si="210">O139+O138</f>
        <v>0</v>
      </c>
      <c r="P145" s="42">
        <f t="shared" si="210"/>
        <v>0</v>
      </c>
      <c r="Q145" s="42">
        <f t="shared" si="210"/>
        <v>0</v>
      </c>
      <c r="R145" s="42">
        <f t="shared" si="210"/>
        <v>0</v>
      </c>
      <c r="S145" s="42">
        <f t="shared" si="210"/>
        <v>231.04900000000001</v>
      </c>
      <c r="T145" s="42">
        <f>SUM(N145:S145)</f>
        <v>231.04900000000001</v>
      </c>
      <c r="U145" s="42">
        <f>T145+L145</f>
        <v>766.75800000000004</v>
      </c>
      <c r="V145" s="42">
        <f>V142</f>
        <v>766.75800000000004</v>
      </c>
      <c r="W145" s="42">
        <f>V145-U145</f>
        <v>0</v>
      </c>
    </row>
    <row r="146" spans="1:24" s="43" customFormat="1" ht="18" customHeight="1">
      <c r="A146" s="610"/>
      <c r="B146" s="581"/>
      <c r="C146" s="583"/>
      <c r="D146" s="202" t="str">
        <f>серпень!D146</f>
        <v xml:space="preserve">відхилення </v>
      </c>
      <c r="E146" s="42"/>
      <c r="F146" s="42">
        <f t="shared" ref="F146:K146" si="211">F142-F145</f>
        <v>0</v>
      </c>
      <c r="G146" s="42">
        <f t="shared" si="211"/>
        <v>71.823999999999998</v>
      </c>
      <c r="H146" s="42">
        <f t="shared" si="211"/>
        <v>32.770000000000003</v>
      </c>
      <c r="I146" s="42">
        <f t="shared" si="211"/>
        <v>-40.003</v>
      </c>
      <c r="J146" s="42">
        <f t="shared" si="211"/>
        <v>0</v>
      </c>
      <c r="K146" s="42">
        <f t="shared" si="211"/>
        <v>0</v>
      </c>
      <c r="L146" s="42"/>
      <c r="M146" s="42"/>
      <c r="N146" s="42">
        <f t="shared" ref="N146:S146" si="212">N142-N145</f>
        <v>0</v>
      </c>
      <c r="O146" s="42">
        <f t="shared" si="212"/>
        <v>0</v>
      </c>
      <c r="P146" s="42">
        <f t="shared" si="212"/>
        <v>0</v>
      </c>
      <c r="Q146" s="42">
        <f t="shared" si="212"/>
        <v>0</v>
      </c>
      <c r="R146" s="42">
        <f t="shared" si="212"/>
        <v>0</v>
      </c>
      <c r="S146" s="42">
        <f t="shared" si="212"/>
        <v>0</v>
      </c>
      <c r="T146" s="42"/>
      <c r="U146" s="42"/>
      <c r="V146" s="42"/>
      <c r="W146" s="42"/>
    </row>
    <row r="147" spans="1:24" s="43" customFormat="1" ht="18" customHeight="1">
      <c r="A147" s="610"/>
      <c r="B147" s="581"/>
      <c r="C147" s="584"/>
      <c r="D147" s="202" t="str">
        <f>серпень!D147</f>
        <v>відхилення з наростаючим</v>
      </c>
      <c r="E147" s="42"/>
      <c r="F147" s="42">
        <f>F146</f>
        <v>0</v>
      </c>
      <c r="G147" s="42">
        <f>G146+F147</f>
        <v>71.823999999999998</v>
      </c>
      <c r="H147" s="42">
        <f>H146+G147</f>
        <v>104.59399999999999</v>
      </c>
      <c r="I147" s="42">
        <f>I146+H147</f>
        <v>64.590999999999994</v>
      </c>
      <c r="J147" s="42">
        <f>J146+I147</f>
        <v>64.590999999999994</v>
      </c>
      <c r="K147" s="42">
        <f>K146+J147</f>
        <v>64.590999999999994</v>
      </c>
      <c r="L147" s="42"/>
      <c r="M147" s="42"/>
      <c r="N147" s="42">
        <f>N146+K147</f>
        <v>64.590999999999994</v>
      </c>
      <c r="O147" s="42">
        <f>O146+N147</f>
        <v>64.590999999999994</v>
      </c>
      <c r="P147" s="42">
        <f>P146+O147</f>
        <v>64.590999999999994</v>
      </c>
      <c r="Q147" s="42">
        <f>Q146+P147</f>
        <v>64.590999999999994</v>
      </c>
      <c r="R147" s="42">
        <f>R146+Q147</f>
        <v>64.590999999999994</v>
      </c>
      <c r="S147" s="42">
        <f>S146+R147</f>
        <v>64.590999999999994</v>
      </c>
      <c r="T147" s="42"/>
      <c r="U147" s="42"/>
      <c r="V147" s="42"/>
      <c r="W147" s="42"/>
    </row>
    <row r="148" spans="1:24" s="43" customFormat="1" ht="18" hidden="1" customHeight="1">
      <c r="A148" s="610"/>
      <c r="B148" s="581"/>
      <c r="C148" s="582" t="s">
        <v>96</v>
      </c>
      <c r="D148" s="178" t="str">
        <f>серпень!D148</f>
        <v>факт. нат.п-ки 2023</v>
      </c>
      <c r="E148" s="179"/>
      <c r="F148" s="184"/>
      <c r="G148" s="184"/>
      <c r="H148" s="179"/>
      <c r="I148" s="179"/>
      <c r="J148" s="179"/>
      <c r="K148" s="179"/>
      <c r="L148" s="215">
        <f>SUM(F148:K148)</f>
        <v>0</v>
      </c>
      <c r="M148" s="215">
        <f>L148/6</f>
        <v>0</v>
      </c>
      <c r="N148" s="179"/>
      <c r="O148" s="179"/>
      <c r="P148" s="179"/>
      <c r="Q148" s="179"/>
      <c r="R148" s="179"/>
      <c r="S148" s="179"/>
      <c r="T148" s="215">
        <f>SUM(N148:S148)</f>
        <v>0</v>
      </c>
      <c r="U148" s="215">
        <f>T148+L148</f>
        <v>0</v>
      </c>
      <c r="V148" s="179"/>
      <c r="W148" s="184"/>
    </row>
    <row r="149" spans="1:24" s="43" customFormat="1" ht="18" hidden="1" customHeight="1">
      <c r="A149" s="610"/>
      <c r="B149" s="581"/>
      <c r="C149" s="583"/>
      <c r="D149" s="178" t="str">
        <f>серпень!D149</f>
        <v>факт. нат.п-ки 2024</v>
      </c>
      <c r="E149" s="179"/>
      <c r="F149" s="184"/>
      <c r="G149" s="184"/>
      <c r="H149" s="179"/>
      <c r="I149" s="179"/>
      <c r="J149" s="179"/>
      <c r="K149" s="179"/>
      <c r="L149" s="215">
        <f>SUM(F149:K149)</f>
        <v>0</v>
      </c>
      <c r="M149" s="215">
        <f>L149/6</f>
        <v>0</v>
      </c>
      <c r="N149" s="179"/>
      <c r="O149" s="179"/>
      <c r="P149" s="179"/>
      <c r="Q149" s="179"/>
      <c r="R149" s="179"/>
      <c r="S149" s="179"/>
      <c r="T149" s="215">
        <f>SUM(N149:S149)</f>
        <v>0</v>
      </c>
      <c r="U149" s="215">
        <f>T149+L149</f>
        <v>0</v>
      </c>
      <c r="V149" s="179"/>
      <c r="W149" s="184"/>
    </row>
    <row r="150" spans="1:24" s="205" customFormat="1" ht="23.5" hidden="1" customHeight="1">
      <c r="A150" s="610"/>
      <c r="B150" s="581"/>
      <c r="C150" s="583"/>
      <c r="D150" s="178" t="str">
        <f>серпень!D150</f>
        <v>факт. нат.п-ки 2025</v>
      </c>
      <c r="E150" s="179"/>
      <c r="F150" s="184"/>
      <c r="G150" s="184"/>
      <c r="H150" s="179"/>
      <c r="I150" s="216"/>
      <c r="J150" s="179"/>
      <c r="K150" s="179"/>
      <c r="L150" s="215">
        <f>SUM(F150:K150)</f>
        <v>0</v>
      </c>
      <c r="M150" s="215">
        <f>L150/6</f>
        <v>0</v>
      </c>
      <c r="N150" s="179"/>
      <c r="O150" s="179"/>
      <c r="P150" s="179"/>
      <c r="Q150" s="179"/>
      <c r="R150" s="179"/>
      <c r="S150" s="179"/>
      <c r="T150" s="215">
        <f>SUM(N150:S150)</f>
        <v>0</v>
      </c>
      <c r="U150" s="215">
        <f>T150+L150</f>
        <v>0</v>
      </c>
      <c r="V150" s="179"/>
      <c r="W150" s="184">
        <f>U150-V150</f>
        <v>0</v>
      </c>
    </row>
    <row r="151" spans="1:24" s="205" customFormat="1" ht="23.5" hidden="1" customHeight="1">
      <c r="A151" s="610"/>
      <c r="B151" s="581"/>
      <c r="C151" s="583"/>
      <c r="D151" s="187" t="str">
        <f>серпень!D151</f>
        <v>тариф, грн.</v>
      </c>
      <c r="E151" s="188"/>
      <c r="F151" s="188"/>
      <c r="G151" s="188"/>
      <c r="H151" s="188"/>
      <c r="I151" s="188"/>
      <c r="J151" s="188" t="e">
        <f t="shared" ref="J151:K151" si="213">J152/J150*1000</f>
        <v>#DIV/0!</v>
      </c>
      <c r="K151" s="188" t="e">
        <f t="shared" si="213"/>
        <v>#DIV/0!</v>
      </c>
      <c r="L151" s="217" t="e">
        <f>L152/L150*1000</f>
        <v>#DIV/0!</v>
      </c>
      <c r="M151" s="217" t="e">
        <f>M152/M150*1000</f>
        <v>#DIV/0!</v>
      </c>
      <c r="N151" s="49" t="e">
        <f t="shared" ref="N151:P151" si="214">N152/N150*1000</f>
        <v>#DIV/0!</v>
      </c>
      <c r="O151" s="49" t="e">
        <f t="shared" si="214"/>
        <v>#DIV/0!</v>
      </c>
      <c r="P151" s="49" t="e">
        <f t="shared" si="214"/>
        <v>#DIV/0!</v>
      </c>
      <c r="Q151" s="218"/>
      <c r="R151" s="218"/>
      <c r="S151" s="218"/>
      <c r="T151" s="217" t="e">
        <f>T152/T150*1000</f>
        <v>#DIV/0!</v>
      </c>
      <c r="U151" s="217" t="e">
        <f>U152/U150*1000</f>
        <v>#DIV/0!</v>
      </c>
      <c r="V151" s="218" t="e">
        <f>V152/V150*1000</f>
        <v>#DIV/0!</v>
      </c>
      <c r="W151" s="219" t="e">
        <f>W152/W150*1000</f>
        <v>#DIV/0!</v>
      </c>
    </row>
    <row r="152" spans="1:24" s="205" customFormat="1" ht="23.5" hidden="1" customHeight="1">
      <c r="A152" s="610"/>
      <c r="B152" s="581"/>
      <c r="C152" s="583"/>
      <c r="D152" s="191" t="str">
        <f>серпень!D152</f>
        <v>сума, тис.грн.</v>
      </c>
      <c r="E152" s="192"/>
      <c r="F152" s="192"/>
      <c r="G152" s="192"/>
      <c r="H152" s="192"/>
      <c r="I152" s="192"/>
      <c r="J152" s="192"/>
      <c r="K152" s="192"/>
      <c r="L152" s="194">
        <f>SUM(F152:K152)</f>
        <v>0</v>
      </c>
      <c r="M152" s="194">
        <f>L152/6</f>
        <v>0</v>
      </c>
      <c r="N152" s="192"/>
      <c r="O152" s="192"/>
      <c r="P152" s="192"/>
      <c r="Q152" s="192"/>
      <c r="R152" s="192"/>
      <c r="S152" s="192"/>
      <c r="T152" s="194">
        <f>SUM(N152:S152)</f>
        <v>0</v>
      </c>
      <c r="U152" s="194">
        <f>T152+L152</f>
        <v>0</v>
      </c>
      <c r="V152" s="171">
        <f>V153+V154</f>
        <v>0</v>
      </c>
      <c r="W152" s="192">
        <f>V152-U152</f>
        <v>0</v>
      </c>
    </row>
    <row r="153" spans="1:24" s="205" customFormat="1" ht="23.5" hidden="1" customHeight="1">
      <c r="A153" s="610"/>
      <c r="B153" s="581"/>
      <c r="C153" s="583"/>
      <c r="D153" s="174" t="str">
        <f>серпень!D153</f>
        <v>дотація</v>
      </c>
      <c r="E153" s="210"/>
      <c r="F153" s="192"/>
      <c r="G153" s="192"/>
      <c r="H153" s="192"/>
      <c r="I153" s="192"/>
      <c r="J153" s="192"/>
      <c r="K153" s="192"/>
      <c r="L153" s="194">
        <f>SUM(F153:K153)</f>
        <v>0</v>
      </c>
      <c r="M153" s="194">
        <f>L153/6</f>
        <v>0</v>
      </c>
      <c r="N153" s="192"/>
      <c r="O153" s="192"/>
      <c r="P153" s="192"/>
      <c r="Q153" s="192"/>
      <c r="R153" s="192"/>
      <c r="S153" s="192"/>
      <c r="T153" s="194">
        <f>SUM(N153:S153)</f>
        <v>0</v>
      </c>
      <c r="U153" s="194">
        <f>T153+L153</f>
        <v>0</v>
      </c>
      <c r="V153" s="171"/>
      <c r="W153" s="192">
        <f>V153-U153</f>
        <v>0</v>
      </c>
    </row>
    <row r="154" spans="1:24" s="205" customFormat="1" ht="23.5" hidden="1" customHeight="1">
      <c r="A154" s="610"/>
      <c r="B154" s="581"/>
      <c r="C154" s="583"/>
      <c r="D154" s="174" t="str">
        <f>серпень!D154</f>
        <v>місцевий (план), тис.грн</v>
      </c>
      <c r="E154" s="210"/>
      <c r="F154" s="192"/>
      <c r="G154" s="192"/>
      <c r="H154" s="192"/>
      <c r="I154" s="192"/>
      <c r="J154" s="192"/>
      <c r="K154" s="192"/>
      <c r="L154" s="194">
        <f>SUM(F154:K154)</f>
        <v>0</v>
      </c>
      <c r="M154" s="194">
        <f>L154/6</f>
        <v>0</v>
      </c>
      <c r="N154" s="192"/>
      <c r="O154" s="192"/>
      <c r="P154" s="192"/>
      <c r="Q154" s="192"/>
      <c r="R154" s="192"/>
      <c r="S154" s="192"/>
      <c r="T154" s="194">
        <f>SUM(N154:S154)</f>
        <v>0</v>
      </c>
      <c r="U154" s="194">
        <f>T154+L154</f>
        <v>0</v>
      </c>
      <c r="V154" s="171"/>
      <c r="W154" s="192">
        <f>V154-U154</f>
        <v>0</v>
      </c>
    </row>
    <row r="155" spans="1:24" s="205" customFormat="1" ht="23.5" hidden="1" customHeight="1">
      <c r="A155" s="610"/>
      <c r="B155" s="581"/>
      <c r="C155" s="583"/>
      <c r="D155" s="178" t="str">
        <f>серпень!D155</f>
        <v>касові нат.п-ки 2025</v>
      </c>
      <c r="E155" s="179"/>
      <c r="F155" s="184"/>
      <c r="G155" s="184"/>
      <c r="H155" s="179"/>
      <c r="I155" s="179"/>
      <c r="J155" s="216"/>
      <c r="K155" s="179"/>
      <c r="L155" s="215">
        <f>SUM(F155:K155)</f>
        <v>0</v>
      </c>
      <c r="M155" s="215">
        <f>L155/6</f>
        <v>0</v>
      </c>
      <c r="N155" s="179"/>
      <c r="O155" s="179"/>
      <c r="P155" s="179"/>
      <c r="Q155" s="179"/>
      <c r="R155" s="179"/>
      <c r="S155" s="179"/>
      <c r="T155" s="215">
        <f>SUM(N155:S155)</f>
        <v>0</v>
      </c>
      <c r="U155" s="215">
        <f>T155+L155</f>
        <v>0</v>
      </c>
      <c r="V155" s="179">
        <f>V150</f>
        <v>0</v>
      </c>
      <c r="W155" s="184">
        <f>V155-U155</f>
        <v>0</v>
      </c>
      <c r="X155" s="185">
        <f>U150-U155</f>
        <v>0</v>
      </c>
    </row>
    <row r="156" spans="1:24" s="205" customFormat="1" ht="23.5" hidden="1" customHeight="1">
      <c r="A156" s="610"/>
      <c r="B156" s="581"/>
      <c r="C156" s="583"/>
      <c r="D156" s="187" t="str">
        <f>серпень!D156</f>
        <v>тариф, грн.</v>
      </c>
      <c r="E156" s="188" t="e">
        <f t="shared" ref="E156" si="215">E157/E155*1000</f>
        <v>#DIV/0!</v>
      </c>
      <c r="F156" s="188"/>
      <c r="G156" s="188"/>
      <c r="H156" s="188"/>
      <c r="I156" s="188"/>
      <c r="J156" s="188"/>
      <c r="K156" s="188" t="e">
        <f t="shared" ref="K156" si="216">K157/K155*1000</f>
        <v>#DIV/0!</v>
      </c>
      <c r="L156" s="217" t="e">
        <f>L157/L155*1000</f>
        <v>#DIV/0!</v>
      </c>
      <c r="M156" s="217" t="e">
        <f>M157/M155*1000</f>
        <v>#DIV/0!</v>
      </c>
      <c r="N156" s="188" t="e">
        <f t="shared" ref="N156:Q156" si="217">N157/N155*1000</f>
        <v>#DIV/0!</v>
      </c>
      <c r="O156" s="188" t="e">
        <f t="shared" si="217"/>
        <v>#DIV/0!</v>
      </c>
      <c r="P156" s="188" t="e">
        <f t="shared" si="217"/>
        <v>#DIV/0!</v>
      </c>
      <c r="Q156" s="188" t="e">
        <f t="shared" si="217"/>
        <v>#DIV/0!</v>
      </c>
      <c r="R156" s="218"/>
      <c r="S156" s="218"/>
      <c r="T156" s="217" t="e">
        <f>T157/T155*1000</f>
        <v>#DIV/0!</v>
      </c>
      <c r="U156" s="217" t="e">
        <f>U157/U155*1000</f>
        <v>#DIV/0!</v>
      </c>
      <c r="V156" s="218" t="e">
        <f>V157/V155*1000</f>
        <v>#DIV/0!</v>
      </c>
      <c r="W156" s="219" t="e">
        <f>W157/W155*1000</f>
        <v>#DIV/0!</v>
      </c>
      <c r="X156" s="185"/>
    </row>
    <row r="157" spans="1:24" s="205" customFormat="1" ht="23.5" hidden="1" customHeight="1">
      <c r="A157" s="610"/>
      <c r="B157" s="581"/>
      <c r="C157" s="583"/>
      <c r="D157" s="198" t="str">
        <f>серпень!D157</f>
        <v>касові видатки, тис.грн.</v>
      </c>
      <c r="E157" s="220"/>
      <c r="F157" s="199"/>
      <c r="G157" s="199"/>
      <c r="H157" s="199"/>
      <c r="I157" s="199"/>
      <c r="J157" s="199"/>
      <c r="K157" s="199"/>
      <c r="L157" s="199">
        <f>SUM(F157:K157)</f>
        <v>0</v>
      </c>
      <c r="M157" s="199">
        <f>L157/6</f>
        <v>0</v>
      </c>
      <c r="N157" s="199"/>
      <c r="O157" s="199"/>
      <c r="P157" s="199"/>
      <c r="Q157" s="199"/>
      <c r="R157" s="199"/>
      <c r="S157" s="199"/>
      <c r="T157" s="199">
        <f>SUM(N157:S157)</f>
        <v>0</v>
      </c>
      <c r="U157" s="199">
        <f>T157+L157</f>
        <v>0</v>
      </c>
      <c r="V157" s="199">
        <f>V152</f>
        <v>0</v>
      </c>
      <c r="W157" s="221">
        <f>V157-U157</f>
        <v>0</v>
      </c>
      <c r="X157" s="176">
        <f>U152-U157</f>
        <v>0</v>
      </c>
    </row>
    <row r="158" spans="1:24" s="205" customFormat="1" ht="23.5" hidden="1" customHeight="1">
      <c r="A158" s="610"/>
      <c r="B158" s="581"/>
      <c r="C158" s="583"/>
      <c r="D158" s="201" t="str">
        <f>серпень!D158</f>
        <v>дотація</v>
      </c>
      <c r="E158" s="220"/>
      <c r="F158" s="199">
        <v>0</v>
      </c>
      <c r="G158" s="199">
        <v>0</v>
      </c>
      <c r="H158" s="199">
        <v>0</v>
      </c>
      <c r="I158" s="199">
        <v>0</v>
      </c>
      <c r="J158" s="199">
        <v>0</v>
      </c>
      <c r="K158" s="199">
        <v>0</v>
      </c>
      <c r="L158" s="199">
        <f>SUM(F158:K158)</f>
        <v>0</v>
      </c>
      <c r="M158" s="199">
        <f>L158/6</f>
        <v>0</v>
      </c>
      <c r="N158" s="199">
        <v>0</v>
      </c>
      <c r="O158" s="199">
        <v>0</v>
      </c>
      <c r="P158" s="199">
        <v>0</v>
      </c>
      <c r="Q158" s="199">
        <v>0</v>
      </c>
      <c r="R158" s="199">
        <v>0</v>
      </c>
      <c r="S158" s="199">
        <v>0</v>
      </c>
      <c r="T158" s="199">
        <f>SUM(N158:S158)</f>
        <v>0</v>
      </c>
      <c r="U158" s="199">
        <f>T158+L158</f>
        <v>0</v>
      </c>
      <c r="V158" s="199">
        <f>V153</f>
        <v>0</v>
      </c>
      <c r="W158" s="221">
        <f>V158-U158</f>
        <v>0</v>
      </c>
      <c r="X158" s="176">
        <f>U153-U158</f>
        <v>0</v>
      </c>
    </row>
    <row r="159" spans="1:24" s="205" customFormat="1" ht="23.5" hidden="1" customHeight="1">
      <c r="A159" s="610"/>
      <c r="B159" s="581"/>
      <c r="C159" s="583"/>
      <c r="D159" s="201" t="str">
        <f>серпень!D159</f>
        <v xml:space="preserve">місцевий </v>
      </c>
      <c r="E159" s="220"/>
      <c r="F159" s="199">
        <f t="shared" ref="F159:K159" si="218">F157-F158</f>
        <v>0</v>
      </c>
      <c r="G159" s="199">
        <f t="shared" si="218"/>
        <v>0</v>
      </c>
      <c r="H159" s="199">
        <f t="shared" si="218"/>
        <v>0</v>
      </c>
      <c r="I159" s="199">
        <f t="shared" si="218"/>
        <v>0</v>
      </c>
      <c r="J159" s="199">
        <f t="shared" si="218"/>
        <v>0</v>
      </c>
      <c r="K159" s="199">
        <f t="shared" si="218"/>
        <v>0</v>
      </c>
      <c r="L159" s="199">
        <f>SUM(F159:K159)</f>
        <v>0</v>
      </c>
      <c r="M159" s="199">
        <f>L159/6</f>
        <v>0</v>
      </c>
      <c r="N159" s="199">
        <f t="shared" ref="N159:S159" si="219">N157-N158</f>
        <v>0</v>
      </c>
      <c r="O159" s="199">
        <f t="shared" si="219"/>
        <v>0</v>
      </c>
      <c r="P159" s="199">
        <f t="shared" si="219"/>
        <v>0</v>
      </c>
      <c r="Q159" s="199">
        <f t="shared" si="219"/>
        <v>0</v>
      </c>
      <c r="R159" s="199">
        <f t="shared" si="219"/>
        <v>0</v>
      </c>
      <c r="S159" s="199">
        <f t="shared" si="219"/>
        <v>0</v>
      </c>
      <c r="T159" s="199">
        <f>SUM(N159:S159)</f>
        <v>0</v>
      </c>
      <c r="U159" s="199">
        <f>T159+L159</f>
        <v>0</v>
      </c>
      <c r="V159" s="199">
        <f>V154</f>
        <v>0</v>
      </c>
      <c r="W159" s="221">
        <f>V159-U159</f>
        <v>0</v>
      </c>
      <c r="X159" s="176">
        <f>U154-U159</f>
        <v>0</v>
      </c>
    </row>
    <row r="160" spans="1:24" s="43" customFormat="1" ht="18" hidden="1" customHeight="1">
      <c r="A160" s="610"/>
      <c r="B160" s="581"/>
      <c r="C160" s="583"/>
      <c r="D160" s="202" t="str">
        <f>серпень!D160</f>
        <v>план</v>
      </c>
      <c r="E160" s="203"/>
      <c r="F160" s="203">
        <f t="shared" ref="F160:K160" si="220">F153+F154</f>
        <v>0</v>
      </c>
      <c r="G160" s="203">
        <f t="shared" si="220"/>
        <v>0</v>
      </c>
      <c r="H160" s="203">
        <f t="shared" si="220"/>
        <v>0</v>
      </c>
      <c r="I160" s="203">
        <f t="shared" si="220"/>
        <v>0</v>
      </c>
      <c r="J160" s="203">
        <f t="shared" si="220"/>
        <v>0</v>
      </c>
      <c r="K160" s="203">
        <f t="shared" si="220"/>
        <v>0</v>
      </c>
      <c r="L160" s="203">
        <f>SUM(F160:K160)</f>
        <v>0</v>
      </c>
      <c r="M160" s="203">
        <f>L160/6</f>
        <v>0</v>
      </c>
      <c r="N160" s="203">
        <f t="shared" ref="N160:S160" si="221">N154+N153</f>
        <v>0</v>
      </c>
      <c r="O160" s="203">
        <f t="shared" si="221"/>
        <v>0</v>
      </c>
      <c r="P160" s="203">
        <f t="shared" si="221"/>
        <v>0</v>
      </c>
      <c r="Q160" s="203">
        <f t="shared" si="221"/>
        <v>0</v>
      </c>
      <c r="R160" s="203">
        <f t="shared" si="221"/>
        <v>0</v>
      </c>
      <c r="S160" s="203">
        <f t="shared" si="221"/>
        <v>0</v>
      </c>
      <c r="T160" s="203">
        <f>SUM(N160:S160)</f>
        <v>0</v>
      </c>
      <c r="U160" s="203">
        <f>T160+L160</f>
        <v>0</v>
      </c>
      <c r="V160" s="203">
        <f>V157</f>
        <v>0</v>
      </c>
      <c r="W160" s="203">
        <f>V160-U160</f>
        <v>0</v>
      </c>
    </row>
    <row r="161" spans="1:24" s="43" customFormat="1" ht="18" hidden="1" customHeight="1">
      <c r="A161" s="610"/>
      <c r="B161" s="581"/>
      <c r="C161" s="583"/>
      <c r="D161" s="202" t="str">
        <f>серпень!D161</f>
        <v xml:space="preserve">відхилення </v>
      </c>
      <c r="E161" s="203"/>
      <c r="F161" s="203">
        <f t="shared" ref="F161:K161" si="222">F157-F160</f>
        <v>0</v>
      </c>
      <c r="G161" s="203">
        <f t="shared" si="222"/>
        <v>0</v>
      </c>
      <c r="H161" s="203">
        <f t="shared" si="222"/>
        <v>0</v>
      </c>
      <c r="I161" s="203">
        <f t="shared" si="222"/>
        <v>0</v>
      </c>
      <c r="J161" s="203">
        <f t="shared" si="222"/>
        <v>0</v>
      </c>
      <c r="K161" s="203">
        <f t="shared" si="222"/>
        <v>0</v>
      </c>
      <c r="L161" s="203"/>
      <c r="M161" s="203"/>
      <c r="N161" s="203">
        <f t="shared" ref="N161:S161" si="223">N157-N160</f>
        <v>0</v>
      </c>
      <c r="O161" s="203">
        <f t="shared" si="223"/>
        <v>0</v>
      </c>
      <c r="P161" s="203">
        <f t="shared" si="223"/>
        <v>0</v>
      </c>
      <c r="Q161" s="203">
        <f t="shared" si="223"/>
        <v>0</v>
      </c>
      <c r="R161" s="203">
        <f t="shared" si="223"/>
        <v>0</v>
      </c>
      <c r="S161" s="203">
        <f t="shared" si="223"/>
        <v>0</v>
      </c>
      <c r="T161" s="203"/>
      <c r="U161" s="203"/>
      <c r="V161" s="203"/>
      <c r="W161" s="203"/>
    </row>
    <row r="162" spans="1:24" s="43" customFormat="1" ht="18" hidden="1" customHeight="1">
      <c r="A162" s="610"/>
      <c r="B162" s="581"/>
      <c r="C162" s="584"/>
      <c r="D162" s="202" t="str">
        <f>серпень!D162</f>
        <v>відхилення з наростаючим</v>
      </c>
      <c r="E162" s="203"/>
      <c r="F162" s="203">
        <f>F161</f>
        <v>0</v>
      </c>
      <c r="G162" s="203">
        <f>G161+F162</f>
        <v>0</v>
      </c>
      <c r="H162" s="203">
        <f>H161+G162</f>
        <v>0</v>
      </c>
      <c r="I162" s="203">
        <f>I161+H162</f>
        <v>0</v>
      </c>
      <c r="J162" s="203">
        <f>J161+I162</f>
        <v>0</v>
      </c>
      <c r="K162" s="203">
        <f>K161+J162</f>
        <v>0</v>
      </c>
      <c r="L162" s="203"/>
      <c r="M162" s="203"/>
      <c r="N162" s="203">
        <f>N161+K162</f>
        <v>0</v>
      </c>
      <c r="O162" s="203">
        <f>O161+N162</f>
        <v>0</v>
      </c>
      <c r="P162" s="203">
        <f>P161+O162</f>
        <v>0</v>
      </c>
      <c r="Q162" s="203">
        <f>Q161+P162</f>
        <v>0</v>
      </c>
      <c r="R162" s="203">
        <f>R161+Q162</f>
        <v>0</v>
      </c>
      <c r="S162" s="203">
        <f>S161+R162</f>
        <v>0</v>
      </c>
      <c r="T162" s="203"/>
      <c r="U162" s="203"/>
      <c r="V162" s="203"/>
      <c r="W162" s="203"/>
    </row>
    <row r="163" spans="1:24" s="48" customFormat="1" ht="18" hidden="1" customHeight="1">
      <c r="A163" s="610"/>
      <c r="B163" s="576" t="s">
        <v>61</v>
      </c>
      <c r="C163" s="577"/>
      <c r="D163" s="178" t="str">
        <f>серпень!D163</f>
        <v>факт. нат.п-ки 2023</v>
      </c>
      <c r="E163" s="11"/>
      <c r="F163" s="12">
        <f t="shared" ref="F163:K165" si="224">F178+F193</f>
        <v>0</v>
      </c>
      <c r="G163" s="12">
        <f t="shared" si="224"/>
        <v>0</v>
      </c>
      <c r="H163" s="12">
        <f t="shared" si="224"/>
        <v>0</v>
      </c>
      <c r="I163" s="12">
        <f t="shared" si="224"/>
        <v>0</v>
      </c>
      <c r="J163" s="12">
        <f t="shared" si="224"/>
        <v>0</v>
      </c>
      <c r="K163" s="12">
        <f t="shared" si="224"/>
        <v>0</v>
      </c>
      <c r="L163" s="44">
        <f>SUM(F163:K163)</f>
        <v>0</v>
      </c>
      <c r="M163" s="44">
        <f>L163/6</f>
        <v>0</v>
      </c>
      <c r="N163" s="12">
        <f t="shared" ref="N163:S165" si="225">N178+N193</f>
        <v>0</v>
      </c>
      <c r="O163" s="12">
        <f t="shared" si="225"/>
        <v>0</v>
      </c>
      <c r="P163" s="12">
        <f t="shared" si="225"/>
        <v>0</v>
      </c>
      <c r="Q163" s="12">
        <f t="shared" si="225"/>
        <v>0</v>
      </c>
      <c r="R163" s="12">
        <f t="shared" si="225"/>
        <v>0</v>
      </c>
      <c r="S163" s="12">
        <f t="shared" si="225"/>
        <v>0</v>
      </c>
      <c r="T163" s="44">
        <f>SUM(N163:S163)</f>
        <v>0</v>
      </c>
      <c r="U163" s="45">
        <f>T163+L163</f>
        <v>0</v>
      </c>
      <c r="V163" s="46">
        <f>V178+V193</f>
        <v>0</v>
      </c>
      <c r="W163" s="38">
        <f>V163-U163</f>
        <v>0</v>
      </c>
      <c r="X163" s="47"/>
    </row>
    <row r="164" spans="1:24" s="48" customFormat="1" ht="18" hidden="1" customHeight="1">
      <c r="A164" s="610"/>
      <c r="B164" s="576"/>
      <c r="C164" s="577"/>
      <c r="D164" s="178" t="str">
        <f>серпень!D164</f>
        <v>факт. нат.п-ки 2024</v>
      </c>
      <c r="E164" s="11"/>
      <c r="F164" s="12">
        <f t="shared" si="224"/>
        <v>0</v>
      </c>
      <c r="G164" s="12">
        <f t="shared" si="224"/>
        <v>0</v>
      </c>
      <c r="H164" s="12">
        <f t="shared" si="224"/>
        <v>0</v>
      </c>
      <c r="I164" s="12">
        <f t="shared" si="224"/>
        <v>0</v>
      </c>
      <c r="J164" s="12">
        <f t="shared" si="224"/>
        <v>0</v>
      </c>
      <c r="K164" s="12">
        <f t="shared" si="224"/>
        <v>0</v>
      </c>
      <c r="L164" s="44">
        <f>SUM(F164:K164)</f>
        <v>0</v>
      </c>
      <c r="M164" s="44">
        <f>L164/6</f>
        <v>0</v>
      </c>
      <c r="N164" s="11">
        <f t="shared" si="225"/>
        <v>0</v>
      </c>
      <c r="O164" s="11">
        <f t="shared" si="225"/>
        <v>0</v>
      </c>
      <c r="P164" s="11">
        <f t="shared" si="225"/>
        <v>0</v>
      </c>
      <c r="Q164" s="11">
        <f t="shared" si="225"/>
        <v>0</v>
      </c>
      <c r="R164" s="11">
        <f t="shared" si="225"/>
        <v>0</v>
      </c>
      <c r="S164" s="11">
        <f t="shared" si="225"/>
        <v>0</v>
      </c>
      <c r="T164" s="44">
        <f>SUM(N164:S164)</f>
        <v>0</v>
      </c>
      <c r="U164" s="45">
        <f>T164+L164</f>
        <v>0</v>
      </c>
      <c r="V164" s="46">
        <f>V179+V194</f>
        <v>0</v>
      </c>
      <c r="W164" s="38">
        <f>V164-U164</f>
        <v>0</v>
      </c>
      <c r="X164" s="47"/>
    </row>
    <row r="165" spans="1:24" s="48" customFormat="1" ht="18" hidden="1" customHeight="1">
      <c r="A165" s="610"/>
      <c r="B165" s="576"/>
      <c r="C165" s="577"/>
      <c r="D165" s="178" t="str">
        <f>серпень!D165</f>
        <v>факт. нат.п-ки 2025</v>
      </c>
      <c r="E165" s="11"/>
      <c r="F165" s="12">
        <f t="shared" si="224"/>
        <v>0</v>
      </c>
      <c r="G165" s="12">
        <f t="shared" si="224"/>
        <v>0</v>
      </c>
      <c r="H165" s="12">
        <f t="shared" si="224"/>
        <v>0</v>
      </c>
      <c r="I165" s="12">
        <f t="shared" si="224"/>
        <v>0</v>
      </c>
      <c r="J165" s="12">
        <f t="shared" si="224"/>
        <v>0</v>
      </c>
      <c r="K165" s="12">
        <f t="shared" si="224"/>
        <v>0</v>
      </c>
      <c r="L165" s="44">
        <f>SUM(F165:K165)</f>
        <v>0</v>
      </c>
      <c r="M165" s="44">
        <f>L165/6</f>
        <v>0</v>
      </c>
      <c r="N165" s="12">
        <f t="shared" si="225"/>
        <v>0</v>
      </c>
      <c r="O165" s="12">
        <f t="shared" si="225"/>
        <v>0</v>
      </c>
      <c r="P165" s="12">
        <f t="shared" si="225"/>
        <v>0</v>
      </c>
      <c r="Q165" s="12">
        <f t="shared" si="225"/>
        <v>0</v>
      </c>
      <c r="R165" s="12">
        <f t="shared" si="225"/>
        <v>0</v>
      </c>
      <c r="S165" s="12">
        <f t="shared" si="225"/>
        <v>0</v>
      </c>
      <c r="T165" s="44">
        <f>SUM(N165:S165)</f>
        <v>0</v>
      </c>
      <c r="U165" s="45">
        <f>T165+L165</f>
        <v>0</v>
      </c>
      <c r="V165" s="46">
        <f>V180+V195</f>
        <v>0</v>
      </c>
      <c r="W165" s="38">
        <f>V165-U165</f>
        <v>0</v>
      </c>
      <c r="X165" s="47"/>
    </row>
    <row r="166" spans="1:24" s="51" customFormat="1" ht="18" hidden="1" customHeight="1">
      <c r="A166" s="610"/>
      <c r="B166" s="576"/>
      <c r="C166" s="577"/>
      <c r="D166" s="187" t="str">
        <f>серпень!D166</f>
        <v>тариф, грн.</v>
      </c>
      <c r="E166" s="49"/>
      <c r="F166" s="49" t="e">
        <f>F167/F165*1000</f>
        <v>#DIV/0!</v>
      </c>
      <c r="G166" s="49" t="e">
        <f>G167/G165*1000</f>
        <v>#DIV/0!</v>
      </c>
      <c r="H166" s="49" t="e">
        <f>H167/H165*1000</f>
        <v>#DIV/0!</v>
      </c>
      <c r="I166" s="49" t="e">
        <f>I167/I165*1000</f>
        <v>#DIV/0!</v>
      </c>
      <c r="J166" s="49" t="e">
        <f>J167/J165*1000</f>
        <v>#DIV/0!</v>
      </c>
      <c r="K166" s="49" t="e">
        <f t="shared" ref="K166:S166" si="226">K167/K165*1000</f>
        <v>#DIV/0!</v>
      </c>
      <c r="L166" s="49" t="e">
        <f t="shared" si="226"/>
        <v>#DIV/0!</v>
      </c>
      <c r="M166" s="49" t="e">
        <f t="shared" si="226"/>
        <v>#DIV/0!</v>
      </c>
      <c r="N166" s="49" t="e">
        <f t="shared" si="226"/>
        <v>#DIV/0!</v>
      </c>
      <c r="O166" s="49" t="e">
        <f t="shared" si="226"/>
        <v>#DIV/0!</v>
      </c>
      <c r="P166" s="49" t="e">
        <f t="shared" si="226"/>
        <v>#DIV/0!</v>
      </c>
      <c r="Q166" s="49" t="e">
        <f t="shared" si="226"/>
        <v>#DIV/0!</v>
      </c>
      <c r="R166" s="49" t="e">
        <f t="shared" si="226"/>
        <v>#DIV/0!</v>
      </c>
      <c r="S166" s="49" t="e">
        <f t="shared" si="226"/>
        <v>#DIV/0!</v>
      </c>
      <c r="T166" s="49" t="e">
        <f>T167/T165*1000</f>
        <v>#DIV/0!</v>
      </c>
      <c r="U166" s="49" t="e">
        <f>U167/U165*1000</f>
        <v>#DIV/0!</v>
      </c>
      <c r="V166" s="49" t="e">
        <f>V167/V165*1000</f>
        <v>#DIV/0!</v>
      </c>
      <c r="W166" s="14" t="e">
        <f>W167/W165*1000</f>
        <v>#DIV/0!</v>
      </c>
      <c r="X166" s="50"/>
    </row>
    <row r="167" spans="1:24" s="55" customFormat="1" ht="18" hidden="1" customHeight="1">
      <c r="A167" s="610"/>
      <c r="B167" s="576"/>
      <c r="C167" s="577"/>
      <c r="D167" s="191" t="str">
        <f>серпень!D167</f>
        <v>сума, тис.грн.</v>
      </c>
      <c r="E167" s="52"/>
      <c r="F167" s="52">
        <f t="shared" ref="F167:K170" si="227">F182+F197</f>
        <v>0</v>
      </c>
      <c r="G167" s="52">
        <f t="shared" si="227"/>
        <v>0</v>
      </c>
      <c r="H167" s="52">
        <f t="shared" si="227"/>
        <v>0</v>
      </c>
      <c r="I167" s="52">
        <f t="shared" si="227"/>
        <v>0</v>
      </c>
      <c r="J167" s="52">
        <f t="shared" si="227"/>
        <v>0</v>
      </c>
      <c r="K167" s="52">
        <f t="shared" si="227"/>
        <v>0</v>
      </c>
      <c r="L167" s="52">
        <f>SUM(F167:K167)</f>
        <v>0</v>
      </c>
      <c r="M167" s="52">
        <f>L167/6</f>
        <v>0</v>
      </c>
      <c r="N167" s="52">
        <f t="shared" ref="N167:S170" si="228">N182+N197</f>
        <v>0</v>
      </c>
      <c r="O167" s="52">
        <f t="shared" si="228"/>
        <v>0</v>
      </c>
      <c r="P167" s="52">
        <f t="shared" si="228"/>
        <v>0</v>
      </c>
      <c r="Q167" s="52">
        <f t="shared" si="228"/>
        <v>0</v>
      </c>
      <c r="R167" s="52">
        <f t="shared" si="228"/>
        <v>0</v>
      </c>
      <c r="S167" s="52">
        <f t="shared" si="228"/>
        <v>0</v>
      </c>
      <c r="T167" s="52">
        <f>SUM(N167:S167)</f>
        <v>0</v>
      </c>
      <c r="U167" s="52">
        <f>T167+L167</f>
        <v>0</v>
      </c>
      <c r="V167" s="53">
        <f>V182+V197</f>
        <v>0</v>
      </c>
      <c r="W167" s="53">
        <f>V167-U167</f>
        <v>0</v>
      </c>
      <c r="X167" s="54">
        <f>9891253.845/1000</f>
        <v>9891.2540000000008</v>
      </c>
    </row>
    <row r="168" spans="1:24" s="55" customFormat="1" ht="18" hidden="1" customHeight="1">
      <c r="A168" s="610"/>
      <c r="B168" s="576"/>
      <c r="C168" s="577"/>
      <c r="D168" s="174" t="str">
        <f>серпень!D168</f>
        <v>дотація</v>
      </c>
      <c r="E168" s="56"/>
      <c r="F168" s="52">
        <f t="shared" si="227"/>
        <v>0</v>
      </c>
      <c r="G168" s="52">
        <f t="shared" si="227"/>
        <v>0</v>
      </c>
      <c r="H168" s="52">
        <f t="shared" si="227"/>
        <v>0</v>
      </c>
      <c r="I168" s="52">
        <f t="shared" si="227"/>
        <v>0</v>
      </c>
      <c r="J168" s="52">
        <f t="shared" si="227"/>
        <v>0</v>
      </c>
      <c r="K168" s="52">
        <f t="shared" si="227"/>
        <v>0</v>
      </c>
      <c r="L168" s="52">
        <f>SUM(F168:K168)</f>
        <v>0</v>
      </c>
      <c r="M168" s="52">
        <f>L168/6</f>
        <v>0</v>
      </c>
      <c r="N168" s="52">
        <f t="shared" si="228"/>
        <v>0</v>
      </c>
      <c r="O168" s="52">
        <f t="shared" si="228"/>
        <v>0</v>
      </c>
      <c r="P168" s="52">
        <f t="shared" si="228"/>
        <v>0</v>
      </c>
      <c r="Q168" s="52">
        <f t="shared" si="228"/>
        <v>0</v>
      </c>
      <c r="R168" s="52">
        <f t="shared" si="228"/>
        <v>0</v>
      </c>
      <c r="S168" s="52">
        <f t="shared" si="228"/>
        <v>0</v>
      </c>
      <c r="T168" s="52">
        <f>SUM(N168:S168)</f>
        <v>0</v>
      </c>
      <c r="U168" s="52">
        <f>T168+L168</f>
        <v>0</v>
      </c>
      <c r="V168" s="53">
        <f>V183+V198</f>
        <v>0</v>
      </c>
      <c r="W168" s="57">
        <f>V168-U168</f>
        <v>0</v>
      </c>
      <c r="X168" s="58"/>
    </row>
    <row r="169" spans="1:24" s="55" customFormat="1" ht="18" hidden="1" customHeight="1">
      <c r="A169" s="610"/>
      <c r="B169" s="576"/>
      <c r="C169" s="577"/>
      <c r="D169" s="174" t="str">
        <f>серпень!D169</f>
        <v>місцевий (план), тис.грн</v>
      </c>
      <c r="E169" s="56"/>
      <c r="F169" s="52">
        <f t="shared" si="227"/>
        <v>0</v>
      </c>
      <c r="G169" s="52">
        <f t="shared" si="227"/>
        <v>0</v>
      </c>
      <c r="H169" s="52">
        <f t="shared" si="227"/>
        <v>0</v>
      </c>
      <c r="I169" s="52">
        <f t="shared" si="227"/>
        <v>0</v>
      </c>
      <c r="J169" s="52">
        <f t="shared" si="227"/>
        <v>0</v>
      </c>
      <c r="K169" s="52">
        <f t="shared" si="227"/>
        <v>0</v>
      </c>
      <c r="L169" s="52">
        <f>SUM(F169:K169)</f>
        <v>0</v>
      </c>
      <c r="M169" s="52">
        <f>L169/6</f>
        <v>0</v>
      </c>
      <c r="N169" s="52">
        <f t="shared" si="228"/>
        <v>0</v>
      </c>
      <c r="O169" s="52">
        <f t="shared" si="228"/>
        <v>0</v>
      </c>
      <c r="P169" s="52">
        <f t="shared" si="228"/>
        <v>0</v>
      </c>
      <c r="Q169" s="52">
        <f t="shared" si="228"/>
        <v>0</v>
      </c>
      <c r="R169" s="52">
        <f t="shared" si="228"/>
        <v>0</v>
      </c>
      <c r="S169" s="52">
        <f t="shared" si="228"/>
        <v>0</v>
      </c>
      <c r="T169" s="52">
        <f>SUM(N169:S169)</f>
        <v>0</v>
      </c>
      <c r="U169" s="52">
        <f>T169+L169</f>
        <v>0</v>
      </c>
      <c r="V169" s="53">
        <f>V184+V199</f>
        <v>0</v>
      </c>
      <c r="W169" s="53">
        <f>V169-U169</f>
        <v>0</v>
      </c>
      <c r="X169" s="58"/>
    </row>
    <row r="170" spans="1:24" s="48" customFormat="1" ht="18" hidden="1" customHeight="1">
      <c r="A170" s="610"/>
      <c r="B170" s="576"/>
      <c r="C170" s="577"/>
      <c r="D170" s="178" t="str">
        <f>серпень!D170</f>
        <v>касові нат.п-ки 2025</v>
      </c>
      <c r="E170" s="11">
        <f>E185+E200</f>
        <v>0</v>
      </c>
      <c r="F170" s="11">
        <f t="shared" si="227"/>
        <v>0</v>
      </c>
      <c r="G170" s="11">
        <f t="shared" si="227"/>
        <v>0</v>
      </c>
      <c r="H170" s="11">
        <f t="shared" si="227"/>
        <v>0</v>
      </c>
      <c r="I170" s="11">
        <f t="shared" si="227"/>
        <v>0</v>
      </c>
      <c r="J170" s="11">
        <f t="shared" si="227"/>
        <v>0</v>
      </c>
      <c r="K170" s="11">
        <f t="shared" si="227"/>
        <v>0</v>
      </c>
      <c r="L170" s="44">
        <f>SUM(F170:K170)</f>
        <v>0</v>
      </c>
      <c r="M170" s="44">
        <f>L170/6</f>
        <v>0</v>
      </c>
      <c r="N170" s="11">
        <f t="shared" si="228"/>
        <v>0</v>
      </c>
      <c r="O170" s="11">
        <f t="shared" si="228"/>
        <v>0</v>
      </c>
      <c r="P170" s="11">
        <f t="shared" si="228"/>
        <v>0</v>
      </c>
      <c r="Q170" s="11">
        <f t="shared" si="228"/>
        <v>0</v>
      </c>
      <c r="R170" s="11">
        <f t="shared" si="228"/>
        <v>0</v>
      </c>
      <c r="S170" s="11">
        <f t="shared" si="228"/>
        <v>0</v>
      </c>
      <c r="T170" s="44">
        <f>SUM(N170:S170)</f>
        <v>0</v>
      </c>
      <c r="U170" s="44">
        <f>T170+L170</f>
        <v>0</v>
      </c>
      <c r="V170" s="38">
        <f>V185+V200</f>
        <v>0</v>
      </c>
      <c r="W170" s="38">
        <f>V170-U170</f>
        <v>0</v>
      </c>
      <c r="X170" s="47">
        <f>U165-U170</f>
        <v>0</v>
      </c>
    </row>
    <row r="171" spans="1:24" s="51" customFormat="1" ht="18" hidden="1" customHeight="1">
      <c r="A171" s="610"/>
      <c r="B171" s="576"/>
      <c r="C171" s="577"/>
      <c r="D171" s="187" t="str">
        <f>серпень!D171</f>
        <v>тариф, грн.</v>
      </c>
      <c r="E171" s="49" t="e">
        <f t="shared" ref="E171:S171" si="229">E172/E170*1000</f>
        <v>#DIV/0!</v>
      </c>
      <c r="F171" s="49" t="e">
        <f t="shared" si="229"/>
        <v>#DIV/0!</v>
      </c>
      <c r="G171" s="49" t="e">
        <f t="shared" si="229"/>
        <v>#DIV/0!</v>
      </c>
      <c r="H171" s="49" t="e">
        <f t="shared" si="229"/>
        <v>#DIV/0!</v>
      </c>
      <c r="I171" s="49" t="e">
        <f t="shared" si="229"/>
        <v>#DIV/0!</v>
      </c>
      <c r="J171" s="49" t="e">
        <f t="shared" si="229"/>
        <v>#DIV/0!</v>
      </c>
      <c r="K171" s="49" t="e">
        <f t="shared" si="229"/>
        <v>#DIV/0!</v>
      </c>
      <c r="L171" s="49" t="e">
        <f t="shared" si="229"/>
        <v>#DIV/0!</v>
      </c>
      <c r="M171" s="49" t="e">
        <f t="shared" si="229"/>
        <v>#DIV/0!</v>
      </c>
      <c r="N171" s="49" t="e">
        <f t="shared" si="229"/>
        <v>#DIV/0!</v>
      </c>
      <c r="O171" s="49" t="e">
        <f t="shared" si="229"/>
        <v>#DIV/0!</v>
      </c>
      <c r="P171" s="49" t="e">
        <f t="shared" si="229"/>
        <v>#DIV/0!</v>
      </c>
      <c r="Q171" s="49" t="e">
        <f t="shared" si="229"/>
        <v>#DIV/0!</v>
      </c>
      <c r="R171" s="49" t="e">
        <f t="shared" si="229"/>
        <v>#DIV/0!</v>
      </c>
      <c r="S171" s="49" t="e">
        <f t="shared" si="229"/>
        <v>#DIV/0!</v>
      </c>
      <c r="T171" s="49" t="e">
        <f>T172/T170*1000</f>
        <v>#DIV/0!</v>
      </c>
      <c r="U171" s="49" t="e">
        <f>U172/U170*1000</f>
        <v>#DIV/0!</v>
      </c>
      <c r="V171" s="49" t="e">
        <f>V172/V170*1000</f>
        <v>#DIV/0!</v>
      </c>
      <c r="W171" s="14" t="e">
        <f>W172/W170*1000</f>
        <v>#DIV/0!</v>
      </c>
      <c r="X171" s="59"/>
    </row>
    <row r="172" spans="1:24" s="63" customFormat="1" ht="18" hidden="1" customHeight="1">
      <c r="A172" s="610"/>
      <c r="B172" s="576"/>
      <c r="C172" s="577"/>
      <c r="D172" s="198" t="str">
        <f>серпень!D172</f>
        <v>касові видатки, тис.грн.</v>
      </c>
      <c r="E172" s="60">
        <f t="shared" ref="E172:K174" si="230">E187+E202</f>
        <v>0</v>
      </c>
      <c r="F172" s="61">
        <f t="shared" si="230"/>
        <v>0</v>
      </c>
      <c r="G172" s="61">
        <f t="shared" si="230"/>
        <v>0</v>
      </c>
      <c r="H172" s="61">
        <f t="shared" si="230"/>
        <v>0</v>
      </c>
      <c r="I172" s="61">
        <f t="shared" si="230"/>
        <v>0</v>
      </c>
      <c r="J172" s="61">
        <f t="shared" si="230"/>
        <v>0</v>
      </c>
      <c r="K172" s="61">
        <f t="shared" si="230"/>
        <v>0</v>
      </c>
      <c r="L172" s="61">
        <f>SUM(F172:K172)</f>
        <v>0</v>
      </c>
      <c r="M172" s="61">
        <f>L172/6</f>
        <v>0</v>
      </c>
      <c r="N172" s="61">
        <f t="shared" ref="N172:S174" si="231">N187+N202</f>
        <v>0</v>
      </c>
      <c r="O172" s="61">
        <f t="shared" si="231"/>
        <v>0</v>
      </c>
      <c r="P172" s="61">
        <f t="shared" si="231"/>
        <v>0</v>
      </c>
      <c r="Q172" s="61">
        <f t="shared" si="231"/>
        <v>0</v>
      </c>
      <c r="R172" s="61">
        <f t="shared" si="231"/>
        <v>0</v>
      </c>
      <c r="S172" s="61">
        <f t="shared" si="231"/>
        <v>0</v>
      </c>
      <c r="T172" s="61">
        <f>SUM(N172:S172)</f>
        <v>0</v>
      </c>
      <c r="U172" s="61">
        <f>T172+L172</f>
        <v>0</v>
      </c>
      <c r="V172" s="62">
        <f>V187+V202</f>
        <v>0</v>
      </c>
      <c r="W172" s="62">
        <f>V172-U172</f>
        <v>0</v>
      </c>
      <c r="X172" s="63">
        <f>U167-U172</f>
        <v>0</v>
      </c>
    </row>
    <row r="173" spans="1:24" s="63" customFormat="1" ht="18" hidden="1" customHeight="1">
      <c r="A173" s="610"/>
      <c r="B173" s="576"/>
      <c r="C173" s="577"/>
      <c r="D173" s="201" t="str">
        <f>серпень!D173</f>
        <v>дотація</v>
      </c>
      <c r="E173" s="60"/>
      <c r="F173" s="61">
        <f t="shared" si="230"/>
        <v>0</v>
      </c>
      <c r="G173" s="61">
        <f t="shared" si="230"/>
        <v>0</v>
      </c>
      <c r="H173" s="61">
        <f t="shared" si="230"/>
        <v>0</v>
      </c>
      <c r="I173" s="61">
        <f t="shared" si="230"/>
        <v>0</v>
      </c>
      <c r="J173" s="61">
        <f>J188+J203</f>
        <v>0</v>
      </c>
      <c r="K173" s="61">
        <f t="shared" si="230"/>
        <v>0</v>
      </c>
      <c r="L173" s="61">
        <f>SUM(F173:K173)</f>
        <v>0</v>
      </c>
      <c r="M173" s="61">
        <f>L173/6</f>
        <v>0</v>
      </c>
      <c r="N173" s="61">
        <f t="shared" si="231"/>
        <v>0</v>
      </c>
      <c r="O173" s="61">
        <f t="shared" si="231"/>
        <v>0</v>
      </c>
      <c r="P173" s="61">
        <f t="shared" si="231"/>
        <v>0</v>
      </c>
      <c r="Q173" s="61">
        <f t="shared" si="231"/>
        <v>0</v>
      </c>
      <c r="R173" s="61">
        <f t="shared" si="231"/>
        <v>0</v>
      </c>
      <c r="S173" s="61">
        <f t="shared" si="231"/>
        <v>0</v>
      </c>
      <c r="T173" s="61">
        <f>SUM(N173:S173)</f>
        <v>0</v>
      </c>
      <c r="U173" s="61">
        <f>T173+L173</f>
        <v>0</v>
      </c>
      <c r="V173" s="62">
        <f>V188+V203</f>
        <v>0</v>
      </c>
      <c r="W173" s="62">
        <f>V173-U173</f>
        <v>0</v>
      </c>
      <c r="X173" s="63">
        <f>U168-U173</f>
        <v>0</v>
      </c>
    </row>
    <row r="174" spans="1:24" s="63" customFormat="1" ht="18" hidden="1" customHeight="1">
      <c r="A174" s="610"/>
      <c r="B174" s="576"/>
      <c r="C174" s="577"/>
      <c r="D174" s="201" t="str">
        <f>серпень!D174</f>
        <v xml:space="preserve">місцевий </v>
      </c>
      <c r="E174" s="60"/>
      <c r="F174" s="61">
        <f t="shared" si="230"/>
        <v>0</v>
      </c>
      <c r="G174" s="61">
        <f t="shared" si="230"/>
        <v>0</v>
      </c>
      <c r="H174" s="61">
        <f t="shared" si="230"/>
        <v>0</v>
      </c>
      <c r="I174" s="61">
        <f t="shared" si="230"/>
        <v>0</v>
      </c>
      <c r="J174" s="61">
        <f>J189+J204</f>
        <v>0</v>
      </c>
      <c r="K174" s="61">
        <f t="shared" si="230"/>
        <v>0</v>
      </c>
      <c r="L174" s="61">
        <f>SUM(F174:K174)</f>
        <v>0</v>
      </c>
      <c r="M174" s="61">
        <f>L174/6</f>
        <v>0</v>
      </c>
      <c r="N174" s="61">
        <f t="shared" si="231"/>
        <v>0</v>
      </c>
      <c r="O174" s="61">
        <f t="shared" si="231"/>
        <v>0</v>
      </c>
      <c r="P174" s="61">
        <f t="shared" si="231"/>
        <v>0</v>
      </c>
      <c r="Q174" s="61">
        <f t="shared" si="231"/>
        <v>0</v>
      </c>
      <c r="R174" s="61">
        <f t="shared" si="231"/>
        <v>0</v>
      </c>
      <c r="S174" s="61">
        <f t="shared" si="231"/>
        <v>0</v>
      </c>
      <c r="T174" s="61">
        <f>SUM(N174:S174)</f>
        <v>0</v>
      </c>
      <c r="U174" s="61">
        <f>T174+L174</f>
        <v>0</v>
      </c>
      <c r="V174" s="62">
        <f>V189+V204</f>
        <v>0</v>
      </c>
      <c r="W174" s="62">
        <f>V174-U174</f>
        <v>0</v>
      </c>
      <c r="X174" s="63">
        <f>U169-U174</f>
        <v>0</v>
      </c>
    </row>
    <row r="175" spans="1:24" s="43" customFormat="1" ht="18" hidden="1" customHeight="1">
      <c r="A175" s="610"/>
      <c r="B175" s="576"/>
      <c r="C175" s="577"/>
      <c r="D175" s="202" t="str">
        <f>серпень!D175</f>
        <v>план</v>
      </c>
      <c r="E175" s="42"/>
      <c r="F175" s="42">
        <f t="shared" ref="F175:K175" si="232">F169</f>
        <v>0</v>
      </c>
      <c r="G175" s="42">
        <f t="shared" si="232"/>
        <v>0</v>
      </c>
      <c r="H175" s="42">
        <f t="shared" si="232"/>
        <v>0</v>
      </c>
      <c r="I175" s="42">
        <f t="shared" si="232"/>
        <v>0</v>
      </c>
      <c r="J175" s="42">
        <f t="shared" si="232"/>
        <v>0</v>
      </c>
      <c r="K175" s="42">
        <f t="shared" si="232"/>
        <v>0</v>
      </c>
      <c r="L175" s="42">
        <f>SUM(F175:K175)</f>
        <v>0</v>
      </c>
      <c r="M175" s="42">
        <f>L175/6</f>
        <v>0</v>
      </c>
      <c r="N175" s="42">
        <f t="shared" ref="N175:S175" si="233">N169+N168</f>
        <v>0</v>
      </c>
      <c r="O175" s="42">
        <f t="shared" si="233"/>
        <v>0</v>
      </c>
      <c r="P175" s="42">
        <f t="shared" si="233"/>
        <v>0</v>
      </c>
      <c r="Q175" s="42">
        <f t="shared" si="233"/>
        <v>0</v>
      </c>
      <c r="R175" s="42">
        <f t="shared" si="233"/>
        <v>0</v>
      </c>
      <c r="S175" s="42">
        <f t="shared" si="233"/>
        <v>0</v>
      </c>
      <c r="T175" s="42">
        <f>SUM(N175:S175)</f>
        <v>0</v>
      </c>
      <c r="U175" s="42">
        <f>T175+L175</f>
        <v>0</v>
      </c>
      <c r="V175" s="64">
        <f>V190+V205</f>
        <v>0</v>
      </c>
      <c r="W175" s="64">
        <f>V175-U175</f>
        <v>0</v>
      </c>
    </row>
    <row r="176" spans="1:24" s="43" customFormat="1" ht="18" hidden="1" customHeight="1">
      <c r="A176" s="610"/>
      <c r="B176" s="576"/>
      <c r="C176" s="577"/>
      <c r="D176" s="202" t="str">
        <f>серпень!D176</f>
        <v xml:space="preserve">відхилення </v>
      </c>
      <c r="E176" s="42"/>
      <c r="F176" s="42">
        <f t="shared" ref="F176:K176" si="234">F172-F175</f>
        <v>0</v>
      </c>
      <c r="G176" s="42">
        <f t="shared" si="234"/>
        <v>0</v>
      </c>
      <c r="H176" s="42">
        <f t="shared" si="234"/>
        <v>0</v>
      </c>
      <c r="I176" s="42">
        <f t="shared" si="234"/>
        <v>0</v>
      </c>
      <c r="J176" s="42">
        <f t="shared" si="234"/>
        <v>0</v>
      </c>
      <c r="K176" s="42">
        <f t="shared" si="234"/>
        <v>0</v>
      </c>
      <c r="L176" s="42"/>
      <c r="M176" s="42"/>
      <c r="N176" s="42">
        <f t="shared" ref="N176:S176" si="235">N172-N175</f>
        <v>0</v>
      </c>
      <c r="O176" s="42">
        <f t="shared" si="235"/>
        <v>0</v>
      </c>
      <c r="P176" s="42">
        <f t="shared" si="235"/>
        <v>0</v>
      </c>
      <c r="Q176" s="42">
        <f t="shared" si="235"/>
        <v>0</v>
      </c>
      <c r="R176" s="42">
        <f t="shared" si="235"/>
        <v>0</v>
      </c>
      <c r="S176" s="42">
        <f t="shared" si="235"/>
        <v>0</v>
      </c>
      <c r="T176" s="42"/>
      <c r="U176" s="42"/>
      <c r="V176" s="42"/>
      <c r="W176" s="42"/>
    </row>
    <row r="177" spans="1:24" s="43" customFormat="1" ht="18" hidden="1" customHeight="1">
      <c r="A177" s="610"/>
      <c r="B177" s="576"/>
      <c r="C177" s="577"/>
      <c r="D177" s="202" t="str">
        <f>серпень!D177</f>
        <v>відхилення з наростаючим</v>
      </c>
      <c r="E177" s="42"/>
      <c r="F177" s="42">
        <f>F176</f>
        <v>0</v>
      </c>
      <c r="G177" s="42">
        <f>G176+F177</f>
        <v>0</v>
      </c>
      <c r="H177" s="42">
        <f>H176+G177</f>
        <v>0</v>
      </c>
      <c r="I177" s="42">
        <f>I176+H177</f>
        <v>0</v>
      </c>
      <c r="J177" s="42">
        <f>J176+I177</f>
        <v>0</v>
      </c>
      <c r="K177" s="42">
        <f>K176+J177</f>
        <v>0</v>
      </c>
      <c r="L177" s="42"/>
      <c r="M177" s="42"/>
      <c r="N177" s="42">
        <f>N176+K177</f>
        <v>0</v>
      </c>
      <c r="O177" s="42">
        <f>O176+N177</f>
        <v>0</v>
      </c>
      <c r="P177" s="42">
        <f>P176+O177</f>
        <v>0</v>
      </c>
      <c r="Q177" s="42">
        <f>Q176+P177</f>
        <v>0</v>
      </c>
      <c r="R177" s="42">
        <f>R176+Q177</f>
        <v>0</v>
      </c>
      <c r="S177" s="42">
        <f>S176+R177</f>
        <v>0</v>
      </c>
      <c r="T177" s="42"/>
      <c r="U177" s="42"/>
      <c r="V177" s="42"/>
      <c r="W177" s="42"/>
    </row>
    <row r="178" spans="1:24" s="47" customFormat="1" ht="18" hidden="1" customHeight="1">
      <c r="A178" s="610"/>
      <c r="B178" s="581" t="s">
        <v>89</v>
      </c>
      <c r="C178" s="581"/>
      <c r="D178" s="178" t="str">
        <f>серпень!D178</f>
        <v>факт. нат.п-ки 2023</v>
      </c>
      <c r="E178" s="11"/>
      <c r="F178" s="12"/>
      <c r="G178" s="12"/>
      <c r="H178" s="12"/>
      <c r="I178" s="12"/>
      <c r="J178" s="12"/>
      <c r="K178" s="12"/>
      <c r="L178" s="65">
        <f>SUM(F178:K178)</f>
        <v>0</v>
      </c>
      <c r="M178" s="65">
        <f>L178/6</f>
        <v>0</v>
      </c>
      <c r="N178" s="12"/>
      <c r="O178" s="12"/>
      <c r="P178" s="12"/>
      <c r="Q178" s="12"/>
      <c r="R178" s="12"/>
      <c r="S178" s="12"/>
      <c r="T178" s="65">
        <f>SUM(N178:S178)</f>
        <v>0</v>
      </c>
      <c r="U178" s="66">
        <f>T178+L178</f>
        <v>0</v>
      </c>
      <c r="V178" s="67"/>
      <c r="W178" s="38">
        <f>V178-U178</f>
        <v>0</v>
      </c>
    </row>
    <row r="179" spans="1:24" s="47" customFormat="1" ht="18" hidden="1" customHeight="1">
      <c r="A179" s="610"/>
      <c r="B179" s="581"/>
      <c r="C179" s="581"/>
      <c r="D179" s="178" t="str">
        <f>серпень!D179</f>
        <v>факт. нат.п-ки 2024</v>
      </c>
      <c r="E179" s="11"/>
      <c r="F179" s="12"/>
      <c r="G179" s="12"/>
      <c r="H179" s="12"/>
      <c r="I179" s="12"/>
      <c r="J179" s="12"/>
      <c r="K179" s="12"/>
      <c r="L179" s="65">
        <f>SUM(F179:K179)</f>
        <v>0</v>
      </c>
      <c r="M179" s="65">
        <f>L179/6</f>
        <v>0</v>
      </c>
      <c r="N179" s="11"/>
      <c r="O179" s="11"/>
      <c r="P179" s="11"/>
      <c r="Q179" s="11"/>
      <c r="R179" s="11"/>
      <c r="S179" s="11"/>
      <c r="T179" s="65">
        <f>SUM(N179:S179)</f>
        <v>0</v>
      </c>
      <c r="U179" s="66">
        <f>T179+L179</f>
        <v>0</v>
      </c>
      <c r="V179" s="67"/>
      <c r="W179" s="38">
        <f>V179-U179</f>
        <v>0</v>
      </c>
    </row>
    <row r="180" spans="1:24" s="47" customFormat="1" ht="18" hidden="1" customHeight="1">
      <c r="A180" s="610"/>
      <c r="B180" s="581"/>
      <c r="C180" s="581"/>
      <c r="D180" s="178" t="str">
        <f>серпень!D180</f>
        <v>факт. нат.п-ки 2025</v>
      </c>
      <c r="E180" s="11"/>
      <c r="F180" s="12"/>
      <c r="G180" s="12"/>
      <c r="H180" s="12"/>
      <c r="I180" s="12"/>
      <c r="J180" s="12"/>
      <c r="K180" s="12"/>
      <c r="L180" s="65">
        <f>SUM(F180:K180)</f>
        <v>0</v>
      </c>
      <c r="M180" s="65">
        <f>L180/6</f>
        <v>0</v>
      </c>
      <c r="N180" s="12"/>
      <c r="O180" s="12"/>
      <c r="P180" s="12"/>
      <c r="Q180" s="12"/>
      <c r="R180" s="12"/>
      <c r="S180" s="11"/>
      <c r="T180" s="65">
        <f>SUM(N180:S180)</f>
        <v>0</v>
      </c>
      <c r="U180" s="66">
        <f>T180+L180</f>
        <v>0</v>
      </c>
      <c r="V180" s="11"/>
      <c r="W180" s="38">
        <f>V180-U180</f>
        <v>0</v>
      </c>
    </row>
    <row r="181" spans="1:24" s="47" customFormat="1" ht="18" hidden="1" customHeight="1">
      <c r="A181" s="610"/>
      <c r="B181" s="581"/>
      <c r="C181" s="581"/>
      <c r="D181" s="187" t="str">
        <f>серпень!D181</f>
        <v>тариф, грн.</v>
      </c>
      <c r="E181" s="49"/>
      <c r="F181" s="49">
        <v>2665.4160000000002</v>
      </c>
      <c r="G181" s="49">
        <v>2665.4160000000002</v>
      </c>
      <c r="H181" s="49">
        <v>2665.4160000000002</v>
      </c>
      <c r="I181" s="49">
        <v>2665.4160000000002</v>
      </c>
      <c r="J181" s="49">
        <v>2665.4160000000002</v>
      </c>
      <c r="K181" s="49">
        <v>2665.4160000000002</v>
      </c>
      <c r="L181" s="49" t="e">
        <f>L182/L180*1000</f>
        <v>#DIV/0!</v>
      </c>
      <c r="M181" s="49" t="e">
        <f>M182/M180*1000</f>
        <v>#DIV/0!</v>
      </c>
      <c r="N181" s="49">
        <v>2665.4160000000002</v>
      </c>
      <c r="O181" s="49">
        <v>2665.4160000000002</v>
      </c>
      <c r="P181" s="49">
        <v>2665.4160000000002</v>
      </c>
      <c r="Q181" s="49">
        <v>2665.4160000000002</v>
      </c>
      <c r="R181" s="49">
        <v>2665.4160000000002</v>
      </c>
      <c r="S181" s="49">
        <v>2665.4160000000002</v>
      </c>
      <c r="T181" s="49" t="e">
        <f>T182/T180*1000</f>
        <v>#DIV/0!</v>
      </c>
      <c r="U181" s="49" t="e">
        <f>U182/U180*1000</f>
        <v>#DIV/0!</v>
      </c>
      <c r="V181" s="68" t="e">
        <f>V182/V180*1000</f>
        <v>#DIV/0!</v>
      </c>
      <c r="W181" s="14" t="e">
        <f>W182/W180*1000</f>
        <v>#DIV/0!</v>
      </c>
    </row>
    <row r="182" spans="1:24" s="47" customFormat="1" ht="18" hidden="1" customHeight="1">
      <c r="A182" s="610"/>
      <c r="B182" s="581"/>
      <c r="C182" s="581"/>
      <c r="D182" s="191" t="str">
        <f>серпень!D182</f>
        <v>сума, тис.грн.</v>
      </c>
      <c r="E182" s="52"/>
      <c r="F182" s="52">
        <f t="shared" ref="F182:K182" si="236">F180*F181/1000</f>
        <v>0</v>
      </c>
      <c r="G182" s="52">
        <f t="shared" si="236"/>
        <v>0</v>
      </c>
      <c r="H182" s="52">
        <f t="shared" si="236"/>
        <v>0</v>
      </c>
      <c r="I182" s="52">
        <f t="shared" si="236"/>
        <v>0</v>
      </c>
      <c r="J182" s="52">
        <f t="shared" si="236"/>
        <v>0</v>
      </c>
      <c r="K182" s="52">
        <f t="shared" si="236"/>
        <v>0</v>
      </c>
      <c r="L182" s="69">
        <f>SUM(F182:K182)</f>
        <v>0</v>
      </c>
      <c r="M182" s="69">
        <f>L182/6</f>
        <v>0</v>
      </c>
      <c r="N182" s="52">
        <f t="shared" ref="N182:S182" si="237">N180*N181/1000</f>
        <v>0</v>
      </c>
      <c r="O182" s="52">
        <f t="shared" si="237"/>
        <v>0</v>
      </c>
      <c r="P182" s="52">
        <f t="shared" si="237"/>
        <v>0</v>
      </c>
      <c r="Q182" s="52">
        <f t="shared" si="237"/>
        <v>0</v>
      </c>
      <c r="R182" s="52">
        <f t="shared" si="237"/>
        <v>0</v>
      </c>
      <c r="S182" s="52">
        <f t="shared" si="237"/>
        <v>0</v>
      </c>
      <c r="T182" s="69">
        <f>SUM(N182:S182)</f>
        <v>0</v>
      </c>
      <c r="U182" s="69">
        <f>T182+L182</f>
        <v>0</v>
      </c>
      <c r="V182" s="70">
        <f>V183+V184</f>
        <v>0</v>
      </c>
      <c r="W182" s="53">
        <f>V182-U182</f>
        <v>0</v>
      </c>
    </row>
    <row r="183" spans="1:24" s="47" customFormat="1" ht="18" hidden="1" customHeight="1">
      <c r="A183" s="610"/>
      <c r="B183" s="581"/>
      <c r="C183" s="581"/>
      <c r="D183" s="174" t="str">
        <f>серпень!D183</f>
        <v>дотація</v>
      </c>
      <c r="E183" s="56"/>
      <c r="F183" s="52"/>
      <c r="G183" s="52"/>
      <c r="H183" s="52"/>
      <c r="I183" s="52"/>
      <c r="J183" s="52"/>
      <c r="K183" s="52"/>
      <c r="L183" s="69">
        <f>SUM(F183:K183)</f>
        <v>0</v>
      </c>
      <c r="M183" s="69">
        <f>L183/6</f>
        <v>0</v>
      </c>
      <c r="N183" s="52"/>
      <c r="O183" s="52"/>
      <c r="P183" s="52"/>
      <c r="Q183" s="52"/>
      <c r="R183" s="52"/>
      <c r="S183" s="52"/>
      <c r="T183" s="69">
        <f>SUM(N183:S183)</f>
        <v>0</v>
      </c>
      <c r="U183" s="69">
        <f>T183+L183</f>
        <v>0</v>
      </c>
      <c r="V183" s="70"/>
      <c r="W183" s="53">
        <f>V183-U183</f>
        <v>0</v>
      </c>
    </row>
    <row r="184" spans="1:24" s="47" customFormat="1" ht="18" hidden="1" customHeight="1">
      <c r="A184" s="610"/>
      <c r="B184" s="581"/>
      <c r="C184" s="581"/>
      <c r="D184" s="174" t="str">
        <f>серпень!D184</f>
        <v>місцевий (план), тис.грн</v>
      </c>
      <c r="E184" s="56"/>
      <c r="F184" s="52"/>
      <c r="G184" s="52"/>
      <c r="H184" s="52"/>
      <c r="I184" s="52"/>
      <c r="J184" s="52"/>
      <c r="K184" s="52"/>
      <c r="L184" s="69">
        <f>SUM(F184:K184)</f>
        <v>0</v>
      </c>
      <c r="M184" s="69">
        <f>L184/6</f>
        <v>0</v>
      </c>
      <c r="N184" s="52"/>
      <c r="O184" s="52"/>
      <c r="P184" s="52"/>
      <c r="Q184" s="52"/>
      <c r="R184" s="52"/>
      <c r="S184" s="52"/>
      <c r="T184" s="69">
        <f>SUM(N184:S184)</f>
        <v>0</v>
      </c>
      <c r="U184" s="69">
        <f>T184+L184</f>
        <v>0</v>
      </c>
      <c r="V184" s="70"/>
      <c r="W184" s="53">
        <f>V184-U184</f>
        <v>0</v>
      </c>
    </row>
    <row r="185" spans="1:24" s="47" customFormat="1" ht="18" hidden="1" customHeight="1">
      <c r="A185" s="610"/>
      <c r="B185" s="581"/>
      <c r="C185" s="581"/>
      <c r="D185" s="178" t="str">
        <f>серпень!D185</f>
        <v>касові нат.п-ки 2025</v>
      </c>
      <c r="E185" s="11"/>
      <c r="F185" s="11"/>
      <c r="G185" s="11"/>
      <c r="H185" s="11"/>
      <c r="I185" s="11"/>
      <c r="J185" s="11"/>
      <c r="K185" s="11"/>
      <c r="L185" s="65">
        <f>SUM(F185:K185)</f>
        <v>0</v>
      </c>
      <c r="M185" s="65">
        <f>L185/6</f>
        <v>0</v>
      </c>
      <c r="N185" s="11"/>
      <c r="O185" s="11"/>
      <c r="P185" s="11"/>
      <c r="Q185" s="11"/>
      <c r="R185" s="11"/>
      <c r="S185" s="11">
        <f>S180+R180</f>
        <v>0</v>
      </c>
      <c r="T185" s="65">
        <f>SUM(N185:S185)</f>
        <v>0</v>
      </c>
      <c r="U185" s="65">
        <f>T185+L185</f>
        <v>0</v>
      </c>
      <c r="V185" s="11">
        <f>V180</f>
        <v>0</v>
      </c>
      <c r="W185" s="38">
        <f>V185-U185</f>
        <v>0</v>
      </c>
      <c r="X185" s="47">
        <f>U180-U185</f>
        <v>0</v>
      </c>
    </row>
    <row r="186" spans="1:24" s="47" customFormat="1" ht="18" hidden="1" customHeight="1">
      <c r="A186" s="610"/>
      <c r="B186" s="581"/>
      <c r="C186" s="581"/>
      <c r="D186" s="187" t="str">
        <f>серпень!D186</f>
        <v>тариф, грн.</v>
      </c>
      <c r="E186" s="49" t="e">
        <f>E187/E185*1000</f>
        <v>#DIV/0!</v>
      </c>
      <c r="F186" s="49">
        <v>2665.4160000000002</v>
      </c>
      <c r="G186" s="49">
        <v>2665.4160000000002</v>
      </c>
      <c r="H186" s="49">
        <v>2665.4160000000002</v>
      </c>
      <c r="I186" s="49">
        <v>2665.4160000000002</v>
      </c>
      <c r="J186" s="49">
        <v>2665.4160000000002</v>
      </c>
      <c r="K186" s="49">
        <v>2665.4160000000002</v>
      </c>
      <c r="L186" s="49" t="e">
        <f>L187/L185*1000</f>
        <v>#DIV/0!</v>
      </c>
      <c r="M186" s="49" t="e">
        <f>M187/M185*1000</f>
        <v>#DIV/0!</v>
      </c>
      <c r="N186" s="49">
        <v>2665.4160000000002</v>
      </c>
      <c r="O186" s="49">
        <v>2665.4160000000002</v>
      </c>
      <c r="P186" s="49">
        <v>2665.4160000000002</v>
      </c>
      <c r="Q186" s="49">
        <v>2665.4160000000002</v>
      </c>
      <c r="R186" s="49">
        <v>2665.4160000000002</v>
      </c>
      <c r="S186" s="49">
        <v>2665.4160000000002</v>
      </c>
      <c r="T186" s="49" t="e">
        <f>T187/T185*1000</f>
        <v>#DIV/0!</v>
      </c>
      <c r="U186" s="49" t="e">
        <f>U187/U185*1000</f>
        <v>#DIV/0!</v>
      </c>
      <c r="V186" s="68" t="e">
        <f>V187/V185*1000</f>
        <v>#DIV/0!</v>
      </c>
      <c r="W186" s="14" t="e">
        <f>W187/W185*1000</f>
        <v>#DIV/0!</v>
      </c>
    </row>
    <row r="187" spans="1:24" s="63" customFormat="1" ht="18" hidden="1" customHeight="1">
      <c r="A187" s="610"/>
      <c r="B187" s="581"/>
      <c r="C187" s="581"/>
      <c r="D187" s="198" t="str">
        <f>серпень!D187</f>
        <v>касові видатки, тис.грн.</v>
      </c>
      <c r="E187" s="71"/>
      <c r="F187" s="61">
        <f t="shared" ref="F187:K187" si="238">F185*F186/1000</f>
        <v>0</v>
      </c>
      <c r="G187" s="61">
        <f t="shared" si="238"/>
        <v>0</v>
      </c>
      <c r="H187" s="61">
        <f t="shared" si="238"/>
        <v>0</v>
      </c>
      <c r="I187" s="61">
        <f t="shared" si="238"/>
        <v>0</v>
      </c>
      <c r="J187" s="61">
        <f t="shared" si="238"/>
        <v>0</v>
      </c>
      <c r="K187" s="61">
        <f t="shared" si="238"/>
        <v>0</v>
      </c>
      <c r="L187" s="61">
        <f>SUM(F187:K187)</f>
        <v>0</v>
      </c>
      <c r="M187" s="61">
        <f>L187/6</f>
        <v>0</v>
      </c>
      <c r="N187" s="61">
        <f t="shared" ref="N187:S187" si="239">N185*N186/1000</f>
        <v>0</v>
      </c>
      <c r="O187" s="61">
        <f t="shared" si="239"/>
        <v>0</v>
      </c>
      <c r="P187" s="61">
        <f t="shared" si="239"/>
        <v>0</v>
      </c>
      <c r="Q187" s="61">
        <f t="shared" si="239"/>
        <v>0</v>
      </c>
      <c r="R187" s="61">
        <f t="shared" si="239"/>
        <v>0</v>
      </c>
      <c r="S187" s="61">
        <f t="shared" si="239"/>
        <v>0</v>
      </c>
      <c r="T187" s="61">
        <f>SUM(N187:S187)</f>
        <v>0</v>
      </c>
      <c r="U187" s="61">
        <f>T187+L187</f>
        <v>0</v>
      </c>
      <c r="V187" s="61">
        <f>V182</f>
        <v>0</v>
      </c>
      <c r="W187" s="72">
        <f>V187-U187</f>
        <v>0</v>
      </c>
      <c r="X187" s="63">
        <f>U182-U187</f>
        <v>0</v>
      </c>
    </row>
    <row r="188" spans="1:24" s="63" customFormat="1" ht="18" hidden="1" customHeight="1">
      <c r="A188" s="610"/>
      <c r="B188" s="581"/>
      <c r="C188" s="581"/>
      <c r="D188" s="201" t="str">
        <f>серпень!D188</f>
        <v>дотація</v>
      </c>
      <c r="E188" s="71"/>
      <c r="F188" s="61"/>
      <c r="G188" s="61"/>
      <c r="H188" s="61"/>
      <c r="I188" s="61"/>
      <c r="J188" s="61"/>
      <c r="K188" s="61"/>
      <c r="L188" s="61">
        <f>SUM(F188:K188)</f>
        <v>0</v>
      </c>
      <c r="M188" s="61">
        <f>L188/6</f>
        <v>0</v>
      </c>
      <c r="N188" s="61"/>
      <c r="O188" s="61"/>
      <c r="P188" s="61"/>
      <c r="Q188" s="61"/>
      <c r="R188" s="61"/>
      <c r="S188" s="61"/>
      <c r="T188" s="61">
        <f>SUM(N188:S188)</f>
        <v>0</v>
      </c>
      <c r="U188" s="61">
        <f>T188+L188</f>
        <v>0</v>
      </c>
      <c r="V188" s="61">
        <f>V183</f>
        <v>0</v>
      </c>
      <c r="W188" s="72">
        <f>V188-U188</f>
        <v>0</v>
      </c>
      <c r="X188" s="63">
        <f>U183-U188</f>
        <v>0</v>
      </c>
    </row>
    <row r="189" spans="1:24" s="63" customFormat="1" ht="18" hidden="1" customHeight="1">
      <c r="A189" s="610"/>
      <c r="B189" s="581"/>
      <c r="C189" s="581"/>
      <c r="D189" s="201" t="str">
        <f>серпень!D189</f>
        <v xml:space="preserve">місцевий </v>
      </c>
      <c r="E189" s="71"/>
      <c r="F189" s="61">
        <f t="shared" ref="F189:K189" si="240">F187-F188</f>
        <v>0</v>
      </c>
      <c r="G189" s="61">
        <f t="shared" si="240"/>
        <v>0</v>
      </c>
      <c r="H189" s="61">
        <f t="shared" si="240"/>
        <v>0</v>
      </c>
      <c r="I189" s="61">
        <f t="shared" si="240"/>
        <v>0</v>
      </c>
      <c r="J189" s="61">
        <f t="shared" si="240"/>
        <v>0</v>
      </c>
      <c r="K189" s="61">
        <f t="shared" si="240"/>
        <v>0</v>
      </c>
      <c r="L189" s="61">
        <f>SUM(F189:K189)</f>
        <v>0</v>
      </c>
      <c r="M189" s="61">
        <f>L189/6</f>
        <v>0</v>
      </c>
      <c r="N189" s="61">
        <f t="shared" ref="N189:S189" si="241">N187-N188</f>
        <v>0</v>
      </c>
      <c r="O189" s="61">
        <f t="shared" si="241"/>
        <v>0</v>
      </c>
      <c r="P189" s="61">
        <f t="shared" si="241"/>
        <v>0</v>
      </c>
      <c r="Q189" s="61">
        <f t="shared" si="241"/>
        <v>0</v>
      </c>
      <c r="R189" s="61">
        <f t="shared" si="241"/>
        <v>0</v>
      </c>
      <c r="S189" s="61">
        <f t="shared" si="241"/>
        <v>0</v>
      </c>
      <c r="T189" s="61">
        <f>SUM(N189:S189)</f>
        <v>0</v>
      </c>
      <c r="U189" s="61">
        <f>T189+L189</f>
        <v>0</v>
      </c>
      <c r="V189" s="61">
        <f>V184</f>
        <v>0</v>
      </c>
      <c r="W189" s="72">
        <f>V189-U189</f>
        <v>0</v>
      </c>
      <c r="X189" s="63">
        <f>U184-U189</f>
        <v>0</v>
      </c>
    </row>
    <row r="190" spans="1:24" s="43" customFormat="1" ht="18" hidden="1" customHeight="1">
      <c r="A190" s="610"/>
      <c r="B190" s="581"/>
      <c r="C190" s="581"/>
      <c r="D190" s="202" t="str">
        <f>серпень!D190</f>
        <v>план</v>
      </c>
      <c r="E190" s="42"/>
      <c r="F190" s="42">
        <f t="shared" ref="F190:K190" si="242">F184</f>
        <v>0</v>
      </c>
      <c r="G190" s="42">
        <f t="shared" si="242"/>
        <v>0</v>
      </c>
      <c r="H190" s="42">
        <f t="shared" si="242"/>
        <v>0</v>
      </c>
      <c r="I190" s="42">
        <f t="shared" si="242"/>
        <v>0</v>
      </c>
      <c r="J190" s="42">
        <f t="shared" si="242"/>
        <v>0</v>
      </c>
      <c r="K190" s="42">
        <f t="shared" si="242"/>
        <v>0</v>
      </c>
      <c r="L190" s="42">
        <f>SUM(F190:K190)</f>
        <v>0</v>
      </c>
      <c r="M190" s="42">
        <f>L190/6</f>
        <v>0</v>
      </c>
      <c r="N190" s="42">
        <f t="shared" ref="N190:S190" si="243">N184+N183</f>
        <v>0</v>
      </c>
      <c r="O190" s="42">
        <f t="shared" si="243"/>
        <v>0</v>
      </c>
      <c r="P190" s="42">
        <f t="shared" si="243"/>
        <v>0</v>
      </c>
      <c r="Q190" s="42">
        <f t="shared" si="243"/>
        <v>0</v>
      </c>
      <c r="R190" s="42">
        <f t="shared" si="243"/>
        <v>0</v>
      </c>
      <c r="S190" s="42">
        <f t="shared" si="243"/>
        <v>0</v>
      </c>
      <c r="T190" s="42">
        <f>SUM(N190:S190)</f>
        <v>0</v>
      </c>
      <c r="U190" s="42">
        <f>T190+L190</f>
        <v>0</v>
      </c>
      <c r="V190" s="42">
        <f>V187</f>
        <v>0</v>
      </c>
      <c r="W190" s="42">
        <f>V190-U190</f>
        <v>0</v>
      </c>
    </row>
    <row r="191" spans="1:24" s="43" customFormat="1" ht="18" hidden="1" customHeight="1">
      <c r="A191" s="610"/>
      <c r="B191" s="581"/>
      <c r="C191" s="581"/>
      <c r="D191" s="202" t="str">
        <f>серпень!D191</f>
        <v xml:space="preserve">відхилення </v>
      </c>
      <c r="E191" s="42"/>
      <c r="F191" s="42">
        <f t="shared" ref="F191:K191" si="244">F187-F190</f>
        <v>0</v>
      </c>
      <c r="G191" s="42">
        <f t="shared" si="244"/>
        <v>0</v>
      </c>
      <c r="H191" s="42">
        <f t="shared" si="244"/>
        <v>0</v>
      </c>
      <c r="I191" s="42">
        <f t="shared" si="244"/>
        <v>0</v>
      </c>
      <c r="J191" s="42">
        <f t="shared" si="244"/>
        <v>0</v>
      </c>
      <c r="K191" s="42">
        <f t="shared" si="244"/>
        <v>0</v>
      </c>
      <c r="L191" s="42"/>
      <c r="M191" s="42"/>
      <c r="N191" s="42">
        <f t="shared" ref="N191:S191" si="245">N187-N190</f>
        <v>0</v>
      </c>
      <c r="O191" s="42">
        <f t="shared" si="245"/>
        <v>0</v>
      </c>
      <c r="P191" s="42">
        <f t="shared" si="245"/>
        <v>0</v>
      </c>
      <c r="Q191" s="42">
        <f t="shared" si="245"/>
        <v>0</v>
      </c>
      <c r="R191" s="42">
        <f t="shared" si="245"/>
        <v>0</v>
      </c>
      <c r="S191" s="42">
        <f t="shared" si="245"/>
        <v>0</v>
      </c>
      <c r="T191" s="42"/>
      <c r="U191" s="42"/>
      <c r="V191" s="42"/>
      <c r="W191" s="42"/>
    </row>
    <row r="192" spans="1:24" s="43" customFormat="1" ht="27.1" hidden="1" customHeight="1">
      <c r="A192" s="610"/>
      <c r="B192" s="581"/>
      <c r="C192" s="581"/>
      <c r="D192" s="202" t="str">
        <f>серпень!D192</f>
        <v>відхилення з наростаючим</v>
      </c>
      <c r="E192" s="42"/>
      <c r="F192" s="42">
        <f>F191</f>
        <v>0</v>
      </c>
      <c r="G192" s="42">
        <f>G191+F192</f>
        <v>0</v>
      </c>
      <c r="H192" s="42">
        <f>H191+G192</f>
        <v>0</v>
      </c>
      <c r="I192" s="42">
        <f>I191+H192</f>
        <v>0</v>
      </c>
      <c r="J192" s="42">
        <f>J191+I192</f>
        <v>0</v>
      </c>
      <c r="K192" s="42">
        <f>K191+J192</f>
        <v>0</v>
      </c>
      <c r="L192" s="42"/>
      <c r="M192" s="42"/>
      <c r="N192" s="42">
        <f>N191+K192</f>
        <v>0</v>
      </c>
      <c r="O192" s="42">
        <f>O191+N192</f>
        <v>0</v>
      </c>
      <c r="P192" s="42">
        <f>P191+O192</f>
        <v>0</v>
      </c>
      <c r="Q192" s="42">
        <f>Q191+P192</f>
        <v>0</v>
      </c>
      <c r="R192" s="42">
        <f>R191+Q192</f>
        <v>0</v>
      </c>
      <c r="S192" s="42">
        <f>S191+R192</f>
        <v>0</v>
      </c>
      <c r="T192" s="42"/>
      <c r="U192" s="42"/>
      <c r="V192" s="42"/>
      <c r="W192" s="42"/>
    </row>
    <row r="193" spans="1:24" s="48" customFormat="1" ht="18" hidden="1" customHeight="1">
      <c r="A193" s="610"/>
      <c r="B193" s="576" t="s">
        <v>69</v>
      </c>
      <c r="C193" s="577"/>
      <c r="D193" s="178" t="str">
        <f>серпень!D193</f>
        <v>факт. нат.п-ки 2023</v>
      </c>
      <c r="E193" s="11"/>
      <c r="F193" s="12"/>
      <c r="G193" s="12"/>
      <c r="H193" s="12"/>
      <c r="I193" s="12"/>
      <c r="J193" s="12"/>
      <c r="K193" s="12"/>
      <c r="L193" s="65">
        <f>SUM(F193:K193)</f>
        <v>0</v>
      </c>
      <c r="M193" s="65">
        <f>L193/6</f>
        <v>0</v>
      </c>
      <c r="N193" s="12"/>
      <c r="O193" s="12"/>
      <c r="P193" s="12"/>
      <c r="Q193" s="12"/>
      <c r="R193" s="12"/>
      <c r="S193" s="12"/>
      <c r="T193" s="65">
        <f>SUM(N193:S193)</f>
        <v>0</v>
      </c>
      <c r="U193" s="66">
        <f>T193+L193</f>
        <v>0</v>
      </c>
      <c r="V193" s="67"/>
      <c r="W193" s="38">
        <f>V193-U193</f>
        <v>0</v>
      </c>
      <c r="X193" s="47"/>
    </row>
    <row r="194" spans="1:24" s="48" customFormat="1" ht="18" hidden="1" customHeight="1">
      <c r="A194" s="610"/>
      <c r="B194" s="576"/>
      <c r="C194" s="577"/>
      <c r="D194" s="178" t="str">
        <f>серпень!D194</f>
        <v>факт. нат.п-ки 2024</v>
      </c>
      <c r="E194" s="11"/>
      <c r="F194" s="12"/>
      <c r="G194" s="12"/>
      <c r="H194" s="12"/>
      <c r="I194" s="12"/>
      <c r="J194" s="12"/>
      <c r="K194" s="12"/>
      <c r="L194" s="65">
        <f>SUM(F194:K194)</f>
        <v>0</v>
      </c>
      <c r="M194" s="65">
        <f>L194/6</f>
        <v>0</v>
      </c>
      <c r="N194" s="11"/>
      <c r="O194" s="11"/>
      <c r="P194" s="11"/>
      <c r="Q194" s="11"/>
      <c r="R194" s="11"/>
      <c r="S194" s="11"/>
      <c r="T194" s="65">
        <f>SUM(N194:S194)</f>
        <v>0</v>
      </c>
      <c r="U194" s="66">
        <f>T194+L194</f>
        <v>0</v>
      </c>
      <c r="V194" s="67"/>
      <c r="W194" s="38">
        <f>V194-U194</f>
        <v>0</v>
      </c>
      <c r="X194" s="47"/>
    </row>
    <row r="195" spans="1:24" s="48" customFormat="1" ht="18" hidden="1" customHeight="1">
      <c r="A195" s="610"/>
      <c r="B195" s="576"/>
      <c r="C195" s="577"/>
      <c r="D195" s="178" t="str">
        <f>серпень!D195</f>
        <v>факт. нат.п-ки 2025</v>
      </c>
      <c r="E195" s="11"/>
      <c r="F195" s="12"/>
      <c r="G195" s="12"/>
      <c r="H195" s="12"/>
      <c r="I195" s="12"/>
      <c r="J195" s="12"/>
      <c r="K195" s="12"/>
      <c r="L195" s="65">
        <f>SUM(F195:K195)</f>
        <v>0</v>
      </c>
      <c r="M195" s="65">
        <f>L195/6</f>
        <v>0</v>
      </c>
      <c r="N195" s="12"/>
      <c r="O195" s="12"/>
      <c r="P195" s="12"/>
      <c r="Q195" s="12"/>
      <c r="R195" s="12"/>
      <c r="S195" s="11"/>
      <c r="T195" s="65">
        <f>SUM(N195:S195)</f>
        <v>0</v>
      </c>
      <c r="U195" s="66">
        <f>T195+L195</f>
        <v>0</v>
      </c>
      <c r="V195" s="11"/>
      <c r="W195" s="38">
        <f>V195-U195</f>
        <v>0</v>
      </c>
      <c r="X195" s="47"/>
    </row>
    <row r="196" spans="1:24" s="51" customFormat="1" ht="18" hidden="1" customHeight="1">
      <c r="A196" s="610"/>
      <c r="B196" s="576"/>
      <c r="C196" s="577"/>
      <c r="D196" s="187" t="str">
        <f>серпень!D196</f>
        <v>тариф, грн.</v>
      </c>
      <c r="E196" s="49"/>
      <c r="F196" s="49">
        <v>1441.6559999999999</v>
      </c>
      <c r="G196" s="49">
        <v>1441.6559999999999</v>
      </c>
      <c r="H196" s="49">
        <v>1441.6559999999999</v>
      </c>
      <c r="I196" s="49">
        <v>1441.6559999999999</v>
      </c>
      <c r="J196" s="49">
        <v>1441.6559999999999</v>
      </c>
      <c r="K196" s="49">
        <v>1441.6559999999999</v>
      </c>
      <c r="L196" s="49" t="e">
        <f>L197/L195*1000</f>
        <v>#DIV/0!</v>
      </c>
      <c r="M196" s="49" t="e">
        <f>M197/M195*1000</f>
        <v>#DIV/0!</v>
      </c>
      <c r="N196" s="49">
        <v>1441.6559999999999</v>
      </c>
      <c r="O196" s="49">
        <v>1441.6559999999999</v>
      </c>
      <c r="P196" s="49">
        <v>1441.6559999999999</v>
      </c>
      <c r="Q196" s="49">
        <v>1441.6559999999999</v>
      </c>
      <c r="R196" s="49">
        <v>1441.6559999999999</v>
      </c>
      <c r="S196" s="49">
        <v>1441.6559999999999</v>
      </c>
      <c r="T196" s="49" t="e">
        <f>T197/T195*1000</f>
        <v>#DIV/0!</v>
      </c>
      <c r="U196" s="49" t="e">
        <f>U197/U195*1000</f>
        <v>#DIV/0!</v>
      </c>
      <c r="V196" s="68" t="e">
        <f>V197/V195*1000</f>
        <v>#DIV/0!</v>
      </c>
      <c r="W196" s="14" t="e">
        <f>W197/W195*1000</f>
        <v>#DIV/0!</v>
      </c>
      <c r="X196" s="59"/>
    </row>
    <row r="197" spans="1:24" s="55" customFormat="1" ht="18" hidden="1" customHeight="1">
      <c r="A197" s="610"/>
      <c r="B197" s="576"/>
      <c r="C197" s="577"/>
      <c r="D197" s="191" t="str">
        <f>серпень!D197</f>
        <v>сума, тис.грн.</v>
      </c>
      <c r="E197" s="52"/>
      <c r="F197" s="52">
        <f t="shared" ref="F197:K197" si="246">F195*F196/1000</f>
        <v>0</v>
      </c>
      <c r="G197" s="52">
        <f t="shared" si="246"/>
        <v>0</v>
      </c>
      <c r="H197" s="52">
        <f t="shared" si="246"/>
        <v>0</v>
      </c>
      <c r="I197" s="52">
        <f t="shared" si="246"/>
        <v>0</v>
      </c>
      <c r="J197" s="52">
        <f t="shared" si="246"/>
        <v>0</v>
      </c>
      <c r="K197" s="52">
        <f t="shared" si="246"/>
        <v>0</v>
      </c>
      <c r="L197" s="69">
        <f>SUM(F197:K197)</f>
        <v>0</v>
      </c>
      <c r="M197" s="69">
        <f>L197/6</f>
        <v>0</v>
      </c>
      <c r="N197" s="52">
        <f t="shared" ref="N197:S197" si="247">N195*N196/1000</f>
        <v>0</v>
      </c>
      <c r="O197" s="52">
        <f t="shared" si="247"/>
        <v>0</v>
      </c>
      <c r="P197" s="52">
        <f t="shared" si="247"/>
        <v>0</v>
      </c>
      <c r="Q197" s="52">
        <f t="shared" si="247"/>
        <v>0</v>
      </c>
      <c r="R197" s="52">
        <f t="shared" si="247"/>
        <v>0</v>
      </c>
      <c r="S197" s="52">
        <f t="shared" si="247"/>
        <v>0</v>
      </c>
      <c r="T197" s="69">
        <f>SUM(N197:S197)</f>
        <v>0</v>
      </c>
      <c r="U197" s="69">
        <f>T197+L197</f>
        <v>0</v>
      </c>
      <c r="V197" s="70">
        <f>V198+V199</f>
        <v>0</v>
      </c>
      <c r="W197" s="53">
        <f>V197-U197</f>
        <v>0</v>
      </c>
      <c r="X197" s="54">
        <f>2726951.723/1000</f>
        <v>2726.9520000000002</v>
      </c>
    </row>
    <row r="198" spans="1:24" s="55" customFormat="1" ht="18" hidden="1" customHeight="1">
      <c r="A198" s="610"/>
      <c r="B198" s="576"/>
      <c r="C198" s="577"/>
      <c r="D198" s="174" t="str">
        <f>серпень!D198</f>
        <v>дотація</v>
      </c>
      <c r="E198" s="56"/>
      <c r="F198" s="52"/>
      <c r="G198" s="52"/>
      <c r="H198" s="52"/>
      <c r="I198" s="52"/>
      <c r="J198" s="52"/>
      <c r="K198" s="52"/>
      <c r="L198" s="69">
        <f>SUM(F198:K198)</f>
        <v>0</v>
      </c>
      <c r="M198" s="69">
        <f>L198/6</f>
        <v>0</v>
      </c>
      <c r="N198" s="52"/>
      <c r="O198" s="52"/>
      <c r="P198" s="52"/>
      <c r="Q198" s="52"/>
      <c r="R198" s="52"/>
      <c r="S198" s="52"/>
      <c r="T198" s="69">
        <f>SUM(N198:S198)</f>
        <v>0</v>
      </c>
      <c r="U198" s="69">
        <f>T198+L198</f>
        <v>0</v>
      </c>
      <c r="V198" s="70">
        <v>0</v>
      </c>
      <c r="W198" s="53">
        <f>V198-U198</f>
        <v>0</v>
      </c>
      <c r="X198" s="58"/>
    </row>
    <row r="199" spans="1:24" s="55" customFormat="1" ht="18" hidden="1" customHeight="1">
      <c r="A199" s="610"/>
      <c r="B199" s="576"/>
      <c r="C199" s="577"/>
      <c r="D199" s="174" t="str">
        <f>серпень!D199</f>
        <v>місцевий (план), тис.грн</v>
      </c>
      <c r="E199" s="56"/>
      <c r="F199" s="52"/>
      <c r="G199" s="52"/>
      <c r="H199" s="52"/>
      <c r="I199" s="52"/>
      <c r="J199" s="52"/>
      <c r="K199" s="52"/>
      <c r="L199" s="69">
        <f>SUM(F199:K199)</f>
        <v>0</v>
      </c>
      <c r="M199" s="69">
        <f>L199/6</f>
        <v>0</v>
      </c>
      <c r="N199" s="52"/>
      <c r="O199" s="52"/>
      <c r="P199" s="52"/>
      <c r="Q199" s="52"/>
      <c r="R199" s="52"/>
      <c r="S199" s="52"/>
      <c r="T199" s="69">
        <f>SUM(N199:S199)</f>
        <v>0</v>
      </c>
      <c r="U199" s="69">
        <f>T199+L199</f>
        <v>0</v>
      </c>
      <c r="V199" s="70"/>
      <c r="W199" s="53">
        <f>V199-U199</f>
        <v>0</v>
      </c>
      <c r="X199" s="58"/>
    </row>
    <row r="200" spans="1:24" s="48" customFormat="1" ht="18" hidden="1" customHeight="1">
      <c r="A200" s="610"/>
      <c r="B200" s="576"/>
      <c r="C200" s="577"/>
      <c r="D200" s="178" t="str">
        <f>серпень!D200</f>
        <v>касові нат.п-ки 2025</v>
      </c>
      <c r="E200" s="11"/>
      <c r="F200" s="11"/>
      <c r="G200" s="11"/>
      <c r="H200" s="11"/>
      <c r="I200" s="11"/>
      <c r="J200" s="11"/>
      <c r="K200" s="11"/>
      <c r="L200" s="65">
        <f>SUM(F200:K200)</f>
        <v>0</v>
      </c>
      <c r="M200" s="65">
        <f>L200/6</f>
        <v>0</v>
      </c>
      <c r="N200" s="11"/>
      <c r="O200" s="11"/>
      <c r="P200" s="11"/>
      <c r="Q200" s="11"/>
      <c r="R200" s="11"/>
      <c r="S200" s="11">
        <f>S195+R195</f>
        <v>0</v>
      </c>
      <c r="T200" s="65">
        <f>SUM(N200:S200)</f>
        <v>0</v>
      </c>
      <c r="U200" s="65">
        <f>T200+L200</f>
        <v>0</v>
      </c>
      <c r="V200" s="11">
        <f>V195</f>
        <v>0</v>
      </c>
      <c r="W200" s="38">
        <f>V200-U200</f>
        <v>0</v>
      </c>
      <c r="X200" s="47">
        <f>U195-U200</f>
        <v>0</v>
      </c>
    </row>
    <row r="201" spans="1:24" s="51" customFormat="1" ht="18" hidden="1" customHeight="1">
      <c r="A201" s="610"/>
      <c r="B201" s="576"/>
      <c r="C201" s="577"/>
      <c r="D201" s="187" t="str">
        <f>серпень!D201</f>
        <v>тариф, грн.</v>
      </c>
      <c r="E201" s="49" t="e">
        <f>E202/E200*1000</f>
        <v>#DIV/0!</v>
      </c>
      <c r="F201" s="49">
        <v>1441.6559999999999</v>
      </c>
      <c r="G201" s="49">
        <v>1441.6559999999999</v>
      </c>
      <c r="H201" s="49">
        <v>1441.6559999999999</v>
      </c>
      <c r="I201" s="49">
        <v>1441.6559999999999</v>
      </c>
      <c r="J201" s="49">
        <v>1441.6559999999999</v>
      </c>
      <c r="K201" s="49">
        <v>1441.6559999999999</v>
      </c>
      <c r="L201" s="49" t="e">
        <f>L202/L200*1000</f>
        <v>#DIV/0!</v>
      </c>
      <c r="M201" s="49" t="e">
        <f>M202/M200*1000</f>
        <v>#DIV/0!</v>
      </c>
      <c r="N201" s="49">
        <v>1441.6559999999999</v>
      </c>
      <c r="O201" s="49">
        <v>1441.6559999999999</v>
      </c>
      <c r="P201" s="49">
        <v>1441.6559999999999</v>
      </c>
      <c r="Q201" s="49">
        <v>1441.6559999999999</v>
      </c>
      <c r="R201" s="49">
        <v>1441.6559999999999</v>
      </c>
      <c r="S201" s="49">
        <v>1441.6559999999999</v>
      </c>
      <c r="T201" s="49" t="e">
        <f>T202/T200*1000</f>
        <v>#DIV/0!</v>
      </c>
      <c r="U201" s="49" t="e">
        <f>U202/U200*1000</f>
        <v>#DIV/0!</v>
      </c>
      <c r="V201" s="68" t="e">
        <f>V202/V200*1000</f>
        <v>#DIV/0!</v>
      </c>
      <c r="W201" s="14" t="e">
        <f>W202/W200*1000</f>
        <v>#DIV/0!</v>
      </c>
      <c r="X201" s="59"/>
    </row>
    <row r="202" spans="1:24" s="63" customFormat="1" ht="18" hidden="1" customHeight="1">
      <c r="A202" s="610"/>
      <c r="B202" s="576"/>
      <c r="C202" s="577"/>
      <c r="D202" s="198" t="str">
        <f>серпень!D202</f>
        <v>касові видатки, тис.грн.</v>
      </c>
      <c r="E202" s="71"/>
      <c r="F202" s="61">
        <f t="shared" ref="F202:K202" si="248">F200*F201/1000</f>
        <v>0</v>
      </c>
      <c r="G202" s="61">
        <f t="shared" si="248"/>
        <v>0</v>
      </c>
      <c r="H202" s="61">
        <f t="shared" si="248"/>
        <v>0</v>
      </c>
      <c r="I202" s="61">
        <f t="shared" si="248"/>
        <v>0</v>
      </c>
      <c r="J202" s="61">
        <f t="shared" si="248"/>
        <v>0</v>
      </c>
      <c r="K202" s="61">
        <f t="shared" si="248"/>
        <v>0</v>
      </c>
      <c r="L202" s="61">
        <f>SUM(F202:K202)</f>
        <v>0</v>
      </c>
      <c r="M202" s="61">
        <f>L202/6</f>
        <v>0</v>
      </c>
      <c r="N202" s="61">
        <f t="shared" ref="N202:S202" si="249">N200*N201/1000</f>
        <v>0</v>
      </c>
      <c r="O202" s="61">
        <f t="shared" si="249"/>
        <v>0</v>
      </c>
      <c r="P202" s="61">
        <f t="shared" si="249"/>
        <v>0</v>
      </c>
      <c r="Q202" s="61">
        <f t="shared" si="249"/>
        <v>0</v>
      </c>
      <c r="R202" s="61">
        <f t="shared" si="249"/>
        <v>0</v>
      </c>
      <c r="S202" s="61">
        <f t="shared" si="249"/>
        <v>0</v>
      </c>
      <c r="T202" s="61">
        <f>SUM(N202:S202)</f>
        <v>0</v>
      </c>
      <c r="U202" s="61">
        <f>T202+L202</f>
        <v>0</v>
      </c>
      <c r="V202" s="61">
        <f>V197</f>
        <v>0</v>
      </c>
      <c r="W202" s="72">
        <f>V202-U202</f>
        <v>0</v>
      </c>
      <c r="X202" s="63">
        <f>U197-U202</f>
        <v>0</v>
      </c>
    </row>
    <row r="203" spans="1:24" s="63" customFormat="1" ht="18" hidden="1" customHeight="1">
      <c r="A203" s="610"/>
      <c r="B203" s="576"/>
      <c r="C203" s="577"/>
      <c r="D203" s="201" t="str">
        <f>серпень!D203</f>
        <v>дотація</v>
      </c>
      <c r="E203" s="71"/>
      <c r="F203" s="61"/>
      <c r="G203" s="61"/>
      <c r="H203" s="61"/>
      <c r="I203" s="61"/>
      <c r="J203" s="61"/>
      <c r="K203" s="61"/>
      <c r="L203" s="61">
        <f>SUM(F203:K203)</f>
        <v>0</v>
      </c>
      <c r="M203" s="61">
        <f>L203/6</f>
        <v>0</v>
      </c>
      <c r="N203" s="61"/>
      <c r="O203" s="61"/>
      <c r="P203" s="61"/>
      <c r="Q203" s="61"/>
      <c r="R203" s="61"/>
      <c r="S203" s="61"/>
      <c r="T203" s="61">
        <f>SUM(N203:S203)</f>
        <v>0</v>
      </c>
      <c r="U203" s="61">
        <f>T203+L203</f>
        <v>0</v>
      </c>
      <c r="V203" s="61">
        <f>V198</f>
        <v>0</v>
      </c>
      <c r="W203" s="72">
        <f>V203-U203</f>
        <v>0</v>
      </c>
      <c r="X203" s="63">
        <f>U198-U203</f>
        <v>0</v>
      </c>
    </row>
    <row r="204" spans="1:24" s="63" customFormat="1" ht="18" hidden="1" customHeight="1">
      <c r="A204" s="610"/>
      <c r="B204" s="576"/>
      <c r="C204" s="577"/>
      <c r="D204" s="201" t="str">
        <f>серпень!D204</f>
        <v xml:space="preserve">місцевий </v>
      </c>
      <c r="E204" s="71"/>
      <c r="F204" s="61">
        <f t="shared" ref="F204:K204" si="250">F202-F203</f>
        <v>0</v>
      </c>
      <c r="G204" s="61">
        <f t="shared" si="250"/>
        <v>0</v>
      </c>
      <c r="H204" s="61">
        <f t="shared" si="250"/>
        <v>0</v>
      </c>
      <c r="I204" s="61">
        <f t="shared" si="250"/>
        <v>0</v>
      </c>
      <c r="J204" s="61">
        <f t="shared" si="250"/>
        <v>0</v>
      </c>
      <c r="K204" s="61">
        <f t="shared" si="250"/>
        <v>0</v>
      </c>
      <c r="L204" s="61">
        <f>SUM(F204:K204)</f>
        <v>0</v>
      </c>
      <c r="M204" s="61">
        <f>L204/6</f>
        <v>0</v>
      </c>
      <c r="N204" s="61">
        <f t="shared" ref="N204:S204" si="251">N202-N203</f>
        <v>0</v>
      </c>
      <c r="O204" s="61">
        <f t="shared" si="251"/>
        <v>0</v>
      </c>
      <c r="P204" s="61">
        <f t="shared" si="251"/>
        <v>0</v>
      </c>
      <c r="Q204" s="61">
        <f t="shared" si="251"/>
        <v>0</v>
      </c>
      <c r="R204" s="61">
        <f t="shared" si="251"/>
        <v>0</v>
      </c>
      <c r="S204" s="61">
        <f t="shared" si="251"/>
        <v>0</v>
      </c>
      <c r="T204" s="61">
        <f>SUM(N204:S204)</f>
        <v>0</v>
      </c>
      <c r="U204" s="61">
        <f>T204+L204</f>
        <v>0</v>
      </c>
      <c r="V204" s="61">
        <f>V199</f>
        <v>0</v>
      </c>
      <c r="W204" s="72">
        <f>V204-U204</f>
        <v>0</v>
      </c>
      <c r="X204" s="63">
        <f>U199-U204</f>
        <v>0</v>
      </c>
    </row>
    <row r="205" spans="1:24" s="43" customFormat="1" ht="18" hidden="1" customHeight="1">
      <c r="A205" s="610"/>
      <c r="B205" s="576"/>
      <c r="C205" s="577"/>
      <c r="D205" s="202" t="str">
        <f>серпень!D205</f>
        <v>план</v>
      </c>
      <c r="E205" s="42"/>
      <c r="F205" s="42">
        <f t="shared" ref="F205:K205" si="252">F199</f>
        <v>0</v>
      </c>
      <c r="G205" s="42">
        <f t="shared" si="252"/>
        <v>0</v>
      </c>
      <c r="H205" s="42">
        <f t="shared" si="252"/>
        <v>0</v>
      </c>
      <c r="I205" s="42">
        <f t="shared" si="252"/>
        <v>0</v>
      </c>
      <c r="J205" s="42">
        <f t="shared" si="252"/>
        <v>0</v>
      </c>
      <c r="K205" s="42">
        <f t="shared" si="252"/>
        <v>0</v>
      </c>
      <c r="L205" s="42">
        <f>SUM(F205:K205)</f>
        <v>0</v>
      </c>
      <c r="M205" s="42">
        <f>L205/6</f>
        <v>0</v>
      </c>
      <c r="N205" s="42">
        <f t="shared" ref="N205:S205" si="253">N199+N198</f>
        <v>0</v>
      </c>
      <c r="O205" s="42">
        <f t="shared" si="253"/>
        <v>0</v>
      </c>
      <c r="P205" s="42">
        <f t="shared" si="253"/>
        <v>0</v>
      </c>
      <c r="Q205" s="42">
        <f t="shared" si="253"/>
        <v>0</v>
      </c>
      <c r="R205" s="42">
        <f t="shared" si="253"/>
        <v>0</v>
      </c>
      <c r="S205" s="42">
        <f t="shared" si="253"/>
        <v>0</v>
      </c>
      <c r="T205" s="42">
        <f>SUM(N205:S205)</f>
        <v>0</v>
      </c>
      <c r="U205" s="42">
        <f>T205+L205</f>
        <v>0</v>
      </c>
      <c r="V205" s="42">
        <f>V202</f>
        <v>0</v>
      </c>
      <c r="W205" s="42">
        <f>V205-U205</f>
        <v>0</v>
      </c>
    </row>
    <row r="206" spans="1:24" s="43" customFormat="1" ht="18" hidden="1" customHeight="1">
      <c r="A206" s="610"/>
      <c r="B206" s="576"/>
      <c r="C206" s="577"/>
      <c r="D206" s="202" t="str">
        <f>серпень!D206</f>
        <v xml:space="preserve">відхилення </v>
      </c>
      <c r="E206" s="42"/>
      <c r="F206" s="42">
        <f t="shared" ref="F206:K206" si="254">F202-F205</f>
        <v>0</v>
      </c>
      <c r="G206" s="42">
        <f t="shared" si="254"/>
        <v>0</v>
      </c>
      <c r="H206" s="42">
        <f t="shared" si="254"/>
        <v>0</v>
      </c>
      <c r="I206" s="42">
        <f t="shared" si="254"/>
        <v>0</v>
      </c>
      <c r="J206" s="42">
        <f t="shared" si="254"/>
        <v>0</v>
      </c>
      <c r="K206" s="42">
        <f t="shared" si="254"/>
        <v>0</v>
      </c>
      <c r="L206" s="42"/>
      <c r="M206" s="42"/>
      <c r="N206" s="42">
        <f t="shared" ref="N206:S206" si="255">N202-N205</f>
        <v>0</v>
      </c>
      <c r="O206" s="42">
        <f t="shared" si="255"/>
        <v>0</v>
      </c>
      <c r="P206" s="42">
        <f t="shared" si="255"/>
        <v>0</v>
      </c>
      <c r="Q206" s="42">
        <f t="shared" si="255"/>
        <v>0</v>
      </c>
      <c r="R206" s="42">
        <f t="shared" si="255"/>
        <v>0</v>
      </c>
      <c r="S206" s="42">
        <f t="shared" si="255"/>
        <v>0</v>
      </c>
      <c r="T206" s="42"/>
      <c r="U206" s="42"/>
      <c r="V206" s="42"/>
      <c r="W206" s="42"/>
    </row>
    <row r="207" spans="1:24" s="43" customFormat="1" ht="18" hidden="1" customHeight="1">
      <c r="A207" s="611"/>
      <c r="B207" s="578"/>
      <c r="C207" s="579"/>
      <c r="D207" s="202" t="str">
        <f>серпень!D207</f>
        <v>відхилення з наростаючим</v>
      </c>
      <c r="E207" s="42"/>
      <c r="F207" s="42">
        <f>F206</f>
        <v>0</v>
      </c>
      <c r="G207" s="42">
        <f>G206+F207</f>
        <v>0</v>
      </c>
      <c r="H207" s="42">
        <f>H206+G207</f>
        <v>0</v>
      </c>
      <c r="I207" s="42">
        <f>I206+H207</f>
        <v>0</v>
      </c>
      <c r="J207" s="42">
        <f>J206+I207</f>
        <v>0</v>
      </c>
      <c r="K207" s="42">
        <f>K206+J207</f>
        <v>0</v>
      </c>
      <c r="L207" s="42"/>
      <c r="M207" s="42"/>
      <c r="N207" s="42">
        <f>N206+K207</f>
        <v>0</v>
      </c>
      <c r="O207" s="42">
        <f>O206+N207</f>
        <v>0</v>
      </c>
      <c r="P207" s="42">
        <f>P206+O207</f>
        <v>0</v>
      </c>
      <c r="Q207" s="42">
        <f>Q206+P207</f>
        <v>0</v>
      </c>
      <c r="R207" s="42">
        <f>R206+Q207</f>
        <v>0</v>
      </c>
      <c r="S207" s="42">
        <f>S206+R207</f>
        <v>0</v>
      </c>
      <c r="T207" s="42"/>
      <c r="U207" s="42"/>
      <c r="V207" s="42"/>
      <c r="W207" s="42"/>
    </row>
    <row r="208" spans="1:24" s="47" customFormat="1" ht="18" hidden="1" customHeight="1">
      <c r="A208" s="609"/>
      <c r="B208" s="580" t="s">
        <v>92</v>
      </c>
      <c r="C208" s="575"/>
      <c r="D208" s="178" t="str">
        <f>серпень!D208</f>
        <v>факт. нат.п-ки 2023</v>
      </c>
      <c r="E208" s="11"/>
      <c r="F208" s="12">
        <f t="shared" ref="F208:K210" si="256">F223+F238</f>
        <v>0</v>
      </c>
      <c r="G208" s="12">
        <f t="shared" si="256"/>
        <v>0</v>
      </c>
      <c r="H208" s="12">
        <f t="shared" si="256"/>
        <v>0</v>
      </c>
      <c r="I208" s="12">
        <f t="shared" si="256"/>
        <v>0</v>
      </c>
      <c r="J208" s="12">
        <f t="shared" si="256"/>
        <v>0</v>
      </c>
      <c r="K208" s="12">
        <f t="shared" si="256"/>
        <v>0</v>
      </c>
      <c r="L208" s="44">
        <f>SUM(F208:K208)</f>
        <v>0</v>
      </c>
      <c r="M208" s="44">
        <f>L208/6</f>
        <v>0</v>
      </c>
      <c r="N208" s="12">
        <f t="shared" ref="N208:S210" si="257">N223+N238</f>
        <v>0</v>
      </c>
      <c r="O208" s="12">
        <f t="shared" si="257"/>
        <v>0</v>
      </c>
      <c r="P208" s="12">
        <f t="shared" si="257"/>
        <v>0</v>
      </c>
      <c r="Q208" s="12">
        <f t="shared" si="257"/>
        <v>0</v>
      </c>
      <c r="R208" s="12">
        <f t="shared" si="257"/>
        <v>0</v>
      </c>
      <c r="S208" s="12">
        <f t="shared" si="257"/>
        <v>0</v>
      </c>
      <c r="T208" s="44">
        <f>SUM(N208:S208)</f>
        <v>0</v>
      </c>
      <c r="U208" s="45">
        <f>T208+L208</f>
        <v>0</v>
      </c>
      <c r="V208" s="46">
        <f>V223+V238</f>
        <v>0</v>
      </c>
      <c r="W208" s="38">
        <f>V208-U208</f>
        <v>0</v>
      </c>
    </row>
    <row r="209" spans="1:24" s="47" customFormat="1" ht="18" hidden="1" customHeight="1">
      <c r="A209" s="610"/>
      <c r="B209" s="576"/>
      <c r="C209" s="577"/>
      <c r="D209" s="178" t="str">
        <f>серпень!D209</f>
        <v>факт. нат.п-ки 2024</v>
      </c>
      <c r="E209" s="11"/>
      <c r="F209" s="12">
        <f t="shared" si="256"/>
        <v>0</v>
      </c>
      <c r="G209" s="12">
        <f t="shared" si="256"/>
        <v>0</v>
      </c>
      <c r="H209" s="12">
        <f t="shared" si="256"/>
        <v>0</v>
      </c>
      <c r="I209" s="12">
        <f t="shared" si="256"/>
        <v>0</v>
      </c>
      <c r="J209" s="12">
        <f>J224+J239</f>
        <v>0</v>
      </c>
      <c r="K209" s="12">
        <f t="shared" si="256"/>
        <v>0</v>
      </c>
      <c r="L209" s="44">
        <f>SUM(F209:K209)</f>
        <v>0</v>
      </c>
      <c r="M209" s="44">
        <f>L209/6</f>
        <v>0</v>
      </c>
      <c r="N209" s="11">
        <f t="shared" si="257"/>
        <v>0</v>
      </c>
      <c r="O209" s="11">
        <f t="shared" si="257"/>
        <v>0</v>
      </c>
      <c r="P209" s="11">
        <f t="shared" si="257"/>
        <v>0</v>
      </c>
      <c r="Q209" s="11">
        <f t="shared" si="257"/>
        <v>0</v>
      </c>
      <c r="R209" s="11">
        <f t="shared" si="257"/>
        <v>0</v>
      </c>
      <c r="S209" s="11">
        <f t="shared" si="257"/>
        <v>0</v>
      </c>
      <c r="T209" s="44">
        <f>SUM(N209:S209)</f>
        <v>0</v>
      </c>
      <c r="U209" s="45">
        <f>T209+L209</f>
        <v>0</v>
      </c>
      <c r="V209" s="46">
        <f>V224+V239</f>
        <v>0</v>
      </c>
      <c r="W209" s="38">
        <f>V209-U209</f>
        <v>0</v>
      </c>
    </row>
    <row r="210" spans="1:24" s="47" customFormat="1" ht="18" hidden="1" customHeight="1">
      <c r="A210" s="610"/>
      <c r="B210" s="576"/>
      <c r="C210" s="577"/>
      <c r="D210" s="178" t="str">
        <f>серпень!D210</f>
        <v>факт. нат.п-ки 2025</v>
      </c>
      <c r="E210" s="11"/>
      <c r="F210" s="12">
        <f t="shared" si="256"/>
        <v>0</v>
      </c>
      <c r="G210" s="12">
        <f t="shared" si="256"/>
        <v>0</v>
      </c>
      <c r="H210" s="12">
        <f t="shared" si="256"/>
        <v>0</v>
      </c>
      <c r="I210" s="12">
        <f t="shared" si="256"/>
        <v>0</v>
      </c>
      <c r="J210" s="12">
        <f>J225+J240</f>
        <v>0</v>
      </c>
      <c r="K210" s="12">
        <f t="shared" si="256"/>
        <v>0</v>
      </c>
      <c r="L210" s="44">
        <f>SUM(F210:K210)</f>
        <v>0</v>
      </c>
      <c r="M210" s="44">
        <f>L210/6</f>
        <v>0</v>
      </c>
      <c r="N210" s="12">
        <f t="shared" si="257"/>
        <v>0</v>
      </c>
      <c r="O210" s="12">
        <f t="shared" si="257"/>
        <v>0</v>
      </c>
      <c r="P210" s="12">
        <f t="shared" si="257"/>
        <v>0</v>
      </c>
      <c r="Q210" s="12">
        <f t="shared" si="257"/>
        <v>0</v>
      </c>
      <c r="R210" s="12">
        <f t="shared" si="257"/>
        <v>0</v>
      </c>
      <c r="S210" s="12">
        <f t="shared" si="257"/>
        <v>0</v>
      </c>
      <c r="T210" s="44">
        <f>SUM(N210:S210)</f>
        <v>0</v>
      </c>
      <c r="U210" s="45">
        <f>T210+L210</f>
        <v>0</v>
      </c>
      <c r="V210" s="46">
        <f>V225+V240</f>
        <v>0</v>
      </c>
      <c r="W210" s="38">
        <f>V210-U210</f>
        <v>0</v>
      </c>
    </row>
    <row r="211" spans="1:24" s="47" customFormat="1" ht="18" hidden="1" customHeight="1">
      <c r="A211" s="610"/>
      <c r="B211" s="576"/>
      <c r="C211" s="577"/>
      <c r="D211" s="187" t="str">
        <f>серпень!D211</f>
        <v>тариф, грн.</v>
      </c>
      <c r="E211" s="49"/>
      <c r="F211" s="49" t="e">
        <f>F212/F210*1000</f>
        <v>#DIV/0!</v>
      </c>
      <c r="G211" s="49" t="e">
        <f>G212/G210*1000</f>
        <v>#DIV/0!</v>
      </c>
      <c r="H211" s="49" t="e">
        <f>H212/H210*1000</f>
        <v>#DIV/0!</v>
      </c>
      <c r="I211" s="49" t="e">
        <f>I212/I210*1000</f>
        <v>#DIV/0!</v>
      </c>
      <c r="J211" s="49" t="e">
        <f>J212/J210*1000</f>
        <v>#DIV/0!</v>
      </c>
      <c r="K211" s="49" t="e">
        <f t="shared" ref="K211:S211" si="258">K212/K210*1000</f>
        <v>#DIV/0!</v>
      </c>
      <c r="L211" s="49" t="e">
        <f t="shared" si="258"/>
        <v>#DIV/0!</v>
      </c>
      <c r="M211" s="49" t="e">
        <f t="shared" si="258"/>
        <v>#DIV/0!</v>
      </c>
      <c r="N211" s="49" t="e">
        <f t="shared" si="258"/>
        <v>#DIV/0!</v>
      </c>
      <c r="O211" s="49" t="e">
        <f t="shared" si="258"/>
        <v>#DIV/0!</v>
      </c>
      <c r="P211" s="49" t="e">
        <f t="shared" si="258"/>
        <v>#DIV/0!</v>
      </c>
      <c r="Q211" s="49" t="e">
        <f t="shared" si="258"/>
        <v>#DIV/0!</v>
      </c>
      <c r="R211" s="49" t="e">
        <f t="shared" si="258"/>
        <v>#DIV/0!</v>
      </c>
      <c r="S211" s="49" t="e">
        <f t="shared" si="258"/>
        <v>#DIV/0!</v>
      </c>
      <c r="T211" s="49" t="e">
        <f>T212/T210*1000</f>
        <v>#DIV/0!</v>
      </c>
      <c r="U211" s="49" t="e">
        <f>U212/U210*1000</f>
        <v>#DIV/0!</v>
      </c>
      <c r="V211" s="49" t="e">
        <f>V212/V210*1000</f>
        <v>#DIV/0!</v>
      </c>
      <c r="W211" s="14" t="e">
        <f>W212/W210*1000</f>
        <v>#DIV/0!</v>
      </c>
    </row>
    <row r="212" spans="1:24" s="47" customFormat="1" ht="18" hidden="1" customHeight="1">
      <c r="A212" s="610"/>
      <c r="B212" s="576"/>
      <c r="C212" s="577"/>
      <c r="D212" s="191" t="str">
        <f>серпень!D212</f>
        <v>сума, тис.грн.</v>
      </c>
      <c r="E212" s="52"/>
      <c r="F212" s="52">
        <f t="shared" ref="F212:K215" si="259">F227+F242</f>
        <v>0</v>
      </c>
      <c r="G212" s="52">
        <f t="shared" si="259"/>
        <v>0</v>
      </c>
      <c r="H212" s="52">
        <f t="shared" si="259"/>
        <v>0</v>
      </c>
      <c r="I212" s="52">
        <f t="shared" si="259"/>
        <v>0</v>
      </c>
      <c r="J212" s="52">
        <f t="shared" si="259"/>
        <v>0</v>
      </c>
      <c r="K212" s="52">
        <f t="shared" si="259"/>
        <v>0</v>
      </c>
      <c r="L212" s="52">
        <f>SUM(F212:K212)</f>
        <v>0</v>
      </c>
      <c r="M212" s="52">
        <f>L212/6</f>
        <v>0</v>
      </c>
      <c r="N212" s="52">
        <f t="shared" ref="N212:S215" si="260">N227+N242</f>
        <v>0</v>
      </c>
      <c r="O212" s="52">
        <f t="shared" si="260"/>
        <v>0</v>
      </c>
      <c r="P212" s="52">
        <f t="shared" si="260"/>
        <v>0</v>
      </c>
      <c r="Q212" s="52">
        <f t="shared" si="260"/>
        <v>0</v>
      </c>
      <c r="R212" s="52">
        <f t="shared" si="260"/>
        <v>0</v>
      </c>
      <c r="S212" s="52">
        <f t="shared" si="260"/>
        <v>0</v>
      </c>
      <c r="T212" s="52">
        <f>SUM(N212:S212)</f>
        <v>0</v>
      </c>
      <c r="U212" s="52">
        <f>T212+L212</f>
        <v>0</v>
      </c>
      <c r="V212" s="53">
        <f>V227+V242</f>
        <v>0</v>
      </c>
      <c r="W212" s="53">
        <f>V212-U212</f>
        <v>0</v>
      </c>
    </row>
    <row r="213" spans="1:24" s="47" customFormat="1" ht="18" hidden="1" customHeight="1">
      <c r="A213" s="610"/>
      <c r="B213" s="576"/>
      <c r="C213" s="577"/>
      <c r="D213" s="174" t="str">
        <f>серпень!D213</f>
        <v>дотація</v>
      </c>
      <c r="E213" s="56"/>
      <c r="F213" s="52">
        <f t="shared" si="259"/>
        <v>0</v>
      </c>
      <c r="G213" s="52">
        <f t="shared" si="259"/>
        <v>0</v>
      </c>
      <c r="H213" s="52">
        <f t="shared" si="259"/>
        <v>0</v>
      </c>
      <c r="I213" s="52">
        <f t="shared" si="259"/>
        <v>0</v>
      </c>
      <c r="J213" s="52">
        <f>J228+J243</f>
        <v>0</v>
      </c>
      <c r="K213" s="52">
        <f t="shared" si="259"/>
        <v>0</v>
      </c>
      <c r="L213" s="52">
        <f>SUM(F213:K213)</f>
        <v>0</v>
      </c>
      <c r="M213" s="52">
        <f>L213/6</f>
        <v>0</v>
      </c>
      <c r="N213" s="52">
        <f t="shared" si="260"/>
        <v>0</v>
      </c>
      <c r="O213" s="52">
        <f t="shared" si="260"/>
        <v>0</v>
      </c>
      <c r="P213" s="52">
        <f t="shared" si="260"/>
        <v>0</v>
      </c>
      <c r="Q213" s="52">
        <f t="shared" si="260"/>
        <v>0</v>
      </c>
      <c r="R213" s="52">
        <f t="shared" si="260"/>
        <v>0</v>
      </c>
      <c r="S213" s="52">
        <f t="shared" si="260"/>
        <v>0</v>
      </c>
      <c r="T213" s="52">
        <f>SUM(N213:S213)</f>
        <v>0</v>
      </c>
      <c r="U213" s="52">
        <f>T213+L213</f>
        <v>0</v>
      </c>
      <c r="V213" s="53">
        <f>V228+V243</f>
        <v>0</v>
      </c>
      <c r="W213" s="57">
        <f>V213-U213</f>
        <v>0</v>
      </c>
    </row>
    <row r="214" spans="1:24" s="47" customFormat="1" ht="18" hidden="1" customHeight="1">
      <c r="A214" s="610"/>
      <c r="B214" s="576"/>
      <c r="C214" s="577"/>
      <c r="D214" s="174" t="str">
        <f>серпень!D214</f>
        <v>місцевий (план), тис.грн</v>
      </c>
      <c r="E214" s="56"/>
      <c r="F214" s="52">
        <f t="shared" si="259"/>
        <v>0</v>
      </c>
      <c r="G214" s="52">
        <f t="shared" si="259"/>
        <v>0</v>
      </c>
      <c r="H214" s="52">
        <f t="shared" si="259"/>
        <v>0</v>
      </c>
      <c r="I214" s="52">
        <f t="shared" si="259"/>
        <v>0</v>
      </c>
      <c r="J214" s="52">
        <f>J229+J244</f>
        <v>0</v>
      </c>
      <c r="K214" s="52">
        <f t="shared" si="259"/>
        <v>0</v>
      </c>
      <c r="L214" s="52">
        <f>SUM(F214:K214)</f>
        <v>0</v>
      </c>
      <c r="M214" s="52">
        <f>L214/6</f>
        <v>0</v>
      </c>
      <c r="N214" s="52">
        <f t="shared" si="260"/>
        <v>0</v>
      </c>
      <c r="O214" s="52">
        <f t="shared" si="260"/>
        <v>0</v>
      </c>
      <c r="P214" s="52">
        <f t="shared" si="260"/>
        <v>0</v>
      </c>
      <c r="Q214" s="52">
        <f t="shared" si="260"/>
        <v>0</v>
      </c>
      <c r="R214" s="52">
        <f t="shared" si="260"/>
        <v>0</v>
      </c>
      <c r="S214" s="52">
        <f t="shared" si="260"/>
        <v>0</v>
      </c>
      <c r="T214" s="52">
        <f>SUM(N214:S214)</f>
        <v>0</v>
      </c>
      <c r="U214" s="52">
        <f>T214+L214</f>
        <v>0</v>
      </c>
      <c r="V214" s="53">
        <f>V229+V244</f>
        <v>0</v>
      </c>
      <c r="W214" s="53">
        <f>V214-U214</f>
        <v>0</v>
      </c>
    </row>
    <row r="215" spans="1:24" s="47" customFormat="1" ht="18" hidden="1" customHeight="1">
      <c r="A215" s="610"/>
      <c r="B215" s="576"/>
      <c r="C215" s="577"/>
      <c r="D215" s="178" t="str">
        <f>серпень!D215</f>
        <v>касові нат.п-ки 2025</v>
      </c>
      <c r="E215" s="11">
        <f>E230+E245</f>
        <v>0</v>
      </c>
      <c r="F215" s="11">
        <f t="shared" si="259"/>
        <v>0</v>
      </c>
      <c r="G215" s="11">
        <f t="shared" si="259"/>
        <v>0</v>
      </c>
      <c r="H215" s="11">
        <f t="shared" si="259"/>
        <v>0</v>
      </c>
      <c r="I215" s="11">
        <f t="shared" si="259"/>
        <v>0</v>
      </c>
      <c r="J215" s="11">
        <f>J230+J245</f>
        <v>0</v>
      </c>
      <c r="K215" s="11">
        <f t="shared" si="259"/>
        <v>0</v>
      </c>
      <c r="L215" s="44">
        <f>SUM(F215:K215)</f>
        <v>0</v>
      </c>
      <c r="M215" s="44">
        <f>L215/6</f>
        <v>0</v>
      </c>
      <c r="N215" s="11">
        <f t="shared" si="260"/>
        <v>0</v>
      </c>
      <c r="O215" s="11">
        <f t="shared" si="260"/>
        <v>0</v>
      </c>
      <c r="P215" s="11">
        <f t="shared" si="260"/>
        <v>0</v>
      </c>
      <c r="Q215" s="11">
        <f t="shared" si="260"/>
        <v>0</v>
      </c>
      <c r="R215" s="11">
        <f t="shared" si="260"/>
        <v>0</v>
      </c>
      <c r="S215" s="11">
        <f t="shared" si="260"/>
        <v>0</v>
      </c>
      <c r="T215" s="44">
        <f>SUM(N215:S215)</f>
        <v>0</v>
      </c>
      <c r="U215" s="44">
        <f>T215+L215</f>
        <v>0</v>
      </c>
      <c r="V215" s="38">
        <f>V230+V245</f>
        <v>0</v>
      </c>
      <c r="W215" s="38">
        <f>V215-U215</f>
        <v>0</v>
      </c>
      <c r="X215" s="47">
        <f>U210-U215</f>
        <v>0</v>
      </c>
    </row>
    <row r="216" spans="1:24" s="47" customFormat="1" ht="18" hidden="1" customHeight="1">
      <c r="A216" s="610"/>
      <c r="B216" s="576"/>
      <c r="C216" s="577"/>
      <c r="D216" s="187" t="str">
        <f>серпень!D216</f>
        <v>тариф, грн.</v>
      </c>
      <c r="E216" s="49" t="e">
        <f t="shared" ref="E216:S216" si="261">E217/E215*1000</f>
        <v>#DIV/0!</v>
      </c>
      <c r="F216" s="49" t="e">
        <f t="shared" si="261"/>
        <v>#DIV/0!</v>
      </c>
      <c r="G216" s="49" t="e">
        <f t="shared" si="261"/>
        <v>#DIV/0!</v>
      </c>
      <c r="H216" s="49" t="e">
        <f t="shared" si="261"/>
        <v>#DIV/0!</v>
      </c>
      <c r="I216" s="49" t="e">
        <f t="shared" si="261"/>
        <v>#DIV/0!</v>
      </c>
      <c r="J216" s="49" t="e">
        <f t="shared" si="261"/>
        <v>#DIV/0!</v>
      </c>
      <c r="K216" s="49" t="e">
        <f t="shared" si="261"/>
        <v>#DIV/0!</v>
      </c>
      <c r="L216" s="49" t="e">
        <f t="shared" si="261"/>
        <v>#DIV/0!</v>
      </c>
      <c r="M216" s="49" t="e">
        <f t="shared" si="261"/>
        <v>#DIV/0!</v>
      </c>
      <c r="N216" s="49" t="e">
        <f t="shared" si="261"/>
        <v>#DIV/0!</v>
      </c>
      <c r="O216" s="49" t="e">
        <f t="shared" si="261"/>
        <v>#DIV/0!</v>
      </c>
      <c r="P216" s="49" t="e">
        <f t="shared" si="261"/>
        <v>#DIV/0!</v>
      </c>
      <c r="Q216" s="49" t="e">
        <f t="shared" si="261"/>
        <v>#DIV/0!</v>
      </c>
      <c r="R216" s="49" t="e">
        <f t="shared" si="261"/>
        <v>#DIV/0!</v>
      </c>
      <c r="S216" s="49" t="e">
        <f t="shared" si="261"/>
        <v>#DIV/0!</v>
      </c>
      <c r="T216" s="49" t="e">
        <f>T217/T215*1000</f>
        <v>#DIV/0!</v>
      </c>
      <c r="U216" s="49" t="e">
        <f>U217/U215*1000</f>
        <v>#DIV/0!</v>
      </c>
      <c r="V216" s="49" t="e">
        <f>V217/V215*1000</f>
        <v>#DIV/0!</v>
      </c>
      <c r="W216" s="14" t="e">
        <f>W217/W215*1000</f>
        <v>#DIV/0!</v>
      </c>
    </row>
    <row r="217" spans="1:24" s="63" customFormat="1" ht="18" hidden="1" customHeight="1">
      <c r="A217" s="610"/>
      <c r="B217" s="576"/>
      <c r="C217" s="577"/>
      <c r="D217" s="198" t="str">
        <f>серпень!D217</f>
        <v>касові видатки, тис.грн.</v>
      </c>
      <c r="E217" s="60">
        <f t="shared" ref="E217:K219" si="262">E232+E247</f>
        <v>0</v>
      </c>
      <c r="F217" s="61">
        <f t="shared" si="262"/>
        <v>0</v>
      </c>
      <c r="G217" s="61">
        <f t="shared" si="262"/>
        <v>0</v>
      </c>
      <c r="H217" s="61">
        <f t="shared" si="262"/>
        <v>0</v>
      </c>
      <c r="I217" s="61">
        <f t="shared" si="262"/>
        <v>0</v>
      </c>
      <c r="J217" s="61">
        <f t="shared" si="262"/>
        <v>0</v>
      </c>
      <c r="K217" s="61">
        <f t="shared" si="262"/>
        <v>0</v>
      </c>
      <c r="L217" s="61">
        <f>SUM(F217:K217)</f>
        <v>0</v>
      </c>
      <c r="M217" s="61">
        <f>L217/6</f>
        <v>0</v>
      </c>
      <c r="N217" s="61">
        <f t="shared" ref="N217:S219" si="263">N232+N247</f>
        <v>0</v>
      </c>
      <c r="O217" s="61">
        <f t="shared" si="263"/>
        <v>0</v>
      </c>
      <c r="P217" s="61">
        <f t="shared" si="263"/>
        <v>0</v>
      </c>
      <c r="Q217" s="61">
        <f t="shared" si="263"/>
        <v>0</v>
      </c>
      <c r="R217" s="61">
        <f t="shared" si="263"/>
        <v>0</v>
      </c>
      <c r="S217" s="61">
        <f t="shared" si="263"/>
        <v>0</v>
      </c>
      <c r="T217" s="61">
        <f>SUM(N217:S217)</f>
        <v>0</v>
      </c>
      <c r="U217" s="61">
        <f>T217+L217</f>
        <v>0</v>
      </c>
      <c r="V217" s="62">
        <f>V232+V247</f>
        <v>0</v>
      </c>
      <c r="W217" s="62">
        <f>V217-U217</f>
        <v>0</v>
      </c>
      <c r="X217" s="63">
        <f>U212-U217</f>
        <v>0</v>
      </c>
    </row>
    <row r="218" spans="1:24" s="63" customFormat="1" ht="18" hidden="1" customHeight="1">
      <c r="A218" s="610"/>
      <c r="B218" s="576"/>
      <c r="C218" s="577"/>
      <c r="D218" s="201" t="str">
        <f>серпень!D218</f>
        <v>дотація</v>
      </c>
      <c r="E218" s="60"/>
      <c r="F218" s="61">
        <f t="shared" si="262"/>
        <v>0</v>
      </c>
      <c r="G218" s="61">
        <f t="shared" si="262"/>
        <v>0</v>
      </c>
      <c r="H218" s="61">
        <f t="shared" si="262"/>
        <v>0</v>
      </c>
      <c r="I218" s="61">
        <f t="shared" si="262"/>
        <v>0</v>
      </c>
      <c r="J218" s="61">
        <f>J233+J248</f>
        <v>0</v>
      </c>
      <c r="K218" s="61">
        <f t="shared" si="262"/>
        <v>0</v>
      </c>
      <c r="L218" s="61">
        <f>SUM(F218:K218)</f>
        <v>0</v>
      </c>
      <c r="M218" s="61">
        <f>L218/6</f>
        <v>0</v>
      </c>
      <c r="N218" s="61">
        <f t="shared" si="263"/>
        <v>0</v>
      </c>
      <c r="O218" s="61">
        <f t="shared" si="263"/>
        <v>0</v>
      </c>
      <c r="P218" s="61">
        <f t="shared" si="263"/>
        <v>0</v>
      </c>
      <c r="Q218" s="61">
        <f t="shared" si="263"/>
        <v>0</v>
      </c>
      <c r="R218" s="61">
        <f t="shared" si="263"/>
        <v>0</v>
      </c>
      <c r="S218" s="61">
        <f t="shared" si="263"/>
        <v>0</v>
      </c>
      <c r="T218" s="61">
        <f>SUM(N218:S218)</f>
        <v>0</v>
      </c>
      <c r="U218" s="61">
        <f>T218+L218</f>
        <v>0</v>
      </c>
      <c r="V218" s="62">
        <f>V233+V248</f>
        <v>0</v>
      </c>
      <c r="W218" s="62">
        <f>V218-U218</f>
        <v>0</v>
      </c>
      <c r="X218" s="63">
        <f>U213-U218</f>
        <v>0</v>
      </c>
    </row>
    <row r="219" spans="1:24" s="63" customFormat="1" ht="18" hidden="1" customHeight="1">
      <c r="A219" s="610"/>
      <c r="B219" s="576"/>
      <c r="C219" s="577"/>
      <c r="D219" s="201" t="str">
        <f>серпень!D219</f>
        <v xml:space="preserve">місцевий </v>
      </c>
      <c r="E219" s="60"/>
      <c r="F219" s="61">
        <f t="shared" si="262"/>
        <v>0</v>
      </c>
      <c r="G219" s="61">
        <f t="shared" si="262"/>
        <v>0</v>
      </c>
      <c r="H219" s="61">
        <f t="shared" si="262"/>
        <v>0</v>
      </c>
      <c r="I219" s="61">
        <f t="shared" si="262"/>
        <v>0</v>
      </c>
      <c r="J219" s="61">
        <f>J234+J249</f>
        <v>0</v>
      </c>
      <c r="K219" s="61">
        <f t="shared" si="262"/>
        <v>0</v>
      </c>
      <c r="L219" s="61">
        <f>SUM(F219:K219)</f>
        <v>0</v>
      </c>
      <c r="M219" s="61">
        <f>L219/6</f>
        <v>0</v>
      </c>
      <c r="N219" s="61">
        <f t="shared" si="263"/>
        <v>0</v>
      </c>
      <c r="O219" s="61">
        <f t="shared" si="263"/>
        <v>0</v>
      </c>
      <c r="P219" s="61">
        <f t="shared" si="263"/>
        <v>0</v>
      </c>
      <c r="Q219" s="61">
        <f t="shared" si="263"/>
        <v>0</v>
      </c>
      <c r="R219" s="61">
        <f t="shared" si="263"/>
        <v>0</v>
      </c>
      <c r="S219" s="61">
        <f t="shared" si="263"/>
        <v>0</v>
      </c>
      <c r="T219" s="61">
        <f>SUM(N219:S219)</f>
        <v>0</v>
      </c>
      <c r="U219" s="61">
        <f>T219+L219</f>
        <v>0</v>
      </c>
      <c r="V219" s="62">
        <f>V234+V249</f>
        <v>0</v>
      </c>
      <c r="W219" s="62">
        <f>V219-U219</f>
        <v>0</v>
      </c>
      <c r="X219" s="63">
        <f>U214-U219</f>
        <v>0</v>
      </c>
    </row>
    <row r="220" spans="1:24" s="43" customFormat="1" ht="18" hidden="1" customHeight="1">
      <c r="A220" s="610"/>
      <c r="B220" s="576"/>
      <c r="C220" s="577"/>
      <c r="D220" s="202" t="str">
        <f>серпень!D220</f>
        <v>план</v>
      </c>
      <c r="E220" s="42"/>
      <c r="F220" s="42">
        <f t="shared" ref="F220:K220" si="264">F214</f>
        <v>0</v>
      </c>
      <c r="G220" s="42">
        <f t="shared" si="264"/>
        <v>0</v>
      </c>
      <c r="H220" s="42">
        <f t="shared" si="264"/>
        <v>0</v>
      </c>
      <c r="I220" s="42">
        <f t="shared" si="264"/>
        <v>0</v>
      </c>
      <c r="J220" s="42">
        <f t="shared" si="264"/>
        <v>0</v>
      </c>
      <c r="K220" s="42">
        <f t="shared" si="264"/>
        <v>0</v>
      </c>
      <c r="L220" s="42">
        <f>SUM(F220:K220)</f>
        <v>0</v>
      </c>
      <c r="M220" s="42">
        <f>L220/6</f>
        <v>0</v>
      </c>
      <c r="N220" s="42">
        <f t="shared" ref="N220:S220" si="265">N214+N213</f>
        <v>0</v>
      </c>
      <c r="O220" s="42">
        <f t="shared" si="265"/>
        <v>0</v>
      </c>
      <c r="P220" s="42">
        <f t="shared" si="265"/>
        <v>0</v>
      </c>
      <c r="Q220" s="42">
        <f t="shared" si="265"/>
        <v>0</v>
      </c>
      <c r="R220" s="42">
        <f t="shared" si="265"/>
        <v>0</v>
      </c>
      <c r="S220" s="42">
        <f t="shared" si="265"/>
        <v>0</v>
      </c>
      <c r="T220" s="42">
        <f>SUM(N220:S220)</f>
        <v>0</v>
      </c>
      <c r="U220" s="42">
        <f>T220+L220</f>
        <v>0</v>
      </c>
      <c r="V220" s="64">
        <f>V235+V250</f>
        <v>0</v>
      </c>
      <c r="W220" s="64">
        <f>V220-U220</f>
        <v>0</v>
      </c>
    </row>
    <row r="221" spans="1:24" s="43" customFormat="1" ht="18" hidden="1" customHeight="1">
      <c r="A221" s="610"/>
      <c r="B221" s="576"/>
      <c r="C221" s="577"/>
      <c r="D221" s="202" t="str">
        <f>серпень!D221</f>
        <v xml:space="preserve">відхилення </v>
      </c>
      <c r="E221" s="42"/>
      <c r="F221" s="42">
        <f t="shared" ref="F221:K221" si="266">F217-F220</f>
        <v>0</v>
      </c>
      <c r="G221" s="42">
        <f t="shared" si="266"/>
        <v>0</v>
      </c>
      <c r="H221" s="42">
        <f t="shared" si="266"/>
        <v>0</v>
      </c>
      <c r="I221" s="42">
        <f t="shared" si="266"/>
        <v>0</v>
      </c>
      <c r="J221" s="42">
        <f t="shared" si="266"/>
        <v>0</v>
      </c>
      <c r="K221" s="42">
        <f t="shared" si="266"/>
        <v>0</v>
      </c>
      <c r="L221" s="42"/>
      <c r="M221" s="42"/>
      <c r="N221" s="42">
        <f t="shared" ref="N221:S221" si="267">N217-N220</f>
        <v>0</v>
      </c>
      <c r="O221" s="42">
        <f t="shared" si="267"/>
        <v>0</v>
      </c>
      <c r="P221" s="42">
        <f t="shared" si="267"/>
        <v>0</v>
      </c>
      <c r="Q221" s="42">
        <f t="shared" si="267"/>
        <v>0</v>
      </c>
      <c r="R221" s="42">
        <f t="shared" si="267"/>
        <v>0</v>
      </c>
      <c r="S221" s="42">
        <f t="shared" si="267"/>
        <v>0</v>
      </c>
      <c r="T221" s="42"/>
      <c r="U221" s="42"/>
      <c r="V221" s="42"/>
      <c r="W221" s="42"/>
    </row>
    <row r="222" spans="1:24" s="43" customFormat="1" ht="18" hidden="1" customHeight="1">
      <c r="A222" s="610"/>
      <c r="B222" s="576"/>
      <c r="C222" s="577"/>
      <c r="D222" s="202" t="str">
        <f>серпень!D222</f>
        <v>відхилення з наростаючим</v>
      </c>
      <c r="E222" s="42"/>
      <c r="F222" s="42">
        <f>F221</f>
        <v>0</v>
      </c>
      <c r="G222" s="42">
        <f>G221+F222</f>
        <v>0</v>
      </c>
      <c r="H222" s="42">
        <f>H221+G222</f>
        <v>0</v>
      </c>
      <c r="I222" s="42">
        <f>I221+H222</f>
        <v>0</v>
      </c>
      <c r="J222" s="42">
        <f>J221+I222</f>
        <v>0</v>
      </c>
      <c r="K222" s="42">
        <f>K221+J222</f>
        <v>0</v>
      </c>
      <c r="L222" s="42"/>
      <c r="M222" s="42"/>
      <c r="N222" s="42">
        <f>N221+K222</f>
        <v>0</v>
      </c>
      <c r="O222" s="42">
        <f>O221+N222</f>
        <v>0</v>
      </c>
      <c r="P222" s="42">
        <f>P221+O222</f>
        <v>0</v>
      </c>
      <c r="Q222" s="42">
        <f>Q221+P222</f>
        <v>0</v>
      </c>
      <c r="R222" s="42">
        <f>R221+Q222</f>
        <v>0</v>
      </c>
      <c r="S222" s="42">
        <f>S221+R222</f>
        <v>0</v>
      </c>
      <c r="T222" s="42"/>
      <c r="U222" s="42"/>
      <c r="V222" s="42"/>
      <c r="W222" s="42"/>
    </row>
    <row r="223" spans="1:24" s="48" customFormat="1" ht="18" hidden="1" customHeight="1">
      <c r="A223" s="610"/>
      <c r="B223" s="581" t="s">
        <v>91</v>
      </c>
      <c r="C223" s="581"/>
      <c r="D223" s="178" t="str">
        <f>серпень!D223</f>
        <v>факт. нат.п-ки 2023</v>
      </c>
      <c r="E223" s="11"/>
      <c r="F223" s="12"/>
      <c r="G223" s="12"/>
      <c r="H223" s="12"/>
      <c r="I223" s="12"/>
      <c r="J223" s="12"/>
      <c r="K223" s="12"/>
      <c r="L223" s="65">
        <f>SUM(F223:K223)</f>
        <v>0</v>
      </c>
      <c r="M223" s="65">
        <f>L223/6</f>
        <v>0</v>
      </c>
      <c r="N223" s="12"/>
      <c r="O223" s="12"/>
      <c r="P223" s="12"/>
      <c r="Q223" s="12"/>
      <c r="R223" s="12"/>
      <c r="S223" s="12"/>
      <c r="T223" s="65">
        <f>SUM(N223:S223)</f>
        <v>0</v>
      </c>
      <c r="U223" s="66">
        <f>T223+L223</f>
        <v>0</v>
      </c>
      <c r="V223" s="67"/>
      <c r="W223" s="38">
        <f>V223-U223</f>
        <v>0</v>
      </c>
      <c r="X223" s="47"/>
    </row>
    <row r="224" spans="1:24" s="48" customFormat="1" ht="18" hidden="1" customHeight="1">
      <c r="A224" s="610"/>
      <c r="B224" s="581"/>
      <c r="C224" s="581"/>
      <c r="D224" s="178" t="str">
        <f>серпень!D224</f>
        <v>факт. нат.п-ки 2024</v>
      </c>
      <c r="E224" s="11"/>
      <c r="F224" s="12"/>
      <c r="G224" s="12"/>
      <c r="H224" s="12"/>
      <c r="I224" s="12"/>
      <c r="J224" s="12"/>
      <c r="K224" s="12"/>
      <c r="L224" s="65">
        <f>SUM(F224:K224)</f>
        <v>0</v>
      </c>
      <c r="M224" s="65">
        <f>L224/6</f>
        <v>0</v>
      </c>
      <c r="N224" s="11"/>
      <c r="O224" s="11"/>
      <c r="P224" s="11"/>
      <c r="Q224" s="11"/>
      <c r="R224" s="11"/>
      <c r="S224" s="11"/>
      <c r="T224" s="65">
        <f>SUM(N224:S224)</f>
        <v>0</v>
      </c>
      <c r="U224" s="66">
        <f>T224+L224</f>
        <v>0</v>
      </c>
      <c r="V224" s="67"/>
      <c r="W224" s="38">
        <f>V224-U224</f>
        <v>0</v>
      </c>
      <c r="X224" s="47"/>
    </row>
    <row r="225" spans="1:24" s="48" customFormat="1" ht="18" hidden="1" customHeight="1">
      <c r="A225" s="610"/>
      <c r="B225" s="581"/>
      <c r="C225" s="581"/>
      <c r="D225" s="178" t="str">
        <f>серпень!D225</f>
        <v>факт. нат.п-ки 2025</v>
      </c>
      <c r="E225" s="11"/>
      <c r="F225" s="12"/>
      <c r="G225" s="12"/>
      <c r="H225" s="12"/>
      <c r="I225" s="12"/>
      <c r="J225" s="12"/>
      <c r="K225" s="12"/>
      <c r="L225" s="65">
        <f>SUM(F225:K225)</f>
        <v>0</v>
      </c>
      <c r="M225" s="65">
        <f>L225/6</f>
        <v>0</v>
      </c>
      <c r="N225" s="12"/>
      <c r="O225" s="12"/>
      <c r="P225" s="12"/>
      <c r="Q225" s="12"/>
      <c r="R225" s="12"/>
      <c r="S225" s="11"/>
      <c r="T225" s="65">
        <f>SUM(N225:S225)</f>
        <v>0</v>
      </c>
      <c r="U225" s="66">
        <f>T225+L225</f>
        <v>0</v>
      </c>
      <c r="V225" s="11"/>
      <c r="W225" s="38">
        <f>V225-U225</f>
        <v>0</v>
      </c>
      <c r="X225" s="47"/>
    </row>
    <row r="226" spans="1:24" s="51" customFormat="1" ht="18" hidden="1" customHeight="1">
      <c r="A226" s="610"/>
      <c r="B226" s="581"/>
      <c r="C226" s="581"/>
      <c r="D226" s="187" t="str">
        <f>серпень!D226</f>
        <v>тариф, грн.</v>
      </c>
      <c r="E226" s="49"/>
      <c r="F226" s="49">
        <v>3501.96</v>
      </c>
      <c r="G226" s="49">
        <v>3501.96</v>
      </c>
      <c r="H226" s="49">
        <v>3501.96</v>
      </c>
      <c r="I226" s="49">
        <v>3501.96</v>
      </c>
      <c r="J226" s="49">
        <v>3501.96</v>
      </c>
      <c r="K226" s="49">
        <v>3501.96</v>
      </c>
      <c r="L226" s="49" t="e">
        <f>L227/L225*1000</f>
        <v>#DIV/0!</v>
      </c>
      <c r="M226" s="49" t="e">
        <f>M227/M225*1000</f>
        <v>#DIV/0!</v>
      </c>
      <c r="N226" s="49">
        <v>3501.96</v>
      </c>
      <c r="O226" s="49">
        <v>3501.96</v>
      </c>
      <c r="P226" s="49">
        <v>3501.96</v>
      </c>
      <c r="Q226" s="49">
        <v>3501.96</v>
      </c>
      <c r="R226" s="49">
        <v>3501.96</v>
      </c>
      <c r="S226" s="49">
        <v>3501.96</v>
      </c>
      <c r="T226" s="49" t="e">
        <f>T227/T225*1000</f>
        <v>#DIV/0!</v>
      </c>
      <c r="U226" s="49" t="e">
        <f>U227/U225*1000</f>
        <v>#DIV/0!</v>
      </c>
      <c r="V226" s="68" t="e">
        <f>V227/V225*1000</f>
        <v>#DIV/0!</v>
      </c>
      <c r="W226" s="14" t="e">
        <f>W227/W225*1000</f>
        <v>#DIV/0!</v>
      </c>
      <c r="X226" s="59"/>
    </row>
    <row r="227" spans="1:24" s="55" customFormat="1" ht="18" hidden="1" customHeight="1">
      <c r="A227" s="610"/>
      <c r="B227" s="581"/>
      <c r="C227" s="581"/>
      <c r="D227" s="191" t="str">
        <f>серпень!D227</f>
        <v>сума, тис.грн.</v>
      </c>
      <c r="E227" s="52"/>
      <c r="F227" s="52">
        <f t="shared" ref="F227:K227" si="268">F225*F226/1000</f>
        <v>0</v>
      </c>
      <c r="G227" s="52">
        <f t="shared" si="268"/>
        <v>0</v>
      </c>
      <c r="H227" s="52">
        <f t="shared" si="268"/>
        <v>0</v>
      </c>
      <c r="I227" s="52">
        <f t="shared" si="268"/>
        <v>0</v>
      </c>
      <c r="J227" s="52">
        <f t="shared" si="268"/>
        <v>0</v>
      </c>
      <c r="K227" s="52">
        <f t="shared" si="268"/>
        <v>0</v>
      </c>
      <c r="L227" s="69">
        <f>SUM(F227:K227)</f>
        <v>0</v>
      </c>
      <c r="M227" s="69">
        <f>L227/6</f>
        <v>0</v>
      </c>
      <c r="N227" s="52">
        <f t="shared" ref="N227:S227" si="269">N225*N226/1000</f>
        <v>0</v>
      </c>
      <c r="O227" s="52">
        <f t="shared" si="269"/>
        <v>0</v>
      </c>
      <c r="P227" s="52">
        <f t="shared" si="269"/>
        <v>0</v>
      </c>
      <c r="Q227" s="52">
        <f t="shared" si="269"/>
        <v>0</v>
      </c>
      <c r="R227" s="52">
        <f t="shared" si="269"/>
        <v>0</v>
      </c>
      <c r="S227" s="52">
        <f t="shared" si="269"/>
        <v>0</v>
      </c>
      <c r="T227" s="69">
        <f>SUM(N227:S227)</f>
        <v>0</v>
      </c>
      <c r="U227" s="69">
        <f>T227+L227</f>
        <v>0</v>
      </c>
      <c r="V227" s="70">
        <f>V228+V229</f>
        <v>0</v>
      </c>
      <c r="W227" s="53">
        <f>V227-U227</f>
        <v>0</v>
      </c>
      <c r="X227" s="54">
        <f>2726951.723/1000</f>
        <v>2726.9520000000002</v>
      </c>
    </row>
    <row r="228" spans="1:24" s="55" customFormat="1" ht="18" hidden="1" customHeight="1">
      <c r="A228" s="610"/>
      <c r="B228" s="581"/>
      <c r="C228" s="581"/>
      <c r="D228" s="174" t="str">
        <f>серпень!D228</f>
        <v>дотація</v>
      </c>
      <c r="E228" s="56"/>
      <c r="F228" s="52"/>
      <c r="G228" s="52"/>
      <c r="H228" s="52"/>
      <c r="I228" s="52"/>
      <c r="J228" s="52"/>
      <c r="K228" s="52"/>
      <c r="L228" s="69">
        <f>SUM(F228:K228)</f>
        <v>0</v>
      </c>
      <c r="M228" s="69">
        <f>L228/6</f>
        <v>0</v>
      </c>
      <c r="N228" s="52"/>
      <c r="O228" s="52"/>
      <c r="P228" s="52"/>
      <c r="Q228" s="52"/>
      <c r="R228" s="52"/>
      <c r="S228" s="52"/>
      <c r="T228" s="69">
        <f>SUM(N228:S228)</f>
        <v>0</v>
      </c>
      <c r="U228" s="69">
        <f>T228+L228</f>
        <v>0</v>
      </c>
      <c r="V228" s="70">
        <v>0</v>
      </c>
      <c r="W228" s="53">
        <f>V228-U228</f>
        <v>0</v>
      </c>
      <c r="X228" s="58"/>
    </row>
    <row r="229" spans="1:24" s="55" customFormat="1" ht="18" hidden="1" customHeight="1">
      <c r="A229" s="610"/>
      <c r="B229" s="581"/>
      <c r="C229" s="581"/>
      <c r="D229" s="174" t="str">
        <f>серпень!D229</f>
        <v>місцевий (план), тис.грн</v>
      </c>
      <c r="E229" s="56"/>
      <c r="F229" s="52"/>
      <c r="G229" s="52"/>
      <c r="H229" s="52"/>
      <c r="I229" s="52"/>
      <c r="J229" s="52"/>
      <c r="K229" s="52"/>
      <c r="L229" s="69">
        <f>SUM(F229:K229)</f>
        <v>0</v>
      </c>
      <c r="M229" s="69">
        <f>L229/6</f>
        <v>0</v>
      </c>
      <c r="N229" s="52"/>
      <c r="O229" s="52"/>
      <c r="P229" s="52"/>
      <c r="Q229" s="52"/>
      <c r="R229" s="52"/>
      <c r="S229" s="52"/>
      <c r="T229" s="69">
        <f>SUM(N229:S229)</f>
        <v>0</v>
      </c>
      <c r="U229" s="69">
        <f>T229+L229</f>
        <v>0</v>
      </c>
      <c r="V229" s="70"/>
      <c r="W229" s="53">
        <f>V229-U229</f>
        <v>0</v>
      </c>
      <c r="X229" s="58"/>
    </row>
    <row r="230" spans="1:24" s="48" customFormat="1" ht="18" hidden="1" customHeight="1">
      <c r="A230" s="610"/>
      <c r="B230" s="581"/>
      <c r="C230" s="581"/>
      <c r="D230" s="178" t="str">
        <f>серпень!D230</f>
        <v>касові нат.п-ки 2025</v>
      </c>
      <c r="E230" s="11"/>
      <c r="F230" s="11"/>
      <c r="G230" s="11"/>
      <c r="H230" s="11"/>
      <c r="I230" s="11"/>
      <c r="J230" s="11"/>
      <c r="K230" s="11"/>
      <c r="L230" s="65">
        <f>SUM(F230:K230)</f>
        <v>0</v>
      </c>
      <c r="M230" s="65">
        <f>L230/6</f>
        <v>0</v>
      </c>
      <c r="N230" s="11"/>
      <c r="O230" s="11"/>
      <c r="P230" s="11"/>
      <c r="Q230" s="11"/>
      <c r="R230" s="11"/>
      <c r="S230" s="11">
        <f>S225+R225</f>
        <v>0</v>
      </c>
      <c r="T230" s="65">
        <f>SUM(N230:S230)</f>
        <v>0</v>
      </c>
      <c r="U230" s="65">
        <f>T230+L230</f>
        <v>0</v>
      </c>
      <c r="V230" s="11">
        <f>V225</f>
        <v>0</v>
      </c>
      <c r="W230" s="38">
        <f>V230-U230</f>
        <v>0</v>
      </c>
      <c r="X230" s="47">
        <f>U225-U230</f>
        <v>0</v>
      </c>
    </row>
    <row r="231" spans="1:24" s="51" customFormat="1" ht="18" hidden="1" customHeight="1">
      <c r="A231" s="610"/>
      <c r="B231" s="581"/>
      <c r="C231" s="581"/>
      <c r="D231" s="187" t="str">
        <f>серпень!D231</f>
        <v>тариф, грн.</v>
      </c>
      <c r="E231" s="49" t="e">
        <f>E232/E230*1000</f>
        <v>#DIV/0!</v>
      </c>
      <c r="F231" s="49">
        <v>3501.96</v>
      </c>
      <c r="G231" s="49">
        <v>3501.96</v>
      </c>
      <c r="H231" s="49">
        <v>3501.96</v>
      </c>
      <c r="I231" s="49">
        <v>3501.96</v>
      </c>
      <c r="J231" s="49">
        <v>3501.96</v>
      </c>
      <c r="K231" s="49">
        <v>3501.96</v>
      </c>
      <c r="L231" s="49" t="e">
        <f>L232/L230*1000</f>
        <v>#DIV/0!</v>
      </c>
      <c r="M231" s="49" t="e">
        <f>M232/M230*1000</f>
        <v>#DIV/0!</v>
      </c>
      <c r="N231" s="49">
        <v>3501.96</v>
      </c>
      <c r="O231" s="49">
        <v>3501.96</v>
      </c>
      <c r="P231" s="49">
        <v>3501.96</v>
      </c>
      <c r="Q231" s="49">
        <v>3501.96</v>
      </c>
      <c r="R231" s="49">
        <v>3501.96</v>
      </c>
      <c r="S231" s="49">
        <v>3501.96</v>
      </c>
      <c r="T231" s="49" t="e">
        <f>T232/T230*1000</f>
        <v>#DIV/0!</v>
      </c>
      <c r="U231" s="49" t="e">
        <f>U232/U230*1000</f>
        <v>#DIV/0!</v>
      </c>
      <c r="V231" s="68" t="e">
        <f>V232/V230*1000</f>
        <v>#DIV/0!</v>
      </c>
      <c r="W231" s="14" t="e">
        <f>W232/W230*1000</f>
        <v>#DIV/0!</v>
      </c>
      <c r="X231" s="59"/>
    </row>
    <row r="232" spans="1:24" s="63" customFormat="1" ht="18" hidden="1" customHeight="1">
      <c r="A232" s="610"/>
      <c r="B232" s="581"/>
      <c r="C232" s="581"/>
      <c r="D232" s="198" t="str">
        <f>серпень!D232</f>
        <v>касові видатки, тис.грн.</v>
      </c>
      <c r="E232" s="71"/>
      <c r="F232" s="61">
        <f t="shared" ref="F232:K232" si="270">F230*F231/1000</f>
        <v>0</v>
      </c>
      <c r="G232" s="61">
        <f t="shared" si="270"/>
        <v>0</v>
      </c>
      <c r="H232" s="61">
        <f t="shared" si="270"/>
        <v>0</v>
      </c>
      <c r="I232" s="61">
        <f t="shared" si="270"/>
        <v>0</v>
      </c>
      <c r="J232" s="61">
        <f t="shared" si="270"/>
        <v>0</v>
      </c>
      <c r="K232" s="61">
        <f t="shared" si="270"/>
        <v>0</v>
      </c>
      <c r="L232" s="61">
        <f>SUM(F232:K232)</f>
        <v>0</v>
      </c>
      <c r="M232" s="61">
        <f>L232/6</f>
        <v>0</v>
      </c>
      <c r="N232" s="61">
        <f t="shared" ref="N232:S232" si="271">N230*N231/1000</f>
        <v>0</v>
      </c>
      <c r="O232" s="61">
        <f t="shared" si="271"/>
        <v>0</v>
      </c>
      <c r="P232" s="61">
        <f t="shared" si="271"/>
        <v>0</v>
      </c>
      <c r="Q232" s="61">
        <f t="shared" si="271"/>
        <v>0</v>
      </c>
      <c r="R232" s="61">
        <f t="shared" si="271"/>
        <v>0</v>
      </c>
      <c r="S232" s="61">
        <f t="shared" si="271"/>
        <v>0</v>
      </c>
      <c r="T232" s="61">
        <f>SUM(N232:S232)</f>
        <v>0</v>
      </c>
      <c r="U232" s="61">
        <f>T232+L232</f>
        <v>0</v>
      </c>
      <c r="V232" s="61">
        <f>V227</f>
        <v>0</v>
      </c>
      <c r="W232" s="72">
        <f>V232-U232</f>
        <v>0</v>
      </c>
      <c r="X232" s="63">
        <f>U227-U232</f>
        <v>0</v>
      </c>
    </row>
    <row r="233" spans="1:24" s="63" customFormat="1" ht="18" hidden="1" customHeight="1">
      <c r="A233" s="610"/>
      <c r="B233" s="581"/>
      <c r="C233" s="581"/>
      <c r="D233" s="201" t="str">
        <f>серпень!D233</f>
        <v>дотація</v>
      </c>
      <c r="E233" s="71"/>
      <c r="F233" s="61"/>
      <c r="G233" s="61"/>
      <c r="H233" s="61"/>
      <c r="I233" s="61"/>
      <c r="J233" s="61"/>
      <c r="K233" s="61"/>
      <c r="L233" s="61">
        <f>SUM(F233:K233)</f>
        <v>0</v>
      </c>
      <c r="M233" s="61">
        <f>L233/6</f>
        <v>0</v>
      </c>
      <c r="N233" s="61"/>
      <c r="O233" s="61"/>
      <c r="P233" s="61"/>
      <c r="Q233" s="61"/>
      <c r="R233" s="61"/>
      <c r="S233" s="61"/>
      <c r="T233" s="61">
        <f>SUM(N233:S233)</f>
        <v>0</v>
      </c>
      <c r="U233" s="61">
        <f>T233+L233</f>
        <v>0</v>
      </c>
      <c r="V233" s="61">
        <f>V228</f>
        <v>0</v>
      </c>
      <c r="W233" s="72">
        <f>V233-U233</f>
        <v>0</v>
      </c>
      <c r="X233" s="63">
        <f>U228-U233</f>
        <v>0</v>
      </c>
    </row>
    <row r="234" spans="1:24" s="63" customFormat="1" ht="18" hidden="1" customHeight="1">
      <c r="A234" s="610"/>
      <c r="B234" s="581"/>
      <c r="C234" s="581"/>
      <c r="D234" s="201" t="str">
        <f>серпень!D234</f>
        <v xml:space="preserve">місцевий </v>
      </c>
      <c r="E234" s="71"/>
      <c r="F234" s="61">
        <f t="shared" ref="F234:K234" si="272">F232-F233</f>
        <v>0</v>
      </c>
      <c r="G234" s="61">
        <f t="shared" si="272"/>
        <v>0</v>
      </c>
      <c r="H234" s="61">
        <f t="shared" si="272"/>
        <v>0</v>
      </c>
      <c r="I234" s="61">
        <f t="shared" si="272"/>
        <v>0</v>
      </c>
      <c r="J234" s="61">
        <f t="shared" si="272"/>
        <v>0</v>
      </c>
      <c r="K234" s="61">
        <f t="shared" si="272"/>
        <v>0</v>
      </c>
      <c r="L234" s="61">
        <f>SUM(F234:K234)</f>
        <v>0</v>
      </c>
      <c r="M234" s="61">
        <f>L234/6</f>
        <v>0</v>
      </c>
      <c r="N234" s="61">
        <f t="shared" ref="N234:S234" si="273">N232-N233</f>
        <v>0</v>
      </c>
      <c r="O234" s="61">
        <f t="shared" si="273"/>
        <v>0</v>
      </c>
      <c r="P234" s="61">
        <f t="shared" si="273"/>
        <v>0</v>
      </c>
      <c r="Q234" s="61">
        <f t="shared" si="273"/>
        <v>0</v>
      </c>
      <c r="R234" s="61">
        <f t="shared" si="273"/>
        <v>0</v>
      </c>
      <c r="S234" s="61">
        <f t="shared" si="273"/>
        <v>0</v>
      </c>
      <c r="T234" s="61">
        <f>SUM(N234:S234)</f>
        <v>0</v>
      </c>
      <c r="U234" s="61">
        <f>T234+L234</f>
        <v>0</v>
      </c>
      <c r="V234" s="61">
        <f>V229</f>
        <v>0</v>
      </c>
      <c r="W234" s="72">
        <f>V234-U234</f>
        <v>0</v>
      </c>
      <c r="X234" s="63">
        <f>U229-U234</f>
        <v>0</v>
      </c>
    </row>
    <row r="235" spans="1:24" s="43" customFormat="1" ht="18" hidden="1" customHeight="1">
      <c r="A235" s="610"/>
      <c r="B235" s="581"/>
      <c r="C235" s="581"/>
      <c r="D235" s="202" t="str">
        <f>серпень!D235</f>
        <v>план</v>
      </c>
      <c r="E235" s="42"/>
      <c r="F235" s="42">
        <f t="shared" ref="F235:K235" si="274">F229</f>
        <v>0</v>
      </c>
      <c r="G235" s="42">
        <f t="shared" si="274"/>
        <v>0</v>
      </c>
      <c r="H235" s="42">
        <f t="shared" si="274"/>
        <v>0</v>
      </c>
      <c r="I235" s="42">
        <f t="shared" si="274"/>
        <v>0</v>
      </c>
      <c r="J235" s="42">
        <f t="shared" si="274"/>
        <v>0</v>
      </c>
      <c r="K235" s="42">
        <f t="shared" si="274"/>
        <v>0</v>
      </c>
      <c r="L235" s="42">
        <f>SUM(F235:K235)</f>
        <v>0</v>
      </c>
      <c r="M235" s="42">
        <f>L235/6</f>
        <v>0</v>
      </c>
      <c r="N235" s="42">
        <f t="shared" ref="N235:S235" si="275">N229+N228</f>
        <v>0</v>
      </c>
      <c r="O235" s="42">
        <f t="shared" si="275"/>
        <v>0</v>
      </c>
      <c r="P235" s="42">
        <f t="shared" si="275"/>
        <v>0</v>
      </c>
      <c r="Q235" s="42">
        <f t="shared" si="275"/>
        <v>0</v>
      </c>
      <c r="R235" s="42">
        <f t="shared" si="275"/>
        <v>0</v>
      </c>
      <c r="S235" s="42">
        <f t="shared" si="275"/>
        <v>0</v>
      </c>
      <c r="T235" s="42">
        <f>SUM(N235:S235)</f>
        <v>0</v>
      </c>
      <c r="U235" s="42">
        <f>T235+L235</f>
        <v>0</v>
      </c>
      <c r="V235" s="42">
        <f>V232</f>
        <v>0</v>
      </c>
      <c r="W235" s="42">
        <f>V235-U235</f>
        <v>0</v>
      </c>
    </row>
    <row r="236" spans="1:24" s="43" customFormat="1" ht="18" hidden="1" customHeight="1">
      <c r="A236" s="610"/>
      <c r="B236" s="581"/>
      <c r="C236" s="581"/>
      <c r="D236" s="202" t="str">
        <f>серпень!D236</f>
        <v xml:space="preserve">відхилення </v>
      </c>
      <c r="E236" s="42"/>
      <c r="F236" s="42">
        <f t="shared" ref="F236:K236" si="276">F232-F235</f>
        <v>0</v>
      </c>
      <c r="G236" s="42">
        <f t="shared" si="276"/>
        <v>0</v>
      </c>
      <c r="H236" s="42">
        <f t="shared" si="276"/>
        <v>0</v>
      </c>
      <c r="I236" s="42">
        <f t="shared" si="276"/>
        <v>0</v>
      </c>
      <c r="J236" s="42">
        <f t="shared" si="276"/>
        <v>0</v>
      </c>
      <c r="K236" s="42">
        <f t="shared" si="276"/>
        <v>0</v>
      </c>
      <c r="L236" s="42"/>
      <c r="M236" s="42"/>
      <c r="N236" s="42">
        <f t="shared" ref="N236:S236" si="277">N232-N235</f>
        <v>0</v>
      </c>
      <c r="O236" s="42">
        <f t="shared" si="277"/>
        <v>0</v>
      </c>
      <c r="P236" s="42">
        <f t="shared" si="277"/>
        <v>0</v>
      </c>
      <c r="Q236" s="42">
        <f t="shared" si="277"/>
        <v>0</v>
      </c>
      <c r="R236" s="42">
        <f t="shared" si="277"/>
        <v>0</v>
      </c>
      <c r="S236" s="42">
        <f t="shared" si="277"/>
        <v>0</v>
      </c>
      <c r="T236" s="42"/>
      <c r="U236" s="42"/>
      <c r="V236" s="42"/>
      <c r="W236" s="42"/>
    </row>
    <row r="237" spans="1:24" s="43" customFormat="1" ht="18" hidden="1" customHeight="1">
      <c r="A237" s="610"/>
      <c r="B237" s="581"/>
      <c r="C237" s="581"/>
      <c r="D237" s="202" t="str">
        <f>серпень!D237</f>
        <v>відхилення з наростаючим</v>
      </c>
      <c r="E237" s="42"/>
      <c r="F237" s="42">
        <f>F236</f>
        <v>0</v>
      </c>
      <c r="G237" s="42">
        <f>G236+F237</f>
        <v>0</v>
      </c>
      <c r="H237" s="42">
        <f>H236+G237</f>
        <v>0</v>
      </c>
      <c r="I237" s="42">
        <f>I236+H237</f>
        <v>0</v>
      </c>
      <c r="J237" s="42">
        <f>J236+I237</f>
        <v>0</v>
      </c>
      <c r="K237" s="42">
        <f>K236+J237</f>
        <v>0</v>
      </c>
      <c r="L237" s="42"/>
      <c r="M237" s="42"/>
      <c r="N237" s="42">
        <f>N236+K237</f>
        <v>0</v>
      </c>
      <c r="O237" s="42">
        <f>O236+N237</f>
        <v>0</v>
      </c>
      <c r="P237" s="42">
        <f>P236+O237</f>
        <v>0</v>
      </c>
      <c r="Q237" s="42">
        <f>Q236+P237</f>
        <v>0</v>
      </c>
      <c r="R237" s="42">
        <f>R236+Q237</f>
        <v>0</v>
      </c>
      <c r="S237" s="42">
        <f>S236+R237</f>
        <v>0</v>
      </c>
      <c r="T237" s="42"/>
      <c r="U237" s="42"/>
      <c r="V237" s="42"/>
      <c r="W237" s="42"/>
    </row>
    <row r="238" spans="1:24" s="48" customFormat="1" ht="18" hidden="1" customHeight="1">
      <c r="A238" s="610"/>
      <c r="B238" s="576" t="s">
        <v>56</v>
      </c>
      <c r="C238" s="577"/>
      <c r="D238" s="178" t="str">
        <f>серпень!D238</f>
        <v>факт. нат.п-ки 2023</v>
      </c>
      <c r="E238" s="11"/>
      <c r="F238" s="12"/>
      <c r="G238" s="12"/>
      <c r="H238" s="12"/>
      <c r="I238" s="12"/>
      <c r="J238" s="12"/>
      <c r="K238" s="12"/>
      <c r="L238" s="65">
        <f>SUM(F238:K238)</f>
        <v>0</v>
      </c>
      <c r="M238" s="65">
        <f>L238/6</f>
        <v>0</v>
      </c>
      <c r="N238" s="12"/>
      <c r="O238" s="12"/>
      <c r="P238" s="12"/>
      <c r="Q238" s="12"/>
      <c r="R238" s="12"/>
      <c r="S238" s="12"/>
      <c r="T238" s="65">
        <f>SUM(N238:S238)</f>
        <v>0</v>
      </c>
      <c r="U238" s="66">
        <f>T238+L238</f>
        <v>0</v>
      </c>
      <c r="V238" s="67"/>
      <c r="W238" s="38">
        <f>V238-U238</f>
        <v>0</v>
      </c>
      <c r="X238" s="47"/>
    </row>
    <row r="239" spans="1:24" s="48" customFormat="1" ht="18" hidden="1" customHeight="1">
      <c r="A239" s="610"/>
      <c r="B239" s="576"/>
      <c r="C239" s="577"/>
      <c r="D239" s="178" t="str">
        <f>серпень!D239</f>
        <v>факт. нат.п-ки 2024</v>
      </c>
      <c r="E239" s="11"/>
      <c r="F239" s="12"/>
      <c r="G239" s="12"/>
      <c r="H239" s="12"/>
      <c r="I239" s="12"/>
      <c r="J239" s="12"/>
      <c r="K239" s="12"/>
      <c r="L239" s="65">
        <f>SUM(F239:K239)</f>
        <v>0</v>
      </c>
      <c r="M239" s="65">
        <f>L239/6</f>
        <v>0</v>
      </c>
      <c r="N239" s="11"/>
      <c r="O239" s="11"/>
      <c r="P239" s="11"/>
      <c r="Q239" s="11"/>
      <c r="R239" s="11"/>
      <c r="S239" s="11"/>
      <c r="T239" s="65">
        <f>SUM(N239:S239)</f>
        <v>0</v>
      </c>
      <c r="U239" s="66">
        <f>T239+L239</f>
        <v>0</v>
      </c>
      <c r="V239" s="67"/>
      <c r="W239" s="38">
        <f>V239-U239</f>
        <v>0</v>
      </c>
      <c r="X239" s="47"/>
    </row>
    <row r="240" spans="1:24" s="48" customFormat="1" ht="18" hidden="1" customHeight="1">
      <c r="A240" s="610"/>
      <c r="B240" s="576"/>
      <c r="C240" s="577"/>
      <c r="D240" s="178" t="str">
        <f>серпень!D240</f>
        <v>факт. нат.п-ки 2025</v>
      </c>
      <c r="E240" s="11"/>
      <c r="F240" s="12"/>
      <c r="G240" s="12"/>
      <c r="H240" s="12"/>
      <c r="I240" s="12"/>
      <c r="J240" s="12"/>
      <c r="K240" s="12"/>
      <c r="L240" s="65">
        <f>SUM(F240:K240)</f>
        <v>0</v>
      </c>
      <c r="M240" s="65">
        <f>L240/6</f>
        <v>0</v>
      </c>
      <c r="N240" s="12"/>
      <c r="O240" s="12"/>
      <c r="P240" s="12"/>
      <c r="Q240" s="12"/>
      <c r="R240" s="12"/>
      <c r="S240" s="11"/>
      <c r="T240" s="65">
        <f>SUM(N240:S240)</f>
        <v>0</v>
      </c>
      <c r="U240" s="66">
        <f>T240+L240</f>
        <v>0</v>
      </c>
      <c r="V240" s="11"/>
      <c r="W240" s="38">
        <f>V240-U240</f>
        <v>0</v>
      </c>
      <c r="X240" s="47"/>
    </row>
    <row r="241" spans="1:24" s="51" customFormat="1" ht="18" hidden="1" customHeight="1">
      <c r="A241" s="610"/>
      <c r="B241" s="576"/>
      <c r="C241" s="577"/>
      <c r="D241" s="187" t="str">
        <f>серпень!D241</f>
        <v>тариф, грн.</v>
      </c>
      <c r="E241" s="49"/>
      <c r="F241" s="49">
        <v>1655.08</v>
      </c>
      <c r="G241" s="49">
        <v>1655.08</v>
      </c>
      <c r="H241" s="49">
        <v>1655.08</v>
      </c>
      <c r="I241" s="49">
        <v>1655.08</v>
      </c>
      <c r="J241" s="49">
        <v>1655.08</v>
      </c>
      <c r="K241" s="49">
        <v>1655.08</v>
      </c>
      <c r="L241" s="49" t="e">
        <f>L242/L240*1000</f>
        <v>#DIV/0!</v>
      </c>
      <c r="M241" s="49" t="e">
        <f>M242/M240*1000</f>
        <v>#DIV/0!</v>
      </c>
      <c r="N241" s="49">
        <v>1655.08</v>
      </c>
      <c r="O241" s="49">
        <v>1655.08</v>
      </c>
      <c r="P241" s="49">
        <v>1655.08</v>
      </c>
      <c r="Q241" s="49">
        <v>1655.08</v>
      </c>
      <c r="R241" s="49">
        <v>1655.08</v>
      </c>
      <c r="S241" s="49">
        <v>1655.08</v>
      </c>
      <c r="T241" s="49" t="e">
        <f>T242/T240*1000</f>
        <v>#DIV/0!</v>
      </c>
      <c r="U241" s="49" t="e">
        <f>U242/U240*1000</f>
        <v>#DIV/0!</v>
      </c>
      <c r="V241" s="68" t="e">
        <f>V242/V240*1000</f>
        <v>#DIV/0!</v>
      </c>
      <c r="W241" s="14" t="e">
        <f>W242/W240*1000</f>
        <v>#DIV/0!</v>
      </c>
      <c r="X241" s="59"/>
    </row>
    <row r="242" spans="1:24" s="55" customFormat="1" ht="18" hidden="1" customHeight="1">
      <c r="A242" s="610"/>
      <c r="B242" s="576"/>
      <c r="C242" s="577"/>
      <c r="D242" s="191" t="str">
        <f>серпень!D242</f>
        <v>сума, тис.грн.</v>
      </c>
      <c r="E242" s="52"/>
      <c r="F242" s="52">
        <f t="shared" ref="F242:K242" si="278">F240*F241/1000</f>
        <v>0</v>
      </c>
      <c r="G242" s="52">
        <f t="shared" si="278"/>
        <v>0</v>
      </c>
      <c r="H242" s="52">
        <f t="shared" si="278"/>
        <v>0</v>
      </c>
      <c r="I242" s="52">
        <f t="shared" si="278"/>
        <v>0</v>
      </c>
      <c r="J242" s="52">
        <f t="shared" si="278"/>
        <v>0</v>
      </c>
      <c r="K242" s="52">
        <f t="shared" si="278"/>
        <v>0</v>
      </c>
      <c r="L242" s="69">
        <f>SUM(F242:K242)</f>
        <v>0</v>
      </c>
      <c r="M242" s="69">
        <f>L242/6</f>
        <v>0</v>
      </c>
      <c r="N242" s="52">
        <f t="shared" ref="N242:S242" si="279">N240*N241/1000</f>
        <v>0</v>
      </c>
      <c r="O242" s="52">
        <f t="shared" si="279"/>
        <v>0</v>
      </c>
      <c r="P242" s="52">
        <f t="shared" si="279"/>
        <v>0</v>
      </c>
      <c r="Q242" s="52">
        <f t="shared" si="279"/>
        <v>0</v>
      </c>
      <c r="R242" s="52">
        <f t="shared" si="279"/>
        <v>0</v>
      </c>
      <c r="S242" s="52">
        <f t="shared" si="279"/>
        <v>0</v>
      </c>
      <c r="T242" s="69">
        <f>SUM(N242:S242)</f>
        <v>0</v>
      </c>
      <c r="U242" s="69">
        <f>T242+L242</f>
        <v>0</v>
      </c>
      <c r="V242" s="70">
        <f>V243+V244</f>
        <v>0</v>
      </c>
      <c r="W242" s="53">
        <f>V242-U242</f>
        <v>0</v>
      </c>
      <c r="X242" s="54">
        <f>2726951.723/1000</f>
        <v>2726.9520000000002</v>
      </c>
    </row>
    <row r="243" spans="1:24" s="55" customFormat="1" ht="18" hidden="1" customHeight="1">
      <c r="A243" s="610"/>
      <c r="B243" s="576"/>
      <c r="C243" s="577"/>
      <c r="D243" s="174" t="str">
        <f>серпень!D243</f>
        <v>дотація</v>
      </c>
      <c r="E243" s="56"/>
      <c r="F243" s="52"/>
      <c r="G243" s="52"/>
      <c r="H243" s="52"/>
      <c r="I243" s="52"/>
      <c r="J243" s="52"/>
      <c r="K243" s="52"/>
      <c r="L243" s="69">
        <f>SUM(F243:K243)</f>
        <v>0</v>
      </c>
      <c r="M243" s="69">
        <f>L243/6</f>
        <v>0</v>
      </c>
      <c r="N243" s="52"/>
      <c r="O243" s="52"/>
      <c r="P243" s="52"/>
      <c r="Q243" s="52"/>
      <c r="R243" s="52"/>
      <c r="S243" s="52"/>
      <c r="T243" s="69">
        <f>SUM(N243:S243)</f>
        <v>0</v>
      </c>
      <c r="U243" s="69">
        <f>T243+L243</f>
        <v>0</v>
      </c>
      <c r="V243" s="70">
        <v>0</v>
      </c>
      <c r="W243" s="53">
        <f>V243-U243</f>
        <v>0</v>
      </c>
      <c r="X243" s="58"/>
    </row>
    <row r="244" spans="1:24" s="55" customFormat="1" ht="18" hidden="1" customHeight="1">
      <c r="A244" s="610"/>
      <c r="B244" s="576"/>
      <c r="C244" s="577"/>
      <c r="D244" s="174" t="str">
        <f>серпень!D244</f>
        <v>місцевий (план), тис.грн</v>
      </c>
      <c r="E244" s="56"/>
      <c r="F244" s="52"/>
      <c r="G244" s="52"/>
      <c r="H244" s="52"/>
      <c r="I244" s="52"/>
      <c r="J244" s="52"/>
      <c r="K244" s="52"/>
      <c r="L244" s="69">
        <f>SUM(F244:K244)</f>
        <v>0</v>
      </c>
      <c r="M244" s="69">
        <f>L244/6</f>
        <v>0</v>
      </c>
      <c r="N244" s="52"/>
      <c r="O244" s="52"/>
      <c r="P244" s="52"/>
      <c r="Q244" s="52"/>
      <c r="R244" s="52"/>
      <c r="S244" s="52"/>
      <c r="T244" s="69">
        <f>SUM(N244:S244)</f>
        <v>0</v>
      </c>
      <c r="U244" s="69">
        <f>T244+L244</f>
        <v>0</v>
      </c>
      <c r="V244" s="70"/>
      <c r="W244" s="53">
        <f>V244-U244</f>
        <v>0</v>
      </c>
      <c r="X244" s="58"/>
    </row>
    <row r="245" spans="1:24" s="48" customFormat="1" ht="18" hidden="1" customHeight="1">
      <c r="A245" s="610"/>
      <c r="B245" s="576"/>
      <c r="C245" s="577"/>
      <c r="D245" s="178" t="str">
        <f>серпень!D245</f>
        <v>касові нат.п-ки 2025</v>
      </c>
      <c r="E245" s="11"/>
      <c r="F245" s="11"/>
      <c r="G245" s="11"/>
      <c r="H245" s="11"/>
      <c r="I245" s="11"/>
      <c r="J245" s="11"/>
      <c r="K245" s="11"/>
      <c r="L245" s="65">
        <f>SUM(F245:K245)</f>
        <v>0</v>
      </c>
      <c r="M245" s="65">
        <f>L245/6</f>
        <v>0</v>
      </c>
      <c r="N245" s="11"/>
      <c r="O245" s="11"/>
      <c r="P245" s="11"/>
      <c r="Q245" s="11"/>
      <c r="R245" s="11"/>
      <c r="S245" s="11">
        <f>S240+R240</f>
        <v>0</v>
      </c>
      <c r="T245" s="65">
        <f>SUM(N245:S245)</f>
        <v>0</v>
      </c>
      <c r="U245" s="65">
        <f>T245+L245</f>
        <v>0</v>
      </c>
      <c r="V245" s="11">
        <f>V240</f>
        <v>0</v>
      </c>
      <c r="W245" s="38">
        <f>V245-U245</f>
        <v>0</v>
      </c>
      <c r="X245" s="47">
        <f>U240-U245</f>
        <v>0</v>
      </c>
    </row>
    <row r="246" spans="1:24" s="51" customFormat="1" ht="18" hidden="1" customHeight="1">
      <c r="A246" s="610"/>
      <c r="B246" s="576"/>
      <c r="C246" s="577"/>
      <c r="D246" s="187" t="str">
        <f>серпень!D246</f>
        <v>тариф, грн.</v>
      </c>
      <c r="E246" s="49" t="e">
        <f>E247/E245*1000</f>
        <v>#DIV/0!</v>
      </c>
      <c r="F246" s="49">
        <v>1655.08</v>
      </c>
      <c r="G246" s="49">
        <v>1655.08</v>
      </c>
      <c r="H246" s="49">
        <v>1655.08</v>
      </c>
      <c r="I246" s="49">
        <v>1655.08</v>
      </c>
      <c r="J246" s="49">
        <v>1655.08</v>
      </c>
      <c r="K246" s="49">
        <v>1655.08</v>
      </c>
      <c r="L246" s="49" t="e">
        <f>L247/L245*1000</f>
        <v>#DIV/0!</v>
      </c>
      <c r="M246" s="49" t="e">
        <f>M247/M245*1000</f>
        <v>#DIV/0!</v>
      </c>
      <c r="N246" s="49">
        <v>1655.08</v>
      </c>
      <c r="O246" s="49">
        <v>1655.08</v>
      </c>
      <c r="P246" s="49">
        <v>1655.08</v>
      </c>
      <c r="Q246" s="49">
        <v>1655.08</v>
      </c>
      <c r="R246" s="49">
        <v>1655.08</v>
      </c>
      <c r="S246" s="49">
        <v>1655.08</v>
      </c>
      <c r="T246" s="49" t="e">
        <f>T247/T245*1000</f>
        <v>#DIV/0!</v>
      </c>
      <c r="U246" s="49" t="e">
        <f>U247/U245*1000</f>
        <v>#DIV/0!</v>
      </c>
      <c r="V246" s="68" t="e">
        <f>V247/V245*1000</f>
        <v>#DIV/0!</v>
      </c>
      <c r="W246" s="14" t="e">
        <f>W247/W245*1000</f>
        <v>#DIV/0!</v>
      </c>
      <c r="X246" s="59"/>
    </row>
    <row r="247" spans="1:24" s="63" customFormat="1" ht="18" hidden="1" customHeight="1">
      <c r="A247" s="610"/>
      <c r="B247" s="576"/>
      <c r="C247" s="577"/>
      <c r="D247" s="198" t="str">
        <f>серпень!D247</f>
        <v>касові видатки, тис.грн.</v>
      </c>
      <c r="E247" s="71"/>
      <c r="F247" s="61">
        <f t="shared" ref="F247:K247" si="280">F245*F246/1000</f>
        <v>0</v>
      </c>
      <c r="G247" s="61">
        <f t="shared" si="280"/>
        <v>0</v>
      </c>
      <c r="H247" s="61">
        <f t="shared" si="280"/>
        <v>0</v>
      </c>
      <c r="I247" s="61">
        <f t="shared" si="280"/>
        <v>0</v>
      </c>
      <c r="J247" s="61">
        <f t="shared" si="280"/>
        <v>0</v>
      </c>
      <c r="K247" s="61">
        <f t="shared" si="280"/>
        <v>0</v>
      </c>
      <c r="L247" s="61">
        <f>SUM(F247:K247)</f>
        <v>0</v>
      </c>
      <c r="M247" s="61">
        <f>L247/6</f>
        <v>0</v>
      </c>
      <c r="N247" s="61">
        <f t="shared" ref="N247:S247" si="281">N245*N246/1000</f>
        <v>0</v>
      </c>
      <c r="O247" s="61">
        <f t="shared" si="281"/>
        <v>0</v>
      </c>
      <c r="P247" s="61">
        <f t="shared" si="281"/>
        <v>0</v>
      </c>
      <c r="Q247" s="61">
        <f t="shared" si="281"/>
        <v>0</v>
      </c>
      <c r="R247" s="61">
        <f t="shared" si="281"/>
        <v>0</v>
      </c>
      <c r="S247" s="61">
        <f t="shared" si="281"/>
        <v>0</v>
      </c>
      <c r="T247" s="61">
        <f>SUM(N247:S247)</f>
        <v>0</v>
      </c>
      <c r="U247" s="61">
        <f>T247+L247</f>
        <v>0</v>
      </c>
      <c r="V247" s="61">
        <f>V242</f>
        <v>0</v>
      </c>
      <c r="W247" s="72">
        <f>V247-U247</f>
        <v>0</v>
      </c>
      <c r="X247" s="63">
        <f>U242-U247</f>
        <v>0</v>
      </c>
    </row>
    <row r="248" spans="1:24" s="63" customFormat="1" ht="18" hidden="1" customHeight="1">
      <c r="A248" s="610"/>
      <c r="B248" s="576"/>
      <c r="C248" s="577"/>
      <c r="D248" s="201" t="str">
        <f>серпень!D248</f>
        <v>дотація</v>
      </c>
      <c r="E248" s="71"/>
      <c r="F248" s="61"/>
      <c r="G248" s="61"/>
      <c r="H248" s="61"/>
      <c r="I248" s="61"/>
      <c r="J248" s="61"/>
      <c r="K248" s="61"/>
      <c r="L248" s="61">
        <f>SUM(F248:K248)</f>
        <v>0</v>
      </c>
      <c r="M248" s="61">
        <f>L248/6</f>
        <v>0</v>
      </c>
      <c r="N248" s="61"/>
      <c r="O248" s="61"/>
      <c r="P248" s="61"/>
      <c r="Q248" s="61"/>
      <c r="R248" s="61"/>
      <c r="S248" s="61"/>
      <c r="T248" s="61">
        <f>SUM(N248:S248)</f>
        <v>0</v>
      </c>
      <c r="U248" s="61">
        <f>T248+L248</f>
        <v>0</v>
      </c>
      <c r="V248" s="61">
        <f>V243</f>
        <v>0</v>
      </c>
      <c r="W248" s="72">
        <f>V248-U248</f>
        <v>0</v>
      </c>
      <c r="X248" s="63">
        <f>U243-U248</f>
        <v>0</v>
      </c>
    </row>
    <row r="249" spans="1:24" s="63" customFormat="1" ht="18" hidden="1" customHeight="1">
      <c r="A249" s="610"/>
      <c r="B249" s="576"/>
      <c r="C249" s="577"/>
      <c r="D249" s="201" t="str">
        <f>серпень!D249</f>
        <v xml:space="preserve">місцевий </v>
      </c>
      <c r="E249" s="71"/>
      <c r="F249" s="61">
        <f t="shared" ref="F249:K249" si="282">F247-F248</f>
        <v>0</v>
      </c>
      <c r="G249" s="61">
        <f t="shared" si="282"/>
        <v>0</v>
      </c>
      <c r="H249" s="61">
        <f t="shared" si="282"/>
        <v>0</v>
      </c>
      <c r="I249" s="61">
        <f t="shared" si="282"/>
        <v>0</v>
      </c>
      <c r="J249" s="61">
        <f t="shared" si="282"/>
        <v>0</v>
      </c>
      <c r="K249" s="61">
        <f t="shared" si="282"/>
        <v>0</v>
      </c>
      <c r="L249" s="61">
        <f>SUM(F249:K249)</f>
        <v>0</v>
      </c>
      <c r="M249" s="61">
        <f>L249/6</f>
        <v>0</v>
      </c>
      <c r="N249" s="61">
        <f t="shared" ref="N249:S249" si="283">N247-N248</f>
        <v>0</v>
      </c>
      <c r="O249" s="61">
        <f t="shared" si="283"/>
        <v>0</v>
      </c>
      <c r="P249" s="61">
        <f t="shared" si="283"/>
        <v>0</v>
      </c>
      <c r="Q249" s="61">
        <f t="shared" si="283"/>
        <v>0</v>
      </c>
      <c r="R249" s="61">
        <f t="shared" si="283"/>
        <v>0</v>
      </c>
      <c r="S249" s="61">
        <f t="shared" si="283"/>
        <v>0</v>
      </c>
      <c r="T249" s="61">
        <f>SUM(N249:S249)</f>
        <v>0</v>
      </c>
      <c r="U249" s="61">
        <f>T249+L249</f>
        <v>0</v>
      </c>
      <c r="V249" s="61">
        <f>V244</f>
        <v>0</v>
      </c>
      <c r="W249" s="72">
        <f>V249-U249</f>
        <v>0</v>
      </c>
      <c r="X249" s="63">
        <f>U244-U249</f>
        <v>0</v>
      </c>
    </row>
    <row r="250" spans="1:24" s="43" customFormat="1" ht="18" hidden="1" customHeight="1">
      <c r="A250" s="610"/>
      <c r="B250" s="576"/>
      <c r="C250" s="577"/>
      <c r="D250" s="202" t="str">
        <f>серпень!D250</f>
        <v>план</v>
      </c>
      <c r="E250" s="42"/>
      <c r="F250" s="42">
        <f t="shared" ref="F250:K250" si="284">F244</f>
        <v>0</v>
      </c>
      <c r="G250" s="42">
        <f t="shared" si="284"/>
        <v>0</v>
      </c>
      <c r="H250" s="42">
        <f t="shared" si="284"/>
        <v>0</v>
      </c>
      <c r="I250" s="42">
        <f t="shared" si="284"/>
        <v>0</v>
      </c>
      <c r="J250" s="42">
        <f t="shared" si="284"/>
        <v>0</v>
      </c>
      <c r="K250" s="42">
        <f t="shared" si="284"/>
        <v>0</v>
      </c>
      <c r="L250" s="42">
        <f>SUM(F250:K250)</f>
        <v>0</v>
      </c>
      <c r="M250" s="42">
        <f>L250/6</f>
        <v>0</v>
      </c>
      <c r="N250" s="42">
        <f t="shared" ref="N250:S250" si="285">N244+N243</f>
        <v>0</v>
      </c>
      <c r="O250" s="42">
        <f t="shared" si="285"/>
        <v>0</v>
      </c>
      <c r="P250" s="42">
        <f t="shared" si="285"/>
        <v>0</v>
      </c>
      <c r="Q250" s="42">
        <f t="shared" si="285"/>
        <v>0</v>
      </c>
      <c r="R250" s="42">
        <f t="shared" si="285"/>
        <v>0</v>
      </c>
      <c r="S250" s="42">
        <f t="shared" si="285"/>
        <v>0</v>
      </c>
      <c r="T250" s="42">
        <f>SUM(N250:S250)</f>
        <v>0</v>
      </c>
      <c r="U250" s="42">
        <f>T250+L250</f>
        <v>0</v>
      </c>
      <c r="V250" s="42">
        <f>V247</f>
        <v>0</v>
      </c>
      <c r="W250" s="42">
        <f>V250-U250</f>
        <v>0</v>
      </c>
    </row>
    <row r="251" spans="1:24" s="43" customFormat="1" ht="18" hidden="1" customHeight="1">
      <c r="A251" s="610"/>
      <c r="B251" s="576"/>
      <c r="C251" s="577"/>
      <c r="D251" s="202" t="str">
        <f>серпень!D251</f>
        <v xml:space="preserve">відхилення </v>
      </c>
      <c r="E251" s="42"/>
      <c r="F251" s="42">
        <f t="shared" ref="F251:K251" si="286">F247-F250</f>
        <v>0</v>
      </c>
      <c r="G251" s="42">
        <f t="shared" si="286"/>
        <v>0</v>
      </c>
      <c r="H251" s="42">
        <f t="shared" si="286"/>
        <v>0</v>
      </c>
      <c r="I251" s="42">
        <f t="shared" si="286"/>
        <v>0</v>
      </c>
      <c r="J251" s="42">
        <f t="shared" si="286"/>
        <v>0</v>
      </c>
      <c r="K251" s="42">
        <f t="shared" si="286"/>
        <v>0</v>
      </c>
      <c r="L251" s="42"/>
      <c r="M251" s="42"/>
      <c r="N251" s="42">
        <f t="shared" ref="N251:S251" si="287">N247-N250</f>
        <v>0</v>
      </c>
      <c r="O251" s="42">
        <f t="shared" si="287"/>
        <v>0</v>
      </c>
      <c r="P251" s="42">
        <f t="shared" si="287"/>
        <v>0</v>
      </c>
      <c r="Q251" s="42">
        <f t="shared" si="287"/>
        <v>0</v>
      </c>
      <c r="R251" s="42">
        <f t="shared" si="287"/>
        <v>0</v>
      </c>
      <c r="S251" s="42">
        <f t="shared" si="287"/>
        <v>0</v>
      </c>
      <c r="T251" s="42"/>
      <c r="U251" s="42"/>
      <c r="V251" s="42"/>
      <c r="W251" s="42"/>
    </row>
    <row r="252" spans="1:24" s="43" customFormat="1" ht="18" hidden="1" customHeight="1">
      <c r="A252" s="611"/>
      <c r="B252" s="578"/>
      <c r="C252" s="579"/>
      <c r="D252" s="202" t="str">
        <f>серпень!D252</f>
        <v>відхилення з наростаючим</v>
      </c>
      <c r="E252" s="42"/>
      <c r="F252" s="42">
        <f>F251</f>
        <v>0</v>
      </c>
      <c r="G252" s="42">
        <f>G251+F252</f>
        <v>0</v>
      </c>
      <c r="H252" s="42">
        <f>H251+G252</f>
        <v>0</v>
      </c>
      <c r="I252" s="42">
        <f>I251+H252</f>
        <v>0</v>
      </c>
      <c r="J252" s="42">
        <f>J251+I252</f>
        <v>0</v>
      </c>
      <c r="K252" s="42">
        <f>K251+J252</f>
        <v>0</v>
      </c>
      <c r="L252" s="42"/>
      <c r="M252" s="42"/>
      <c r="N252" s="42">
        <f>N251+K252</f>
        <v>0</v>
      </c>
      <c r="O252" s="42">
        <f>O251+N252</f>
        <v>0</v>
      </c>
      <c r="P252" s="42">
        <f>P251+O252</f>
        <v>0</v>
      </c>
      <c r="Q252" s="42">
        <f>Q251+P252</f>
        <v>0</v>
      </c>
      <c r="R252" s="42">
        <f>R251+Q252</f>
        <v>0</v>
      </c>
      <c r="S252" s="42">
        <f>S251+R252</f>
        <v>0</v>
      </c>
      <c r="T252" s="42"/>
      <c r="U252" s="42"/>
      <c r="V252" s="42"/>
      <c r="W252" s="42"/>
    </row>
    <row r="253" spans="1:24" s="48" customFormat="1" ht="18" hidden="1" customHeight="1">
      <c r="A253" s="609" t="s">
        <v>58</v>
      </c>
      <c r="B253" s="659" t="s">
        <v>62</v>
      </c>
      <c r="C253" s="660"/>
      <c r="D253" s="178" t="str">
        <f>серпень!D253</f>
        <v>факт. нат.п-ки 2023</v>
      </c>
      <c r="E253" s="11"/>
      <c r="F253" s="12">
        <f t="shared" ref="F253:K255" si="288">F270+F300</f>
        <v>0</v>
      </c>
      <c r="G253" s="12">
        <f t="shared" si="288"/>
        <v>57</v>
      </c>
      <c r="H253" s="12">
        <f t="shared" si="288"/>
        <v>138.30000000000001</v>
      </c>
      <c r="I253" s="12">
        <f t="shared" si="288"/>
        <v>0</v>
      </c>
      <c r="J253" s="12">
        <f t="shared" si="288"/>
        <v>0</v>
      </c>
      <c r="K253" s="12">
        <f t="shared" si="288"/>
        <v>0</v>
      </c>
      <c r="L253" s="44">
        <f>SUM(F253:K253)</f>
        <v>195.3</v>
      </c>
      <c r="M253" s="44">
        <f>L253/6</f>
        <v>32.6</v>
      </c>
      <c r="N253" s="12">
        <f t="shared" ref="N253:S255" si="289">N270+N300</f>
        <v>41.4</v>
      </c>
      <c r="O253" s="12">
        <f t="shared" si="289"/>
        <v>0</v>
      </c>
      <c r="P253" s="12">
        <f t="shared" si="289"/>
        <v>269.2</v>
      </c>
      <c r="Q253" s="12">
        <f t="shared" si="289"/>
        <v>328</v>
      </c>
      <c r="R253" s="12">
        <f t="shared" si="289"/>
        <v>325.39999999999998</v>
      </c>
      <c r="S253" s="12">
        <f t="shared" si="289"/>
        <v>432.8</v>
      </c>
      <c r="T253" s="44">
        <f>SUM(N253:S253)</f>
        <v>1396.8</v>
      </c>
      <c r="U253" s="45">
        <f>T253+L253</f>
        <v>1592.1</v>
      </c>
      <c r="V253" s="46">
        <f>V270+V300</f>
        <v>0</v>
      </c>
      <c r="W253" s="38"/>
      <c r="X253" s="47"/>
    </row>
    <row r="254" spans="1:24" s="48" customFormat="1" ht="18" hidden="1" customHeight="1">
      <c r="A254" s="610"/>
      <c r="B254" s="661"/>
      <c r="C254" s="662"/>
      <c r="D254" s="178" t="str">
        <f>серпень!D254</f>
        <v>факт. нат.п-ки 2024</v>
      </c>
      <c r="E254" s="11"/>
      <c r="F254" s="12">
        <f t="shared" si="288"/>
        <v>0</v>
      </c>
      <c r="G254" s="12">
        <f t="shared" si="288"/>
        <v>170</v>
      </c>
      <c r="H254" s="12">
        <f t="shared" si="288"/>
        <v>36.5</v>
      </c>
      <c r="I254" s="12">
        <f t="shared" si="288"/>
        <v>149.80000000000001</v>
      </c>
      <c r="J254" s="12">
        <f t="shared" si="288"/>
        <v>169.4</v>
      </c>
      <c r="K254" s="12">
        <f t="shared" si="288"/>
        <v>0</v>
      </c>
      <c r="L254" s="44">
        <f>SUM(F254:K254)</f>
        <v>525.70000000000005</v>
      </c>
      <c r="M254" s="44">
        <f>L254/6</f>
        <v>87.6</v>
      </c>
      <c r="N254" s="11">
        <f t="shared" si="289"/>
        <v>0</v>
      </c>
      <c r="O254" s="11">
        <f t="shared" si="289"/>
        <v>0</v>
      </c>
      <c r="P254" s="11">
        <f t="shared" si="289"/>
        <v>0</v>
      </c>
      <c r="Q254" s="11">
        <f t="shared" si="289"/>
        <v>0</v>
      </c>
      <c r="R254" s="11">
        <f t="shared" si="289"/>
        <v>0</v>
      </c>
      <c r="S254" s="11">
        <f t="shared" si="289"/>
        <v>0</v>
      </c>
      <c r="T254" s="44">
        <f>SUM(N254:S254)</f>
        <v>0</v>
      </c>
      <c r="U254" s="45">
        <f>T254+L254</f>
        <v>525.70000000000005</v>
      </c>
      <c r="V254" s="46">
        <f>V271+V301</f>
        <v>0</v>
      </c>
      <c r="W254" s="38"/>
      <c r="X254" s="47"/>
    </row>
    <row r="255" spans="1:24" s="186" customFormat="1" ht="18" hidden="1" customHeight="1">
      <c r="A255" s="610"/>
      <c r="B255" s="661"/>
      <c r="C255" s="662"/>
      <c r="D255" s="178" t="str">
        <f>серпень!D255</f>
        <v>факт. нат.п-ки 2025</v>
      </c>
      <c r="E255" s="179"/>
      <c r="F255" s="180">
        <f>F272+F302</f>
        <v>0</v>
      </c>
      <c r="G255" s="180">
        <f t="shared" si="288"/>
        <v>0</v>
      </c>
      <c r="H255" s="180">
        <f t="shared" si="288"/>
        <v>0</v>
      </c>
      <c r="I255" s="180">
        <f t="shared" si="288"/>
        <v>0</v>
      </c>
      <c r="J255" s="180">
        <f t="shared" si="288"/>
        <v>0</v>
      </c>
      <c r="K255" s="180">
        <f t="shared" si="288"/>
        <v>0</v>
      </c>
      <c r="L255" s="207">
        <f>SUM(F255:K255)</f>
        <v>0</v>
      </c>
      <c r="M255" s="207">
        <f>L255/6</f>
        <v>0</v>
      </c>
      <c r="N255" s="180">
        <f>N272+N302</f>
        <v>0</v>
      </c>
      <c r="O255" s="180">
        <f t="shared" si="289"/>
        <v>0</v>
      </c>
      <c r="P255" s="180">
        <f t="shared" si="289"/>
        <v>0</v>
      </c>
      <c r="Q255" s="180">
        <f t="shared" si="289"/>
        <v>0</v>
      </c>
      <c r="R255" s="180">
        <f t="shared" si="289"/>
        <v>0</v>
      </c>
      <c r="S255" s="180">
        <f t="shared" si="289"/>
        <v>0</v>
      </c>
      <c r="T255" s="207">
        <f>SUM(N255:S255)</f>
        <v>0</v>
      </c>
      <c r="U255" s="222">
        <f>T255+L255</f>
        <v>0</v>
      </c>
      <c r="V255" s="183">
        <f>V272+V287+V302+V317</f>
        <v>0</v>
      </c>
      <c r="W255" s="184">
        <f>V255-U255</f>
        <v>0</v>
      </c>
      <c r="X255" s="185"/>
    </row>
    <row r="256" spans="1:24" s="190" customFormat="1" ht="18" hidden="1" customHeight="1">
      <c r="A256" s="610"/>
      <c r="B256" s="661"/>
      <c r="C256" s="662"/>
      <c r="D256" s="187" t="str">
        <f>серпень!D256</f>
        <v>тариф, грн.</v>
      </c>
      <c r="E256" s="188"/>
      <c r="F256" s="188" t="e">
        <f>F257/F255*1000</f>
        <v>#DIV/0!</v>
      </c>
      <c r="G256" s="188" t="e">
        <f>G257/G255*1000</f>
        <v>#DIV/0!</v>
      </c>
      <c r="H256" s="188" t="e">
        <f>H257/H255*1000</f>
        <v>#DIV/0!</v>
      </c>
      <c r="I256" s="188" t="e">
        <f>I257/I255*1000</f>
        <v>#DIV/0!</v>
      </c>
      <c r="J256" s="188" t="e">
        <f>J257/J255*1000</f>
        <v>#DIV/0!</v>
      </c>
      <c r="K256" s="188" t="e">
        <f t="shared" ref="K256:S256" si="290">K257/K255*1000</f>
        <v>#DIV/0!</v>
      </c>
      <c r="L256" s="188" t="e">
        <f t="shared" si="290"/>
        <v>#DIV/0!</v>
      </c>
      <c r="M256" s="188" t="e">
        <f t="shared" si="290"/>
        <v>#DIV/0!</v>
      </c>
      <c r="N256" s="188" t="e">
        <f t="shared" si="290"/>
        <v>#DIV/0!</v>
      </c>
      <c r="O256" s="188" t="e">
        <f t="shared" si="290"/>
        <v>#DIV/0!</v>
      </c>
      <c r="P256" s="188" t="e">
        <f t="shared" si="290"/>
        <v>#DIV/0!</v>
      </c>
      <c r="Q256" s="188" t="e">
        <f t="shared" si="290"/>
        <v>#DIV/0!</v>
      </c>
      <c r="R256" s="188" t="e">
        <f t="shared" si="290"/>
        <v>#DIV/0!</v>
      </c>
      <c r="S256" s="188" t="e">
        <f t="shared" si="290"/>
        <v>#DIV/0!</v>
      </c>
      <c r="T256" s="188" t="e">
        <f>T257/T255*1000</f>
        <v>#DIV/0!</v>
      </c>
      <c r="U256" s="188" t="e">
        <f>U257/U255*1000</f>
        <v>#DIV/0!</v>
      </c>
      <c r="V256" s="188" t="e">
        <f>V257/V255*1000</f>
        <v>#DIV/0!</v>
      </c>
      <c r="W256" s="189" t="e">
        <f>W257/W255*1000</f>
        <v>#DIV/0!</v>
      </c>
      <c r="X256" s="225"/>
    </row>
    <row r="257" spans="1:28" s="228" customFormat="1" ht="18" hidden="1" customHeight="1">
      <c r="A257" s="610"/>
      <c r="B257" s="661"/>
      <c r="C257" s="662"/>
      <c r="D257" s="191" t="str">
        <f>серпень!D257</f>
        <v>сума, тис.грн.</v>
      </c>
      <c r="E257" s="192"/>
      <c r="F257" s="192">
        <f>F274+F304</f>
        <v>0</v>
      </c>
      <c r="G257" s="192">
        <f t="shared" ref="G257:K257" si="291">G274+G304</f>
        <v>0</v>
      </c>
      <c r="H257" s="192">
        <f t="shared" si="291"/>
        <v>0</v>
      </c>
      <c r="I257" s="192">
        <f t="shared" si="291"/>
        <v>0</v>
      </c>
      <c r="J257" s="192">
        <f t="shared" si="291"/>
        <v>0</v>
      </c>
      <c r="K257" s="192">
        <f t="shared" si="291"/>
        <v>0</v>
      </c>
      <c r="L257" s="192">
        <f t="shared" ref="L257:L262" si="292">SUM(F257:K257)</f>
        <v>0</v>
      </c>
      <c r="M257" s="192">
        <f t="shared" ref="M257:M262" si="293">L257/6</f>
        <v>0</v>
      </c>
      <c r="N257" s="192">
        <f>N274+N304</f>
        <v>0</v>
      </c>
      <c r="O257" s="192">
        <f t="shared" ref="O257:P257" si="294">O274+O304</f>
        <v>0</v>
      </c>
      <c r="P257" s="192">
        <f t="shared" si="294"/>
        <v>0</v>
      </c>
      <c r="Q257" s="192">
        <f t="shared" ref="Q257:S257" si="295">Q274+Q304</f>
        <v>0</v>
      </c>
      <c r="R257" s="192">
        <f t="shared" si="295"/>
        <v>0</v>
      </c>
      <c r="S257" s="192">
        <f t="shared" si="295"/>
        <v>0</v>
      </c>
      <c r="T257" s="192">
        <f t="shared" ref="T257:T262" si="296">SUM(N257:S257)</f>
        <v>0</v>
      </c>
      <c r="U257" s="192">
        <f t="shared" ref="U257:U262" si="297">T257+L257</f>
        <v>0</v>
      </c>
      <c r="V257" s="193">
        <f>V274+V289+V304+V319</f>
        <v>0</v>
      </c>
      <c r="W257" s="193">
        <f t="shared" ref="W257:W262" si="298">V257-U257</f>
        <v>0</v>
      </c>
      <c r="X257" s="209"/>
      <c r="Y257" s="209"/>
      <c r="Z257" s="209"/>
      <c r="AA257" s="209"/>
      <c r="AB257" s="209"/>
    </row>
    <row r="258" spans="1:28" s="228" customFormat="1" ht="18" hidden="1" customHeight="1">
      <c r="A258" s="610"/>
      <c r="B258" s="661"/>
      <c r="C258" s="662"/>
      <c r="D258" s="174" t="str">
        <f>серпень!D258</f>
        <v>абоненська плата, тис.грн.</v>
      </c>
      <c r="E258" s="192"/>
      <c r="F258" s="192">
        <f>F289+F319</f>
        <v>0</v>
      </c>
      <c r="G258" s="192">
        <f t="shared" ref="G258:K258" si="299">G289+G319</f>
        <v>0</v>
      </c>
      <c r="H258" s="192">
        <f t="shared" si="299"/>
        <v>0</v>
      </c>
      <c r="I258" s="192">
        <f t="shared" si="299"/>
        <v>0</v>
      </c>
      <c r="J258" s="192">
        <f t="shared" si="299"/>
        <v>0</v>
      </c>
      <c r="K258" s="192">
        <f t="shared" si="299"/>
        <v>0</v>
      </c>
      <c r="L258" s="192">
        <f t="shared" si="292"/>
        <v>0</v>
      </c>
      <c r="M258" s="192">
        <f t="shared" si="293"/>
        <v>0</v>
      </c>
      <c r="N258" s="192">
        <f>N289+N319</f>
        <v>0</v>
      </c>
      <c r="O258" s="192">
        <f t="shared" ref="O258:P258" si="300">O289+O319</f>
        <v>0</v>
      </c>
      <c r="P258" s="192">
        <f t="shared" si="300"/>
        <v>0</v>
      </c>
      <c r="Q258" s="192">
        <f t="shared" ref="Q258:S258" si="301">Q289+Q319</f>
        <v>0</v>
      </c>
      <c r="R258" s="192">
        <f t="shared" si="301"/>
        <v>0</v>
      </c>
      <c r="S258" s="192">
        <f t="shared" si="301"/>
        <v>0</v>
      </c>
      <c r="T258" s="192">
        <f t="shared" si="296"/>
        <v>0</v>
      </c>
      <c r="U258" s="192">
        <f t="shared" si="297"/>
        <v>0</v>
      </c>
      <c r="V258" s="193">
        <f>V289+V319</f>
        <v>0</v>
      </c>
      <c r="W258" s="193">
        <f t="shared" si="298"/>
        <v>0</v>
      </c>
      <c r="X258" s="209"/>
      <c r="Y258" s="209"/>
      <c r="Z258" s="209"/>
      <c r="AA258" s="209"/>
      <c r="AB258" s="209"/>
    </row>
    <row r="259" spans="1:28" s="228" customFormat="1" ht="18" hidden="1" customHeight="1">
      <c r="A259" s="610"/>
      <c r="B259" s="661"/>
      <c r="C259" s="662"/>
      <c r="D259" s="174" t="str">
        <f>серпень!D259</f>
        <v>разом сума тис. грн+абонплата</v>
      </c>
      <c r="E259" s="192"/>
      <c r="F259" s="192">
        <f>F257+F258</f>
        <v>0</v>
      </c>
      <c r="G259" s="192">
        <f t="shared" ref="G259:K259" si="302">G257+G258</f>
        <v>0</v>
      </c>
      <c r="H259" s="192">
        <f t="shared" si="302"/>
        <v>0</v>
      </c>
      <c r="I259" s="192">
        <f t="shared" si="302"/>
        <v>0</v>
      </c>
      <c r="J259" s="192">
        <f t="shared" si="302"/>
        <v>0</v>
      </c>
      <c r="K259" s="192">
        <f t="shared" si="302"/>
        <v>0</v>
      </c>
      <c r="L259" s="192">
        <f t="shared" si="292"/>
        <v>0</v>
      </c>
      <c r="M259" s="192">
        <f t="shared" si="293"/>
        <v>0</v>
      </c>
      <c r="N259" s="192">
        <f>N257+N258</f>
        <v>0</v>
      </c>
      <c r="O259" s="192">
        <f t="shared" ref="O259:P259" si="303">O257+O258</f>
        <v>0</v>
      </c>
      <c r="P259" s="192">
        <f t="shared" si="303"/>
        <v>0</v>
      </c>
      <c r="Q259" s="192">
        <f t="shared" ref="Q259:S259" si="304">Q257+Q258</f>
        <v>0</v>
      </c>
      <c r="R259" s="192">
        <f t="shared" si="304"/>
        <v>0</v>
      </c>
      <c r="S259" s="192">
        <f t="shared" si="304"/>
        <v>0</v>
      </c>
      <c r="T259" s="192">
        <f t="shared" si="296"/>
        <v>0</v>
      </c>
      <c r="U259" s="192">
        <f t="shared" si="297"/>
        <v>0</v>
      </c>
      <c r="V259" s="193">
        <f>V290+V320</f>
        <v>0</v>
      </c>
      <c r="W259" s="193">
        <f t="shared" si="298"/>
        <v>0</v>
      </c>
      <c r="X259" s="209"/>
      <c r="Y259" s="209"/>
      <c r="Z259" s="209"/>
      <c r="AA259" s="209"/>
      <c r="AB259" s="209"/>
    </row>
    <row r="260" spans="1:28" s="228" customFormat="1" ht="18" hidden="1" customHeight="1">
      <c r="A260" s="610"/>
      <c r="B260" s="661"/>
      <c r="C260" s="662"/>
      <c r="D260" s="174" t="str">
        <f>серпень!D260</f>
        <v>дотація</v>
      </c>
      <c r="E260" s="210"/>
      <c r="F260" s="192">
        <f t="shared" ref="F260:K261" si="305">F275+F290+F305+F320</f>
        <v>0</v>
      </c>
      <c r="G260" s="192">
        <f t="shared" si="305"/>
        <v>0</v>
      </c>
      <c r="H260" s="192">
        <f t="shared" si="305"/>
        <v>0</v>
      </c>
      <c r="I260" s="192">
        <f t="shared" si="305"/>
        <v>0</v>
      </c>
      <c r="J260" s="192">
        <f t="shared" si="305"/>
        <v>0</v>
      </c>
      <c r="K260" s="192">
        <f t="shared" si="305"/>
        <v>0</v>
      </c>
      <c r="L260" s="192">
        <f t="shared" si="292"/>
        <v>0</v>
      </c>
      <c r="M260" s="192">
        <f t="shared" si="293"/>
        <v>0</v>
      </c>
      <c r="N260" s="192">
        <f t="shared" ref="N260:S262" si="306">N275+N290+N305+N320</f>
        <v>0</v>
      </c>
      <c r="O260" s="192">
        <f t="shared" si="306"/>
        <v>0</v>
      </c>
      <c r="P260" s="192">
        <f t="shared" si="306"/>
        <v>0</v>
      </c>
      <c r="Q260" s="192">
        <f t="shared" si="306"/>
        <v>0</v>
      </c>
      <c r="R260" s="192">
        <f t="shared" si="306"/>
        <v>0</v>
      </c>
      <c r="S260" s="192">
        <f t="shared" si="306"/>
        <v>0</v>
      </c>
      <c r="T260" s="192">
        <f t="shared" si="296"/>
        <v>0</v>
      </c>
      <c r="U260" s="192">
        <f t="shared" si="297"/>
        <v>0</v>
      </c>
      <c r="V260" s="193">
        <f t="shared" ref="V260:V262" si="307">V275+V290+V305+V320</f>
        <v>0</v>
      </c>
      <c r="W260" s="211">
        <f t="shared" si="298"/>
        <v>0</v>
      </c>
      <c r="X260" s="209"/>
      <c r="Y260" s="209"/>
      <c r="Z260" s="209"/>
      <c r="AA260" s="209"/>
      <c r="AB260" s="209"/>
    </row>
    <row r="261" spans="1:28" s="228" customFormat="1" ht="18" hidden="1" customHeight="1">
      <c r="A261" s="610"/>
      <c r="B261" s="661"/>
      <c r="C261" s="662"/>
      <c r="D261" s="174" t="str">
        <f>серпень!D261</f>
        <v>місцевий (план), тис.грн</v>
      </c>
      <c r="E261" s="210"/>
      <c r="F261" s="192">
        <f t="shared" si="305"/>
        <v>0</v>
      </c>
      <c r="G261" s="192">
        <f t="shared" si="305"/>
        <v>0</v>
      </c>
      <c r="H261" s="192">
        <f t="shared" si="305"/>
        <v>0</v>
      </c>
      <c r="I261" s="192">
        <f t="shared" si="305"/>
        <v>0</v>
      </c>
      <c r="J261" s="192">
        <f t="shared" si="305"/>
        <v>0</v>
      </c>
      <c r="K261" s="192">
        <f t="shared" si="305"/>
        <v>0</v>
      </c>
      <c r="L261" s="192">
        <f t="shared" si="292"/>
        <v>0</v>
      </c>
      <c r="M261" s="192">
        <f t="shared" si="293"/>
        <v>0</v>
      </c>
      <c r="N261" s="192">
        <f t="shared" si="306"/>
        <v>0</v>
      </c>
      <c r="O261" s="192">
        <f t="shared" si="306"/>
        <v>0</v>
      </c>
      <c r="P261" s="192">
        <f t="shared" si="306"/>
        <v>0</v>
      </c>
      <c r="Q261" s="192">
        <f t="shared" si="306"/>
        <v>0</v>
      </c>
      <c r="R261" s="192">
        <f t="shared" si="306"/>
        <v>0</v>
      </c>
      <c r="S261" s="192">
        <f t="shared" si="306"/>
        <v>0</v>
      </c>
      <c r="T261" s="192">
        <f t="shared" si="296"/>
        <v>0</v>
      </c>
      <c r="U261" s="192">
        <f t="shared" si="297"/>
        <v>0</v>
      </c>
      <c r="V261" s="193">
        <f t="shared" si="307"/>
        <v>0</v>
      </c>
      <c r="W261" s="193">
        <f t="shared" si="298"/>
        <v>0</v>
      </c>
      <c r="X261" s="209"/>
      <c r="Y261" s="209"/>
      <c r="Z261" s="209"/>
      <c r="AA261" s="209"/>
      <c r="AB261" s="209"/>
    </row>
    <row r="262" spans="1:28" s="186" customFormat="1" ht="18" hidden="1" customHeight="1">
      <c r="A262" s="610"/>
      <c r="B262" s="661"/>
      <c r="C262" s="662"/>
      <c r="D262" s="178" t="str">
        <f>серпень!D262</f>
        <v>касові нат.п-ки 2025</v>
      </c>
      <c r="E262" s="179">
        <f>E277+E307</f>
        <v>0</v>
      </c>
      <c r="F262" s="179">
        <f>F277+F307</f>
        <v>0</v>
      </c>
      <c r="G262" s="179">
        <f t="shared" ref="G262:K262" si="308">G277+G307</f>
        <v>0</v>
      </c>
      <c r="H262" s="179">
        <f t="shared" si="308"/>
        <v>0</v>
      </c>
      <c r="I262" s="179">
        <f t="shared" si="308"/>
        <v>0</v>
      </c>
      <c r="J262" s="179">
        <f t="shared" si="308"/>
        <v>0</v>
      </c>
      <c r="K262" s="179">
        <f t="shared" si="308"/>
        <v>0</v>
      </c>
      <c r="L262" s="207">
        <f t="shared" si="292"/>
        <v>0</v>
      </c>
      <c r="M262" s="207">
        <f t="shared" si="293"/>
        <v>0</v>
      </c>
      <c r="N262" s="179">
        <f t="shared" si="306"/>
        <v>0</v>
      </c>
      <c r="O262" s="179">
        <f t="shared" si="306"/>
        <v>0</v>
      </c>
      <c r="P262" s="179">
        <f t="shared" si="306"/>
        <v>0</v>
      </c>
      <c r="Q262" s="179">
        <f t="shared" si="306"/>
        <v>0</v>
      </c>
      <c r="R262" s="179">
        <f t="shared" si="306"/>
        <v>0</v>
      </c>
      <c r="S262" s="179">
        <f t="shared" si="306"/>
        <v>0</v>
      </c>
      <c r="T262" s="207">
        <f t="shared" si="296"/>
        <v>0</v>
      </c>
      <c r="U262" s="207">
        <f t="shared" si="297"/>
        <v>0</v>
      </c>
      <c r="V262" s="184">
        <f t="shared" si="307"/>
        <v>0</v>
      </c>
      <c r="W262" s="184">
        <f t="shared" si="298"/>
        <v>0</v>
      </c>
      <c r="X262" s="185">
        <f>U255-U262</f>
        <v>0</v>
      </c>
    </row>
    <row r="263" spans="1:28" s="190" customFormat="1" ht="18" hidden="1" customHeight="1">
      <c r="A263" s="610"/>
      <c r="B263" s="661"/>
      <c r="C263" s="662"/>
      <c r="D263" s="187" t="str">
        <f>серпень!D263</f>
        <v>тариф, грн.</v>
      </c>
      <c r="E263" s="188" t="e">
        <f t="shared" ref="E263:S263" si="309">E264/E262*1000</f>
        <v>#DIV/0!</v>
      </c>
      <c r="F263" s="188" t="e">
        <f t="shared" si="309"/>
        <v>#DIV/0!</v>
      </c>
      <c r="G263" s="188" t="e">
        <f t="shared" si="309"/>
        <v>#DIV/0!</v>
      </c>
      <c r="H263" s="188" t="e">
        <f t="shared" si="309"/>
        <v>#DIV/0!</v>
      </c>
      <c r="I263" s="188" t="e">
        <f t="shared" si="309"/>
        <v>#DIV/0!</v>
      </c>
      <c r="J263" s="188" t="e">
        <f t="shared" si="309"/>
        <v>#DIV/0!</v>
      </c>
      <c r="K263" s="188" t="e">
        <f t="shared" si="309"/>
        <v>#DIV/0!</v>
      </c>
      <c r="L263" s="188" t="e">
        <f t="shared" si="309"/>
        <v>#DIV/0!</v>
      </c>
      <c r="M263" s="188" t="e">
        <f t="shared" si="309"/>
        <v>#DIV/0!</v>
      </c>
      <c r="N263" s="188" t="e">
        <f t="shared" si="309"/>
        <v>#DIV/0!</v>
      </c>
      <c r="O263" s="188" t="e">
        <f t="shared" si="309"/>
        <v>#DIV/0!</v>
      </c>
      <c r="P263" s="188" t="e">
        <f t="shared" si="309"/>
        <v>#DIV/0!</v>
      </c>
      <c r="Q263" s="188" t="e">
        <f t="shared" si="309"/>
        <v>#DIV/0!</v>
      </c>
      <c r="R263" s="188" t="e">
        <f t="shared" si="309"/>
        <v>#DIV/0!</v>
      </c>
      <c r="S263" s="188" t="e">
        <f t="shared" si="309"/>
        <v>#DIV/0!</v>
      </c>
      <c r="T263" s="188" t="e">
        <f>T264/T262*1000</f>
        <v>#DIV/0!</v>
      </c>
      <c r="U263" s="188" t="e">
        <f>U264/U262*1000</f>
        <v>#DIV/0!</v>
      </c>
      <c r="V263" s="188" t="e">
        <f>V264/V262*1000</f>
        <v>#DIV/0!</v>
      </c>
      <c r="W263" s="189" t="e">
        <f>W264/W262*1000</f>
        <v>#DIV/0!</v>
      </c>
      <c r="X263" s="225"/>
    </row>
    <row r="264" spans="1:28" s="213" customFormat="1" ht="18" hidden="1" customHeight="1">
      <c r="A264" s="610"/>
      <c r="B264" s="661"/>
      <c r="C264" s="662"/>
      <c r="D264" s="198" t="str">
        <f>серпень!D264</f>
        <v>касові видатки, тис.грн.</v>
      </c>
      <c r="E264" s="212">
        <f>E279+E309</f>
        <v>0</v>
      </c>
      <c r="F264" s="199">
        <f>F279+F294+F309+F324</f>
        <v>0</v>
      </c>
      <c r="G264" s="199">
        <f t="shared" ref="G264:K264" si="310">G279+G294+G309+G324</f>
        <v>0</v>
      </c>
      <c r="H264" s="199">
        <f t="shared" si="310"/>
        <v>0</v>
      </c>
      <c r="I264" s="199">
        <f t="shared" si="310"/>
        <v>0</v>
      </c>
      <c r="J264" s="199">
        <f t="shared" si="310"/>
        <v>0</v>
      </c>
      <c r="K264" s="199">
        <f t="shared" si="310"/>
        <v>0</v>
      </c>
      <c r="L264" s="199">
        <f>SUM(F264:K264)</f>
        <v>0</v>
      </c>
      <c r="M264" s="199">
        <f>L264/6</f>
        <v>0</v>
      </c>
      <c r="N264" s="199">
        <f t="shared" ref="N264:S266" si="311">N279+N294+N309+N324</f>
        <v>0</v>
      </c>
      <c r="O264" s="199">
        <f t="shared" si="311"/>
        <v>0</v>
      </c>
      <c r="P264" s="199">
        <f t="shared" si="311"/>
        <v>0</v>
      </c>
      <c r="Q264" s="199">
        <f t="shared" si="311"/>
        <v>0</v>
      </c>
      <c r="R264" s="199">
        <f t="shared" si="311"/>
        <v>0</v>
      </c>
      <c r="S264" s="199">
        <f t="shared" si="311"/>
        <v>0</v>
      </c>
      <c r="T264" s="199">
        <f>SUM(N264:S264)</f>
        <v>0</v>
      </c>
      <c r="U264" s="199">
        <f>T264+L264</f>
        <v>0</v>
      </c>
      <c r="V264" s="175">
        <f t="shared" ref="V264:V267" si="312">V279+V294+V309+V324</f>
        <v>0</v>
      </c>
      <c r="W264" s="175">
        <f>V264-U264</f>
        <v>0</v>
      </c>
      <c r="X264" s="176">
        <f>U259-U264</f>
        <v>0</v>
      </c>
    </row>
    <row r="265" spans="1:28" s="213" customFormat="1" ht="18" hidden="1" customHeight="1">
      <c r="A265" s="610"/>
      <c r="B265" s="661"/>
      <c r="C265" s="662"/>
      <c r="D265" s="201" t="str">
        <f>серпень!D265</f>
        <v>дотація</v>
      </c>
      <c r="E265" s="212"/>
      <c r="F265" s="199">
        <f t="shared" ref="F265:K266" si="313">F280+F295+F310+F325</f>
        <v>0</v>
      </c>
      <c r="G265" s="199">
        <f t="shared" si="313"/>
        <v>0</v>
      </c>
      <c r="H265" s="199">
        <f t="shared" si="313"/>
        <v>0</v>
      </c>
      <c r="I265" s="199">
        <f t="shared" si="313"/>
        <v>0</v>
      </c>
      <c r="J265" s="199">
        <f t="shared" si="313"/>
        <v>0</v>
      </c>
      <c r="K265" s="199">
        <f t="shared" si="313"/>
        <v>0</v>
      </c>
      <c r="L265" s="199">
        <f>SUM(F265:K265)</f>
        <v>0</v>
      </c>
      <c r="M265" s="199">
        <f>L265/6</f>
        <v>0</v>
      </c>
      <c r="N265" s="199">
        <f t="shared" si="311"/>
        <v>0</v>
      </c>
      <c r="O265" s="199">
        <f t="shared" si="311"/>
        <v>0</v>
      </c>
      <c r="P265" s="199">
        <f t="shared" si="311"/>
        <v>0</v>
      </c>
      <c r="Q265" s="199">
        <f t="shared" si="311"/>
        <v>0</v>
      </c>
      <c r="R265" s="199">
        <f t="shared" si="311"/>
        <v>0</v>
      </c>
      <c r="S265" s="199">
        <f t="shared" si="311"/>
        <v>0</v>
      </c>
      <c r="T265" s="199">
        <f>SUM(N265:S265)</f>
        <v>0</v>
      </c>
      <c r="U265" s="199">
        <f>T265+L265</f>
        <v>0</v>
      </c>
      <c r="V265" s="175">
        <f t="shared" si="312"/>
        <v>0</v>
      </c>
      <c r="W265" s="175">
        <f>V265-U265</f>
        <v>0</v>
      </c>
      <c r="X265" s="176">
        <f>U260-U265</f>
        <v>0</v>
      </c>
    </row>
    <row r="266" spans="1:28" s="213" customFormat="1" ht="18" hidden="1" customHeight="1">
      <c r="A266" s="610"/>
      <c r="B266" s="661"/>
      <c r="C266" s="662"/>
      <c r="D266" s="201" t="str">
        <f>серпень!D266</f>
        <v xml:space="preserve">місцевий </v>
      </c>
      <c r="E266" s="212"/>
      <c r="F266" s="199">
        <f t="shared" si="313"/>
        <v>0</v>
      </c>
      <c r="G266" s="199">
        <f t="shared" si="313"/>
        <v>0</v>
      </c>
      <c r="H266" s="199">
        <f t="shared" si="313"/>
        <v>0</v>
      </c>
      <c r="I266" s="199">
        <f t="shared" si="313"/>
        <v>0</v>
      </c>
      <c r="J266" s="199">
        <f t="shared" si="313"/>
        <v>0</v>
      </c>
      <c r="K266" s="199">
        <f t="shared" si="313"/>
        <v>0</v>
      </c>
      <c r="L266" s="199">
        <f>SUM(F266:K266)</f>
        <v>0</v>
      </c>
      <c r="M266" s="199">
        <f>L266/6</f>
        <v>0</v>
      </c>
      <c r="N266" s="199">
        <f t="shared" si="311"/>
        <v>0</v>
      </c>
      <c r="O266" s="199">
        <f t="shared" si="311"/>
        <v>0</v>
      </c>
      <c r="P266" s="199">
        <f t="shared" si="311"/>
        <v>0</v>
      </c>
      <c r="Q266" s="199">
        <f t="shared" si="311"/>
        <v>0</v>
      </c>
      <c r="R266" s="199">
        <f t="shared" si="311"/>
        <v>0</v>
      </c>
      <c r="S266" s="199">
        <f t="shared" si="311"/>
        <v>0</v>
      </c>
      <c r="T266" s="199">
        <f>SUM(N266:S266)</f>
        <v>0</v>
      </c>
      <c r="U266" s="199">
        <f>T266+L266</f>
        <v>0</v>
      </c>
      <c r="V266" s="175">
        <f t="shared" si="312"/>
        <v>0</v>
      </c>
      <c r="W266" s="175">
        <f>V266-U266</f>
        <v>0</v>
      </c>
      <c r="X266" s="176">
        <f>U261-U266</f>
        <v>0</v>
      </c>
    </row>
    <row r="267" spans="1:28" s="205" customFormat="1" ht="18" hidden="1" customHeight="1">
      <c r="A267" s="610"/>
      <c r="B267" s="661"/>
      <c r="C267" s="662"/>
      <c r="D267" s="202" t="str">
        <f>серпень!D267</f>
        <v>план</v>
      </c>
      <c r="E267" s="203"/>
      <c r="F267" s="203">
        <f>F261</f>
        <v>0</v>
      </c>
      <c r="G267" s="203">
        <f t="shared" ref="G267:K267" si="314">G261</f>
        <v>0</v>
      </c>
      <c r="H267" s="203">
        <f t="shared" si="314"/>
        <v>0</v>
      </c>
      <c r="I267" s="203">
        <f t="shared" si="314"/>
        <v>0</v>
      </c>
      <c r="J267" s="203">
        <f t="shared" si="314"/>
        <v>0</v>
      </c>
      <c r="K267" s="203">
        <f t="shared" si="314"/>
        <v>0</v>
      </c>
      <c r="L267" s="203">
        <f>SUM(F267:K267)</f>
        <v>0</v>
      </c>
      <c r="M267" s="203">
        <f>L267/6</f>
        <v>0</v>
      </c>
      <c r="N267" s="203">
        <f t="shared" ref="N267:S267" si="315">N261+N260</f>
        <v>0</v>
      </c>
      <c r="O267" s="203">
        <f t="shared" si="315"/>
        <v>0</v>
      </c>
      <c r="P267" s="203">
        <f t="shared" si="315"/>
        <v>0</v>
      </c>
      <c r="Q267" s="203">
        <f t="shared" si="315"/>
        <v>0</v>
      </c>
      <c r="R267" s="203">
        <f t="shared" si="315"/>
        <v>0</v>
      </c>
      <c r="S267" s="203">
        <f t="shared" si="315"/>
        <v>0</v>
      </c>
      <c r="T267" s="203">
        <f>SUM(N267:S267)</f>
        <v>0</v>
      </c>
      <c r="U267" s="203">
        <f>T267+L267</f>
        <v>0</v>
      </c>
      <c r="V267" s="204">
        <f t="shared" si="312"/>
        <v>0</v>
      </c>
      <c r="W267" s="204">
        <f>V267-U267</f>
        <v>0</v>
      </c>
    </row>
    <row r="268" spans="1:28" s="205" customFormat="1" ht="18" hidden="1" customHeight="1">
      <c r="A268" s="610"/>
      <c r="B268" s="661"/>
      <c r="C268" s="662"/>
      <c r="D268" s="202" t="str">
        <f>серпень!D268</f>
        <v xml:space="preserve">відхилення </v>
      </c>
      <c r="E268" s="203"/>
      <c r="F268" s="203">
        <f t="shared" ref="F268:K268" si="316">F264-F267</f>
        <v>0</v>
      </c>
      <c r="G268" s="203">
        <f t="shared" si="316"/>
        <v>0</v>
      </c>
      <c r="H268" s="203">
        <f t="shared" si="316"/>
        <v>0</v>
      </c>
      <c r="I268" s="203">
        <f t="shared" si="316"/>
        <v>0</v>
      </c>
      <c r="J268" s="203">
        <f t="shared" si="316"/>
        <v>0</v>
      </c>
      <c r="K268" s="203">
        <f t="shared" si="316"/>
        <v>0</v>
      </c>
      <c r="L268" s="203"/>
      <c r="M268" s="203"/>
      <c r="N268" s="203">
        <f t="shared" ref="N268:S268" si="317">N264-N267</f>
        <v>0</v>
      </c>
      <c r="O268" s="203">
        <f t="shared" si="317"/>
        <v>0</v>
      </c>
      <c r="P268" s="203">
        <f t="shared" si="317"/>
        <v>0</v>
      </c>
      <c r="Q268" s="203">
        <f t="shared" si="317"/>
        <v>0</v>
      </c>
      <c r="R268" s="203">
        <f t="shared" si="317"/>
        <v>0</v>
      </c>
      <c r="S268" s="203">
        <f t="shared" si="317"/>
        <v>0</v>
      </c>
      <c r="T268" s="203"/>
      <c r="U268" s="203"/>
      <c r="V268" s="203"/>
      <c r="W268" s="203"/>
    </row>
    <row r="269" spans="1:28" s="205" customFormat="1" ht="18" hidden="1" customHeight="1">
      <c r="A269" s="610"/>
      <c r="B269" s="663"/>
      <c r="C269" s="664"/>
      <c r="D269" s="202" t="str">
        <f>серпень!D269</f>
        <v>відхилення з наростаючим</v>
      </c>
      <c r="E269" s="203"/>
      <c r="F269" s="203">
        <f>F268</f>
        <v>0</v>
      </c>
      <c r="G269" s="203">
        <f>G268+F269</f>
        <v>0</v>
      </c>
      <c r="H269" s="203">
        <f>H268+G269</f>
        <v>0</v>
      </c>
      <c r="I269" s="203">
        <f>I268+H269</f>
        <v>0</v>
      </c>
      <c r="J269" s="203">
        <f>J268+I269</f>
        <v>0</v>
      </c>
      <c r="K269" s="203">
        <f>K268+J269</f>
        <v>0</v>
      </c>
      <c r="L269" s="203"/>
      <c r="M269" s="203"/>
      <c r="N269" s="203">
        <f>N268+K269</f>
        <v>0</v>
      </c>
      <c r="O269" s="203">
        <f>O268+N269</f>
        <v>0</v>
      </c>
      <c r="P269" s="203">
        <f>P268+O269</f>
        <v>0</v>
      </c>
      <c r="Q269" s="203">
        <f>Q268+P269</f>
        <v>0</v>
      </c>
      <c r="R269" s="203">
        <f>R268+Q269</f>
        <v>0</v>
      </c>
      <c r="S269" s="203">
        <f>S268+R269</f>
        <v>0</v>
      </c>
      <c r="T269" s="203"/>
      <c r="U269" s="203"/>
      <c r="V269" s="203"/>
      <c r="W269" s="203"/>
    </row>
    <row r="270" spans="1:28" s="48" customFormat="1" ht="18" hidden="1" customHeight="1">
      <c r="A270" s="610"/>
      <c r="B270" s="582" t="s">
        <v>60</v>
      </c>
      <c r="C270" s="582" t="s">
        <v>97</v>
      </c>
      <c r="D270" s="178" t="str">
        <f>серпень!D270</f>
        <v>факт. нат.п-ки 2023</v>
      </c>
      <c r="E270" s="11"/>
      <c r="F270" s="12"/>
      <c r="G270" s="12"/>
      <c r="H270" s="12"/>
      <c r="I270" s="12"/>
      <c r="J270" s="12"/>
      <c r="K270" s="12"/>
      <c r="L270" s="65">
        <f>SUM(F270:K270)</f>
        <v>0</v>
      </c>
      <c r="M270" s="65">
        <f>L270/6</f>
        <v>0</v>
      </c>
      <c r="N270" s="12"/>
      <c r="O270" s="12"/>
      <c r="P270" s="12"/>
      <c r="Q270" s="12"/>
      <c r="R270" s="12"/>
      <c r="S270" s="12"/>
      <c r="T270" s="65">
        <f>SUM(N270:S270)</f>
        <v>0</v>
      </c>
      <c r="U270" s="66">
        <f>T270+L270</f>
        <v>0</v>
      </c>
      <c r="V270" s="67"/>
      <c r="W270" s="38">
        <f>V270-U270</f>
        <v>0</v>
      </c>
      <c r="X270" s="47"/>
    </row>
    <row r="271" spans="1:28" s="48" customFormat="1" ht="18" hidden="1" customHeight="1">
      <c r="A271" s="610"/>
      <c r="B271" s="583"/>
      <c r="C271" s="583"/>
      <c r="D271" s="178" t="str">
        <f>серпень!D271</f>
        <v>факт. нат.п-ки 2024</v>
      </c>
      <c r="E271" s="11"/>
      <c r="F271" s="12"/>
      <c r="G271" s="12"/>
      <c r="H271" s="12"/>
      <c r="I271" s="12"/>
      <c r="J271" s="12"/>
      <c r="K271" s="12"/>
      <c r="L271" s="65">
        <f>SUM(F271:K271)</f>
        <v>0</v>
      </c>
      <c r="M271" s="65">
        <f>L271/6</f>
        <v>0</v>
      </c>
      <c r="N271" s="11"/>
      <c r="O271" s="11"/>
      <c r="P271" s="11"/>
      <c r="Q271" s="11"/>
      <c r="R271" s="11"/>
      <c r="S271" s="11"/>
      <c r="T271" s="65">
        <f>SUM(N271:S271)</f>
        <v>0</v>
      </c>
      <c r="U271" s="66">
        <f>T271+L271</f>
        <v>0</v>
      </c>
      <c r="V271" s="67"/>
      <c r="W271" s="38">
        <f>V271-U271</f>
        <v>0</v>
      </c>
      <c r="X271" s="47"/>
    </row>
    <row r="272" spans="1:28" s="48" customFormat="1" ht="18" hidden="1" customHeight="1">
      <c r="A272" s="610"/>
      <c r="B272" s="583"/>
      <c r="C272" s="583"/>
      <c r="D272" s="178" t="str">
        <f>серпень!D272</f>
        <v>факт. нат.п-ки 2025</v>
      </c>
      <c r="E272" s="11"/>
      <c r="F272" s="12"/>
      <c r="G272" s="12"/>
      <c r="H272" s="12"/>
      <c r="I272" s="12"/>
      <c r="J272" s="12"/>
      <c r="K272" s="12"/>
      <c r="L272" s="65">
        <f>SUM(F272:K272)</f>
        <v>0</v>
      </c>
      <c r="M272" s="65">
        <f>L272/6</f>
        <v>0</v>
      </c>
      <c r="N272" s="12"/>
      <c r="O272" s="12"/>
      <c r="P272" s="12"/>
      <c r="Q272" s="12"/>
      <c r="R272" s="12"/>
      <c r="S272" s="11"/>
      <c r="T272" s="65">
        <f>SUM(N272:S272)</f>
        <v>0</v>
      </c>
      <c r="U272" s="66">
        <f>T272+L272</f>
        <v>0</v>
      </c>
      <c r="V272" s="11"/>
      <c r="W272" s="38">
        <f>V272-U272</f>
        <v>0</v>
      </c>
      <c r="X272" s="47"/>
    </row>
    <row r="273" spans="1:24" s="51" customFormat="1" ht="18" hidden="1" customHeight="1">
      <c r="A273" s="610"/>
      <c r="B273" s="583"/>
      <c r="C273" s="583"/>
      <c r="D273" s="187" t="str">
        <f>серпень!D273</f>
        <v>тариф, грн.</v>
      </c>
      <c r="E273" s="49"/>
      <c r="F273" s="49"/>
      <c r="G273" s="49"/>
      <c r="H273" s="49"/>
      <c r="I273" s="49"/>
      <c r="J273" s="49"/>
      <c r="K273" s="49"/>
      <c r="L273" s="49" t="e">
        <f>L274/L272*1000</f>
        <v>#DIV/0!</v>
      </c>
      <c r="M273" s="49" t="e">
        <f>M274/M272*1000</f>
        <v>#DIV/0!</v>
      </c>
      <c r="N273" s="49"/>
      <c r="O273" s="49"/>
      <c r="P273" s="49"/>
      <c r="Q273" s="49"/>
      <c r="R273" s="49"/>
      <c r="S273" s="49"/>
      <c r="T273" s="49" t="e">
        <f>T274/T272*1000</f>
        <v>#DIV/0!</v>
      </c>
      <c r="U273" s="49" t="e">
        <f>U274/U272*1000</f>
        <v>#DIV/0!</v>
      </c>
      <c r="V273" s="68" t="e">
        <f>V274/V272*1000</f>
        <v>#DIV/0!</v>
      </c>
      <c r="W273" s="14" t="e">
        <f>W274/W272*1000</f>
        <v>#DIV/0!</v>
      </c>
      <c r="X273" s="50"/>
    </row>
    <row r="274" spans="1:24" s="55" customFormat="1" ht="18" hidden="1" customHeight="1">
      <c r="A274" s="610"/>
      <c r="B274" s="583"/>
      <c r="C274" s="583"/>
      <c r="D274" s="191" t="str">
        <f>серпень!D274</f>
        <v>сума, тис.грн.</v>
      </c>
      <c r="E274" s="52"/>
      <c r="F274" s="52">
        <f t="shared" ref="F274:K274" si="318">F272*F273/1000</f>
        <v>0</v>
      </c>
      <c r="G274" s="52">
        <f t="shared" si="318"/>
        <v>0</v>
      </c>
      <c r="H274" s="52">
        <f t="shared" si="318"/>
        <v>0</v>
      </c>
      <c r="I274" s="52">
        <f t="shared" si="318"/>
        <v>0</v>
      </c>
      <c r="J274" s="52">
        <f t="shared" si="318"/>
        <v>0</v>
      </c>
      <c r="K274" s="52">
        <f t="shared" si="318"/>
        <v>0</v>
      </c>
      <c r="L274" s="69">
        <f>SUM(F274:K274)</f>
        <v>0</v>
      </c>
      <c r="M274" s="69">
        <f>L274/6</f>
        <v>0</v>
      </c>
      <c r="N274" s="52">
        <f t="shared" ref="N274:S274" si="319">N272*N273/1000</f>
        <v>0</v>
      </c>
      <c r="O274" s="52">
        <f t="shared" si="319"/>
        <v>0</v>
      </c>
      <c r="P274" s="52">
        <f t="shared" si="319"/>
        <v>0</v>
      </c>
      <c r="Q274" s="52">
        <f t="shared" si="319"/>
        <v>0</v>
      </c>
      <c r="R274" s="52">
        <f t="shared" si="319"/>
        <v>0</v>
      </c>
      <c r="S274" s="52">
        <f t="shared" si="319"/>
        <v>0</v>
      </c>
      <c r="T274" s="69">
        <f>SUM(N274:S274)</f>
        <v>0</v>
      </c>
      <c r="U274" s="69">
        <f>T274+L274</f>
        <v>0</v>
      </c>
      <c r="V274" s="70">
        <f>V275+V276</f>
        <v>0</v>
      </c>
      <c r="W274" s="53">
        <f>V274-U274</f>
        <v>0</v>
      </c>
      <c r="X274" s="54">
        <f>9891253.845/1000</f>
        <v>9891.2540000000008</v>
      </c>
    </row>
    <row r="275" spans="1:24" s="55" customFormat="1" ht="18" hidden="1" customHeight="1">
      <c r="A275" s="610"/>
      <c r="B275" s="583"/>
      <c r="C275" s="583"/>
      <c r="D275" s="174" t="str">
        <f>серпень!D275</f>
        <v>абоненська плата, тис.грн.</v>
      </c>
      <c r="E275" s="56"/>
      <c r="F275" s="52"/>
      <c r="G275" s="52"/>
      <c r="H275" s="52"/>
      <c r="I275" s="52"/>
      <c r="J275" s="52"/>
      <c r="K275" s="52"/>
      <c r="L275" s="69">
        <f>SUM(F275:K275)</f>
        <v>0</v>
      </c>
      <c r="M275" s="69">
        <f>L275/6</f>
        <v>0</v>
      </c>
      <c r="N275" s="52"/>
      <c r="O275" s="52"/>
      <c r="P275" s="52"/>
      <c r="Q275" s="52"/>
      <c r="R275" s="52"/>
      <c r="S275" s="52"/>
      <c r="T275" s="69">
        <f>SUM(N275:S275)</f>
        <v>0</v>
      </c>
      <c r="U275" s="69">
        <f>T275+L275</f>
        <v>0</v>
      </c>
      <c r="V275" s="70"/>
      <c r="W275" s="53">
        <f>V275-U275</f>
        <v>0</v>
      </c>
      <c r="X275" s="58"/>
    </row>
    <row r="276" spans="1:24" s="55" customFormat="1" ht="18" hidden="1" customHeight="1">
      <c r="A276" s="610"/>
      <c r="B276" s="583"/>
      <c r="C276" s="583"/>
      <c r="D276" s="174" t="str">
        <f>серпень!D276</f>
        <v>разом сума тис. грн+абонплата</v>
      </c>
      <c r="E276" s="56"/>
      <c r="F276" s="52"/>
      <c r="G276" s="52"/>
      <c r="H276" s="52"/>
      <c r="I276" s="52"/>
      <c r="J276" s="52"/>
      <c r="K276" s="52"/>
      <c r="L276" s="69">
        <f>SUM(F276:K276)</f>
        <v>0</v>
      </c>
      <c r="M276" s="69">
        <f>L276/6</f>
        <v>0</v>
      </c>
      <c r="N276" s="52"/>
      <c r="O276" s="52"/>
      <c r="P276" s="52"/>
      <c r="Q276" s="52"/>
      <c r="R276" s="52"/>
      <c r="S276" s="52"/>
      <c r="T276" s="69">
        <f>SUM(N276:S276)</f>
        <v>0</v>
      </c>
      <c r="U276" s="69">
        <f>T276+L276</f>
        <v>0</v>
      </c>
      <c r="V276" s="70"/>
      <c r="W276" s="53">
        <f>V276-U276</f>
        <v>0</v>
      </c>
      <c r="X276" s="58"/>
    </row>
    <row r="277" spans="1:24" s="48" customFormat="1" ht="18" hidden="1" customHeight="1">
      <c r="A277" s="610"/>
      <c r="B277" s="583"/>
      <c r="C277" s="583"/>
      <c r="D277" s="178" t="str">
        <f>серпень!D277</f>
        <v>дотація</v>
      </c>
      <c r="E277" s="11"/>
      <c r="F277" s="11"/>
      <c r="G277" s="11"/>
      <c r="H277" s="11"/>
      <c r="I277" s="11"/>
      <c r="J277" s="11"/>
      <c r="K277" s="11"/>
      <c r="L277" s="65">
        <f>SUM(F277:K277)</f>
        <v>0</v>
      </c>
      <c r="M277" s="65">
        <f>L277/6</f>
        <v>0</v>
      </c>
      <c r="N277" s="11"/>
      <c r="O277" s="11"/>
      <c r="P277" s="11"/>
      <c r="Q277" s="11"/>
      <c r="R277" s="11"/>
      <c r="S277" s="11">
        <f>S272+R272</f>
        <v>0</v>
      </c>
      <c r="T277" s="65">
        <f>SUM(N277:S277)</f>
        <v>0</v>
      </c>
      <c r="U277" s="65">
        <f>T277+L277</f>
        <v>0</v>
      </c>
      <c r="V277" s="11">
        <f>V272</f>
        <v>0</v>
      </c>
      <c r="W277" s="38">
        <f>V277-U277</f>
        <v>0</v>
      </c>
      <c r="X277" s="47">
        <f>U272-U277</f>
        <v>0</v>
      </c>
    </row>
    <row r="278" spans="1:24" s="51" customFormat="1" ht="18" hidden="1" customHeight="1">
      <c r="A278" s="610"/>
      <c r="B278" s="583"/>
      <c r="C278" s="583"/>
      <c r="D278" s="187" t="str">
        <f>серпень!D278</f>
        <v>місцевий (план), тис.грн</v>
      </c>
      <c r="E278" s="49" t="e">
        <f>E279/E277*1000</f>
        <v>#DIV/0!</v>
      </c>
      <c r="F278" s="49"/>
      <c r="G278" s="49"/>
      <c r="H278" s="49"/>
      <c r="I278" s="49"/>
      <c r="J278" s="49"/>
      <c r="K278" s="49"/>
      <c r="L278" s="49" t="e">
        <f>L279/L277*1000</f>
        <v>#DIV/0!</v>
      </c>
      <c r="M278" s="49" t="e">
        <f>M279/M277*1000</f>
        <v>#DIV/0!</v>
      </c>
      <c r="N278" s="49"/>
      <c r="O278" s="49"/>
      <c r="P278" s="49"/>
      <c r="Q278" s="49"/>
      <c r="R278" s="49"/>
      <c r="S278" s="49"/>
      <c r="T278" s="49" t="e">
        <f>T279/T277*1000</f>
        <v>#DIV/0!</v>
      </c>
      <c r="U278" s="49" t="e">
        <f>U279/U277*1000</f>
        <v>#DIV/0!</v>
      </c>
      <c r="V278" s="68" t="e">
        <f>V279/V277*1000</f>
        <v>#DIV/0!</v>
      </c>
      <c r="W278" s="14" t="e">
        <f>W279/W277*1000</f>
        <v>#DIV/0!</v>
      </c>
      <c r="X278" s="59"/>
    </row>
    <row r="279" spans="1:24" s="63" customFormat="1" ht="18" hidden="1" customHeight="1">
      <c r="A279" s="610"/>
      <c r="B279" s="583"/>
      <c r="C279" s="583"/>
      <c r="D279" s="198" t="str">
        <f>серпень!D279</f>
        <v>касові нат.п-ки 2025</v>
      </c>
      <c r="E279" s="71"/>
      <c r="F279" s="61">
        <f t="shared" ref="F279:K279" si="320">F277*F278/1000</f>
        <v>0</v>
      </c>
      <c r="G279" s="61">
        <f t="shared" si="320"/>
        <v>0</v>
      </c>
      <c r="H279" s="61">
        <f t="shared" si="320"/>
        <v>0</v>
      </c>
      <c r="I279" s="61">
        <f t="shared" si="320"/>
        <v>0</v>
      </c>
      <c r="J279" s="61">
        <f t="shared" si="320"/>
        <v>0</v>
      </c>
      <c r="K279" s="61">
        <f t="shared" si="320"/>
        <v>0</v>
      </c>
      <c r="L279" s="61">
        <f>SUM(F279:K279)</f>
        <v>0</v>
      </c>
      <c r="M279" s="61">
        <f>L279/6</f>
        <v>0</v>
      </c>
      <c r="N279" s="61">
        <f t="shared" ref="N279:S279" si="321">N277*N278/1000</f>
        <v>0</v>
      </c>
      <c r="O279" s="61">
        <f t="shared" si="321"/>
        <v>0</v>
      </c>
      <c r="P279" s="61">
        <f t="shared" si="321"/>
        <v>0</v>
      </c>
      <c r="Q279" s="61">
        <f t="shared" si="321"/>
        <v>0</v>
      </c>
      <c r="R279" s="61">
        <f t="shared" si="321"/>
        <v>0</v>
      </c>
      <c r="S279" s="61">
        <f t="shared" si="321"/>
        <v>0</v>
      </c>
      <c r="T279" s="61">
        <f>SUM(N279:S279)</f>
        <v>0</v>
      </c>
      <c r="U279" s="61">
        <f>T279+L279</f>
        <v>0</v>
      </c>
      <c r="V279" s="61">
        <f>V274</f>
        <v>0</v>
      </c>
      <c r="W279" s="72">
        <f>V279-U279</f>
        <v>0</v>
      </c>
      <c r="X279" s="63">
        <f>U274-U279</f>
        <v>0</v>
      </c>
    </row>
    <row r="280" spans="1:24" s="63" customFormat="1" ht="18" hidden="1" customHeight="1">
      <c r="A280" s="610"/>
      <c r="B280" s="583"/>
      <c r="C280" s="583"/>
      <c r="D280" s="201" t="str">
        <f>серпень!D280</f>
        <v>тариф, грн.</v>
      </c>
      <c r="E280" s="71"/>
      <c r="F280" s="61"/>
      <c r="G280" s="61"/>
      <c r="H280" s="61"/>
      <c r="I280" s="61"/>
      <c r="J280" s="61"/>
      <c r="K280" s="61"/>
      <c r="L280" s="61">
        <f>SUM(F280:K280)</f>
        <v>0</v>
      </c>
      <c r="M280" s="61">
        <f>L280/6</f>
        <v>0</v>
      </c>
      <c r="N280" s="61"/>
      <c r="O280" s="61"/>
      <c r="P280" s="61"/>
      <c r="Q280" s="61"/>
      <c r="R280" s="61"/>
      <c r="S280" s="61"/>
      <c r="T280" s="61">
        <f>SUM(N280:S280)</f>
        <v>0</v>
      </c>
      <c r="U280" s="61">
        <f>T280+L280</f>
        <v>0</v>
      </c>
      <c r="V280" s="61">
        <f>V275</f>
        <v>0</v>
      </c>
      <c r="W280" s="72">
        <f>V280-U280</f>
        <v>0</v>
      </c>
      <c r="X280" s="63">
        <f>U275-U280</f>
        <v>0</v>
      </c>
    </row>
    <row r="281" spans="1:24" s="63" customFormat="1" ht="18" hidden="1" customHeight="1">
      <c r="A281" s="610"/>
      <c r="B281" s="583"/>
      <c r="C281" s="583"/>
      <c r="D281" s="201" t="str">
        <f>серпень!D281</f>
        <v>касові видатки, тис.грн.</v>
      </c>
      <c r="E281" s="71"/>
      <c r="F281" s="61">
        <f t="shared" ref="F281:K281" si="322">F279-F280</f>
        <v>0</v>
      </c>
      <c r="G281" s="61">
        <f t="shared" si="322"/>
        <v>0</v>
      </c>
      <c r="H281" s="61">
        <f t="shared" si="322"/>
        <v>0</v>
      </c>
      <c r="I281" s="61">
        <f t="shared" si="322"/>
        <v>0</v>
      </c>
      <c r="J281" s="61">
        <f t="shared" si="322"/>
        <v>0</v>
      </c>
      <c r="K281" s="61">
        <f t="shared" si="322"/>
        <v>0</v>
      </c>
      <c r="L281" s="61">
        <f>SUM(F281:K281)</f>
        <v>0</v>
      </c>
      <c r="M281" s="61">
        <f>L281/6</f>
        <v>0</v>
      </c>
      <c r="N281" s="61">
        <f t="shared" ref="N281:S281" si="323">N279-N280</f>
        <v>0</v>
      </c>
      <c r="O281" s="61">
        <f t="shared" si="323"/>
        <v>0</v>
      </c>
      <c r="P281" s="61">
        <f t="shared" si="323"/>
        <v>0</v>
      </c>
      <c r="Q281" s="61">
        <f t="shared" si="323"/>
        <v>0</v>
      </c>
      <c r="R281" s="61">
        <f t="shared" si="323"/>
        <v>0</v>
      </c>
      <c r="S281" s="61">
        <f t="shared" si="323"/>
        <v>0</v>
      </c>
      <c r="T281" s="61">
        <f>SUM(N281:S281)</f>
        <v>0</v>
      </c>
      <c r="U281" s="61">
        <f>T281+L281</f>
        <v>0</v>
      </c>
      <c r="V281" s="61">
        <f>V276</f>
        <v>0</v>
      </c>
      <c r="W281" s="72">
        <f>V281-U281</f>
        <v>0</v>
      </c>
      <c r="X281" s="63">
        <f>U276-U281</f>
        <v>0</v>
      </c>
    </row>
    <row r="282" spans="1:24" s="43" customFormat="1" ht="18" hidden="1" customHeight="1">
      <c r="A282" s="610"/>
      <c r="B282" s="583"/>
      <c r="C282" s="583"/>
      <c r="D282" s="202" t="str">
        <f>серпень!D282</f>
        <v>дотація</v>
      </c>
      <c r="E282" s="42"/>
      <c r="F282" s="42">
        <f t="shared" ref="F282:K282" si="324">F276</f>
        <v>0</v>
      </c>
      <c r="G282" s="42">
        <f t="shared" si="324"/>
        <v>0</v>
      </c>
      <c r="H282" s="42">
        <f t="shared" si="324"/>
        <v>0</v>
      </c>
      <c r="I282" s="42">
        <f t="shared" si="324"/>
        <v>0</v>
      </c>
      <c r="J282" s="42">
        <f t="shared" si="324"/>
        <v>0</v>
      </c>
      <c r="K282" s="42">
        <f t="shared" si="324"/>
        <v>0</v>
      </c>
      <c r="L282" s="42">
        <f>SUM(F282:K282)</f>
        <v>0</v>
      </c>
      <c r="M282" s="42">
        <f>L282/6</f>
        <v>0</v>
      </c>
      <c r="N282" s="42">
        <f t="shared" ref="N282:S282" si="325">N276+N275</f>
        <v>0</v>
      </c>
      <c r="O282" s="42">
        <f t="shared" si="325"/>
        <v>0</v>
      </c>
      <c r="P282" s="42">
        <f t="shared" si="325"/>
        <v>0</v>
      </c>
      <c r="Q282" s="42">
        <f t="shared" si="325"/>
        <v>0</v>
      </c>
      <c r="R282" s="42">
        <f t="shared" si="325"/>
        <v>0</v>
      </c>
      <c r="S282" s="42">
        <f t="shared" si="325"/>
        <v>0</v>
      </c>
      <c r="T282" s="42">
        <f>SUM(N282:S282)</f>
        <v>0</v>
      </c>
      <c r="U282" s="42">
        <f>T282+L282</f>
        <v>0</v>
      </c>
      <c r="V282" s="42">
        <f>V279</f>
        <v>0</v>
      </c>
      <c r="W282" s="42">
        <f>V282-U282</f>
        <v>0</v>
      </c>
    </row>
    <row r="283" spans="1:24" s="43" customFormat="1" ht="18" hidden="1" customHeight="1">
      <c r="A283" s="610"/>
      <c r="B283" s="583"/>
      <c r="C283" s="583"/>
      <c r="D283" s="202" t="str">
        <f>серпень!D283</f>
        <v xml:space="preserve">місцевий </v>
      </c>
      <c r="E283" s="42"/>
      <c r="F283" s="42">
        <f t="shared" ref="F283:K283" si="326">F279-F282</f>
        <v>0</v>
      </c>
      <c r="G283" s="42">
        <f t="shared" si="326"/>
        <v>0</v>
      </c>
      <c r="H283" s="42">
        <f t="shared" si="326"/>
        <v>0</v>
      </c>
      <c r="I283" s="42">
        <f t="shared" si="326"/>
        <v>0</v>
      </c>
      <c r="J283" s="42">
        <f t="shared" si="326"/>
        <v>0</v>
      </c>
      <c r="K283" s="42">
        <f t="shared" si="326"/>
        <v>0</v>
      </c>
      <c r="L283" s="42"/>
      <c r="M283" s="42"/>
      <c r="N283" s="42">
        <f t="shared" ref="N283:S283" si="327">N279-N282</f>
        <v>0</v>
      </c>
      <c r="O283" s="42">
        <f t="shared" si="327"/>
        <v>0</v>
      </c>
      <c r="P283" s="42">
        <f t="shared" si="327"/>
        <v>0</v>
      </c>
      <c r="Q283" s="42">
        <f t="shared" si="327"/>
        <v>0</v>
      </c>
      <c r="R283" s="42">
        <f t="shared" si="327"/>
        <v>0</v>
      </c>
      <c r="S283" s="42">
        <f t="shared" si="327"/>
        <v>0</v>
      </c>
      <c r="T283" s="42"/>
      <c r="U283" s="42"/>
      <c r="V283" s="42"/>
      <c r="W283" s="42"/>
    </row>
    <row r="284" spans="1:24" s="43" customFormat="1" ht="18" hidden="1" customHeight="1">
      <c r="A284" s="610"/>
      <c r="B284" s="583"/>
      <c r="C284" s="584"/>
      <c r="D284" s="202" t="str">
        <f>серпень!D284</f>
        <v>план</v>
      </c>
      <c r="E284" s="42"/>
      <c r="F284" s="42">
        <f>F283</f>
        <v>0</v>
      </c>
      <c r="G284" s="42">
        <f>G283+F284</f>
        <v>0</v>
      </c>
      <c r="H284" s="42">
        <f>H283+G284</f>
        <v>0</v>
      </c>
      <c r="I284" s="42">
        <f>I283+H284</f>
        <v>0</v>
      </c>
      <c r="J284" s="42">
        <f>J283+I284</f>
        <v>0</v>
      </c>
      <c r="K284" s="42">
        <f>K283+J284</f>
        <v>0</v>
      </c>
      <c r="L284" s="42"/>
      <c r="M284" s="42"/>
      <c r="N284" s="42">
        <f>N283+K284</f>
        <v>0</v>
      </c>
      <c r="O284" s="42">
        <f>O283+N284</f>
        <v>0</v>
      </c>
      <c r="P284" s="42">
        <f>P283+O284</f>
        <v>0</v>
      </c>
      <c r="Q284" s="42">
        <f>Q283+P284</f>
        <v>0</v>
      </c>
      <c r="R284" s="42">
        <f>R283+Q284</f>
        <v>0</v>
      </c>
      <c r="S284" s="42">
        <f>S283+R284</f>
        <v>0</v>
      </c>
      <c r="T284" s="42"/>
      <c r="U284" s="42"/>
      <c r="V284" s="42"/>
      <c r="W284" s="42"/>
    </row>
    <row r="285" spans="1:24" s="48" customFormat="1" ht="18" hidden="1" customHeight="1">
      <c r="A285" s="610"/>
      <c r="B285" s="583"/>
      <c r="C285" s="582" t="s">
        <v>96</v>
      </c>
      <c r="D285" s="178" t="s">
        <v>93</v>
      </c>
      <c r="E285" s="11"/>
      <c r="F285" s="12"/>
      <c r="G285" s="12"/>
      <c r="H285" s="12"/>
      <c r="I285" s="12"/>
      <c r="J285" s="12"/>
      <c r="K285" s="12"/>
      <c r="L285" s="65">
        <f>SUM(F285:K285)</f>
        <v>0</v>
      </c>
      <c r="M285" s="65">
        <f>L285/6</f>
        <v>0</v>
      </c>
      <c r="N285" s="12"/>
      <c r="O285" s="12"/>
      <c r="P285" s="12"/>
      <c r="Q285" s="12"/>
      <c r="R285" s="12"/>
      <c r="S285" s="12"/>
      <c r="T285" s="65">
        <f>SUM(N285:S285)</f>
        <v>0</v>
      </c>
      <c r="U285" s="66">
        <f>T285+L285</f>
        <v>0</v>
      </c>
      <c r="V285" s="67"/>
      <c r="W285" s="38">
        <f>V285-U285</f>
        <v>0</v>
      </c>
      <c r="X285" s="47"/>
    </row>
    <row r="286" spans="1:24" s="48" customFormat="1" ht="18" hidden="1" customHeight="1">
      <c r="A286" s="610"/>
      <c r="B286" s="583"/>
      <c r="C286" s="583"/>
      <c r="D286" s="178" t="s">
        <v>95</v>
      </c>
      <c r="E286" s="11"/>
      <c r="F286" s="12"/>
      <c r="G286" s="12"/>
      <c r="H286" s="12"/>
      <c r="I286" s="12"/>
      <c r="J286" s="12"/>
      <c r="K286" s="12"/>
      <c r="L286" s="65">
        <f>SUM(F286:K286)</f>
        <v>0</v>
      </c>
      <c r="M286" s="65">
        <f>L286/6</f>
        <v>0</v>
      </c>
      <c r="N286" s="11"/>
      <c r="O286" s="11"/>
      <c r="P286" s="11"/>
      <c r="Q286" s="11"/>
      <c r="R286" s="11"/>
      <c r="S286" s="11"/>
      <c r="T286" s="65">
        <f>SUM(N286:S286)</f>
        <v>0</v>
      </c>
      <c r="U286" s="66">
        <f>T286+L286</f>
        <v>0</v>
      </c>
      <c r="V286" s="67"/>
      <c r="W286" s="38">
        <f>V286-U286</f>
        <v>0</v>
      </c>
      <c r="X286" s="47"/>
    </row>
    <row r="287" spans="1:24" s="48" customFormat="1" ht="18" hidden="1" customHeight="1">
      <c r="A287" s="610"/>
      <c r="B287" s="583"/>
      <c r="C287" s="583"/>
      <c r="D287" s="178" t="s">
        <v>105</v>
      </c>
      <c r="E287" s="11"/>
      <c r="F287" s="12"/>
      <c r="G287" s="12"/>
      <c r="H287" s="12"/>
      <c r="I287" s="12"/>
      <c r="J287" s="12"/>
      <c r="K287" s="12"/>
      <c r="L287" s="65">
        <f>SUM(F287:K287)</f>
        <v>0</v>
      </c>
      <c r="M287" s="65">
        <f>L287/6</f>
        <v>0</v>
      </c>
      <c r="N287" s="12"/>
      <c r="O287" s="12"/>
      <c r="P287" s="12"/>
      <c r="Q287" s="12"/>
      <c r="R287" s="12"/>
      <c r="S287" s="11"/>
      <c r="T287" s="65">
        <f>SUM(N287:S287)</f>
        <v>0</v>
      </c>
      <c r="U287" s="66">
        <f>T287+L287</f>
        <v>0</v>
      </c>
      <c r="V287" s="11"/>
      <c r="W287" s="38">
        <f>V287-U287</f>
        <v>0</v>
      </c>
      <c r="X287" s="47"/>
    </row>
    <row r="288" spans="1:24" s="51" customFormat="1" ht="18" hidden="1" customHeight="1">
      <c r="A288" s="610"/>
      <c r="B288" s="583"/>
      <c r="C288" s="583"/>
      <c r="D288" s="187" t="s">
        <v>27</v>
      </c>
      <c r="E288" s="49"/>
      <c r="F288" s="49">
        <v>173.45</v>
      </c>
      <c r="G288" s="49">
        <v>173.45</v>
      </c>
      <c r="H288" s="49">
        <v>173.45</v>
      </c>
      <c r="I288" s="49">
        <v>173.45</v>
      </c>
      <c r="J288" s="49">
        <v>173.45</v>
      </c>
      <c r="K288" s="49">
        <v>173.45</v>
      </c>
      <c r="L288" s="49" t="e">
        <f>L289/L287*1000</f>
        <v>#DIV/0!</v>
      </c>
      <c r="M288" s="49" t="e">
        <f>M289/M287*1000</f>
        <v>#DIV/0!</v>
      </c>
      <c r="N288" s="49">
        <v>173.45</v>
      </c>
      <c r="O288" s="49">
        <v>173.45</v>
      </c>
      <c r="P288" s="49">
        <v>173.45</v>
      </c>
      <c r="Q288" s="49">
        <v>173.45</v>
      </c>
      <c r="R288" s="49">
        <v>173.45</v>
      </c>
      <c r="S288" s="49">
        <v>173.45</v>
      </c>
      <c r="T288" s="49" t="e">
        <f>T289/T287*1000</f>
        <v>#DIV/0!</v>
      </c>
      <c r="U288" s="49" t="e">
        <f>U289/U287*1000</f>
        <v>#DIV/0!</v>
      </c>
      <c r="V288" s="68" t="e">
        <f>V289/V287*1000</f>
        <v>#DIV/0!</v>
      </c>
      <c r="W288" s="14" t="e">
        <f>W289/W287*1000</f>
        <v>#DIV/0!</v>
      </c>
      <c r="X288" s="50"/>
    </row>
    <row r="289" spans="1:24" s="55" customFormat="1" ht="18" hidden="1" customHeight="1">
      <c r="A289" s="610"/>
      <c r="B289" s="583"/>
      <c r="C289" s="583"/>
      <c r="D289" s="191" t="s">
        <v>0</v>
      </c>
      <c r="E289" s="52"/>
      <c r="F289" s="52">
        <f t="shared" ref="F289:K289" si="328">F287*F288/1000</f>
        <v>0</v>
      </c>
      <c r="G289" s="52">
        <f t="shared" si="328"/>
        <v>0</v>
      </c>
      <c r="H289" s="52">
        <f t="shared" si="328"/>
        <v>0</v>
      </c>
      <c r="I289" s="52">
        <f t="shared" si="328"/>
        <v>0</v>
      </c>
      <c r="J289" s="52">
        <f t="shared" si="328"/>
        <v>0</v>
      </c>
      <c r="K289" s="52">
        <f t="shared" si="328"/>
        <v>0</v>
      </c>
      <c r="L289" s="69">
        <f>SUM(F289:K289)</f>
        <v>0</v>
      </c>
      <c r="M289" s="69">
        <f>L289/6</f>
        <v>0</v>
      </c>
      <c r="N289" s="52">
        <f t="shared" ref="N289:S289" si="329">N287*N288/1000</f>
        <v>0</v>
      </c>
      <c r="O289" s="52">
        <f t="shared" si="329"/>
        <v>0</v>
      </c>
      <c r="P289" s="52">
        <f t="shared" si="329"/>
        <v>0</v>
      </c>
      <c r="Q289" s="52">
        <f t="shared" si="329"/>
        <v>0</v>
      </c>
      <c r="R289" s="52">
        <f t="shared" si="329"/>
        <v>0</v>
      </c>
      <c r="S289" s="52">
        <f t="shared" si="329"/>
        <v>0</v>
      </c>
      <c r="T289" s="69">
        <f>SUM(N289:S289)</f>
        <v>0</v>
      </c>
      <c r="U289" s="69">
        <f>T289+L289</f>
        <v>0</v>
      </c>
      <c r="V289" s="70">
        <f>V290+V291</f>
        <v>0</v>
      </c>
      <c r="W289" s="53">
        <f>V289-U289</f>
        <v>0</v>
      </c>
      <c r="X289" s="54">
        <f>9891253.845/1000</f>
        <v>9891.2540000000008</v>
      </c>
    </row>
    <row r="290" spans="1:24" s="55" customFormat="1" ht="18" hidden="1" customHeight="1">
      <c r="A290" s="610"/>
      <c r="B290" s="583"/>
      <c r="C290" s="583"/>
      <c r="D290" s="174" t="s">
        <v>55</v>
      </c>
      <c r="E290" s="56"/>
      <c r="F290" s="52"/>
      <c r="G290" s="52"/>
      <c r="H290" s="52"/>
      <c r="I290" s="52"/>
      <c r="J290" s="52"/>
      <c r="K290" s="52"/>
      <c r="L290" s="69">
        <f>SUM(F290:K290)</f>
        <v>0</v>
      </c>
      <c r="M290" s="69">
        <f>L290/6</f>
        <v>0</v>
      </c>
      <c r="N290" s="52"/>
      <c r="O290" s="52"/>
      <c r="P290" s="52"/>
      <c r="Q290" s="52"/>
      <c r="R290" s="52"/>
      <c r="S290" s="52"/>
      <c r="T290" s="69">
        <f>SUM(N290:S290)</f>
        <v>0</v>
      </c>
      <c r="U290" s="69">
        <f>T290+L290</f>
        <v>0</v>
      </c>
      <c r="V290" s="70"/>
      <c r="W290" s="53">
        <f>V290-U290</f>
        <v>0</v>
      </c>
      <c r="X290" s="58"/>
    </row>
    <row r="291" spans="1:24" s="55" customFormat="1" ht="18" hidden="1" customHeight="1">
      <c r="A291" s="610"/>
      <c r="B291" s="583"/>
      <c r="C291" s="583"/>
      <c r="D291" s="174" t="s">
        <v>28</v>
      </c>
      <c r="E291" s="56"/>
      <c r="F291" s="52"/>
      <c r="G291" s="52"/>
      <c r="H291" s="52"/>
      <c r="I291" s="52"/>
      <c r="J291" s="52"/>
      <c r="K291" s="52"/>
      <c r="L291" s="69">
        <f>SUM(F291:K291)</f>
        <v>0</v>
      </c>
      <c r="M291" s="69">
        <f>L291/6</f>
        <v>0</v>
      </c>
      <c r="N291" s="52"/>
      <c r="O291" s="52"/>
      <c r="P291" s="52"/>
      <c r="Q291" s="52"/>
      <c r="R291" s="52"/>
      <c r="S291" s="52"/>
      <c r="T291" s="69">
        <f>SUM(N291:S291)</f>
        <v>0</v>
      </c>
      <c r="U291" s="69">
        <f>T291+L291</f>
        <v>0</v>
      </c>
      <c r="V291" s="70"/>
      <c r="W291" s="53">
        <f>V291-U291</f>
        <v>0</v>
      </c>
      <c r="X291" s="58"/>
    </row>
    <row r="292" spans="1:24" s="48" customFormat="1" ht="18" hidden="1" customHeight="1">
      <c r="A292" s="610"/>
      <c r="B292" s="583"/>
      <c r="C292" s="583"/>
      <c r="D292" s="178" t="s">
        <v>106</v>
      </c>
      <c r="E292" s="11"/>
      <c r="F292" s="11"/>
      <c r="G292" s="11"/>
      <c r="H292" s="11"/>
      <c r="I292" s="11"/>
      <c r="J292" s="11"/>
      <c r="K292" s="11"/>
      <c r="L292" s="65">
        <f>SUM(F292:K292)</f>
        <v>0</v>
      </c>
      <c r="M292" s="65">
        <f>L292/6</f>
        <v>0</v>
      </c>
      <c r="N292" s="11"/>
      <c r="O292" s="11"/>
      <c r="P292" s="11"/>
      <c r="Q292" s="11"/>
      <c r="R292" s="11"/>
      <c r="S292" s="11">
        <f>S287+R287</f>
        <v>0</v>
      </c>
      <c r="T292" s="65">
        <f>SUM(N292:S292)</f>
        <v>0</v>
      </c>
      <c r="U292" s="65">
        <f>T292+L292</f>
        <v>0</v>
      </c>
      <c r="V292" s="11">
        <f>V287</f>
        <v>0</v>
      </c>
      <c r="W292" s="38">
        <f>V292-U292</f>
        <v>0</v>
      </c>
      <c r="X292" s="47">
        <f>U287-U292</f>
        <v>0</v>
      </c>
    </row>
    <row r="293" spans="1:24" s="51" customFormat="1" ht="18" hidden="1" customHeight="1">
      <c r="A293" s="610"/>
      <c r="B293" s="583"/>
      <c r="C293" s="583"/>
      <c r="D293" s="187" t="s">
        <v>27</v>
      </c>
      <c r="E293" s="49" t="e">
        <f>E294/E292*1000</f>
        <v>#DIV/0!</v>
      </c>
      <c r="F293" s="49">
        <v>173.45</v>
      </c>
      <c r="G293" s="49">
        <v>173.45</v>
      </c>
      <c r="H293" s="49">
        <v>173.45</v>
      </c>
      <c r="I293" s="49">
        <v>173.45</v>
      </c>
      <c r="J293" s="49">
        <v>173.45</v>
      </c>
      <c r="K293" s="49">
        <v>173.45</v>
      </c>
      <c r="L293" s="49" t="e">
        <f>L294/L292*1000</f>
        <v>#DIV/0!</v>
      </c>
      <c r="M293" s="49" t="e">
        <f>M294/M292*1000</f>
        <v>#DIV/0!</v>
      </c>
      <c r="N293" s="49">
        <v>173.45</v>
      </c>
      <c r="O293" s="49">
        <v>173.45</v>
      </c>
      <c r="P293" s="49">
        <v>173.45</v>
      </c>
      <c r="Q293" s="49">
        <v>173.45</v>
      </c>
      <c r="R293" s="49">
        <v>173.45</v>
      </c>
      <c r="S293" s="49">
        <v>173.45</v>
      </c>
      <c r="T293" s="49" t="e">
        <f>T294/T292*1000</f>
        <v>#DIV/0!</v>
      </c>
      <c r="U293" s="49" t="e">
        <f>U294/U292*1000</f>
        <v>#DIV/0!</v>
      </c>
      <c r="V293" s="68" t="e">
        <f>V294/V292*1000</f>
        <v>#DIV/0!</v>
      </c>
      <c r="W293" s="14" t="e">
        <f>W294/W292*1000</f>
        <v>#DIV/0!</v>
      </c>
      <c r="X293" s="59"/>
    </row>
    <row r="294" spans="1:24" s="63" customFormat="1" ht="17.7" hidden="1" customHeight="1">
      <c r="A294" s="610"/>
      <c r="B294" s="583"/>
      <c r="C294" s="583"/>
      <c r="D294" s="198" t="s">
        <v>25</v>
      </c>
      <c r="E294" s="71"/>
      <c r="F294" s="61">
        <f t="shared" ref="F294:K294" si="330">F292*F293/1000</f>
        <v>0</v>
      </c>
      <c r="G294" s="61">
        <f t="shared" si="330"/>
        <v>0</v>
      </c>
      <c r="H294" s="61">
        <f t="shared" si="330"/>
        <v>0</v>
      </c>
      <c r="I294" s="61">
        <f t="shared" si="330"/>
        <v>0</v>
      </c>
      <c r="J294" s="61">
        <f t="shared" si="330"/>
        <v>0</v>
      </c>
      <c r="K294" s="61">
        <f t="shared" si="330"/>
        <v>0</v>
      </c>
      <c r="L294" s="61">
        <f>SUM(F294:K294)</f>
        <v>0</v>
      </c>
      <c r="M294" s="61">
        <f>L294/6</f>
        <v>0</v>
      </c>
      <c r="N294" s="61">
        <f t="shared" ref="N294:S294" si="331">N292*N293/1000</f>
        <v>0</v>
      </c>
      <c r="O294" s="61">
        <f t="shared" si="331"/>
        <v>0</v>
      </c>
      <c r="P294" s="61">
        <f t="shared" si="331"/>
        <v>0</v>
      </c>
      <c r="Q294" s="61">
        <f t="shared" si="331"/>
        <v>0</v>
      </c>
      <c r="R294" s="61">
        <f t="shared" si="331"/>
        <v>0</v>
      </c>
      <c r="S294" s="61">
        <f t="shared" si="331"/>
        <v>0</v>
      </c>
      <c r="T294" s="61">
        <f>SUM(N294:S294)</f>
        <v>0</v>
      </c>
      <c r="U294" s="61">
        <f>T294+L294</f>
        <v>0</v>
      </c>
      <c r="V294" s="61">
        <f>V289</f>
        <v>0</v>
      </c>
      <c r="W294" s="72">
        <f>V294-U294</f>
        <v>0</v>
      </c>
      <c r="X294" s="63">
        <f>U289-U294</f>
        <v>0</v>
      </c>
    </row>
    <row r="295" spans="1:24" s="63" customFormat="1" ht="18" hidden="1" customHeight="1">
      <c r="A295" s="610"/>
      <c r="B295" s="583"/>
      <c r="C295" s="583"/>
      <c r="D295" s="201" t="s">
        <v>55</v>
      </c>
      <c r="E295" s="71"/>
      <c r="F295" s="61"/>
      <c r="G295" s="61"/>
      <c r="H295" s="61"/>
      <c r="I295" s="61"/>
      <c r="J295" s="61"/>
      <c r="K295" s="61"/>
      <c r="L295" s="61">
        <f>SUM(F295:K295)</f>
        <v>0</v>
      </c>
      <c r="M295" s="61">
        <f>L295/6</f>
        <v>0</v>
      </c>
      <c r="N295" s="61"/>
      <c r="O295" s="61"/>
      <c r="P295" s="61"/>
      <c r="Q295" s="61"/>
      <c r="R295" s="61"/>
      <c r="S295" s="61"/>
      <c r="T295" s="61">
        <f>SUM(N295:S295)</f>
        <v>0</v>
      </c>
      <c r="U295" s="61">
        <f>T295+L295</f>
        <v>0</v>
      </c>
      <c r="V295" s="61">
        <f>V290</f>
        <v>0</v>
      </c>
      <c r="W295" s="72">
        <f>V295-U295</f>
        <v>0</v>
      </c>
      <c r="X295" s="63">
        <f>U290-U295</f>
        <v>0</v>
      </c>
    </row>
    <row r="296" spans="1:24" s="63" customFormat="1" ht="18" hidden="1" customHeight="1">
      <c r="A296" s="610"/>
      <c r="B296" s="583"/>
      <c r="C296" s="583"/>
      <c r="D296" s="201" t="s">
        <v>24</v>
      </c>
      <c r="E296" s="71"/>
      <c r="F296" s="61">
        <f t="shared" ref="F296:K296" si="332">F294-F295</f>
        <v>0</v>
      </c>
      <c r="G296" s="61">
        <f t="shared" si="332"/>
        <v>0</v>
      </c>
      <c r="H296" s="61">
        <f t="shared" si="332"/>
        <v>0</v>
      </c>
      <c r="I296" s="61">
        <f t="shared" si="332"/>
        <v>0</v>
      </c>
      <c r="J296" s="61">
        <f t="shared" si="332"/>
        <v>0</v>
      </c>
      <c r="K296" s="61">
        <f t="shared" si="332"/>
        <v>0</v>
      </c>
      <c r="L296" s="61">
        <f>SUM(F296:K296)</f>
        <v>0</v>
      </c>
      <c r="M296" s="61">
        <f>L296/6</f>
        <v>0</v>
      </c>
      <c r="N296" s="61">
        <f t="shared" ref="N296:S296" si="333">N294-N295</f>
        <v>0</v>
      </c>
      <c r="O296" s="61">
        <f t="shared" si="333"/>
        <v>0</v>
      </c>
      <c r="P296" s="61">
        <f t="shared" si="333"/>
        <v>0</v>
      </c>
      <c r="Q296" s="61">
        <f t="shared" si="333"/>
        <v>0</v>
      </c>
      <c r="R296" s="61">
        <f t="shared" si="333"/>
        <v>0</v>
      </c>
      <c r="S296" s="61">
        <f t="shared" si="333"/>
        <v>0</v>
      </c>
      <c r="T296" s="61">
        <f>SUM(N296:S296)</f>
        <v>0</v>
      </c>
      <c r="U296" s="61">
        <f>T296+L296</f>
        <v>0</v>
      </c>
      <c r="V296" s="61">
        <f>V291</f>
        <v>0</v>
      </c>
      <c r="W296" s="72">
        <f>V296-U296</f>
        <v>0</v>
      </c>
      <c r="X296" s="63">
        <f>U291-U296</f>
        <v>0</v>
      </c>
    </row>
    <row r="297" spans="1:24" s="43" customFormat="1" ht="18" hidden="1" customHeight="1">
      <c r="A297" s="610"/>
      <c r="B297" s="583"/>
      <c r="C297" s="583"/>
      <c r="D297" s="202" t="s">
        <v>29</v>
      </c>
      <c r="E297" s="42"/>
      <c r="F297" s="42">
        <f t="shared" ref="F297:K297" si="334">F291</f>
        <v>0</v>
      </c>
      <c r="G297" s="42">
        <f t="shared" si="334"/>
        <v>0</v>
      </c>
      <c r="H297" s="42">
        <f t="shared" si="334"/>
        <v>0</v>
      </c>
      <c r="I297" s="42">
        <f t="shared" si="334"/>
        <v>0</v>
      </c>
      <c r="J297" s="42">
        <f t="shared" si="334"/>
        <v>0</v>
      </c>
      <c r="K297" s="42">
        <f t="shared" si="334"/>
        <v>0</v>
      </c>
      <c r="L297" s="42">
        <f>SUM(F297:K297)</f>
        <v>0</v>
      </c>
      <c r="M297" s="42">
        <f>L297/6</f>
        <v>0</v>
      </c>
      <c r="N297" s="42">
        <f t="shared" ref="N297:S297" si="335">N291+N290</f>
        <v>0</v>
      </c>
      <c r="O297" s="42">
        <f t="shared" si="335"/>
        <v>0</v>
      </c>
      <c r="P297" s="42">
        <f t="shared" si="335"/>
        <v>0</v>
      </c>
      <c r="Q297" s="42">
        <f t="shared" si="335"/>
        <v>0</v>
      </c>
      <c r="R297" s="42">
        <f t="shared" si="335"/>
        <v>0</v>
      </c>
      <c r="S297" s="42">
        <f t="shared" si="335"/>
        <v>0</v>
      </c>
      <c r="T297" s="42">
        <f>SUM(N297:S297)</f>
        <v>0</v>
      </c>
      <c r="U297" s="42">
        <f>T297+L297</f>
        <v>0</v>
      </c>
      <c r="V297" s="42">
        <f>V294</f>
        <v>0</v>
      </c>
      <c r="W297" s="42">
        <f>V297-U297</f>
        <v>0</v>
      </c>
    </row>
    <row r="298" spans="1:24" s="43" customFormat="1" ht="18" hidden="1" customHeight="1">
      <c r="A298" s="610"/>
      <c r="B298" s="583"/>
      <c r="C298" s="583"/>
      <c r="D298" s="202" t="s">
        <v>30</v>
      </c>
      <c r="E298" s="42"/>
      <c r="F298" s="42">
        <f t="shared" ref="F298:K298" si="336">F294-F297</f>
        <v>0</v>
      </c>
      <c r="G298" s="42">
        <f t="shared" si="336"/>
        <v>0</v>
      </c>
      <c r="H298" s="42">
        <f t="shared" si="336"/>
        <v>0</v>
      </c>
      <c r="I298" s="42">
        <f t="shared" si="336"/>
        <v>0</v>
      </c>
      <c r="J298" s="42">
        <f t="shared" si="336"/>
        <v>0</v>
      </c>
      <c r="K298" s="42">
        <f t="shared" si="336"/>
        <v>0</v>
      </c>
      <c r="L298" s="42"/>
      <c r="M298" s="42"/>
      <c r="N298" s="42">
        <f t="shared" ref="N298:S298" si="337">N294-N297</f>
        <v>0</v>
      </c>
      <c r="O298" s="42">
        <f t="shared" si="337"/>
        <v>0</v>
      </c>
      <c r="P298" s="42">
        <f t="shared" si="337"/>
        <v>0</v>
      </c>
      <c r="Q298" s="42">
        <f t="shared" si="337"/>
        <v>0</v>
      </c>
      <c r="R298" s="42">
        <f t="shared" si="337"/>
        <v>0</v>
      </c>
      <c r="S298" s="42">
        <f t="shared" si="337"/>
        <v>0</v>
      </c>
      <c r="T298" s="42"/>
      <c r="U298" s="42"/>
      <c r="V298" s="42"/>
      <c r="W298" s="42"/>
    </row>
    <row r="299" spans="1:24" s="43" customFormat="1" ht="18" hidden="1" customHeight="1">
      <c r="A299" s="610"/>
      <c r="B299" s="583"/>
      <c r="C299" s="584"/>
      <c r="D299" s="202" t="s">
        <v>31</v>
      </c>
      <c r="E299" s="42"/>
      <c r="F299" s="42">
        <f>F298</f>
        <v>0</v>
      </c>
      <c r="G299" s="42">
        <f>G298+F299</f>
        <v>0</v>
      </c>
      <c r="H299" s="42">
        <f>H298+G299</f>
        <v>0</v>
      </c>
      <c r="I299" s="42">
        <f>I298+H299</f>
        <v>0</v>
      </c>
      <c r="J299" s="42">
        <f>J298+I299</f>
        <v>0</v>
      </c>
      <c r="K299" s="42">
        <f>K298+J299</f>
        <v>0</v>
      </c>
      <c r="L299" s="42"/>
      <c r="M299" s="42"/>
      <c r="N299" s="42">
        <f>N298+K299</f>
        <v>0</v>
      </c>
      <c r="O299" s="42">
        <f>O298+N299</f>
        <v>0</v>
      </c>
      <c r="P299" s="42">
        <f>P298+O299</f>
        <v>0</v>
      </c>
      <c r="Q299" s="42">
        <f>Q298+P299</f>
        <v>0</v>
      </c>
      <c r="R299" s="42">
        <f>R298+Q299</f>
        <v>0</v>
      </c>
      <c r="S299" s="42">
        <f>S298+R299</f>
        <v>0</v>
      </c>
      <c r="T299" s="42"/>
      <c r="U299" s="42"/>
      <c r="V299" s="42"/>
      <c r="W299" s="42"/>
    </row>
    <row r="300" spans="1:24" s="47" customFormat="1" ht="18" hidden="1" customHeight="1">
      <c r="A300" s="610"/>
      <c r="B300" s="581" t="s">
        <v>59</v>
      </c>
      <c r="C300" s="582" t="s">
        <v>97</v>
      </c>
      <c r="D300" s="178" t="s">
        <v>93</v>
      </c>
      <c r="E300" s="11"/>
      <c r="F300" s="12">
        <v>0</v>
      </c>
      <c r="G300" s="12">
        <v>57</v>
      </c>
      <c r="H300" s="12">
        <v>138.27500000000001</v>
      </c>
      <c r="I300" s="12">
        <v>0</v>
      </c>
      <c r="J300" s="12">
        <v>0</v>
      </c>
      <c r="K300" s="12">
        <v>0</v>
      </c>
      <c r="L300" s="65">
        <f>SUM(F300:K300)</f>
        <v>195.3</v>
      </c>
      <c r="M300" s="65">
        <f>L300/6</f>
        <v>32.6</v>
      </c>
      <c r="N300" s="11">
        <v>41.4</v>
      </c>
      <c r="O300" s="11">
        <v>0</v>
      </c>
      <c r="P300" s="11">
        <v>269.2</v>
      </c>
      <c r="Q300" s="11">
        <v>328</v>
      </c>
      <c r="R300" s="11">
        <v>325.39999999999998</v>
      </c>
      <c r="S300" s="11">
        <v>432.8</v>
      </c>
      <c r="T300" s="65">
        <f>SUM(N300:S300)</f>
        <v>1396.8</v>
      </c>
      <c r="U300" s="66">
        <f>T300+L300</f>
        <v>1592.1</v>
      </c>
      <c r="V300" s="46"/>
      <c r="W300" s="38"/>
    </row>
    <row r="301" spans="1:24" s="47" customFormat="1" ht="18" hidden="1" customHeight="1">
      <c r="A301" s="610"/>
      <c r="B301" s="581"/>
      <c r="C301" s="583"/>
      <c r="D301" s="178" t="s">
        <v>95</v>
      </c>
      <c r="E301" s="11"/>
      <c r="F301" s="12">
        <v>0</v>
      </c>
      <c r="G301" s="12">
        <v>170</v>
      </c>
      <c r="H301" s="12">
        <v>36.5</v>
      </c>
      <c r="I301" s="12">
        <v>149.80000000000001</v>
      </c>
      <c r="J301" s="12">
        <v>169.4</v>
      </c>
      <c r="K301" s="12">
        <v>0</v>
      </c>
      <c r="L301" s="65">
        <f>SUM(F301:K301)</f>
        <v>525.70000000000005</v>
      </c>
      <c r="M301" s="65">
        <f>L301/6</f>
        <v>87.6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65">
        <f>SUM(N301:S301)</f>
        <v>0</v>
      </c>
      <c r="U301" s="66">
        <f>T301+L301</f>
        <v>525.70000000000005</v>
      </c>
      <c r="V301" s="46"/>
      <c r="W301" s="38"/>
    </row>
    <row r="302" spans="1:24" s="47" customFormat="1" ht="18" hidden="1" customHeight="1">
      <c r="A302" s="610"/>
      <c r="B302" s="581"/>
      <c r="C302" s="583"/>
      <c r="D302" s="178" t="s">
        <v>105</v>
      </c>
      <c r="E302" s="11"/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65">
        <f>SUM(F302:K302)</f>
        <v>0</v>
      </c>
      <c r="M302" s="65">
        <f>L302/6</f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65">
        <f>SUM(N302:S302)</f>
        <v>0</v>
      </c>
      <c r="U302" s="66">
        <f>T302+L302</f>
        <v>0</v>
      </c>
      <c r="V302" s="11">
        <v>0</v>
      </c>
      <c r="W302" s="38">
        <f>U302-V302</f>
        <v>0</v>
      </c>
    </row>
    <row r="303" spans="1:24" s="47" customFormat="1" ht="18" hidden="1" customHeight="1">
      <c r="A303" s="610"/>
      <c r="B303" s="581"/>
      <c r="C303" s="583"/>
      <c r="D303" s="187" t="s">
        <v>27</v>
      </c>
      <c r="E303" s="49" t="e">
        <f t="shared" ref="E303:M303" si="338">E304/E302*1000</f>
        <v>#DIV/0!</v>
      </c>
      <c r="F303" s="49"/>
      <c r="G303" s="49"/>
      <c r="H303" s="49"/>
      <c r="I303" s="49"/>
      <c r="J303" s="49"/>
      <c r="K303" s="49"/>
      <c r="L303" s="49" t="e">
        <f t="shared" si="338"/>
        <v>#DIV/0!</v>
      </c>
      <c r="M303" s="49" t="e">
        <f t="shared" si="338"/>
        <v>#DIV/0!</v>
      </c>
      <c r="N303" s="49"/>
      <c r="O303" s="49"/>
      <c r="P303" s="49"/>
      <c r="Q303" s="49"/>
      <c r="R303" s="49"/>
      <c r="S303" s="49"/>
      <c r="T303" s="49" t="e">
        <f>T304/T302*1000</f>
        <v>#DIV/0!</v>
      </c>
      <c r="U303" s="49" t="e">
        <f>U304/U302*1000</f>
        <v>#DIV/0!</v>
      </c>
      <c r="V303" s="68" t="e">
        <f>V304/V302*1000</f>
        <v>#DIV/0!</v>
      </c>
      <c r="W303" s="14" t="e">
        <f>W304/W302*1000</f>
        <v>#DIV/0!</v>
      </c>
    </row>
    <row r="304" spans="1:24" s="47" customFormat="1" ht="18" hidden="1" customHeight="1">
      <c r="A304" s="610"/>
      <c r="B304" s="581"/>
      <c r="C304" s="583"/>
      <c r="D304" s="191" t="s">
        <v>0</v>
      </c>
      <c r="E304" s="52"/>
      <c r="F304" s="52">
        <v>0</v>
      </c>
      <c r="G304" s="52">
        <v>0</v>
      </c>
      <c r="H304" s="52">
        <v>0</v>
      </c>
      <c r="I304" s="52">
        <v>0</v>
      </c>
      <c r="J304" s="52">
        <v>0</v>
      </c>
      <c r="K304" s="52">
        <v>0</v>
      </c>
      <c r="L304" s="69">
        <f>SUM(F304:K304)</f>
        <v>0</v>
      </c>
      <c r="M304" s="69">
        <f>L304/6</f>
        <v>0</v>
      </c>
      <c r="N304" s="52">
        <v>0</v>
      </c>
      <c r="O304" s="52">
        <v>0</v>
      </c>
      <c r="P304" s="52">
        <v>0</v>
      </c>
      <c r="Q304" s="52">
        <v>0</v>
      </c>
      <c r="R304" s="52">
        <f>R302*R303/1000</f>
        <v>0</v>
      </c>
      <c r="S304" s="52">
        <f>S302*S303/1000</f>
        <v>0</v>
      </c>
      <c r="T304" s="69">
        <f>SUM(N304:S304)</f>
        <v>0</v>
      </c>
      <c r="U304" s="69">
        <f>T304+L304</f>
        <v>0</v>
      </c>
      <c r="V304" s="70">
        <f>V305+V306</f>
        <v>0</v>
      </c>
      <c r="W304" s="53">
        <f>V304-U304</f>
        <v>0</v>
      </c>
    </row>
    <row r="305" spans="1:24" s="47" customFormat="1" ht="18" hidden="1" customHeight="1">
      <c r="A305" s="610"/>
      <c r="B305" s="581"/>
      <c r="C305" s="583"/>
      <c r="D305" s="174" t="s">
        <v>55</v>
      </c>
      <c r="E305" s="56"/>
      <c r="F305" s="52"/>
      <c r="G305" s="52"/>
      <c r="H305" s="52"/>
      <c r="I305" s="52"/>
      <c r="J305" s="52"/>
      <c r="K305" s="52"/>
      <c r="L305" s="69">
        <f>SUM(F305:K305)</f>
        <v>0</v>
      </c>
      <c r="M305" s="69">
        <f>L305/6</f>
        <v>0</v>
      </c>
      <c r="N305" s="52"/>
      <c r="O305" s="52"/>
      <c r="P305" s="52"/>
      <c r="Q305" s="52"/>
      <c r="R305" s="52"/>
      <c r="S305" s="52"/>
      <c r="T305" s="69">
        <f>SUM(N305:S305)</f>
        <v>0</v>
      </c>
      <c r="U305" s="69">
        <f>T305+L305</f>
        <v>0</v>
      </c>
      <c r="V305" s="70"/>
      <c r="W305" s="53">
        <f>V305-U305</f>
        <v>0</v>
      </c>
    </row>
    <row r="306" spans="1:24" s="47" customFormat="1" ht="18" hidden="1" customHeight="1">
      <c r="A306" s="610"/>
      <c r="B306" s="581"/>
      <c r="C306" s="583"/>
      <c r="D306" s="174" t="s">
        <v>28</v>
      </c>
      <c r="E306" s="56"/>
      <c r="F306" s="52">
        <v>0</v>
      </c>
      <c r="G306" s="52">
        <v>0</v>
      </c>
      <c r="H306" s="52">
        <v>0</v>
      </c>
      <c r="I306" s="52">
        <v>0</v>
      </c>
      <c r="J306" s="52">
        <v>0</v>
      </c>
      <c r="K306" s="52">
        <v>0</v>
      </c>
      <c r="L306" s="69">
        <f>SUM(F306:K306)</f>
        <v>0</v>
      </c>
      <c r="M306" s="69">
        <f>L306/6</f>
        <v>0</v>
      </c>
      <c r="N306" s="52">
        <v>0</v>
      </c>
      <c r="O306" s="52">
        <v>0</v>
      </c>
      <c r="P306" s="52">
        <v>0</v>
      </c>
      <c r="Q306" s="52">
        <v>0</v>
      </c>
      <c r="R306" s="52">
        <v>0</v>
      </c>
      <c r="S306" s="52">
        <v>0</v>
      </c>
      <c r="T306" s="69">
        <f>SUM(N306:S306)</f>
        <v>0</v>
      </c>
      <c r="U306" s="69">
        <f>T306+L306</f>
        <v>0</v>
      </c>
      <c r="V306" s="70">
        <v>0</v>
      </c>
      <c r="W306" s="53">
        <f>V306-U306</f>
        <v>0</v>
      </c>
    </row>
    <row r="307" spans="1:24" s="47" customFormat="1" ht="18" hidden="1" customHeight="1">
      <c r="A307" s="610"/>
      <c r="B307" s="581"/>
      <c r="C307" s="583"/>
      <c r="D307" s="178" t="s">
        <v>106</v>
      </c>
      <c r="E307" s="11"/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65">
        <f>SUM(F307:K307)</f>
        <v>0</v>
      </c>
      <c r="M307" s="65">
        <f>L307/6</f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65">
        <f>SUM(N307:S307)</f>
        <v>0</v>
      </c>
      <c r="U307" s="65">
        <f>T307+L307</f>
        <v>0</v>
      </c>
      <c r="V307" s="11">
        <f>V302</f>
        <v>0</v>
      </c>
      <c r="W307" s="38">
        <f>V307-U307</f>
        <v>0</v>
      </c>
      <c r="X307" s="47">
        <f>U302-U307</f>
        <v>0</v>
      </c>
    </row>
    <row r="308" spans="1:24" s="47" customFormat="1" ht="18" hidden="1" customHeight="1">
      <c r="A308" s="610"/>
      <c r="B308" s="581"/>
      <c r="C308" s="583"/>
      <c r="D308" s="187" t="s">
        <v>27</v>
      </c>
      <c r="E308" s="49" t="e">
        <f t="shared" ref="E308" si="339">E309/E307*1000</f>
        <v>#DIV/0!</v>
      </c>
      <c r="F308" s="49"/>
      <c r="G308" s="49"/>
      <c r="H308" s="49"/>
      <c r="I308" s="49"/>
      <c r="J308" s="49"/>
      <c r="K308" s="49"/>
      <c r="L308" s="49" t="e">
        <f>L309/L307*1000</f>
        <v>#DIV/0!</v>
      </c>
      <c r="M308" s="49" t="e">
        <f>M309/M307*1000</f>
        <v>#DIV/0!</v>
      </c>
      <c r="N308" s="49"/>
      <c r="O308" s="49"/>
      <c r="P308" s="49"/>
      <c r="Q308" s="49"/>
      <c r="R308" s="49"/>
      <c r="S308" s="49"/>
      <c r="T308" s="49" t="e">
        <f>T309/T307*1000</f>
        <v>#DIV/0!</v>
      </c>
      <c r="U308" s="49" t="e">
        <f>U309/U307*1000</f>
        <v>#DIV/0!</v>
      </c>
      <c r="V308" s="68" t="e">
        <f>V309/V307*1000</f>
        <v>#DIV/0!</v>
      </c>
      <c r="W308" s="14" t="e">
        <f>W309/W307*1000</f>
        <v>#DIV/0!</v>
      </c>
    </row>
    <row r="309" spans="1:24" s="63" customFormat="1" ht="18" hidden="1" customHeight="1">
      <c r="A309" s="610"/>
      <c r="B309" s="581"/>
      <c r="C309" s="583"/>
      <c r="D309" s="198" t="s">
        <v>25</v>
      </c>
      <c r="E309" s="71"/>
      <c r="F309" s="61">
        <f t="shared" ref="F309:K309" si="340">F307*F308/1000</f>
        <v>0</v>
      </c>
      <c r="G309" s="61">
        <f t="shared" si="340"/>
        <v>0</v>
      </c>
      <c r="H309" s="61">
        <f t="shared" si="340"/>
        <v>0</v>
      </c>
      <c r="I309" s="61">
        <f t="shared" si="340"/>
        <v>0</v>
      </c>
      <c r="J309" s="61">
        <f t="shared" si="340"/>
        <v>0</v>
      </c>
      <c r="K309" s="61">
        <f t="shared" si="340"/>
        <v>0</v>
      </c>
      <c r="L309" s="61">
        <f>SUM(F309:K309)</f>
        <v>0</v>
      </c>
      <c r="M309" s="61">
        <f>L309/6</f>
        <v>0</v>
      </c>
      <c r="N309" s="61">
        <v>0</v>
      </c>
      <c r="O309" s="61">
        <v>0</v>
      </c>
      <c r="P309" s="61">
        <v>0</v>
      </c>
      <c r="Q309" s="61">
        <v>0</v>
      </c>
      <c r="R309" s="61">
        <v>0</v>
      </c>
      <c r="S309" s="61">
        <f>S307*S308/1000</f>
        <v>0</v>
      </c>
      <c r="T309" s="61">
        <f>SUM(N309:S309)</f>
        <v>0</v>
      </c>
      <c r="U309" s="61">
        <f>T309+L309</f>
        <v>0</v>
      </c>
      <c r="V309" s="61">
        <f>V304</f>
        <v>0</v>
      </c>
      <c r="W309" s="72">
        <f>V309-U309</f>
        <v>0</v>
      </c>
      <c r="X309" s="63">
        <f>U304-U309</f>
        <v>0</v>
      </c>
    </row>
    <row r="310" spans="1:24" s="63" customFormat="1" ht="18" hidden="1" customHeight="1">
      <c r="A310" s="610"/>
      <c r="B310" s="581"/>
      <c r="C310" s="583"/>
      <c r="D310" s="201" t="s">
        <v>55</v>
      </c>
      <c r="E310" s="71"/>
      <c r="F310" s="61"/>
      <c r="G310" s="61"/>
      <c r="H310" s="61"/>
      <c r="I310" s="61"/>
      <c r="J310" s="61"/>
      <c r="K310" s="61"/>
      <c r="L310" s="61">
        <f>SUM(F310:K310)</f>
        <v>0</v>
      </c>
      <c r="M310" s="61">
        <f>L310/6</f>
        <v>0</v>
      </c>
      <c r="N310" s="61"/>
      <c r="O310" s="61"/>
      <c r="P310" s="61"/>
      <c r="Q310" s="61"/>
      <c r="R310" s="61"/>
      <c r="S310" s="61"/>
      <c r="T310" s="61">
        <f>SUM(N310:S310)</f>
        <v>0</v>
      </c>
      <c r="U310" s="61">
        <f>T310+L310</f>
        <v>0</v>
      </c>
      <c r="V310" s="61">
        <f>V305</f>
        <v>0</v>
      </c>
      <c r="W310" s="72">
        <f>V310-U310</f>
        <v>0</v>
      </c>
      <c r="X310" s="63">
        <f>U305-U310</f>
        <v>0</v>
      </c>
    </row>
    <row r="311" spans="1:24" s="63" customFormat="1" ht="18" hidden="1" customHeight="1">
      <c r="A311" s="610"/>
      <c r="B311" s="581"/>
      <c r="C311" s="583"/>
      <c r="D311" s="201" t="s">
        <v>24</v>
      </c>
      <c r="E311" s="71"/>
      <c r="F311" s="61">
        <f t="shared" ref="F311:K311" si="341">F309-F310</f>
        <v>0</v>
      </c>
      <c r="G311" s="61">
        <f t="shared" si="341"/>
        <v>0</v>
      </c>
      <c r="H311" s="61">
        <f t="shared" si="341"/>
        <v>0</v>
      </c>
      <c r="I311" s="61">
        <f t="shared" si="341"/>
        <v>0</v>
      </c>
      <c r="J311" s="61">
        <f t="shared" si="341"/>
        <v>0</v>
      </c>
      <c r="K311" s="61">
        <f t="shared" si="341"/>
        <v>0</v>
      </c>
      <c r="L311" s="61">
        <f>SUM(F311:K311)</f>
        <v>0</v>
      </c>
      <c r="M311" s="61">
        <f>L311/6</f>
        <v>0</v>
      </c>
      <c r="N311" s="61">
        <f t="shared" ref="N311:S311" si="342">N309-N310</f>
        <v>0</v>
      </c>
      <c r="O311" s="61">
        <f t="shared" si="342"/>
        <v>0</v>
      </c>
      <c r="P311" s="61">
        <f t="shared" si="342"/>
        <v>0</v>
      </c>
      <c r="Q311" s="61">
        <f t="shared" si="342"/>
        <v>0</v>
      </c>
      <c r="R311" s="61">
        <f t="shared" si="342"/>
        <v>0</v>
      </c>
      <c r="S311" s="61">
        <f t="shared" si="342"/>
        <v>0</v>
      </c>
      <c r="T311" s="61">
        <f>SUM(N311:S311)</f>
        <v>0</v>
      </c>
      <c r="U311" s="61">
        <f>T311+L311</f>
        <v>0</v>
      </c>
      <c r="V311" s="61">
        <f>V306</f>
        <v>0</v>
      </c>
      <c r="W311" s="72">
        <f>V311-U311</f>
        <v>0</v>
      </c>
      <c r="X311" s="63">
        <f>U306-U311</f>
        <v>0</v>
      </c>
    </row>
    <row r="312" spans="1:24" s="43" customFormat="1" ht="18" hidden="1" customHeight="1">
      <c r="A312" s="610"/>
      <c r="B312" s="581"/>
      <c r="C312" s="583"/>
      <c r="D312" s="202" t="s">
        <v>29</v>
      </c>
      <c r="E312" s="42"/>
      <c r="F312" s="42">
        <f t="shared" ref="F312:K312" si="343">F306</f>
        <v>0</v>
      </c>
      <c r="G312" s="42">
        <f t="shared" si="343"/>
        <v>0</v>
      </c>
      <c r="H312" s="42">
        <f t="shared" si="343"/>
        <v>0</v>
      </c>
      <c r="I312" s="42">
        <f t="shared" si="343"/>
        <v>0</v>
      </c>
      <c r="J312" s="42">
        <f t="shared" si="343"/>
        <v>0</v>
      </c>
      <c r="K312" s="42">
        <f t="shared" si="343"/>
        <v>0</v>
      </c>
      <c r="L312" s="42">
        <f>SUM(F312:K312)</f>
        <v>0</v>
      </c>
      <c r="M312" s="42">
        <f>L312/6</f>
        <v>0</v>
      </c>
      <c r="N312" s="42">
        <f t="shared" ref="N312:S312" si="344">N306+N305</f>
        <v>0</v>
      </c>
      <c r="O312" s="42">
        <f t="shared" si="344"/>
        <v>0</v>
      </c>
      <c r="P312" s="42">
        <f t="shared" si="344"/>
        <v>0</v>
      </c>
      <c r="Q312" s="42">
        <f t="shared" si="344"/>
        <v>0</v>
      </c>
      <c r="R312" s="42">
        <f t="shared" si="344"/>
        <v>0</v>
      </c>
      <c r="S312" s="42">
        <f t="shared" si="344"/>
        <v>0</v>
      </c>
      <c r="T312" s="42">
        <f>SUM(N312:S312)</f>
        <v>0</v>
      </c>
      <c r="U312" s="42">
        <f>T312+L312</f>
        <v>0</v>
      </c>
      <c r="V312" s="42">
        <f>V309</f>
        <v>0</v>
      </c>
      <c r="W312" s="42">
        <f>V312-U312</f>
        <v>0</v>
      </c>
    </row>
    <row r="313" spans="1:24" s="43" customFormat="1" ht="18" hidden="1" customHeight="1">
      <c r="A313" s="610"/>
      <c r="B313" s="581"/>
      <c r="C313" s="583"/>
      <c r="D313" s="202" t="s">
        <v>30</v>
      </c>
      <c r="E313" s="42"/>
      <c r="F313" s="42">
        <f t="shared" ref="F313:K313" si="345">F309-F312</f>
        <v>0</v>
      </c>
      <c r="G313" s="42">
        <f t="shared" si="345"/>
        <v>0</v>
      </c>
      <c r="H313" s="42">
        <f t="shared" si="345"/>
        <v>0</v>
      </c>
      <c r="I313" s="42">
        <f t="shared" si="345"/>
        <v>0</v>
      </c>
      <c r="J313" s="42">
        <f t="shared" si="345"/>
        <v>0</v>
      </c>
      <c r="K313" s="42">
        <f t="shared" si="345"/>
        <v>0</v>
      </c>
      <c r="L313" s="42"/>
      <c r="M313" s="42"/>
      <c r="N313" s="42">
        <f t="shared" ref="N313:S313" si="346">N309-N312</f>
        <v>0</v>
      </c>
      <c r="O313" s="42">
        <f t="shared" si="346"/>
        <v>0</v>
      </c>
      <c r="P313" s="42">
        <f t="shared" si="346"/>
        <v>0</v>
      </c>
      <c r="Q313" s="42">
        <f t="shared" si="346"/>
        <v>0</v>
      </c>
      <c r="R313" s="42">
        <f t="shared" si="346"/>
        <v>0</v>
      </c>
      <c r="S313" s="42">
        <f t="shared" si="346"/>
        <v>0</v>
      </c>
      <c r="T313" s="42"/>
      <c r="U313" s="42"/>
      <c r="V313" s="42"/>
      <c r="W313" s="42"/>
    </row>
    <row r="314" spans="1:24" s="43" customFormat="1" ht="18" hidden="1" customHeight="1">
      <c r="A314" s="610"/>
      <c r="B314" s="581"/>
      <c r="C314" s="584"/>
      <c r="D314" s="202" t="s">
        <v>31</v>
      </c>
      <c r="E314" s="42"/>
      <c r="F314" s="42">
        <f>F313</f>
        <v>0</v>
      </c>
      <c r="G314" s="42">
        <f>G313+F314</f>
        <v>0</v>
      </c>
      <c r="H314" s="42">
        <f>H313+G314</f>
        <v>0</v>
      </c>
      <c r="I314" s="42">
        <f>I313+H314</f>
        <v>0</v>
      </c>
      <c r="J314" s="42">
        <f>J313+I314</f>
        <v>0</v>
      </c>
      <c r="K314" s="42">
        <f>K313+J314</f>
        <v>0</v>
      </c>
      <c r="L314" s="42"/>
      <c r="M314" s="42"/>
      <c r="N314" s="42">
        <f>N313+K314</f>
        <v>0</v>
      </c>
      <c r="O314" s="42">
        <f>O313+N314</f>
        <v>0</v>
      </c>
      <c r="P314" s="42">
        <f>P313+O314</f>
        <v>0</v>
      </c>
      <c r="Q314" s="42">
        <f>Q313+P314</f>
        <v>0</v>
      </c>
      <c r="R314" s="42">
        <f>R313+Q314</f>
        <v>0</v>
      </c>
      <c r="S314" s="42">
        <f>S313+R314</f>
        <v>0</v>
      </c>
      <c r="T314" s="42"/>
      <c r="U314" s="42"/>
      <c r="V314" s="42"/>
      <c r="W314" s="42"/>
    </row>
    <row r="315" spans="1:24" s="48" customFormat="1" ht="18" hidden="1" customHeight="1">
      <c r="A315" s="610"/>
      <c r="B315" s="581"/>
      <c r="C315" s="582" t="s">
        <v>96</v>
      </c>
      <c r="D315" s="178" t="s">
        <v>93</v>
      </c>
      <c r="E315" s="11"/>
      <c r="F315" s="12"/>
      <c r="G315" s="12"/>
      <c r="H315" s="12"/>
      <c r="I315" s="12"/>
      <c r="J315" s="12"/>
      <c r="K315" s="12"/>
      <c r="L315" s="65">
        <f>SUM(F315:K315)</f>
        <v>0</v>
      </c>
      <c r="M315" s="65">
        <f>L315/6</f>
        <v>0</v>
      </c>
      <c r="N315" s="12"/>
      <c r="O315" s="12"/>
      <c r="P315" s="12"/>
      <c r="Q315" s="12"/>
      <c r="R315" s="12"/>
      <c r="S315" s="12"/>
      <c r="T315" s="65">
        <f>SUM(N315:S315)</f>
        <v>0</v>
      </c>
      <c r="U315" s="66">
        <f>T315+L315</f>
        <v>0</v>
      </c>
      <c r="V315" s="67"/>
      <c r="W315" s="38">
        <f>V315-U315</f>
        <v>0</v>
      </c>
      <c r="X315" s="47"/>
    </row>
    <row r="316" spans="1:24" s="48" customFormat="1" ht="18" hidden="1" customHeight="1">
      <c r="A316" s="610"/>
      <c r="B316" s="581"/>
      <c r="C316" s="583"/>
      <c r="D316" s="178" t="s">
        <v>95</v>
      </c>
      <c r="E316" s="11"/>
      <c r="F316" s="12"/>
      <c r="G316" s="12"/>
      <c r="H316" s="12"/>
      <c r="I316" s="12"/>
      <c r="J316" s="12"/>
      <c r="K316" s="12"/>
      <c r="L316" s="65">
        <f>SUM(F316:K316)</f>
        <v>0</v>
      </c>
      <c r="M316" s="65">
        <f>L316/6</f>
        <v>0</v>
      </c>
      <c r="N316" s="11"/>
      <c r="O316" s="11"/>
      <c r="P316" s="11"/>
      <c r="Q316" s="11"/>
      <c r="R316" s="11"/>
      <c r="S316" s="11"/>
      <c r="T316" s="65">
        <f>SUM(N316:S316)</f>
        <v>0</v>
      </c>
      <c r="U316" s="66">
        <f>T316+L316</f>
        <v>0</v>
      </c>
      <c r="V316" s="67"/>
      <c r="W316" s="38">
        <f>V316-U316</f>
        <v>0</v>
      </c>
      <c r="X316" s="47"/>
    </row>
    <row r="317" spans="1:24" s="48" customFormat="1" ht="18" hidden="1" customHeight="1">
      <c r="A317" s="610"/>
      <c r="B317" s="581"/>
      <c r="C317" s="583"/>
      <c r="D317" s="178" t="s">
        <v>105</v>
      </c>
      <c r="E317" s="11"/>
      <c r="F317" s="12"/>
      <c r="G317" s="12"/>
      <c r="H317" s="12"/>
      <c r="I317" s="12"/>
      <c r="J317" s="12"/>
      <c r="K317" s="12"/>
      <c r="L317" s="65">
        <f>SUM(F317:K317)</f>
        <v>0</v>
      </c>
      <c r="M317" s="65">
        <f>L317/6</f>
        <v>0</v>
      </c>
      <c r="N317" s="12"/>
      <c r="O317" s="12"/>
      <c r="P317" s="12"/>
      <c r="Q317" s="12"/>
      <c r="R317" s="12"/>
      <c r="S317" s="11"/>
      <c r="T317" s="65">
        <f>SUM(N317:S317)</f>
        <v>0</v>
      </c>
      <c r="U317" s="66">
        <f>T317+L317</f>
        <v>0</v>
      </c>
      <c r="V317" s="11"/>
      <c r="W317" s="38">
        <f>V317-U317</f>
        <v>0</v>
      </c>
      <c r="X317" s="47"/>
    </row>
    <row r="318" spans="1:24" s="51" customFormat="1" ht="18" hidden="1" customHeight="1">
      <c r="A318" s="610"/>
      <c r="B318" s="581"/>
      <c r="C318" s="583"/>
      <c r="D318" s="187" t="s">
        <v>27</v>
      </c>
      <c r="E318" s="49"/>
      <c r="F318" s="49"/>
      <c r="G318" s="49"/>
      <c r="H318" s="49"/>
      <c r="I318" s="49"/>
      <c r="J318" s="188" t="e">
        <f t="shared" ref="J318:K318" si="347">J319/J317*1000</f>
        <v>#DIV/0!</v>
      </c>
      <c r="K318" s="188" t="e">
        <f t="shared" si="347"/>
        <v>#DIV/0!</v>
      </c>
      <c r="L318" s="49" t="e">
        <f>L319/L317*1000</f>
        <v>#DIV/0!</v>
      </c>
      <c r="M318" s="49" t="e">
        <f>M319/M317*1000</f>
        <v>#DIV/0!</v>
      </c>
      <c r="N318" s="49" t="e">
        <f>N319/N317*1000</f>
        <v>#DIV/0!</v>
      </c>
      <c r="O318" s="49" t="e">
        <f>O319/O317*1000</f>
        <v>#DIV/0!</v>
      </c>
      <c r="P318" s="49" t="e">
        <f>P319/P317*1000</f>
        <v>#DIV/0!</v>
      </c>
      <c r="Q318" s="49"/>
      <c r="R318" s="49"/>
      <c r="S318" s="49"/>
      <c r="T318" s="49" t="e">
        <f>T319/T317*1000</f>
        <v>#DIV/0!</v>
      </c>
      <c r="U318" s="49" t="e">
        <f>U319/U317*1000</f>
        <v>#DIV/0!</v>
      </c>
      <c r="V318" s="68" t="e">
        <f>V319/V317*1000</f>
        <v>#DIV/0!</v>
      </c>
      <c r="W318" s="14" t="e">
        <f>W319/W317*1000</f>
        <v>#DIV/0!</v>
      </c>
      <c r="X318" s="50"/>
    </row>
    <row r="319" spans="1:24" s="205" customFormat="1" ht="23.5" hidden="1" customHeight="1">
      <c r="A319" s="610"/>
      <c r="B319" s="581"/>
      <c r="C319" s="583"/>
      <c r="D319" s="191" t="s">
        <v>0</v>
      </c>
      <c r="E319" s="192"/>
      <c r="F319" s="192"/>
      <c r="G319" s="192"/>
      <c r="H319" s="192"/>
      <c r="I319" s="192"/>
      <c r="J319" s="192">
        <v>0</v>
      </c>
      <c r="K319" s="192">
        <v>0</v>
      </c>
      <c r="L319" s="194">
        <f>SUM(F319:K319)</f>
        <v>0</v>
      </c>
      <c r="M319" s="194">
        <f>L319/6</f>
        <v>0</v>
      </c>
      <c r="N319" s="192">
        <v>0</v>
      </c>
      <c r="O319" s="192">
        <v>0</v>
      </c>
      <c r="P319" s="192">
        <v>0</v>
      </c>
      <c r="Q319" s="192"/>
      <c r="R319" s="192"/>
      <c r="S319" s="192"/>
      <c r="T319" s="194">
        <f>SUM(N319:S319)</f>
        <v>0</v>
      </c>
      <c r="U319" s="194">
        <f>T319+L319</f>
        <v>0</v>
      </c>
      <c r="V319" s="171">
        <f>V320+V321</f>
        <v>0</v>
      </c>
      <c r="W319" s="192">
        <f>V319-U319</f>
        <v>0</v>
      </c>
    </row>
    <row r="320" spans="1:24" s="205" customFormat="1" ht="23.5" hidden="1" customHeight="1">
      <c r="A320" s="610"/>
      <c r="B320" s="581"/>
      <c r="C320" s="583"/>
      <c r="D320" s="174" t="s">
        <v>55</v>
      </c>
      <c r="E320" s="210"/>
      <c r="F320" s="192"/>
      <c r="G320" s="192"/>
      <c r="H320" s="192"/>
      <c r="I320" s="192"/>
      <c r="J320" s="192"/>
      <c r="K320" s="192"/>
      <c r="L320" s="194">
        <f>SUM(F320:K320)</f>
        <v>0</v>
      </c>
      <c r="M320" s="194">
        <f>L320/6</f>
        <v>0</v>
      </c>
      <c r="N320" s="192"/>
      <c r="O320" s="192"/>
      <c r="P320" s="192"/>
      <c r="Q320" s="192"/>
      <c r="R320" s="192"/>
      <c r="S320" s="192"/>
      <c r="T320" s="194">
        <f>SUM(N320:S320)</f>
        <v>0</v>
      </c>
      <c r="U320" s="194">
        <f>T320+L320</f>
        <v>0</v>
      </c>
      <c r="V320" s="171"/>
      <c r="W320" s="192">
        <f>V320-U320</f>
        <v>0</v>
      </c>
    </row>
    <row r="321" spans="1:24" s="205" customFormat="1" ht="23.5" hidden="1" customHeight="1">
      <c r="A321" s="610"/>
      <c r="B321" s="581"/>
      <c r="C321" s="583"/>
      <c r="D321" s="174" t="s">
        <v>28</v>
      </c>
      <c r="E321" s="210"/>
      <c r="F321" s="192"/>
      <c r="G321" s="192"/>
      <c r="H321" s="192"/>
      <c r="I321" s="192"/>
      <c r="J321" s="192"/>
      <c r="K321" s="192"/>
      <c r="L321" s="194">
        <f>SUM(F321:K321)</f>
        <v>0</v>
      </c>
      <c r="M321" s="194">
        <f>L321/6</f>
        <v>0</v>
      </c>
      <c r="N321" s="192"/>
      <c r="O321" s="192"/>
      <c r="P321" s="192"/>
      <c r="Q321" s="192"/>
      <c r="R321" s="192"/>
      <c r="S321" s="192"/>
      <c r="T321" s="194">
        <f>SUM(N321:S321)</f>
        <v>0</v>
      </c>
      <c r="U321" s="194">
        <f>T321+L321</f>
        <v>0</v>
      </c>
      <c r="V321" s="171"/>
      <c r="W321" s="192">
        <f>V321-U321</f>
        <v>0</v>
      </c>
    </row>
    <row r="322" spans="1:24" s="205" customFormat="1" ht="23.5" hidden="1" customHeight="1">
      <c r="A322" s="610"/>
      <c r="B322" s="581"/>
      <c r="C322" s="583"/>
      <c r="D322" s="178" t="s">
        <v>106</v>
      </c>
      <c r="E322" s="179"/>
      <c r="F322" s="184"/>
      <c r="G322" s="184"/>
      <c r="H322" s="179"/>
      <c r="I322" s="179"/>
      <c r="J322" s="216"/>
      <c r="K322" s="179"/>
      <c r="L322" s="215">
        <f>SUM(F322:K322)</f>
        <v>0</v>
      </c>
      <c r="M322" s="215">
        <f>L322/6</f>
        <v>0</v>
      </c>
      <c r="N322" s="179"/>
      <c r="O322" s="179"/>
      <c r="P322" s="179"/>
      <c r="Q322" s="179"/>
      <c r="R322" s="179"/>
      <c r="S322" s="179"/>
      <c r="T322" s="215">
        <f>SUM(N322:S322)</f>
        <v>0</v>
      </c>
      <c r="U322" s="215">
        <f>T322+L322</f>
        <v>0</v>
      </c>
      <c r="V322" s="179">
        <f>V317</f>
        <v>0</v>
      </c>
      <c r="W322" s="184">
        <f>V322-U322</f>
        <v>0</v>
      </c>
      <c r="X322" s="185">
        <f>U317-U322</f>
        <v>0</v>
      </c>
    </row>
    <row r="323" spans="1:24" s="205" customFormat="1" ht="23.5" hidden="1" customHeight="1">
      <c r="A323" s="610"/>
      <c r="B323" s="581"/>
      <c r="C323" s="583"/>
      <c r="D323" s="187" t="s">
        <v>27</v>
      </c>
      <c r="E323" s="188" t="e">
        <f t="shared" ref="E323:K323" si="348">E324/E322*1000</f>
        <v>#DIV/0!</v>
      </c>
      <c r="F323" s="188" t="e">
        <f t="shared" si="348"/>
        <v>#DIV/0!</v>
      </c>
      <c r="G323" s="188" t="e">
        <f t="shared" si="348"/>
        <v>#DIV/0!</v>
      </c>
      <c r="H323" s="188" t="e">
        <f t="shared" si="348"/>
        <v>#DIV/0!</v>
      </c>
      <c r="I323" s="188" t="e">
        <f t="shared" si="348"/>
        <v>#DIV/0!</v>
      </c>
      <c r="J323" s="188" t="e">
        <f t="shared" si="348"/>
        <v>#DIV/0!</v>
      </c>
      <c r="K323" s="188" t="e">
        <f t="shared" si="348"/>
        <v>#DIV/0!</v>
      </c>
      <c r="L323" s="217" t="e">
        <f>L324/L322*1000</f>
        <v>#DIV/0!</v>
      </c>
      <c r="M323" s="217" t="e">
        <f>M324/M322*1000</f>
        <v>#DIV/0!</v>
      </c>
      <c r="N323" s="188" t="e">
        <f t="shared" ref="N323:P323" si="349">N324/N322*1000</f>
        <v>#DIV/0!</v>
      </c>
      <c r="O323" s="188" t="e">
        <f t="shared" si="349"/>
        <v>#DIV/0!</v>
      </c>
      <c r="P323" s="188" t="e">
        <f t="shared" si="349"/>
        <v>#DIV/0!</v>
      </c>
      <c r="Q323" s="188" t="e">
        <f t="shared" ref="Q323" si="350">Q324/Q322*1000</f>
        <v>#DIV/0!</v>
      </c>
      <c r="R323" s="218"/>
      <c r="S323" s="218"/>
      <c r="T323" s="217" t="e">
        <f>T324/T322*1000</f>
        <v>#DIV/0!</v>
      </c>
      <c r="U323" s="217" t="e">
        <f>U324/U322*1000</f>
        <v>#DIV/0!</v>
      </c>
      <c r="V323" s="218" t="e">
        <f>V324/V322*1000</f>
        <v>#DIV/0!</v>
      </c>
      <c r="W323" s="219" t="e">
        <f>W324/W322*1000</f>
        <v>#DIV/0!</v>
      </c>
      <c r="X323" s="185"/>
    </row>
    <row r="324" spans="1:24" s="205" customFormat="1" ht="23.5" hidden="1" customHeight="1">
      <c r="A324" s="610"/>
      <c r="B324" s="581"/>
      <c r="C324" s="583"/>
      <c r="D324" s="198" t="s">
        <v>25</v>
      </c>
      <c r="E324" s="220"/>
      <c r="F324" s="199"/>
      <c r="G324" s="199"/>
      <c r="H324" s="199"/>
      <c r="I324" s="199"/>
      <c r="J324" s="199"/>
      <c r="K324" s="199">
        <v>0</v>
      </c>
      <c r="L324" s="199">
        <f>SUM(F324:K324)</f>
        <v>0</v>
      </c>
      <c r="M324" s="199">
        <f>L324/6</f>
        <v>0</v>
      </c>
      <c r="N324" s="199">
        <v>0</v>
      </c>
      <c r="O324" s="199">
        <v>0</v>
      </c>
      <c r="P324" s="199">
        <v>0</v>
      </c>
      <c r="Q324" s="199">
        <v>0</v>
      </c>
      <c r="R324" s="199"/>
      <c r="S324" s="199"/>
      <c r="T324" s="199">
        <f>SUM(N324:S324)</f>
        <v>0</v>
      </c>
      <c r="U324" s="199">
        <f>T324+L324</f>
        <v>0</v>
      </c>
      <c r="V324" s="199">
        <f>V319</f>
        <v>0</v>
      </c>
      <c r="W324" s="221">
        <f>V324-U324</f>
        <v>0</v>
      </c>
      <c r="X324" s="176">
        <f>U319-U324</f>
        <v>0</v>
      </c>
    </row>
    <row r="325" spans="1:24" s="205" customFormat="1" ht="23.5" hidden="1" customHeight="1">
      <c r="A325" s="610"/>
      <c r="B325" s="581"/>
      <c r="C325" s="583"/>
      <c r="D325" s="201" t="s">
        <v>55</v>
      </c>
      <c r="E325" s="220"/>
      <c r="F325" s="199">
        <v>0</v>
      </c>
      <c r="G325" s="199">
        <v>0</v>
      </c>
      <c r="H325" s="199">
        <v>0</v>
      </c>
      <c r="I325" s="199">
        <v>0</v>
      </c>
      <c r="J325" s="199">
        <v>0</v>
      </c>
      <c r="K325" s="199">
        <v>0</v>
      </c>
      <c r="L325" s="199">
        <f>SUM(F325:K325)</f>
        <v>0</v>
      </c>
      <c r="M325" s="199">
        <f>L325/6</f>
        <v>0</v>
      </c>
      <c r="N325" s="199">
        <v>0</v>
      </c>
      <c r="O325" s="199">
        <v>0</v>
      </c>
      <c r="P325" s="199">
        <v>0</v>
      </c>
      <c r="Q325" s="199">
        <v>0</v>
      </c>
      <c r="R325" s="199">
        <v>0</v>
      </c>
      <c r="S325" s="199">
        <v>0</v>
      </c>
      <c r="T325" s="199">
        <f>SUM(N325:S325)</f>
        <v>0</v>
      </c>
      <c r="U325" s="199">
        <f>T325+L325</f>
        <v>0</v>
      </c>
      <c r="V325" s="199">
        <f>V320</f>
        <v>0</v>
      </c>
      <c r="W325" s="221">
        <f>V325-U325</f>
        <v>0</v>
      </c>
      <c r="X325" s="176">
        <f>U320-U325</f>
        <v>0</v>
      </c>
    </row>
    <row r="326" spans="1:24" s="205" customFormat="1" ht="23.5" hidden="1" customHeight="1">
      <c r="A326" s="610"/>
      <c r="B326" s="581"/>
      <c r="C326" s="583"/>
      <c r="D326" s="201" t="s">
        <v>24</v>
      </c>
      <c r="E326" s="220"/>
      <c r="F326" s="199">
        <f t="shared" ref="F326:K326" si="351">F324-F325</f>
        <v>0</v>
      </c>
      <c r="G326" s="199">
        <f t="shared" si="351"/>
        <v>0</v>
      </c>
      <c r="H326" s="199">
        <f t="shared" si="351"/>
        <v>0</v>
      </c>
      <c r="I326" s="199">
        <f t="shared" si="351"/>
        <v>0</v>
      </c>
      <c r="J326" s="199">
        <f t="shared" si="351"/>
        <v>0</v>
      </c>
      <c r="K326" s="199">
        <f t="shared" si="351"/>
        <v>0</v>
      </c>
      <c r="L326" s="199">
        <f>SUM(F326:K326)</f>
        <v>0</v>
      </c>
      <c r="M326" s="199">
        <f>L326/6</f>
        <v>0</v>
      </c>
      <c r="N326" s="199">
        <f t="shared" ref="N326:S326" si="352">N324-N325</f>
        <v>0</v>
      </c>
      <c r="O326" s="199">
        <f t="shared" si="352"/>
        <v>0</v>
      </c>
      <c r="P326" s="199">
        <f t="shared" si="352"/>
        <v>0</v>
      </c>
      <c r="Q326" s="199">
        <f t="shared" si="352"/>
        <v>0</v>
      </c>
      <c r="R326" s="199">
        <f t="shared" si="352"/>
        <v>0</v>
      </c>
      <c r="S326" s="199">
        <f t="shared" si="352"/>
        <v>0</v>
      </c>
      <c r="T326" s="199">
        <f>SUM(N326:S326)</f>
        <v>0</v>
      </c>
      <c r="U326" s="199">
        <f>T326+L326</f>
        <v>0</v>
      </c>
      <c r="V326" s="199">
        <f>V321</f>
        <v>0</v>
      </c>
      <c r="W326" s="221">
        <f>V326-U326</f>
        <v>0</v>
      </c>
      <c r="X326" s="176">
        <f>U321-U326</f>
        <v>0</v>
      </c>
    </row>
    <row r="327" spans="1:24" s="43" customFormat="1" ht="18" hidden="1" customHeight="1">
      <c r="A327" s="610"/>
      <c r="B327" s="581"/>
      <c r="C327" s="583"/>
      <c r="D327" s="202" t="s">
        <v>29</v>
      </c>
      <c r="E327" s="42"/>
      <c r="F327" s="42">
        <f t="shared" ref="F327:K327" si="353">F321</f>
        <v>0</v>
      </c>
      <c r="G327" s="42">
        <f t="shared" si="353"/>
        <v>0</v>
      </c>
      <c r="H327" s="42">
        <f t="shared" si="353"/>
        <v>0</v>
      </c>
      <c r="I327" s="42">
        <f t="shared" si="353"/>
        <v>0</v>
      </c>
      <c r="J327" s="42">
        <f t="shared" si="353"/>
        <v>0</v>
      </c>
      <c r="K327" s="42">
        <f t="shared" si="353"/>
        <v>0</v>
      </c>
      <c r="L327" s="42">
        <f>SUM(F327:K327)</f>
        <v>0</v>
      </c>
      <c r="M327" s="42">
        <f>L327/6</f>
        <v>0</v>
      </c>
      <c r="N327" s="42">
        <f t="shared" ref="N327:S327" si="354">N321+N320</f>
        <v>0</v>
      </c>
      <c r="O327" s="42">
        <f t="shared" si="354"/>
        <v>0</v>
      </c>
      <c r="P327" s="42">
        <f t="shared" si="354"/>
        <v>0</v>
      </c>
      <c r="Q327" s="42">
        <f t="shared" si="354"/>
        <v>0</v>
      </c>
      <c r="R327" s="42">
        <f t="shared" si="354"/>
        <v>0</v>
      </c>
      <c r="S327" s="42">
        <f t="shared" si="354"/>
        <v>0</v>
      </c>
      <c r="T327" s="42">
        <f>SUM(N327:S327)</f>
        <v>0</v>
      </c>
      <c r="U327" s="42">
        <f>T327+L327</f>
        <v>0</v>
      </c>
      <c r="V327" s="42">
        <f>V324</f>
        <v>0</v>
      </c>
      <c r="W327" s="42">
        <f>V327-U327</f>
        <v>0</v>
      </c>
    </row>
    <row r="328" spans="1:24" s="43" customFormat="1" ht="18" hidden="1" customHeight="1">
      <c r="A328" s="610"/>
      <c r="B328" s="581"/>
      <c r="C328" s="583"/>
      <c r="D328" s="202" t="s">
        <v>30</v>
      </c>
      <c r="E328" s="42"/>
      <c r="F328" s="42">
        <f t="shared" ref="F328:K328" si="355">F324-F327</f>
        <v>0</v>
      </c>
      <c r="G328" s="42">
        <f t="shared" si="355"/>
        <v>0</v>
      </c>
      <c r="H328" s="42">
        <f t="shared" si="355"/>
        <v>0</v>
      </c>
      <c r="I328" s="42">
        <f t="shared" si="355"/>
        <v>0</v>
      </c>
      <c r="J328" s="42">
        <f t="shared" si="355"/>
        <v>0</v>
      </c>
      <c r="K328" s="42">
        <f t="shared" si="355"/>
        <v>0</v>
      </c>
      <c r="L328" s="42"/>
      <c r="M328" s="42"/>
      <c r="N328" s="42">
        <f t="shared" ref="N328:S328" si="356">N324-N327</f>
        <v>0</v>
      </c>
      <c r="O328" s="42">
        <f t="shared" si="356"/>
        <v>0</v>
      </c>
      <c r="P328" s="42">
        <f t="shared" si="356"/>
        <v>0</v>
      </c>
      <c r="Q328" s="42">
        <f t="shared" si="356"/>
        <v>0</v>
      </c>
      <c r="R328" s="42">
        <f t="shared" si="356"/>
        <v>0</v>
      </c>
      <c r="S328" s="42">
        <f t="shared" si="356"/>
        <v>0</v>
      </c>
      <c r="T328" s="42"/>
      <c r="U328" s="42"/>
      <c r="V328" s="42"/>
      <c r="W328" s="42"/>
    </row>
    <row r="329" spans="1:24" s="43" customFormat="1" ht="18" hidden="1" customHeight="1">
      <c r="A329" s="611"/>
      <c r="B329" s="581"/>
      <c r="C329" s="584"/>
      <c r="D329" s="202" t="s">
        <v>31</v>
      </c>
      <c r="E329" s="42"/>
      <c r="F329" s="42">
        <f>F328</f>
        <v>0</v>
      </c>
      <c r="G329" s="42">
        <f>G328+F329</f>
        <v>0</v>
      </c>
      <c r="H329" s="42">
        <f>H328+G329</f>
        <v>0</v>
      </c>
      <c r="I329" s="42">
        <f>I328+H329</f>
        <v>0</v>
      </c>
      <c r="J329" s="42">
        <f>J328+I329</f>
        <v>0</v>
      </c>
      <c r="K329" s="42">
        <f>K328+J329</f>
        <v>0</v>
      </c>
      <c r="L329" s="42"/>
      <c r="M329" s="42"/>
      <c r="N329" s="42">
        <f>N328+K329</f>
        <v>0</v>
      </c>
      <c r="O329" s="42">
        <f>O328+N329</f>
        <v>0</v>
      </c>
      <c r="P329" s="42">
        <f>P328+O329</f>
        <v>0</v>
      </c>
      <c r="Q329" s="42">
        <f>Q328+P329</f>
        <v>0</v>
      </c>
      <c r="R329" s="42">
        <f>R328+Q329</f>
        <v>0</v>
      </c>
      <c r="S329" s="42">
        <f>S328+R329</f>
        <v>0</v>
      </c>
      <c r="T329" s="42"/>
      <c r="U329" s="42"/>
      <c r="V329" s="42"/>
      <c r="W329" s="42"/>
    </row>
    <row r="330" spans="1:24" s="48" customFormat="1" ht="23.35" customHeight="1">
      <c r="A330" s="591">
        <v>2272</v>
      </c>
      <c r="B330" s="659" t="s">
        <v>34</v>
      </c>
      <c r="C330" s="660"/>
      <c r="D330" s="178" t="str">
        <f>серпень!D253</f>
        <v>факт. нат.п-ки 2023</v>
      </c>
      <c r="E330" s="11"/>
      <c r="F330" s="12">
        <f t="shared" ref="F330:K332" si="357">F347+F409</f>
        <v>1410</v>
      </c>
      <c r="G330" s="12">
        <f t="shared" si="357"/>
        <v>1319.5</v>
      </c>
      <c r="H330" s="12">
        <f t="shared" si="357"/>
        <v>1324.5</v>
      </c>
      <c r="I330" s="12">
        <f t="shared" si="357"/>
        <v>1592</v>
      </c>
      <c r="J330" s="12">
        <f t="shared" si="357"/>
        <v>1263.5</v>
      </c>
      <c r="K330" s="12">
        <f t="shared" si="357"/>
        <v>1561.5</v>
      </c>
      <c r="L330" s="65">
        <f>SUM(F330:K330)</f>
        <v>8471</v>
      </c>
      <c r="M330" s="65">
        <f>L330/6</f>
        <v>1411.8</v>
      </c>
      <c r="N330" s="12">
        <f t="shared" ref="N330:S332" si="358">N347+N409</f>
        <v>1406.3</v>
      </c>
      <c r="O330" s="12">
        <f t="shared" si="358"/>
        <v>1514</v>
      </c>
      <c r="P330" s="11">
        <f t="shared" si="358"/>
        <v>1391.2</v>
      </c>
      <c r="Q330" s="12">
        <f t="shared" si="358"/>
        <v>1927.7</v>
      </c>
      <c r="R330" s="12">
        <f t="shared" si="358"/>
        <v>1429.9</v>
      </c>
      <c r="S330" s="12">
        <f t="shared" si="358"/>
        <v>2310.3000000000002</v>
      </c>
      <c r="T330" s="65">
        <f>SUM(N330:S330)</f>
        <v>9979.4</v>
      </c>
      <c r="U330" s="65">
        <f>T330+L330</f>
        <v>18450.400000000001</v>
      </c>
      <c r="V330" s="75">
        <f>V347+V409</f>
        <v>16503</v>
      </c>
      <c r="W330" s="38"/>
      <c r="X330" s="47"/>
    </row>
    <row r="331" spans="1:24" s="48" customFormat="1" ht="23.35" customHeight="1">
      <c r="A331" s="592"/>
      <c r="B331" s="661"/>
      <c r="C331" s="662"/>
      <c r="D331" s="178" t="str">
        <f>серпень!D254</f>
        <v>факт. нат.п-ки 2024</v>
      </c>
      <c r="E331" s="11"/>
      <c r="F331" s="12">
        <f t="shared" si="357"/>
        <v>964.5</v>
      </c>
      <c r="G331" s="12">
        <f t="shared" si="357"/>
        <v>1409.5</v>
      </c>
      <c r="H331" s="12">
        <f t="shared" si="357"/>
        <v>1452.3</v>
      </c>
      <c r="I331" s="12">
        <f t="shared" si="357"/>
        <v>1765.3</v>
      </c>
      <c r="J331" s="12">
        <f t="shared" si="357"/>
        <v>1029.5</v>
      </c>
      <c r="K331" s="12">
        <f t="shared" si="357"/>
        <v>1269</v>
      </c>
      <c r="L331" s="65">
        <f>SUM(F331:K331)</f>
        <v>7890.1</v>
      </c>
      <c r="M331" s="65">
        <f>L331/6</f>
        <v>1315</v>
      </c>
      <c r="N331" s="12">
        <f t="shared" si="358"/>
        <v>791.5</v>
      </c>
      <c r="O331" s="12">
        <f t="shared" si="358"/>
        <v>744.5</v>
      </c>
      <c r="P331" s="11">
        <f t="shared" si="358"/>
        <v>794.8</v>
      </c>
      <c r="Q331" s="12">
        <f t="shared" si="358"/>
        <v>849.4</v>
      </c>
      <c r="R331" s="12">
        <f t="shared" si="358"/>
        <v>1304.5</v>
      </c>
      <c r="S331" s="12">
        <f t="shared" si="358"/>
        <v>2062</v>
      </c>
      <c r="T331" s="65">
        <f>SUM(N331:S331)</f>
        <v>6546.7</v>
      </c>
      <c r="U331" s="65">
        <f>T331+L331</f>
        <v>14436.8</v>
      </c>
      <c r="V331" s="75">
        <f>V348+V410</f>
        <v>13845</v>
      </c>
      <c r="W331" s="38"/>
      <c r="X331" s="47"/>
    </row>
    <row r="332" spans="1:24" s="48" customFormat="1" ht="23.35" customHeight="1">
      <c r="A332" s="592"/>
      <c r="B332" s="661"/>
      <c r="C332" s="662"/>
      <c r="D332" s="178" t="str">
        <f>серпень!D255</f>
        <v>факт. нат.п-ки 2025</v>
      </c>
      <c r="E332" s="11"/>
      <c r="F332" s="12">
        <f t="shared" si="357"/>
        <v>795.3</v>
      </c>
      <c r="G332" s="12">
        <f t="shared" si="357"/>
        <v>772.6</v>
      </c>
      <c r="H332" s="12">
        <f t="shared" si="357"/>
        <v>1160.8</v>
      </c>
      <c r="I332" s="12">
        <f t="shared" si="357"/>
        <v>1135.7</v>
      </c>
      <c r="J332" s="12">
        <f t="shared" si="357"/>
        <v>1342.3</v>
      </c>
      <c r="K332" s="12">
        <f t="shared" si="357"/>
        <v>1231.9000000000001</v>
      </c>
      <c r="L332" s="122">
        <f>SUM(F332:K332)</f>
        <v>6438.6</v>
      </c>
      <c r="M332" s="65">
        <f>L332/6</f>
        <v>1073.0999999999999</v>
      </c>
      <c r="N332" s="12">
        <f t="shared" si="358"/>
        <v>1347.7</v>
      </c>
      <c r="O332" s="12">
        <f t="shared" si="358"/>
        <v>1031.2</v>
      </c>
      <c r="P332" s="12">
        <f t="shared" si="358"/>
        <v>1194.8</v>
      </c>
      <c r="Q332" s="12">
        <f t="shared" si="358"/>
        <v>1211.4000000000001</v>
      </c>
      <c r="R332" s="12">
        <f t="shared" si="358"/>
        <v>1394.4</v>
      </c>
      <c r="S332" s="12">
        <f t="shared" si="358"/>
        <v>3112.5</v>
      </c>
      <c r="T332" s="65">
        <f>SUM(N332:S332)</f>
        <v>9292</v>
      </c>
      <c r="U332" s="118">
        <f>T332+L332</f>
        <v>15730.6</v>
      </c>
      <c r="V332" s="75">
        <f>V349+V411</f>
        <v>18816.2</v>
      </c>
      <c r="W332" s="38">
        <f>V332-U332</f>
        <v>3085.6</v>
      </c>
      <c r="X332" s="47"/>
    </row>
    <row r="333" spans="1:24" s="51" customFormat="1" ht="23.35" customHeight="1">
      <c r="A333" s="592"/>
      <c r="B333" s="661"/>
      <c r="C333" s="662"/>
      <c r="D333" s="187" t="str">
        <f>серпень!D256</f>
        <v>тариф, грн.</v>
      </c>
      <c r="E333" s="49"/>
      <c r="F333" s="49">
        <f t="shared" ref="F333:S333" si="359">F334/F332*1000</f>
        <v>17.603000000000002</v>
      </c>
      <c r="G333" s="49">
        <f t="shared" si="359"/>
        <v>18.282</v>
      </c>
      <c r="H333" s="49">
        <f t="shared" si="359"/>
        <v>15.843</v>
      </c>
      <c r="I333" s="49">
        <f t="shared" si="359"/>
        <v>15.614000000000001</v>
      </c>
      <c r="J333" s="49">
        <f t="shared" si="359"/>
        <v>17.238</v>
      </c>
      <c r="K333" s="49">
        <f t="shared" si="359"/>
        <v>16.439</v>
      </c>
      <c r="L333" s="49">
        <f t="shared" si="359"/>
        <v>16.716999999999999</v>
      </c>
      <c r="M333" s="49">
        <f t="shared" si="359"/>
        <v>16.718</v>
      </c>
      <c r="N333" s="49">
        <f t="shared" si="359"/>
        <v>16.292000000000002</v>
      </c>
      <c r="O333" s="49">
        <f t="shared" si="359"/>
        <v>14.545999999999999</v>
      </c>
      <c r="P333" s="49">
        <f t="shared" si="359"/>
        <v>16.137</v>
      </c>
      <c r="Q333" s="49">
        <f t="shared" si="359"/>
        <v>16.274000000000001</v>
      </c>
      <c r="R333" s="49">
        <f t="shared" si="359"/>
        <v>15.853999999999999</v>
      </c>
      <c r="S333" s="49">
        <f t="shared" si="359"/>
        <v>15.920999999999999</v>
      </c>
      <c r="T333" s="49">
        <f>T334/T332*1000</f>
        <v>15.885999999999999</v>
      </c>
      <c r="U333" s="49">
        <f>U334/U332*1000</f>
        <v>16.225999999999999</v>
      </c>
      <c r="V333" s="49">
        <f>V334/V332*1000</f>
        <v>16.074999999999999</v>
      </c>
      <c r="W333" s="14">
        <f>W334/W332*1000</f>
        <v>15.302</v>
      </c>
      <c r="X333" s="59"/>
    </row>
    <row r="334" spans="1:24" s="113" customFormat="1" ht="18" customHeight="1">
      <c r="A334" s="670"/>
      <c r="B334" s="661"/>
      <c r="C334" s="662"/>
      <c r="D334" s="191" t="str">
        <f>серпень!D257</f>
        <v>сума, тис.грн.</v>
      </c>
      <c r="E334" s="52"/>
      <c r="F334" s="52">
        <f t="shared" ref="F334:K335" si="360">F351+F413</f>
        <v>14</v>
      </c>
      <c r="G334" s="52">
        <f t="shared" si="360"/>
        <v>14.125</v>
      </c>
      <c r="H334" s="52">
        <f t="shared" si="360"/>
        <v>18.39</v>
      </c>
      <c r="I334" s="52">
        <f t="shared" si="360"/>
        <v>17.733000000000001</v>
      </c>
      <c r="J334" s="52">
        <f t="shared" si="360"/>
        <v>23.138000000000002</v>
      </c>
      <c r="K334" s="52">
        <f t="shared" si="360"/>
        <v>20.251000000000001</v>
      </c>
      <c r="L334" s="69">
        <f>SUM(F334:K334)</f>
        <v>107.637</v>
      </c>
      <c r="M334" s="69">
        <f>L334/6</f>
        <v>17.940000000000001</v>
      </c>
      <c r="N334" s="52">
        <f t="shared" ref="N334:S335" si="361">N351+N413</f>
        <v>21.957000000000001</v>
      </c>
      <c r="O334" s="52">
        <f t="shared" si="361"/>
        <v>15</v>
      </c>
      <c r="P334" s="52">
        <f t="shared" si="361"/>
        <v>19.28</v>
      </c>
      <c r="Q334" s="52">
        <f t="shared" si="361"/>
        <v>19.713999999999999</v>
      </c>
      <c r="R334" s="52">
        <f t="shared" si="361"/>
        <v>22.106999999999999</v>
      </c>
      <c r="S334" s="52">
        <f t="shared" si="361"/>
        <v>49.554000000000002</v>
      </c>
      <c r="T334" s="69">
        <f t="shared" ref="T334:T339" si="362">SUM(N334:S334)</f>
        <v>147.61199999999999</v>
      </c>
      <c r="U334" s="69">
        <f t="shared" ref="U334:U339" si="363">T334+L334</f>
        <v>255.249</v>
      </c>
      <c r="V334" s="69">
        <f>V351+V413</f>
        <v>302.46600000000001</v>
      </c>
      <c r="W334" s="52">
        <f>V334-U334</f>
        <v>47.216999999999999</v>
      </c>
    </row>
    <row r="335" spans="1:24" s="113" customFormat="1" ht="18" customHeight="1">
      <c r="A335" s="670"/>
      <c r="B335" s="661"/>
      <c r="C335" s="662"/>
      <c r="D335" s="174" t="str">
        <f>серпень!D258</f>
        <v>абоненська плата, тис.грн.</v>
      </c>
      <c r="E335" s="52"/>
      <c r="F335" s="52">
        <f>F352+F414</f>
        <v>0</v>
      </c>
      <c r="G335" s="52">
        <f t="shared" si="360"/>
        <v>0</v>
      </c>
      <c r="H335" s="52">
        <f t="shared" si="360"/>
        <v>0</v>
      </c>
      <c r="I335" s="52">
        <f t="shared" si="360"/>
        <v>0</v>
      </c>
      <c r="J335" s="52">
        <f t="shared" si="360"/>
        <v>0</v>
      </c>
      <c r="K335" s="52">
        <f t="shared" si="360"/>
        <v>0</v>
      </c>
      <c r="L335" s="69">
        <f t="shared" ref="L335:L337" si="364">SUM(F335:K335)</f>
        <v>0</v>
      </c>
      <c r="M335" s="69">
        <f t="shared" ref="M335:M337" si="365">L335/6</f>
        <v>0</v>
      </c>
      <c r="N335" s="52">
        <f t="shared" si="361"/>
        <v>0</v>
      </c>
      <c r="O335" s="52">
        <f t="shared" si="361"/>
        <v>0</v>
      </c>
      <c r="P335" s="52">
        <f t="shared" si="361"/>
        <v>0</v>
      </c>
      <c r="Q335" s="52">
        <f t="shared" si="361"/>
        <v>0</v>
      </c>
      <c r="R335" s="52">
        <f t="shared" si="361"/>
        <v>0</v>
      </c>
      <c r="S335" s="52">
        <f t="shared" si="361"/>
        <v>0</v>
      </c>
      <c r="T335" s="69">
        <f t="shared" si="362"/>
        <v>0</v>
      </c>
      <c r="U335" s="69">
        <f t="shared" si="363"/>
        <v>0</v>
      </c>
      <c r="V335" s="69">
        <f t="shared" ref="V335:V337" si="366">V352+V414</f>
        <v>0</v>
      </c>
      <c r="W335" s="52">
        <f t="shared" ref="W335:W337" si="367">V335-U335</f>
        <v>0</v>
      </c>
    </row>
    <row r="336" spans="1:24" s="113" customFormat="1" ht="18" customHeight="1">
      <c r="A336" s="670"/>
      <c r="B336" s="661"/>
      <c r="C336" s="662"/>
      <c r="D336" s="174" t="str">
        <f>серпень!D259</f>
        <v>разом сума тис. грн+абонплата</v>
      </c>
      <c r="E336" s="52"/>
      <c r="F336" s="52">
        <f>F334+F335</f>
        <v>14</v>
      </c>
      <c r="G336" s="52">
        <f t="shared" ref="G336:K336" si="368">G334+G335</f>
        <v>14.125</v>
      </c>
      <c r="H336" s="52">
        <f t="shared" si="368"/>
        <v>18.39</v>
      </c>
      <c r="I336" s="52">
        <f t="shared" si="368"/>
        <v>17.733000000000001</v>
      </c>
      <c r="J336" s="52">
        <f t="shared" si="368"/>
        <v>23.138000000000002</v>
      </c>
      <c r="K336" s="52">
        <f t="shared" si="368"/>
        <v>20.251000000000001</v>
      </c>
      <c r="L336" s="69">
        <f t="shared" si="364"/>
        <v>107.637</v>
      </c>
      <c r="M336" s="69">
        <f t="shared" si="365"/>
        <v>17.940000000000001</v>
      </c>
      <c r="N336" s="52">
        <f>N334+N335</f>
        <v>21.957000000000001</v>
      </c>
      <c r="O336" s="52">
        <f t="shared" ref="O336:S336" si="369">O334+O335</f>
        <v>15</v>
      </c>
      <c r="P336" s="52">
        <f t="shared" si="369"/>
        <v>19.28</v>
      </c>
      <c r="Q336" s="52">
        <f t="shared" si="369"/>
        <v>19.713999999999999</v>
      </c>
      <c r="R336" s="52">
        <f t="shared" si="369"/>
        <v>22.106999999999999</v>
      </c>
      <c r="S336" s="52">
        <f t="shared" si="369"/>
        <v>49.554000000000002</v>
      </c>
      <c r="T336" s="69">
        <f t="shared" si="362"/>
        <v>147.61199999999999</v>
      </c>
      <c r="U336" s="69">
        <f t="shared" si="363"/>
        <v>255.249</v>
      </c>
      <c r="V336" s="69">
        <f t="shared" si="366"/>
        <v>302.46600000000001</v>
      </c>
      <c r="W336" s="52">
        <f t="shared" si="367"/>
        <v>47.216999999999999</v>
      </c>
    </row>
    <row r="337" spans="1:24" s="113" customFormat="1" ht="18" customHeight="1">
      <c r="A337" s="670"/>
      <c r="B337" s="661"/>
      <c r="C337" s="662"/>
      <c r="D337" s="174" t="str">
        <f>серпень!D260</f>
        <v>дотація</v>
      </c>
      <c r="E337" s="52"/>
      <c r="F337" s="52">
        <f t="shared" ref="F337:K339" si="370">F354+F416</f>
        <v>0</v>
      </c>
      <c r="G337" s="52">
        <f t="shared" si="370"/>
        <v>0</v>
      </c>
      <c r="H337" s="52">
        <f t="shared" si="370"/>
        <v>0</v>
      </c>
      <c r="I337" s="52">
        <f t="shared" si="370"/>
        <v>0</v>
      </c>
      <c r="J337" s="52">
        <f t="shared" si="370"/>
        <v>0</v>
      </c>
      <c r="K337" s="52">
        <f t="shared" si="370"/>
        <v>0</v>
      </c>
      <c r="L337" s="69">
        <f t="shared" si="364"/>
        <v>0</v>
      </c>
      <c r="M337" s="69">
        <f t="shared" si="365"/>
        <v>0</v>
      </c>
      <c r="N337" s="52">
        <f t="shared" ref="N337:S339" si="371">N354+N416</f>
        <v>0</v>
      </c>
      <c r="O337" s="52">
        <f t="shared" si="371"/>
        <v>0</v>
      </c>
      <c r="P337" s="52">
        <f t="shared" si="371"/>
        <v>0</v>
      </c>
      <c r="Q337" s="52">
        <f t="shared" si="371"/>
        <v>0</v>
      </c>
      <c r="R337" s="52">
        <f t="shared" si="371"/>
        <v>0</v>
      </c>
      <c r="S337" s="52">
        <f t="shared" si="371"/>
        <v>0</v>
      </c>
      <c r="T337" s="69">
        <f t="shared" si="362"/>
        <v>0</v>
      </c>
      <c r="U337" s="69">
        <f t="shared" si="363"/>
        <v>0</v>
      </c>
      <c r="V337" s="69">
        <f t="shared" si="366"/>
        <v>0</v>
      </c>
      <c r="W337" s="52">
        <f t="shared" si="367"/>
        <v>0</v>
      </c>
    </row>
    <row r="338" spans="1:24" s="113" customFormat="1" ht="18" customHeight="1">
      <c r="A338" s="670"/>
      <c r="B338" s="661"/>
      <c r="C338" s="662"/>
      <c r="D338" s="174" t="str">
        <f>серпень!D261</f>
        <v>місцевий (план), тис.грн</v>
      </c>
      <c r="E338" s="52"/>
      <c r="F338" s="52">
        <f t="shared" si="370"/>
        <v>14</v>
      </c>
      <c r="G338" s="52">
        <f t="shared" si="370"/>
        <v>26.006</v>
      </c>
      <c r="H338" s="52">
        <f t="shared" si="370"/>
        <v>7.1340000000000003</v>
      </c>
      <c r="I338" s="52">
        <f t="shared" si="370"/>
        <v>19.399000000000001</v>
      </c>
      <c r="J338" s="52">
        <f t="shared" si="370"/>
        <v>21.225999999999999</v>
      </c>
      <c r="K338" s="52">
        <f t="shared" si="370"/>
        <v>24.623999999999999</v>
      </c>
      <c r="L338" s="69">
        <f>SUM(F338:K338)</f>
        <v>112.389</v>
      </c>
      <c r="M338" s="69">
        <f>L338/6</f>
        <v>18.731999999999999</v>
      </c>
      <c r="N338" s="52">
        <f t="shared" si="371"/>
        <v>17.946999999999999</v>
      </c>
      <c r="O338" s="52">
        <f t="shared" si="371"/>
        <v>14.266</v>
      </c>
      <c r="P338" s="52">
        <f t="shared" si="371"/>
        <v>35.073</v>
      </c>
      <c r="Q338" s="52">
        <f t="shared" si="371"/>
        <v>40.552999999999997</v>
      </c>
      <c r="R338" s="52">
        <f t="shared" si="371"/>
        <v>33.811999999999998</v>
      </c>
      <c r="S338" s="52">
        <f t="shared" si="371"/>
        <v>48.426000000000002</v>
      </c>
      <c r="T338" s="69">
        <f t="shared" si="362"/>
        <v>190.077</v>
      </c>
      <c r="U338" s="69">
        <f t="shared" si="363"/>
        <v>302.46600000000001</v>
      </c>
      <c r="V338" s="69">
        <f>V355+V417</f>
        <v>302.46600000000001</v>
      </c>
      <c r="W338" s="52">
        <f>V338-U338</f>
        <v>0</v>
      </c>
    </row>
    <row r="339" spans="1:24" s="48" customFormat="1" ht="23.35" customHeight="1">
      <c r="A339" s="592"/>
      <c r="B339" s="661"/>
      <c r="C339" s="662"/>
      <c r="D339" s="178" t="str">
        <f>серпень!D262</f>
        <v>касові нат.п-ки 2025</v>
      </c>
      <c r="E339" s="11">
        <f>E371</f>
        <v>0</v>
      </c>
      <c r="F339" s="11">
        <f t="shared" si="370"/>
        <v>795.3</v>
      </c>
      <c r="G339" s="11">
        <f t="shared" si="370"/>
        <v>772.6</v>
      </c>
      <c r="H339" s="11">
        <f t="shared" si="370"/>
        <v>1160.8</v>
      </c>
      <c r="I339" s="11">
        <f t="shared" si="370"/>
        <v>1135.7</v>
      </c>
      <c r="J339" s="11">
        <f t="shared" si="370"/>
        <v>1342.3</v>
      </c>
      <c r="K339" s="11">
        <f t="shared" si="370"/>
        <v>1231.9000000000001</v>
      </c>
      <c r="L339" s="123">
        <f>SUM(F339:K339)</f>
        <v>6438.6</v>
      </c>
      <c r="M339" s="65">
        <f>L339/6</f>
        <v>1073.0999999999999</v>
      </c>
      <c r="N339" s="11">
        <f t="shared" si="371"/>
        <v>1347.7</v>
      </c>
      <c r="O339" s="11">
        <f t="shared" si="371"/>
        <v>1031.2</v>
      </c>
      <c r="P339" s="11">
        <f t="shared" si="371"/>
        <v>1194.8</v>
      </c>
      <c r="Q339" s="11">
        <f t="shared" si="371"/>
        <v>1211.4000000000001</v>
      </c>
      <c r="R339" s="11">
        <f t="shared" si="371"/>
        <v>1394.4</v>
      </c>
      <c r="S339" s="11">
        <f t="shared" si="371"/>
        <v>3112.5</v>
      </c>
      <c r="T339" s="65">
        <f t="shared" si="362"/>
        <v>9292</v>
      </c>
      <c r="U339" s="65">
        <f t="shared" si="363"/>
        <v>15730.6</v>
      </c>
      <c r="V339" s="124">
        <f>V356+V418</f>
        <v>18816.2</v>
      </c>
      <c r="W339" s="124">
        <f>V339-U339</f>
        <v>3085.6</v>
      </c>
      <c r="X339" s="47">
        <f>U332-U339</f>
        <v>0</v>
      </c>
    </row>
    <row r="340" spans="1:24" s="51" customFormat="1" ht="23.35" customHeight="1">
      <c r="A340" s="592"/>
      <c r="B340" s="661"/>
      <c r="C340" s="662"/>
      <c r="D340" s="187" t="str">
        <f>серпень!D263</f>
        <v>тариф, грн.</v>
      </c>
      <c r="E340" s="49" t="e">
        <f t="shared" ref="E340:S340" si="372">E341/E339*1000</f>
        <v>#DIV/0!</v>
      </c>
      <c r="F340" s="49">
        <f t="shared" si="372"/>
        <v>17.603000000000002</v>
      </c>
      <c r="G340" s="49">
        <f t="shared" si="372"/>
        <v>18.282</v>
      </c>
      <c r="H340" s="49">
        <f t="shared" si="372"/>
        <v>15.843</v>
      </c>
      <c r="I340" s="49">
        <f t="shared" si="372"/>
        <v>15.614000000000001</v>
      </c>
      <c r="J340" s="49">
        <f t="shared" si="372"/>
        <v>17.238</v>
      </c>
      <c r="K340" s="49">
        <f t="shared" si="372"/>
        <v>16.439</v>
      </c>
      <c r="L340" s="49">
        <f t="shared" si="372"/>
        <v>16.716999999999999</v>
      </c>
      <c r="M340" s="49">
        <f t="shared" si="372"/>
        <v>16.718</v>
      </c>
      <c r="N340" s="49">
        <f t="shared" si="372"/>
        <v>16.292000000000002</v>
      </c>
      <c r="O340" s="49">
        <f t="shared" si="372"/>
        <v>14.545999999999999</v>
      </c>
      <c r="P340" s="49">
        <f t="shared" si="372"/>
        <v>16.137</v>
      </c>
      <c r="Q340" s="49">
        <f t="shared" si="372"/>
        <v>16.274000000000001</v>
      </c>
      <c r="R340" s="49">
        <f t="shared" si="372"/>
        <v>15.853999999999999</v>
      </c>
      <c r="S340" s="49">
        <f t="shared" si="372"/>
        <v>15.920999999999999</v>
      </c>
      <c r="T340" s="49">
        <f>T341/T339*1000</f>
        <v>15.885999999999999</v>
      </c>
      <c r="U340" s="49">
        <f>U341/U339*1000</f>
        <v>16.225999999999999</v>
      </c>
      <c r="V340" s="49">
        <f>V341/V339*1000</f>
        <v>16.074999999999999</v>
      </c>
      <c r="W340" s="14">
        <f>W341/W339*1000</f>
        <v>15.302</v>
      </c>
      <c r="X340" s="47"/>
    </row>
    <row r="341" spans="1:24" s="74" customFormat="1" ht="23.35" customHeight="1">
      <c r="A341" s="592"/>
      <c r="B341" s="661"/>
      <c r="C341" s="662"/>
      <c r="D341" s="198" t="str">
        <f>серпень!D264</f>
        <v>касові видатки, тис.грн.</v>
      </c>
      <c r="E341" s="71">
        <f t="shared" ref="E341:K343" si="373">E358+E420</f>
        <v>0</v>
      </c>
      <c r="F341" s="61">
        <f t="shared" si="373"/>
        <v>14</v>
      </c>
      <c r="G341" s="61">
        <f t="shared" si="373"/>
        <v>14.125</v>
      </c>
      <c r="H341" s="61">
        <f t="shared" si="373"/>
        <v>18.39</v>
      </c>
      <c r="I341" s="61">
        <f t="shared" si="373"/>
        <v>17.733000000000001</v>
      </c>
      <c r="J341" s="61">
        <f t="shared" si="373"/>
        <v>23.138000000000002</v>
      </c>
      <c r="K341" s="61">
        <f t="shared" si="373"/>
        <v>20.251000000000001</v>
      </c>
      <c r="L341" s="61">
        <f>SUM(F341:K341)</f>
        <v>107.637</v>
      </c>
      <c r="M341" s="61">
        <f>L341/6</f>
        <v>17.940000000000001</v>
      </c>
      <c r="N341" s="61">
        <f t="shared" ref="N341:S343" si="374">N358+N420</f>
        <v>21.957000000000001</v>
      </c>
      <c r="O341" s="61">
        <f t="shared" si="374"/>
        <v>15</v>
      </c>
      <c r="P341" s="61">
        <f t="shared" si="374"/>
        <v>19.28</v>
      </c>
      <c r="Q341" s="61">
        <f t="shared" si="374"/>
        <v>19.713999999999999</v>
      </c>
      <c r="R341" s="61">
        <f t="shared" si="374"/>
        <v>22.106999999999999</v>
      </c>
      <c r="S341" s="61">
        <f t="shared" si="374"/>
        <v>49.554000000000002</v>
      </c>
      <c r="T341" s="61">
        <f>SUM(N341:S341)</f>
        <v>147.61199999999999</v>
      </c>
      <c r="U341" s="61">
        <f>T341+L341</f>
        <v>255.249</v>
      </c>
      <c r="V341" s="61">
        <f>V358+V420</f>
        <v>302.46600000000001</v>
      </c>
      <c r="W341" s="72">
        <f>V341-U341</f>
        <v>47.216999999999999</v>
      </c>
      <c r="X341" s="63">
        <f>U334-U341</f>
        <v>0</v>
      </c>
    </row>
    <row r="342" spans="1:24" s="74" customFormat="1" ht="23.35" customHeight="1">
      <c r="A342" s="592"/>
      <c r="B342" s="661"/>
      <c r="C342" s="662"/>
      <c r="D342" s="201" t="str">
        <f>серпень!D265</f>
        <v>дотація</v>
      </c>
      <c r="E342" s="71"/>
      <c r="F342" s="61">
        <f t="shared" si="373"/>
        <v>0</v>
      </c>
      <c r="G342" s="61">
        <f t="shared" si="373"/>
        <v>0</v>
      </c>
      <c r="H342" s="61">
        <f t="shared" si="373"/>
        <v>0</v>
      </c>
      <c r="I342" s="61">
        <f t="shared" si="373"/>
        <v>0</v>
      </c>
      <c r="J342" s="61">
        <f t="shared" si="373"/>
        <v>0</v>
      </c>
      <c r="K342" s="61">
        <f t="shared" si="373"/>
        <v>0</v>
      </c>
      <c r="L342" s="61">
        <f>SUM(F342:K342)</f>
        <v>0</v>
      </c>
      <c r="M342" s="61">
        <f>L342/6</f>
        <v>0</v>
      </c>
      <c r="N342" s="61">
        <f t="shared" si="374"/>
        <v>0</v>
      </c>
      <c r="O342" s="61">
        <f t="shared" si="374"/>
        <v>0</v>
      </c>
      <c r="P342" s="61">
        <f t="shared" si="374"/>
        <v>0</v>
      </c>
      <c r="Q342" s="61">
        <f t="shared" si="374"/>
        <v>0</v>
      </c>
      <c r="R342" s="61">
        <f t="shared" si="374"/>
        <v>0</v>
      </c>
      <c r="S342" s="61">
        <f t="shared" si="374"/>
        <v>0</v>
      </c>
      <c r="T342" s="61">
        <f>SUM(N342:S342)</f>
        <v>0</v>
      </c>
      <c r="U342" s="61">
        <f>T342+L342</f>
        <v>0</v>
      </c>
      <c r="V342" s="61">
        <f>V359+V421</f>
        <v>0</v>
      </c>
      <c r="W342" s="72">
        <f>V342-U342</f>
        <v>0</v>
      </c>
      <c r="X342" s="63">
        <f>U337-U342</f>
        <v>0</v>
      </c>
    </row>
    <row r="343" spans="1:24" s="74" customFormat="1" ht="23.35" customHeight="1">
      <c r="A343" s="592"/>
      <c r="B343" s="661"/>
      <c r="C343" s="662"/>
      <c r="D343" s="201" t="str">
        <f>серпень!D266</f>
        <v xml:space="preserve">місцевий </v>
      </c>
      <c r="E343" s="61"/>
      <c r="F343" s="61">
        <f t="shared" si="373"/>
        <v>14</v>
      </c>
      <c r="G343" s="61">
        <f t="shared" si="373"/>
        <v>14.125</v>
      </c>
      <c r="H343" s="61">
        <f t="shared" si="373"/>
        <v>18.39</v>
      </c>
      <c r="I343" s="61">
        <f t="shared" si="373"/>
        <v>17.733000000000001</v>
      </c>
      <c r="J343" s="61">
        <f t="shared" si="373"/>
        <v>23.138000000000002</v>
      </c>
      <c r="K343" s="61">
        <f t="shared" si="373"/>
        <v>20.251000000000001</v>
      </c>
      <c r="L343" s="61">
        <f>SUM(F343:K343)</f>
        <v>107.637</v>
      </c>
      <c r="M343" s="61">
        <f>L343/6</f>
        <v>17.940000000000001</v>
      </c>
      <c r="N343" s="61">
        <f t="shared" si="374"/>
        <v>21.957000000000001</v>
      </c>
      <c r="O343" s="61">
        <f t="shared" si="374"/>
        <v>15</v>
      </c>
      <c r="P343" s="61">
        <f t="shared" si="374"/>
        <v>19.28</v>
      </c>
      <c r="Q343" s="61">
        <f t="shared" si="374"/>
        <v>19.713999999999999</v>
      </c>
      <c r="R343" s="61">
        <f t="shared" si="374"/>
        <v>22.106999999999999</v>
      </c>
      <c r="S343" s="61">
        <f t="shared" si="374"/>
        <v>49.554000000000002</v>
      </c>
      <c r="T343" s="61">
        <f>SUM(N343:S343)</f>
        <v>147.61199999999999</v>
      </c>
      <c r="U343" s="61">
        <f>T343+L343</f>
        <v>255.249</v>
      </c>
      <c r="V343" s="61">
        <f>V360+V422</f>
        <v>302.46600000000001</v>
      </c>
      <c r="W343" s="72">
        <f>V343-U343</f>
        <v>47.216999999999999</v>
      </c>
      <c r="X343" s="63">
        <f>U338-U343</f>
        <v>47.216999999999999</v>
      </c>
    </row>
    <row r="344" spans="1:24" s="43" customFormat="1" ht="23.35" customHeight="1">
      <c r="A344" s="592"/>
      <c r="B344" s="661"/>
      <c r="C344" s="662"/>
      <c r="D344" s="202" t="str">
        <f>серпень!D267</f>
        <v>план</v>
      </c>
      <c r="E344" s="42"/>
      <c r="F344" s="42">
        <f>F338+F337</f>
        <v>14</v>
      </c>
      <c r="G344" s="42">
        <f t="shared" ref="G344:K344" si="375">G338+G337</f>
        <v>26.006</v>
      </c>
      <c r="H344" s="42">
        <f t="shared" si="375"/>
        <v>7.1340000000000003</v>
      </c>
      <c r="I344" s="42">
        <f t="shared" si="375"/>
        <v>19.399000000000001</v>
      </c>
      <c r="J344" s="42">
        <f t="shared" si="375"/>
        <v>21.225999999999999</v>
      </c>
      <c r="K344" s="42">
        <f t="shared" si="375"/>
        <v>24.623999999999999</v>
      </c>
      <c r="L344" s="42">
        <f>SUM(F344:K344)</f>
        <v>112.389</v>
      </c>
      <c r="M344" s="42">
        <f>L344/6</f>
        <v>18.731999999999999</v>
      </c>
      <c r="N344" s="42">
        <f>N338+N337</f>
        <v>17.946999999999999</v>
      </c>
      <c r="O344" s="42">
        <f t="shared" ref="O344:S344" si="376">O338+O337</f>
        <v>14.266</v>
      </c>
      <c r="P344" s="42">
        <f t="shared" si="376"/>
        <v>35.073</v>
      </c>
      <c r="Q344" s="42">
        <f t="shared" si="376"/>
        <v>40.552999999999997</v>
      </c>
      <c r="R344" s="42">
        <f t="shared" si="376"/>
        <v>33.811999999999998</v>
      </c>
      <c r="S344" s="42">
        <f t="shared" si="376"/>
        <v>48.426000000000002</v>
      </c>
      <c r="T344" s="42">
        <f>SUM(N344:S344)</f>
        <v>190.077</v>
      </c>
      <c r="U344" s="42">
        <f>T344+L344</f>
        <v>302.46600000000001</v>
      </c>
      <c r="V344" s="42">
        <f>V338+V337</f>
        <v>302.46600000000001</v>
      </c>
      <c r="W344" s="42">
        <f>V344-U344</f>
        <v>0</v>
      </c>
    </row>
    <row r="345" spans="1:24" s="43" customFormat="1" ht="23.35" customHeight="1">
      <c r="A345" s="592"/>
      <c r="B345" s="661"/>
      <c r="C345" s="662"/>
      <c r="D345" s="202" t="str">
        <f>серпень!D268</f>
        <v xml:space="preserve">відхилення </v>
      </c>
      <c r="E345" s="42"/>
      <c r="F345" s="42">
        <f t="shared" ref="F345:K345" si="377">F341-F344</f>
        <v>0</v>
      </c>
      <c r="G345" s="42">
        <f t="shared" si="377"/>
        <v>-11.881</v>
      </c>
      <c r="H345" s="42">
        <f t="shared" si="377"/>
        <v>11.256</v>
      </c>
      <c r="I345" s="42">
        <f t="shared" si="377"/>
        <v>-1.6659999999999999</v>
      </c>
      <c r="J345" s="42">
        <f t="shared" si="377"/>
        <v>1.9119999999999999</v>
      </c>
      <c r="K345" s="42">
        <f t="shared" si="377"/>
        <v>-4.3730000000000002</v>
      </c>
      <c r="L345" s="42"/>
      <c r="M345" s="42"/>
      <c r="N345" s="42">
        <f t="shared" ref="N345:S345" si="378">N341-N344</f>
        <v>4.01</v>
      </c>
      <c r="O345" s="42">
        <f t="shared" si="378"/>
        <v>0.73399999999999999</v>
      </c>
      <c r="P345" s="42">
        <f t="shared" si="378"/>
        <v>-15.792999999999999</v>
      </c>
      <c r="Q345" s="42">
        <f t="shared" si="378"/>
        <v>-20.838999999999999</v>
      </c>
      <c r="R345" s="42">
        <f t="shared" si="378"/>
        <v>-11.705</v>
      </c>
      <c r="S345" s="42">
        <f t="shared" si="378"/>
        <v>1.1279999999999999</v>
      </c>
      <c r="T345" s="42"/>
      <c r="U345" s="42"/>
      <c r="V345" s="42"/>
      <c r="W345" s="42"/>
    </row>
    <row r="346" spans="1:24" s="43" customFormat="1" ht="23.35" customHeight="1">
      <c r="A346" s="593"/>
      <c r="B346" s="663"/>
      <c r="C346" s="664"/>
      <c r="D346" s="202" t="str">
        <f>серпень!D269</f>
        <v>відхилення з наростаючим</v>
      </c>
      <c r="E346" s="42"/>
      <c r="F346" s="42">
        <f>F345</f>
        <v>0</v>
      </c>
      <c r="G346" s="42">
        <f>G345+F346</f>
        <v>-11.881</v>
      </c>
      <c r="H346" s="42">
        <f>H345+G346</f>
        <v>-0.625</v>
      </c>
      <c r="I346" s="42">
        <f>I345+H346</f>
        <v>-2.2909999999999999</v>
      </c>
      <c r="J346" s="42">
        <f>J345+I346</f>
        <v>-0.379</v>
      </c>
      <c r="K346" s="42">
        <f>K345+J346</f>
        <v>-4.7519999999999998</v>
      </c>
      <c r="L346" s="42"/>
      <c r="M346" s="42"/>
      <c r="N346" s="42">
        <f>N345+K346</f>
        <v>-0.74199999999999999</v>
      </c>
      <c r="O346" s="42">
        <f>O345+N346</f>
        <v>-8.0000000000000002E-3</v>
      </c>
      <c r="P346" s="42">
        <f>P345+O346</f>
        <v>-15.801</v>
      </c>
      <c r="Q346" s="42">
        <f>Q345+P346</f>
        <v>-36.64</v>
      </c>
      <c r="R346" s="42">
        <f>R345+Q346</f>
        <v>-48.344999999999999</v>
      </c>
      <c r="S346" s="42">
        <f>S345+R346</f>
        <v>-47.216999999999999</v>
      </c>
      <c r="T346" s="42"/>
      <c r="U346" s="42"/>
      <c r="V346" s="42"/>
      <c r="W346" s="42"/>
    </row>
    <row r="347" spans="1:24" s="186" customFormat="1" ht="18" customHeight="1">
      <c r="A347" s="595" t="s">
        <v>35</v>
      </c>
      <c r="B347" s="665" t="s">
        <v>36</v>
      </c>
      <c r="C347" s="665"/>
      <c r="D347" s="178" t="str">
        <f>серпень!D270</f>
        <v>факт. нат.п-ки 2023</v>
      </c>
      <c r="E347" s="179"/>
      <c r="F347" s="180">
        <f t="shared" ref="F347:K349" si="379">F364+F379+F394</f>
        <v>0</v>
      </c>
      <c r="G347" s="180">
        <f t="shared" si="379"/>
        <v>0</v>
      </c>
      <c r="H347" s="180">
        <f t="shared" si="379"/>
        <v>198.5</v>
      </c>
      <c r="I347" s="180">
        <f t="shared" si="379"/>
        <v>251</v>
      </c>
      <c r="J347" s="180">
        <f t="shared" si="379"/>
        <v>256.5</v>
      </c>
      <c r="K347" s="180">
        <f t="shared" si="379"/>
        <v>451.5</v>
      </c>
      <c r="L347" s="215">
        <f>SUM(F347:K347)</f>
        <v>1157.5</v>
      </c>
      <c r="M347" s="215">
        <f>L347/6</f>
        <v>192.9</v>
      </c>
      <c r="N347" s="180">
        <f t="shared" ref="N347:S349" si="380">N364+N379+N394</f>
        <v>253.8</v>
      </c>
      <c r="O347" s="180">
        <f t="shared" si="380"/>
        <v>88</v>
      </c>
      <c r="P347" s="180">
        <f t="shared" si="380"/>
        <v>122</v>
      </c>
      <c r="Q347" s="180">
        <f t="shared" si="380"/>
        <v>599.70000000000005</v>
      </c>
      <c r="R347" s="180">
        <f t="shared" si="380"/>
        <v>104.5</v>
      </c>
      <c r="S347" s="180">
        <f t="shared" si="380"/>
        <v>451.5</v>
      </c>
      <c r="T347" s="215">
        <f>SUM(N347:S347)</f>
        <v>1619.5</v>
      </c>
      <c r="U347" s="215">
        <f>T347+L347</f>
        <v>2777</v>
      </c>
      <c r="V347" s="233">
        <f>V364+V394</f>
        <v>2777</v>
      </c>
      <c r="W347" s="184"/>
      <c r="X347" s="185"/>
    </row>
    <row r="348" spans="1:24" s="186" customFormat="1" ht="18" customHeight="1">
      <c r="A348" s="595"/>
      <c r="B348" s="665"/>
      <c r="C348" s="665"/>
      <c r="D348" s="178" t="str">
        <f>серпень!D271</f>
        <v>факт. нат.п-ки 2024</v>
      </c>
      <c r="E348" s="179"/>
      <c r="F348" s="180">
        <f t="shared" si="379"/>
        <v>0</v>
      </c>
      <c r="G348" s="180">
        <f t="shared" si="379"/>
        <v>248.5</v>
      </c>
      <c r="H348" s="180">
        <f t="shared" si="379"/>
        <v>378.3</v>
      </c>
      <c r="I348" s="180">
        <f t="shared" si="379"/>
        <v>409.3</v>
      </c>
      <c r="J348" s="180">
        <f t="shared" si="379"/>
        <v>229.5</v>
      </c>
      <c r="K348" s="180">
        <f t="shared" si="379"/>
        <v>269</v>
      </c>
      <c r="L348" s="215">
        <f>SUM(F348:K348)</f>
        <v>1534.6</v>
      </c>
      <c r="M348" s="215">
        <f>L348/6</f>
        <v>255.8</v>
      </c>
      <c r="N348" s="180">
        <f t="shared" si="380"/>
        <v>291.5</v>
      </c>
      <c r="O348" s="180">
        <f t="shared" si="380"/>
        <v>144.5</v>
      </c>
      <c r="P348" s="180">
        <f t="shared" si="380"/>
        <v>194.8</v>
      </c>
      <c r="Q348" s="180">
        <f t="shared" si="380"/>
        <v>211.4</v>
      </c>
      <c r="R348" s="180">
        <f t="shared" si="380"/>
        <v>104.5</v>
      </c>
      <c r="S348" s="180">
        <f t="shared" si="380"/>
        <v>451.5</v>
      </c>
      <c r="T348" s="215">
        <f>SUM(N348:S348)</f>
        <v>1398.2</v>
      </c>
      <c r="U348" s="215">
        <f>T348+L348</f>
        <v>2932.8</v>
      </c>
      <c r="V348" s="233">
        <f>V365+V395</f>
        <v>2932</v>
      </c>
      <c r="W348" s="184"/>
      <c r="X348" s="185"/>
    </row>
    <row r="349" spans="1:24" s="186" customFormat="1" ht="18" customHeight="1">
      <c r="A349" s="595"/>
      <c r="B349" s="665"/>
      <c r="C349" s="665"/>
      <c r="D349" s="178" t="str">
        <f>серпень!D272</f>
        <v>факт. нат.п-ки 2025</v>
      </c>
      <c r="E349" s="179"/>
      <c r="F349" s="180">
        <f>F366+F381+F396</f>
        <v>287</v>
      </c>
      <c r="G349" s="180">
        <f t="shared" si="379"/>
        <v>264.3</v>
      </c>
      <c r="H349" s="180">
        <f t="shared" si="379"/>
        <v>160.80000000000001</v>
      </c>
      <c r="I349" s="180">
        <f t="shared" si="379"/>
        <v>135.69999999999999</v>
      </c>
      <c r="J349" s="180">
        <f t="shared" si="379"/>
        <v>342.3</v>
      </c>
      <c r="K349" s="180">
        <f t="shared" si="379"/>
        <v>231.9</v>
      </c>
      <c r="L349" s="234">
        <f>SUM(F349:K349)</f>
        <v>1422</v>
      </c>
      <c r="M349" s="215">
        <f>L349/6</f>
        <v>237</v>
      </c>
      <c r="N349" s="180">
        <f t="shared" si="380"/>
        <v>237.2</v>
      </c>
      <c r="O349" s="180">
        <f t="shared" si="380"/>
        <v>31.2</v>
      </c>
      <c r="P349" s="180">
        <f t="shared" si="380"/>
        <v>194.8</v>
      </c>
      <c r="Q349" s="180">
        <f t="shared" si="380"/>
        <v>211.4</v>
      </c>
      <c r="R349" s="180">
        <f t="shared" si="380"/>
        <v>194.4</v>
      </c>
      <c r="S349" s="180">
        <f t="shared" si="380"/>
        <v>451.5</v>
      </c>
      <c r="T349" s="215">
        <f>SUM(N349:S349)</f>
        <v>1320.5</v>
      </c>
      <c r="U349" s="215">
        <f>T349+L349</f>
        <v>2742.5</v>
      </c>
      <c r="V349" s="233">
        <f>V366+V381+V396</f>
        <v>3755.2</v>
      </c>
      <c r="W349" s="184">
        <f>V349-U349</f>
        <v>1012.7</v>
      </c>
      <c r="X349" s="185"/>
    </row>
    <row r="350" spans="1:24" s="190" customFormat="1" ht="18" customHeight="1">
      <c r="A350" s="595"/>
      <c r="B350" s="665"/>
      <c r="C350" s="665"/>
      <c r="D350" s="187" t="str">
        <f>серпень!D273</f>
        <v>тариф, грн.</v>
      </c>
      <c r="E350" s="188"/>
      <c r="F350" s="188">
        <f t="shared" ref="F350:S350" si="381">F351/F349*1000</f>
        <v>23.658999999999999</v>
      </c>
      <c r="G350" s="188">
        <f t="shared" si="381"/>
        <v>26.163</v>
      </c>
      <c r="H350" s="188">
        <f t="shared" si="381"/>
        <v>26.157</v>
      </c>
      <c r="I350" s="188">
        <f t="shared" si="381"/>
        <v>26.152999999999999</v>
      </c>
      <c r="J350" s="188">
        <f t="shared" si="381"/>
        <v>26.158000000000001</v>
      </c>
      <c r="K350" s="188">
        <f t="shared" si="381"/>
        <v>26.161999999999999</v>
      </c>
      <c r="L350" s="188">
        <f t="shared" si="381"/>
        <v>25.655000000000001</v>
      </c>
      <c r="M350" s="188">
        <f t="shared" si="381"/>
        <v>25.654</v>
      </c>
      <c r="N350" s="188">
        <f t="shared" si="381"/>
        <v>26.164000000000001</v>
      </c>
      <c r="O350" s="188">
        <f t="shared" si="381"/>
        <v>26.154</v>
      </c>
      <c r="P350" s="188">
        <f t="shared" si="381"/>
        <v>26.16</v>
      </c>
      <c r="Q350" s="188">
        <f t="shared" si="381"/>
        <v>26.158999999999999</v>
      </c>
      <c r="R350" s="188">
        <f t="shared" si="381"/>
        <v>26.163</v>
      </c>
      <c r="S350" s="188">
        <f t="shared" si="381"/>
        <v>26.158999999999999</v>
      </c>
      <c r="T350" s="188">
        <f>T351/T349*1000</f>
        <v>26.161000000000001</v>
      </c>
      <c r="U350" s="188">
        <f>U351/U349*1000</f>
        <v>25.898</v>
      </c>
      <c r="V350" s="188">
        <f>V351/V349*1000</f>
        <v>23.658000000000001</v>
      </c>
      <c r="W350" s="189">
        <f>W351/W349*1000</f>
        <v>17.591999999999999</v>
      </c>
      <c r="X350" s="225"/>
    </row>
    <row r="351" spans="1:24" s="172" customFormat="1" ht="18" customHeight="1">
      <c r="A351" s="671"/>
      <c r="B351" s="665"/>
      <c r="C351" s="665"/>
      <c r="D351" s="191" t="str">
        <f>серпень!D274</f>
        <v>сума, тис.грн.</v>
      </c>
      <c r="E351" s="192"/>
      <c r="F351" s="192">
        <f t="shared" ref="F351:K351" si="382">F368+F383+F398</f>
        <v>6.79</v>
      </c>
      <c r="G351" s="192">
        <f t="shared" si="382"/>
        <v>6.915</v>
      </c>
      <c r="H351" s="192">
        <f t="shared" si="382"/>
        <v>4.2060000000000004</v>
      </c>
      <c r="I351" s="192">
        <f t="shared" si="382"/>
        <v>3.5489999999999999</v>
      </c>
      <c r="J351" s="192">
        <f t="shared" si="382"/>
        <v>8.9540000000000006</v>
      </c>
      <c r="K351" s="192">
        <f t="shared" si="382"/>
        <v>6.0670000000000002</v>
      </c>
      <c r="L351" s="194">
        <f t="shared" ref="L351:L356" si="383">SUM(F351:K351)</f>
        <v>36.481000000000002</v>
      </c>
      <c r="M351" s="194">
        <f t="shared" ref="M351:M356" si="384">L351/6</f>
        <v>6.08</v>
      </c>
      <c r="N351" s="192">
        <f t="shared" ref="N351:S351" si="385">N368+N383+N398</f>
        <v>6.2060000000000004</v>
      </c>
      <c r="O351" s="192">
        <f t="shared" si="385"/>
        <v>0.81599999999999995</v>
      </c>
      <c r="P351" s="192">
        <f t="shared" si="385"/>
        <v>5.0960000000000001</v>
      </c>
      <c r="Q351" s="192">
        <f t="shared" si="385"/>
        <v>5.53</v>
      </c>
      <c r="R351" s="192">
        <f t="shared" si="385"/>
        <v>5.0860000000000003</v>
      </c>
      <c r="S351" s="192">
        <f t="shared" si="385"/>
        <v>11.811</v>
      </c>
      <c r="T351" s="194">
        <f t="shared" ref="T351:T356" si="386">SUM(N351:S351)</f>
        <v>34.545000000000002</v>
      </c>
      <c r="U351" s="194">
        <f t="shared" ref="U351:U356" si="387">T351+L351</f>
        <v>71.025999999999996</v>
      </c>
      <c r="V351" s="192">
        <f t="shared" ref="V351" si="388">V368+V383+V398</f>
        <v>88.840999999999994</v>
      </c>
      <c r="W351" s="192">
        <f>V351-U351</f>
        <v>17.815000000000001</v>
      </c>
    </row>
    <row r="352" spans="1:24" s="172" customFormat="1" ht="18" customHeight="1">
      <c r="A352" s="671"/>
      <c r="B352" s="665"/>
      <c r="C352" s="665"/>
      <c r="D352" s="174" t="str">
        <f>серпень!D275</f>
        <v>абоненська плата, тис.грн.</v>
      </c>
      <c r="E352" s="192"/>
      <c r="F352" s="192">
        <f>F383</f>
        <v>0</v>
      </c>
      <c r="G352" s="192">
        <f t="shared" ref="G352:K352" si="389">G383</f>
        <v>0</v>
      </c>
      <c r="H352" s="192">
        <f t="shared" si="389"/>
        <v>0</v>
      </c>
      <c r="I352" s="192">
        <f t="shared" si="389"/>
        <v>0</v>
      </c>
      <c r="J352" s="192">
        <f t="shared" si="389"/>
        <v>0</v>
      </c>
      <c r="K352" s="192">
        <f t="shared" si="389"/>
        <v>0</v>
      </c>
      <c r="L352" s="194">
        <f t="shared" si="383"/>
        <v>0</v>
      </c>
      <c r="M352" s="194">
        <f t="shared" si="384"/>
        <v>0</v>
      </c>
      <c r="N352" s="192">
        <f>N383</f>
        <v>0</v>
      </c>
      <c r="O352" s="192">
        <f t="shared" ref="O352:S352" si="390">O383</f>
        <v>0</v>
      </c>
      <c r="P352" s="192">
        <f t="shared" si="390"/>
        <v>0</v>
      </c>
      <c r="Q352" s="192">
        <f t="shared" si="390"/>
        <v>0</v>
      </c>
      <c r="R352" s="192">
        <f t="shared" si="390"/>
        <v>0</v>
      </c>
      <c r="S352" s="192">
        <f t="shared" si="390"/>
        <v>0</v>
      </c>
      <c r="T352" s="194">
        <f t="shared" si="386"/>
        <v>0</v>
      </c>
      <c r="U352" s="194">
        <f t="shared" si="387"/>
        <v>0</v>
      </c>
      <c r="V352" s="192">
        <f t="shared" ref="V352" si="391">V383</f>
        <v>0</v>
      </c>
      <c r="W352" s="192">
        <f t="shared" ref="W352:W353" si="392">V352-U352</f>
        <v>0</v>
      </c>
    </row>
    <row r="353" spans="1:28" s="172" customFormat="1" ht="18" customHeight="1">
      <c r="A353" s="671"/>
      <c r="B353" s="665"/>
      <c r="C353" s="665"/>
      <c r="D353" s="174" t="str">
        <f>серпень!D276</f>
        <v>разом сума тис. грн+абонплата</v>
      </c>
      <c r="E353" s="192"/>
      <c r="F353" s="192">
        <f>F351+F352</f>
        <v>6.79</v>
      </c>
      <c r="G353" s="192">
        <f t="shared" ref="G353:K353" si="393">G351+G352</f>
        <v>6.915</v>
      </c>
      <c r="H353" s="192">
        <f t="shared" si="393"/>
        <v>4.2060000000000004</v>
      </c>
      <c r="I353" s="192">
        <f t="shared" si="393"/>
        <v>3.5489999999999999</v>
      </c>
      <c r="J353" s="192">
        <f t="shared" si="393"/>
        <v>8.9540000000000006</v>
      </c>
      <c r="K353" s="192">
        <f t="shared" si="393"/>
        <v>6.0670000000000002</v>
      </c>
      <c r="L353" s="194">
        <f t="shared" si="383"/>
        <v>36.481000000000002</v>
      </c>
      <c r="M353" s="194">
        <f t="shared" si="384"/>
        <v>6.08</v>
      </c>
      <c r="N353" s="192">
        <f>N351+N352</f>
        <v>6.2060000000000004</v>
      </c>
      <c r="O353" s="192">
        <f t="shared" ref="O353:S353" si="394">O351+O352</f>
        <v>0.81599999999999995</v>
      </c>
      <c r="P353" s="192">
        <f t="shared" si="394"/>
        <v>5.0960000000000001</v>
      </c>
      <c r="Q353" s="192">
        <f t="shared" si="394"/>
        <v>5.53</v>
      </c>
      <c r="R353" s="192">
        <f t="shared" si="394"/>
        <v>5.0860000000000003</v>
      </c>
      <c r="S353" s="192">
        <f t="shared" si="394"/>
        <v>11.811</v>
      </c>
      <c r="T353" s="194">
        <f t="shared" si="386"/>
        <v>34.545000000000002</v>
      </c>
      <c r="U353" s="194">
        <f t="shared" si="387"/>
        <v>71.025999999999996</v>
      </c>
      <c r="V353" s="192">
        <f t="shared" ref="V353" si="395">V351+V352</f>
        <v>88.840999999999994</v>
      </c>
      <c r="W353" s="192">
        <f t="shared" si="392"/>
        <v>17.815000000000001</v>
      </c>
    </row>
    <row r="354" spans="1:28" s="172" customFormat="1" ht="18" customHeight="1">
      <c r="A354" s="671"/>
      <c r="B354" s="665"/>
      <c r="C354" s="665"/>
      <c r="D354" s="174" t="str">
        <f>серпень!D277</f>
        <v>дотація</v>
      </c>
      <c r="E354" s="192"/>
      <c r="F354" s="192">
        <f t="shared" ref="F354:K356" si="396">F369+F384+F399</f>
        <v>0</v>
      </c>
      <c r="G354" s="192">
        <f t="shared" si="396"/>
        <v>0</v>
      </c>
      <c r="H354" s="192">
        <f t="shared" si="396"/>
        <v>0</v>
      </c>
      <c r="I354" s="192">
        <f t="shared" si="396"/>
        <v>0</v>
      </c>
      <c r="J354" s="192">
        <f t="shared" si="396"/>
        <v>0</v>
      </c>
      <c r="K354" s="192">
        <f t="shared" si="396"/>
        <v>0</v>
      </c>
      <c r="L354" s="194">
        <f t="shared" si="383"/>
        <v>0</v>
      </c>
      <c r="M354" s="194">
        <f t="shared" si="384"/>
        <v>0</v>
      </c>
      <c r="N354" s="192">
        <f t="shared" ref="N354:S356" si="397">N369+N384+N399</f>
        <v>0</v>
      </c>
      <c r="O354" s="192">
        <f t="shared" si="397"/>
        <v>0</v>
      </c>
      <c r="P354" s="192">
        <f t="shared" si="397"/>
        <v>0</v>
      </c>
      <c r="Q354" s="192">
        <f t="shared" si="397"/>
        <v>0</v>
      </c>
      <c r="R354" s="192">
        <f t="shared" si="397"/>
        <v>0</v>
      </c>
      <c r="S354" s="192">
        <f t="shared" si="397"/>
        <v>0</v>
      </c>
      <c r="T354" s="194">
        <f t="shared" si="386"/>
        <v>0</v>
      </c>
      <c r="U354" s="194">
        <f t="shared" si="387"/>
        <v>0</v>
      </c>
      <c r="V354" s="192">
        <f t="shared" ref="V354:V355" si="398">V369+V384+V399</f>
        <v>0</v>
      </c>
      <c r="W354" s="192">
        <f>V354-U354</f>
        <v>0</v>
      </c>
    </row>
    <row r="355" spans="1:28" s="172" customFormat="1" ht="18" customHeight="1">
      <c r="A355" s="671"/>
      <c r="B355" s="665"/>
      <c r="C355" s="665"/>
      <c r="D355" s="174" t="str">
        <f>серпень!D278</f>
        <v>місцевий (план), тис.грн</v>
      </c>
      <c r="E355" s="192"/>
      <c r="F355" s="192">
        <f t="shared" si="396"/>
        <v>0</v>
      </c>
      <c r="G355" s="192">
        <f t="shared" si="396"/>
        <v>14.159000000000001</v>
      </c>
      <c r="H355" s="192">
        <f t="shared" si="396"/>
        <v>7.1340000000000003</v>
      </c>
      <c r="I355" s="192">
        <f t="shared" si="396"/>
        <v>2.3780000000000001</v>
      </c>
      <c r="J355" s="192">
        <f t="shared" si="396"/>
        <v>4.5590000000000002</v>
      </c>
      <c r="K355" s="192">
        <f t="shared" si="396"/>
        <v>6.3819999999999997</v>
      </c>
      <c r="L355" s="194">
        <f t="shared" si="383"/>
        <v>34.612000000000002</v>
      </c>
      <c r="M355" s="194">
        <f t="shared" si="384"/>
        <v>5.7690000000000001</v>
      </c>
      <c r="N355" s="192">
        <f t="shared" si="397"/>
        <v>6.8959999999999999</v>
      </c>
      <c r="O355" s="192">
        <f t="shared" si="397"/>
        <v>10.137</v>
      </c>
      <c r="P355" s="192">
        <f t="shared" si="397"/>
        <v>13.914</v>
      </c>
      <c r="Q355" s="192">
        <f t="shared" si="397"/>
        <v>8.0009999999999994</v>
      </c>
      <c r="R355" s="192">
        <f t="shared" si="397"/>
        <v>4.5990000000000002</v>
      </c>
      <c r="S355" s="192">
        <f t="shared" si="397"/>
        <v>10.682</v>
      </c>
      <c r="T355" s="194">
        <f t="shared" si="386"/>
        <v>54.228999999999999</v>
      </c>
      <c r="U355" s="194">
        <f t="shared" si="387"/>
        <v>88.840999999999994</v>
      </c>
      <c r="V355" s="192">
        <f t="shared" si="398"/>
        <v>88.840999999999994</v>
      </c>
      <c r="W355" s="192">
        <f>V355-U355</f>
        <v>0</v>
      </c>
    </row>
    <row r="356" spans="1:28" s="186" customFormat="1" ht="18" customHeight="1">
      <c r="A356" s="595"/>
      <c r="B356" s="665"/>
      <c r="C356" s="665"/>
      <c r="D356" s="178" t="str">
        <f>серпень!D279</f>
        <v>касові нат.п-ки 2025</v>
      </c>
      <c r="E356" s="179">
        <f>E371</f>
        <v>0</v>
      </c>
      <c r="F356" s="179">
        <f t="shared" si="396"/>
        <v>287</v>
      </c>
      <c r="G356" s="179">
        <f t="shared" si="396"/>
        <v>264.3</v>
      </c>
      <c r="H356" s="179">
        <f t="shared" si="396"/>
        <v>160.80000000000001</v>
      </c>
      <c r="I356" s="179">
        <f t="shared" si="396"/>
        <v>135.69999999999999</v>
      </c>
      <c r="J356" s="179">
        <f t="shared" si="396"/>
        <v>342.3</v>
      </c>
      <c r="K356" s="179">
        <f t="shared" si="396"/>
        <v>231.9</v>
      </c>
      <c r="L356" s="215">
        <f t="shared" si="383"/>
        <v>1422</v>
      </c>
      <c r="M356" s="215">
        <f t="shared" si="384"/>
        <v>237</v>
      </c>
      <c r="N356" s="179">
        <f t="shared" si="397"/>
        <v>237.2</v>
      </c>
      <c r="O356" s="179">
        <f t="shared" si="397"/>
        <v>31.2</v>
      </c>
      <c r="P356" s="179">
        <f t="shared" si="397"/>
        <v>194.8</v>
      </c>
      <c r="Q356" s="179">
        <f t="shared" si="397"/>
        <v>211.4</v>
      </c>
      <c r="R356" s="179">
        <f t="shared" si="397"/>
        <v>194.4</v>
      </c>
      <c r="S356" s="179">
        <f t="shared" si="397"/>
        <v>451.5</v>
      </c>
      <c r="T356" s="215">
        <f t="shared" si="386"/>
        <v>1320.5</v>
      </c>
      <c r="U356" s="215">
        <f t="shared" si="387"/>
        <v>2742.5</v>
      </c>
      <c r="V356" s="179">
        <f>V371+V401</f>
        <v>3755.2</v>
      </c>
      <c r="W356" s="184">
        <f>V356-U356</f>
        <v>1012.7</v>
      </c>
      <c r="X356" s="185">
        <f>U349-U356</f>
        <v>0</v>
      </c>
    </row>
    <row r="357" spans="1:28" s="190" customFormat="1" ht="18" customHeight="1">
      <c r="A357" s="595"/>
      <c r="B357" s="665"/>
      <c r="C357" s="665"/>
      <c r="D357" s="187" t="str">
        <f>серпень!D280</f>
        <v>тариф, грн.</v>
      </c>
      <c r="E357" s="188" t="e">
        <f t="shared" ref="E357:S357" si="399">E358/E356*1000</f>
        <v>#DIV/0!</v>
      </c>
      <c r="F357" s="188">
        <f t="shared" si="399"/>
        <v>23.658999999999999</v>
      </c>
      <c r="G357" s="188">
        <f t="shared" si="399"/>
        <v>26.163</v>
      </c>
      <c r="H357" s="188">
        <f t="shared" si="399"/>
        <v>26.157</v>
      </c>
      <c r="I357" s="188">
        <f t="shared" si="399"/>
        <v>26.152999999999999</v>
      </c>
      <c r="J357" s="188">
        <f t="shared" si="399"/>
        <v>26.158000000000001</v>
      </c>
      <c r="K357" s="188">
        <f t="shared" si="399"/>
        <v>26.161999999999999</v>
      </c>
      <c r="L357" s="188">
        <f t="shared" si="399"/>
        <v>25.655000000000001</v>
      </c>
      <c r="M357" s="188">
        <f t="shared" si="399"/>
        <v>25.654</v>
      </c>
      <c r="N357" s="188">
        <f t="shared" si="399"/>
        <v>26.164000000000001</v>
      </c>
      <c r="O357" s="188">
        <f t="shared" si="399"/>
        <v>26.154</v>
      </c>
      <c r="P357" s="188">
        <f t="shared" si="399"/>
        <v>26.16</v>
      </c>
      <c r="Q357" s="188">
        <f t="shared" si="399"/>
        <v>26.158999999999999</v>
      </c>
      <c r="R357" s="188">
        <f t="shared" si="399"/>
        <v>26.163</v>
      </c>
      <c r="S357" s="188">
        <f t="shared" si="399"/>
        <v>26.158999999999999</v>
      </c>
      <c r="T357" s="188">
        <f>T358/T356*1000</f>
        <v>26.161000000000001</v>
      </c>
      <c r="U357" s="188">
        <f>U358/U356*1000</f>
        <v>25.898</v>
      </c>
      <c r="V357" s="188">
        <f>V358/V356*1000</f>
        <v>23.658000000000001</v>
      </c>
      <c r="W357" s="189">
        <f>W358/W356*1000</f>
        <v>17.591999999999999</v>
      </c>
      <c r="X357" s="225"/>
    </row>
    <row r="358" spans="1:28" s="213" customFormat="1" ht="18" customHeight="1">
      <c r="A358" s="595"/>
      <c r="B358" s="665"/>
      <c r="C358" s="665"/>
      <c r="D358" s="198" t="str">
        <f>серпень!D281</f>
        <v>касові видатки, тис.грн.</v>
      </c>
      <c r="E358" s="220">
        <f>E373+E403</f>
        <v>0</v>
      </c>
      <c r="F358" s="199">
        <f t="shared" ref="F358:K360" si="400">F373+F388+F403</f>
        <v>6.79</v>
      </c>
      <c r="G358" s="199">
        <f t="shared" si="400"/>
        <v>6.915</v>
      </c>
      <c r="H358" s="199">
        <f t="shared" si="400"/>
        <v>4.2060000000000004</v>
      </c>
      <c r="I358" s="199">
        <f t="shared" si="400"/>
        <v>3.5489999999999999</v>
      </c>
      <c r="J358" s="199">
        <f t="shared" si="400"/>
        <v>8.9540000000000006</v>
      </c>
      <c r="K358" s="199">
        <f t="shared" si="400"/>
        <v>6.0670000000000002</v>
      </c>
      <c r="L358" s="199">
        <f>SUM(F358:K358)</f>
        <v>36.481000000000002</v>
      </c>
      <c r="M358" s="199">
        <f>L358/6</f>
        <v>6.08</v>
      </c>
      <c r="N358" s="199">
        <f t="shared" ref="N358:S360" si="401">N373+N388+N403</f>
        <v>6.2060000000000004</v>
      </c>
      <c r="O358" s="199">
        <f t="shared" si="401"/>
        <v>0.81599999999999995</v>
      </c>
      <c r="P358" s="199">
        <f t="shared" si="401"/>
        <v>5.0960000000000001</v>
      </c>
      <c r="Q358" s="199">
        <f t="shared" si="401"/>
        <v>5.53</v>
      </c>
      <c r="R358" s="199">
        <f t="shared" si="401"/>
        <v>5.0860000000000003</v>
      </c>
      <c r="S358" s="199">
        <f t="shared" si="401"/>
        <v>11.811</v>
      </c>
      <c r="T358" s="199">
        <f>SUM(N358:S358)</f>
        <v>34.545000000000002</v>
      </c>
      <c r="U358" s="199">
        <f>T358+L358</f>
        <v>71.025999999999996</v>
      </c>
      <c r="V358" s="199">
        <f>V373+V403</f>
        <v>88.840999999999994</v>
      </c>
      <c r="W358" s="221">
        <f>V358-U358</f>
        <v>17.815000000000001</v>
      </c>
      <c r="X358" s="176">
        <f>U351-U358</f>
        <v>0</v>
      </c>
    </row>
    <row r="359" spans="1:28" s="213" customFormat="1" ht="18" customHeight="1">
      <c r="A359" s="595"/>
      <c r="B359" s="665"/>
      <c r="C359" s="665"/>
      <c r="D359" s="201" t="str">
        <f>серпень!D282</f>
        <v>дотація</v>
      </c>
      <c r="E359" s="220"/>
      <c r="F359" s="199">
        <f t="shared" si="400"/>
        <v>0</v>
      </c>
      <c r="G359" s="199">
        <f t="shared" si="400"/>
        <v>0</v>
      </c>
      <c r="H359" s="199">
        <f t="shared" si="400"/>
        <v>0</v>
      </c>
      <c r="I359" s="199">
        <f t="shared" si="400"/>
        <v>0</v>
      </c>
      <c r="J359" s="199">
        <f t="shared" si="400"/>
        <v>0</v>
      </c>
      <c r="K359" s="199">
        <f t="shared" si="400"/>
        <v>0</v>
      </c>
      <c r="L359" s="199">
        <f>SUM(F359:K359)</f>
        <v>0</v>
      </c>
      <c r="M359" s="199">
        <f>L359/6</f>
        <v>0</v>
      </c>
      <c r="N359" s="199">
        <f t="shared" si="401"/>
        <v>0</v>
      </c>
      <c r="O359" s="199">
        <f t="shared" si="401"/>
        <v>0</v>
      </c>
      <c r="P359" s="199">
        <f t="shared" si="401"/>
        <v>0</v>
      </c>
      <c r="Q359" s="199">
        <f t="shared" si="401"/>
        <v>0</v>
      </c>
      <c r="R359" s="199">
        <f t="shared" si="401"/>
        <v>0</v>
      </c>
      <c r="S359" s="199">
        <f t="shared" si="401"/>
        <v>0</v>
      </c>
      <c r="T359" s="199">
        <f>SUM(N359:S359)</f>
        <v>0</v>
      </c>
      <c r="U359" s="199">
        <f>T359+L359</f>
        <v>0</v>
      </c>
      <c r="V359" s="199">
        <f>V374+V404</f>
        <v>0</v>
      </c>
      <c r="W359" s="221">
        <f>V359-U359</f>
        <v>0</v>
      </c>
      <c r="X359" s="176">
        <f>U354-U359</f>
        <v>0</v>
      </c>
    </row>
    <row r="360" spans="1:28" s="213" customFormat="1" ht="18" customHeight="1">
      <c r="A360" s="595"/>
      <c r="B360" s="665"/>
      <c r="C360" s="665"/>
      <c r="D360" s="201" t="str">
        <f>серпень!D283</f>
        <v xml:space="preserve">місцевий </v>
      </c>
      <c r="E360" s="220"/>
      <c r="F360" s="199">
        <f t="shared" si="400"/>
        <v>6.79</v>
      </c>
      <c r="G360" s="199">
        <f t="shared" si="400"/>
        <v>6.915</v>
      </c>
      <c r="H360" s="199">
        <f t="shared" si="400"/>
        <v>4.2060000000000004</v>
      </c>
      <c r="I360" s="199">
        <f t="shared" si="400"/>
        <v>3.5489999999999999</v>
      </c>
      <c r="J360" s="199">
        <f t="shared" si="400"/>
        <v>8.9540000000000006</v>
      </c>
      <c r="K360" s="199">
        <f t="shared" si="400"/>
        <v>6.0670000000000002</v>
      </c>
      <c r="L360" s="199">
        <f>SUM(F360:K360)</f>
        <v>36.481000000000002</v>
      </c>
      <c r="M360" s="199">
        <f>L360/6</f>
        <v>6.08</v>
      </c>
      <c r="N360" s="199">
        <f t="shared" si="401"/>
        <v>6.2060000000000004</v>
      </c>
      <c r="O360" s="199">
        <f t="shared" si="401"/>
        <v>0.81599999999999995</v>
      </c>
      <c r="P360" s="199">
        <f t="shared" si="401"/>
        <v>5.0960000000000001</v>
      </c>
      <c r="Q360" s="199">
        <f t="shared" si="401"/>
        <v>5.53</v>
      </c>
      <c r="R360" s="199">
        <f t="shared" si="401"/>
        <v>5.0860000000000003</v>
      </c>
      <c r="S360" s="199">
        <f t="shared" si="401"/>
        <v>11.811</v>
      </c>
      <c r="T360" s="199">
        <f>SUM(N360:S360)</f>
        <v>34.545000000000002</v>
      </c>
      <c r="U360" s="199">
        <f>T360+L360</f>
        <v>71.025999999999996</v>
      </c>
      <c r="V360" s="199">
        <f>V375+V405</f>
        <v>88.840999999999994</v>
      </c>
      <c r="W360" s="221">
        <f>V360-U360</f>
        <v>17.815000000000001</v>
      </c>
      <c r="X360" s="176">
        <f>U355-U360</f>
        <v>17.815000000000001</v>
      </c>
    </row>
    <row r="361" spans="1:28" s="205" customFormat="1" ht="18" customHeight="1">
      <c r="A361" s="595"/>
      <c r="B361" s="665"/>
      <c r="C361" s="665"/>
      <c r="D361" s="202" t="str">
        <f>серпень!D284</f>
        <v>план</v>
      </c>
      <c r="E361" s="203"/>
      <c r="F361" s="203">
        <f>F355+F354</f>
        <v>0</v>
      </c>
      <c r="G361" s="203">
        <f t="shared" ref="G361:K361" si="402">G355+G354</f>
        <v>14.159000000000001</v>
      </c>
      <c r="H361" s="203">
        <f t="shared" si="402"/>
        <v>7.1340000000000003</v>
      </c>
      <c r="I361" s="203">
        <f t="shared" si="402"/>
        <v>2.3780000000000001</v>
      </c>
      <c r="J361" s="203">
        <f t="shared" si="402"/>
        <v>4.5590000000000002</v>
      </c>
      <c r="K361" s="203">
        <f t="shared" si="402"/>
        <v>6.3819999999999997</v>
      </c>
      <c r="L361" s="203">
        <f>SUM(F361:K361)</f>
        <v>34.612000000000002</v>
      </c>
      <c r="M361" s="203">
        <f>L361/6</f>
        <v>5.7690000000000001</v>
      </c>
      <c r="N361" s="203">
        <f>N355+N354</f>
        <v>6.8959999999999999</v>
      </c>
      <c r="O361" s="203">
        <f t="shared" ref="O361:S361" si="403">O355+O354</f>
        <v>10.137</v>
      </c>
      <c r="P361" s="203">
        <f t="shared" si="403"/>
        <v>13.914</v>
      </c>
      <c r="Q361" s="203">
        <f t="shared" si="403"/>
        <v>8.0009999999999994</v>
      </c>
      <c r="R361" s="203">
        <f t="shared" si="403"/>
        <v>4.5990000000000002</v>
      </c>
      <c r="S361" s="203">
        <f t="shared" si="403"/>
        <v>10.682</v>
      </c>
      <c r="T361" s="203">
        <f>SUM(N361:S361)</f>
        <v>54.228999999999999</v>
      </c>
      <c r="U361" s="203">
        <f>T361+L361</f>
        <v>88.840999999999994</v>
      </c>
      <c r="V361" s="203">
        <f>V355+V354</f>
        <v>88.840999999999994</v>
      </c>
      <c r="W361" s="203">
        <f>V361-U361</f>
        <v>0</v>
      </c>
    </row>
    <row r="362" spans="1:28" s="205" customFormat="1" ht="18" customHeight="1">
      <c r="A362" s="595"/>
      <c r="B362" s="665"/>
      <c r="C362" s="665"/>
      <c r="D362" s="202" t="str">
        <f>серпень!D285</f>
        <v xml:space="preserve">відхилення </v>
      </c>
      <c r="E362" s="203"/>
      <c r="F362" s="203">
        <f t="shared" ref="F362:K362" si="404">F358-F361</f>
        <v>6.79</v>
      </c>
      <c r="G362" s="203">
        <f t="shared" si="404"/>
        <v>-7.2439999999999998</v>
      </c>
      <c r="H362" s="203">
        <f t="shared" si="404"/>
        <v>-2.9279999999999999</v>
      </c>
      <c r="I362" s="203">
        <f t="shared" si="404"/>
        <v>1.171</v>
      </c>
      <c r="J362" s="203">
        <f t="shared" si="404"/>
        <v>4.3949999999999996</v>
      </c>
      <c r="K362" s="203">
        <f t="shared" si="404"/>
        <v>-0.315</v>
      </c>
      <c r="L362" s="203"/>
      <c r="M362" s="203"/>
      <c r="N362" s="203">
        <f t="shared" ref="N362:S362" si="405">N358-N361</f>
        <v>-0.69</v>
      </c>
      <c r="O362" s="203">
        <f t="shared" si="405"/>
        <v>-9.3209999999999997</v>
      </c>
      <c r="P362" s="203">
        <f t="shared" si="405"/>
        <v>-8.8179999999999996</v>
      </c>
      <c r="Q362" s="203">
        <f t="shared" si="405"/>
        <v>-2.4710000000000001</v>
      </c>
      <c r="R362" s="203">
        <f t="shared" si="405"/>
        <v>0.48699999999999999</v>
      </c>
      <c r="S362" s="203">
        <f t="shared" si="405"/>
        <v>1.129</v>
      </c>
      <c r="T362" s="203"/>
      <c r="U362" s="203"/>
      <c r="V362" s="203"/>
      <c r="W362" s="203"/>
    </row>
    <row r="363" spans="1:28" s="205" customFormat="1" ht="23.5" customHeight="1">
      <c r="A363" s="595"/>
      <c r="B363" s="665"/>
      <c r="C363" s="665"/>
      <c r="D363" s="202" t="str">
        <f>серпень!D286</f>
        <v>відхилення з наростаючим</v>
      </c>
      <c r="E363" s="203"/>
      <c r="F363" s="203">
        <f>F362</f>
        <v>6.79</v>
      </c>
      <c r="G363" s="203">
        <f>G362+F363</f>
        <v>-0.45400000000000001</v>
      </c>
      <c r="H363" s="203">
        <f>H362+G363</f>
        <v>-3.3820000000000001</v>
      </c>
      <c r="I363" s="203">
        <f>I362+H363</f>
        <v>-2.2109999999999999</v>
      </c>
      <c r="J363" s="203">
        <f>J362+I363</f>
        <v>2.1840000000000002</v>
      </c>
      <c r="K363" s="203">
        <f>K362+J363</f>
        <v>1.869</v>
      </c>
      <c r="L363" s="203"/>
      <c r="M363" s="203"/>
      <c r="N363" s="203">
        <f>N362+K363</f>
        <v>1.179</v>
      </c>
      <c r="O363" s="203">
        <f>O362+N363</f>
        <v>-8.1419999999999995</v>
      </c>
      <c r="P363" s="203">
        <f>P362+O363</f>
        <v>-16.96</v>
      </c>
      <c r="Q363" s="203">
        <f>Q362+P363</f>
        <v>-19.431000000000001</v>
      </c>
      <c r="R363" s="203">
        <f>R362+Q363</f>
        <v>-18.943999999999999</v>
      </c>
      <c r="S363" s="203">
        <f>S362+R363</f>
        <v>-17.815000000000001</v>
      </c>
      <c r="T363" s="203"/>
      <c r="U363" s="203"/>
      <c r="V363" s="203"/>
      <c r="W363" s="203"/>
    </row>
    <row r="364" spans="1:28" s="10" customFormat="1" ht="18" customHeight="1">
      <c r="A364" s="595"/>
      <c r="B364" s="580" t="s">
        <v>37</v>
      </c>
      <c r="C364" s="575"/>
      <c r="D364" s="178" t="str">
        <f>серпень!D287</f>
        <v>факт. нат.п-ки 2023</v>
      </c>
      <c r="E364" s="11"/>
      <c r="F364" s="82">
        <v>0</v>
      </c>
      <c r="G364" s="82">
        <v>0</v>
      </c>
      <c r="H364" s="82">
        <v>198.5</v>
      </c>
      <c r="I364" s="82">
        <v>251</v>
      </c>
      <c r="J364" s="82">
        <v>256.5</v>
      </c>
      <c r="K364" s="82">
        <v>451.5</v>
      </c>
      <c r="L364" s="125">
        <f>SUM(F364:K364)</f>
        <v>1157.5</v>
      </c>
      <c r="M364" s="125">
        <f>L364/6</f>
        <v>192.917</v>
      </c>
      <c r="N364" s="348">
        <v>253.8</v>
      </c>
      <c r="O364" s="348">
        <v>88</v>
      </c>
      <c r="P364" s="348">
        <v>122</v>
      </c>
      <c r="Q364" s="348">
        <v>599.70000000000005</v>
      </c>
      <c r="R364" s="348">
        <v>104.5</v>
      </c>
      <c r="S364" s="348">
        <v>451.5</v>
      </c>
      <c r="T364" s="125">
        <f>SUM(N364:S364)</f>
        <v>1619.5</v>
      </c>
      <c r="U364" s="125">
        <f>T364+L364</f>
        <v>2777</v>
      </c>
      <c r="V364" s="505">
        <v>2777</v>
      </c>
      <c r="W364" s="505"/>
      <c r="X364" s="36"/>
    </row>
    <row r="365" spans="1:28" s="48" customFormat="1" ht="18" customHeight="1">
      <c r="A365" s="595"/>
      <c r="B365" s="576"/>
      <c r="C365" s="577"/>
      <c r="D365" s="178" t="str">
        <f>серпень!D288</f>
        <v>факт. нат.п-ки 2024</v>
      </c>
      <c r="E365" s="11"/>
      <c r="F365" s="82">
        <v>0</v>
      </c>
      <c r="G365" s="82">
        <v>248.5</v>
      </c>
      <c r="H365" s="82">
        <v>378.3</v>
      </c>
      <c r="I365" s="82">
        <v>409.3</v>
      </c>
      <c r="J365" s="82">
        <v>229.5</v>
      </c>
      <c r="K365" s="82">
        <v>269</v>
      </c>
      <c r="L365" s="125">
        <f>SUM(F365:K365)</f>
        <v>1534.6</v>
      </c>
      <c r="M365" s="125">
        <f>L365/6</f>
        <v>255.767</v>
      </c>
      <c r="N365" s="348">
        <v>291.5</v>
      </c>
      <c r="O365" s="348">
        <v>144.5</v>
      </c>
      <c r="P365" s="348">
        <v>194.8</v>
      </c>
      <c r="Q365" s="348">
        <v>211.4</v>
      </c>
      <c r="R365" s="348">
        <v>104.5</v>
      </c>
      <c r="S365" s="348">
        <v>451.5</v>
      </c>
      <c r="T365" s="125">
        <f>SUM(N365:S365)</f>
        <v>1398.2</v>
      </c>
      <c r="U365" s="125">
        <f>T365+L365</f>
        <v>2932.8</v>
      </c>
      <c r="V365" s="349">
        <v>2932</v>
      </c>
      <c r="W365" s="505"/>
      <c r="X365" s="47"/>
    </row>
    <row r="366" spans="1:28" s="10" customFormat="1" ht="18" customHeight="1">
      <c r="A366" s="595"/>
      <c r="B366" s="576"/>
      <c r="C366" s="577"/>
      <c r="D366" s="178" t="str">
        <f>серпень!D289</f>
        <v>факт. нат.п-ки 2025</v>
      </c>
      <c r="E366" s="11"/>
      <c r="F366" s="82">
        <v>287.01400000000001</v>
      </c>
      <c r="G366" s="82">
        <v>264.33699999999999</v>
      </c>
      <c r="H366" s="82">
        <v>160.77699999999999</v>
      </c>
      <c r="I366" s="82">
        <v>135.66300000000001</v>
      </c>
      <c r="J366" s="82">
        <v>342.291</v>
      </c>
      <c r="K366" s="82">
        <v>231.90799999999999</v>
      </c>
      <c r="L366" s="125">
        <f>SUM(F366:K366)</f>
        <v>1421.99</v>
      </c>
      <c r="M366" s="125">
        <f>L366/6</f>
        <v>236.99799999999999</v>
      </c>
      <c r="N366" s="348">
        <v>237.232</v>
      </c>
      <c r="O366" s="348">
        <v>31.2</v>
      </c>
      <c r="P366" s="348">
        <v>194.8</v>
      </c>
      <c r="Q366" s="348">
        <v>211.4</v>
      </c>
      <c r="R366" s="348">
        <v>194.4</v>
      </c>
      <c r="S366" s="348">
        <f>564-112.5</f>
        <v>451.5</v>
      </c>
      <c r="T366" s="125">
        <f>SUM(N366:S366)</f>
        <v>1320.5319999999999</v>
      </c>
      <c r="U366" s="125">
        <f>T366+L366</f>
        <v>2742.5219999999999</v>
      </c>
      <c r="V366" s="349">
        <v>3755.2</v>
      </c>
      <c r="W366" s="505">
        <f>V366-U366</f>
        <v>1012.678</v>
      </c>
      <c r="X366" s="36"/>
      <c r="Y366" s="3"/>
      <c r="Z366" s="3"/>
      <c r="AA366" s="3"/>
      <c r="AB366" s="3"/>
    </row>
    <row r="367" spans="1:28" s="114" customFormat="1" ht="18" customHeight="1">
      <c r="A367" s="595"/>
      <c r="B367" s="576"/>
      <c r="C367" s="577"/>
      <c r="D367" s="187" t="str">
        <f>серпень!D290</f>
        <v>тариф, грн.</v>
      </c>
      <c r="E367" s="49" t="e">
        <f>E368/E366*1000</f>
        <v>#DIV/0!</v>
      </c>
      <c r="F367" s="49">
        <f t="shared" ref="F367:K367" si="406">F368/F366*1000</f>
        <v>23.657</v>
      </c>
      <c r="G367" s="49">
        <f t="shared" si="406"/>
        <v>26.16</v>
      </c>
      <c r="H367" s="49">
        <f t="shared" si="406"/>
        <v>26.16</v>
      </c>
      <c r="I367" s="49">
        <f t="shared" si="406"/>
        <v>26.16</v>
      </c>
      <c r="J367" s="49">
        <f t="shared" si="406"/>
        <v>26.158999999999999</v>
      </c>
      <c r="K367" s="49">
        <f t="shared" si="406"/>
        <v>26.161000000000001</v>
      </c>
      <c r="L367" s="68">
        <f>L368/L366*1000</f>
        <v>25.655000000000001</v>
      </c>
      <c r="M367" s="68">
        <f>M368/M366*1000</f>
        <v>25.654</v>
      </c>
      <c r="N367" s="68">
        <f t="shared" ref="N367:O367" si="407">N368/N366*1000</f>
        <v>26.16</v>
      </c>
      <c r="O367" s="68">
        <f t="shared" si="407"/>
        <v>26.154</v>
      </c>
      <c r="P367" s="68">
        <v>26.16</v>
      </c>
      <c r="Q367" s="68">
        <v>26.16</v>
      </c>
      <c r="R367" s="68">
        <v>26.16</v>
      </c>
      <c r="S367" s="68">
        <v>26.16</v>
      </c>
      <c r="T367" s="68">
        <f>T368/T366*1000</f>
        <v>26.16</v>
      </c>
      <c r="U367" s="68">
        <f>U368/U366*1000</f>
        <v>25.898</v>
      </c>
      <c r="V367" s="68">
        <f>V368/V366*1000</f>
        <v>23.658000000000001</v>
      </c>
      <c r="W367" s="14">
        <f>W368/W366*1000</f>
        <v>17.591999999999999</v>
      </c>
      <c r="X367" s="36"/>
      <c r="Y367" s="3"/>
      <c r="Z367" s="3"/>
      <c r="AA367" s="3"/>
      <c r="AB367" s="3"/>
    </row>
    <row r="368" spans="1:28" s="114" customFormat="1" ht="18" customHeight="1">
      <c r="A368" s="595"/>
      <c r="B368" s="576"/>
      <c r="C368" s="577"/>
      <c r="D368" s="191" t="str">
        <f>серпень!D291</f>
        <v>сума, тис.грн.</v>
      </c>
      <c r="E368" s="52"/>
      <c r="F368" s="52">
        <v>6.79</v>
      </c>
      <c r="G368" s="52">
        <v>6.915</v>
      </c>
      <c r="H368" s="52">
        <v>4.2060000000000004</v>
      </c>
      <c r="I368" s="52">
        <v>3.5489999999999999</v>
      </c>
      <c r="J368" s="52">
        <v>8.9540000000000006</v>
      </c>
      <c r="K368" s="52">
        <v>6.0670000000000002</v>
      </c>
      <c r="L368" s="69">
        <f>SUM(F368:K368)</f>
        <v>36.481000000000002</v>
      </c>
      <c r="M368" s="69">
        <f>L368/6</f>
        <v>6.08</v>
      </c>
      <c r="N368" s="52">
        <v>6.2060000000000004</v>
      </c>
      <c r="O368" s="52">
        <v>0.81599999999999995</v>
      </c>
      <c r="P368" s="52">
        <f t="shared" ref="P368" si="408">P366*P367/1000</f>
        <v>5.0960000000000001</v>
      </c>
      <c r="Q368" s="52">
        <f t="shared" ref="Q368" si="409">Q366*Q367/1000</f>
        <v>5.53</v>
      </c>
      <c r="R368" s="52">
        <f t="shared" ref="R368" si="410">R366*R367/1000</f>
        <v>5.0860000000000003</v>
      </c>
      <c r="S368" s="52">
        <f t="shared" ref="S368" si="411">S366*S367/1000</f>
        <v>11.811</v>
      </c>
      <c r="T368" s="69">
        <f>SUM(N368:S368)</f>
        <v>34.545000000000002</v>
      </c>
      <c r="U368" s="69">
        <f>T368+L368</f>
        <v>71.025999999999996</v>
      </c>
      <c r="V368" s="70">
        <f>V370+V369</f>
        <v>88.840999999999994</v>
      </c>
      <c r="W368" s="53">
        <f>V368-U368</f>
        <v>17.815000000000001</v>
      </c>
      <c r="X368" s="113"/>
    </row>
    <row r="369" spans="1:28" s="114" customFormat="1" ht="18" customHeight="1">
      <c r="A369" s="595"/>
      <c r="B369" s="576"/>
      <c r="C369" s="577"/>
      <c r="D369" s="174" t="str">
        <f>серпень!D292</f>
        <v>дотація</v>
      </c>
      <c r="E369" s="56"/>
      <c r="F369" s="52"/>
      <c r="G369" s="52"/>
      <c r="H369" s="52"/>
      <c r="I369" s="52"/>
      <c r="J369" s="52"/>
      <c r="K369" s="52"/>
      <c r="L369" s="69">
        <f>SUM(F369:K369)</f>
        <v>0</v>
      </c>
      <c r="M369" s="69">
        <f>L369/6</f>
        <v>0</v>
      </c>
      <c r="N369" s="52"/>
      <c r="O369" s="52"/>
      <c r="P369" s="52"/>
      <c r="Q369" s="52"/>
      <c r="R369" s="52"/>
      <c r="S369" s="52"/>
      <c r="T369" s="69">
        <f>SUM(N369:S369)</f>
        <v>0</v>
      </c>
      <c r="U369" s="69">
        <f>T369+L369</f>
        <v>0</v>
      </c>
      <c r="V369" s="70"/>
      <c r="W369" s="53">
        <f>V369-U369</f>
        <v>0</v>
      </c>
      <c r="X369" s="113"/>
    </row>
    <row r="370" spans="1:28" s="114" customFormat="1" ht="18" customHeight="1">
      <c r="A370" s="595"/>
      <c r="B370" s="576"/>
      <c r="C370" s="577"/>
      <c r="D370" s="174" t="str">
        <f>серпень!D293</f>
        <v>місцевий (план), тис.грн</v>
      </c>
      <c r="E370" s="56"/>
      <c r="F370" s="52">
        <v>0</v>
      </c>
      <c r="G370" s="52">
        <f>8.28+5.879</f>
        <v>14.159000000000001</v>
      </c>
      <c r="H370" s="52">
        <f>8.95-1.816</f>
        <v>7.1340000000000003</v>
      </c>
      <c r="I370" s="52">
        <f>9.683-7.305</f>
        <v>2.3780000000000001</v>
      </c>
      <c r="J370" s="52">
        <f>5.43+1.129-2</f>
        <v>4.5590000000000002</v>
      </c>
      <c r="K370" s="52">
        <f>10.682-4.3</f>
        <v>6.3819999999999997</v>
      </c>
      <c r="L370" s="69">
        <f>SUM(F370:K370)</f>
        <v>34.612000000000002</v>
      </c>
      <c r="M370" s="69">
        <f>L370/6</f>
        <v>5.7690000000000001</v>
      </c>
      <c r="N370" s="52">
        <v>6.8959999999999999</v>
      </c>
      <c r="O370" s="52">
        <f>8.15+0.687+1.3</f>
        <v>10.137</v>
      </c>
      <c r="P370" s="52">
        <f>4.609+7.305+2</f>
        <v>13.914</v>
      </c>
      <c r="Q370" s="52">
        <f>5.001+3</f>
        <v>8.0009999999999994</v>
      </c>
      <c r="R370" s="52">
        <v>4.5990000000000002</v>
      </c>
      <c r="S370" s="52">
        <v>10.682</v>
      </c>
      <c r="T370" s="69">
        <f>SUM(N370:S370)</f>
        <v>54.228999999999999</v>
      </c>
      <c r="U370" s="69">
        <f>T370+L370</f>
        <v>88.840999999999994</v>
      </c>
      <c r="V370" s="70">
        <v>88.840999999999994</v>
      </c>
      <c r="W370" s="53">
        <f>V370-U370</f>
        <v>0</v>
      </c>
      <c r="X370" s="113"/>
    </row>
    <row r="371" spans="1:28" s="3" customFormat="1" ht="18" customHeight="1">
      <c r="A371" s="595"/>
      <c r="B371" s="576"/>
      <c r="C371" s="577"/>
      <c r="D371" s="178" t="str">
        <f>серпень!D294</f>
        <v>касові нат.п-ки 2025</v>
      </c>
      <c r="E371" s="11"/>
      <c r="F371" s="82">
        <v>287.01400000000001</v>
      </c>
      <c r="G371" s="82">
        <v>264.33699999999999</v>
      </c>
      <c r="H371" s="82">
        <v>160.77699999999999</v>
      </c>
      <c r="I371" s="82">
        <v>135.66300000000001</v>
      </c>
      <c r="J371" s="82">
        <v>342.291</v>
      </c>
      <c r="K371" s="82">
        <v>231.90799999999999</v>
      </c>
      <c r="L371" s="125">
        <f>SUM(F371:K371)</f>
        <v>1421.99</v>
      </c>
      <c r="M371" s="125">
        <f>L371/6</f>
        <v>236.99799999999999</v>
      </c>
      <c r="N371" s="348">
        <f>6206/26.16</f>
        <v>237.232</v>
      </c>
      <c r="O371" s="348">
        <v>31.2</v>
      </c>
      <c r="P371" s="348">
        <v>194.8</v>
      </c>
      <c r="Q371" s="348">
        <v>211.4</v>
      </c>
      <c r="R371" s="348">
        <v>194.4</v>
      </c>
      <c r="S371" s="348">
        <v>451.5</v>
      </c>
      <c r="T371" s="465">
        <f>SUM(N371:S371)</f>
        <v>1320.5319999999999</v>
      </c>
      <c r="U371" s="465">
        <f>T371+L371</f>
        <v>2742.5219999999999</v>
      </c>
      <c r="V371" s="11">
        <f>V366</f>
        <v>3755.2</v>
      </c>
      <c r="W371" s="38">
        <f>V371-U371</f>
        <v>1012.7</v>
      </c>
      <c r="X371" s="47">
        <f>U366-U371</f>
        <v>0</v>
      </c>
    </row>
    <row r="372" spans="1:28" s="73" customFormat="1" ht="18" customHeight="1">
      <c r="A372" s="595"/>
      <c r="B372" s="576"/>
      <c r="C372" s="577"/>
      <c r="D372" s="187" t="str">
        <f>серпень!D295</f>
        <v>тариф, грн.</v>
      </c>
      <c r="E372" s="49" t="e">
        <f t="shared" ref="E372:K372" si="412">E373/E371*1000</f>
        <v>#DIV/0!</v>
      </c>
      <c r="F372" s="49">
        <f t="shared" si="412"/>
        <v>23.657</v>
      </c>
      <c r="G372" s="49">
        <f t="shared" si="412"/>
        <v>26.16</v>
      </c>
      <c r="H372" s="49">
        <f t="shared" si="412"/>
        <v>26.16</v>
      </c>
      <c r="I372" s="49">
        <f t="shared" si="412"/>
        <v>26.16</v>
      </c>
      <c r="J372" s="49">
        <f t="shared" si="412"/>
        <v>26.158999999999999</v>
      </c>
      <c r="K372" s="49">
        <f t="shared" si="412"/>
        <v>26.161000000000001</v>
      </c>
      <c r="L372" s="68">
        <f>L373/L371*1000</f>
        <v>25.655000000000001</v>
      </c>
      <c r="M372" s="68">
        <f>M373/M371*1000</f>
        <v>25.654</v>
      </c>
      <c r="N372" s="68">
        <f t="shared" ref="N372:P372" si="413">N373/N371*1000</f>
        <v>26.16</v>
      </c>
      <c r="O372" s="68">
        <f t="shared" si="413"/>
        <v>26.154</v>
      </c>
      <c r="P372" s="68">
        <f t="shared" si="413"/>
        <v>26.16</v>
      </c>
      <c r="Q372" s="68">
        <v>26.16</v>
      </c>
      <c r="R372" s="68">
        <v>26.16</v>
      </c>
      <c r="S372" s="68">
        <v>26.16</v>
      </c>
      <c r="T372" s="68">
        <f>T373/T371*1000</f>
        <v>26.16</v>
      </c>
      <c r="U372" s="68">
        <f>U373/U371*1000</f>
        <v>25.898</v>
      </c>
      <c r="V372" s="68">
        <f>V373/V371*1000</f>
        <v>23.658000000000001</v>
      </c>
      <c r="W372" s="14">
        <f>W373/W371*1000</f>
        <v>17.591999999999999</v>
      </c>
      <c r="X372" s="59"/>
      <c r="Y372" s="36"/>
      <c r="Z372" s="36"/>
      <c r="AA372" s="36"/>
      <c r="AB372" s="36"/>
    </row>
    <row r="373" spans="1:28" s="126" customFormat="1" ht="18" customHeight="1">
      <c r="A373" s="595"/>
      <c r="B373" s="576"/>
      <c r="C373" s="577"/>
      <c r="D373" s="198" t="str">
        <f>серпень!D296</f>
        <v>касові видатки, тис.грн.</v>
      </c>
      <c r="E373" s="71"/>
      <c r="F373" s="61">
        <v>6.79</v>
      </c>
      <c r="G373" s="61">
        <v>6.915</v>
      </c>
      <c r="H373" s="61">
        <v>4.2060000000000004</v>
      </c>
      <c r="I373" s="61">
        <v>3.5489999999999999</v>
      </c>
      <c r="J373" s="61">
        <v>8.9540000000000006</v>
      </c>
      <c r="K373" s="61">
        <v>6.0670000000000002</v>
      </c>
      <c r="L373" s="61">
        <f>SUM(F373:K373)</f>
        <v>36.481000000000002</v>
      </c>
      <c r="M373" s="61">
        <f>L373/6</f>
        <v>6.08</v>
      </c>
      <c r="N373" s="61">
        <f>7.773-1.567</f>
        <v>6.2060000000000004</v>
      </c>
      <c r="O373" s="61">
        <v>0.81599999999999995</v>
      </c>
      <c r="P373" s="61">
        <v>5.0960000000000001</v>
      </c>
      <c r="Q373" s="61">
        <f t="shared" ref="Q373" si="414">Q371*Q372/1000</f>
        <v>5.53</v>
      </c>
      <c r="R373" s="61">
        <f t="shared" ref="R373" si="415">R371*R372/1000</f>
        <v>5.0860000000000003</v>
      </c>
      <c r="S373" s="61">
        <f t="shared" ref="S373" si="416">S371*S372/1000</f>
        <v>11.811</v>
      </c>
      <c r="T373" s="61">
        <f>SUM(N373:S373)</f>
        <v>34.545000000000002</v>
      </c>
      <c r="U373" s="61">
        <f>T373+L373</f>
        <v>71.025999999999996</v>
      </c>
      <c r="V373" s="61">
        <f>V368</f>
        <v>88.840999999999994</v>
      </c>
      <c r="W373" s="72">
        <f>V373-U373</f>
        <v>17.815000000000001</v>
      </c>
      <c r="X373" s="63">
        <f>U368-U373</f>
        <v>0</v>
      </c>
    </row>
    <row r="374" spans="1:28" s="126" customFormat="1" ht="18" customHeight="1">
      <c r="A374" s="595"/>
      <c r="B374" s="576"/>
      <c r="C374" s="577"/>
      <c r="D374" s="201" t="str">
        <f>серпень!D297</f>
        <v>дотація</v>
      </c>
      <c r="E374" s="71"/>
      <c r="F374" s="61"/>
      <c r="G374" s="61"/>
      <c r="H374" s="61"/>
      <c r="I374" s="61"/>
      <c r="J374" s="61"/>
      <c r="K374" s="61"/>
      <c r="L374" s="61">
        <f>SUM(F374:K374)</f>
        <v>0</v>
      </c>
      <c r="M374" s="61">
        <f>L374/6</f>
        <v>0</v>
      </c>
      <c r="N374" s="61"/>
      <c r="O374" s="61"/>
      <c r="P374" s="61"/>
      <c r="Q374" s="61"/>
      <c r="R374" s="61"/>
      <c r="S374" s="61"/>
      <c r="T374" s="61">
        <f>SUM(N374:S374)</f>
        <v>0</v>
      </c>
      <c r="U374" s="61">
        <f>T374+L374</f>
        <v>0</v>
      </c>
      <c r="V374" s="61">
        <f>V369</f>
        <v>0</v>
      </c>
      <c r="W374" s="72">
        <f>V374-U374</f>
        <v>0</v>
      </c>
      <c r="X374" s="63">
        <f>U369-U374</f>
        <v>0</v>
      </c>
    </row>
    <row r="375" spans="1:28" s="126" customFormat="1" ht="18" customHeight="1">
      <c r="A375" s="595"/>
      <c r="B375" s="576"/>
      <c r="C375" s="577"/>
      <c r="D375" s="201" t="str">
        <f>серпень!D298</f>
        <v xml:space="preserve">місцевий </v>
      </c>
      <c r="E375" s="71"/>
      <c r="F375" s="61">
        <f t="shared" ref="F375:K375" si="417">F373-F374</f>
        <v>6.79</v>
      </c>
      <c r="G375" s="61">
        <f t="shared" si="417"/>
        <v>6.915</v>
      </c>
      <c r="H375" s="61">
        <f t="shared" si="417"/>
        <v>4.2060000000000004</v>
      </c>
      <c r="I375" s="61">
        <f t="shared" si="417"/>
        <v>3.5489999999999999</v>
      </c>
      <c r="J375" s="61">
        <f t="shared" si="417"/>
        <v>8.9540000000000006</v>
      </c>
      <c r="K375" s="61">
        <f t="shared" si="417"/>
        <v>6.0670000000000002</v>
      </c>
      <c r="L375" s="61">
        <f>SUM(F375:K375)</f>
        <v>36.481000000000002</v>
      </c>
      <c r="M375" s="61">
        <f>L375/6</f>
        <v>6.08</v>
      </c>
      <c r="N375" s="61">
        <f t="shared" ref="N375:S375" si="418">N373-N374</f>
        <v>6.2060000000000004</v>
      </c>
      <c r="O375" s="61">
        <f t="shared" si="418"/>
        <v>0.81599999999999995</v>
      </c>
      <c r="P375" s="61">
        <f t="shared" si="418"/>
        <v>5.0960000000000001</v>
      </c>
      <c r="Q375" s="61">
        <f t="shared" si="418"/>
        <v>5.53</v>
      </c>
      <c r="R375" s="61">
        <f t="shared" si="418"/>
        <v>5.0860000000000003</v>
      </c>
      <c r="S375" s="61">
        <f t="shared" si="418"/>
        <v>11.811</v>
      </c>
      <c r="T375" s="61">
        <f>SUM(N375:S375)</f>
        <v>34.545000000000002</v>
      </c>
      <c r="U375" s="61">
        <f>T375+L375</f>
        <v>71.025999999999996</v>
      </c>
      <c r="V375" s="61">
        <f>V370</f>
        <v>88.840999999999994</v>
      </c>
      <c r="W375" s="72">
        <f>V375-U375</f>
        <v>17.815000000000001</v>
      </c>
      <c r="X375" s="63">
        <f>U370-U375</f>
        <v>17.815000000000001</v>
      </c>
    </row>
    <row r="376" spans="1:28" s="43" customFormat="1" ht="18" customHeight="1">
      <c r="A376" s="595"/>
      <c r="B376" s="576"/>
      <c r="C376" s="577"/>
      <c r="D376" s="202" t="str">
        <f>серпень!D299</f>
        <v>план</v>
      </c>
      <c r="E376" s="42"/>
      <c r="F376" s="42">
        <f t="shared" ref="F376:K376" si="419">F369+F370</f>
        <v>0</v>
      </c>
      <c r="G376" s="42">
        <f t="shared" si="419"/>
        <v>14.159000000000001</v>
      </c>
      <c r="H376" s="42">
        <f t="shared" si="419"/>
        <v>7.1340000000000003</v>
      </c>
      <c r="I376" s="42">
        <f t="shared" si="419"/>
        <v>2.3780000000000001</v>
      </c>
      <c r="J376" s="42">
        <f t="shared" si="419"/>
        <v>4.5590000000000002</v>
      </c>
      <c r="K376" s="42">
        <f t="shared" si="419"/>
        <v>6.3819999999999997</v>
      </c>
      <c r="L376" s="42">
        <f>SUM(F376:K376)</f>
        <v>34.612000000000002</v>
      </c>
      <c r="M376" s="42">
        <f>L376/6</f>
        <v>5.7690000000000001</v>
      </c>
      <c r="N376" s="42">
        <f t="shared" ref="N376:S376" si="420">N370+N369</f>
        <v>6.8959999999999999</v>
      </c>
      <c r="O376" s="42">
        <f t="shared" si="420"/>
        <v>10.137</v>
      </c>
      <c r="P376" s="42">
        <f t="shared" si="420"/>
        <v>13.914</v>
      </c>
      <c r="Q376" s="42">
        <f t="shared" si="420"/>
        <v>8.0009999999999994</v>
      </c>
      <c r="R376" s="42">
        <f t="shared" si="420"/>
        <v>4.5990000000000002</v>
      </c>
      <c r="S376" s="42">
        <f t="shared" si="420"/>
        <v>10.682</v>
      </c>
      <c r="T376" s="42">
        <f>SUM(N376:S376)</f>
        <v>54.228999999999999</v>
      </c>
      <c r="U376" s="42">
        <f>T376+L376</f>
        <v>88.840999999999994</v>
      </c>
      <c r="V376" s="42">
        <f>V373</f>
        <v>88.840999999999994</v>
      </c>
      <c r="W376" s="42">
        <f>V376-U376</f>
        <v>0</v>
      </c>
    </row>
    <row r="377" spans="1:28" s="43" customFormat="1" ht="18" customHeight="1">
      <c r="A377" s="595"/>
      <c r="B377" s="576"/>
      <c r="C377" s="577"/>
      <c r="D377" s="202" t="str">
        <f>серпень!D300</f>
        <v xml:space="preserve">відхилення </v>
      </c>
      <c r="E377" s="42"/>
      <c r="F377" s="42">
        <f t="shared" ref="F377:K377" si="421">F373-F376</f>
        <v>6.79</v>
      </c>
      <c r="G377" s="42">
        <f t="shared" si="421"/>
        <v>-7.2439999999999998</v>
      </c>
      <c r="H377" s="42">
        <f t="shared" si="421"/>
        <v>-2.9279999999999999</v>
      </c>
      <c r="I377" s="42">
        <f t="shared" si="421"/>
        <v>1.171</v>
      </c>
      <c r="J377" s="42">
        <f t="shared" si="421"/>
        <v>4.3949999999999996</v>
      </c>
      <c r="K377" s="42">
        <f t="shared" si="421"/>
        <v>-0.315</v>
      </c>
      <c r="L377" s="42"/>
      <c r="M377" s="42"/>
      <c r="N377" s="42">
        <f t="shared" ref="N377:S377" si="422">N373-N376</f>
        <v>-0.69</v>
      </c>
      <c r="O377" s="42">
        <f t="shared" si="422"/>
        <v>-9.3209999999999997</v>
      </c>
      <c r="P377" s="42">
        <f t="shared" si="422"/>
        <v>-8.8179999999999996</v>
      </c>
      <c r="Q377" s="42">
        <f t="shared" si="422"/>
        <v>-2.4710000000000001</v>
      </c>
      <c r="R377" s="42">
        <f t="shared" si="422"/>
        <v>0.48699999999999999</v>
      </c>
      <c r="S377" s="42">
        <f t="shared" si="422"/>
        <v>1.129</v>
      </c>
      <c r="T377" s="42"/>
      <c r="U377" s="42"/>
      <c r="V377" s="42"/>
      <c r="W377" s="42"/>
    </row>
    <row r="378" spans="1:28" s="43" customFormat="1" ht="18" customHeight="1">
      <c r="A378" s="595"/>
      <c r="B378" s="576"/>
      <c r="C378" s="577"/>
      <c r="D378" s="202" t="str">
        <f>серпень!D301</f>
        <v>відхилення з наростаючим</v>
      </c>
      <c r="E378" s="42"/>
      <c r="F378" s="42">
        <f>F377</f>
        <v>6.79</v>
      </c>
      <c r="G378" s="42">
        <f>G377+F378</f>
        <v>-0.45400000000000001</v>
      </c>
      <c r="H378" s="42">
        <f>H377+G378</f>
        <v>-3.3820000000000001</v>
      </c>
      <c r="I378" s="42">
        <f>I377+H378</f>
        <v>-2.2109999999999999</v>
      </c>
      <c r="J378" s="42">
        <f>J377+I378</f>
        <v>2.1840000000000002</v>
      </c>
      <c r="K378" s="42">
        <f>K377+J378</f>
        <v>1.869</v>
      </c>
      <c r="L378" s="42"/>
      <c r="M378" s="42"/>
      <c r="N378" s="42">
        <f>N377+K378</f>
        <v>1.179</v>
      </c>
      <c r="O378" s="42">
        <f>O377+N378</f>
        <v>-8.1419999999999995</v>
      </c>
      <c r="P378" s="42">
        <f>P377+O378</f>
        <v>-16.96</v>
      </c>
      <c r="Q378" s="42">
        <f>Q377+P378</f>
        <v>-19.431000000000001</v>
      </c>
      <c r="R378" s="42">
        <f>R377+Q378</f>
        <v>-18.943999999999999</v>
      </c>
      <c r="S378" s="42">
        <f>S377+R378</f>
        <v>-17.815000000000001</v>
      </c>
      <c r="T378" s="42"/>
      <c r="U378" s="42"/>
      <c r="V378" s="42"/>
      <c r="W378" s="42"/>
    </row>
    <row r="379" spans="1:28" s="48" customFormat="1" ht="18" hidden="1" customHeight="1">
      <c r="A379" s="595"/>
      <c r="B379" s="580" t="s">
        <v>96</v>
      </c>
      <c r="C379" s="575"/>
      <c r="D379" s="178" t="str">
        <f>серпень!D302</f>
        <v>факт. нат.п-ки 2023</v>
      </c>
      <c r="E379" s="11"/>
      <c r="F379" s="12"/>
      <c r="G379" s="12"/>
      <c r="H379" s="12"/>
      <c r="I379" s="12"/>
      <c r="J379" s="12"/>
      <c r="K379" s="12"/>
      <c r="L379" s="65">
        <f>SUM(F379:K379)</f>
        <v>0</v>
      </c>
      <c r="M379" s="65">
        <f>L379/6</f>
        <v>0</v>
      </c>
      <c r="N379" s="12"/>
      <c r="O379" s="12"/>
      <c r="P379" s="12"/>
      <c r="Q379" s="12"/>
      <c r="R379" s="12"/>
      <c r="S379" s="12"/>
      <c r="T379" s="65">
        <f>SUM(N379:S379)</f>
        <v>0</v>
      </c>
      <c r="U379" s="66">
        <f>T379+L379</f>
        <v>0</v>
      </c>
      <c r="V379" s="67"/>
      <c r="W379" s="38">
        <f>V379-U379</f>
        <v>0</v>
      </c>
      <c r="X379" s="47"/>
    </row>
    <row r="380" spans="1:28" s="48" customFormat="1" ht="18" hidden="1" customHeight="1">
      <c r="A380" s="595"/>
      <c r="B380" s="576"/>
      <c r="C380" s="577"/>
      <c r="D380" s="178" t="str">
        <f>серпень!D303</f>
        <v>факт. нат.п-ки 2024</v>
      </c>
      <c r="E380" s="11"/>
      <c r="F380" s="12"/>
      <c r="G380" s="12"/>
      <c r="H380" s="12"/>
      <c r="I380" s="12"/>
      <c r="J380" s="12"/>
      <c r="K380" s="12"/>
      <c r="L380" s="65">
        <f>SUM(F380:K380)</f>
        <v>0</v>
      </c>
      <c r="M380" s="65">
        <f>L380/6</f>
        <v>0</v>
      </c>
      <c r="N380" s="11"/>
      <c r="O380" s="11"/>
      <c r="P380" s="11"/>
      <c r="Q380" s="11"/>
      <c r="R380" s="11"/>
      <c r="S380" s="11"/>
      <c r="T380" s="65">
        <f>SUM(N380:S380)</f>
        <v>0</v>
      </c>
      <c r="U380" s="66">
        <f>T380+L380</f>
        <v>0</v>
      </c>
      <c r="V380" s="67"/>
      <c r="W380" s="38">
        <f>V380-U380</f>
        <v>0</v>
      </c>
      <c r="X380" s="47"/>
    </row>
    <row r="381" spans="1:28" s="48" customFormat="1" ht="18" hidden="1" customHeight="1">
      <c r="A381" s="595"/>
      <c r="B381" s="576"/>
      <c r="C381" s="577"/>
      <c r="D381" s="178" t="str">
        <f>серпень!D304</f>
        <v>факт. нат.п-ки 2025</v>
      </c>
      <c r="E381" s="11"/>
      <c r="F381" s="12"/>
      <c r="G381" s="12"/>
      <c r="H381" s="12"/>
      <c r="I381" s="12"/>
      <c r="J381" s="12"/>
      <c r="K381" s="12"/>
      <c r="L381" s="65">
        <f>SUM(F381:K381)</f>
        <v>0</v>
      </c>
      <c r="M381" s="65">
        <f>L381/6</f>
        <v>0</v>
      </c>
      <c r="N381" s="12"/>
      <c r="O381" s="12"/>
      <c r="P381" s="12"/>
      <c r="Q381" s="12"/>
      <c r="R381" s="12"/>
      <c r="S381" s="11"/>
      <c r="T381" s="65">
        <f>SUM(N381:S381)</f>
        <v>0</v>
      </c>
      <c r="U381" s="66">
        <f>T381+L381</f>
        <v>0</v>
      </c>
      <c r="V381" s="11"/>
      <c r="W381" s="38">
        <f>V381-U381</f>
        <v>0</v>
      </c>
      <c r="X381" s="47"/>
    </row>
    <row r="382" spans="1:28" s="51" customFormat="1" ht="18" hidden="1" customHeight="1">
      <c r="A382" s="595"/>
      <c r="B382" s="576"/>
      <c r="C382" s="577"/>
      <c r="D382" s="187" t="str">
        <f>серпень!D305</f>
        <v>тариф, грн.</v>
      </c>
      <c r="E382" s="49"/>
      <c r="F382" s="49"/>
      <c r="G382" s="49"/>
      <c r="H382" s="49"/>
      <c r="I382" s="49"/>
      <c r="J382" s="49"/>
      <c r="K382" s="49"/>
      <c r="L382" s="49" t="e">
        <f>L383/L381*1000</f>
        <v>#DIV/0!</v>
      </c>
      <c r="M382" s="49" t="e">
        <f>M383/M381*1000</f>
        <v>#DIV/0!</v>
      </c>
      <c r="N382" s="49"/>
      <c r="O382" s="49"/>
      <c r="P382" s="49"/>
      <c r="Q382" s="49"/>
      <c r="R382" s="49"/>
      <c r="S382" s="49"/>
      <c r="T382" s="49" t="e">
        <f>T383/T381*1000</f>
        <v>#DIV/0!</v>
      </c>
      <c r="U382" s="49" t="e">
        <f>U383/U381*1000</f>
        <v>#DIV/0!</v>
      </c>
      <c r="V382" s="68" t="e">
        <f>V383/V381*1000</f>
        <v>#DIV/0!</v>
      </c>
      <c r="W382" s="14" t="e">
        <f>W383/W381*1000</f>
        <v>#DIV/0!</v>
      </c>
      <c r="X382" s="50"/>
    </row>
    <row r="383" spans="1:28" s="55" customFormat="1" ht="18" hidden="1" customHeight="1">
      <c r="A383" s="595"/>
      <c r="B383" s="576"/>
      <c r="C383" s="577"/>
      <c r="D383" s="191" t="str">
        <f>серпень!D306</f>
        <v>сума, тис.грн.</v>
      </c>
      <c r="E383" s="52"/>
      <c r="F383" s="52">
        <f t="shared" ref="F383:K383" si="423">F381*F382/1000</f>
        <v>0</v>
      </c>
      <c r="G383" s="52">
        <f t="shared" si="423"/>
        <v>0</v>
      </c>
      <c r="H383" s="52">
        <f t="shared" si="423"/>
        <v>0</v>
      </c>
      <c r="I383" s="52">
        <f t="shared" si="423"/>
        <v>0</v>
      </c>
      <c r="J383" s="52">
        <f t="shared" si="423"/>
        <v>0</v>
      </c>
      <c r="K383" s="52">
        <f t="shared" si="423"/>
        <v>0</v>
      </c>
      <c r="L383" s="69">
        <f>SUM(F383:K383)</f>
        <v>0</v>
      </c>
      <c r="M383" s="69">
        <f>L383/6</f>
        <v>0</v>
      </c>
      <c r="N383" s="52">
        <f t="shared" ref="N383:S383" si="424">N381*N382/1000</f>
        <v>0</v>
      </c>
      <c r="O383" s="52">
        <f t="shared" si="424"/>
        <v>0</v>
      </c>
      <c r="P383" s="52">
        <f t="shared" si="424"/>
        <v>0</v>
      </c>
      <c r="Q383" s="52">
        <f t="shared" si="424"/>
        <v>0</v>
      </c>
      <c r="R383" s="52">
        <f t="shared" si="424"/>
        <v>0</v>
      </c>
      <c r="S383" s="52">
        <f t="shared" si="424"/>
        <v>0</v>
      </c>
      <c r="T383" s="69">
        <f>SUM(N383:S383)</f>
        <v>0</v>
      </c>
      <c r="U383" s="69">
        <f>T383+L383</f>
        <v>0</v>
      </c>
      <c r="V383" s="70">
        <f>V384+V385</f>
        <v>0</v>
      </c>
      <c r="W383" s="53">
        <f>V383-U383</f>
        <v>0</v>
      </c>
      <c r="X383" s="54">
        <f>9891253.845/1000</f>
        <v>9891.2540000000008</v>
      </c>
    </row>
    <row r="384" spans="1:28" s="55" customFormat="1" ht="18" hidden="1" customHeight="1">
      <c r="A384" s="595"/>
      <c r="B384" s="576"/>
      <c r="C384" s="577"/>
      <c r="D384" s="174" t="str">
        <f>серпень!D307</f>
        <v>дотація</v>
      </c>
      <c r="E384" s="56"/>
      <c r="F384" s="52"/>
      <c r="G384" s="52"/>
      <c r="H384" s="52"/>
      <c r="I384" s="52"/>
      <c r="J384" s="52"/>
      <c r="K384" s="52"/>
      <c r="L384" s="69">
        <f>SUM(F384:K384)</f>
        <v>0</v>
      </c>
      <c r="M384" s="69">
        <f>L384/6</f>
        <v>0</v>
      </c>
      <c r="N384" s="52"/>
      <c r="O384" s="52"/>
      <c r="P384" s="52"/>
      <c r="Q384" s="52"/>
      <c r="R384" s="52"/>
      <c r="S384" s="52"/>
      <c r="T384" s="69">
        <f>SUM(N384:S384)</f>
        <v>0</v>
      </c>
      <c r="U384" s="69">
        <f>T384+L384</f>
        <v>0</v>
      </c>
      <c r="V384" s="70"/>
      <c r="W384" s="53">
        <f>V384-U384</f>
        <v>0</v>
      </c>
      <c r="X384" s="58"/>
    </row>
    <row r="385" spans="1:28" s="55" customFormat="1" ht="18" hidden="1" customHeight="1">
      <c r="A385" s="595"/>
      <c r="B385" s="576"/>
      <c r="C385" s="577"/>
      <c r="D385" s="174" t="str">
        <f>серпень!D308</f>
        <v>місцевий (план), тис.грн</v>
      </c>
      <c r="E385" s="56"/>
      <c r="F385" s="52"/>
      <c r="G385" s="52"/>
      <c r="H385" s="52"/>
      <c r="I385" s="52"/>
      <c r="J385" s="52"/>
      <c r="K385" s="52"/>
      <c r="L385" s="69">
        <f>SUM(F385:K385)</f>
        <v>0</v>
      </c>
      <c r="M385" s="69">
        <f>L385/6</f>
        <v>0</v>
      </c>
      <c r="N385" s="52"/>
      <c r="O385" s="52"/>
      <c r="P385" s="52"/>
      <c r="Q385" s="52"/>
      <c r="R385" s="52"/>
      <c r="S385" s="52"/>
      <c r="T385" s="69">
        <f>SUM(N385:S385)</f>
        <v>0</v>
      </c>
      <c r="U385" s="69">
        <f>T385+L385</f>
        <v>0</v>
      </c>
      <c r="V385" s="70"/>
      <c r="W385" s="53">
        <f>V385-U385</f>
        <v>0</v>
      </c>
      <c r="X385" s="58"/>
    </row>
    <row r="386" spans="1:28" s="48" customFormat="1" ht="18" hidden="1" customHeight="1">
      <c r="A386" s="595"/>
      <c r="B386" s="576"/>
      <c r="C386" s="577"/>
      <c r="D386" s="178" t="str">
        <f>серпень!D309</f>
        <v>касові нат.п-ки 2025</v>
      </c>
      <c r="E386" s="11"/>
      <c r="F386" s="11"/>
      <c r="G386" s="11"/>
      <c r="H386" s="11"/>
      <c r="I386" s="11"/>
      <c r="J386" s="11"/>
      <c r="K386" s="11"/>
      <c r="L386" s="65">
        <f>SUM(F386:K386)</f>
        <v>0</v>
      </c>
      <c r="M386" s="65">
        <f>L386/6</f>
        <v>0</v>
      </c>
      <c r="N386" s="11"/>
      <c r="O386" s="11"/>
      <c r="P386" s="11"/>
      <c r="Q386" s="11"/>
      <c r="R386" s="11"/>
      <c r="S386" s="11"/>
      <c r="T386" s="65">
        <f>SUM(N386:S386)</f>
        <v>0</v>
      </c>
      <c r="U386" s="65">
        <f>T386+L386</f>
        <v>0</v>
      </c>
      <c r="V386" s="11">
        <f>V381</f>
        <v>0</v>
      </c>
      <c r="W386" s="38">
        <f>V386-U386</f>
        <v>0</v>
      </c>
      <c r="X386" s="47">
        <f>U381-U386</f>
        <v>0</v>
      </c>
    </row>
    <row r="387" spans="1:28" s="51" customFormat="1" ht="18" hidden="1" customHeight="1">
      <c r="A387" s="595"/>
      <c r="B387" s="576"/>
      <c r="C387" s="577"/>
      <c r="D387" s="187" t="str">
        <f>серпень!D310</f>
        <v>тариф, грн.</v>
      </c>
      <c r="E387" s="49" t="e">
        <f>E388/E386*1000</f>
        <v>#DIV/0!</v>
      </c>
      <c r="F387" s="49"/>
      <c r="G387" s="49"/>
      <c r="H387" s="49"/>
      <c r="I387" s="49"/>
      <c r="J387" s="49"/>
      <c r="K387" s="49"/>
      <c r="L387" s="49" t="e">
        <f>L388/L386*1000</f>
        <v>#DIV/0!</v>
      </c>
      <c r="M387" s="49" t="e">
        <f>M388/M386*1000</f>
        <v>#DIV/0!</v>
      </c>
      <c r="N387" s="49"/>
      <c r="O387" s="49"/>
      <c r="P387" s="49"/>
      <c r="Q387" s="49"/>
      <c r="R387" s="49"/>
      <c r="S387" s="49"/>
      <c r="T387" s="49" t="e">
        <f>T388/T386*1000</f>
        <v>#DIV/0!</v>
      </c>
      <c r="U387" s="49" t="e">
        <f>U388/U386*1000</f>
        <v>#DIV/0!</v>
      </c>
      <c r="V387" s="68" t="e">
        <f>V388/V386*1000</f>
        <v>#DIV/0!</v>
      </c>
      <c r="W387" s="14" t="e">
        <f>W388/W386*1000</f>
        <v>#DIV/0!</v>
      </c>
      <c r="X387" s="59"/>
    </row>
    <row r="388" spans="1:28" s="63" customFormat="1" ht="17.7" hidden="1" customHeight="1">
      <c r="A388" s="595"/>
      <c r="B388" s="576"/>
      <c r="C388" s="577"/>
      <c r="D388" s="198" t="str">
        <f>серпень!D311</f>
        <v>касові видатки, тис.грн.</v>
      </c>
      <c r="E388" s="71"/>
      <c r="F388" s="61">
        <f t="shared" ref="F388:K388" si="425">F386*F387/1000</f>
        <v>0</v>
      </c>
      <c r="G388" s="61">
        <f t="shared" si="425"/>
        <v>0</v>
      </c>
      <c r="H388" s="61">
        <f t="shared" si="425"/>
        <v>0</v>
      </c>
      <c r="I388" s="61">
        <f t="shared" si="425"/>
        <v>0</v>
      </c>
      <c r="J388" s="61">
        <f t="shared" si="425"/>
        <v>0</v>
      </c>
      <c r="K388" s="61">
        <f t="shared" si="425"/>
        <v>0</v>
      </c>
      <c r="L388" s="61">
        <f>SUM(F388:K388)</f>
        <v>0</v>
      </c>
      <c r="M388" s="61">
        <f>L388/6</f>
        <v>0</v>
      </c>
      <c r="N388" s="61">
        <f t="shared" ref="N388:S388" si="426">N386*N387/1000</f>
        <v>0</v>
      </c>
      <c r="O388" s="61">
        <f t="shared" si="426"/>
        <v>0</v>
      </c>
      <c r="P388" s="61">
        <f t="shared" si="426"/>
        <v>0</v>
      </c>
      <c r="Q388" s="61">
        <f t="shared" si="426"/>
        <v>0</v>
      </c>
      <c r="R388" s="61">
        <f t="shared" si="426"/>
        <v>0</v>
      </c>
      <c r="S388" s="61">
        <f t="shared" si="426"/>
        <v>0</v>
      </c>
      <c r="T388" s="61">
        <f>SUM(N388:S388)</f>
        <v>0</v>
      </c>
      <c r="U388" s="61">
        <f>T388+L388</f>
        <v>0</v>
      </c>
      <c r="V388" s="61">
        <f>V383</f>
        <v>0</v>
      </c>
      <c r="W388" s="72">
        <f>V388-U388</f>
        <v>0</v>
      </c>
      <c r="X388" s="63">
        <f>U383-U388</f>
        <v>0</v>
      </c>
    </row>
    <row r="389" spans="1:28" s="63" customFormat="1" ht="18" hidden="1" customHeight="1">
      <c r="A389" s="595"/>
      <c r="B389" s="576"/>
      <c r="C389" s="577"/>
      <c r="D389" s="201" t="str">
        <f>серпень!D312</f>
        <v>дотація</v>
      </c>
      <c r="E389" s="71"/>
      <c r="F389" s="61"/>
      <c r="G389" s="61"/>
      <c r="H389" s="61"/>
      <c r="I389" s="61"/>
      <c r="J389" s="61"/>
      <c r="K389" s="61"/>
      <c r="L389" s="61">
        <f>SUM(F389:K389)</f>
        <v>0</v>
      </c>
      <c r="M389" s="61">
        <f>L389/6</f>
        <v>0</v>
      </c>
      <c r="N389" s="61"/>
      <c r="O389" s="61"/>
      <c r="P389" s="61"/>
      <c r="Q389" s="61"/>
      <c r="R389" s="61"/>
      <c r="S389" s="61"/>
      <c r="T389" s="61">
        <f>SUM(N389:S389)</f>
        <v>0</v>
      </c>
      <c r="U389" s="61">
        <f>T389+L389</f>
        <v>0</v>
      </c>
      <c r="V389" s="61">
        <f>V384</f>
        <v>0</v>
      </c>
      <c r="W389" s="72">
        <f>V389-U389</f>
        <v>0</v>
      </c>
      <c r="X389" s="63">
        <f>U384-U389</f>
        <v>0</v>
      </c>
    </row>
    <row r="390" spans="1:28" s="63" customFormat="1" ht="18" hidden="1" customHeight="1">
      <c r="A390" s="595"/>
      <c r="B390" s="576"/>
      <c r="C390" s="577"/>
      <c r="D390" s="201" t="str">
        <f>серпень!D313</f>
        <v xml:space="preserve">місцевий </v>
      </c>
      <c r="E390" s="71"/>
      <c r="F390" s="61">
        <f t="shared" ref="F390:K390" si="427">F388-F389</f>
        <v>0</v>
      </c>
      <c r="G390" s="61">
        <f t="shared" si="427"/>
        <v>0</v>
      </c>
      <c r="H390" s="61">
        <f t="shared" si="427"/>
        <v>0</v>
      </c>
      <c r="I390" s="61">
        <f t="shared" si="427"/>
        <v>0</v>
      </c>
      <c r="J390" s="61">
        <f t="shared" si="427"/>
        <v>0</v>
      </c>
      <c r="K390" s="61">
        <f t="shared" si="427"/>
        <v>0</v>
      </c>
      <c r="L390" s="61">
        <f>SUM(F390:K390)</f>
        <v>0</v>
      </c>
      <c r="M390" s="61">
        <f>L390/6</f>
        <v>0</v>
      </c>
      <c r="N390" s="61">
        <f t="shared" ref="N390:S390" si="428">N388-N389</f>
        <v>0</v>
      </c>
      <c r="O390" s="61">
        <f t="shared" si="428"/>
        <v>0</v>
      </c>
      <c r="P390" s="61">
        <f t="shared" si="428"/>
        <v>0</v>
      </c>
      <c r="Q390" s="61">
        <f t="shared" si="428"/>
        <v>0</v>
      </c>
      <c r="R390" s="61">
        <f t="shared" si="428"/>
        <v>0</v>
      </c>
      <c r="S390" s="61">
        <f t="shared" si="428"/>
        <v>0</v>
      </c>
      <c r="T390" s="61">
        <f>SUM(N390:S390)</f>
        <v>0</v>
      </c>
      <c r="U390" s="61">
        <f>T390+L390</f>
        <v>0</v>
      </c>
      <c r="V390" s="61">
        <f>V385</f>
        <v>0</v>
      </c>
      <c r="W390" s="72">
        <f>V390-U390</f>
        <v>0</v>
      </c>
      <c r="X390" s="63">
        <f>U385-U390</f>
        <v>0</v>
      </c>
    </row>
    <row r="391" spans="1:28" s="43" customFormat="1" ht="18" hidden="1" customHeight="1">
      <c r="A391" s="595"/>
      <c r="B391" s="576"/>
      <c r="C391" s="577"/>
      <c r="D391" s="202" t="str">
        <f>серпень!D314</f>
        <v>план</v>
      </c>
      <c r="E391" s="42"/>
      <c r="F391" s="42">
        <f t="shared" ref="F391:K391" si="429">F385</f>
        <v>0</v>
      </c>
      <c r="G391" s="42">
        <f t="shared" si="429"/>
        <v>0</v>
      </c>
      <c r="H391" s="42">
        <f t="shared" si="429"/>
        <v>0</v>
      </c>
      <c r="I391" s="42">
        <f t="shared" si="429"/>
        <v>0</v>
      </c>
      <c r="J391" s="42">
        <f t="shared" si="429"/>
        <v>0</v>
      </c>
      <c r="K391" s="42">
        <f t="shared" si="429"/>
        <v>0</v>
      </c>
      <c r="L391" s="42">
        <f>SUM(F391:K391)</f>
        <v>0</v>
      </c>
      <c r="M391" s="42">
        <f>L391/6</f>
        <v>0</v>
      </c>
      <c r="N391" s="42">
        <f t="shared" ref="N391:S391" si="430">N385+N384</f>
        <v>0</v>
      </c>
      <c r="O391" s="42">
        <f t="shared" si="430"/>
        <v>0</v>
      </c>
      <c r="P391" s="42">
        <f t="shared" si="430"/>
        <v>0</v>
      </c>
      <c r="Q391" s="42">
        <f t="shared" si="430"/>
        <v>0</v>
      </c>
      <c r="R391" s="42">
        <f t="shared" si="430"/>
        <v>0</v>
      </c>
      <c r="S391" s="42">
        <f t="shared" si="430"/>
        <v>0</v>
      </c>
      <c r="T391" s="42">
        <f>SUM(N391:S391)</f>
        <v>0</v>
      </c>
      <c r="U391" s="42">
        <f>T391+L391</f>
        <v>0</v>
      </c>
      <c r="V391" s="42">
        <f>V388</f>
        <v>0</v>
      </c>
      <c r="W391" s="42">
        <f>V391-U391</f>
        <v>0</v>
      </c>
    </row>
    <row r="392" spans="1:28" s="43" customFormat="1" ht="18" hidden="1" customHeight="1">
      <c r="A392" s="595"/>
      <c r="B392" s="576"/>
      <c r="C392" s="577"/>
      <c r="D392" s="202" t="str">
        <f>серпень!D315</f>
        <v xml:space="preserve">відхилення </v>
      </c>
      <c r="E392" s="42"/>
      <c r="F392" s="42">
        <f t="shared" ref="F392:K392" si="431">F388-F391</f>
        <v>0</v>
      </c>
      <c r="G392" s="42">
        <f t="shared" si="431"/>
        <v>0</v>
      </c>
      <c r="H392" s="42">
        <f t="shared" si="431"/>
        <v>0</v>
      </c>
      <c r="I392" s="42">
        <f t="shared" si="431"/>
        <v>0</v>
      </c>
      <c r="J392" s="42">
        <f t="shared" si="431"/>
        <v>0</v>
      </c>
      <c r="K392" s="42">
        <f t="shared" si="431"/>
        <v>0</v>
      </c>
      <c r="L392" s="42"/>
      <c r="M392" s="42"/>
      <c r="N392" s="42">
        <f t="shared" ref="N392:S392" si="432">N388-N391</f>
        <v>0</v>
      </c>
      <c r="O392" s="42">
        <f t="shared" si="432"/>
        <v>0</v>
      </c>
      <c r="P392" s="42">
        <f t="shared" si="432"/>
        <v>0</v>
      </c>
      <c r="Q392" s="42">
        <f t="shared" si="432"/>
        <v>0</v>
      </c>
      <c r="R392" s="42">
        <f t="shared" si="432"/>
        <v>0</v>
      </c>
      <c r="S392" s="42">
        <f t="shared" si="432"/>
        <v>0</v>
      </c>
      <c r="T392" s="42"/>
      <c r="U392" s="42"/>
      <c r="V392" s="42"/>
      <c r="W392" s="42"/>
    </row>
    <row r="393" spans="1:28" s="43" customFormat="1" ht="18" hidden="1" customHeight="1">
      <c r="A393" s="595"/>
      <c r="B393" s="578"/>
      <c r="C393" s="579"/>
      <c r="D393" s="202" t="str">
        <f>серпень!D316</f>
        <v>відхилення з наростаючим</v>
      </c>
      <c r="E393" s="42"/>
      <c r="F393" s="42">
        <f>F392</f>
        <v>0</v>
      </c>
      <c r="G393" s="42">
        <f>G392+F393</f>
        <v>0</v>
      </c>
      <c r="H393" s="42">
        <f>H392+G393</f>
        <v>0</v>
      </c>
      <c r="I393" s="42">
        <f>I392+H393</f>
        <v>0</v>
      </c>
      <c r="J393" s="42">
        <f>J392+I393</f>
        <v>0</v>
      </c>
      <c r="K393" s="42">
        <f>K392+J393</f>
        <v>0</v>
      </c>
      <c r="L393" s="42"/>
      <c r="M393" s="42"/>
      <c r="N393" s="42">
        <f>N392+K393</f>
        <v>0</v>
      </c>
      <c r="O393" s="42">
        <f>O392+N393</f>
        <v>0</v>
      </c>
      <c r="P393" s="42">
        <f>P392+O393</f>
        <v>0</v>
      </c>
      <c r="Q393" s="42">
        <f>Q392+P393</f>
        <v>0</v>
      </c>
      <c r="R393" s="42">
        <f>R392+Q393</f>
        <v>0</v>
      </c>
      <c r="S393" s="42">
        <f>S392+R393</f>
        <v>0</v>
      </c>
      <c r="T393" s="42"/>
      <c r="U393" s="42"/>
      <c r="V393" s="42"/>
      <c r="W393" s="42"/>
    </row>
    <row r="394" spans="1:28" s="10" customFormat="1" ht="18" hidden="1" customHeight="1">
      <c r="A394" s="595"/>
      <c r="B394" s="580" t="s">
        <v>38</v>
      </c>
      <c r="C394" s="575"/>
      <c r="D394" s="178" t="str">
        <f>серпень!D317</f>
        <v>факт. нат.п-ки 2023</v>
      </c>
      <c r="E394" s="11"/>
      <c r="F394" s="12"/>
      <c r="G394" s="12"/>
      <c r="H394" s="12"/>
      <c r="I394" s="12"/>
      <c r="J394" s="12"/>
      <c r="K394" s="12"/>
      <c r="L394" s="65">
        <f>SUM(F394:K394)</f>
        <v>0</v>
      </c>
      <c r="M394" s="65">
        <f>L394/6</f>
        <v>0</v>
      </c>
      <c r="N394" s="12"/>
      <c r="O394" s="12"/>
      <c r="P394" s="12"/>
      <c r="Q394" s="12"/>
      <c r="R394" s="12"/>
      <c r="S394" s="12"/>
      <c r="T394" s="65">
        <f>SUM(N394:S394)</f>
        <v>0</v>
      </c>
      <c r="U394" s="118">
        <f>T394+L394</f>
        <v>0</v>
      </c>
      <c r="V394" s="67"/>
      <c r="W394" s="38">
        <f>V394-U394</f>
        <v>0</v>
      </c>
      <c r="X394" s="36"/>
      <c r="Y394" s="3"/>
      <c r="Z394" s="3"/>
      <c r="AA394" s="3"/>
      <c r="AB394" s="3"/>
    </row>
    <row r="395" spans="1:28" s="48" customFormat="1" ht="18" hidden="1" customHeight="1">
      <c r="A395" s="595"/>
      <c r="B395" s="576"/>
      <c r="C395" s="577"/>
      <c r="D395" s="178" t="str">
        <f>серпень!D318</f>
        <v>факт. нат.п-ки 2024</v>
      </c>
      <c r="E395" s="11"/>
      <c r="F395" s="12"/>
      <c r="G395" s="12"/>
      <c r="H395" s="12"/>
      <c r="I395" s="12"/>
      <c r="J395" s="12"/>
      <c r="K395" s="12"/>
      <c r="L395" s="65">
        <f>SUM(F395:K395)</f>
        <v>0</v>
      </c>
      <c r="M395" s="65">
        <f>L395/6</f>
        <v>0</v>
      </c>
      <c r="N395" s="11"/>
      <c r="O395" s="11"/>
      <c r="P395" s="11"/>
      <c r="Q395" s="11"/>
      <c r="R395" s="11"/>
      <c r="S395" s="11"/>
      <c r="T395" s="65">
        <f>SUM(N395:S395)</f>
        <v>0</v>
      </c>
      <c r="U395" s="118">
        <f>T395+L395</f>
        <v>0</v>
      </c>
      <c r="V395" s="67"/>
      <c r="W395" s="38">
        <f>V395-U395</f>
        <v>0</v>
      </c>
      <c r="X395" s="47"/>
    </row>
    <row r="396" spans="1:28" s="10" customFormat="1" ht="18" hidden="1" customHeight="1">
      <c r="A396" s="595"/>
      <c r="B396" s="576"/>
      <c r="C396" s="577"/>
      <c r="D396" s="178" t="str">
        <f>серпень!D319</f>
        <v>факт. нат.п-ки 2025</v>
      </c>
      <c r="E396" s="11"/>
      <c r="F396" s="12"/>
      <c r="G396" s="12"/>
      <c r="H396" s="12"/>
      <c r="I396" s="12"/>
      <c r="J396" s="12"/>
      <c r="K396" s="12"/>
      <c r="L396" s="65">
        <f>SUM(F396:K396)</f>
        <v>0</v>
      </c>
      <c r="M396" s="65">
        <f>L396/6</f>
        <v>0</v>
      </c>
      <c r="N396" s="12"/>
      <c r="O396" s="12"/>
      <c r="P396" s="12"/>
      <c r="Q396" s="12"/>
      <c r="R396" s="12"/>
      <c r="S396" s="11"/>
      <c r="T396" s="65">
        <f>SUM(N396:S396)</f>
        <v>0</v>
      </c>
      <c r="U396" s="118">
        <f>T396+L396</f>
        <v>0</v>
      </c>
      <c r="V396" s="11"/>
      <c r="W396" s="38">
        <f>V396-U396</f>
        <v>0</v>
      </c>
      <c r="X396" s="36"/>
      <c r="Y396" s="3"/>
      <c r="Z396" s="3"/>
      <c r="AA396" s="3"/>
      <c r="AB396" s="3"/>
    </row>
    <row r="397" spans="1:28" s="114" customFormat="1" ht="18" hidden="1" customHeight="1">
      <c r="A397" s="595"/>
      <c r="B397" s="576"/>
      <c r="C397" s="577"/>
      <c r="D397" s="187" t="str">
        <f>серпень!D320</f>
        <v>тариф, грн.</v>
      </c>
      <c r="E397" s="49"/>
      <c r="F397" s="49">
        <v>10.56</v>
      </c>
      <c r="G397" s="49">
        <v>10.56</v>
      </c>
      <c r="H397" s="49">
        <v>10.56</v>
      </c>
      <c r="I397" s="49">
        <v>10.56</v>
      </c>
      <c r="J397" s="49">
        <v>10.56</v>
      </c>
      <c r="K397" s="49">
        <v>10.56</v>
      </c>
      <c r="L397" s="49" t="e">
        <f>L398/L396*1000</f>
        <v>#DIV/0!</v>
      </c>
      <c r="M397" s="49" t="e">
        <f>M398/M396*1000</f>
        <v>#DIV/0!</v>
      </c>
      <c r="N397" s="49">
        <v>10.56</v>
      </c>
      <c r="O397" s="49">
        <v>10.56</v>
      </c>
      <c r="P397" s="49">
        <v>10.56</v>
      </c>
      <c r="Q397" s="49">
        <v>10.56</v>
      </c>
      <c r="R397" s="49">
        <v>10.56</v>
      </c>
      <c r="S397" s="49">
        <v>10.56</v>
      </c>
      <c r="T397" s="49" t="e">
        <f>T398/T396*1000</f>
        <v>#DIV/0!</v>
      </c>
      <c r="U397" s="49" t="e">
        <f>U398/U396*1000</f>
        <v>#DIV/0!</v>
      </c>
      <c r="V397" s="68" t="e">
        <f>V398/V396*1000</f>
        <v>#DIV/0!</v>
      </c>
      <c r="W397" s="14" t="e">
        <f>W398/W396*1000</f>
        <v>#DIV/0!</v>
      </c>
      <c r="X397" s="47"/>
      <c r="Y397" s="3"/>
      <c r="Z397" s="3"/>
      <c r="AA397" s="3"/>
      <c r="AB397" s="3"/>
    </row>
    <row r="398" spans="1:28" s="114" customFormat="1" ht="18" hidden="1" customHeight="1">
      <c r="A398" s="595"/>
      <c r="B398" s="576"/>
      <c r="C398" s="577"/>
      <c r="D398" s="191" t="str">
        <f>серпень!D321</f>
        <v>сума, тис.грн.</v>
      </c>
      <c r="E398" s="52"/>
      <c r="F398" s="52">
        <f t="shared" ref="F398:K398" si="433">F396*F397/1000</f>
        <v>0</v>
      </c>
      <c r="G398" s="52">
        <f t="shared" si="433"/>
        <v>0</v>
      </c>
      <c r="H398" s="52">
        <f t="shared" si="433"/>
        <v>0</v>
      </c>
      <c r="I398" s="52">
        <f t="shared" si="433"/>
        <v>0</v>
      </c>
      <c r="J398" s="52">
        <f t="shared" si="433"/>
        <v>0</v>
      </c>
      <c r="K398" s="52">
        <f t="shared" si="433"/>
        <v>0</v>
      </c>
      <c r="L398" s="69">
        <f>SUM(F398:K398)</f>
        <v>0</v>
      </c>
      <c r="M398" s="69">
        <f>L398/6</f>
        <v>0</v>
      </c>
      <c r="N398" s="52">
        <f t="shared" ref="N398:S398" si="434">N396*N397/1000</f>
        <v>0</v>
      </c>
      <c r="O398" s="52">
        <f t="shared" si="434"/>
        <v>0</v>
      </c>
      <c r="P398" s="52">
        <f t="shared" si="434"/>
        <v>0</v>
      </c>
      <c r="Q398" s="52">
        <f t="shared" si="434"/>
        <v>0</v>
      </c>
      <c r="R398" s="52">
        <f t="shared" si="434"/>
        <v>0</v>
      </c>
      <c r="S398" s="52">
        <f t="shared" si="434"/>
        <v>0</v>
      </c>
      <c r="T398" s="69">
        <f>SUM(N398:S398)</f>
        <v>0</v>
      </c>
      <c r="U398" s="69">
        <f>T398+L398</f>
        <v>0</v>
      </c>
      <c r="V398" s="70">
        <f>V399+V400</f>
        <v>0</v>
      </c>
      <c r="W398" s="53">
        <f>V398-U398</f>
        <v>0</v>
      </c>
      <c r="X398" s="113"/>
    </row>
    <row r="399" spans="1:28" s="114" customFormat="1" ht="18" hidden="1" customHeight="1">
      <c r="A399" s="595"/>
      <c r="B399" s="576"/>
      <c r="C399" s="577"/>
      <c r="D399" s="174" t="str">
        <f>серпень!D322</f>
        <v>дотація</v>
      </c>
      <c r="E399" s="56"/>
      <c r="F399" s="52"/>
      <c r="G399" s="52"/>
      <c r="H399" s="52"/>
      <c r="I399" s="52"/>
      <c r="J399" s="52"/>
      <c r="K399" s="52"/>
      <c r="L399" s="69">
        <f>SUM(F399:K399)</f>
        <v>0</v>
      </c>
      <c r="M399" s="69">
        <f>L399/6</f>
        <v>0</v>
      </c>
      <c r="N399" s="52"/>
      <c r="O399" s="52"/>
      <c r="P399" s="52"/>
      <c r="Q399" s="52"/>
      <c r="R399" s="52"/>
      <c r="S399" s="52"/>
      <c r="T399" s="69">
        <f>SUM(N399:S399)</f>
        <v>0</v>
      </c>
      <c r="U399" s="69">
        <f>T399+L399</f>
        <v>0</v>
      </c>
      <c r="V399" s="70">
        <v>0</v>
      </c>
      <c r="W399" s="53">
        <f>V399-U399</f>
        <v>0</v>
      </c>
      <c r="X399" s="113"/>
    </row>
    <row r="400" spans="1:28" s="114" customFormat="1" ht="18" hidden="1" customHeight="1">
      <c r="A400" s="595"/>
      <c r="B400" s="576"/>
      <c r="C400" s="577"/>
      <c r="D400" s="174" t="str">
        <f>серпень!D323</f>
        <v>місцевий (план), тис.грн</v>
      </c>
      <c r="E400" s="56"/>
      <c r="F400" s="52"/>
      <c r="G400" s="52"/>
      <c r="H400" s="52"/>
      <c r="I400" s="52"/>
      <c r="J400" s="52"/>
      <c r="K400" s="52"/>
      <c r="L400" s="69">
        <f>SUM(F400:K400)</f>
        <v>0</v>
      </c>
      <c r="M400" s="69">
        <f>L400/6</f>
        <v>0</v>
      </c>
      <c r="N400" s="52"/>
      <c r="O400" s="52"/>
      <c r="P400" s="52"/>
      <c r="Q400" s="52"/>
      <c r="R400" s="52"/>
      <c r="S400" s="52"/>
      <c r="T400" s="69">
        <f>SUM(N400:S400)</f>
        <v>0</v>
      </c>
      <c r="U400" s="69">
        <f>T400+L400</f>
        <v>0</v>
      </c>
      <c r="V400" s="70"/>
      <c r="W400" s="53">
        <f>V400-U400</f>
        <v>0</v>
      </c>
      <c r="X400" s="113"/>
    </row>
    <row r="401" spans="1:28" s="3" customFormat="1" ht="18" hidden="1" customHeight="1">
      <c r="A401" s="595"/>
      <c r="B401" s="576"/>
      <c r="C401" s="577"/>
      <c r="D401" s="178" t="str">
        <f>серпень!D324</f>
        <v>касові нат.п-ки 2025</v>
      </c>
      <c r="E401" s="11"/>
      <c r="F401" s="11"/>
      <c r="G401" s="11"/>
      <c r="H401" s="11"/>
      <c r="I401" s="11"/>
      <c r="J401" s="11"/>
      <c r="K401" s="11"/>
      <c r="L401" s="65">
        <f>SUM(F401:K401)</f>
        <v>0</v>
      </c>
      <c r="M401" s="65">
        <f>L401/6</f>
        <v>0</v>
      </c>
      <c r="N401" s="11"/>
      <c r="O401" s="11"/>
      <c r="P401" s="11"/>
      <c r="Q401" s="11"/>
      <c r="R401" s="11"/>
      <c r="S401" s="11"/>
      <c r="T401" s="65">
        <f>SUM(N401:S401)</f>
        <v>0</v>
      </c>
      <c r="U401" s="65">
        <f>T401+L401</f>
        <v>0</v>
      </c>
      <c r="V401" s="11">
        <f>V396</f>
        <v>0</v>
      </c>
      <c r="W401" s="38">
        <f>V401-U401</f>
        <v>0</v>
      </c>
      <c r="X401" s="47">
        <f>U396-U401</f>
        <v>0</v>
      </c>
    </row>
    <row r="402" spans="1:28" s="73" customFormat="1" ht="18" hidden="1" customHeight="1">
      <c r="A402" s="595"/>
      <c r="B402" s="576"/>
      <c r="C402" s="577"/>
      <c r="D402" s="187" t="str">
        <f>серпень!D325</f>
        <v>тариф, грн.</v>
      </c>
      <c r="E402" s="49" t="e">
        <f>E403/E401*1000</f>
        <v>#DIV/0!</v>
      </c>
      <c r="F402" s="49">
        <v>10.56</v>
      </c>
      <c r="G402" s="49">
        <v>10.56</v>
      </c>
      <c r="H402" s="49">
        <v>10.56</v>
      </c>
      <c r="I402" s="49">
        <v>10.56</v>
      </c>
      <c r="J402" s="49">
        <v>10.56</v>
      </c>
      <c r="K402" s="49">
        <v>10.56</v>
      </c>
      <c r="L402" s="49" t="e">
        <f>L403/L401*1000</f>
        <v>#DIV/0!</v>
      </c>
      <c r="M402" s="49" t="e">
        <f>M403/M401*1000</f>
        <v>#DIV/0!</v>
      </c>
      <c r="N402" s="49">
        <v>10.56</v>
      </c>
      <c r="O402" s="49">
        <v>10.56</v>
      </c>
      <c r="P402" s="49">
        <v>10.56</v>
      </c>
      <c r="Q402" s="49">
        <v>10.56</v>
      </c>
      <c r="R402" s="49">
        <v>10.56</v>
      </c>
      <c r="S402" s="49">
        <v>10.56</v>
      </c>
      <c r="T402" s="49" t="e">
        <f>T403/T401*1000</f>
        <v>#DIV/0!</v>
      </c>
      <c r="U402" s="49" t="e">
        <f>U403/U401*1000</f>
        <v>#DIV/0!</v>
      </c>
      <c r="V402" s="68" t="e">
        <f>V403/V401*1000</f>
        <v>#DIV/0!</v>
      </c>
      <c r="W402" s="14" t="e">
        <f>W403/W401*1000</f>
        <v>#DIV/0!</v>
      </c>
      <c r="X402" s="59"/>
      <c r="Y402" s="36"/>
      <c r="Z402" s="36"/>
      <c r="AA402" s="36"/>
      <c r="AB402" s="36"/>
    </row>
    <row r="403" spans="1:28" s="126" customFormat="1" ht="17.7" hidden="1" customHeight="1">
      <c r="A403" s="595"/>
      <c r="B403" s="576"/>
      <c r="C403" s="577"/>
      <c r="D403" s="198" t="str">
        <f>серпень!D326</f>
        <v>касові видатки, тис.грн.</v>
      </c>
      <c r="E403" s="71"/>
      <c r="F403" s="61">
        <f t="shared" ref="F403:K403" si="435">F401*F402/1000</f>
        <v>0</v>
      </c>
      <c r="G403" s="61">
        <f t="shared" si="435"/>
        <v>0</v>
      </c>
      <c r="H403" s="61">
        <f t="shared" si="435"/>
        <v>0</v>
      </c>
      <c r="I403" s="61">
        <f t="shared" si="435"/>
        <v>0</v>
      </c>
      <c r="J403" s="61">
        <f t="shared" si="435"/>
        <v>0</v>
      </c>
      <c r="K403" s="61">
        <f t="shared" si="435"/>
        <v>0</v>
      </c>
      <c r="L403" s="61">
        <f>SUM(F403:K403)</f>
        <v>0</v>
      </c>
      <c r="M403" s="61">
        <f>L403/6</f>
        <v>0</v>
      </c>
      <c r="N403" s="61">
        <f t="shared" ref="N403:S403" si="436">N401*N402/1000</f>
        <v>0</v>
      </c>
      <c r="O403" s="61">
        <f t="shared" si="436"/>
        <v>0</v>
      </c>
      <c r="P403" s="61">
        <f t="shared" si="436"/>
        <v>0</v>
      </c>
      <c r="Q403" s="61">
        <f t="shared" si="436"/>
        <v>0</v>
      </c>
      <c r="R403" s="61">
        <f t="shared" si="436"/>
        <v>0</v>
      </c>
      <c r="S403" s="61">
        <f t="shared" si="436"/>
        <v>0</v>
      </c>
      <c r="T403" s="61">
        <f>SUM(N403:S403)</f>
        <v>0</v>
      </c>
      <c r="U403" s="61">
        <f>T403+L403</f>
        <v>0</v>
      </c>
      <c r="V403" s="61">
        <f>V398</f>
        <v>0</v>
      </c>
      <c r="W403" s="72">
        <f>V403-U403</f>
        <v>0</v>
      </c>
      <c r="X403" s="63">
        <f>U398-U403</f>
        <v>0</v>
      </c>
    </row>
    <row r="404" spans="1:28" s="126" customFormat="1" ht="18" hidden="1" customHeight="1">
      <c r="A404" s="595"/>
      <c r="B404" s="576"/>
      <c r="C404" s="577"/>
      <c r="D404" s="201" t="str">
        <f>серпень!D327</f>
        <v>дотація</v>
      </c>
      <c r="E404" s="71"/>
      <c r="F404" s="61"/>
      <c r="G404" s="61"/>
      <c r="H404" s="61"/>
      <c r="I404" s="61"/>
      <c r="J404" s="61"/>
      <c r="K404" s="61"/>
      <c r="L404" s="61">
        <f>SUM(F404:K404)</f>
        <v>0</v>
      </c>
      <c r="M404" s="61">
        <f>L404/6</f>
        <v>0</v>
      </c>
      <c r="N404" s="61"/>
      <c r="O404" s="61"/>
      <c r="P404" s="61"/>
      <c r="Q404" s="61"/>
      <c r="R404" s="61"/>
      <c r="S404" s="61"/>
      <c r="T404" s="61">
        <f>SUM(N404:S404)</f>
        <v>0</v>
      </c>
      <c r="U404" s="61">
        <f>T404+L404</f>
        <v>0</v>
      </c>
      <c r="V404" s="61">
        <f>V399</f>
        <v>0</v>
      </c>
      <c r="W404" s="72">
        <f>V404-U404</f>
        <v>0</v>
      </c>
      <c r="X404" s="63">
        <f>U399-U404</f>
        <v>0</v>
      </c>
    </row>
    <row r="405" spans="1:28" s="126" customFormat="1" ht="18" hidden="1" customHeight="1">
      <c r="A405" s="595"/>
      <c r="B405" s="576"/>
      <c r="C405" s="577"/>
      <c r="D405" s="201" t="str">
        <f>серпень!D328</f>
        <v xml:space="preserve">місцевий </v>
      </c>
      <c r="E405" s="71"/>
      <c r="F405" s="61">
        <f t="shared" ref="F405:K405" si="437">F403-F404</f>
        <v>0</v>
      </c>
      <c r="G405" s="61">
        <f t="shared" si="437"/>
        <v>0</v>
      </c>
      <c r="H405" s="61">
        <f t="shared" si="437"/>
        <v>0</v>
      </c>
      <c r="I405" s="61">
        <f t="shared" si="437"/>
        <v>0</v>
      </c>
      <c r="J405" s="61">
        <f t="shared" si="437"/>
        <v>0</v>
      </c>
      <c r="K405" s="61">
        <f t="shared" si="437"/>
        <v>0</v>
      </c>
      <c r="L405" s="61">
        <f>SUM(F405:K405)</f>
        <v>0</v>
      </c>
      <c r="M405" s="61">
        <f>L405/6</f>
        <v>0</v>
      </c>
      <c r="N405" s="61">
        <f t="shared" ref="N405:S405" si="438">N403-N404</f>
        <v>0</v>
      </c>
      <c r="O405" s="61">
        <f t="shared" si="438"/>
        <v>0</v>
      </c>
      <c r="P405" s="61">
        <f t="shared" si="438"/>
        <v>0</v>
      </c>
      <c r="Q405" s="61">
        <f t="shared" si="438"/>
        <v>0</v>
      </c>
      <c r="R405" s="61">
        <f t="shared" si="438"/>
        <v>0</v>
      </c>
      <c r="S405" s="61">
        <f t="shared" si="438"/>
        <v>0</v>
      </c>
      <c r="T405" s="61">
        <f>SUM(N405:S405)</f>
        <v>0</v>
      </c>
      <c r="U405" s="61">
        <f>T405+L405</f>
        <v>0</v>
      </c>
      <c r="V405" s="61">
        <f>V400</f>
        <v>0</v>
      </c>
      <c r="W405" s="72">
        <f>V405-U405</f>
        <v>0</v>
      </c>
      <c r="X405" s="63">
        <f>U400-U405</f>
        <v>0</v>
      </c>
    </row>
    <row r="406" spans="1:28" s="43" customFormat="1" ht="18" hidden="1" customHeight="1">
      <c r="A406" s="595"/>
      <c r="B406" s="576"/>
      <c r="C406" s="577"/>
      <c r="D406" s="202" t="str">
        <f>серпень!D329</f>
        <v>план</v>
      </c>
      <c r="E406" s="42"/>
      <c r="F406" s="42">
        <f t="shared" ref="F406:K406" si="439">F400</f>
        <v>0</v>
      </c>
      <c r="G406" s="42">
        <f t="shared" si="439"/>
        <v>0</v>
      </c>
      <c r="H406" s="42">
        <f t="shared" si="439"/>
        <v>0</v>
      </c>
      <c r="I406" s="42">
        <f t="shared" si="439"/>
        <v>0</v>
      </c>
      <c r="J406" s="42">
        <f t="shared" si="439"/>
        <v>0</v>
      </c>
      <c r="K406" s="42">
        <f t="shared" si="439"/>
        <v>0</v>
      </c>
      <c r="L406" s="42">
        <f>SUM(F406:K406)</f>
        <v>0</v>
      </c>
      <c r="M406" s="42">
        <f>L406/6</f>
        <v>0</v>
      </c>
      <c r="N406" s="42">
        <f t="shared" ref="N406:S406" si="440">N400+N399</f>
        <v>0</v>
      </c>
      <c r="O406" s="42">
        <f t="shared" si="440"/>
        <v>0</v>
      </c>
      <c r="P406" s="42">
        <f t="shared" si="440"/>
        <v>0</v>
      </c>
      <c r="Q406" s="42">
        <f t="shared" si="440"/>
        <v>0</v>
      </c>
      <c r="R406" s="42">
        <f t="shared" si="440"/>
        <v>0</v>
      </c>
      <c r="S406" s="42">
        <f t="shared" si="440"/>
        <v>0</v>
      </c>
      <c r="T406" s="42">
        <f>SUM(N406:S406)</f>
        <v>0</v>
      </c>
      <c r="U406" s="42">
        <f>T406+L406</f>
        <v>0</v>
      </c>
      <c r="V406" s="42">
        <f>V403</f>
        <v>0</v>
      </c>
      <c r="W406" s="42">
        <f>V406-U406</f>
        <v>0</v>
      </c>
    </row>
    <row r="407" spans="1:28" s="43" customFormat="1" ht="18" hidden="1" customHeight="1">
      <c r="A407" s="595"/>
      <c r="B407" s="576"/>
      <c r="C407" s="577"/>
      <c r="D407" s="202" t="str">
        <f>серпень!D330</f>
        <v xml:space="preserve">відхилення </v>
      </c>
      <c r="E407" s="42"/>
      <c r="F407" s="42">
        <f t="shared" ref="F407:K407" si="441">F403-F406</f>
        <v>0</v>
      </c>
      <c r="G407" s="42">
        <f t="shared" si="441"/>
        <v>0</v>
      </c>
      <c r="H407" s="42">
        <f t="shared" si="441"/>
        <v>0</v>
      </c>
      <c r="I407" s="42">
        <f t="shared" si="441"/>
        <v>0</v>
      </c>
      <c r="J407" s="42">
        <f t="shared" si="441"/>
        <v>0</v>
      </c>
      <c r="K407" s="42">
        <f t="shared" si="441"/>
        <v>0</v>
      </c>
      <c r="L407" s="42"/>
      <c r="M407" s="42"/>
      <c r="N407" s="42">
        <f t="shared" ref="N407:S407" si="442">N403-N406</f>
        <v>0</v>
      </c>
      <c r="O407" s="42">
        <f t="shared" si="442"/>
        <v>0</v>
      </c>
      <c r="P407" s="42">
        <f t="shared" si="442"/>
        <v>0</v>
      </c>
      <c r="Q407" s="42">
        <f t="shared" si="442"/>
        <v>0</v>
      </c>
      <c r="R407" s="42">
        <f t="shared" si="442"/>
        <v>0</v>
      </c>
      <c r="S407" s="42">
        <f t="shared" si="442"/>
        <v>0</v>
      </c>
      <c r="T407" s="42"/>
      <c r="U407" s="42"/>
      <c r="V407" s="42"/>
      <c r="W407" s="42"/>
    </row>
    <row r="408" spans="1:28" s="43" customFormat="1" ht="18" hidden="1" customHeight="1">
      <c r="A408" s="596"/>
      <c r="B408" s="578"/>
      <c r="C408" s="579"/>
      <c r="D408" s="202" t="str">
        <f>серпень!D331</f>
        <v>відхилення з наростаючим</v>
      </c>
      <c r="E408" s="42"/>
      <c r="F408" s="42">
        <f>F407</f>
        <v>0</v>
      </c>
      <c r="G408" s="42">
        <f>G407+F408</f>
        <v>0</v>
      </c>
      <c r="H408" s="42">
        <f>H407+G408</f>
        <v>0</v>
      </c>
      <c r="I408" s="42">
        <f>I407+H408</f>
        <v>0</v>
      </c>
      <c r="J408" s="42">
        <f>J407+I408</f>
        <v>0</v>
      </c>
      <c r="K408" s="42">
        <f>K407+J408</f>
        <v>0</v>
      </c>
      <c r="L408" s="42"/>
      <c r="M408" s="42"/>
      <c r="N408" s="42">
        <f>N407+K408</f>
        <v>0</v>
      </c>
      <c r="O408" s="42">
        <f>O407+N408</f>
        <v>0</v>
      </c>
      <c r="P408" s="42">
        <f>P407+O408</f>
        <v>0</v>
      </c>
      <c r="Q408" s="42">
        <f>Q407+P408</f>
        <v>0</v>
      </c>
      <c r="R408" s="42">
        <f>R407+Q408</f>
        <v>0</v>
      </c>
      <c r="S408" s="42">
        <f>S407+R408</f>
        <v>0</v>
      </c>
      <c r="T408" s="42"/>
      <c r="U408" s="42"/>
      <c r="V408" s="42"/>
      <c r="W408" s="42"/>
    </row>
    <row r="409" spans="1:28" s="157" customFormat="1" ht="18" customHeight="1">
      <c r="A409" s="582" t="s">
        <v>39</v>
      </c>
      <c r="B409" s="655" t="s">
        <v>40</v>
      </c>
      <c r="C409" s="656"/>
      <c r="D409" s="178" t="str">
        <f>серпень!D332</f>
        <v>факт. нат.п-ки 2023</v>
      </c>
      <c r="E409" s="179"/>
      <c r="F409" s="180">
        <f t="shared" ref="F409:K411" si="443">F426+F441+F456</f>
        <v>1410</v>
      </c>
      <c r="G409" s="180">
        <f t="shared" si="443"/>
        <v>1319.5</v>
      </c>
      <c r="H409" s="180">
        <f t="shared" si="443"/>
        <v>1126</v>
      </c>
      <c r="I409" s="180">
        <f t="shared" si="443"/>
        <v>1341</v>
      </c>
      <c r="J409" s="180">
        <f t="shared" si="443"/>
        <v>1007</v>
      </c>
      <c r="K409" s="180">
        <f t="shared" si="443"/>
        <v>1110</v>
      </c>
      <c r="L409" s="215">
        <f>SUM(F409:K409)</f>
        <v>7313.5</v>
      </c>
      <c r="M409" s="215">
        <f>L409/6</f>
        <v>1218.9000000000001</v>
      </c>
      <c r="N409" s="180">
        <f t="shared" ref="N409:S411" si="444">N426+N441+N456</f>
        <v>1152.5</v>
      </c>
      <c r="O409" s="180">
        <f t="shared" si="444"/>
        <v>1426</v>
      </c>
      <c r="P409" s="180">
        <f t="shared" si="444"/>
        <v>1269.2</v>
      </c>
      <c r="Q409" s="180">
        <f t="shared" si="444"/>
        <v>1328</v>
      </c>
      <c r="R409" s="180">
        <f t="shared" si="444"/>
        <v>1325.4</v>
      </c>
      <c r="S409" s="180">
        <f t="shared" si="444"/>
        <v>1858.8</v>
      </c>
      <c r="T409" s="215">
        <f>SUM(N409:S409)</f>
        <v>8359.9</v>
      </c>
      <c r="U409" s="215">
        <f>T409+L409</f>
        <v>15673.4</v>
      </c>
      <c r="V409" s="233">
        <f>V426+V456</f>
        <v>13726</v>
      </c>
      <c r="W409" s="184"/>
      <c r="X409" s="209"/>
    </row>
    <row r="410" spans="1:28" s="157" customFormat="1" ht="18" customHeight="1">
      <c r="A410" s="583"/>
      <c r="B410" s="657"/>
      <c r="C410" s="658"/>
      <c r="D410" s="178" t="str">
        <f>серпень!D333</f>
        <v>факт. нат.п-ки 2024</v>
      </c>
      <c r="E410" s="179"/>
      <c r="F410" s="180">
        <f t="shared" si="443"/>
        <v>964.5</v>
      </c>
      <c r="G410" s="180">
        <f t="shared" si="443"/>
        <v>1161</v>
      </c>
      <c r="H410" s="180">
        <f t="shared" si="443"/>
        <v>1074</v>
      </c>
      <c r="I410" s="180">
        <f t="shared" si="443"/>
        <v>1356</v>
      </c>
      <c r="J410" s="180">
        <f t="shared" si="443"/>
        <v>800</v>
      </c>
      <c r="K410" s="180">
        <f t="shared" si="443"/>
        <v>1000</v>
      </c>
      <c r="L410" s="215">
        <f>SUM(F410:K410)</f>
        <v>6355.5</v>
      </c>
      <c r="M410" s="215">
        <f>L410/6</f>
        <v>1059.3</v>
      </c>
      <c r="N410" s="180">
        <f t="shared" si="444"/>
        <v>500</v>
      </c>
      <c r="O410" s="180">
        <f t="shared" si="444"/>
        <v>600</v>
      </c>
      <c r="P410" s="180">
        <f t="shared" si="444"/>
        <v>600</v>
      </c>
      <c r="Q410" s="180">
        <f t="shared" si="444"/>
        <v>638</v>
      </c>
      <c r="R410" s="180">
        <f t="shared" si="444"/>
        <v>1200</v>
      </c>
      <c r="S410" s="180">
        <f t="shared" si="444"/>
        <v>1610.5</v>
      </c>
      <c r="T410" s="215">
        <f>SUM(N410:S410)</f>
        <v>5148.5</v>
      </c>
      <c r="U410" s="215">
        <f>T410+L410</f>
        <v>11504</v>
      </c>
      <c r="V410" s="233">
        <f>V427+V457</f>
        <v>10913</v>
      </c>
      <c r="W410" s="184"/>
      <c r="X410" s="209"/>
    </row>
    <row r="411" spans="1:28" s="157" customFormat="1" ht="18" customHeight="1">
      <c r="A411" s="583"/>
      <c r="B411" s="657"/>
      <c r="C411" s="658"/>
      <c r="D411" s="178" t="str">
        <f>серпень!D334</f>
        <v>факт. нат.п-ки 2025</v>
      </c>
      <c r="E411" s="179"/>
      <c r="F411" s="180">
        <f>F428+F443+F458</f>
        <v>508.3</v>
      </c>
      <c r="G411" s="180">
        <f t="shared" si="443"/>
        <v>508.3</v>
      </c>
      <c r="H411" s="180">
        <f t="shared" si="443"/>
        <v>1000</v>
      </c>
      <c r="I411" s="180">
        <f t="shared" si="443"/>
        <v>1000</v>
      </c>
      <c r="J411" s="180">
        <f t="shared" si="443"/>
        <v>1000</v>
      </c>
      <c r="K411" s="180">
        <f t="shared" si="443"/>
        <v>1000</v>
      </c>
      <c r="L411" s="234">
        <f>SUM(F411:K411)</f>
        <v>5016.6000000000004</v>
      </c>
      <c r="M411" s="215">
        <f>L411/6</f>
        <v>836.1</v>
      </c>
      <c r="N411" s="180">
        <f t="shared" si="444"/>
        <v>1110.5</v>
      </c>
      <c r="O411" s="180">
        <f t="shared" si="444"/>
        <v>1000</v>
      </c>
      <c r="P411" s="180">
        <f t="shared" si="444"/>
        <v>1000</v>
      </c>
      <c r="Q411" s="180">
        <f t="shared" si="444"/>
        <v>1000</v>
      </c>
      <c r="R411" s="180">
        <f t="shared" si="444"/>
        <v>1200</v>
      </c>
      <c r="S411" s="180">
        <f t="shared" si="444"/>
        <v>2661</v>
      </c>
      <c r="T411" s="215">
        <f>SUM(N411:S411)</f>
        <v>7971.5</v>
      </c>
      <c r="U411" s="215">
        <f>T411+L411</f>
        <v>12988.1</v>
      </c>
      <c r="V411" s="233">
        <f>V428+V443+V458</f>
        <v>15061</v>
      </c>
      <c r="W411" s="184">
        <f>V411-U411</f>
        <v>2072.9</v>
      </c>
      <c r="X411" s="209"/>
    </row>
    <row r="412" spans="1:28" s="241" customFormat="1" ht="18" customHeight="1">
      <c r="A412" s="583"/>
      <c r="B412" s="657"/>
      <c r="C412" s="658"/>
      <c r="D412" s="187" t="str">
        <f>серпень!D335</f>
        <v>тариф, грн.</v>
      </c>
      <c r="E412" s="188"/>
      <c r="F412" s="188">
        <f t="shared" ref="F412:S412" si="445">F413/F411*1000</f>
        <v>14.185</v>
      </c>
      <c r="G412" s="188">
        <f t="shared" si="445"/>
        <v>14.185</v>
      </c>
      <c r="H412" s="188">
        <f t="shared" si="445"/>
        <v>14.183999999999999</v>
      </c>
      <c r="I412" s="188">
        <f t="shared" si="445"/>
        <v>14.183999999999999</v>
      </c>
      <c r="J412" s="188">
        <f t="shared" si="445"/>
        <v>14.183999999999999</v>
      </c>
      <c r="K412" s="188">
        <f t="shared" si="445"/>
        <v>14.183999999999999</v>
      </c>
      <c r="L412" s="188">
        <f t="shared" si="445"/>
        <v>14.183999999999999</v>
      </c>
      <c r="M412" s="188">
        <f t="shared" si="445"/>
        <v>14.183999999999999</v>
      </c>
      <c r="N412" s="188">
        <f t="shared" si="445"/>
        <v>14.183999999999999</v>
      </c>
      <c r="O412" s="188">
        <f t="shared" si="445"/>
        <v>14.183999999999999</v>
      </c>
      <c r="P412" s="188">
        <f t="shared" si="445"/>
        <v>14.183999999999999</v>
      </c>
      <c r="Q412" s="188">
        <f t="shared" si="445"/>
        <v>14.183999999999999</v>
      </c>
      <c r="R412" s="188">
        <f t="shared" si="445"/>
        <v>14.183999999999999</v>
      </c>
      <c r="S412" s="188">
        <f t="shared" si="445"/>
        <v>14.183999999999999</v>
      </c>
      <c r="T412" s="188">
        <f>T413/T411*1000</f>
        <v>14.183999999999999</v>
      </c>
      <c r="U412" s="188">
        <f>U413/U411*1000</f>
        <v>14.183999999999999</v>
      </c>
      <c r="V412" s="188">
        <f>V413/V411*1000</f>
        <v>14.183999999999999</v>
      </c>
      <c r="W412" s="189">
        <f>W413/W411*1000</f>
        <v>14.183999999999999</v>
      </c>
      <c r="X412" s="240"/>
    </row>
    <row r="413" spans="1:28" s="172" customFormat="1" ht="18" customHeight="1">
      <c r="A413" s="583"/>
      <c r="B413" s="657"/>
      <c r="C413" s="658"/>
      <c r="D413" s="191" t="str">
        <f>серпень!D336</f>
        <v>сума, тис.грн.</v>
      </c>
      <c r="E413" s="192"/>
      <c r="F413" s="192">
        <f t="shared" ref="F413:K413" si="446">F430+F445+F460</f>
        <v>7.21</v>
      </c>
      <c r="G413" s="192">
        <f t="shared" si="446"/>
        <v>7.21</v>
      </c>
      <c r="H413" s="192">
        <f t="shared" si="446"/>
        <v>14.183999999999999</v>
      </c>
      <c r="I413" s="192">
        <f t="shared" si="446"/>
        <v>14.183999999999999</v>
      </c>
      <c r="J413" s="192">
        <f t="shared" si="446"/>
        <v>14.183999999999999</v>
      </c>
      <c r="K413" s="192">
        <f t="shared" si="446"/>
        <v>14.183999999999999</v>
      </c>
      <c r="L413" s="194">
        <f t="shared" ref="L413:L418" si="447">SUM(F413:K413)</f>
        <v>71.156000000000006</v>
      </c>
      <c r="M413" s="194">
        <f t="shared" ref="M413:M418" si="448">L413/6</f>
        <v>11.859</v>
      </c>
      <c r="N413" s="192">
        <f t="shared" ref="N413:S413" si="449">N430+N445+N460</f>
        <v>15.750999999999999</v>
      </c>
      <c r="O413" s="192">
        <f t="shared" si="449"/>
        <v>14.183999999999999</v>
      </c>
      <c r="P413" s="192">
        <f t="shared" si="449"/>
        <v>14.183999999999999</v>
      </c>
      <c r="Q413" s="192">
        <f t="shared" si="449"/>
        <v>14.183999999999999</v>
      </c>
      <c r="R413" s="192">
        <f t="shared" si="449"/>
        <v>17.021000000000001</v>
      </c>
      <c r="S413" s="192">
        <f t="shared" si="449"/>
        <v>37.743000000000002</v>
      </c>
      <c r="T413" s="194">
        <f t="shared" ref="T413:T418" si="450">SUM(N413:S413)</f>
        <v>113.06699999999999</v>
      </c>
      <c r="U413" s="194">
        <f t="shared" ref="U413:U418" si="451">T413+L413</f>
        <v>184.22300000000001</v>
      </c>
      <c r="V413" s="192">
        <f t="shared" ref="V413" si="452">V430+V445+V460</f>
        <v>213.625</v>
      </c>
      <c r="W413" s="192">
        <f>V413-U413</f>
        <v>29.402000000000001</v>
      </c>
    </row>
    <row r="414" spans="1:28" s="172" customFormat="1" ht="18" customHeight="1">
      <c r="A414" s="583"/>
      <c r="B414" s="657"/>
      <c r="C414" s="658"/>
      <c r="D414" s="174" t="str">
        <f>серпень!D337</f>
        <v>абоненська плата, тис.грн.</v>
      </c>
      <c r="E414" s="192"/>
      <c r="F414" s="192">
        <f>F445</f>
        <v>0</v>
      </c>
      <c r="G414" s="192">
        <f t="shared" ref="G414:K414" si="453">G445</f>
        <v>0</v>
      </c>
      <c r="H414" s="192">
        <f t="shared" si="453"/>
        <v>0</v>
      </c>
      <c r="I414" s="192">
        <f t="shared" si="453"/>
        <v>0</v>
      </c>
      <c r="J414" s="192">
        <f t="shared" si="453"/>
        <v>0</v>
      </c>
      <c r="K414" s="192">
        <f t="shared" si="453"/>
        <v>0</v>
      </c>
      <c r="L414" s="194">
        <f t="shared" si="447"/>
        <v>0</v>
      </c>
      <c r="M414" s="194">
        <f t="shared" si="448"/>
        <v>0</v>
      </c>
      <c r="N414" s="192">
        <f>N445</f>
        <v>0</v>
      </c>
      <c r="O414" s="192">
        <f t="shared" ref="O414:S414" si="454">O445</f>
        <v>0</v>
      </c>
      <c r="P414" s="192">
        <f t="shared" si="454"/>
        <v>0</v>
      </c>
      <c r="Q414" s="192">
        <f t="shared" si="454"/>
        <v>0</v>
      </c>
      <c r="R414" s="192">
        <f t="shared" si="454"/>
        <v>0</v>
      </c>
      <c r="S414" s="192">
        <f t="shared" si="454"/>
        <v>0</v>
      </c>
      <c r="T414" s="194">
        <f t="shared" si="450"/>
        <v>0</v>
      </c>
      <c r="U414" s="194">
        <f t="shared" si="451"/>
        <v>0</v>
      </c>
      <c r="V414" s="192">
        <f t="shared" ref="V414" si="455">V445</f>
        <v>0</v>
      </c>
      <c r="W414" s="192">
        <f t="shared" ref="W414:W415" si="456">V414-U414</f>
        <v>0</v>
      </c>
    </row>
    <row r="415" spans="1:28" s="172" customFormat="1" ht="18" customHeight="1">
      <c r="A415" s="583"/>
      <c r="B415" s="657"/>
      <c r="C415" s="658"/>
      <c r="D415" s="174" t="str">
        <f>серпень!D338</f>
        <v>разом сума тис. грн+абонплата</v>
      </c>
      <c r="E415" s="192"/>
      <c r="F415" s="192">
        <f>F413+F414</f>
        <v>7.21</v>
      </c>
      <c r="G415" s="192">
        <f t="shared" ref="G415:K415" si="457">G413+G414</f>
        <v>7.21</v>
      </c>
      <c r="H415" s="192">
        <f t="shared" si="457"/>
        <v>14.183999999999999</v>
      </c>
      <c r="I415" s="192">
        <f t="shared" si="457"/>
        <v>14.183999999999999</v>
      </c>
      <c r="J415" s="192">
        <f t="shared" si="457"/>
        <v>14.183999999999999</v>
      </c>
      <c r="K415" s="192">
        <f t="shared" si="457"/>
        <v>14.183999999999999</v>
      </c>
      <c r="L415" s="194">
        <f t="shared" si="447"/>
        <v>71.156000000000006</v>
      </c>
      <c r="M415" s="194">
        <f t="shared" si="448"/>
        <v>11.859</v>
      </c>
      <c r="N415" s="192">
        <f>N413+N414</f>
        <v>15.750999999999999</v>
      </c>
      <c r="O415" s="192">
        <f t="shared" ref="O415:S415" si="458">O413+O414</f>
        <v>14.183999999999999</v>
      </c>
      <c r="P415" s="192">
        <f t="shared" si="458"/>
        <v>14.183999999999999</v>
      </c>
      <c r="Q415" s="192">
        <f t="shared" si="458"/>
        <v>14.183999999999999</v>
      </c>
      <c r="R415" s="192">
        <f t="shared" si="458"/>
        <v>17.021000000000001</v>
      </c>
      <c r="S415" s="192">
        <f t="shared" si="458"/>
        <v>37.743000000000002</v>
      </c>
      <c r="T415" s="194">
        <f t="shared" si="450"/>
        <v>113.06699999999999</v>
      </c>
      <c r="U415" s="194">
        <f t="shared" si="451"/>
        <v>184.22300000000001</v>
      </c>
      <c r="V415" s="192">
        <f t="shared" ref="V415" si="459">V413+V414</f>
        <v>213.625</v>
      </c>
      <c r="W415" s="192">
        <f t="shared" si="456"/>
        <v>29.402000000000001</v>
      </c>
    </row>
    <row r="416" spans="1:28" s="172" customFormat="1" ht="18" customHeight="1">
      <c r="A416" s="583"/>
      <c r="B416" s="657"/>
      <c r="C416" s="658"/>
      <c r="D416" s="174" t="str">
        <f>серпень!D339</f>
        <v>дотація</v>
      </c>
      <c r="E416" s="192"/>
      <c r="F416" s="192">
        <f t="shared" ref="F416:K418" si="460">F431+F446+F461</f>
        <v>0</v>
      </c>
      <c r="G416" s="192">
        <f t="shared" si="460"/>
        <v>0</v>
      </c>
      <c r="H416" s="192">
        <f t="shared" si="460"/>
        <v>0</v>
      </c>
      <c r="I416" s="192">
        <f t="shared" si="460"/>
        <v>0</v>
      </c>
      <c r="J416" s="192">
        <f t="shared" si="460"/>
        <v>0</v>
      </c>
      <c r="K416" s="192">
        <f t="shared" si="460"/>
        <v>0</v>
      </c>
      <c r="L416" s="194">
        <f t="shared" si="447"/>
        <v>0</v>
      </c>
      <c r="M416" s="194">
        <f t="shared" si="448"/>
        <v>0</v>
      </c>
      <c r="N416" s="192">
        <f t="shared" ref="N416:S418" si="461">N431+N446+N461</f>
        <v>0</v>
      </c>
      <c r="O416" s="192">
        <f t="shared" si="461"/>
        <v>0</v>
      </c>
      <c r="P416" s="192">
        <f t="shared" si="461"/>
        <v>0</v>
      </c>
      <c r="Q416" s="192">
        <f t="shared" si="461"/>
        <v>0</v>
      </c>
      <c r="R416" s="192">
        <f t="shared" si="461"/>
        <v>0</v>
      </c>
      <c r="S416" s="192">
        <f t="shared" si="461"/>
        <v>0</v>
      </c>
      <c r="T416" s="194">
        <f t="shared" si="450"/>
        <v>0</v>
      </c>
      <c r="U416" s="194">
        <f t="shared" si="451"/>
        <v>0</v>
      </c>
      <c r="V416" s="192">
        <f t="shared" ref="V416:V417" si="462">V431+V446+V461</f>
        <v>0</v>
      </c>
      <c r="W416" s="192">
        <f>V416-U416</f>
        <v>0</v>
      </c>
    </row>
    <row r="417" spans="1:28" s="172" customFormat="1" ht="18" customHeight="1">
      <c r="A417" s="583"/>
      <c r="B417" s="657"/>
      <c r="C417" s="658"/>
      <c r="D417" s="174" t="str">
        <f>серпень!D340</f>
        <v>місцевий (план), тис.грн</v>
      </c>
      <c r="E417" s="192"/>
      <c r="F417" s="192">
        <f t="shared" si="460"/>
        <v>14</v>
      </c>
      <c r="G417" s="192">
        <f t="shared" si="460"/>
        <v>11.847</v>
      </c>
      <c r="H417" s="192">
        <f t="shared" si="460"/>
        <v>0</v>
      </c>
      <c r="I417" s="192">
        <f t="shared" si="460"/>
        <v>17.021000000000001</v>
      </c>
      <c r="J417" s="192">
        <f t="shared" si="460"/>
        <v>16.667000000000002</v>
      </c>
      <c r="K417" s="192">
        <f t="shared" si="460"/>
        <v>18.242000000000001</v>
      </c>
      <c r="L417" s="194">
        <f t="shared" si="447"/>
        <v>77.777000000000001</v>
      </c>
      <c r="M417" s="194">
        <f t="shared" si="448"/>
        <v>12.962999999999999</v>
      </c>
      <c r="N417" s="192">
        <f t="shared" si="461"/>
        <v>11.051</v>
      </c>
      <c r="O417" s="192">
        <f t="shared" si="461"/>
        <v>4.1289999999999996</v>
      </c>
      <c r="P417" s="192">
        <f t="shared" si="461"/>
        <v>21.158999999999999</v>
      </c>
      <c r="Q417" s="192">
        <f t="shared" si="461"/>
        <v>32.552</v>
      </c>
      <c r="R417" s="192">
        <f t="shared" si="461"/>
        <v>29.213000000000001</v>
      </c>
      <c r="S417" s="192">
        <f t="shared" si="461"/>
        <v>37.744</v>
      </c>
      <c r="T417" s="194">
        <f t="shared" si="450"/>
        <v>135.84800000000001</v>
      </c>
      <c r="U417" s="194">
        <f t="shared" si="451"/>
        <v>213.625</v>
      </c>
      <c r="V417" s="192">
        <f t="shared" si="462"/>
        <v>213.625</v>
      </c>
      <c r="W417" s="192">
        <f>V417-U417</f>
        <v>0</v>
      </c>
    </row>
    <row r="418" spans="1:28" s="157" customFormat="1" ht="18" customHeight="1">
      <c r="A418" s="583"/>
      <c r="B418" s="657"/>
      <c r="C418" s="658"/>
      <c r="D418" s="178" t="str">
        <f>серпень!D341</f>
        <v>касові нат.п-ки 2025</v>
      </c>
      <c r="E418" s="179">
        <f>E433</f>
        <v>0</v>
      </c>
      <c r="F418" s="179">
        <f t="shared" si="460"/>
        <v>508.3</v>
      </c>
      <c r="G418" s="179">
        <f t="shared" si="460"/>
        <v>508.3</v>
      </c>
      <c r="H418" s="179">
        <f t="shared" si="460"/>
        <v>1000</v>
      </c>
      <c r="I418" s="179">
        <f t="shared" si="460"/>
        <v>1000</v>
      </c>
      <c r="J418" s="179">
        <f t="shared" si="460"/>
        <v>1000</v>
      </c>
      <c r="K418" s="179">
        <f t="shared" si="460"/>
        <v>1000</v>
      </c>
      <c r="L418" s="215">
        <f t="shared" si="447"/>
        <v>5016.6000000000004</v>
      </c>
      <c r="M418" s="215">
        <f t="shared" si="448"/>
        <v>836.1</v>
      </c>
      <c r="N418" s="179">
        <f t="shared" si="461"/>
        <v>1110.5</v>
      </c>
      <c r="O418" s="179">
        <f t="shared" si="461"/>
        <v>1000</v>
      </c>
      <c r="P418" s="179">
        <f t="shared" si="461"/>
        <v>1000</v>
      </c>
      <c r="Q418" s="179">
        <f t="shared" si="461"/>
        <v>1000</v>
      </c>
      <c r="R418" s="179">
        <f t="shared" si="461"/>
        <v>1200</v>
      </c>
      <c r="S418" s="179">
        <f t="shared" si="461"/>
        <v>2661</v>
      </c>
      <c r="T418" s="215">
        <f t="shared" si="450"/>
        <v>7971.5</v>
      </c>
      <c r="U418" s="215">
        <f t="shared" si="451"/>
        <v>12988.1</v>
      </c>
      <c r="V418" s="179">
        <f>V433+V463</f>
        <v>15061</v>
      </c>
      <c r="W418" s="184">
        <f>V418-U418</f>
        <v>2072.9</v>
      </c>
      <c r="X418" s="209">
        <f>U411-U418</f>
        <v>0</v>
      </c>
    </row>
    <row r="419" spans="1:28" s="241" customFormat="1" ht="18" customHeight="1">
      <c r="A419" s="583"/>
      <c r="B419" s="657"/>
      <c r="C419" s="658"/>
      <c r="D419" s="187" t="str">
        <f>серпень!D342</f>
        <v>тариф, грн.</v>
      </c>
      <c r="E419" s="188" t="e">
        <f t="shared" ref="E419:S419" si="463">E420/E418*1000</f>
        <v>#DIV/0!</v>
      </c>
      <c r="F419" s="188">
        <f t="shared" si="463"/>
        <v>14.185</v>
      </c>
      <c r="G419" s="188">
        <f t="shared" si="463"/>
        <v>14.185</v>
      </c>
      <c r="H419" s="188">
        <f t="shared" si="463"/>
        <v>14.183999999999999</v>
      </c>
      <c r="I419" s="188">
        <f t="shared" si="463"/>
        <v>14.183999999999999</v>
      </c>
      <c r="J419" s="188">
        <f t="shared" si="463"/>
        <v>14.183999999999999</v>
      </c>
      <c r="K419" s="188">
        <f t="shared" si="463"/>
        <v>14.183999999999999</v>
      </c>
      <c r="L419" s="188">
        <f t="shared" si="463"/>
        <v>14.183999999999999</v>
      </c>
      <c r="M419" s="188">
        <f t="shared" si="463"/>
        <v>14.183999999999999</v>
      </c>
      <c r="N419" s="188">
        <f t="shared" si="463"/>
        <v>14.183999999999999</v>
      </c>
      <c r="O419" s="188">
        <f t="shared" si="463"/>
        <v>14.183999999999999</v>
      </c>
      <c r="P419" s="188">
        <f t="shared" si="463"/>
        <v>14.183999999999999</v>
      </c>
      <c r="Q419" s="188">
        <f t="shared" si="463"/>
        <v>14.183999999999999</v>
      </c>
      <c r="R419" s="188">
        <f t="shared" si="463"/>
        <v>14.183999999999999</v>
      </c>
      <c r="S419" s="188">
        <f t="shared" si="463"/>
        <v>14.183999999999999</v>
      </c>
      <c r="T419" s="188">
        <f>T420/T418*1000</f>
        <v>14.183999999999999</v>
      </c>
      <c r="U419" s="188">
        <f>U420/U418*1000</f>
        <v>14.183999999999999</v>
      </c>
      <c r="V419" s="188">
        <f>V420/V418*1000</f>
        <v>14.183999999999999</v>
      </c>
      <c r="W419" s="189">
        <f>W420/W418*1000</f>
        <v>14.183999999999999</v>
      </c>
      <c r="X419" s="240"/>
    </row>
    <row r="420" spans="1:28" s="213" customFormat="1" ht="18" customHeight="1">
      <c r="A420" s="583"/>
      <c r="B420" s="657"/>
      <c r="C420" s="658"/>
      <c r="D420" s="198" t="str">
        <f>серпень!D343</f>
        <v>касові видатки, тис.грн.</v>
      </c>
      <c r="E420" s="220">
        <f>E435+E465</f>
        <v>0</v>
      </c>
      <c r="F420" s="199">
        <f t="shared" ref="F420:K422" si="464">F435+F450+F465</f>
        <v>7.21</v>
      </c>
      <c r="G420" s="199">
        <f>G435+G450+G465</f>
        <v>7.21</v>
      </c>
      <c r="H420" s="199">
        <f t="shared" si="464"/>
        <v>14.183999999999999</v>
      </c>
      <c r="I420" s="199">
        <f t="shared" si="464"/>
        <v>14.183999999999999</v>
      </c>
      <c r="J420" s="199">
        <f t="shared" si="464"/>
        <v>14.183999999999999</v>
      </c>
      <c r="K420" s="199">
        <f t="shared" si="464"/>
        <v>14.183999999999999</v>
      </c>
      <c r="L420" s="199">
        <f>SUM(F420:K420)</f>
        <v>71.156000000000006</v>
      </c>
      <c r="M420" s="199">
        <f>L420/6</f>
        <v>11.859</v>
      </c>
      <c r="N420" s="199">
        <f t="shared" ref="N420:S422" si="465">N435+N450+N465</f>
        <v>15.750999999999999</v>
      </c>
      <c r="O420" s="199">
        <f t="shared" si="465"/>
        <v>14.183999999999999</v>
      </c>
      <c r="P420" s="199">
        <f t="shared" si="465"/>
        <v>14.183999999999999</v>
      </c>
      <c r="Q420" s="199">
        <f t="shared" si="465"/>
        <v>14.183999999999999</v>
      </c>
      <c r="R420" s="199">
        <f t="shared" si="465"/>
        <v>17.021000000000001</v>
      </c>
      <c r="S420" s="199">
        <f t="shared" si="465"/>
        <v>37.743000000000002</v>
      </c>
      <c r="T420" s="199">
        <f>SUM(N420:S420)</f>
        <v>113.06699999999999</v>
      </c>
      <c r="U420" s="199">
        <f>T420+L420</f>
        <v>184.22300000000001</v>
      </c>
      <c r="V420" s="199">
        <f>V435+V465</f>
        <v>213.625</v>
      </c>
      <c r="W420" s="221">
        <f>V420-U420</f>
        <v>29.402000000000001</v>
      </c>
      <c r="X420" s="213">
        <f>U413-U420</f>
        <v>0</v>
      </c>
    </row>
    <row r="421" spans="1:28" s="213" customFormat="1" ht="18" customHeight="1">
      <c r="A421" s="583"/>
      <c r="B421" s="657"/>
      <c r="C421" s="658"/>
      <c r="D421" s="201" t="str">
        <f>серпень!D344</f>
        <v>дотація</v>
      </c>
      <c r="E421" s="220"/>
      <c r="F421" s="199">
        <f t="shared" si="464"/>
        <v>0</v>
      </c>
      <c r="G421" s="199">
        <f t="shared" si="464"/>
        <v>0</v>
      </c>
      <c r="H421" s="199">
        <f t="shared" si="464"/>
        <v>0</v>
      </c>
      <c r="I421" s="199">
        <f t="shared" si="464"/>
        <v>0</v>
      </c>
      <c r="J421" s="199">
        <f t="shared" si="464"/>
        <v>0</v>
      </c>
      <c r="K421" s="199">
        <f t="shared" si="464"/>
        <v>0</v>
      </c>
      <c r="L421" s="199">
        <f>SUM(F421:K421)</f>
        <v>0</v>
      </c>
      <c r="M421" s="199">
        <f>L421/6</f>
        <v>0</v>
      </c>
      <c r="N421" s="199">
        <f t="shared" si="465"/>
        <v>0</v>
      </c>
      <c r="O421" s="199">
        <f t="shared" si="465"/>
        <v>0</v>
      </c>
      <c r="P421" s="199">
        <f t="shared" si="465"/>
        <v>0</v>
      </c>
      <c r="Q421" s="199">
        <f t="shared" si="465"/>
        <v>0</v>
      </c>
      <c r="R421" s="199">
        <f t="shared" si="465"/>
        <v>0</v>
      </c>
      <c r="S421" s="199">
        <f t="shared" si="465"/>
        <v>0</v>
      </c>
      <c r="T421" s="199">
        <f>SUM(N421:S421)</f>
        <v>0</v>
      </c>
      <c r="U421" s="199">
        <f>T421+L421</f>
        <v>0</v>
      </c>
      <c r="V421" s="199">
        <f>V436+V466</f>
        <v>0</v>
      </c>
      <c r="W421" s="221">
        <f>V421-U421</f>
        <v>0</v>
      </c>
      <c r="X421" s="213">
        <f>U416-U421</f>
        <v>0</v>
      </c>
    </row>
    <row r="422" spans="1:28" s="213" customFormat="1" ht="18" customHeight="1">
      <c r="A422" s="583"/>
      <c r="B422" s="657"/>
      <c r="C422" s="658"/>
      <c r="D422" s="201" t="str">
        <f>серпень!D345</f>
        <v xml:space="preserve">місцевий </v>
      </c>
      <c r="E422" s="220"/>
      <c r="F422" s="199">
        <f t="shared" si="464"/>
        <v>7.21</v>
      </c>
      <c r="G422" s="199">
        <f t="shared" si="464"/>
        <v>7.21</v>
      </c>
      <c r="H422" s="199">
        <f t="shared" si="464"/>
        <v>14.183999999999999</v>
      </c>
      <c r="I422" s="199">
        <f t="shared" si="464"/>
        <v>14.183999999999999</v>
      </c>
      <c r="J422" s="199">
        <f t="shared" si="464"/>
        <v>14.183999999999999</v>
      </c>
      <c r="K422" s="199">
        <f t="shared" si="464"/>
        <v>14.183999999999999</v>
      </c>
      <c r="L422" s="199">
        <f>SUM(F422:K422)</f>
        <v>71.156000000000006</v>
      </c>
      <c r="M422" s="199">
        <f>L422/6</f>
        <v>11.859</v>
      </c>
      <c r="N422" s="199">
        <f t="shared" si="465"/>
        <v>15.750999999999999</v>
      </c>
      <c r="O422" s="199">
        <f t="shared" si="465"/>
        <v>14.183999999999999</v>
      </c>
      <c r="P422" s="199">
        <f t="shared" si="465"/>
        <v>14.183999999999999</v>
      </c>
      <c r="Q422" s="199">
        <f t="shared" si="465"/>
        <v>14.183999999999999</v>
      </c>
      <c r="R422" s="199">
        <f t="shared" si="465"/>
        <v>17.021000000000001</v>
      </c>
      <c r="S422" s="199">
        <f t="shared" si="465"/>
        <v>37.743000000000002</v>
      </c>
      <c r="T422" s="199">
        <f>SUM(N422:S422)</f>
        <v>113.06699999999999</v>
      </c>
      <c r="U422" s="199">
        <f>T422+L422</f>
        <v>184.22300000000001</v>
      </c>
      <c r="V422" s="199">
        <f>V437+V467</f>
        <v>213.625</v>
      </c>
      <c r="W422" s="221">
        <f>V422-U422</f>
        <v>29.402000000000001</v>
      </c>
      <c r="X422" s="213">
        <f>U417-U422</f>
        <v>29.402000000000001</v>
      </c>
    </row>
    <row r="423" spans="1:28" s="214" customFormat="1" ht="18" customHeight="1">
      <c r="A423" s="583"/>
      <c r="B423" s="657"/>
      <c r="C423" s="658"/>
      <c r="D423" s="202" t="str">
        <f>серпень!D346</f>
        <v>план</v>
      </c>
      <c r="E423" s="203"/>
      <c r="F423" s="203">
        <f>F417+F416</f>
        <v>14</v>
      </c>
      <c r="G423" s="203">
        <f t="shared" ref="G423:K423" si="466">G417+G416</f>
        <v>11.847</v>
      </c>
      <c r="H423" s="203">
        <f t="shared" si="466"/>
        <v>0</v>
      </c>
      <c r="I423" s="203">
        <f t="shared" si="466"/>
        <v>17.021000000000001</v>
      </c>
      <c r="J423" s="203">
        <f t="shared" si="466"/>
        <v>16.667000000000002</v>
      </c>
      <c r="K423" s="203">
        <f t="shared" si="466"/>
        <v>18.242000000000001</v>
      </c>
      <c r="L423" s="203">
        <f>SUM(F423:K423)</f>
        <v>77.777000000000001</v>
      </c>
      <c r="M423" s="203">
        <f>L423/6</f>
        <v>12.962999999999999</v>
      </c>
      <c r="N423" s="203">
        <f>N417+N416</f>
        <v>11.051</v>
      </c>
      <c r="O423" s="203">
        <f t="shared" ref="O423:S423" si="467">O417+O416</f>
        <v>4.1289999999999996</v>
      </c>
      <c r="P423" s="203">
        <f t="shared" si="467"/>
        <v>21.158999999999999</v>
      </c>
      <c r="Q423" s="203">
        <f t="shared" si="467"/>
        <v>32.552</v>
      </c>
      <c r="R423" s="203">
        <f t="shared" si="467"/>
        <v>29.213000000000001</v>
      </c>
      <c r="S423" s="203">
        <f t="shared" si="467"/>
        <v>37.744</v>
      </c>
      <c r="T423" s="203">
        <f>SUM(N423:S423)</f>
        <v>135.84800000000001</v>
      </c>
      <c r="U423" s="203">
        <f>T423+L423</f>
        <v>213.625</v>
      </c>
      <c r="V423" s="203">
        <f>V417+V416</f>
        <v>213.625</v>
      </c>
      <c r="W423" s="203">
        <f>V423-U423</f>
        <v>0</v>
      </c>
    </row>
    <row r="424" spans="1:28" s="214" customFormat="1" ht="18" customHeight="1">
      <c r="A424" s="583"/>
      <c r="B424" s="657"/>
      <c r="C424" s="658"/>
      <c r="D424" s="202" t="str">
        <f>серпень!D347</f>
        <v xml:space="preserve">відхилення </v>
      </c>
      <c r="E424" s="203"/>
      <c r="F424" s="203">
        <f t="shared" ref="F424:K424" si="468">F420-F423</f>
        <v>-6.79</v>
      </c>
      <c r="G424" s="203">
        <f t="shared" si="468"/>
        <v>-4.6369999999999996</v>
      </c>
      <c r="H424" s="203">
        <f t="shared" si="468"/>
        <v>14.183999999999999</v>
      </c>
      <c r="I424" s="203">
        <f t="shared" si="468"/>
        <v>-2.8370000000000002</v>
      </c>
      <c r="J424" s="203">
        <f t="shared" si="468"/>
        <v>-2.4830000000000001</v>
      </c>
      <c r="K424" s="203">
        <f t="shared" si="468"/>
        <v>-4.0579999999999998</v>
      </c>
      <c r="L424" s="203"/>
      <c r="M424" s="203"/>
      <c r="N424" s="203">
        <f t="shared" ref="N424:S424" si="469">N420-N423</f>
        <v>4.7</v>
      </c>
      <c r="O424" s="203">
        <f t="shared" si="469"/>
        <v>10.055</v>
      </c>
      <c r="P424" s="203">
        <f t="shared" si="469"/>
        <v>-6.9749999999999996</v>
      </c>
      <c r="Q424" s="203">
        <f t="shared" si="469"/>
        <v>-18.367999999999999</v>
      </c>
      <c r="R424" s="203">
        <f t="shared" si="469"/>
        <v>-12.192</v>
      </c>
      <c r="S424" s="203">
        <f t="shared" si="469"/>
        <v>-1E-3</v>
      </c>
      <c r="T424" s="203"/>
      <c r="U424" s="203"/>
      <c r="V424" s="203"/>
      <c r="W424" s="203"/>
    </row>
    <row r="425" spans="1:28" s="214" customFormat="1" ht="18" customHeight="1">
      <c r="A425" s="583"/>
      <c r="B425" s="657"/>
      <c r="C425" s="658"/>
      <c r="D425" s="202" t="str">
        <f>серпень!D348</f>
        <v>відхилення з наростаючим</v>
      </c>
      <c r="E425" s="203"/>
      <c r="F425" s="203">
        <f>F424</f>
        <v>-6.79</v>
      </c>
      <c r="G425" s="203">
        <f>G424+F425</f>
        <v>-11.427</v>
      </c>
      <c r="H425" s="203">
        <f>H424+G425</f>
        <v>2.7570000000000001</v>
      </c>
      <c r="I425" s="203">
        <f>I424+H425</f>
        <v>-0.08</v>
      </c>
      <c r="J425" s="203">
        <f>J424+I425</f>
        <v>-2.5630000000000002</v>
      </c>
      <c r="K425" s="203">
        <f>K424+J425</f>
        <v>-6.6210000000000004</v>
      </c>
      <c r="L425" s="203"/>
      <c r="M425" s="203"/>
      <c r="N425" s="203">
        <f>N424+K425</f>
        <v>-1.921</v>
      </c>
      <c r="O425" s="203">
        <f>O424+N425</f>
        <v>8.1340000000000003</v>
      </c>
      <c r="P425" s="203">
        <f>P424+O425</f>
        <v>1.159</v>
      </c>
      <c r="Q425" s="203">
        <f>Q424+P425</f>
        <v>-17.209</v>
      </c>
      <c r="R425" s="203">
        <f>R424+Q425</f>
        <v>-29.401</v>
      </c>
      <c r="S425" s="203">
        <f>S424+R425</f>
        <v>-29.402000000000001</v>
      </c>
      <c r="T425" s="203"/>
      <c r="U425" s="203"/>
      <c r="V425" s="203"/>
      <c r="W425" s="203"/>
    </row>
    <row r="426" spans="1:28" s="10" customFormat="1" ht="18" customHeight="1">
      <c r="A426" s="583"/>
      <c r="B426" s="581" t="s">
        <v>37</v>
      </c>
      <c r="C426" s="581"/>
      <c r="D426" s="178" t="str">
        <f>серпень!D349</f>
        <v>факт. нат.п-ки 2023</v>
      </c>
      <c r="E426" s="11"/>
      <c r="F426" s="82">
        <v>1410.039</v>
      </c>
      <c r="G426" s="82">
        <v>1253.5</v>
      </c>
      <c r="H426" s="82">
        <v>1000</v>
      </c>
      <c r="I426" s="82">
        <v>1200</v>
      </c>
      <c r="J426" s="82">
        <v>900</v>
      </c>
      <c r="K426" s="82">
        <v>1000</v>
      </c>
      <c r="L426" s="125">
        <f>SUM(F426:K426)</f>
        <v>6763.5389999999998</v>
      </c>
      <c r="M426" s="125">
        <f>L426/6</f>
        <v>1127.2570000000001</v>
      </c>
      <c r="N426" s="348">
        <v>1110.5</v>
      </c>
      <c r="O426" s="348">
        <v>1426</v>
      </c>
      <c r="P426" s="348">
        <v>1000</v>
      </c>
      <c r="Q426" s="348">
        <v>1000</v>
      </c>
      <c r="R426" s="348">
        <v>1000</v>
      </c>
      <c r="S426" s="348">
        <v>1426</v>
      </c>
      <c r="T426" s="125">
        <f>SUM(N426:S426)</f>
        <v>6962.5</v>
      </c>
      <c r="U426" s="125">
        <f>T426+L426</f>
        <v>13726.039000000001</v>
      </c>
      <c r="V426" s="505">
        <v>13726.039000000001</v>
      </c>
      <c r="W426" s="505"/>
      <c r="X426" s="36"/>
    </row>
    <row r="427" spans="1:28" s="48" customFormat="1" ht="18" customHeight="1">
      <c r="A427" s="583"/>
      <c r="B427" s="581"/>
      <c r="C427" s="581"/>
      <c r="D427" s="178" t="str">
        <f>серпень!D350</f>
        <v>факт. нат.п-ки 2024</v>
      </c>
      <c r="E427" s="11"/>
      <c r="F427" s="82">
        <v>964.5</v>
      </c>
      <c r="G427" s="82">
        <v>1000</v>
      </c>
      <c r="H427" s="82">
        <v>1000</v>
      </c>
      <c r="I427" s="82">
        <v>1000</v>
      </c>
      <c r="J427" s="82">
        <v>800</v>
      </c>
      <c r="K427" s="82">
        <v>1000</v>
      </c>
      <c r="L427" s="125">
        <f>SUM(F427:K427)</f>
        <v>5764.5</v>
      </c>
      <c r="M427" s="125">
        <f>L427/6</f>
        <v>960.75</v>
      </c>
      <c r="N427" s="348">
        <v>500</v>
      </c>
      <c r="O427" s="348">
        <v>600</v>
      </c>
      <c r="P427" s="348">
        <v>600</v>
      </c>
      <c r="Q427" s="348">
        <v>638</v>
      </c>
      <c r="R427" s="348">
        <v>1200</v>
      </c>
      <c r="S427" s="348">
        <v>1610.5</v>
      </c>
      <c r="T427" s="125">
        <f>SUM(N427:S427)</f>
        <v>5148.5</v>
      </c>
      <c r="U427" s="125">
        <f>T427+L427</f>
        <v>10913</v>
      </c>
      <c r="V427" s="505">
        <v>10913</v>
      </c>
      <c r="W427" s="505"/>
      <c r="X427" s="47"/>
    </row>
    <row r="428" spans="1:28" s="10" customFormat="1" ht="18" customHeight="1">
      <c r="A428" s="583"/>
      <c r="B428" s="581"/>
      <c r="C428" s="581"/>
      <c r="D428" s="178" t="str">
        <f>серпень!D351</f>
        <v>факт. нат.п-ки 2025</v>
      </c>
      <c r="E428" s="11"/>
      <c r="F428" s="82">
        <v>508.31900000000002</v>
      </c>
      <c r="G428" s="82">
        <v>508.31900000000002</v>
      </c>
      <c r="H428" s="82">
        <v>1000</v>
      </c>
      <c r="I428" s="82">
        <v>1000</v>
      </c>
      <c r="J428" s="82">
        <v>1000</v>
      </c>
      <c r="K428" s="82">
        <v>1000</v>
      </c>
      <c r="L428" s="125">
        <f>SUM(F428:K428)</f>
        <v>5016.6379999999999</v>
      </c>
      <c r="M428" s="125">
        <f>L428/6</f>
        <v>836.10599999999999</v>
      </c>
      <c r="N428" s="348">
        <v>1110.5</v>
      </c>
      <c r="O428" s="348">
        <v>1000</v>
      </c>
      <c r="P428" s="348">
        <v>1000</v>
      </c>
      <c r="Q428" s="348">
        <v>1000</v>
      </c>
      <c r="R428" s="348">
        <v>1200</v>
      </c>
      <c r="S428" s="348">
        <v>2660.96</v>
      </c>
      <c r="T428" s="125">
        <f>SUM(N428:S428)</f>
        <v>7971.46</v>
      </c>
      <c r="U428" s="125">
        <f>T428+L428</f>
        <v>12988.098</v>
      </c>
      <c r="V428" s="349">
        <v>15061</v>
      </c>
      <c r="W428" s="505">
        <f>V428-U428</f>
        <v>2072.902</v>
      </c>
      <c r="X428" s="36"/>
      <c r="Y428" s="3"/>
      <c r="Z428" s="3"/>
      <c r="AA428" s="3"/>
      <c r="AB428" s="3"/>
    </row>
    <row r="429" spans="1:28" s="114" customFormat="1" ht="18" customHeight="1">
      <c r="A429" s="583"/>
      <c r="B429" s="581"/>
      <c r="C429" s="581"/>
      <c r="D429" s="187" t="str">
        <f>серпень!D352</f>
        <v>тариф, грн.</v>
      </c>
      <c r="E429" s="49" t="e">
        <f>E430/E428*1000</f>
        <v>#DIV/0!</v>
      </c>
      <c r="F429" s="49">
        <f t="shared" ref="F429:K429" si="470">F430/F428*1000</f>
        <v>14.183999999999999</v>
      </c>
      <c r="G429" s="49">
        <f t="shared" si="470"/>
        <v>14.183999999999999</v>
      </c>
      <c r="H429" s="49">
        <f t="shared" si="470"/>
        <v>14.183999999999999</v>
      </c>
      <c r="I429" s="49">
        <f t="shared" si="470"/>
        <v>14.183999999999999</v>
      </c>
      <c r="J429" s="49">
        <f t="shared" si="470"/>
        <v>14.183999999999999</v>
      </c>
      <c r="K429" s="49">
        <f t="shared" si="470"/>
        <v>14.183999999999999</v>
      </c>
      <c r="L429" s="68">
        <f>L430/L428*1000</f>
        <v>14.183999999999999</v>
      </c>
      <c r="M429" s="68">
        <f>M430/M428*1000</f>
        <v>14.183999999999999</v>
      </c>
      <c r="N429" s="68">
        <f t="shared" ref="N429:O429" si="471">N430/N428*1000</f>
        <v>14.183999999999999</v>
      </c>
      <c r="O429" s="68">
        <f t="shared" si="471"/>
        <v>14.183999999999999</v>
      </c>
      <c r="P429" s="49">
        <v>14.183999999999999</v>
      </c>
      <c r="Q429" s="49">
        <v>14.183999999999999</v>
      </c>
      <c r="R429" s="49">
        <v>14.183999999999999</v>
      </c>
      <c r="S429" s="49">
        <v>14.183999999999999</v>
      </c>
      <c r="T429" s="68">
        <f>T430/T428*1000</f>
        <v>14.183999999999999</v>
      </c>
      <c r="U429" s="68">
        <f>U430/U428*1000</f>
        <v>14.183999999999999</v>
      </c>
      <c r="V429" s="68">
        <f>V430/V428*1000</f>
        <v>14.183999999999999</v>
      </c>
      <c r="W429" s="14">
        <f>W430/W428*1000</f>
        <v>14.183999999999999</v>
      </c>
      <c r="X429" s="36"/>
      <c r="Y429" s="3"/>
      <c r="Z429" s="3"/>
      <c r="AA429" s="3"/>
      <c r="AB429" s="3"/>
    </row>
    <row r="430" spans="1:28" s="114" customFormat="1" ht="18" customHeight="1">
      <c r="A430" s="583"/>
      <c r="B430" s="581"/>
      <c r="C430" s="581"/>
      <c r="D430" s="191" t="str">
        <f>серпень!D353</f>
        <v>сума, тис.грн.</v>
      </c>
      <c r="E430" s="52"/>
      <c r="F430" s="52">
        <v>7.21</v>
      </c>
      <c r="G430" s="52">
        <v>7.21</v>
      </c>
      <c r="H430" s="52">
        <v>14.183999999999999</v>
      </c>
      <c r="I430" s="52">
        <v>14.183999999999999</v>
      </c>
      <c r="J430" s="52">
        <v>14.183999999999999</v>
      </c>
      <c r="K430" s="52">
        <v>14.183999999999999</v>
      </c>
      <c r="L430" s="69">
        <f>SUM(F430:K430)</f>
        <v>71.156000000000006</v>
      </c>
      <c r="M430" s="69">
        <f>L430/6</f>
        <v>11.859</v>
      </c>
      <c r="N430" s="52">
        <v>15.750999999999999</v>
      </c>
      <c r="O430" s="52">
        <v>14.183999999999999</v>
      </c>
      <c r="P430" s="52">
        <f t="shared" ref="P430" si="472">P428*P429/1000</f>
        <v>14.183999999999999</v>
      </c>
      <c r="Q430" s="52">
        <f t="shared" ref="Q430" si="473">Q428*Q429/1000</f>
        <v>14.183999999999999</v>
      </c>
      <c r="R430" s="52">
        <f t="shared" ref="R430" si="474">R428*R429/1000</f>
        <v>17.021000000000001</v>
      </c>
      <c r="S430" s="52">
        <f t="shared" ref="S430" si="475">S428*S429/1000</f>
        <v>37.743000000000002</v>
      </c>
      <c r="T430" s="69">
        <f>SUM(N430:S430)</f>
        <v>113.06699999999999</v>
      </c>
      <c r="U430" s="69">
        <f>T430+L430</f>
        <v>184.22300000000001</v>
      </c>
      <c r="V430" s="70">
        <f>V432+V431</f>
        <v>213.625</v>
      </c>
      <c r="W430" s="53">
        <f>V430-U430</f>
        <v>29.402000000000001</v>
      </c>
      <c r="X430" s="113"/>
    </row>
    <row r="431" spans="1:28" s="114" customFormat="1" ht="18" customHeight="1">
      <c r="A431" s="583"/>
      <c r="B431" s="581"/>
      <c r="C431" s="581"/>
      <c r="D431" s="174" t="str">
        <f>серпень!D354</f>
        <v>дотація</v>
      </c>
      <c r="E431" s="56"/>
      <c r="F431" s="52"/>
      <c r="G431" s="52"/>
      <c r="H431" s="52"/>
      <c r="I431" s="52"/>
      <c r="J431" s="52"/>
      <c r="K431" s="52"/>
      <c r="L431" s="69">
        <f>SUM(F431:K431)</f>
        <v>0</v>
      </c>
      <c r="M431" s="69">
        <f>L431/6</f>
        <v>0</v>
      </c>
      <c r="N431" s="52"/>
      <c r="O431" s="52"/>
      <c r="P431" s="52"/>
      <c r="Q431" s="52"/>
      <c r="R431" s="52"/>
      <c r="S431" s="52"/>
      <c r="T431" s="69">
        <f>SUM(N431:S431)</f>
        <v>0</v>
      </c>
      <c r="U431" s="69">
        <f>T431+L431</f>
        <v>0</v>
      </c>
      <c r="V431" s="70"/>
      <c r="W431" s="53">
        <f>V431-U431</f>
        <v>0</v>
      </c>
      <c r="X431" s="113"/>
    </row>
    <row r="432" spans="1:28" s="114" customFormat="1" ht="18" customHeight="1">
      <c r="A432" s="583"/>
      <c r="B432" s="581"/>
      <c r="C432" s="581"/>
      <c r="D432" s="174" t="str">
        <f>серпень!D355</f>
        <v>місцевий (план), тис.грн</v>
      </c>
      <c r="E432" s="56"/>
      <c r="F432" s="52">
        <v>14</v>
      </c>
      <c r="G432" s="52">
        <f>17.78+20-14-0.001-11.932</f>
        <v>11.847</v>
      </c>
      <c r="H432" s="52">
        <f>14.184+1-15.184</f>
        <v>0</v>
      </c>
      <c r="I432" s="52">
        <v>17.021000000000001</v>
      </c>
      <c r="J432" s="52">
        <f>11.347+5.32</f>
        <v>16.667000000000002</v>
      </c>
      <c r="K432" s="52">
        <f>14.184+4.058</f>
        <v>18.242000000000001</v>
      </c>
      <c r="L432" s="69">
        <f>SUM(F432:K432)</f>
        <v>77.777000000000001</v>
      </c>
      <c r="M432" s="69">
        <f>L432/6</f>
        <v>12.962999999999999</v>
      </c>
      <c r="N432" s="52">
        <f>15.751-4.7</f>
        <v>11.051</v>
      </c>
      <c r="O432" s="52">
        <f>20.226+2.103-18.2</f>
        <v>4.1289999999999996</v>
      </c>
      <c r="P432" s="52">
        <f>14.184+5.931+1.044</f>
        <v>21.158999999999999</v>
      </c>
      <c r="Q432" s="52">
        <f>14.184+5.612+3.656+9.1</f>
        <v>32.552</v>
      </c>
      <c r="R432" s="52">
        <f>17.021+3.092+9.1</f>
        <v>29.213000000000001</v>
      </c>
      <c r="S432" s="52">
        <f>37.743+0.001</f>
        <v>37.744</v>
      </c>
      <c r="T432" s="69">
        <f>SUM(N432:S432)</f>
        <v>135.84800000000001</v>
      </c>
      <c r="U432" s="69">
        <f>T432+L432</f>
        <v>213.625</v>
      </c>
      <c r="V432" s="70">
        <v>213.625</v>
      </c>
      <c r="W432" s="53">
        <f>V432-U432</f>
        <v>0</v>
      </c>
      <c r="X432" s="113"/>
    </row>
    <row r="433" spans="1:28" s="3" customFormat="1" ht="18" customHeight="1">
      <c r="A433" s="583"/>
      <c r="B433" s="581"/>
      <c r="C433" s="581"/>
      <c r="D433" s="178" t="str">
        <f>серпень!D356</f>
        <v>касові нат.п-ки 2025</v>
      </c>
      <c r="E433" s="11"/>
      <c r="F433" s="82">
        <v>508.31900000000002</v>
      </c>
      <c r="G433" s="82">
        <v>508.31900000000002</v>
      </c>
      <c r="H433" s="82">
        <v>1000</v>
      </c>
      <c r="I433" s="82">
        <v>1000</v>
      </c>
      <c r="J433" s="82">
        <v>1000</v>
      </c>
      <c r="K433" s="82">
        <v>1000</v>
      </c>
      <c r="L433" s="465">
        <f>SUM(F433:K433)</f>
        <v>5016.6379999999999</v>
      </c>
      <c r="M433" s="465">
        <f>L433/6</f>
        <v>836.10599999999999</v>
      </c>
      <c r="N433" s="348">
        <v>1110.5</v>
      </c>
      <c r="O433" s="348">
        <v>1000</v>
      </c>
      <c r="P433" s="348">
        <v>1000</v>
      </c>
      <c r="Q433" s="348">
        <v>1000</v>
      </c>
      <c r="R433" s="348">
        <v>1200</v>
      </c>
      <c r="S433" s="348">
        <v>2660.96</v>
      </c>
      <c r="T433" s="465">
        <f>SUM(N433:S433)</f>
        <v>7971.46</v>
      </c>
      <c r="U433" s="465">
        <f>T433+L433</f>
        <v>12988.098</v>
      </c>
      <c r="V433" s="11">
        <f>V428</f>
        <v>15061</v>
      </c>
      <c r="W433" s="38">
        <f>V433-U433</f>
        <v>2072.9</v>
      </c>
      <c r="X433" s="47">
        <f>U428-U433</f>
        <v>0</v>
      </c>
    </row>
    <row r="434" spans="1:28" s="73" customFormat="1" ht="18" customHeight="1">
      <c r="A434" s="583"/>
      <c r="B434" s="581"/>
      <c r="C434" s="581"/>
      <c r="D434" s="187" t="str">
        <f>серпень!D357</f>
        <v>тариф, грн.</v>
      </c>
      <c r="E434" s="49" t="e">
        <f>E435/E433*1000</f>
        <v>#DIV/0!</v>
      </c>
      <c r="F434" s="49">
        <f t="shared" ref="F434:K434" si="476">F435/F433*1000</f>
        <v>14.183999999999999</v>
      </c>
      <c r="G434" s="49">
        <f t="shared" si="476"/>
        <v>14.183999999999999</v>
      </c>
      <c r="H434" s="49">
        <f t="shared" si="476"/>
        <v>14.183999999999999</v>
      </c>
      <c r="I434" s="49">
        <f t="shared" si="476"/>
        <v>14.183999999999999</v>
      </c>
      <c r="J434" s="49">
        <f t="shared" si="476"/>
        <v>14.183999999999999</v>
      </c>
      <c r="K434" s="49">
        <f t="shared" si="476"/>
        <v>14.183999999999999</v>
      </c>
      <c r="L434" s="68">
        <f>L435/L433*1000</f>
        <v>14.183999999999999</v>
      </c>
      <c r="M434" s="68">
        <f>M435/M433*1000</f>
        <v>14.183999999999999</v>
      </c>
      <c r="N434" s="68">
        <f t="shared" ref="N434:P434" si="477">N435/N433*1000</f>
        <v>14.183999999999999</v>
      </c>
      <c r="O434" s="68">
        <f t="shared" si="477"/>
        <v>14.183999999999999</v>
      </c>
      <c r="P434" s="68">
        <f t="shared" si="477"/>
        <v>14.183999999999999</v>
      </c>
      <c r="Q434" s="49">
        <v>14.183999999999999</v>
      </c>
      <c r="R434" s="49">
        <v>14.183999999999999</v>
      </c>
      <c r="S434" s="49">
        <v>14.183999999999999</v>
      </c>
      <c r="T434" s="68">
        <f>T435/T433*1000</f>
        <v>14.183999999999999</v>
      </c>
      <c r="U434" s="68">
        <f>U435/U433*1000</f>
        <v>14.183999999999999</v>
      </c>
      <c r="V434" s="68">
        <f>V435/V433*1000</f>
        <v>14.183999999999999</v>
      </c>
      <c r="W434" s="14">
        <f>W435/W433*1000</f>
        <v>14.183999999999999</v>
      </c>
      <c r="X434" s="59"/>
      <c r="Y434" s="36"/>
      <c r="Z434" s="36"/>
      <c r="AA434" s="36"/>
      <c r="AB434" s="36"/>
    </row>
    <row r="435" spans="1:28" s="126" customFormat="1" ht="17.7" customHeight="1">
      <c r="A435" s="583"/>
      <c r="B435" s="581"/>
      <c r="C435" s="581"/>
      <c r="D435" s="198" t="str">
        <f>серпень!D358</f>
        <v>касові видатки, тис.грн.</v>
      </c>
      <c r="E435" s="71"/>
      <c r="F435" s="61">
        <v>7.21</v>
      </c>
      <c r="G435" s="61">
        <v>7.21</v>
      </c>
      <c r="H435" s="61">
        <v>14.183999999999999</v>
      </c>
      <c r="I435" s="61">
        <v>14.183999999999999</v>
      </c>
      <c r="J435" s="61">
        <v>14.183999999999999</v>
      </c>
      <c r="K435" s="61">
        <v>14.183999999999999</v>
      </c>
      <c r="L435" s="61">
        <f>SUM(F435:K435)</f>
        <v>71.156000000000006</v>
      </c>
      <c r="M435" s="61">
        <f>L435/6</f>
        <v>11.859</v>
      </c>
      <c r="N435" s="61">
        <v>15.750999999999999</v>
      </c>
      <c r="O435" s="61">
        <v>14.183999999999999</v>
      </c>
      <c r="P435" s="61">
        <v>14.183999999999999</v>
      </c>
      <c r="Q435" s="61">
        <f t="shared" ref="Q435" si="478">Q433*Q434/1000</f>
        <v>14.183999999999999</v>
      </c>
      <c r="R435" s="61">
        <f t="shared" ref="R435" si="479">R433*R434/1000</f>
        <v>17.021000000000001</v>
      </c>
      <c r="S435" s="61">
        <f>S433*S434/1000</f>
        <v>37.743000000000002</v>
      </c>
      <c r="T435" s="61">
        <f>SUM(N435:S435)</f>
        <v>113.06699999999999</v>
      </c>
      <c r="U435" s="61">
        <f>T435+L435</f>
        <v>184.22300000000001</v>
      </c>
      <c r="V435" s="61">
        <f>V430</f>
        <v>213.625</v>
      </c>
      <c r="W435" s="72">
        <f>V435-U435</f>
        <v>29.402000000000001</v>
      </c>
      <c r="X435" s="63">
        <f>U430-U435</f>
        <v>0</v>
      </c>
    </row>
    <row r="436" spans="1:28" s="126" customFormat="1" ht="18" customHeight="1">
      <c r="A436" s="583"/>
      <c r="B436" s="581"/>
      <c r="C436" s="581"/>
      <c r="D436" s="201" t="str">
        <f>серпень!D359</f>
        <v>дотація</v>
      </c>
      <c r="E436" s="71"/>
      <c r="F436" s="61"/>
      <c r="G436" s="61"/>
      <c r="H436" s="61"/>
      <c r="I436" s="61"/>
      <c r="J436" s="61"/>
      <c r="K436" s="61"/>
      <c r="L436" s="61">
        <f>SUM(F436:K436)</f>
        <v>0</v>
      </c>
      <c r="M436" s="61">
        <f>L436/6</f>
        <v>0</v>
      </c>
      <c r="N436" s="61"/>
      <c r="O436" s="61"/>
      <c r="P436" s="61"/>
      <c r="Q436" s="61"/>
      <c r="R436" s="61"/>
      <c r="S436" s="61"/>
      <c r="T436" s="61">
        <f>SUM(N436:S436)</f>
        <v>0</v>
      </c>
      <c r="U436" s="61">
        <f>T436+L436</f>
        <v>0</v>
      </c>
      <c r="V436" s="61">
        <f>V431</f>
        <v>0</v>
      </c>
      <c r="W436" s="72">
        <f>V436-U436</f>
        <v>0</v>
      </c>
      <c r="X436" s="63">
        <f>U431-U436</f>
        <v>0</v>
      </c>
    </row>
    <row r="437" spans="1:28" s="126" customFormat="1" ht="18" customHeight="1">
      <c r="A437" s="583"/>
      <c r="B437" s="581"/>
      <c r="C437" s="581"/>
      <c r="D437" s="201" t="str">
        <f>серпень!D360</f>
        <v xml:space="preserve">місцевий </v>
      </c>
      <c r="E437" s="71"/>
      <c r="F437" s="61">
        <f t="shared" ref="F437:K437" si="480">F435-F436</f>
        <v>7.21</v>
      </c>
      <c r="G437" s="61">
        <f t="shared" si="480"/>
        <v>7.21</v>
      </c>
      <c r="H437" s="61">
        <f t="shared" si="480"/>
        <v>14.183999999999999</v>
      </c>
      <c r="I437" s="61">
        <f t="shared" si="480"/>
        <v>14.183999999999999</v>
      </c>
      <c r="J437" s="61">
        <f t="shared" si="480"/>
        <v>14.183999999999999</v>
      </c>
      <c r="K437" s="61">
        <f t="shared" si="480"/>
        <v>14.183999999999999</v>
      </c>
      <c r="L437" s="61">
        <f>SUM(F437:K437)</f>
        <v>71.156000000000006</v>
      </c>
      <c r="M437" s="61">
        <f>L437/6</f>
        <v>11.859</v>
      </c>
      <c r="N437" s="61">
        <f t="shared" ref="N437:S437" si="481">N435-N436</f>
        <v>15.750999999999999</v>
      </c>
      <c r="O437" s="61">
        <f t="shared" si="481"/>
        <v>14.183999999999999</v>
      </c>
      <c r="P437" s="61">
        <f t="shared" si="481"/>
        <v>14.183999999999999</v>
      </c>
      <c r="Q437" s="61">
        <f t="shared" si="481"/>
        <v>14.183999999999999</v>
      </c>
      <c r="R437" s="61">
        <f t="shared" si="481"/>
        <v>17.021000000000001</v>
      </c>
      <c r="S437" s="61">
        <f t="shared" si="481"/>
        <v>37.743000000000002</v>
      </c>
      <c r="T437" s="61">
        <f>SUM(N437:S437)</f>
        <v>113.06699999999999</v>
      </c>
      <c r="U437" s="61">
        <f>T437+L437</f>
        <v>184.22300000000001</v>
      </c>
      <c r="V437" s="61">
        <f>V432</f>
        <v>213.625</v>
      </c>
      <c r="W437" s="72">
        <f>V437-U437</f>
        <v>29.402000000000001</v>
      </c>
      <c r="X437" s="63">
        <f>U432-U437</f>
        <v>29.402000000000001</v>
      </c>
    </row>
    <row r="438" spans="1:28" s="43" customFormat="1" ht="18" customHeight="1">
      <c r="A438" s="583"/>
      <c r="B438" s="581"/>
      <c r="C438" s="581"/>
      <c r="D438" s="202" t="str">
        <f>серпень!D361</f>
        <v>план</v>
      </c>
      <c r="E438" s="42"/>
      <c r="F438" s="42">
        <f t="shared" ref="F438:K438" si="482">F431+F432</f>
        <v>14</v>
      </c>
      <c r="G438" s="42">
        <f t="shared" si="482"/>
        <v>11.847</v>
      </c>
      <c r="H438" s="42">
        <f t="shared" si="482"/>
        <v>0</v>
      </c>
      <c r="I438" s="42">
        <f t="shared" si="482"/>
        <v>17.021000000000001</v>
      </c>
      <c r="J438" s="42">
        <f t="shared" si="482"/>
        <v>16.667000000000002</v>
      </c>
      <c r="K438" s="42">
        <f t="shared" si="482"/>
        <v>18.242000000000001</v>
      </c>
      <c r="L438" s="42">
        <f>SUM(F438:K438)</f>
        <v>77.777000000000001</v>
      </c>
      <c r="M438" s="42">
        <f>L438/6</f>
        <v>12.962999999999999</v>
      </c>
      <c r="N438" s="42">
        <f t="shared" ref="N438:S438" si="483">N432+N431</f>
        <v>11.051</v>
      </c>
      <c r="O438" s="42">
        <f t="shared" si="483"/>
        <v>4.1289999999999996</v>
      </c>
      <c r="P438" s="42">
        <f t="shared" si="483"/>
        <v>21.158999999999999</v>
      </c>
      <c r="Q438" s="42">
        <f t="shared" si="483"/>
        <v>32.552</v>
      </c>
      <c r="R438" s="42">
        <f t="shared" si="483"/>
        <v>29.213000000000001</v>
      </c>
      <c r="S438" s="42">
        <f t="shared" si="483"/>
        <v>37.744</v>
      </c>
      <c r="T438" s="42">
        <f>SUM(N438:S438)</f>
        <v>135.84800000000001</v>
      </c>
      <c r="U438" s="42">
        <f>T438+L438</f>
        <v>213.625</v>
      </c>
      <c r="V438" s="42">
        <f>V435</f>
        <v>213.625</v>
      </c>
      <c r="W438" s="42">
        <f>V438-U438</f>
        <v>0</v>
      </c>
    </row>
    <row r="439" spans="1:28" s="43" customFormat="1" ht="18" customHeight="1">
      <c r="A439" s="583"/>
      <c r="B439" s="581"/>
      <c r="C439" s="581"/>
      <c r="D439" s="202" t="str">
        <f>серпень!D362</f>
        <v xml:space="preserve">відхилення </v>
      </c>
      <c r="E439" s="42"/>
      <c r="F439" s="42">
        <f t="shared" ref="F439:K439" si="484">F435-F438</f>
        <v>-6.79</v>
      </c>
      <c r="G439" s="42">
        <f t="shared" si="484"/>
        <v>-4.6369999999999996</v>
      </c>
      <c r="H439" s="42">
        <f t="shared" si="484"/>
        <v>14.183999999999999</v>
      </c>
      <c r="I439" s="42">
        <f t="shared" si="484"/>
        <v>-2.8370000000000002</v>
      </c>
      <c r="J439" s="42">
        <f t="shared" si="484"/>
        <v>-2.4830000000000001</v>
      </c>
      <c r="K439" s="42">
        <f t="shared" si="484"/>
        <v>-4.0579999999999998</v>
      </c>
      <c r="L439" s="42"/>
      <c r="M439" s="42"/>
      <c r="N439" s="42">
        <f t="shared" ref="N439:S439" si="485">N435-N438</f>
        <v>4.7</v>
      </c>
      <c r="O439" s="42">
        <f t="shared" si="485"/>
        <v>10.055</v>
      </c>
      <c r="P439" s="42">
        <f t="shared" si="485"/>
        <v>-6.9749999999999996</v>
      </c>
      <c r="Q439" s="42">
        <f t="shared" si="485"/>
        <v>-18.367999999999999</v>
      </c>
      <c r="R439" s="42">
        <f t="shared" si="485"/>
        <v>-12.192</v>
      </c>
      <c r="S439" s="42">
        <f t="shared" si="485"/>
        <v>-1E-3</v>
      </c>
      <c r="T439" s="42"/>
      <c r="U439" s="42"/>
      <c r="V439" s="42"/>
      <c r="W439" s="42"/>
    </row>
    <row r="440" spans="1:28" s="43" customFormat="1" ht="18" customHeight="1">
      <c r="A440" s="583"/>
      <c r="B440" s="581"/>
      <c r="C440" s="581"/>
      <c r="D440" s="202" t="str">
        <f>серпень!D363</f>
        <v>відхилення з наростаючим</v>
      </c>
      <c r="E440" s="42"/>
      <c r="F440" s="42">
        <f>F439</f>
        <v>-6.79</v>
      </c>
      <c r="G440" s="42">
        <f>G439+F440</f>
        <v>-11.427</v>
      </c>
      <c r="H440" s="42">
        <f>H439+G440</f>
        <v>2.7570000000000001</v>
      </c>
      <c r="I440" s="42">
        <f>I439+H440</f>
        <v>-0.08</v>
      </c>
      <c r="J440" s="42">
        <f>J439+I440</f>
        <v>-2.5630000000000002</v>
      </c>
      <c r="K440" s="42">
        <f>K439+J440</f>
        <v>-6.6210000000000004</v>
      </c>
      <c r="L440" s="42"/>
      <c r="M440" s="42"/>
      <c r="N440" s="42">
        <f>N439+K440</f>
        <v>-1.921</v>
      </c>
      <c r="O440" s="42">
        <f>O439+N440</f>
        <v>8.1340000000000003</v>
      </c>
      <c r="P440" s="42">
        <f>P439+O440</f>
        <v>1.159</v>
      </c>
      <c r="Q440" s="42">
        <f>Q439+P440</f>
        <v>-17.209</v>
      </c>
      <c r="R440" s="42">
        <f>R439+Q440</f>
        <v>-29.401</v>
      </c>
      <c r="S440" s="42">
        <f>S439+R440</f>
        <v>-29.402000000000001</v>
      </c>
      <c r="T440" s="42"/>
      <c r="U440" s="42"/>
      <c r="V440" s="42"/>
      <c r="W440" s="42"/>
    </row>
    <row r="441" spans="1:28" s="48" customFormat="1" ht="18" hidden="1" customHeight="1">
      <c r="A441" s="583"/>
      <c r="B441" s="580" t="s">
        <v>96</v>
      </c>
      <c r="C441" s="575"/>
      <c r="D441" s="178" t="str">
        <f>серпень!D364</f>
        <v>факт. нат.п-ки 2023</v>
      </c>
      <c r="E441" s="11"/>
      <c r="F441" s="12"/>
      <c r="G441" s="12"/>
      <c r="H441" s="12"/>
      <c r="I441" s="12"/>
      <c r="J441" s="12"/>
      <c r="K441" s="12"/>
      <c r="L441" s="65">
        <f>SUM(F441:K441)</f>
        <v>0</v>
      </c>
      <c r="M441" s="65">
        <f>L441/6</f>
        <v>0</v>
      </c>
      <c r="N441" s="12"/>
      <c r="O441" s="12"/>
      <c r="P441" s="12"/>
      <c r="Q441" s="12"/>
      <c r="R441" s="12"/>
      <c r="S441" s="12"/>
      <c r="T441" s="65">
        <f>SUM(N441:S441)</f>
        <v>0</v>
      </c>
      <c r="U441" s="66">
        <f>T441+L441</f>
        <v>0</v>
      </c>
      <c r="V441" s="67"/>
      <c r="W441" s="38">
        <f>V441-U441</f>
        <v>0</v>
      </c>
      <c r="X441" s="47"/>
    </row>
    <row r="442" spans="1:28" s="48" customFormat="1" ht="18" hidden="1" customHeight="1">
      <c r="A442" s="583"/>
      <c r="B442" s="576"/>
      <c r="C442" s="577"/>
      <c r="D442" s="178" t="str">
        <f>серпень!D365</f>
        <v>факт. нат.п-ки 2024</v>
      </c>
      <c r="E442" s="11"/>
      <c r="F442" s="12"/>
      <c r="G442" s="12"/>
      <c r="H442" s="12"/>
      <c r="I442" s="12"/>
      <c r="J442" s="12"/>
      <c r="K442" s="12"/>
      <c r="L442" s="65">
        <f>SUM(F442:K442)</f>
        <v>0</v>
      </c>
      <c r="M442" s="65">
        <f>L442/6</f>
        <v>0</v>
      </c>
      <c r="N442" s="11"/>
      <c r="O442" s="11"/>
      <c r="P442" s="11"/>
      <c r="Q442" s="11"/>
      <c r="R442" s="11"/>
      <c r="S442" s="11"/>
      <c r="T442" s="65">
        <f>SUM(N442:S442)</f>
        <v>0</v>
      </c>
      <c r="U442" s="66">
        <f>T442+L442</f>
        <v>0</v>
      </c>
      <c r="V442" s="67"/>
      <c r="W442" s="38">
        <f>V442-U442</f>
        <v>0</v>
      </c>
      <c r="X442" s="47"/>
    </row>
    <row r="443" spans="1:28" s="48" customFormat="1" ht="18" hidden="1" customHeight="1">
      <c r="A443" s="583"/>
      <c r="B443" s="576"/>
      <c r="C443" s="577"/>
      <c r="D443" s="178" t="str">
        <f>серпень!D366</f>
        <v>факт. нат.п-ки 2025</v>
      </c>
      <c r="E443" s="11"/>
      <c r="F443" s="12"/>
      <c r="G443" s="12"/>
      <c r="H443" s="12"/>
      <c r="I443" s="12"/>
      <c r="J443" s="12"/>
      <c r="K443" s="12"/>
      <c r="L443" s="65">
        <f>SUM(F443:K443)</f>
        <v>0</v>
      </c>
      <c r="M443" s="65">
        <f>L443/6</f>
        <v>0</v>
      </c>
      <c r="N443" s="12"/>
      <c r="O443" s="12"/>
      <c r="P443" s="12"/>
      <c r="Q443" s="12"/>
      <c r="R443" s="12"/>
      <c r="S443" s="11"/>
      <c r="T443" s="65">
        <f>SUM(N443:S443)</f>
        <v>0</v>
      </c>
      <c r="U443" s="66">
        <f>T443+L443</f>
        <v>0</v>
      </c>
      <c r="V443" s="11"/>
      <c r="W443" s="38">
        <f>V443-U443</f>
        <v>0</v>
      </c>
      <c r="X443" s="47"/>
    </row>
    <row r="444" spans="1:28" s="51" customFormat="1" ht="18" hidden="1" customHeight="1">
      <c r="A444" s="583"/>
      <c r="B444" s="576"/>
      <c r="C444" s="577"/>
      <c r="D444" s="187" t="str">
        <f>серпень!D367</f>
        <v>тариф, грн.</v>
      </c>
      <c r="E444" s="49"/>
      <c r="F444" s="49"/>
      <c r="G444" s="49"/>
      <c r="H444" s="49"/>
      <c r="I444" s="49"/>
      <c r="J444" s="49"/>
      <c r="K444" s="49"/>
      <c r="L444" s="49" t="e">
        <f>L445/L443*1000</f>
        <v>#DIV/0!</v>
      </c>
      <c r="M444" s="49" t="e">
        <f>M445/M443*1000</f>
        <v>#DIV/0!</v>
      </c>
      <c r="N444" s="49"/>
      <c r="O444" s="49"/>
      <c r="P444" s="49"/>
      <c r="Q444" s="49"/>
      <c r="R444" s="49"/>
      <c r="S444" s="49"/>
      <c r="T444" s="49" t="e">
        <f>T445/T443*1000</f>
        <v>#DIV/0!</v>
      </c>
      <c r="U444" s="49" t="e">
        <f>U445/U443*1000</f>
        <v>#DIV/0!</v>
      </c>
      <c r="V444" s="68" t="e">
        <f>V445/V443*1000</f>
        <v>#DIV/0!</v>
      </c>
      <c r="W444" s="14" t="e">
        <f>W445/W443*1000</f>
        <v>#DIV/0!</v>
      </c>
      <c r="X444" s="50"/>
    </row>
    <row r="445" spans="1:28" s="55" customFormat="1" ht="18" hidden="1" customHeight="1">
      <c r="A445" s="583"/>
      <c r="B445" s="576"/>
      <c r="C445" s="577"/>
      <c r="D445" s="191" t="str">
        <f>серпень!D368</f>
        <v>сума, тис.грн.</v>
      </c>
      <c r="E445" s="52"/>
      <c r="F445" s="52">
        <f t="shared" ref="F445:K445" si="486">F443*F444/1000</f>
        <v>0</v>
      </c>
      <c r="G445" s="52">
        <f t="shared" si="486"/>
        <v>0</v>
      </c>
      <c r="H445" s="52">
        <f t="shared" si="486"/>
        <v>0</v>
      </c>
      <c r="I445" s="52">
        <f t="shared" si="486"/>
        <v>0</v>
      </c>
      <c r="J445" s="52">
        <f t="shared" si="486"/>
        <v>0</v>
      </c>
      <c r="K445" s="52">
        <f t="shared" si="486"/>
        <v>0</v>
      </c>
      <c r="L445" s="69">
        <f>SUM(F445:K445)</f>
        <v>0</v>
      </c>
      <c r="M445" s="69">
        <f>L445/6</f>
        <v>0</v>
      </c>
      <c r="N445" s="52">
        <f t="shared" ref="N445:S445" si="487">N443*N444/1000</f>
        <v>0</v>
      </c>
      <c r="O445" s="52">
        <f t="shared" si="487"/>
        <v>0</v>
      </c>
      <c r="P445" s="52">
        <f t="shared" si="487"/>
        <v>0</v>
      </c>
      <c r="Q445" s="52">
        <f t="shared" si="487"/>
        <v>0</v>
      </c>
      <c r="R445" s="52">
        <f t="shared" si="487"/>
        <v>0</v>
      </c>
      <c r="S445" s="52">
        <f t="shared" si="487"/>
        <v>0</v>
      </c>
      <c r="T445" s="69">
        <f>SUM(N445:S445)</f>
        <v>0</v>
      </c>
      <c r="U445" s="69">
        <f>T445+L445</f>
        <v>0</v>
      </c>
      <c r="V445" s="70">
        <f>V446+V447</f>
        <v>0</v>
      </c>
      <c r="W445" s="53">
        <f>V445-U445</f>
        <v>0</v>
      </c>
      <c r="X445" s="54">
        <f>9891253.845/1000</f>
        <v>9891.2540000000008</v>
      </c>
    </row>
    <row r="446" spans="1:28" s="55" customFormat="1" ht="18" hidden="1" customHeight="1">
      <c r="A446" s="583"/>
      <c r="B446" s="576"/>
      <c r="C446" s="577"/>
      <c r="D446" s="174" t="str">
        <f>серпень!D369</f>
        <v>дотація</v>
      </c>
      <c r="E446" s="56"/>
      <c r="F446" s="52"/>
      <c r="G446" s="52"/>
      <c r="H446" s="52"/>
      <c r="I446" s="52"/>
      <c r="J446" s="52"/>
      <c r="K446" s="52"/>
      <c r="L446" s="69">
        <f>SUM(F446:K446)</f>
        <v>0</v>
      </c>
      <c r="M446" s="69">
        <f>L446/6</f>
        <v>0</v>
      </c>
      <c r="N446" s="52"/>
      <c r="O446" s="52"/>
      <c r="P446" s="52"/>
      <c r="Q446" s="52"/>
      <c r="R446" s="52"/>
      <c r="S446" s="52"/>
      <c r="T446" s="69">
        <f>SUM(N446:S446)</f>
        <v>0</v>
      </c>
      <c r="U446" s="69">
        <f>T446+L446</f>
        <v>0</v>
      </c>
      <c r="V446" s="70"/>
      <c r="W446" s="53">
        <f>V446-U446</f>
        <v>0</v>
      </c>
      <c r="X446" s="58"/>
    </row>
    <row r="447" spans="1:28" s="55" customFormat="1" ht="18" hidden="1" customHeight="1">
      <c r="A447" s="583"/>
      <c r="B447" s="576"/>
      <c r="C447" s="577"/>
      <c r="D447" s="174" t="str">
        <f>серпень!D370</f>
        <v>місцевий (план), тис.грн</v>
      </c>
      <c r="E447" s="56"/>
      <c r="F447" s="52"/>
      <c r="G447" s="52"/>
      <c r="H447" s="52"/>
      <c r="I447" s="52"/>
      <c r="J447" s="52"/>
      <c r="K447" s="52"/>
      <c r="L447" s="69">
        <f>SUM(F447:K447)</f>
        <v>0</v>
      </c>
      <c r="M447" s="69">
        <f>L447/6</f>
        <v>0</v>
      </c>
      <c r="N447" s="52"/>
      <c r="O447" s="52"/>
      <c r="P447" s="52"/>
      <c r="Q447" s="52"/>
      <c r="R447" s="52"/>
      <c r="S447" s="52"/>
      <c r="T447" s="69">
        <f>SUM(N447:S447)</f>
        <v>0</v>
      </c>
      <c r="U447" s="69">
        <f>T447+L447</f>
        <v>0</v>
      </c>
      <c r="V447" s="70"/>
      <c r="W447" s="53">
        <f>V447-U447</f>
        <v>0</v>
      </c>
      <c r="X447" s="58"/>
    </row>
    <row r="448" spans="1:28" s="48" customFormat="1" ht="18" hidden="1" customHeight="1">
      <c r="A448" s="583"/>
      <c r="B448" s="576"/>
      <c r="C448" s="577"/>
      <c r="D448" s="178" t="str">
        <f>серпень!D371</f>
        <v>касові нат.п-ки 2025</v>
      </c>
      <c r="E448" s="11"/>
      <c r="F448" s="11"/>
      <c r="G448" s="11"/>
      <c r="H448" s="11"/>
      <c r="I448" s="11"/>
      <c r="J448" s="11"/>
      <c r="K448" s="11"/>
      <c r="L448" s="65">
        <f>SUM(F448:K448)</f>
        <v>0</v>
      </c>
      <c r="M448" s="65">
        <f>L448/6</f>
        <v>0</v>
      </c>
      <c r="N448" s="11"/>
      <c r="O448" s="11"/>
      <c r="P448" s="11"/>
      <c r="Q448" s="11"/>
      <c r="R448" s="11"/>
      <c r="S448" s="11"/>
      <c r="T448" s="65">
        <f>SUM(N448:S448)</f>
        <v>0</v>
      </c>
      <c r="U448" s="65">
        <f>T448+L448</f>
        <v>0</v>
      </c>
      <c r="V448" s="11">
        <f>V443</f>
        <v>0</v>
      </c>
      <c r="W448" s="38">
        <f>V448-U448</f>
        <v>0</v>
      </c>
      <c r="X448" s="47">
        <f>U443-U448</f>
        <v>0</v>
      </c>
    </row>
    <row r="449" spans="1:28" s="51" customFormat="1" ht="18" hidden="1" customHeight="1">
      <c r="A449" s="583"/>
      <c r="B449" s="576"/>
      <c r="C449" s="577"/>
      <c r="D449" s="187" t="str">
        <f>серпень!D372</f>
        <v>тариф, грн.</v>
      </c>
      <c r="E449" s="49" t="e">
        <f>E450/E448*1000</f>
        <v>#DIV/0!</v>
      </c>
      <c r="F449" s="49"/>
      <c r="G449" s="49"/>
      <c r="H449" s="49"/>
      <c r="I449" s="49"/>
      <c r="J449" s="49"/>
      <c r="K449" s="49"/>
      <c r="L449" s="49" t="e">
        <f>L450/L448*1000</f>
        <v>#DIV/0!</v>
      </c>
      <c r="M449" s="49" t="e">
        <f>M450/M448*1000</f>
        <v>#DIV/0!</v>
      </c>
      <c r="N449" s="49"/>
      <c r="O449" s="49"/>
      <c r="P449" s="49"/>
      <c r="Q449" s="49"/>
      <c r="R449" s="49"/>
      <c r="S449" s="49"/>
      <c r="T449" s="49" t="e">
        <f>T450/T448*1000</f>
        <v>#DIV/0!</v>
      </c>
      <c r="U449" s="49" t="e">
        <f>U450/U448*1000</f>
        <v>#DIV/0!</v>
      </c>
      <c r="V449" s="68" t="e">
        <f>V450/V448*1000</f>
        <v>#DIV/0!</v>
      </c>
      <c r="W449" s="14" t="e">
        <f>W450/W448*1000</f>
        <v>#DIV/0!</v>
      </c>
      <c r="X449" s="59"/>
    </row>
    <row r="450" spans="1:28" s="63" customFormat="1" ht="17.7" hidden="1" customHeight="1">
      <c r="A450" s="583"/>
      <c r="B450" s="576"/>
      <c r="C450" s="577"/>
      <c r="D450" s="198" t="str">
        <f>серпень!D373</f>
        <v>касові видатки, тис.грн.</v>
      </c>
      <c r="E450" s="71"/>
      <c r="F450" s="61">
        <f t="shared" ref="F450:K450" si="488">F448*F449/1000</f>
        <v>0</v>
      </c>
      <c r="G450" s="61">
        <f t="shared" si="488"/>
        <v>0</v>
      </c>
      <c r="H450" s="61">
        <f t="shared" si="488"/>
        <v>0</v>
      </c>
      <c r="I450" s="61">
        <f t="shared" si="488"/>
        <v>0</v>
      </c>
      <c r="J450" s="61">
        <f t="shared" si="488"/>
        <v>0</v>
      </c>
      <c r="K450" s="61">
        <f t="shared" si="488"/>
        <v>0</v>
      </c>
      <c r="L450" s="61">
        <f>SUM(F450:K450)</f>
        <v>0</v>
      </c>
      <c r="M450" s="61">
        <f>L450/6</f>
        <v>0</v>
      </c>
      <c r="N450" s="61">
        <f t="shared" ref="N450:S450" si="489">N448*N449/1000</f>
        <v>0</v>
      </c>
      <c r="O450" s="61">
        <f t="shared" si="489"/>
        <v>0</v>
      </c>
      <c r="P450" s="61">
        <f t="shared" si="489"/>
        <v>0</v>
      </c>
      <c r="Q450" s="61">
        <f t="shared" si="489"/>
        <v>0</v>
      </c>
      <c r="R450" s="61">
        <f t="shared" si="489"/>
        <v>0</v>
      </c>
      <c r="S450" s="61">
        <f t="shared" si="489"/>
        <v>0</v>
      </c>
      <c r="T450" s="61">
        <f>SUM(N450:S450)</f>
        <v>0</v>
      </c>
      <c r="U450" s="61">
        <f>T450+L450</f>
        <v>0</v>
      </c>
      <c r="V450" s="61">
        <f>V445</f>
        <v>0</v>
      </c>
      <c r="W450" s="72">
        <f>V450-U450</f>
        <v>0</v>
      </c>
      <c r="X450" s="63">
        <f>U445-U450</f>
        <v>0</v>
      </c>
    </row>
    <row r="451" spans="1:28" s="63" customFormat="1" ht="18" hidden="1" customHeight="1">
      <c r="A451" s="583"/>
      <c r="B451" s="576"/>
      <c r="C451" s="577"/>
      <c r="D451" s="201" t="str">
        <f>серпень!D374</f>
        <v>дотація</v>
      </c>
      <c r="E451" s="71"/>
      <c r="F451" s="61"/>
      <c r="G451" s="61"/>
      <c r="H451" s="61"/>
      <c r="I451" s="61"/>
      <c r="J451" s="61"/>
      <c r="K451" s="61"/>
      <c r="L451" s="61">
        <f>SUM(F451:K451)</f>
        <v>0</v>
      </c>
      <c r="M451" s="61">
        <f>L451/6</f>
        <v>0</v>
      </c>
      <c r="N451" s="61"/>
      <c r="O451" s="61"/>
      <c r="P451" s="61"/>
      <c r="Q451" s="61"/>
      <c r="R451" s="61"/>
      <c r="S451" s="61"/>
      <c r="T451" s="61">
        <f>SUM(N451:S451)</f>
        <v>0</v>
      </c>
      <c r="U451" s="61">
        <f>T451+L451</f>
        <v>0</v>
      </c>
      <c r="V451" s="61">
        <f>V446</f>
        <v>0</v>
      </c>
      <c r="W451" s="72">
        <f>V451-U451</f>
        <v>0</v>
      </c>
      <c r="X451" s="63">
        <f>U446-U451</f>
        <v>0</v>
      </c>
    </row>
    <row r="452" spans="1:28" s="63" customFormat="1" ht="18" hidden="1" customHeight="1">
      <c r="A452" s="583"/>
      <c r="B452" s="576"/>
      <c r="C452" s="577"/>
      <c r="D452" s="201" t="str">
        <f>серпень!D375</f>
        <v xml:space="preserve">місцевий </v>
      </c>
      <c r="E452" s="71"/>
      <c r="F452" s="61">
        <f t="shared" ref="F452:K452" si="490">F450-F451</f>
        <v>0</v>
      </c>
      <c r="G452" s="61">
        <f t="shared" si="490"/>
        <v>0</v>
      </c>
      <c r="H452" s="61">
        <f t="shared" si="490"/>
        <v>0</v>
      </c>
      <c r="I452" s="61">
        <f t="shared" si="490"/>
        <v>0</v>
      </c>
      <c r="J452" s="61">
        <f t="shared" si="490"/>
        <v>0</v>
      </c>
      <c r="K452" s="61">
        <f t="shared" si="490"/>
        <v>0</v>
      </c>
      <c r="L452" s="61">
        <f>SUM(F452:K452)</f>
        <v>0</v>
      </c>
      <c r="M452" s="61">
        <f>L452/6</f>
        <v>0</v>
      </c>
      <c r="N452" s="61">
        <f t="shared" ref="N452:S452" si="491">N450-N451</f>
        <v>0</v>
      </c>
      <c r="O452" s="61">
        <f t="shared" si="491"/>
        <v>0</v>
      </c>
      <c r="P452" s="61">
        <f t="shared" si="491"/>
        <v>0</v>
      </c>
      <c r="Q452" s="61">
        <f t="shared" si="491"/>
        <v>0</v>
      </c>
      <c r="R452" s="61">
        <f t="shared" si="491"/>
        <v>0</v>
      </c>
      <c r="S452" s="61">
        <f t="shared" si="491"/>
        <v>0</v>
      </c>
      <c r="T452" s="61">
        <f>SUM(N452:S452)</f>
        <v>0</v>
      </c>
      <c r="U452" s="61">
        <f>T452+L452</f>
        <v>0</v>
      </c>
      <c r="V452" s="61">
        <f>V447</f>
        <v>0</v>
      </c>
      <c r="W452" s="72">
        <f>V452-U452</f>
        <v>0</v>
      </c>
      <c r="X452" s="63">
        <f>U447-U452</f>
        <v>0</v>
      </c>
    </row>
    <row r="453" spans="1:28" s="43" customFormat="1" ht="18" hidden="1" customHeight="1">
      <c r="A453" s="583"/>
      <c r="B453" s="576"/>
      <c r="C453" s="577"/>
      <c r="D453" s="202" t="str">
        <f>серпень!D376</f>
        <v>план</v>
      </c>
      <c r="E453" s="42"/>
      <c r="F453" s="42">
        <f t="shared" ref="F453:K453" si="492">F447</f>
        <v>0</v>
      </c>
      <c r="G453" s="42">
        <f t="shared" si="492"/>
        <v>0</v>
      </c>
      <c r="H453" s="42">
        <f t="shared" si="492"/>
        <v>0</v>
      </c>
      <c r="I453" s="42">
        <f t="shared" si="492"/>
        <v>0</v>
      </c>
      <c r="J453" s="42">
        <f t="shared" si="492"/>
        <v>0</v>
      </c>
      <c r="K453" s="42">
        <f t="shared" si="492"/>
        <v>0</v>
      </c>
      <c r="L453" s="42">
        <f>SUM(F453:K453)</f>
        <v>0</v>
      </c>
      <c r="M453" s="42">
        <f>L453/6</f>
        <v>0</v>
      </c>
      <c r="N453" s="42">
        <f t="shared" ref="N453:S453" si="493">N447+N446</f>
        <v>0</v>
      </c>
      <c r="O453" s="42">
        <f t="shared" si="493"/>
        <v>0</v>
      </c>
      <c r="P453" s="42">
        <f t="shared" si="493"/>
        <v>0</v>
      </c>
      <c r="Q453" s="42">
        <f t="shared" si="493"/>
        <v>0</v>
      </c>
      <c r="R453" s="42">
        <f t="shared" si="493"/>
        <v>0</v>
      </c>
      <c r="S453" s="42">
        <f t="shared" si="493"/>
        <v>0</v>
      </c>
      <c r="T453" s="42">
        <f>SUM(N453:S453)</f>
        <v>0</v>
      </c>
      <c r="U453" s="42">
        <f>T453+L453</f>
        <v>0</v>
      </c>
      <c r="V453" s="42">
        <f>V450</f>
        <v>0</v>
      </c>
      <c r="W453" s="42">
        <f>V453-U453</f>
        <v>0</v>
      </c>
    </row>
    <row r="454" spans="1:28" s="43" customFormat="1" ht="18" hidden="1" customHeight="1">
      <c r="A454" s="583"/>
      <c r="B454" s="576"/>
      <c r="C454" s="577"/>
      <c r="D454" s="202" t="str">
        <f>серпень!D377</f>
        <v xml:space="preserve">відхилення </v>
      </c>
      <c r="E454" s="42"/>
      <c r="F454" s="42">
        <f t="shared" ref="F454:K454" si="494">F450-F453</f>
        <v>0</v>
      </c>
      <c r="G454" s="42">
        <f t="shared" si="494"/>
        <v>0</v>
      </c>
      <c r="H454" s="42">
        <f t="shared" si="494"/>
        <v>0</v>
      </c>
      <c r="I454" s="42">
        <f t="shared" si="494"/>
        <v>0</v>
      </c>
      <c r="J454" s="42">
        <f t="shared" si="494"/>
        <v>0</v>
      </c>
      <c r="K454" s="42">
        <f t="shared" si="494"/>
        <v>0</v>
      </c>
      <c r="L454" s="42"/>
      <c r="M454" s="42"/>
      <c r="N454" s="42">
        <f t="shared" ref="N454:S454" si="495">N450-N453</f>
        <v>0</v>
      </c>
      <c r="O454" s="42">
        <f t="shared" si="495"/>
        <v>0</v>
      </c>
      <c r="P454" s="42">
        <f t="shared" si="495"/>
        <v>0</v>
      </c>
      <c r="Q454" s="42">
        <f t="shared" si="495"/>
        <v>0</v>
      </c>
      <c r="R454" s="42">
        <f t="shared" si="495"/>
        <v>0</v>
      </c>
      <c r="S454" s="42">
        <f t="shared" si="495"/>
        <v>0</v>
      </c>
      <c r="T454" s="42"/>
      <c r="U454" s="42"/>
      <c r="V454" s="42"/>
      <c r="W454" s="42"/>
    </row>
    <row r="455" spans="1:28" s="43" customFormat="1" ht="18" hidden="1" customHeight="1">
      <c r="A455" s="583"/>
      <c r="B455" s="578"/>
      <c r="C455" s="579"/>
      <c r="D455" s="202" t="str">
        <f>серпень!D378</f>
        <v>відхилення з наростаючим</v>
      </c>
      <c r="E455" s="42"/>
      <c r="F455" s="42">
        <f>F454</f>
        <v>0</v>
      </c>
      <c r="G455" s="42">
        <f>G454+F455</f>
        <v>0</v>
      </c>
      <c r="H455" s="42">
        <f>H454+G455</f>
        <v>0</v>
      </c>
      <c r="I455" s="42">
        <f>I454+H455</f>
        <v>0</v>
      </c>
      <c r="J455" s="42">
        <f>J454+I455</f>
        <v>0</v>
      </c>
      <c r="K455" s="42">
        <f>K454+J455</f>
        <v>0</v>
      </c>
      <c r="L455" s="42"/>
      <c r="M455" s="42"/>
      <c r="N455" s="42">
        <f>N454+K455</f>
        <v>0</v>
      </c>
      <c r="O455" s="42">
        <f>O454+N455</f>
        <v>0</v>
      </c>
      <c r="P455" s="42">
        <f>P454+O455</f>
        <v>0</v>
      </c>
      <c r="Q455" s="42">
        <f>Q454+P455</f>
        <v>0</v>
      </c>
      <c r="R455" s="42">
        <f>R454+Q455</f>
        <v>0</v>
      </c>
      <c r="S455" s="42">
        <f>S454+R455</f>
        <v>0</v>
      </c>
      <c r="T455" s="42"/>
      <c r="U455" s="42"/>
      <c r="V455" s="42"/>
      <c r="W455" s="42"/>
    </row>
    <row r="456" spans="1:28" s="10" customFormat="1" ht="18" hidden="1" customHeight="1">
      <c r="A456" s="583"/>
      <c r="B456" s="580" t="s">
        <v>38</v>
      </c>
      <c r="C456" s="575"/>
      <c r="D456" s="178" t="str">
        <f>серпень!D379</f>
        <v>факт. нат.п-ки 2023</v>
      </c>
      <c r="E456" s="11"/>
      <c r="F456" s="12">
        <f>F300</f>
        <v>0</v>
      </c>
      <c r="G456" s="12">
        <v>66</v>
      </c>
      <c r="H456" s="12">
        <v>126</v>
      </c>
      <c r="I456" s="12">
        <v>141</v>
      </c>
      <c r="J456" s="12">
        <v>107</v>
      </c>
      <c r="K456" s="12">
        <v>110</v>
      </c>
      <c r="L456" s="65">
        <f>SUM(F456:K456)</f>
        <v>550</v>
      </c>
      <c r="M456" s="65">
        <f>L456/6</f>
        <v>91.7</v>
      </c>
      <c r="N456" s="11">
        <v>42</v>
      </c>
      <c r="O456" s="11">
        <f t="shared" ref="O456:S456" si="496">O300</f>
        <v>0</v>
      </c>
      <c r="P456" s="11">
        <f t="shared" si="496"/>
        <v>269.2</v>
      </c>
      <c r="Q456" s="11">
        <f t="shared" si="496"/>
        <v>328</v>
      </c>
      <c r="R456" s="11">
        <f t="shared" si="496"/>
        <v>325.39999999999998</v>
      </c>
      <c r="S456" s="11">
        <f t="shared" si="496"/>
        <v>432.8</v>
      </c>
      <c r="T456" s="65">
        <f>SUM(N456:S456)</f>
        <v>1397.4</v>
      </c>
      <c r="U456" s="118">
        <f>T456+L456</f>
        <v>1947.4</v>
      </c>
      <c r="V456" s="67"/>
      <c r="W456" s="38"/>
      <c r="X456" s="36"/>
      <c r="Y456" s="3"/>
      <c r="Z456" s="3"/>
      <c r="AA456" s="3"/>
      <c r="AB456" s="3"/>
    </row>
    <row r="457" spans="1:28" s="48" customFormat="1" ht="18" hidden="1" customHeight="1">
      <c r="A457" s="583"/>
      <c r="B457" s="576"/>
      <c r="C457" s="577"/>
      <c r="D457" s="178" t="str">
        <f>серпень!D380</f>
        <v>факт. нат.п-ки 2024</v>
      </c>
      <c r="E457" s="11"/>
      <c r="F457" s="12">
        <v>0</v>
      </c>
      <c r="G457" s="12">
        <v>161</v>
      </c>
      <c r="H457" s="12">
        <v>74</v>
      </c>
      <c r="I457" s="12">
        <v>356</v>
      </c>
      <c r="J457" s="12">
        <v>0</v>
      </c>
      <c r="K457" s="12">
        <f>K301</f>
        <v>0</v>
      </c>
      <c r="L457" s="65">
        <f>SUM(F457:K457)</f>
        <v>591</v>
      </c>
      <c r="M457" s="65">
        <f>L457/6</f>
        <v>98.5</v>
      </c>
      <c r="N457" s="12">
        <f>N301</f>
        <v>0</v>
      </c>
      <c r="O457" s="12">
        <f t="shared" ref="O457:S457" si="497">O301</f>
        <v>0</v>
      </c>
      <c r="P457" s="12">
        <f t="shared" si="497"/>
        <v>0</v>
      </c>
      <c r="Q457" s="12">
        <f t="shared" si="497"/>
        <v>0</v>
      </c>
      <c r="R457" s="12">
        <f t="shared" si="497"/>
        <v>0</v>
      </c>
      <c r="S457" s="12">
        <f t="shared" si="497"/>
        <v>0</v>
      </c>
      <c r="T457" s="65">
        <f>SUM(N457:S457)</f>
        <v>0</v>
      </c>
      <c r="U457" s="118">
        <f>T457+L457</f>
        <v>591</v>
      </c>
      <c r="V457" s="46"/>
      <c r="W457" s="38"/>
      <c r="X457" s="47"/>
    </row>
    <row r="458" spans="1:28" s="10" customFormat="1" ht="18" hidden="1" customHeight="1">
      <c r="A458" s="583"/>
      <c r="B458" s="576"/>
      <c r="C458" s="577"/>
      <c r="D458" s="178" t="str">
        <f>серпень!D381</f>
        <v>факт. нат.п-ки 2025</v>
      </c>
      <c r="E458" s="11"/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65">
        <f>SUM(F458:K458)</f>
        <v>0</v>
      </c>
      <c r="M458" s="65">
        <f>L458/6</f>
        <v>0</v>
      </c>
      <c r="N458" s="12">
        <f>N302</f>
        <v>0</v>
      </c>
      <c r="O458" s="12">
        <f t="shared" ref="O458:S458" si="498">O302</f>
        <v>0</v>
      </c>
      <c r="P458" s="12">
        <f t="shared" si="498"/>
        <v>0</v>
      </c>
      <c r="Q458" s="12">
        <f t="shared" si="498"/>
        <v>0</v>
      </c>
      <c r="R458" s="12">
        <f t="shared" si="498"/>
        <v>0</v>
      </c>
      <c r="S458" s="12">
        <f t="shared" si="498"/>
        <v>0</v>
      </c>
      <c r="T458" s="65">
        <f>SUM(N458:S458)</f>
        <v>0</v>
      </c>
      <c r="U458" s="118">
        <f>T458+L458</f>
        <v>0</v>
      </c>
      <c r="V458" s="11">
        <v>0</v>
      </c>
      <c r="W458" s="38">
        <f>V458-U458</f>
        <v>0</v>
      </c>
      <c r="X458" s="36"/>
      <c r="Y458" s="3"/>
      <c r="Z458" s="3"/>
      <c r="AA458" s="3"/>
      <c r="AB458" s="3"/>
    </row>
    <row r="459" spans="1:28" s="114" customFormat="1" ht="18" hidden="1" customHeight="1">
      <c r="A459" s="583"/>
      <c r="B459" s="576"/>
      <c r="C459" s="577"/>
      <c r="D459" s="187" t="str">
        <f>серпень!D382</f>
        <v>тариф, грн.</v>
      </c>
      <c r="E459" s="49" t="e">
        <f>E460/E458*1000</f>
        <v>#DIV/0!</v>
      </c>
      <c r="F459" s="49">
        <v>10.56</v>
      </c>
      <c r="G459" s="49">
        <v>10.56</v>
      </c>
      <c r="H459" s="49">
        <v>10.56</v>
      </c>
      <c r="I459" s="49">
        <v>10.56</v>
      </c>
      <c r="J459" s="49">
        <v>10.56</v>
      </c>
      <c r="K459" s="49">
        <v>10.56</v>
      </c>
      <c r="L459" s="49" t="e">
        <f t="shared" ref="L459:M459" si="499">L460/L458*1000</f>
        <v>#DIV/0!</v>
      </c>
      <c r="M459" s="49" t="e">
        <f t="shared" si="499"/>
        <v>#DIV/0!</v>
      </c>
      <c r="N459" s="49">
        <v>10.56</v>
      </c>
      <c r="O459" s="49">
        <v>10.56</v>
      </c>
      <c r="P459" s="49">
        <v>10.56</v>
      </c>
      <c r="Q459" s="49">
        <v>10.56</v>
      </c>
      <c r="R459" s="49">
        <v>10.56</v>
      </c>
      <c r="S459" s="49">
        <v>10.56</v>
      </c>
      <c r="T459" s="49" t="e">
        <f>T460/T458*1000</f>
        <v>#DIV/0!</v>
      </c>
      <c r="U459" s="49" t="e">
        <f>U460/U458*1000</f>
        <v>#DIV/0!</v>
      </c>
      <c r="V459" s="68" t="e">
        <f>V460/V458*1000</f>
        <v>#DIV/0!</v>
      </c>
      <c r="W459" s="14" t="e">
        <f>W460/W458*1000</f>
        <v>#DIV/0!</v>
      </c>
      <c r="X459" s="36"/>
      <c r="Y459" s="3"/>
      <c r="Z459" s="3"/>
      <c r="AA459" s="3"/>
      <c r="AB459" s="3"/>
    </row>
    <row r="460" spans="1:28" s="114" customFormat="1" ht="18" hidden="1" customHeight="1">
      <c r="A460" s="583"/>
      <c r="B460" s="576"/>
      <c r="C460" s="577"/>
      <c r="D460" s="191" t="str">
        <f>серпень!D383</f>
        <v>сума, тис.грн.</v>
      </c>
      <c r="E460" s="52"/>
      <c r="F460" s="52">
        <f t="shared" ref="F460:K460" si="500">F458*F459/1000</f>
        <v>0</v>
      </c>
      <c r="G460" s="52">
        <f t="shared" si="500"/>
        <v>0</v>
      </c>
      <c r="H460" s="52">
        <f t="shared" si="500"/>
        <v>0</v>
      </c>
      <c r="I460" s="52">
        <f t="shared" si="500"/>
        <v>0</v>
      </c>
      <c r="J460" s="52">
        <f t="shared" si="500"/>
        <v>0</v>
      </c>
      <c r="K460" s="52">
        <f t="shared" si="500"/>
        <v>0</v>
      </c>
      <c r="L460" s="69">
        <f>SUM(F460:K460)</f>
        <v>0</v>
      </c>
      <c r="M460" s="69">
        <f>L460/6</f>
        <v>0</v>
      </c>
      <c r="N460" s="52">
        <f t="shared" ref="N460:Q460" si="501">N458*N459/1000</f>
        <v>0</v>
      </c>
      <c r="O460" s="52">
        <f t="shared" si="501"/>
        <v>0</v>
      </c>
      <c r="P460" s="52">
        <f t="shared" si="501"/>
        <v>0</v>
      </c>
      <c r="Q460" s="52">
        <f t="shared" si="501"/>
        <v>0</v>
      </c>
      <c r="R460" s="52">
        <f t="shared" ref="R460:S460" si="502">R458*R459/1000</f>
        <v>0</v>
      </c>
      <c r="S460" s="52">
        <f t="shared" si="502"/>
        <v>0</v>
      </c>
      <c r="T460" s="69">
        <f>SUM(N460:S460)</f>
        <v>0</v>
      </c>
      <c r="U460" s="69">
        <f>T460+L460</f>
        <v>0</v>
      </c>
      <c r="V460" s="70">
        <f>V461+V462</f>
        <v>0</v>
      </c>
      <c r="W460" s="53">
        <f>V460-U460</f>
        <v>0</v>
      </c>
      <c r="X460" s="113"/>
    </row>
    <row r="461" spans="1:28" s="114" customFormat="1" ht="18" hidden="1" customHeight="1">
      <c r="A461" s="583"/>
      <c r="B461" s="576"/>
      <c r="C461" s="577"/>
      <c r="D461" s="174" t="str">
        <f>серпень!D384</f>
        <v>дотація</v>
      </c>
      <c r="E461" s="56"/>
      <c r="F461" s="52"/>
      <c r="G461" s="52"/>
      <c r="H461" s="52"/>
      <c r="I461" s="52"/>
      <c r="J461" s="52"/>
      <c r="K461" s="52"/>
      <c r="L461" s="69">
        <f>SUM(F461:K461)</f>
        <v>0</v>
      </c>
      <c r="M461" s="69">
        <f>L461/6</f>
        <v>0</v>
      </c>
      <c r="N461" s="52"/>
      <c r="O461" s="52"/>
      <c r="P461" s="52"/>
      <c r="Q461" s="52"/>
      <c r="R461" s="52"/>
      <c r="S461" s="52"/>
      <c r="T461" s="69">
        <f>SUM(N461:S461)</f>
        <v>0</v>
      </c>
      <c r="U461" s="69">
        <f>T461+L461</f>
        <v>0</v>
      </c>
      <c r="V461" s="70">
        <v>0</v>
      </c>
      <c r="W461" s="53">
        <f>V461-U461</f>
        <v>0</v>
      </c>
      <c r="X461" s="113"/>
    </row>
    <row r="462" spans="1:28" s="114" customFormat="1" ht="18" hidden="1" customHeight="1">
      <c r="A462" s="583"/>
      <c r="B462" s="576"/>
      <c r="C462" s="577"/>
      <c r="D462" s="174" t="str">
        <f>серпень!D385</f>
        <v>місцевий (план), тис.грн</v>
      </c>
      <c r="E462" s="56"/>
      <c r="F462" s="52">
        <v>0</v>
      </c>
      <c r="G462" s="52">
        <v>0</v>
      </c>
      <c r="H462" s="52">
        <v>0</v>
      </c>
      <c r="I462" s="52">
        <v>0</v>
      </c>
      <c r="J462" s="52">
        <v>0</v>
      </c>
      <c r="K462" s="52">
        <v>0</v>
      </c>
      <c r="L462" s="69">
        <f>SUM(F462:K462)</f>
        <v>0</v>
      </c>
      <c r="M462" s="69">
        <f>L462/6</f>
        <v>0</v>
      </c>
      <c r="N462" s="52">
        <f t="shared" ref="N462:P462" si="503">0.676+0.618-1.294</f>
        <v>0</v>
      </c>
      <c r="O462" s="52">
        <f t="shared" si="503"/>
        <v>0</v>
      </c>
      <c r="P462" s="52">
        <f t="shared" si="503"/>
        <v>0</v>
      </c>
      <c r="Q462" s="52">
        <f>0.676+0.618-1.294</f>
        <v>0</v>
      </c>
      <c r="R462" s="52">
        <f>2.668-2.668</f>
        <v>0</v>
      </c>
      <c r="S462" s="52">
        <f>3.021-3.021</f>
        <v>0</v>
      </c>
      <c r="T462" s="69">
        <f>SUM(N462:S462)</f>
        <v>0</v>
      </c>
      <c r="U462" s="69">
        <f>T462+L462</f>
        <v>0</v>
      </c>
      <c r="V462" s="70">
        <v>0</v>
      </c>
      <c r="W462" s="53">
        <f>V462-U462</f>
        <v>0</v>
      </c>
      <c r="X462" s="113"/>
    </row>
    <row r="463" spans="1:28" s="3" customFormat="1" ht="18" hidden="1" customHeight="1">
      <c r="A463" s="583"/>
      <c r="B463" s="576"/>
      <c r="C463" s="577"/>
      <c r="D463" s="178" t="str">
        <f>серпень!D386</f>
        <v>касові нат.п-ки 2025</v>
      </c>
      <c r="E463" s="11"/>
      <c r="F463" s="12">
        <f>F307</f>
        <v>0</v>
      </c>
      <c r="G463" s="12">
        <f t="shared" ref="G463:K463" si="504">G307</f>
        <v>0</v>
      </c>
      <c r="H463" s="12">
        <f t="shared" si="504"/>
        <v>0</v>
      </c>
      <c r="I463" s="12">
        <f t="shared" si="504"/>
        <v>0</v>
      </c>
      <c r="J463" s="12">
        <f t="shared" si="504"/>
        <v>0</v>
      </c>
      <c r="K463" s="12">
        <f t="shared" si="504"/>
        <v>0</v>
      </c>
      <c r="L463" s="65">
        <f>SUM(F463:K463)</f>
        <v>0</v>
      </c>
      <c r="M463" s="65">
        <f>L463/6</f>
        <v>0</v>
      </c>
      <c r="N463" s="12">
        <v>0</v>
      </c>
      <c r="O463" s="12">
        <f>O307</f>
        <v>0</v>
      </c>
      <c r="P463" s="12">
        <f>P307</f>
        <v>0</v>
      </c>
      <c r="Q463" s="12">
        <f>Q307</f>
        <v>0</v>
      </c>
      <c r="R463" s="12">
        <f>R307</f>
        <v>0</v>
      </c>
      <c r="S463" s="12">
        <f>S458+R458</f>
        <v>0</v>
      </c>
      <c r="T463" s="65">
        <f>SUM(N463:S463)</f>
        <v>0</v>
      </c>
      <c r="U463" s="65">
        <f>T463+L463</f>
        <v>0</v>
      </c>
      <c r="V463" s="11">
        <f>V458</f>
        <v>0</v>
      </c>
      <c r="W463" s="38">
        <f>V463-U463</f>
        <v>0</v>
      </c>
      <c r="X463" s="47">
        <f>U458-U463</f>
        <v>0</v>
      </c>
    </row>
    <row r="464" spans="1:28" s="73" customFormat="1" ht="18" hidden="1" customHeight="1">
      <c r="A464" s="583"/>
      <c r="B464" s="576"/>
      <c r="C464" s="577"/>
      <c r="D464" s="187" t="str">
        <f>серпень!D387</f>
        <v>тариф, грн.</v>
      </c>
      <c r="E464" s="49" t="e">
        <f t="shared" ref="E464" si="505">E465/E463*1000</f>
        <v>#DIV/0!</v>
      </c>
      <c r="F464" s="49">
        <v>10.56</v>
      </c>
      <c r="G464" s="49">
        <v>10.56</v>
      </c>
      <c r="H464" s="49">
        <v>10.56</v>
      </c>
      <c r="I464" s="49">
        <v>10.56</v>
      </c>
      <c r="J464" s="49">
        <v>10.56</v>
      </c>
      <c r="K464" s="49">
        <v>10.56</v>
      </c>
      <c r="L464" s="49" t="e">
        <f>L465/L463*1000</f>
        <v>#DIV/0!</v>
      </c>
      <c r="M464" s="49" t="e">
        <f>M465/M463*1000</f>
        <v>#DIV/0!</v>
      </c>
      <c r="N464" s="49">
        <v>10.56</v>
      </c>
      <c r="O464" s="49">
        <v>10.56</v>
      </c>
      <c r="P464" s="49">
        <v>10.56</v>
      </c>
      <c r="Q464" s="49">
        <v>10.56</v>
      </c>
      <c r="R464" s="49">
        <v>10.56</v>
      </c>
      <c r="S464" s="49">
        <v>10.56</v>
      </c>
      <c r="T464" s="49" t="e">
        <f>T465/T463*1000</f>
        <v>#DIV/0!</v>
      </c>
      <c r="U464" s="49" t="e">
        <f>U465/U463*1000</f>
        <v>#DIV/0!</v>
      </c>
      <c r="V464" s="68" t="e">
        <f>V465/V463*1000</f>
        <v>#DIV/0!</v>
      </c>
      <c r="W464" s="14" t="e">
        <f>W465/W463*1000</f>
        <v>#DIV/0!</v>
      </c>
      <c r="X464" s="59"/>
      <c r="Y464" s="36"/>
      <c r="Z464" s="36"/>
      <c r="AA464" s="36"/>
      <c r="AB464" s="36"/>
    </row>
    <row r="465" spans="1:24" s="126" customFormat="1" ht="18" hidden="1" customHeight="1">
      <c r="A465" s="583"/>
      <c r="B465" s="576"/>
      <c r="C465" s="577"/>
      <c r="D465" s="198" t="str">
        <f>серпень!D388</f>
        <v>касові видатки, тис.грн.</v>
      </c>
      <c r="E465" s="71"/>
      <c r="F465" s="61">
        <f t="shared" ref="F465:K465" si="506">F463*F464/1000</f>
        <v>0</v>
      </c>
      <c r="G465" s="61">
        <f t="shared" si="506"/>
        <v>0</v>
      </c>
      <c r="H465" s="61">
        <f t="shared" si="506"/>
        <v>0</v>
      </c>
      <c r="I465" s="61">
        <f t="shared" si="506"/>
        <v>0</v>
      </c>
      <c r="J465" s="61">
        <f t="shared" si="506"/>
        <v>0</v>
      </c>
      <c r="K465" s="61">
        <f t="shared" si="506"/>
        <v>0</v>
      </c>
      <c r="L465" s="61">
        <f>SUM(F465:K465)</f>
        <v>0</v>
      </c>
      <c r="M465" s="61">
        <f>L465/6</f>
        <v>0</v>
      </c>
      <c r="N465" s="61">
        <f t="shared" ref="N465:S465" si="507">N463*N464/1000</f>
        <v>0</v>
      </c>
      <c r="O465" s="61">
        <f t="shared" si="507"/>
        <v>0</v>
      </c>
      <c r="P465" s="61">
        <f t="shared" si="507"/>
        <v>0</v>
      </c>
      <c r="Q465" s="61">
        <f t="shared" si="507"/>
        <v>0</v>
      </c>
      <c r="R465" s="61">
        <f t="shared" si="507"/>
        <v>0</v>
      </c>
      <c r="S465" s="61">
        <f t="shared" si="507"/>
        <v>0</v>
      </c>
      <c r="T465" s="61">
        <f>SUM(N465:S465)</f>
        <v>0</v>
      </c>
      <c r="U465" s="61">
        <f>T465+L465</f>
        <v>0</v>
      </c>
      <c r="V465" s="61">
        <f>V460</f>
        <v>0</v>
      </c>
      <c r="W465" s="72">
        <f>V465-U465</f>
        <v>0</v>
      </c>
      <c r="X465" s="63">
        <f>U460-U465</f>
        <v>0</v>
      </c>
    </row>
    <row r="466" spans="1:24" s="126" customFormat="1" ht="18" hidden="1" customHeight="1">
      <c r="A466" s="583"/>
      <c r="B466" s="576"/>
      <c r="C466" s="577"/>
      <c r="D466" s="201" t="str">
        <f>серпень!D389</f>
        <v>дотація</v>
      </c>
      <c r="E466" s="71"/>
      <c r="F466" s="61"/>
      <c r="G466" s="61"/>
      <c r="H466" s="61"/>
      <c r="I466" s="61"/>
      <c r="J466" s="61"/>
      <c r="K466" s="61"/>
      <c r="L466" s="61">
        <f>SUM(F466:K466)</f>
        <v>0</v>
      </c>
      <c r="M466" s="61">
        <f>L466/6</f>
        <v>0</v>
      </c>
      <c r="N466" s="61"/>
      <c r="O466" s="61"/>
      <c r="P466" s="61"/>
      <c r="Q466" s="61"/>
      <c r="R466" s="61"/>
      <c r="S466" s="61"/>
      <c r="T466" s="61">
        <f>SUM(N466:S466)</f>
        <v>0</v>
      </c>
      <c r="U466" s="61">
        <f>T466+L466</f>
        <v>0</v>
      </c>
      <c r="V466" s="61">
        <f>V461</f>
        <v>0</v>
      </c>
      <c r="W466" s="72">
        <f>V466-U466</f>
        <v>0</v>
      </c>
      <c r="X466" s="63">
        <f>U461-U466</f>
        <v>0</v>
      </c>
    </row>
    <row r="467" spans="1:24" s="126" customFormat="1" ht="18" hidden="1" customHeight="1">
      <c r="A467" s="583"/>
      <c r="B467" s="576"/>
      <c r="C467" s="577"/>
      <c r="D467" s="201" t="str">
        <f>серпень!D390</f>
        <v xml:space="preserve">місцевий </v>
      </c>
      <c r="E467" s="71"/>
      <c r="F467" s="61">
        <f t="shared" ref="F467:K467" si="508">F465-F466</f>
        <v>0</v>
      </c>
      <c r="G467" s="61">
        <f t="shared" si="508"/>
        <v>0</v>
      </c>
      <c r="H467" s="61">
        <f t="shared" si="508"/>
        <v>0</v>
      </c>
      <c r="I467" s="61">
        <f t="shared" si="508"/>
        <v>0</v>
      </c>
      <c r="J467" s="61">
        <f t="shared" si="508"/>
        <v>0</v>
      </c>
      <c r="K467" s="61">
        <f t="shared" si="508"/>
        <v>0</v>
      </c>
      <c r="L467" s="61">
        <f>SUM(F467:K467)</f>
        <v>0</v>
      </c>
      <c r="M467" s="61">
        <f>L467/6</f>
        <v>0</v>
      </c>
      <c r="N467" s="61">
        <f t="shared" ref="N467:S467" si="509">N465-N466</f>
        <v>0</v>
      </c>
      <c r="O467" s="61">
        <f t="shared" si="509"/>
        <v>0</v>
      </c>
      <c r="P467" s="61">
        <f t="shared" si="509"/>
        <v>0</v>
      </c>
      <c r="Q467" s="61">
        <f t="shared" si="509"/>
        <v>0</v>
      </c>
      <c r="R467" s="61">
        <f t="shared" si="509"/>
        <v>0</v>
      </c>
      <c r="S467" s="61">
        <f t="shared" si="509"/>
        <v>0</v>
      </c>
      <c r="T467" s="61">
        <f>SUM(N467:S467)</f>
        <v>0</v>
      </c>
      <c r="U467" s="61">
        <f>T467+L467</f>
        <v>0</v>
      </c>
      <c r="V467" s="61">
        <f>V462</f>
        <v>0</v>
      </c>
      <c r="W467" s="72">
        <f>V467-U467</f>
        <v>0</v>
      </c>
      <c r="X467" s="63">
        <f>U462-U467</f>
        <v>0</v>
      </c>
    </row>
    <row r="468" spans="1:24" s="43" customFormat="1" ht="18" hidden="1" customHeight="1">
      <c r="A468" s="583"/>
      <c r="B468" s="576"/>
      <c r="C468" s="577"/>
      <c r="D468" s="202" t="str">
        <f>серпень!D391</f>
        <v>план</v>
      </c>
      <c r="E468" s="42"/>
      <c r="F468" s="42">
        <f t="shared" ref="F468:K468" si="510">F462</f>
        <v>0</v>
      </c>
      <c r="G468" s="42">
        <f t="shared" si="510"/>
        <v>0</v>
      </c>
      <c r="H468" s="42">
        <f t="shared" si="510"/>
        <v>0</v>
      </c>
      <c r="I468" s="42">
        <f t="shared" si="510"/>
        <v>0</v>
      </c>
      <c r="J468" s="42">
        <f t="shared" si="510"/>
        <v>0</v>
      </c>
      <c r="K468" s="42">
        <f t="shared" si="510"/>
        <v>0</v>
      </c>
      <c r="L468" s="42">
        <f>SUM(F468:K468)</f>
        <v>0</v>
      </c>
      <c r="M468" s="42">
        <f>L468/6</f>
        <v>0</v>
      </c>
      <c r="N468" s="42">
        <f t="shared" ref="N468:S468" si="511">N462+N461</f>
        <v>0</v>
      </c>
      <c r="O468" s="42">
        <f t="shared" si="511"/>
        <v>0</v>
      </c>
      <c r="P468" s="42">
        <f t="shared" si="511"/>
        <v>0</v>
      </c>
      <c r="Q468" s="42">
        <f t="shared" si="511"/>
        <v>0</v>
      </c>
      <c r="R468" s="42">
        <f t="shared" si="511"/>
        <v>0</v>
      </c>
      <c r="S468" s="42">
        <f t="shared" si="511"/>
        <v>0</v>
      </c>
      <c r="T468" s="42">
        <f>SUM(N468:S468)</f>
        <v>0</v>
      </c>
      <c r="U468" s="42">
        <f>T468+L468</f>
        <v>0</v>
      </c>
      <c r="V468" s="42">
        <f>V465</f>
        <v>0</v>
      </c>
      <c r="W468" s="42">
        <f>V468-U468</f>
        <v>0</v>
      </c>
    </row>
    <row r="469" spans="1:24" s="43" customFormat="1" ht="18" hidden="1" customHeight="1">
      <c r="A469" s="583"/>
      <c r="B469" s="576"/>
      <c r="C469" s="577"/>
      <c r="D469" s="202" t="str">
        <f>серпень!D392</f>
        <v xml:space="preserve">відхилення </v>
      </c>
      <c r="E469" s="42"/>
      <c r="F469" s="42">
        <f t="shared" ref="F469:K469" si="512">F465-F468</f>
        <v>0</v>
      </c>
      <c r="G469" s="42">
        <f t="shared" si="512"/>
        <v>0</v>
      </c>
      <c r="H469" s="42">
        <f t="shared" si="512"/>
        <v>0</v>
      </c>
      <c r="I469" s="42">
        <f t="shared" si="512"/>
        <v>0</v>
      </c>
      <c r="J469" s="42">
        <f t="shared" si="512"/>
        <v>0</v>
      </c>
      <c r="K469" s="42">
        <f t="shared" si="512"/>
        <v>0</v>
      </c>
      <c r="L469" s="42"/>
      <c r="M469" s="42"/>
      <c r="N469" s="42">
        <f t="shared" ref="N469:S469" si="513">N465-N468</f>
        <v>0</v>
      </c>
      <c r="O469" s="42">
        <f t="shared" si="513"/>
        <v>0</v>
      </c>
      <c r="P469" s="42">
        <f t="shared" si="513"/>
        <v>0</v>
      </c>
      <c r="Q469" s="42">
        <f t="shared" si="513"/>
        <v>0</v>
      </c>
      <c r="R469" s="42">
        <f t="shared" si="513"/>
        <v>0</v>
      </c>
      <c r="S469" s="42">
        <f t="shared" si="513"/>
        <v>0</v>
      </c>
      <c r="T469" s="42"/>
      <c r="U469" s="42"/>
      <c r="V469" s="42"/>
      <c r="W469" s="42"/>
    </row>
    <row r="470" spans="1:24" s="43" customFormat="1" ht="18" hidden="1" customHeight="1">
      <c r="A470" s="584"/>
      <c r="B470" s="578"/>
      <c r="C470" s="579"/>
      <c r="D470" s="202" t="str">
        <f>серпень!D393</f>
        <v>відхилення з наростаючим</v>
      </c>
      <c r="E470" s="42"/>
      <c r="F470" s="42">
        <f>F469</f>
        <v>0</v>
      </c>
      <c r="G470" s="42">
        <f>G469+F470</f>
        <v>0</v>
      </c>
      <c r="H470" s="42">
        <f>H469+G470</f>
        <v>0</v>
      </c>
      <c r="I470" s="42">
        <f>I469+H470</f>
        <v>0</v>
      </c>
      <c r="J470" s="42">
        <f>J469+I470</f>
        <v>0</v>
      </c>
      <c r="K470" s="42">
        <f>K469+J470</f>
        <v>0</v>
      </c>
      <c r="L470" s="42"/>
      <c r="M470" s="42"/>
      <c r="N470" s="42">
        <f>N469+K470</f>
        <v>0</v>
      </c>
      <c r="O470" s="42">
        <f>O469+N470</f>
        <v>0</v>
      </c>
      <c r="P470" s="42">
        <f>P469+O470</f>
        <v>0</v>
      </c>
      <c r="Q470" s="42">
        <f>Q469+P470</f>
        <v>0</v>
      </c>
      <c r="R470" s="42">
        <f>R469+Q470</f>
        <v>0</v>
      </c>
      <c r="S470" s="42">
        <f>S469+R470</f>
        <v>0</v>
      </c>
      <c r="T470" s="42"/>
      <c r="U470" s="42"/>
      <c r="V470" s="42"/>
      <c r="W470" s="42"/>
    </row>
    <row r="471" spans="1:24" s="55" customFormat="1" ht="18" customHeight="1">
      <c r="A471" s="591">
        <v>2273</v>
      </c>
      <c r="B471" s="580" t="s">
        <v>26</v>
      </c>
      <c r="C471" s="575"/>
      <c r="D471" s="178" t="str">
        <f>серпень!D394</f>
        <v>факт. нат.п-ки 2023</v>
      </c>
      <c r="E471" s="11"/>
      <c r="F471" s="12">
        <f t="shared" ref="F471:K473" si="514">F486+F501</f>
        <v>36723</v>
      </c>
      <c r="G471" s="12">
        <f t="shared" si="514"/>
        <v>8610</v>
      </c>
      <c r="H471" s="12">
        <f t="shared" si="514"/>
        <v>32785.1</v>
      </c>
      <c r="I471" s="12">
        <f t="shared" si="514"/>
        <v>30745.4</v>
      </c>
      <c r="J471" s="12">
        <f t="shared" si="514"/>
        <v>29407.599999999999</v>
      </c>
      <c r="K471" s="12">
        <f t="shared" si="514"/>
        <v>22727.3</v>
      </c>
      <c r="L471" s="65">
        <f>SUM(F471:K471)</f>
        <v>160998.39999999999</v>
      </c>
      <c r="M471" s="65">
        <f>L471/6</f>
        <v>26833.1</v>
      </c>
      <c r="N471" s="12">
        <f t="shared" ref="N471:S473" si="515">N486+N501</f>
        <v>18939.400000000001</v>
      </c>
      <c r="O471" s="12">
        <f t="shared" si="515"/>
        <v>19683</v>
      </c>
      <c r="P471" s="12">
        <f t="shared" si="515"/>
        <v>20643.099999999999</v>
      </c>
      <c r="Q471" s="12">
        <f t="shared" si="515"/>
        <v>24528.7</v>
      </c>
      <c r="R471" s="12">
        <f t="shared" si="515"/>
        <v>25935.4</v>
      </c>
      <c r="S471" s="12">
        <f t="shared" si="515"/>
        <v>36727.199999999997</v>
      </c>
      <c r="T471" s="65">
        <f>SUM(N471:S471)</f>
        <v>146456.79999999999</v>
      </c>
      <c r="U471" s="65">
        <f>T471+L471</f>
        <v>307455.2</v>
      </c>
      <c r="V471" s="76">
        <f>V486+V501</f>
        <v>307455.2</v>
      </c>
      <c r="W471" s="38"/>
      <c r="X471" s="47"/>
    </row>
    <row r="472" spans="1:24" s="48" customFormat="1" ht="18" customHeight="1">
      <c r="A472" s="592"/>
      <c r="B472" s="576"/>
      <c r="C472" s="577"/>
      <c r="D472" s="178" t="str">
        <f>серпень!D395</f>
        <v>факт. нат.п-ки 2024</v>
      </c>
      <c r="E472" s="11"/>
      <c r="F472" s="12">
        <f t="shared" si="514"/>
        <v>19605.599999999999</v>
      </c>
      <c r="G472" s="12">
        <f t="shared" si="514"/>
        <v>28222</v>
      </c>
      <c r="H472" s="12">
        <f t="shared" si="514"/>
        <v>25462.5</v>
      </c>
      <c r="I472" s="12">
        <f t="shared" si="514"/>
        <v>16751.3</v>
      </c>
      <c r="J472" s="12">
        <f>J487+J502</f>
        <v>24363</v>
      </c>
      <c r="K472" s="12">
        <f t="shared" si="514"/>
        <v>22493</v>
      </c>
      <c r="L472" s="65">
        <f>SUM(F472:K472)</f>
        <v>136897.4</v>
      </c>
      <c r="M472" s="65">
        <f>L472/6</f>
        <v>22816.2</v>
      </c>
      <c r="N472" s="12">
        <f t="shared" si="515"/>
        <v>10256.6</v>
      </c>
      <c r="O472" s="12">
        <f t="shared" si="515"/>
        <v>9330.6</v>
      </c>
      <c r="P472" s="12">
        <f t="shared" si="515"/>
        <v>20100.599999999999</v>
      </c>
      <c r="Q472" s="12">
        <f t="shared" si="515"/>
        <v>40038.6</v>
      </c>
      <c r="R472" s="12">
        <f t="shared" si="515"/>
        <v>53264.7</v>
      </c>
      <c r="S472" s="12">
        <f t="shared" si="515"/>
        <v>54875.4</v>
      </c>
      <c r="T472" s="65">
        <f>SUM(N472:S472)</f>
        <v>187866.5</v>
      </c>
      <c r="U472" s="65">
        <f>T472+L472</f>
        <v>324763.90000000002</v>
      </c>
      <c r="V472" s="76">
        <f>V487+V502</f>
        <v>324763.90000000002</v>
      </c>
      <c r="W472" s="38"/>
      <c r="X472" s="47"/>
    </row>
    <row r="473" spans="1:24" s="48" customFormat="1" ht="18" customHeight="1">
      <c r="A473" s="592"/>
      <c r="B473" s="576"/>
      <c r="C473" s="577"/>
      <c r="D473" s="178" t="str">
        <f>серпень!D396</f>
        <v>факт. нат.п-ки 2025</v>
      </c>
      <c r="E473" s="11"/>
      <c r="F473" s="12">
        <f t="shared" si="514"/>
        <v>29792.3</v>
      </c>
      <c r="G473" s="12">
        <f t="shared" si="514"/>
        <v>24900</v>
      </c>
      <c r="H473" s="12">
        <f t="shared" si="514"/>
        <v>17439.7</v>
      </c>
      <c r="I473" s="12">
        <f t="shared" si="514"/>
        <v>32424</v>
      </c>
      <c r="J473" s="12">
        <f>J488+J503</f>
        <v>15592.6</v>
      </c>
      <c r="K473" s="12">
        <f t="shared" si="514"/>
        <v>18551.400000000001</v>
      </c>
      <c r="L473" s="125">
        <f>SUM(F473:K473)</f>
        <v>138700</v>
      </c>
      <c r="M473" s="65">
        <f>L473/6</f>
        <v>23116.7</v>
      </c>
      <c r="N473" s="12">
        <f t="shared" si="515"/>
        <v>16541.5</v>
      </c>
      <c r="O473" s="12">
        <f t="shared" si="515"/>
        <v>22026.6</v>
      </c>
      <c r="P473" s="12">
        <f t="shared" si="515"/>
        <v>26443.1</v>
      </c>
      <c r="Q473" s="12">
        <f t="shared" si="515"/>
        <v>40038.6</v>
      </c>
      <c r="R473" s="12">
        <f t="shared" si="515"/>
        <v>56414.7</v>
      </c>
      <c r="S473" s="12">
        <f t="shared" si="515"/>
        <v>58139.7</v>
      </c>
      <c r="T473" s="65">
        <f>SUM(N473:S473)</f>
        <v>219604.2</v>
      </c>
      <c r="U473" s="65">
        <f>T473+L473</f>
        <v>358304.2</v>
      </c>
      <c r="V473" s="76">
        <f>V488+V503</f>
        <v>361107.5</v>
      </c>
      <c r="W473" s="38">
        <f>V473-U473</f>
        <v>2803.3</v>
      </c>
      <c r="X473" s="47"/>
    </row>
    <row r="474" spans="1:24" s="51" customFormat="1" ht="18" customHeight="1">
      <c r="A474" s="592"/>
      <c r="B474" s="576"/>
      <c r="C474" s="577"/>
      <c r="D474" s="187" t="str">
        <f>серпень!D397</f>
        <v>тариф, грн.</v>
      </c>
      <c r="E474" s="49" t="e">
        <f>E475/E473*1000</f>
        <v>#DIV/0!</v>
      </c>
      <c r="F474" s="131">
        <f t="shared" ref="F474:S474" si="516">F475/F473*1000</f>
        <v>4.9447000000000001</v>
      </c>
      <c r="G474" s="131">
        <f t="shared" si="516"/>
        <v>4.32</v>
      </c>
      <c r="H474" s="131">
        <f t="shared" si="516"/>
        <v>4.3200279999999998</v>
      </c>
      <c r="I474" s="131">
        <f t="shared" si="516"/>
        <v>4.3200099999999999</v>
      </c>
      <c r="J474" s="131">
        <f t="shared" si="516"/>
        <v>4.319998</v>
      </c>
      <c r="K474" s="131">
        <f t="shared" si="516"/>
        <v>4.5248340000000002</v>
      </c>
      <c r="L474" s="129">
        <f t="shared" si="516"/>
        <v>4.4815899999999997</v>
      </c>
      <c r="M474" s="129">
        <f t="shared" si="516"/>
        <v>4.4815699999999996</v>
      </c>
      <c r="N474" s="131">
        <f t="shared" si="516"/>
        <v>4.6409330000000004</v>
      </c>
      <c r="O474" s="131">
        <f t="shared" si="516"/>
        <v>4.9707629999999998</v>
      </c>
      <c r="P474" s="131">
        <f t="shared" si="516"/>
        <v>5.4561299999999999</v>
      </c>
      <c r="Q474" s="131">
        <f t="shared" si="516"/>
        <v>5.6247720000000001</v>
      </c>
      <c r="R474" s="131">
        <f t="shared" si="516"/>
        <v>5.5132620000000001</v>
      </c>
      <c r="S474" s="131">
        <f t="shared" si="516"/>
        <v>5.1845980000000003</v>
      </c>
      <c r="T474" s="129">
        <f>T475/T473*1000</f>
        <v>5.3195800000000002</v>
      </c>
      <c r="U474" s="129">
        <f>U475/U473*1000</f>
        <v>4.99519</v>
      </c>
      <c r="V474" s="49">
        <f>V475/V473*1000</f>
        <v>5.6059999999999999</v>
      </c>
      <c r="W474" s="14">
        <f>W475/W473*1000</f>
        <v>83.665000000000006</v>
      </c>
      <c r="X474" s="59"/>
    </row>
    <row r="475" spans="1:24" s="130" customFormat="1" ht="18" customHeight="1">
      <c r="A475" s="592"/>
      <c r="B475" s="576"/>
      <c r="C475" s="577"/>
      <c r="D475" s="191" t="str">
        <f>серпень!D398</f>
        <v>сума, тис.грн.</v>
      </c>
      <c r="E475" s="52"/>
      <c r="F475" s="52">
        <f t="shared" ref="F475:K478" si="517">F490+F505</f>
        <v>147.31399999999999</v>
      </c>
      <c r="G475" s="52">
        <f t="shared" si="517"/>
        <v>107.568</v>
      </c>
      <c r="H475" s="52">
        <f t="shared" si="517"/>
        <v>75.34</v>
      </c>
      <c r="I475" s="52">
        <f t="shared" si="517"/>
        <v>140.072</v>
      </c>
      <c r="J475" s="52">
        <f t="shared" si="517"/>
        <v>67.36</v>
      </c>
      <c r="K475" s="52">
        <f t="shared" si="517"/>
        <v>83.941999999999993</v>
      </c>
      <c r="L475" s="69">
        <f>SUM(F475:K475)</f>
        <v>621.596</v>
      </c>
      <c r="M475" s="69">
        <f>L475/6</f>
        <v>103.599</v>
      </c>
      <c r="N475" s="52">
        <f t="shared" ref="N475:S478" si="518">N490+N505</f>
        <v>76.768000000000001</v>
      </c>
      <c r="O475" s="52">
        <f t="shared" si="518"/>
        <v>109.489</v>
      </c>
      <c r="P475" s="52">
        <f t="shared" si="518"/>
        <v>144.27699999999999</v>
      </c>
      <c r="Q475" s="52">
        <f t="shared" si="518"/>
        <v>225.208</v>
      </c>
      <c r="R475" s="52">
        <f t="shared" si="518"/>
        <v>311.029</v>
      </c>
      <c r="S475" s="52">
        <f t="shared" si="518"/>
        <v>301.43099999999998</v>
      </c>
      <c r="T475" s="70">
        <f>SUM(N475:S475)</f>
        <v>1168.202</v>
      </c>
      <c r="U475" s="70">
        <f>T475+L475</f>
        <v>1789.798</v>
      </c>
      <c r="V475" s="53">
        <f>V490+V505</f>
        <v>2024.335</v>
      </c>
      <c r="W475" s="52">
        <f>V475-U475</f>
        <v>234.53700000000001</v>
      </c>
    </row>
    <row r="476" spans="1:24" s="130" customFormat="1" ht="18" customHeight="1">
      <c r="A476" s="592"/>
      <c r="B476" s="576"/>
      <c r="C476" s="577"/>
      <c r="D476" s="174" t="str">
        <f>серпень!D399</f>
        <v>дотація</v>
      </c>
      <c r="E476" s="52"/>
      <c r="F476" s="52">
        <f t="shared" si="517"/>
        <v>0</v>
      </c>
      <c r="G476" s="52">
        <f t="shared" si="517"/>
        <v>0</v>
      </c>
      <c r="H476" s="52">
        <f t="shared" si="517"/>
        <v>50.975999999999999</v>
      </c>
      <c r="I476" s="52">
        <f t="shared" si="517"/>
        <v>36.192999999999998</v>
      </c>
      <c r="J476" s="52">
        <f>J491+J506</f>
        <v>67.36</v>
      </c>
      <c r="K476" s="52">
        <f t="shared" si="517"/>
        <v>0</v>
      </c>
      <c r="L476" s="69">
        <f>SUM(F476:K476)</f>
        <v>154.529</v>
      </c>
      <c r="M476" s="69">
        <f>L476/6</f>
        <v>25.754999999999999</v>
      </c>
      <c r="N476" s="52">
        <f t="shared" si="518"/>
        <v>0</v>
      </c>
      <c r="O476" s="52">
        <f t="shared" si="518"/>
        <v>0</v>
      </c>
      <c r="P476" s="52">
        <f t="shared" si="518"/>
        <v>0</v>
      </c>
      <c r="Q476" s="52">
        <f t="shared" si="518"/>
        <v>0</v>
      </c>
      <c r="R476" s="52">
        <f t="shared" si="518"/>
        <v>0</v>
      </c>
      <c r="S476" s="52">
        <f t="shared" si="518"/>
        <v>0</v>
      </c>
      <c r="T476" s="70">
        <f>SUM(N476:S476)</f>
        <v>0</v>
      </c>
      <c r="U476" s="70">
        <f>T476+L476</f>
        <v>154.529</v>
      </c>
      <c r="V476" s="53">
        <f>V491+V506</f>
        <v>154.529</v>
      </c>
      <c r="W476" s="52">
        <f>V476-U476</f>
        <v>0</v>
      </c>
    </row>
    <row r="477" spans="1:24" s="130" customFormat="1" ht="18" customHeight="1">
      <c r="A477" s="592"/>
      <c r="B477" s="576"/>
      <c r="C477" s="577"/>
      <c r="D477" s="174" t="str">
        <f>серпень!D400</f>
        <v>місцевий (план), тис.грн</v>
      </c>
      <c r="E477" s="52"/>
      <c r="F477" s="52">
        <f t="shared" si="517"/>
        <v>0</v>
      </c>
      <c r="G477" s="52">
        <f t="shared" si="517"/>
        <v>147.31399999999999</v>
      </c>
      <c r="H477" s="52">
        <f t="shared" si="517"/>
        <v>79.36</v>
      </c>
      <c r="I477" s="52">
        <f t="shared" si="517"/>
        <v>52.576999999999998</v>
      </c>
      <c r="J477" s="52">
        <f>J492+J507</f>
        <v>113.327</v>
      </c>
      <c r="K477" s="52">
        <f t="shared" si="517"/>
        <v>8.6999999999999994E-2</v>
      </c>
      <c r="L477" s="69">
        <f>SUM(F477:K477)</f>
        <v>392.66500000000002</v>
      </c>
      <c r="M477" s="69">
        <f>L477/6</f>
        <v>65.444000000000003</v>
      </c>
      <c r="N477" s="52">
        <f t="shared" si="518"/>
        <v>74.453000000000003</v>
      </c>
      <c r="O477" s="52">
        <f t="shared" si="518"/>
        <v>76.768000000000001</v>
      </c>
      <c r="P477" s="52">
        <f t="shared" si="518"/>
        <v>119.489</v>
      </c>
      <c r="Q477" s="52">
        <f t="shared" si="518"/>
        <v>164.846</v>
      </c>
      <c r="R477" s="52">
        <f t="shared" si="518"/>
        <v>225.21</v>
      </c>
      <c r="S477" s="52">
        <f t="shared" si="518"/>
        <v>816.375</v>
      </c>
      <c r="T477" s="70">
        <f>SUM(N477:S477)</f>
        <v>1477.1410000000001</v>
      </c>
      <c r="U477" s="70">
        <f>T477+L477</f>
        <v>1869.806</v>
      </c>
      <c r="V477" s="53">
        <f>V492+V507</f>
        <v>1869.806</v>
      </c>
      <c r="W477" s="52">
        <f>V477-U477</f>
        <v>0</v>
      </c>
    </row>
    <row r="478" spans="1:24" s="48" customFormat="1" ht="18" customHeight="1">
      <c r="A478" s="592"/>
      <c r="B478" s="576"/>
      <c r="C478" s="577"/>
      <c r="D478" s="178" t="str">
        <f>серпень!D401</f>
        <v>касові нат.п-ки 2025</v>
      </c>
      <c r="E478" s="11">
        <f>E493</f>
        <v>0</v>
      </c>
      <c r="F478" s="11">
        <f t="shared" si="517"/>
        <v>0</v>
      </c>
      <c r="G478" s="11">
        <f t="shared" si="517"/>
        <v>29792.3</v>
      </c>
      <c r="H478" s="11">
        <f t="shared" si="517"/>
        <v>24900</v>
      </c>
      <c r="I478" s="11">
        <f t="shared" si="517"/>
        <v>17439.7</v>
      </c>
      <c r="J478" s="11">
        <f>J493+J508</f>
        <v>32424</v>
      </c>
      <c r="K478" s="11">
        <f t="shared" si="517"/>
        <v>15592.6</v>
      </c>
      <c r="L478" s="65">
        <f>SUM(F478:K478)</f>
        <v>120148.6</v>
      </c>
      <c r="M478" s="65">
        <f>L478/6</f>
        <v>20024.8</v>
      </c>
      <c r="N478" s="11">
        <f t="shared" si="518"/>
        <v>18551.400000000001</v>
      </c>
      <c r="O478" s="11">
        <f t="shared" si="518"/>
        <v>16541.5</v>
      </c>
      <c r="P478" s="11">
        <f t="shared" si="518"/>
        <v>22026.6</v>
      </c>
      <c r="Q478" s="11">
        <f t="shared" si="518"/>
        <v>26443.1</v>
      </c>
      <c r="R478" s="11">
        <f t="shared" si="518"/>
        <v>40038.6</v>
      </c>
      <c r="S478" s="11">
        <f t="shared" si="518"/>
        <v>114554.4</v>
      </c>
      <c r="T478" s="65">
        <f>SUM(N478:S478)</f>
        <v>238155.6</v>
      </c>
      <c r="U478" s="65">
        <f>T478+L478</f>
        <v>358304.2</v>
      </c>
      <c r="V478" s="11">
        <f>V493+V508</f>
        <v>361107.5</v>
      </c>
      <c r="W478" s="38">
        <f>V478-U478</f>
        <v>2803.3</v>
      </c>
      <c r="X478" s="47">
        <f>U473-U478</f>
        <v>0</v>
      </c>
    </row>
    <row r="479" spans="1:24" s="51" customFormat="1" ht="18" customHeight="1">
      <c r="A479" s="592"/>
      <c r="B479" s="576"/>
      <c r="C479" s="577"/>
      <c r="D479" s="187" t="str">
        <f>серпень!D402</f>
        <v>тариф, грн.</v>
      </c>
      <c r="E479" s="49" t="e">
        <f t="shared" ref="E479:S479" si="519">E480/E478*1000</f>
        <v>#DIV/0!</v>
      </c>
      <c r="F479" s="131" t="e">
        <f t="shared" si="519"/>
        <v>#DIV/0!</v>
      </c>
      <c r="G479" s="131">
        <f t="shared" si="519"/>
        <v>4.9447000000000001</v>
      </c>
      <c r="H479" s="131">
        <f t="shared" si="519"/>
        <v>4.32</v>
      </c>
      <c r="I479" s="131">
        <f t="shared" si="519"/>
        <v>4.3200279999999998</v>
      </c>
      <c r="J479" s="131">
        <f t="shared" si="519"/>
        <v>4.3200099999999999</v>
      </c>
      <c r="K479" s="131">
        <f t="shared" si="519"/>
        <v>4.319998</v>
      </c>
      <c r="L479" s="129">
        <f t="shared" si="519"/>
        <v>4.4749100000000004</v>
      </c>
      <c r="M479" s="129">
        <f t="shared" si="519"/>
        <v>4.4748999999999999</v>
      </c>
      <c r="N479" s="131">
        <f t="shared" si="519"/>
        <v>4.5248340000000002</v>
      </c>
      <c r="O479" s="131">
        <f t="shared" si="519"/>
        <v>4.6409330000000004</v>
      </c>
      <c r="P479" s="131">
        <f t="shared" si="519"/>
        <v>4.9707629999999998</v>
      </c>
      <c r="Q479" s="131">
        <f t="shared" si="519"/>
        <v>5.4561299999999999</v>
      </c>
      <c r="R479" s="131">
        <f t="shared" si="519"/>
        <v>5.6247720000000001</v>
      </c>
      <c r="S479" s="131">
        <f t="shared" si="519"/>
        <v>5.3464549999999997</v>
      </c>
      <c r="T479" s="129">
        <f>T480/T478*1000</f>
        <v>5.2576700000000001</v>
      </c>
      <c r="U479" s="129">
        <f>U480/U478*1000</f>
        <v>4.99519</v>
      </c>
      <c r="V479" s="49">
        <f>V480/V478*1000</f>
        <v>5.6059999999999999</v>
      </c>
      <c r="W479" s="14">
        <f>W480/W478*1000</f>
        <v>83.665000000000006</v>
      </c>
      <c r="X479" s="59"/>
    </row>
    <row r="480" spans="1:24" s="126" customFormat="1" ht="18" customHeight="1">
      <c r="A480" s="592"/>
      <c r="B480" s="576"/>
      <c r="C480" s="577"/>
      <c r="D480" s="198" t="str">
        <f>серпень!D403</f>
        <v>касові видатки, тис.грн.</v>
      </c>
      <c r="E480" s="71">
        <f t="shared" ref="E480:K482" si="520">E495+E510</f>
        <v>0</v>
      </c>
      <c r="F480" s="61">
        <f t="shared" si="520"/>
        <v>0</v>
      </c>
      <c r="G480" s="61">
        <f t="shared" si="520"/>
        <v>147.31399999999999</v>
      </c>
      <c r="H480" s="61">
        <f t="shared" si="520"/>
        <v>107.568</v>
      </c>
      <c r="I480" s="61">
        <f t="shared" si="520"/>
        <v>75.34</v>
      </c>
      <c r="J480" s="61">
        <f t="shared" si="520"/>
        <v>140.072</v>
      </c>
      <c r="K480" s="61">
        <f t="shared" si="520"/>
        <v>67.36</v>
      </c>
      <c r="L480" s="61">
        <f>SUM(F480:K480)</f>
        <v>537.654</v>
      </c>
      <c r="M480" s="61">
        <f>L480/6</f>
        <v>89.608999999999995</v>
      </c>
      <c r="N480" s="61">
        <f t="shared" ref="N480:S482" si="521">N495+N510</f>
        <v>83.941999999999993</v>
      </c>
      <c r="O480" s="61">
        <f t="shared" si="521"/>
        <v>76.768000000000001</v>
      </c>
      <c r="P480" s="61">
        <f t="shared" si="521"/>
        <v>109.489</v>
      </c>
      <c r="Q480" s="61">
        <f t="shared" si="521"/>
        <v>144.27699999999999</v>
      </c>
      <c r="R480" s="61">
        <f t="shared" si="521"/>
        <v>225.208</v>
      </c>
      <c r="S480" s="61">
        <f t="shared" si="521"/>
        <v>612.46</v>
      </c>
      <c r="T480" s="62">
        <f>SUM(N480:S480)</f>
        <v>1252.144</v>
      </c>
      <c r="U480" s="62">
        <f>T480+L480</f>
        <v>1789.798</v>
      </c>
      <c r="V480" s="62">
        <f>V495+V510</f>
        <v>2024.335</v>
      </c>
      <c r="W480" s="72">
        <f>V480-U480</f>
        <v>234.53700000000001</v>
      </c>
      <c r="X480" s="63">
        <f>U475-U480</f>
        <v>0</v>
      </c>
    </row>
    <row r="481" spans="1:24" s="126" customFormat="1" ht="18" customHeight="1">
      <c r="A481" s="592"/>
      <c r="B481" s="576"/>
      <c r="C481" s="577"/>
      <c r="D481" s="201" t="str">
        <f>серпень!D404</f>
        <v>дотація</v>
      </c>
      <c r="E481" s="71"/>
      <c r="F481" s="61">
        <f t="shared" si="520"/>
        <v>0</v>
      </c>
      <c r="G481" s="61">
        <f t="shared" si="520"/>
        <v>0</v>
      </c>
      <c r="H481" s="61">
        <f t="shared" si="520"/>
        <v>36.845999999999997</v>
      </c>
      <c r="I481" s="61">
        <f t="shared" si="520"/>
        <v>14.13</v>
      </c>
      <c r="J481" s="61">
        <f>J496+J511</f>
        <v>36.192999999999998</v>
      </c>
      <c r="K481" s="61">
        <f t="shared" si="520"/>
        <v>67.36</v>
      </c>
      <c r="L481" s="61">
        <f>SUM(F481:K481)</f>
        <v>154.529</v>
      </c>
      <c r="M481" s="61">
        <f>L481/6</f>
        <v>25.754999999999999</v>
      </c>
      <c r="N481" s="61">
        <f t="shared" si="521"/>
        <v>0</v>
      </c>
      <c r="O481" s="61">
        <f t="shared" si="521"/>
        <v>0</v>
      </c>
      <c r="P481" s="61">
        <f t="shared" si="521"/>
        <v>0</v>
      </c>
      <c r="Q481" s="61">
        <f t="shared" si="521"/>
        <v>0</v>
      </c>
      <c r="R481" s="61">
        <f t="shared" si="521"/>
        <v>0</v>
      </c>
      <c r="S481" s="61">
        <f t="shared" si="521"/>
        <v>0</v>
      </c>
      <c r="T481" s="62">
        <f>SUM(N481:S481)</f>
        <v>0</v>
      </c>
      <c r="U481" s="62">
        <f>T481+L481</f>
        <v>154.529</v>
      </c>
      <c r="V481" s="62">
        <f>V496+V511</f>
        <v>154.529</v>
      </c>
      <c r="W481" s="72">
        <f>V481-U481</f>
        <v>0</v>
      </c>
      <c r="X481" s="63">
        <f>U476-U481</f>
        <v>0</v>
      </c>
    </row>
    <row r="482" spans="1:24" s="126" customFormat="1" ht="18" customHeight="1">
      <c r="A482" s="592"/>
      <c r="B482" s="576"/>
      <c r="C482" s="577"/>
      <c r="D482" s="201" t="str">
        <f>серпень!D405</f>
        <v xml:space="preserve">місцевий </v>
      </c>
      <c r="E482" s="71"/>
      <c r="F482" s="61">
        <f t="shared" si="520"/>
        <v>0</v>
      </c>
      <c r="G482" s="61">
        <f t="shared" si="520"/>
        <v>147.31399999999999</v>
      </c>
      <c r="H482" s="61">
        <f t="shared" si="520"/>
        <v>70.721999999999994</v>
      </c>
      <c r="I482" s="61">
        <f t="shared" si="520"/>
        <v>61.21</v>
      </c>
      <c r="J482" s="61">
        <f>J497+J512</f>
        <v>103.879</v>
      </c>
      <c r="K482" s="61">
        <f t="shared" si="520"/>
        <v>0</v>
      </c>
      <c r="L482" s="61">
        <f>SUM(F482:K482)</f>
        <v>383.125</v>
      </c>
      <c r="M482" s="61">
        <f>L482/6</f>
        <v>63.853999999999999</v>
      </c>
      <c r="N482" s="61">
        <f t="shared" si="521"/>
        <v>83.941999999999993</v>
      </c>
      <c r="O482" s="61">
        <f t="shared" si="521"/>
        <v>76.768000000000001</v>
      </c>
      <c r="P482" s="61">
        <f t="shared" si="521"/>
        <v>109.489</v>
      </c>
      <c r="Q482" s="61">
        <f t="shared" si="521"/>
        <v>144.27699999999999</v>
      </c>
      <c r="R482" s="61">
        <f t="shared" si="521"/>
        <v>225.208</v>
      </c>
      <c r="S482" s="61">
        <f t="shared" si="521"/>
        <v>612.46</v>
      </c>
      <c r="T482" s="62">
        <f>SUM(N482:S482)</f>
        <v>1252.144</v>
      </c>
      <c r="U482" s="62">
        <f>T482+L482</f>
        <v>1635.269</v>
      </c>
      <c r="V482" s="62">
        <f>V497+V512</f>
        <v>1869.806</v>
      </c>
      <c r="W482" s="72">
        <f>V482-U482</f>
        <v>234.53700000000001</v>
      </c>
      <c r="X482" s="63">
        <f>U477-U482</f>
        <v>234.53700000000001</v>
      </c>
    </row>
    <row r="483" spans="1:24" s="43" customFormat="1" ht="18" customHeight="1">
      <c r="A483" s="592"/>
      <c r="B483" s="576"/>
      <c r="C483" s="577"/>
      <c r="D483" s="202" t="str">
        <f>серпень!D406</f>
        <v>план</v>
      </c>
      <c r="E483" s="42"/>
      <c r="F483" s="42">
        <f>F477+F476</f>
        <v>0</v>
      </c>
      <c r="G483" s="42">
        <f t="shared" ref="G483:K483" si="522">G477+G476</f>
        <v>147.31399999999999</v>
      </c>
      <c r="H483" s="42">
        <f t="shared" si="522"/>
        <v>130.33600000000001</v>
      </c>
      <c r="I483" s="42">
        <f t="shared" si="522"/>
        <v>88.77</v>
      </c>
      <c r="J483" s="42">
        <f t="shared" si="522"/>
        <v>180.68700000000001</v>
      </c>
      <c r="K483" s="42">
        <f t="shared" si="522"/>
        <v>8.6999999999999994E-2</v>
      </c>
      <c r="L483" s="42">
        <f>SUM(F483:K483)</f>
        <v>547.19399999999996</v>
      </c>
      <c r="M483" s="42">
        <f>L483/6</f>
        <v>91.198999999999998</v>
      </c>
      <c r="N483" s="42">
        <f>N477+N476</f>
        <v>74.453000000000003</v>
      </c>
      <c r="O483" s="42">
        <f t="shared" ref="O483:S483" si="523">O477+O476</f>
        <v>76.768000000000001</v>
      </c>
      <c r="P483" s="42">
        <f t="shared" si="523"/>
        <v>119.489</v>
      </c>
      <c r="Q483" s="42">
        <f t="shared" si="523"/>
        <v>164.846</v>
      </c>
      <c r="R483" s="42">
        <f t="shared" si="523"/>
        <v>225.21</v>
      </c>
      <c r="S483" s="42">
        <f t="shared" si="523"/>
        <v>816.375</v>
      </c>
      <c r="T483" s="42">
        <f>SUM(N483:S483)</f>
        <v>1477.1410000000001</v>
      </c>
      <c r="U483" s="42">
        <f>T483+L483</f>
        <v>2024.335</v>
      </c>
      <c r="V483" s="42">
        <f>V477+V476</f>
        <v>2024.335</v>
      </c>
      <c r="W483" s="42">
        <f>V483-U483</f>
        <v>0</v>
      </c>
    </row>
    <row r="484" spans="1:24" s="43" customFormat="1" ht="18" customHeight="1">
      <c r="A484" s="592"/>
      <c r="B484" s="576"/>
      <c r="C484" s="577"/>
      <c r="D484" s="202" t="str">
        <f>серпень!D407</f>
        <v xml:space="preserve">відхилення </v>
      </c>
      <c r="E484" s="42"/>
      <c r="F484" s="42">
        <f t="shared" ref="F484:K484" si="524">F480-F483</f>
        <v>0</v>
      </c>
      <c r="G484" s="42">
        <f t="shared" si="524"/>
        <v>0</v>
      </c>
      <c r="H484" s="42">
        <f t="shared" si="524"/>
        <v>-22.768000000000001</v>
      </c>
      <c r="I484" s="42">
        <f t="shared" si="524"/>
        <v>-13.43</v>
      </c>
      <c r="J484" s="42">
        <f t="shared" si="524"/>
        <v>-40.615000000000002</v>
      </c>
      <c r="K484" s="42">
        <f t="shared" si="524"/>
        <v>67.272999999999996</v>
      </c>
      <c r="L484" s="42"/>
      <c r="M484" s="42"/>
      <c r="N484" s="42">
        <f t="shared" ref="N484:S484" si="525">N480-N483</f>
        <v>9.4890000000000008</v>
      </c>
      <c r="O484" s="42">
        <f t="shared" si="525"/>
        <v>0</v>
      </c>
      <c r="P484" s="42">
        <f t="shared" si="525"/>
        <v>-10</v>
      </c>
      <c r="Q484" s="42">
        <f t="shared" si="525"/>
        <v>-20.568999999999999</v>
      </c>
      <c r="R484" s="42">
        <f t="shared" si="525"/>
        <v>-2E-3</v>
      </c>
      <c r="S484" s="42">
        <f t="shared" si="525"/>
        <v>-203.91499999999999</v>
      </c>
      <c r="T484" s="42"/>
      <c r="U484" s="42"/>
      <c r="V484" s="42"/>
      <c r="W484" s="42"/>
    </row>
    <row r="485" spans="1:24" s="43" customFormat="1" ht="18" customHeight="1">
      <c r="A485" s="592"/>
      <c r="B485" s="576"/>
      <c r="C485" s="577"/>
      <c r="D485" s="202" t="str">
        <f>серпень!D408</f>
        <v>відхилення з наростаючим</v>
      </c>
      <c r="E485" s="42"/>
      <c r="F485" s="42">
        <f>F484</f>
        <v>0</v>
      </c>
      <c r="G485" s="42">
        <f>G484+F485</f>
        <v>0</v>
      </c>
      <c r="H485" s="42">
        <f>H484+G485</f>
        <v>-22.768000000000001</v>
      </c>
      <c r="I485" s="42">
        <f>I484+H485</f>
        <v>-36.198</v>
      </c>
      <c r="J485" s="42">
        <f>J484+I485</f>
        <v>-76.813000000000002</v>
      </c>
      <c r="K485" s="42">
        <f>K484+J485</f>
        <v>-9.5399999999999991</v>
      </c>
      <c r="L485" s="42"/>
      <c r="M485" s="42"/>
      <c r="N485" s="42">
        <f>N484+K485</f>
        <v>-5.0999999999999997E-2</v>
      </c>
      <c r="O485" s="42">
        <f>O484+N485</f>
        <v>-5.0999999999999997E-2</v>
      </c>
      <c r="P485" s="42">
        <f>P484+O485</f>
        <v>-10.051</v>
      </c>
      <c r="Q485" s="42">
        <f>Q484+P485</f>
        <v>-30.62</v>
      </c>
      <c r="R485" s="42">
        <f>R484+Q485</f>
        <v>-30.622</v>
      </c>
      <c r="S485" s="42">
        <f>S484+R485</f>
        <v>-234.53700000000001</v>
      </c>
      <c r="T485" s="42"/>
      <c r="U485" s="42"/>
      <c r="V485" s="42"/>
      <c r="W485" s="42"/>
    </row>
    <row r="486" spans="1:24" s="55" customFormat="1" ht="18" customHeight="1">
      <c r="A486" s="592"/>
      <c r="B486" s="581" t="s">
        <v>32</v>
      </c>
      <c r="C486" s="581"/>
      <c r="D486" s="178" t="str">
        <f>серпень!D409</f>
        <v>факт. нат.п-ки 2023</v>
      </c>
      <c r="E486" s="11"/>
      <c r="F486" s="12">
        <v>0</v>
      </c>
      <c r="G486" s="12">
        <v>2657.6</v>
      </c>
      <c r="H486" s="12">
        <v>741.1</v>
      </c>
      <c r="I486" s="12">
        <v>0</v>
      </c>
      <c r="J486" s="12">
        <v>3048.6</v>
      </c>
      <c r="K486" s="12">
        <v>0</v>
      </c>
      <c r="L486" s="65">
        <f>SUM(F486:K486)</f>
        <v>6447.3</v>
      </c>
      <c r="M486" s="65">
        <f>L486/6</f>
        <v>1074.5999999999999</v>
      </c>
      <c r="N486" s="83">
        <v>0</v>
      </c>
      <c r="O486" s="83">
        <v>0</v>
      </c>
      <c r="P486" s="83">
        <v>0</v>
      </c>
      <c r="Q486" s="83">
        <v>3885.6</v>
      </c>
      <c r="R486" s="83">
        <v>6996</v>
      </c>
      <c r="S486" s="83">
        <v>3048.6</v>
      </c>
      <c r="T486" s="65">
        <f>SUM(N486:S486)</f>
        <v>13930.2</v>
      </c>
      <c r="U486" s="65">
        <f>T486+L486</f>
        <v>20377.5</v>
      </c>
      <c r="V486" s="46">
        <v>20377.5</v>
      </c>
      <c r="W486" s="38"/>
      <c r="X486" s="47"/>
    </row>
    <row r="487" spans="1:24" s="48" customFormat="1" ht="18" customHeight="1">
      <c r="A487" s="592"/>
      <c r="B487" s="581"/>
      <c r="C487" s="581"/>
      <c r="D487" s="178" t="str">
        <f>серпень!D410</f>
        <v>факт. нат.п-ки 2024</v>
      </c>
      <c r="E487" s="11"/>
      <c r="F487" s="12">
        <v>4444</v>
      </c>
      <c r="G487" s="12">
        <v>0</v>
      </c>
      <c r="H487" s="12">
        <v>0</v>
      </c>
      <c r="I487" s="12">
        <v>0</v>
      </c>
      <c r="J487" s="12">
        <v>2455</v>
      </c>
      <c r="K487" s="12">
        <v>0</v>
      </c>
      <c r="L487" s="65">
        <f>SUM(F487:K487)</f>
        <v>6899</v>
      </c>
      <c r="M487" s="65">
        <f>L487/6</f>
        <v>1149.8</v>
      </c>
      <c r="N487" s="83">
        <v>667.9</v>
      </c>
      <c r="O487" s="83">
        <v>71.3</v>
      </c>
      <c r="P487" s="83">
        <v>5800</v>
      </c>
      <c r="Q487" s="83">
        <v>10085.6</v>
      </c>
      <c r="R487" s="83">
        <v>12996</v>
      </c>
      <c r="S487" s="83">
        <v>8281.2000000000007</v>
      </c>
      <c r="T487" s="65">
        <f>SUM(N487:S487)</f>
        <v>37902</v>
      </c>
      <c r="U487" s="65">
        <f>T487+L487</f>
        <v>44801</v>
      </c>
      <c r="V487" s="46">
        <v>44801</v>
      </c>
      <c r="W487" s="38"/>
      <c r="X487" s="47"/>
    </row>
    <row r="488" spans="1:24" s="48" customFormat="1" ht="18" customHeight="1">
      <c r="A488" s="592"/>
      <c r="B488" s="581"/>
      <c r="C488" s="581"/>
      <c r="D488" s="178" t="str">
        <f>серпень!D411</f>
        <v>факт. нат.п-ки 2025</v>
      </c>
      <c r="E488" s="11"/>
      <c r="F488" s="12">
        <v>4858</v>
      </c>
      <c r="G488" s="12">
        <v>0</v>
      </c>
      <c r="H488" s="12">
        <v>0</v>
      </c>
      <c r="I488" s="154">
        <v>0</v>
      </c>
      <c r="J488" s="12">
        <v>0</v>
      </c>
      <c r="K488" s="12">
        <v>1467.4</v>
      </c>
      <c r="L488" s="65">
        <f>SUM(F488:K488)</f>
        <v>6325.4</v>
      </c>
      <c r="M488" s="65">
        <f>L488/6</f>
        <v>1054.2</v>
      </c>
      <c r="N488" s="83">
        <v>1687</v>
      </c>
      <c r="O488" s="83">
        <v>2767.3</v>
      </c>
      <c r="P488" s="83">
        <v>5800</v>
      </c>
      <c r="Q488" s="83">
        <v>10085.6</v>
      </c>
      <c r="R488" s="83">
        <v>12996</v>
      </c>
      <c r="S488" s="83">
        <v>9704.6</v>
      </c>
      <c r="T488" s="65">
        <f>SUM(N488:S488)</f>
        <v>43040.5</v>
      </c>
      <c r="U488" s="65">
        <f>T488+L488</f>
        <v>49365.9</v>
      </c>
      <c r="V488" s="75">
        <v>59811.199999999997</v>
      </c>
      <c r="W488" s="38">
        <f>V488-U488</f>
        <v>10445.299999999999</v>
      </c>
      <c r="X488" s="47"/>
    </row>
    <row r="489" spans="1:24" s="51" customFormat="1" ht="18" customHeight="1">
      <c r="A489" s="592"/>
      <c r="B489" s="581"/>
      <c r="C489" s="581"/>
      <c r="D489" s="187" t="str">
        <f>серпень!D412</f>
        <v>тариф, грн.</v>
      </c>
      <c r="E489" s="129" t="e">
        <f>E490/E488*1000</f>
        <v>#DIV/0!</v>
      </c>
      <c r="F489" s="129">
        <f t="shared" ref="F489:K489" si="526">F490/F488*1000</f>
        <v>8.1510899999999999</v>
      </c>
      <c r="G489" s="129" t="e">
        <f t="shared" si="526"/>
        <v>#DIV/0!</v>
      </c>
      <c r="H489" s="129" t="e">
        <f t="shared" si="526"/>
        <v>#DIV/0!</v>
      </c>
      <c r="I489" s="129" t="e">
        <f t="shared" si="526"/>
        <v>#DIV/0!</v>
      </c>
      <c r="J489" s="129" t="e">
        <f t="shared" si="526"/>
        <v>#DIV/0!</v>
      </c>
      <c r="K489" s="129">
        <f t="shared" si="526"/>
        <v>6.9095000000000004</v>
      </c>
      <c r="L489" s="132">
        <f>L490/L488*1000</f>
        <v>7.8630599999999999</v>
      </c>
      <c r="M489" s="132">
        <f>M490/M488*1000</f>
        <v>7.8637800000000002</v>
      </c>
      <c r="N489" s="132">
        <f t="shared" ref="N489:O489" si="527">N490/N488*1000</f>
        <v>7.4671000000000003</v>
      </c>
      <c r="O489" s="132">
        <f t="shared" si="527"/>
        <v>9.4998699999999996</v>
      </c>
      <c r="P489" s="132">
        <v>9.4998199999999997</v>
      </c>
      <c r="Q489" s="132">
        <v>9.4998199999999997</v>
      </c>
      <c r="R489" s="132">
        <v>9.4998199999999997</v>
      </c>
      <c r="S489" s="131">
        <v>9.4998199999999997</v>
      </c>
      <c r="T489" s="132">
        <f>T490/T488*1000</f>
        <v>9.4201499999999996</v>
      </c>
      <c r="U489" s="132">
        <f>U490/U488*1000</f>
        <v>9.2206399999999995</v>
      </c>
      <c r="V489" s="132">
        <f>V490/V488*1000</f>
        <v>9.4999900000000004</v>
      </c>
      <c r="W489" s="40">
        <f>W490/W488*1000</f>
        <v>10.820270000000001</v>
      </c>
      <c r="X489" s="59"/>
    </row>
    <row r="490" spans="1:24" s="130" customFormat="1" ht="18" customHeight="1">
      <c r="A490" s="592"/>
      <c r="B490" s="581"/>
      <c r="C490" s="581"/>
      <c r="D490" s="191" t="str">
        <f>серпень!D413</f>
        <v>сума, тис.грн.</v>
      </c>
      <c r="E490" s="52"/>
      <c r="F490" s="52">
        <v>39.597999999999999</v>
      </c>
      <c r="G490" s="52">
        <v>0</v>
      </c>
      <c r="H490" s="52">
        <v>0</v>
      </c>
      <c r="I490" s="52">
        <v>0</v>
      </c>
      <c r="J490" s="52">
        <v>0</v>
      </c>
      <c r="K490" s="52">
        <v>10.138999999999999</v>
      </c>
      <c r="L490" s="69">
        <f>SUM(F490:K490)</f>
        <v>49.737000000000002</v>
      </c>
      <c r="M490" s="69">
        <f>L490/6</f>
        <v>8.2899999999999991</v>
      </c>
      <c r="N490" s="52">
        <v>12.597</v>
      </c>
      <c r="O490" s="52">
        <v>26.289000000000001</v>
      </c>
      <c r="P490" s="52">
        <f t="shared" ref="P490" si="528">P488*P489/1000</f>
        <v>55.098999999999997</v>
      </c>
      <c r="Q490" s="52">
        <f t="shared" ref="Q490" si="529">Q488*Q489/1000</f>
        <v>95.811000000000007</v>
      </c>
      <c r="R490" s="52">
        <f t="shared" ref="R490" si="530">R488*R489/1000</f>
        <v>123.46</v>
      </c>
      <c r="S490" s="52">
        <f t="shared" ref="S490" si="531">S488*S489/1000</f>
        <v>92.191999999999993</v>
      </c>
      <c r="T490" s="69">
        <f>SUM(N490:S490)</f>
        <v>405.44799999999998</v>
      </c>
      <c r="U490" s="69">
        <f>T490+L490</f>
        <v>455.185</v>
      </c>
      <c r="V490" s="70">
        <f>V491+V492</f>
        <v>568.20600000000002</v>
      </c>
      <c r="W490" s="53">
        <f>V490-U490</f>
        <v>113.021</v>
      </c>
      <c r="X490" s="133"/>
    </row>
    <row r="491" spans="1:24" s="130" customFormat="1" ht="18" customHeight="1">
      <c r="A491" s="592"/>
      <c r="B491" s="581"/>
      <c r="C491" s="581"/>
      <c r="D491" s="174" t="str">
        <f>серпень!D414</f>
        <v>дотація</v>
      </c>
      <c r="E491" s="56"/>
      <c r="F491" s="52"/>
      <c r="G491" s="52"/>
      <c r="H491" s="52"/>
      <c r="I491" s="52"/>
      <c r="J491" s="52"/>
      <c r="K491" s="52"/>
      <c r="L491" s="69">
        <f>SUM(F491:K491)</f>
        <v>0</v>
      </c>
      <c r="M491" s="69">
        <f>L491/6</f>
        <v>0</v>
      </c>
      <c r="N491" s="52"/>
      <c r="O491" s="52"/>
      <c r="P491" s="52"/>
      <c r="Q491" s="52"/>
      <c r="R491" s="52"/>
      <c r="S491" s="52"/>
      <c r="T491" s="69">
        <f>SUM(N491:S491)</f>
        <v>0</v>
      </c>
      <c r="U491" s="69">
        <f>T491+L491</f>
        <v>0</v>
      </c>
      <c r="V491" s="70"/>
      <c r="W491" s="53">
        <f>V491-U491</f>
        <v>0</v>
      </c>
    </row>
    <row r="492" spans="1:24" s="130" customFormat="1" ht="18" customHeight="1">
      <c r="A492" s="592"/>
      <c r="B492" s="581"/>
      <c r="C492" s="581"/>
      <c r="D492" s="174" t="str">
        <f>серпень!D415</f>
        <v>місцевий (план), тис.грн</v>
      </c>
      <c r="E492" s="56"/>
      <c r="F492" s="52">
        <f>7.479-7.479</f>
        <v>0</v>
      </c>
      <c r="G492" s="52">
        <v>42.218000000000004</v>
      </c>
      <c r="H492" s="52">
        <f>25.247</f>
        <v>25.247</v>
      </c>
      <c r="I492" s="52">
        <v>16.54</v>
      </c>
      <c r="J492" s="52">
        <v>18.591999999999999</v>
      </c>
      <c r="K492" s="52">
        <v>8.6999999999999994E-2</v>
      </c>
      <c r="L492" s="69">
        <f>SUM(F492:K492)</f>
        <v>102.684</v>
      </c>
      <c r="M492" s="69">
        <f>L492/6</f>
        <v>17.114000000000001</v>
      </c>
      <c r="N492" s="52">
        <f>24.083+7.9</f>
        <v>31.983000000000001</v>
      </c>
      <c r="O492" s="52">
        <v>25.344999999999999</v>
      </c>
      <c r="P492" s="52">
        <v>26.289000000000001</v>
      </c>
      <c r="Q492" s="52">
        <v>55.1</v>
      </c>
      <c r="R492" s="52">
        <v>95.813000000000002</v>
      </c>
      <c r="S492" s="52">
        <f>215.656+15.336</f>
        <v>230.99199999999999</v>
      </c>
      <c r="T492" s="69">
        <f>SUM(N492:S492)</f>
        <v>465.52199999999999</v>
      </c>
      <c r="U492" s="69">
        <f>T492+L492</f>
        <v>568.20600000000002</v>
      </c>
      <c r="V492" s="70">
        <v>568.20600000000002</v>
      </c>
      <c r="W492" s="53">
        <f>V492-U492</f>
        <v>0</v>
      </c>
    </row>
    <row r="493" spans="1:24" s="48" customFormat="1" ht="18" customHeight="1">
      <c r="A493" s="592"/>
      <c r="B493" s="581"/>
      <c r="C493" s="581"/>
      <c r="D493" s="178" t="str">
        <f>серпень!D416</f>
        <v>касові нат.п-ки 2025</v>
      </c>
      <c r="E493" s="11"/>
      <c r="F493" s="11">
        <v>0</v>
      </c>
      <c r="G493" s="112">
        <v>4858</v>
      </c>
      <c r="H493" s="12">
        <v>0</v>
      </c>
      <c r="I493" s="12">
        <v>0</v>
      </c>
      <c r="J493" s="12">
        <v>0</v>
      </c>
      <c r="K493" s="12">
        <v>0</v>
      </c>
      <c r="L493" s="65">
        <f>SUM(F493:K493)</f>
        <v>4858</v>
      </c>
      <c r="M493" s="65">
        <f>L493/6</f>
        <v>809.7</v>
      </c>
      <c r="N493" s="151">
        <v>1467.4</v>
      </c>
      <c r="O493" s="83">
        <v>1687</v>
      </c>
      <c r="P493" s="83">
        <v>2767.3</v>
      </c>
      <c r="Q493" s="83">
        <v>5800</v>
      </c>
      <c r="R493" s="83">
        <v>10085.6</v>
      </c>
      <c r="S493" s="83">
        <f>R488+S488</f>
        <v>22700.6</v>
      </c>
      <c r="T493" s="65">
        <f>SUM(N493:S493)</f>
        <v>44507.9</v>
      </c>
      <c r="U493" s="65">
        <f>T493+L493</f>
        <v>49365.9</v>
      </c>
      <c r="V493" s="11">
        <f>V488</f>
        <v>59811.199999999997</v>
      </c>
      <c r="W493" s="38">
        <f>V493-U493</f>
        <v>10445.299999999999</v>
      </c>
      <c r="X493" s="47">
        <f>U488-U493</f>
        <v>0</v>
      </c>
    </row>
    <row r="494" spans="1:24" s="51" customFormat="1" ht="18" customHeight="1">
      <c r="A494" s="592"/>
      <c r="B494" s="581"/>
      <c r="C494" s="581"/>
      <c r="D494" s="187" t="str">
        <f>серпень!D417</f>
        <v>тариф, грн.</v>
      </c>
      <c r="E494" s="49" t="e">
        <f>E495/E493*1000</f>
        <v>#DIV/0!</v>
      </c>
      <c r="F494" s="49" t="e">
        <f t="shared" ref="F494:K494" si="532">F495/F493*1000</f>
        <v>#DIV/0!</v>
      </c>
      <c r="G494" s="129">
        <f t="shared" si="532"/>
        <v>8.1510899999999999</v>
      </c>
      <c r="H494" s="129" t="e">
        <f t="shared" si="532"/>
        <v>#DIV/0!</v>
      </c>
      <c r="I494" s="129" t="e">
        <f t="shared" si="532"/>
        <v>#DIV/0!</v>
      </c>
      <c r="J494" s="129" t="e">
        <f t="shared" si="532"/>
        <v>#DIV/0!</v>
      </c>
      <c r="K494" s="129" t="e">
        <f t="shared" si="532"/>
        <v>#DIV/0!</v>
      </c>
      <c r="L494" s="132">
        <f>L495/L493*1000</f>
        <v>8.1510899999999999</v>
      </c>
      <c r="M494" s="132">
        <f>M495/M493*1000</f>
        <v>8.1511700000000005</v>
      </c>
      <c r="N494" s="132">
        <f t="shared" ref="N494:P494" si="533">N495/N493*1000</f>
        <v>6.9095000000000004</v>
      </c>
      <c r="O494" s="132">
        <f t="shared" si="533"/>
        <v>7.4671000000000003</v>
      </c>
      <c r="P494" s="132">
        <f t="shared" si="533"/>
        <v>9.4998699999999996</v>
      </c>
      <c r="Q494" s="132">
        <v>9.4998199999999997</v>
      </c>
      <c r="R494" s="132">
        <v>9.4998199999999997</v>
      </c>
      <c r="S494" s="132">
        <v>9.4998199999999997</v>
      </c>
      <c r="T494" s="132">
        <f>T495/T493*1000</f>
        <v>9.3373799999999996</v>
      </c>
      <c r="U494" s="132">
        <f>U495/U493*1000</f>
        <v>9.2206399999999995</v>
      </c>
      <c r="V494" s="135">
        <f>V495/V493*1000</f>
        <v>9.5</v>
      </c>
      <c r="W494" s="14">
        <f>W495/W493*1000</f>
        <v>10.82</v>
      </c>
      <c r="X494" s="59"/>
    </row>
    <row r="495" spans="1:24" s="126" customFormat="1" ht="18" customHeight="1">
      <c r="A495" s="592"/>
      <c r="B495" s="581"/>
      <c r="C495" s="581"/>
      <c r="D495" s="198" t="str">
        <f>серпень!D418</f>
        <v>касові видатки, тис.грн.</v>
      </c>
      <c r="E495" s="71"/>
      <c r="F495" s="61">
        <v>0</v>
      </c>
      <c r="G495" s="61">
        <v>39.597999999999999</v>
      </c>
      <c r="H495" s="61">
        <v>0</v>
      </c>
      <c r="I495" s="61">
        <v>0</v>
      </c>
      <c r="J495" s="61">
        <v>0</v>
      </c>
      <c r="K495" s="61">
        <v>0</v>
      </c>
      <c r="L495" s="61">
        <f>SUM(F495:K495)</f>
        <v>39.597999999999999</v>
      </c>
      <c r="M495" s="61">
        <f>L495/6</f>
        <v>6.6</v>
      </c>
      <c r="N495" s="61">
        <v>10.138999999999999</v>
      </c>
      <c r="O495" s="61">
        <v>12.597</v>
      </c>
      <c r="P495" s="61">
        <v>26.289000000000001</v>
      </c>
      <c r="Q495" s="61">
        <f t="shared" ref="Q495" si="534">Q493*Q494/1000</f>
        <v>55.098999999999997</v>
      </c>
      <c r="R495" s="61">
        <f t="shared" ref="R495" si="535">R493*R494/1000</f>
        <v>95.811000000000007</v>
      </c>
      <c r="S495" s="61">
        <f t="shared" ref="S495" si="536">S493*S494/1000</f>
        <v>215.65199999999999</v>
      </c>
      <c r="T495" s="61">
        <f>SUM(N495:S495)</f>
        <v>415.58699999999999</v>
      </c>
      <c r="U495" s="61">
        <f>T495+L495</f>
        <v>455.185</v>
      </c>
      <c r="V495" s="61">
        <f>V490</f>
        <v>568.20600000000002</v>
      </c>
      <c r="W495" s="72">
        <f>V495-U495</f>
        <v>113.021</v>
      </c>
      <c r="X495" s="63">
        <f>U490-U495</f>
        <v>0</v>
      </c>
    </row>
    <row r="496" spans="1:24" s="126" customFormat="1" ht="18" customHeight="1">
      <c r="A496" s="592"/>
      <c r="B496" s="581"/>
      <c r="C496" s="581"/>
      <c r="D496" s="201" t="str">
        <f>серпень!D419</f>
        <v>дотація</v>
      </c>
      <c r="E496" s="71"/>
      <c r="F496" s="61"/>
      <c r="G496" s="61"/>
      <c r="H496" s="61"/>
      <c r="I496" s="61"/>
      <c r="J496" s="61"/>
      <c r="K496" s="61"/>
      <c r="L496" s="61">
        <f>SUM(F496:K496)</f>
        <v>0</v>
      </c>
      <c r="M496" s="61">
        <f>L496/6</f>
        <v>0</v>
      </c>
      <c r="N496" s="61"/>
      <c r="O496" s="61"/>
      <c r="P496" s="61"/>
      <c r="Q496" s="61"/>
      <c r="R496" s="61"/>
      <c r="S496" s="61"/>
      <c r="T496" s="61">
        <f>SUM(N496:S496)</f>
        <v>0</v>
      </c>
      <c r="U496" s="61">
        <f>T496+L496</f>
        <v>0</v>
      </c>
      <c r="V496" s="61">
        <f>V491</f>
        <v>0</v>
      </c>
      <c r="W496" s="72">
        <f>V496-U496</f>
        <v>0</v>
      </c>
      <c r="X496" s="63">
        <f>U491-U496</f>
        <v>0</v>
      </c>
    </row>
    <row r="497" spans="1:24" s="126" customFormat="1" ht="18" customHeight="1">
      <c r="A497" s="592"/>
      <c r="B497" s="581"/>
      <c r="C497" s="581"/>
      <c r="D497" s="201" t="str">
        <f>серпень!D420</f>
        <v xml:space="preserve">місцевий </v>
      </c>
      <c r="E497" s="71"/>
      <c r="F497" s="61">
        <f t="shared" ref="F497:K497" si="537">F495-F496</f>
        <v>0</v>
      </c>
      <c r="G497" s="61">
        <f t="shared" si="537"/>
        <v>39.597999999999999</v>
      </c>
      <c r="H497" s="61">
        <f t="shared" si="537"/>
        <v>0</v>
      </c>
      <c r="I497" s="61">
        <f t="shared" si="537"/>
        <v>0</v>
      </c>
      <c r="J497" s="61">
        <f t="shared" si="537"/>
        <v>0</v>
      </c>
      <c r="K497" s="61">
        <f t="shared" si="537"/>
        <v>0</v>
      </c>
      <c r="L497" s="61">
        <f>SUM(F497:K497)</f>
        <v>39.597999999999999</v>
      </c>
      <c r="M497" s="61">
        <f>L497/6</f>
        <v>6.6</v>
      </c>
      <c r="N497" s="61">
        <f t="shared" ref="N497:S497" si="538">N495-N496</f>
        <v>10.138999999999999</v>
      </c>
      <c r="O497" s="61">
        <f t="shared" si="538"/>
        <v>12.597</v>
      </c>
      <c r="P497" s="61">
        <f t="shared" si="538"/>
        <v>26.289000000000001</v>
      </c>
      <c r="Q497" s="61">
        <f t="shared" si="538"/>
        <v>55.098999999999997</v>
      </c>
      <c r="R497" s="61">
        <f t="shared" si="538"/>
        <v>95.811000000000007</v>
      </c>
      <c r="S497" s="61">
        <f t="shared" si="538"/>
        <v>215.65199999999999</v>
      </c>
      <c r="T497" s="61">
        <f>SUM(N497:S497)</f>
        <v>415.58699999999999</v>
      </c>
      <c r="U497" s="61">
        <f>T497+L497</f>
        <v>455.185</v>
      </c>
      <c r="V497" s="61">
        <f>V492</f>
        <v>568.20600000000002</v>
      </c>
      <c r="W497" s="72">
        <f>V497-U497</f>
        <v>113.021</v>
      </c>
      <c r="X497" s="63">
        <f>U492-U497</f>
        <v>113.021</v>
      </c>
    </row>
    <row r="498" spans="1:24" s="43" customFormat="1" ht="18" customHeight="1">
      <c r="A498" s="592"/>
      <c r="B498" s="581"/>
      <c r="C498" s="581"/>
      <c r="D498" s="202" t="str">
        <f>серпень!D421</f>
        <v>план</v>
      </c>
      <c r="E498" s="42"/>
      <c r="F498" s="42">
        <f>F492+F491</f>
        <v>0</v>
      </c>
      <c r="G498" s="42">
        <f t="shared" ref="G498:K498" si="539">G492+G491</f>
        <v>42.218000000000004</v>
      </c>
      <c r="H498" s="42">
        <f t="shared" si="539"/>
        <v>25.247</v>
      </c>
      <c r="I498" s="42">
        <f t="shared" si="539"/>
        <v>16.54</v>
      </c>
      <c r="J498" s="42">
        <f t="shared" si="539"/>
        <v>18.591999999999999</v>
      </c>
      <c r="K498" s="42">
        <f t="shared" si="539"/>
        <v>8.6999999999999994E-2</v>
      </c>
      <c r="L498" s="42">
        <f>SUM(F498:K498)</f>
        <v>102.684</v>
      </c>
      <c r="M498" s="42">
        <f>L498/6</f>
        <v>17.114000000000001</v>
      </c>
      <c r="N498" s="42">
        <f>N492+N491</f>
        <v>31.983000000000001</v>
      </c>
      <c r="O498" s="42">
        <f t="shared" ref="O498:S498" si="540">O492+O491</f>
        <v>25.344999999999999</v>
      </c>
      <c r="P498" s="42">
        <f t="shared" si="540"/>
        <v>26.289000000000001</v>
      </c>
      <c r="Q498" s="42">
        <f t="shared" si="540"/>
        <v>55.1</v>
      </c>
      <c r="R498" s="42">
        <f t="shared" si="540"/>
        <v>95.813000000000002</v>
      </c>
      <c r="S498" s="42">
        <f t="shared" si="540"/>
        <v>230.99199999999999</v>
      </c>
      <c r="T498" s="42">
        <f>SUM(N498:S498)</f>
        <v>465.52199999999999</v>
      </c>
      <c r="U498" s="42">
        <f>T498+L498</f>
        <v>568.20600000000002</v>
      </c>
      <c r="V498" s="42">
        <f>V495</f>
        <v>568.20600000000002</v>
      </c>
      <c r="W498" s="42">
        <f>V498-U498</f>
        <v>0</v>
      </c>
    </row>
    <row r="499" spans="1:24" s="43" customFormat="1" ht="18" customHeight="1">
      <c r="A499" s="592"/>
      <c r="B499" s="581"/>
      <c r="C499" s="581"/>
      <c r="D499" s="202" t="str">
        <f>серпень!D422</f>
        <v xml:space="preserve">відхилення </v>
      </c>
      <c r="E499" s="42"/>
      <c r="F499" s="42">
        <f t="shared" ref="F499:K499" si="541">F495-F498</f>
        <v>0</v>
      </c>
      <c r="G499" s="42">
        <f t="shared" si="541"/>
        <v>-2.62</v>
      </c>
      <c r="H499" s="42">
        <f t="shared" si="541"/>
        <v>-25.247</v>
      </c>
      <c r="I499" s="42">
        <f t="shared" si="541"/>
        <v>-16.54</v>
      </c>
      <c r="J499" s="42">
        <f t="shared" si="541"/>
        <v>-18.591999999999999</v>
      </c>
      <c r="K499" s="42">
        <f t="shared" si="541"/>
        <v>-8.6999999999999994E-2</v>
      </c>
      <c r="L499" s="42"/>
      <c r="M499" s="42"/>
      <c r="N499" s="42">
        <f t="shared" ref="N499:S499" si="542">N495-N498</f>
        <v>-21.844000000000001</v>
      </c>
      <c r="O499" s="42">
        <f t="shared" si="542"/>
        <v>-12.747999999999999</v>
      </c>
      <c r="P499" s="42">
        <f t="shared" si="542"/>
        <v>0</v>
      </c>
      <c r="Q499" s="42">
        <f t="shared" si="542"/>
        <v>-1E-3</v>
      </c>
      <c r="R499" s="42">
        <f t="shared" si="542"/>
        <v>-2E-3</v>
      </c>
      <c r="S499" s="42">
        <f t="shared" si="542"/>
        <v>-15.34</v>
      </c>
      <c r="T499" s="42"/>
      <c r="U499" s="42"/>
      <c r="V499" s="42"/>
      <c r="W499" s="42"/>
    </row>
    <row r="500" spans="1:24" s="43" customFormat="1" ht="18" customHeight="1">
      <c r="A500" s="592"/>
      <c r="B500" s="581"/>
      <c r="C500" s="581"/>
      <c r="D500" s="202" t="str">
        <f>серпень!D423</f>
        <v>відхилення з наростаючим</v>
      </c>
      <c r="E500" s="42"/>
      <c r="F500" s="42">
        <f>F499</f>
        <v>0</v>
      </c>
      <c r="G500" s="42">
        <f>G499+F500</f>
        <v>-2.62</v>
      </c>
      <c r="H500" s="42">
        <f>H499+G500</f>
        <v>-27.867000000000001</v>
      </c>
      <c r="I500" s="42">
        <f>I499+H500</f>
        <v>-44.406999999999996</v>
      </c>
      <c r="J500" s="42">
        <f>J499+I500</f>
        <v>-62.999000000000002</v>
      </c>
      <c r="K500" s="42">
        <f>K499+J500</f>
        <v>-63.085999999999999</v>
      </c>
      <c r="L500" s="42"/>
      <c r="M500" s="42"/>
      <c r="N500" s="42">
        <f>N499+K500</f>
        <v>-84.93</v>
      </c>
      <c r="O500" s="42">
        <f>O499+N500</f>
        <v>-97.677999999999997</v>
      </c>
      <c r="P500" s="42">
        <f>P499+O500</f>
        <v>-97.677999999999997</v>
      </c>
      <c r="Q500" s="42">
        <f>Q499+P500</f>
        <v>-97.679000000000002</v>
      </c>
      <c r="R500" s="42">
        <f>R499+Q500</f>
        <v>-97.680999999999997</v>
      </c>
      <c r="S500" s="42">
        <f>S499+R500</f>
        <v>-113.021</v>
      </c>
      <c r="T500" s="42"/>
      <c r="U500" s="42"/>
      <c r="V500" s="42"/>
      <c r="W500" s="42"/>
    </row>
    <row r="501" spans="1:24" s="55" customFormat="1" ht="18" customHeight="1">
      <c r="A501" s="592"/>
      <c r="B501" s="576" t="s">
        <v>33</v>
      </c>
      <c r="C501" s="577"/>
      <c r="D501" s="178" t="str">
        <f>серпень!D424</f>
        <v>факт. нат.п-ки 2023</v>
      </c>
      <c r="E501" s="11"/>
      <c r="F501" s="12">
        <v>36723</v>
      </c>
      <c r="G501" s="12">
        <v>5952.4</v>
      </c>
      <c r="H501" s="12">
        <v>32044</v>
      </c>
      <c r="I501" s="12">
        <v>30745.4</v>
      </c>
      <c r="J501" s="12">
        <v>26359</v>
      </c>
      <c r="K501" s="12">
        <v>22727.3</v>
      </c>
      <c r="L501" s="65">
        <f>SUM(F501:K501)</f>
        <v>154551.1</v>
      </c>
      <c r="M501" s="65">
        <v>5959.6</v>
      </c>
      <c r="N501" s="83">
        <v>18939.400000000001</v>
      </c>
      <c r="O501" s="83">
        <v>19683</v>
      </c>
      <c r="P501" s="83">
        <v>20643.099999999999</v>
      </c>
      <c r="Q501" s="83">
        <v>20643.099999999999</v>
      </c>
      <c r="R501" s="83">
        <v>18939.400000000001</v>
      </c>
      <c r="S501" s="83">
        <v>33678.6</v>
      </c>
      <c r="T501" s="65">
        <f>SUM(N501:S501)</f>
        <v>132526.6</v>
      </c>
      <c r="U501" s="65">
        <f>T501+L501</f>
        <v>287077.7</v>
      </c>
      <c r="V501" s="46">
        <v>287077.7</v>
      </c>
      <c r="W501" s="38"/>
      <c r="X501" s="47"/>
    </row>
    <row r="502" spans="1:24" s="48" customFormat="1" ht="18" customHeight="1">
      <c r="A502" s="592"/>
      <c r="B502" s="576"/>
      <c r="C502" s="577"/>
      <c r="D502" s="178" t="str">
        <f>серпень!D425</f>
        <v>факт. нат.п-ки 2024</v>
      </c>
      <c r="E502" s="11"/>
      <c r="F502" s="154">
        <v>15161.61</v>
      </c>
      <c r="G502" s="12">
        <v>28222</v>
      </c>
      <c r="H502" s="12">
        <v>25462.5</v>
      </c>
      <c r="I502" s="12">
        <v>16751.3</v>
      </c>
      <c r="J502" s="12">
        <v>21908</v>
      </c>
      <c r="K502" s="12">
        <v>22493</v>
      </c>
      <c r="L502" s="65">
        <f>SUM(F502:K502)</f>
        <v>129998.39999999999</v>
      </c>
      <c r="M502" s="65">
        <v>5959.6</v>
      </c>
      <c r="N502" s="83">
        <v>9588.7000000000007</v>
      </c>
      <c r="O502" s="291">
        <v>9259.26</v>
      </c>
      <c r="P502" s="83">
        <v>14300.6</v>
      </c>
      <c r="Q502" s="83">
        <v>29953</v>
      </c>
      <c r="R502" s="83">
        <v>40268.699999999997</v>
      </c>
      <c r="S502" s="83">
        <v>46594.2</v>
      </c>
      <c r="T502" s="65">
        <f>SUM(N502:S502)</f>
        <v>149964.5</v>
      </c>
      <c r="U502" s="65">
        <f>T502+L502</f>
        <v>279962.90000000002</v>
      </c>
      <c r="V502" s="46">
        <v>279962.90000000002</v>
      </c>
      <c r="W502" s="38"/>
      <c r="X502" s="47"/>
    </row>
    <row r="503" spans="1:24" s="48" customFormat="1" ht="18" customHeight="1">
      <c r="A503" s="592"/>
      <c r="B503" s="576"/>
      <c r="C503" s="577"/>
      <c r="D503" s="178" t="str">
        <f>серпень!D426</f>
        <v>факт. нат.п-ки 2025</v>
      </c>
      <c r="E503" s="11"/>
      <c r="F503" s="154">
        <v>24934.26</v>
      </c>
      <c r="G503" s="12">
        <v>24900</v>
      </c>
      <c r="H503" s="12">
        <v>17439.7</v>
      </c>
      <c r="I503" s="12">
        <v>32424</v>
      </c>
      <c r="J503" s="12">
        <v>15592.6</v>
      </c>
      <c r="K503" s="12">
        <v>17084</v>
      </c>
      <c r="L503" s="65">
        <f>SUM(F503:K503)</f>
        <v>132374.6</v>
      </c>
      <c r="M503" s="65">
        <v>5959.6</v>
      </c>
      <c r="N503" s="450">
        <v>14854.5</v>
      </c>
      <c r="O503" s="291">
        <v>19259.259999999998</v>
      </c>
      <c r="P503" s="83">
        <v>20643.099999999999</v>
      </c>
      <c r="Q503" s="83">
        <v>29953</v>
      </c>
      <c r="R503" s="83">
        <f>40268.7+3150</f>
        <v>43418.7</v>
      </c>
      <c r="S503" s="83">
        <f>46594.2+1840.9</f>
        <v>48435.1</v>
      </c>
      <c r="T503" s="65">
        <f>SUM(N503:S503)</f>
        <v>176563.7</v>
      </c>
      <c r="U503" s="65">
        <f>T503+L503</f>
        <v>308938.3</v>
      </c>
      <c r="V503" s="75">
        <v>301296.3</v>
      </c>
      <c r="W503" s="38">
        <f>V503-U503</f>
        <v>-7642</v>
      </c>
      <c r="X503" s="47"/>
    </row>
    <row r="504" spans="1:24" s="51" customFormat="1" ht="18" customHeight="1">
      <c r="A504" s="592"/>
      <c r="B504" s="576"/>
      <c r="C504" s="577"/>
      <c r="D504" s="187" t="str">
        <f>серпень!D427</f>
        <v>тариф, грн.</v>
      </c>
      <c r="E504" s="131" t="e">
        <f>E505/E503*1000</f>
        <v>#DIV/0!</v>
      </c>
      <c r="F504" s="131">
        <f t="shared" ref="F504:K504" si="543">F505/F503*1000</f>
        <v>4.32</v>
      </c>
      <c r="G504" s="131">
        <f t="shared" si="543"/>
        <v>4.32</v>
      </c>
      <c r="H504" s="131">
        <f t="shared" si="543"/>
        <v>4.3200279999999998</v>
      </c>
      <c r="I504" s="131">
        <f t="shared" si="543"/>
        <v>4.3200099999999999</v>
      </c>
      <c r="J504" s="131">
        <f t="shared" si="543"/>
        <v>4.319998</v>
      </c>
      <c r="K504" s="131">
        <f t="shared" si="543"/>
        <v>4.3200070000000004</v>
      </c>
      <c r="L504" s="132">
        <f>L505/L503*1000</f>
        <v>4.3200099999999999</v>
      </c>
      <c r="M504" s="132">
        <f>M505/M503*1000</f>
        <v>15.99268</v>
      </c>
      <c r="N504" s="132">
        <f t="shared" ref="N504:O504" si="544">N505/N503*1000</f>
        <v>4.3199699999999996</v>
      </c>
      <c r="O504" s="132">
        <f t="shared" si="544"/>
        <v>4.32</v>
      </c>
      <c r="P504" s="132">
        <v>4.32</v>
      </c>
      <c r="Q504" s="132">
        <v>4.32</v>
      </c>
      <c r="R504" s="132">
        <v>4.32</v>
      </c>
      <c r="S504" s="132">
        <v>4.32</v>
      </c>
      <c r="T504" s="132">
        <f>T505/T503*1000</f>
        <v>4.3199899999999998</v>
      </c>
      <c r="U504" s="132">
        <f>U505/U503*1000</f>
        <v>4.32</v>
      </c>
      <c r="V504" s="132">
        <f>V505/V503*1000</f>
        <v>4.8328800000000003</v>
      </c>
      <c r="W504" s="40">
        <f>W505/W503*1000</f>
        <v>-15.901070000000001</v>
      </c>
      <c r="X504" s="59"/>
    </row>
    <row r="505" spans="1:24" s="130" customFormat="1" ht="18" customHeight="1">
      <c r="A505" s="592"/>
      <c r="B505" s="576"/>
      <c r="C505" s="577"/>
      <c r="D505" s="191" t="str">
        <f>серпень!D428</f>
        <v>сума, тис.грн.</v>
      </c>
      <c r="E505" s="52"/>
      <c r="F505" s="52">
        <v>107.71599999999999</v>
      </c>
      <c r="G505" s="52">
        <v>107.568</v>
      </c>
      <c r="H505" s="52">
        <v>75.34</v>
      </c>
      <c r="I505" s="52">
        <v>140.072</v>
      </c>
      <c r="J505" s="52">
        <v>67.36</v>
      </c>
      <c r="K505" s="52">
        <v>73.802999999999997</v>
      </c>
      <c r="L505" s="69">
        <f>SUM(F505:K505)</f>
        <v>571.85900000000004</v>
      </c>
      <c r="M505" s="69">
        <f>L505/6</f>
        <v>95.31</v>
      </c>
      <c r="N505" s="52">
        <v>64.171000000000006</v>
      </c>
      <c r="O505" s="52">
        <v>83.2</v>
      </c>
      <c r="P505" s="52">
        <f t="shared" ref="P505" si="545">P503*P504/1000</f>
        <v>89.177999999999997</v>
      </c>
      <c r="Q505" s="52">
        <f t="shared" ref="Q505" si="546">Q503*Q504/1000</f>
        <v>129.39699999999999</v>
      </c>
      <c r="R505" s="52">
        <f t="shared" ref="R505" si="547">R503*R504/1000</f>
        <v>187.56899999999999</v>
      </c>
      <c r="S505" s="52">
        <f>S503*S504/1000-0.001</f>
        <v>209.239</v>
      </c>
      <c r="T505" s="69">
        <f>SUM(N505:S505)</f>
        <v>762.75400000000002</v>
      </c>
      <c r="U505" s="69">
        <f>T505+L505</f>
        <v>1334.6130000000001</v>
      </c>
      <c r="V505" s="70">
        <f>V506+V507</f>
        <v>1456.1289999999999</v>
      </c>
      <c r="W505" s="53">
        <f>V505-U505</f>
        <v>121.51600000000001</v>
      </c>
      <c r="X505" s="133"/>
    </row>
    <row r="506" spans="1:24" s="130" customFormat="1" ht="18" customHeight="1">
      <c r="A506" s="592"/>
      <c r="B506" s="576"/>
      <c r="C506" s="577"/>
      <c r="D506" s="174" t="str">
        <f>серпень!D429</f>
        <v>дотація</v>
      </c>
      <c r="E506" s="56"/>
      <c r="F506" s="52"/>
      <c r="G506" s="52"/>
      <c r="H506" s="52">
        <v>50.975999999999999</v>
      </c>
      <c r="I506" s="52">
        <v>36.192999999999998</v>
      </c>
      <c r="J506" s="52">
        <v>67.36</v>
      </c>
      <c r="K506" s="52"/>
      <c r="L506" s="69">
        <f>SUM(F506:K506)</f>
        <v>154.529</v>
      </c>
      <c r="M506" s="69">
        <f>L506/6</f>
        <v>25.754999999999999</v>
      </c>
      <c r="N506" s="52"/>
      <c r="O506" s="52"/>
      <c r="P506" s="52"/>
      <c r="Q506" s="52"/>
      <c r="R506" s="52"/>
      <c r="S506" s="52"/>
      <c r="T506" s="69">
        <f>SUM(N506:S506)</f>
        <v>0</v>
      </c>
      <c r="U506" s="69">
        <f>T506+L506</f>
        <v>154.529</v>
      </c>
      <c r="V506" s="70">
        <f>36.846+14.13+36.193+67.36</f>
        <v>154.529</v>
      </c>
      <c r="W506" s="53">
        <f>V506-U506</f>
        <v>0</v>
      </c>
    </row>
    <row r="507" spans="1:24" s="130" customFormat="1" ht="18" customHeight="1">
      <c r="A507" s="592"/>
      <c r="B507" s="576"/>
      <c r="C507" s="577"/>
      <c r="D507" s="174" t="str">
        <f>серпень!D430</f>
        <v>місцевий (план), тис.грн</v>
      </c>
      <c r="E507" s="56"/>
      <c r="F507" s="52">
        <f>29.084-29.084</f>
        <v>0</v>
      </c>
      <c r="G507" s="52">
        <f>65.498+39.598</f>
        <v>105.096</v>
      </c>
      <c r="H507" s="52">
        <f>121.919-39.598-14.078-14.13</f>
        <v>54.113</v>
      </c>
      <c r="I507" s="52">
        <f>109.998+5.839-79.8</f>
        <v>36.036999999999999</v>
      </c>
      <c r="J507" s="52">
        <f>72.366+22.369</f>
        <v>94.734999999999999</v>
      </c>
      <c r="K507" s="52">
        <f>94.643-94.643</f>
        <v>0</v>
      </c>
      <c r="L507" s="69">
        <f>SUM(F507:K507)</f>
        <v>289.98099999999999</v>
      </c>
      <c r="M507" s="69">
        <f>L507/6</f>
        <v>48.33</v>
      </c>
      <c r="N507" s="52">
        <f>97.17-54.7</f>
        <v>42.47</v>
      </c>
      <c r="O507" s="52">
        <f>41.423+10</f>
        <v>51.423000000000002</v>
      </c>
      <c r="P507" s="52">
        <f>83.2+10</f>
        <v>93.2</v>
      </c>
      <c r="Q507" s="52">
        <f>89.178+20.568</f>
        <v>109.746</v>
      </c>
      <c r="R507" s="52">
        <v>129.39699999999999</v>
      </c>
      <c r="S507" s="52">
        <f>396.808+79.8+54.075+54.7</f>
        <v>585.38300000000004</v>
      </c>
      <c r="T507" s="69">
        <f>SUM(N507:S507)</f>
        <v>1011.619</v>
      </c>
      <c r="U507" s="69">
        <f>T507+L507</f>
        <v>1301.5999999999999</v>
      </c>
      <c r="V507" s="70">
        <v>1301.5999999999999</v>
      </c>
      <c r="W507" s="53">
        <f>V507-U507</f>
        <v>0</v>
      </c>
    </row>
    <row r="508" spans="1:24" s="48" customFormat="1" ht="18" customHeight="1">
      <c r="A508" s="592"/>
      <c r="B508" s="576"/>
      <c r="C508" s="577"/>
      <c r="D508" s="178" t="str">
        <f>серпень!D431</f>
        <v>касові нат.п-ки 2025</v>
      </c>
      <c r="E508" s="11"/>
      <c r="F508" s="83">
        <v>0</v>
      </c>
      <c r="G508" s="291">
        <v>24934.3</v>
      </c>
      <c r="H508" s="151">
        <v>24900</v>
      </c>
      <c r="I508" s="151">
        <v>17439.7</v>
      </c>
      <c r="J508" s="151">
        <v>32424</v>
      </c>
      <c r="K508" s="151">
        <v>15592.6</v>
      </c>
      <c r="L508" s="65">
        <f>SUM(F508:K508)</f>
        <v>115290.6</v>
      </c>
      <c r="M508" s="65">
        <f>L508/6</f>
        <v>19215.099999999999</v>
      </c>
      <c r="N508" s="451">
        <v>17084</v>
      </c>
      <c r="O508" s="83">
        <v>14854.5</v>
      </c>
      <c r="P508" s="83">
        <v>19259.3</v>
      </c>
      <c r="Q508" s="83">
        <v>20643.099999999999</v>
      </c>
      <c r="R508" s="83">
        <v>29953</v>
      </c>
      <c r="S508" s="83">
        <f>R503+S503</f>
        <v>91853.8</v>
      </c>
      <c r="T508" s="65">
        <f>SUM(N508:S508)</f>
        <v>193647.7</v>
      </c>
      <c r="U508" s="65">
        <f>T508+L508</f>
        <v>308938.3</v>
      </c>
      <c r="V508" s="11">
        <f>V503</f>
        <v>301296.3</v>
      </c>
      <c r="W508" s="38">
        <f>V508-U508</f>
        <v>-7642</v>
      </c>
      <c r="X508" s="47">
        <f>U503-U508</f>
        <v>0</v>
      </c>
    </row>
    <row r="509" spans="1:24" s="51" customFormat="1" ht="18" customHeight="1">
      <c r="A509" s="592"/>
      <c r="B509" s="576"/>
      <c r="C509" s="577"/>
      <c r="D509" s="187" t="str">
        <f>серпень!D432</f>
        <v>тариф, грн.</v>
      </c>
      <c r="E509" s="129" t="e">
        <f>E510/E508*1000</f>
        <v>#DIV/0!</v>
      </c>
      <c r="F509" s="129" t="e">
        <f t="shared" ref="F509:K509" si="548">F510/F508*1000</f>
        <v>#DIV/0!</v>
      </c>
      <c r="G509" s="129">
        <f t="shared" si="548"/>
        <v>4.3199899999999998</v>
      </c>
      <c r="H509" s="129">
        <f t="shared" si="548"/>
        <v>4.32</v>
      </c>
      <c r="I509" s="129">
        <f t="shared" si="548"/>
        <v>4.32003</v>
      </c>
      <c r="J509" s="129">
        <f t="shared" si="548"/>
        <v>4.3200099999999999</v>
      </c>
      <c r="K509" s="129">
        <f t="shared" si="548"/>
        <v>4.32</v>
      </c>
      <c r="L509" s="132">
        <f>L510/L508*1000</f>
        <v>4.3200099999999999</v>
      </c>
      <c r="M509" s="132">
        <f>M510/M508*1000</f>
        <v>4.3199899999999998</v>
      </c>
      <c r="N509" s="132">
        <f t="shared" ref="N509:P509" si="549">N510/N508*1000</f>
        <v>4.3200099999999999</v>
      </c>
      <c r="O509" s="132">
        <f t="shared" si="549"/>
        <v>4.3199699999999996</v>
      </c>
      <c r="P509" s="132">
        <f t="shared" si="549"/>
        <v>4.3199899999999998</v>
      </c>
      <c r="Q509" s="132">
        <v>4.32</v>
      </c>
      <c r="R509" s="132">
        <v>4.32</v>
      </c>
      <c r="S509" s="132">
        <v>4.32</v>
      </c>
      <c r="T509" s="132">
        <f>T510/T508*1000</f>
        <v>4.3199899999999998</v>
      </c>
      <c r="U509" s="132">
        <f>U510/U508*1000</f>
        <v>4.32</v>
      </c>
      <c r="V509" s="132">
        <f>V510/V508*1000</f>
        <v>4.8328800000000003</v>
      </c>
      <c r="W509" s="40">
        <f>W510/W508*1000</f>
        <v>-15.901070000000001</v>
      </c>
      <c r="X509" s="59"/>
    </row>
    <row r="510" spans="1:24" s="126" customFormat="1" ht="18" customHeight="1">
      <c r="A510" s="592"/>
      <c r="B510" s="576"/>
      <c r="C510" s="577"/>
      <c r="D510" s="198" t="str">
        <f>серпень!D433</f>
        <v>касові видатки, тис.грн.</v>
      </c>
      <c r="E510" s="71"/>
      <c r="F510" s="61">
        <v>0</v>
      </c>
      <c r="G510" s="61">
        <v>107.71599999999999</v>
      </c>
      <c r="H510" s="61">
        <v>107.568</v>
      </c>
      <c r="I510" s="61">
        <v>75.34</v>
      </c>
      <c r="J510" s="61">
        <v>140.072</v>
      </c>
      <c r="K510" s="61">
        <v>67.36</v>
      </c>
      <c r="L510" s="61">
        <f>SUM(F510:K510)</f>
        <v>498.05599999999998</v>
      </c>
      <c r="M510" s="61">
        <f>L510/6</f>
        <v>83.009</v>
      </c>
      <c r="N510" s="61">
        <v>73.802999999999997</v>
      </c>
      <c r="O510" s="61">
        <v>64.171000000000006</v>
      </c>
      <c r="P510" s="61">
        <v>83.2</v>
      </c>
      <c r="Q510" s="61">
        <f t="shared" ref="Q510" si="550">Q508*Q509/1000</f>
        <v>89.177999999999997</v>
      </c>
      <c r="R510" s="61">
        <f t="shared" ref="R510:S510" si="551">R508*R509/1000</f>
        <v>129.39699999999999</v>
      </c>
      <c r="S510" s="61">
        <f t="shared" si="551"/>
        <v>396.80799999999999</v>
      </c>
      <c r="T510" s="61">
        <f>SUM(N510:S510)</f>
        <v>836.55700000000002</v>
      </c>
      <c r="U510" s="61">
        <f>T510+L510</f>
        <v>1334.6130000000001</v>
      </c>
      <c r="V510" s="61">
        <f>V505</f>
        <v>1456.1289999999999</v>
      </c>
      <c r="W510" s="72">
        <f>V510-U510</f>
        <v>121.51600000000001</v>
      </c>
      <c r="X510" s="63">
        <f>U505-U510</f>
        <v>0</v>
      </c>
    </row>
    <row r="511" spans="1:24" s="126" customFormat="1" ht="18" customHeight="1">
      <c r="A511" s="592"/>
      <c r="B511" s="576"/>
      <c r="C511" s="577"/>
      <c r="D511" s="201" t="str">
        <f>серпень!D434</f>
        <v>дотація</v>
      </c>
      <c r="E511" s="71"/>
      <c r="F511" s="61"/>
      <c r="G511" s="61"/>
      <c r="H511" s="61">
        <v>36.845999999999997</v>
      </c>
      <c r="I511" s="61">
        <v>14.13</v>
      </c>
      <c r="J511" s="61">
        <v>36.192999999999998</v>
      </c>
      <c r="K511" s="61">
        <v>67.36</v>
      </c>
      <c r="L511" s="61">
        <f>SUM(F511:K511)</f>
        <v>154.529</v>
      </c>
      <c r="M511" s="61">
        <f>L511/6</f>
        <v>25.754999999999999</v>
      </c>
      <c r="N511" s="61"/>
      <c r="O511" s="61"/>
      <c r="P511" s="61"/>
      <c r="Q511" s="61"/>
      <c r="R511" s="61"/>
      <c r="S511" s="61"/>
      <c r="T511" s="61">
        <f>SUM(N511:S511)</f>
        <v>0</v>
      </c>
      <c r="U511" s="61">
        <f>T511+L511</f>
        <v>154.529</v>
      </c>
      <c r="V511" s="61">
        <f>V506</f>
        <v>154.529</v>
      </c>
      <c r="W511" s="72">
        <f>V511-U511</f>
        <v>0</v>
      </c>
      <c r="X511" s="63">
        <f>U506-U511</f>
        <v>0</v>
      </c>
    </row>
    <row r="512" spans="1:24" s="126" customFormat="1" ht="18" customHeight="1">
      <c r="A512" s="592"/>
      <c r="B512" s="576"/>
      <c r="C512" s="577"/>
      <c r="D512" s="201" t="str">
        <f>серпень!D435</f>
        <v xml:space="preserve">місцевий </v>
      </c>
      <c r="E512" s="71"/>
      <c r="F512" s="61">
        <f t="shared" ref="F512:K512" si="552">F510-F511</f>
        <v>0</v>
      </c>
      <c r="G512" s="61">
        <f t="shared" si="552"/>
        <v>107.71599999999999</v>
      </c>
      <c r="H512" s="61">
        <f t="shared" si="552"/>
        <v>70.721999999999994</v>
      </c>
      <c r="I512" s="61">
        <f t="shared" si="552"/>
        <v>61.21</v>
      </c>
      <c r="J512" s="61">
        <f t="shared" si="552"/>
        <v>103.879</v>
      </c>
      <c r="K512" s="61">
        <f t="shared" si="552"/>
        <v>0</v>
      </c>
      <c r="L512" s="61">
        <f>SUM(F512:K512)</f>
        <v>343.52699999999999</v>
      </c>
      <c r="M512" s="61">
        <f>L512/6</f>
        <v>57.255000000000003</v>
      </c>
      <c r="N512" s="61">
        <f t="shared" ref="N512:S512" si="553">N510-N511</f>
        <v>73.802999999999997</v>
      </c>
      <c r="O512" s="61">
        <f t="shared" si="553"/>
        <v>64.171000000000006</v>
      </c>
      <c r="P512" s="61">
        <f t="shared" si="553"/>
        <v>83.2</v>
      </c>
      <c r="Q512" s="61">
        <f t="shared" si="553"/>
        <v>89.177999999999997</v>
      </c>
      <c r="R512" s="61">
        <f t="shared" si="553"/>
        <v>129.39699999999999</v>
      </c>
      <c r="S512" s="61">
        <f t="shared" si="553"/>
        <v>396.80799999999999</v>
      </c>
      <c r="T512" s="61">
        <f>SUM(N512:S512)</f>
        <v>836.55700000000002</v>
      </c>
      <c r="U512" s="61">
        <f>T512+L512</f>
        <v>1180.0840000000001</v>
      </c>
      <c r="V512" s="61">
        <f>V507</f>
        <v>1301.5999999999999</v>
      </c>
      <c r="W512" s="72">
        <f>V512-U512</f>
        <v>121.51600000000001</v>
      </c>
      <c r="X512" s="63">
        <f>U507-U512</f>
        <v>121.51600000000001</v>
      </c>
    </row>
    <row r="513" spans="1:28" s="43" customFormat="1" ht="18" customHeight="1">
      <c r="A513" s="592"/>
      <c r="B513" s="576"/>
      <c r="C513" s="577"/>
      <c r="D513" s="202" t="str">
        <f>серпень!D436</f>
        <v>план</v>
      </c>
      <c r="E513" s="42"/>
      <c r="F513" s="42">
        <f>F507+F506</f>
        <v>0</v>
      </c>
      <c r="G513" s="42">
        <f t="shared" ref="G513:K513" si="554">G507+G506</f>
        <v>105.096</v>
      </c>
      <c r="H513" s="42">
        <f t="shared" si="554"/>
        <v>105.089</v>
      </c>
      <c r="I513" s="42">
        <f t="shared" si="554"/>
        <v>72.23</v>
      </c>
      <c r="J513" s="42">
        <f t="shared" si="554"/>
        <v>162.095</v>
      </c>
      <c r="K513" s="42">
        <f t="shared" si="554"/>
        <v>0</v>
      </c>
      <c r="L513" s="42">
        <f>SUM(F513:K513)</f>
        <v>444.51</v>
      </c>
      <c r="M513" s="42">
        <f>L513/6</f>
        <v>74.084999999999994</v>
      </c>
      <c r="N513" s="42">
        <f>N507+N506</f>
        <v>42.47</v>
      </c>
      <c r="O513" s="42">
        <f t="shared" ref="O513:S513" si="555">O507+O506</f>
        <v>51.423000000000002</v>
      </c>
      <c r="P513" s="42">
        <f t="shared" si="555"/>
        <v>93.2</v>
      </c>
      <c r="Q513" s="42">
        <f t="shared" si="555"/>
        <v>109.746</v>
      </c>
      <c r="R513" s="42">
        <f t="shared" si="555"/>
        <v>129.39699999999999</v>
      </c>
      <c r="S513" s="42">
        <f t="shared" si="555"/>
        <v>585.38300000000004</v>
      </c>
      <c r="T513" s="42">
        <f>SUM(N513:S513)</f>
        <v>1011.619</v>
      </c>
      <c r="U513" s="42">
        <f>T513+L513</f>
        <v>1456.1289999999999</v>
      </c>
      <c r="V513" s="42">
        <f>V510</f>
        <v>1456.1289999999999</v>
      </c>
      <c r="W513" s="42">
        <f>V513-U513</f>
        <v>0</v>
      </c>
    </row>
    <row r="514" spans="1:28" s="43" customFormat="1" ht="18" customHeight="1">
      <c r="A514" s="592"/>
      <c r="B514" s="576"/>
      <c r="C514" s="577"/>
      <c r="D514" s="202" t="str">
        <f>серпень!D437</f>
        <v xml:space="preserve">відхилення </v>
      </c>
      <c r="E514" s="42"/>
      <c r="F514" s="42">
        <f t="shared" ref="F514:K514" si="556">F510-F513</f>
        <v>0</v>
      </c>
      <c r="G514" s="42">
        <f t="shared" si="556"/>
        <v>2.62</v>
      </c>
      <c r="H514" s="42">
        <f t="shared" si="556"/>
        <v>2.4790000000000001</v>
      </c>
      <c r="I514" s="42">
        <f t="shared" si="556"/>
        <v>3.11</v>
      </c>
      <c r="J514" s="42">
        <f t="shared" si="556"/>
        <v>-22.023</v>
      </c>
      <c r="K514" s="42">
        <f t="shared" si="556"/>
        <v>67.36</v>
      </c>
      <c r="L514" s="42"/>
      <c r="M514" s="42"/>
      <c r="N514" s="42">
        <f t="shared" ref="N514:S514" si="557">N510-N513</f>
        <v>31.332999999999998</v>
      </c>
      <c r="O514" s="42">
        <f t="shared" si="557"/>
        <v>12.747999999999999</v>
      </c>
      <c r="P514" s="42">
        <f t="shared" si="557"/>
        <v>-10</v>
      </c>
      <c r="Q514" s="42">
        <f t="shared" si="557"/>
        <v>-20.568000000000001</v>
      </c>
      <c r="R514" s="42">
        <f t="shared" si="557"/>
        <v>0</v>
      </c>
      <c r="S514" s="42">
        <f t="shared" si="557"/>
        <v>-188.57499999999999</v>
      </c>
      <c r="T514" s="42"/>
      <c r="U514" s="42"/>
      <c r="V514" s="42"/>
      <c r="W514" s="42"/>
    </row>
    <row r="515" spans="1:28" s="43" customFormat="1" ht="18" customHeight="1">
      <c r="A515" s="593"/>
      <c r="B515" s="578"/>
      <c r="C515" s="579"/>
      <c r="D515" s="202" t="str">
        <f>серпень!D438</f>
        <v>відхилення з наростаючим</v>
      </c>
      <c r="E515" s="42"/>
      <c r="F515" s="42">
        <f>F514</f>
        <v>0</v>
      </c>
      <c r="G515" s="42">
        <f>G514+F515</f>
        <v>2.62</v>
      </c>
      <c r="H515" s="42">
        <f>H514+G515</f>
        <v>5.0990000000000002</v>
      </c>
      <c r="I515" s="42">
        <f>I514+H515</f>
        <v>8.2089999999999996</v>
      </c>
      <c r="J515" s="42">
        <f>J514+I515</f>
        <v>-13.814</v>
      </c>
      <c r="K515" s="42">
        <f>K514+J515</f>
        <v>53.545999999999999</v>
      </c>
      <c r="L515" s="42"/>
      <c r="M515" s="42"/>
      <c r="N515" s="42">
        <f>N514+K515</f>
        <v>84.879000000000005</v>
      </c>
      <c r="O515" s="42">
        <f>O514+N515</f>
        <v>97.626999999999995</v>
      </c>
      <c r="P515" s="42">
        <f>P514+O515</f>
        <v>87.626999999999995</v>
      </c>
      <c r="Q515" s="42">
        <f>Q514+P515</f>
        <v>67.058999999999997</v>
      </c>
      <c r="R515" s="42">
        <f>R514+Q515</f>
        <v>67.058999999999997</v>
      </c>
      <c r="S515" s="42">
        <f>S514+R515</f>
        <v>-121.51600000000001</v>
      </c>
      <c r="T515" s="42"/>
      <c r="U515" s="42"/>
      <c r="V515" s="42"/>
      <c r="W515" s="42"/>
      <c r="AB515" s="58">
        <f>Z515-Z520</f>
        <v>0</v>
      </c>
    </row>
    <row r="516" spans="1:28" s="47" customFormat="1" ht="18" customHeight="1">
      <c r="A516" s="650">
        <v>2275</v>
      </c>
      <c r="B516" s="581" t="s">
        <v>70</v>
      </c>
      <c r="C516" s="581"/>
      <c r="D516" s="178" t="str">
        <f>серпень!D439</f>
        <v>факт. нат.п-ки 2023</v>
      </c>
      <c r="E516" s="11"/>
      <c r="F516" s="12">
        <f t="shared" ref="F516:K518" si="558">F533+F704</f>
        <v>40.9</v>
      </c>
      <c r="G516" s="12">
        <f t="shared" si="558"/>
        <v>40.9</v>
      </c>
      <c r="H516" s="12">
        <f t="shared" si="558"/>
        <v>52.7</v>
      </c>
      <c r="I516" s="12">
        <f t="shared" si="558"/>
        <v>51</v>
      </c>
      <c r="J516" s="12">
        <f t="shared" si="558"/>
        <v>49.7</v>
      </c>
      <c r="K516" s="12">
        <f t="shared" si="558"/>
        <v>31.6</v>
      </c>
      <c r="L516" s="117">
        <f>SUM(F516:K516)</f>
        <v>266.8</v>
      </c>
      <c r="M516" s="117">
        <f>L516/6</f>
        <v>44.5</v>
      </c>
      <c r="N516" s="12">
        <f t="shared" ref="N516:S518" si="559">N533+N704</f>
        <v>45.3</v>
      </c>
      <c r="O516" s="12">
        <f t="shared" si="559"/>
        <v>50.9</v>
      </c>
      <c r="P516" s="12">
        <f t="shared" si="559"/>
        <v>50.9</v>
      </c>
      <c r="Q516" s="12">
        <f t="shared" si="559"/>
        <v>53.7</v>
      </c>
      <c r="R516" s="12">
        <f t="shared" si="559"/>
        <v>53.7</v>
      </c>
      <c r="S516" s="12">
        <f t="shared" si="559"/>
        <v>53</v>
      </c>
      <c r="T516" s="117">
        <f>SUM(N516:S516)</f>
        <v>307.5</v>
      </c>
      <c r="U516" s="117">
        <f>T516+L516</f>
        <v>574.29999999999995</v>
      </c>
      <c r="V516" s="76">
        <f>V533+V704</f>
        <v>0</v>
      </c>
      <c r="W516" s="38"/>
    </row>
    <row r="517" spans="1:28" s="47" customFormat="1" ht="18" customHeight="1">
      <c r="A517" s="614"/>
      <c r="B517" s="581"/>
      <c r="C517" s="581"/>
      <c r="D517" s="178" t="str">
        <f>серпень!D440</f>
        <v>факт. нат.п-ки 2024</v>
      </c>
      <c r="E517" s="11"/>
      <c r="F517" s="12">
        <f t="shared" si="558"/>
        <v>42.7</v>
      </c>
      <c r="G517" s="12">
        <f t="shared" si="558"/>
        <v>41.3</v>
      </c>
      <c r="H517" s="12">
        <f t="shared" si="558"/>
        <v>44.6</v>
      </c>
      <c r="I517" s="12">
        <f t="shared" si="558"/>
        <v>49.7</v>
      </c>
      <c r="J517" s="12">
        <f t="shared" si="558"/>
        <v>47.7</v>
      </c>
      <c r="K517" s="12">
        <f t="shared" si="558"/>
        <v>42.9</v>
      </c>
      <c r="L517" s="117">
        <f>SUM(F517:K517)</f>
        <v>268.89999999999998</v>
      </c>
      <c r="M517" s="117">
        <f>L517/6</f>
        <v>44.8</v>
      </c>
      <c r="N517" s="12">
        <f t="shared" si="559"/>
        <v>50.1</v>
      </c>
      <c r="O517" s="12">
        <f t="shared" si="559"/>
        <v>45</v>
      </c>
      <c r="P517" s="12">
        <f t="shared" si="559"/>
        <v>46.1</v>
      </c>
      <c r="Q517" s="12">
        <f t="shared" si="559"/>
        <v>48.6</v>
      </c>
      <c r="R517" s="12">
        <f t="shared" si="559"/>
        <v>53.7</v>
      </c>
      <c r="S517" s="12">
        <f t="shared" si="559"/>
        <v>48.4</v>
      </c>
      <c r="T517" s="117">
        <f>SUM(N517:S517)</f>
        <v>291.89999999999998</v>
      </c>
      <c r="U517" s="117">
        <f>T517+L517</f>
        <v>560.79999999999995</v>
      </c>
      <c r="V517" s="76">
        <f>V534+V705</f>
        <v>0</v>
      </c>
      <c r="W517" s="38"/>
    </row>
    <row r="518" spans="1:28" s="47" customFormat="1" ht="18" customHeight="1">
      <c r="A518" s="614"/>
      <c r="B518" s="581"/>
      <c r="C518" s="581"/>
      <c r="D518" s="178" t="str">
        <f>серпень!D441</f>
        <v>факт. нат.п-ки 2025</v>
      </c>
      <c r="E518" s="11"/>
      <c r="F518" s="12">
        <f t="shared" si="558"/>
        <v>47.8</v>
      </c>
      <c r="G518" s="12">
        <f t="shared" si="558"/>
        <v>40</v>
      </c>
      <c r="H518" s="12">
        <f t="shared" si="558"/>
        <v>46.1</v>
      </c>
      <c r="I518" s="12">
        <f t="shared" si="558"/>
        <v>48.6</v>
      </c>
      <c r="J518" s="12">
        <f t="shared" si="558"/>
        <v>44.3</v>
      </c>
      <c r="K518" s="12">
        <f t="shared" si="558"/>
        <v>46.1</v>
      </c>
      <c r="L518" s="117">
        <f>SUM(F518:K518)</f>
        <v>272.89999999999998</v>
      </c>
      <c r="M518" s="117">
        <f>L518/6</f>
        <v>45.5</v>
      </c>
      <c r="N518" s="12">
        <f t="shared" si="559"/>
        <v>47.3</v>
      </c>
      <c r="O518" s="12">
        <f t="shared" si="559"/>
        <v>45</v>
      </c>
      <c r="P518" s="12">
        <f t="shared" si="559"/>
        <v>46.1</v>
      </c>
      <c r="Q518" s="12">
        <f t="shared" si="559"/>
        <v>48.6</v>
      </c>
      <c r="R518" s="12">
        <f t="shared" si="559"/>
        <v>53.7</v>
      </c>
      <c r="S518" s="12">
        <f t="shared" si="559"/>
        <v>57.1</v>
      </c>
      <c r="T518" s="117">
        <f>SUM(N518:S518)</f>
        <v>297.8</v>
      </c>
      <c r="U518" s="117">
        <f>T518+L518</f>
        <v>570.70000000000005</v>
      </c>
      <c r="V518" s="76">
        <f>V535+V706</f>
        <v>569.4</v>
      </c>
      <c r="W518" s="38">
        <f>V518-U518</f>
        <v>-1.3</v>
      </c>
    </row>
    <row r="519" spans="1:28" s="47" customFormat="1" ht="18" customHeight="1">
      <c r="A519" s="614"/>
      <c r="B519" s="581"/>
      <c r="C519" s="581"/>
      <c r="D519" s="187" t="str">
        <f>серпень!D442</f>
        <v>тариф, грн.</v>
      </c>
      <c r="E519" s="49" t="e">
        <f>E520/E518*1000</f>
        <v>#DIV/0!</v>
      </c>
      <c r="F519" s="49">
        <f t="shared" ref="F519:S519" si="560">F520/F518*1000</f>
        <v>191.77799999999999</v>
      </c>
      <c r="G519" s="49">
        <f t="shared" si="560"/>
        <v>196.45</v>
      </c>
      <c r="H519" s="49">
        <f t="shared" si="560"/>
        <v>192.798</v>
      </c>
      <c r="I519" s="49">
        <f t="shared" si="560"/>
        <v>191.255</v>
      </c>
      <c r="J519" s="49">
        <f t="shared" si="560"/>
        <v>193.40899999999999</v>
      </c>
      <c r="K519" s="49">
        <f t="shared" si="560"/>
        <v>192.71100000000001</v>
      </c>
      <c r="L519" s="49">
        <f t="shared" si="560"/>
        <v>192.964</v>
      </c>
      <c r="M519" s="49">
        <f t="shared" si="560"/>
        <v>192.90100000000001</v>
      </c>
      <c r="N519" s="49">
        <f t="shared" si="560"/>
        <v>192.47399999999999</v>
      </c>
      <c r="O519" s="49">
        <f t="shared" si="560"/>
        <v>212.46700000000001</v>
      </c>
      <c r="P519" s="49">
        <f t="shared" si="560"/>
        <v>211.43199999999999</v>
      </c>
      <c r="Q519" s="49">
        <f t="shared" si="560"/>
        <v>209.3</v>
      </c>
      <c r="R519" s="49">
        <f t="shared" si="560"/>
        <v>206.85300000000001</v>
      </c>
      <c r="S519" s="49">
        <f t="shared" si="560"/>
        <v>194.501</v>
      </c>
      <c r="T519" s="49">
        <f>T520/T518*1000</f>
        <v>204.15700000000001</v>
      </c>
      <c r="U519" s="49">
        <f>U520/U518*1000</f>
        <v>198.80500000000001</v>
      </c>
      <c r="V519" s="49">
        <f>V520/V518*1000</f>
        <v>209.23099999999999</v>
      </c>
      <c r="W519" s="49">
        <f>W520/W518*1000</f>
        <v>-4367.692</v>
      </c>
    </row>
    <row r="520" spans="1:28" s="130" customFormat="1" ht="18" customHeight="1">
      <c r="A520" s="614"/>
      <c r="B520" s="581"/>
      <c r="C520" s="581"/>
      <c r="D520" s="191" t="str">
        <f>серпень!D443</f>
        <v>сума, тис.грн.</v>
      </c>
      <c r="E520" s="52"/>
      <c r="F520" s="52">
        <f>F537+F708</f>
        <v>9.1669999999999998</v>
      </c>
      <c r="G520" s="52">
        <f t="shared" ref="G520:K520" si="561">G537+G708</f>
        <v>7.8579999999999997</v>
      </c>
      <c r="H520" s="52">
        <f t="shared" si="561"/>
        <v>8.8879999999999999</v>
      </c>
      <c r="I520" s="52">
        <f t="shared" si="561"/>
        <v>9.2949999999999999</v>
      </c>
      <c r="J520" s="52">
        <f t="shared" si="561"/>
        <v>8.5679999999999996</v>
      </c>
      <c r="K520" s="52">
        <f t="shared" si="561"/>
        <v>8.8840000000000003</v>
      </c>
      <c r="L520" s="69">
        <f>SUM(F520:K520)</f>
        <v>52.66</v>
      </c>
      <c r="M520" s="69">
        <f>L520/6</f>
        <v>8.7769999999999992</v>
      </c>
      <c r="N520" s="52">
        <f>N537+N708</f>
        <v>9.1039999999999992</v>
      </c>
      <c r="O520" s="52">
        <f t="shared" ref="O520:S520" si="562">O537+O708</f>
        <v>9.5609999999999999</v>
      </c>
      <c r="P520" s="52">
        <f t="shared" si="562"/>
        <v>9.7469999999999999</v>
      </c>
      <c r="Q520" s="52">
        <f t="shared" si="562"/>
        <v>10.172000000000001</v>
      </c>
      <c r="R520" s="52">
        <f t="shared" si="562"/>
        <v>11.108000000000001</v>
      </c>
      <c r="S520" s="52">
        <f t="shared" si="562"/>
        <v>11.106</v>
      </c>
      <c r="T520" s="69">
        <f>SUM(N520:S520)</f>
        <v>60.798000000000002</v>
      </c>
      <c r="U520" s="69">
        <f>T520+L520</f>
        <v>113.458</v>
      </c>
      <c r="V520" s="69">
        <f t="shared" ref="V520" si="563">V537+V708</f>
        <v>119.136</v>
      </c>
      <c r="W520" s="52">
        <f>V520-U520</f>
        <v>5.6779999999999999</v>
      </c>
    </row>
    <row r="521" spans="1:28" s="130" customFormat="1" ht="18" customHeight="1">
      <c r="A521" s="614"/>
      <c r="B521" s="581"/>
      <c r="C521" s="581"/>
      <c r="D521" s="174" t="str">
        <f>серпень!D444</f>
        <v>абоненська плата, тис.грн.</v>
      </c>
      <c r="E521" s="52"/>
      <c r="F521" s="52">
        <f>F538</f>
        <v>0</v>
      </c>
      <c r="G521" s="52">
        <f t="shared" ref="G521:K521" si="564">G538</f>
        <v>0</v>
      </c>
      <c r="H521" s="52">
        <f t="shared" si="564"/>
        <v>2E-3</v>
      </c>
      <c r="I521" s="52">
        <f t="shared" si="564"/>
        <v>2E-3</v>
      </c>
      <c r="J521" s="52">
        <f t="shared" si="564"/>
        <v>2E-3</v>
      </c>
      <c r="K521" s="52">
        <f t="shared" si="564"/>
        <v>4.0000000000000001E-3</v>
      </c>
      <c r="L521" s="69">
        <f t="shared" ref="L521:L524" si="565">SUM(F521:K521)</f>
        <v>0.01</v>
      </c>
      <c r="M521" s="69">
        <f t="shared" ref="M521:M524" si="566">L521/6</f>
        <v>2E-3</v>
      </c>
      <c r="N521" s="52">
        <f>N538</f>
        <v>4.0000000000000001E-3</v>
      </c>
      <c r="O521" s="52">
        <f t="shared" ref="O521:S521" si="567">O538</f>
        <v>4.0000000000000001E-3</v>
      </c>
      <c r="P521" s="52">
        <f t="shared" si="567"/>
        <v>4.0000000000000001E-3</v>
      </c>
      <c r="Q521" s="52">
        <f t="shared" si="567"/>
        <v>4.0000000000000001E-3</v>
      </c>
      <c r="R521" s="52">
        <f t="shared" si="567"/>
        <v>4.0000000000000001E-3</v>
      </c>
      <c r="S521" s="52">
        <f t="shared" si="567"/>
        <v>4.0000000000000001E-3</v>
      </c>
      <c r="T521" s="69">
        <f t="shared" ref="T521:T523" si="568">SUM(N521:S521)</f>
        <v>2.4E-2</v>
      </c>
      <c r="U521" s="69">
        <f t="shared" ref="U521:U523" si="569">T521+L521</f>
        <v>3.4000000000000002E-2</v>
      </c>
      <c r="V521" s="69">
        <f t="shared" ref="V521" si="570">V538</f>
        <v>0.05</v>
      </c>
      <c r="W521" s="52">
        <f t="shared" ref="W521:W522" si="571">V521-U521</f>
        <v>1.6E-2</v>
      </c>
    </row>
    <row r="522" spans="1:28" s="130" customFormat="1" ht="18" customHeight="1">
      <c r="A522" s="614"/>
      <c r="B522" s="581"/>
      <c r="C522" s="581"/>
      <c r="D522" s="174" t="str">
        <f>серпень!D445</f>
        <v>разом сума тис. грн+абонплата</v>
      </c>
      <c r="E522" s="52"/>
      <c r="F522" s="52">
        <f>F520+F521</f>
        <v>9.1669999999999998</v>
      </c>
      <c r="G522" s="52">
        <f t="shared" ref="G522:K522" si="572">G520+G521</f>
        <v>7.8579999999999997</v>
      </c>
      <c r="H522" s="52">
        <f t="shared" si="572"/>
        <v>8.89</v>
      </c>
      <c r="I522" s="52">
        <f t="shared" si="572"/>
        <v>9.2970000000000006</v>
      </c>
      <c r="J522" s="52">
        <f t="shared" si="572"/>
        <v>8.57</v>
      </c>
      <c r="K522" s="52">
        <f t="shared" si="572"/>
        <v>8.8879999999999999</v>
      </c>
      <c r="L522" s="69">
        <f t="shared" si="565"/>
        <v>52.67</v>
      </c>
      <c r="M522" s="69">
        <f t="shared" si="566"/>
        <v>8.7780000000000005</v>
      </c>
      <c r="N522" s="52">
        <f>N520+N521</f>
        <v>9.1080000000000005</v>
      </c>
      <c r="O522" s="52">
        <f t="shared" ref="O522" si="573">O520+O521</f>
        <v>9.5649999999999995</v>
      </c>
      <c r="P522" s="52">
        <f t="shared" ref="P522" si="574">P520+P521</f>
        <v>9.7509999999999994</v>
      </c>
      <c r="Q522" s="52">
        <f t="shared" ref="Q522" si="575">Q520+Q521</f>
        <v>10.176</v>
      </c>
      <c r="R522" s="52">
        <f t="shared" ref="R522" si="576">R520+R521</f>
        <v>11.112</v>
      </c>
      <c r="S522" s="52">
        <f t="shared" ref="S522" si="577">S520+S521</f>
        <v>11.11</v>
      </c>
      <c r="T522" s="69">
        <f t="shared" si="568"/>
        <v>60.822000000000003</v>
      </c>
      <c r="U522" s="69">
        <f t="shared" si="569"/>
        <v>113.492</v>
      </c>
      <c r="V522" s="69">
        <f t="shared" ref="V522" si="578">V520+V521</f>
        <v>119.18600000000001</v>
      </c>
      <c r="W522" s="52">
        <f t="shared" si="571"/>
        <v>5.694</v>
      </c>
    </row>
    <row r="523" spans="1:28" s="130" customFormat="1" ht="18" customHeight="1">
      <c r="A523" s="614"/>
      <c r="B523" s="581"/>
      <c r="C523" s="581"/>
      <c r="D523" s="174" t="str">
        <f>серпень!D446</f>
        <v>дотація</v>
      </c>
      <c r="E523" s="56"/>
      <c r="F523" s="52">
        <f>F540+F709</f>
        <v>0</v>
      </c>
      <c r="G523" s="52">
        <f t="shared" ref="G523:K523" si="579">G540+G709</f>
        <v>0</v>
      </c>
      <c r="H523" s="52">
        <f t="shared" si="579"/>
        <v>0</v>
      </c>
      <c r="I523" s="52">
        <f t="shared" si="579"/>
        <v>0</v>
      </c>
      <c r="J523" s="52">
        <f t="shared" si="579"/>
        <v>0</v>
      </c>
      <c r="K523" s="52">
        <f t="shared" si="579"/>
        <v>0</v>
      </c>
      <c r="L523" s="69">
        <f t="shared" si="565"/>
        <v>0</v>
      </c>
      <c r="M523" s="69">
        <f t="shared" si="566"/>
        <v>0</v>
      </c>
      <c r="N523" s="52">
        <f>N540+N709</f>
        <v>0</v>
      </c>
      <c r="O523" s="52">
        <f t="shared" ref="O523:S523" si="580">O540+O709</f>
        <v>0</v>
      </c>
      <c r="P523" s="52">
        <f t="shared" si="580"/>
        <v>0</v>
      </c>
      <c r="Q523" s="52">
        <f t="shared" si="580"/>
        <v>0</v>
      </c>
      <c r="R523" s="52">
        <f t="shared" si="580"/>
        <v>0</v>
      </c>
      <c r="S523" s="52">
        <f t="shared" si="580"/>
        <v>0</v>
      </c>
      <c r="T523" s="69">
        <f t="shared" si="568"/>
        <v>0</v>
      </c>
      <c r="U523" s="69">
        <f t="shared" si="569"/>
        <v>0</v>
      </c>
      <c r="V523" s="69">
        <f t="shared" ref="V523" si="581">V540+V709</f>
        <v>0</v>
      </c>
      <c r="W523" s="52">
        <f>V523-U523</f>
        <v>0</v>
      </c>
      <c r="X523" s="134"/>
    </row>
    <row r="524" spans="1:28" s="130" customFormat="1" ht="18" customHeight="1">
      <c r="A524" s="614"/>
      <c r="B524" s="581"/>
      <c r="C524" s="581"/>
      <c r="D524" s="174" t="str">
        <f>серпень!D447</f>
        <v>місцевий (план), тис.грн</v>
      </c>
      <c r="E524" s="56"/>
      <c r="F524" s="52">
        <f>F541+F710</f>
        <v>0</v>
      </c>
      <c r="G524" s="52">
        <f t="shared" ref="G524:K524" si="582">G541+G710</f>
        <v>9.1669999999999998</v>
      </c>
      <c r="H524" s="52">
        <f t="shared" si="582"/>
        <v>8.9339999999999993</v>
      </c>
      <c r="I524" s="52">
        <f t="shared" si="582"/>
        <v>8.27</v>
      </c>
      <c r="J524" s="52">
        <f t="shared" si="582"/>
        <v>9.4819999999999993</v>
      </c>
      <c r="K524" s="52">
        <f t="shared" si="582"/>
        <v>7.9279999999999999</v>
      </c>
      <c r="L524" s="69">
        <f t="shared" si="565"/>
        <v>43.780999999999999</v>
      </c>
      <c r="M524" s="69">
        <f t="shared" si="566"/>
        <v>7.2969999999999997</v>
      </c>
      <c r="N524" s="52">
        <f>N541+N710</f>
        <v>9.0589999999999993</v>
      </c>
      <c r="O524" s="52">
        <f t="shared" ref="O524:S524" si="583">O541+O710</f>
        <v>8.9740000000000002</v>
      </c>
      <c r="P524" s="52">
        <f t="shared" si="583"/>
        <v>10.525</v>
      </c>
      <c r="Q524" s="52">
        <f t="shared" si="583"/>
        <v>11.757</v>
      </c>
      <c r="R524" s="52">
        <f t="shared" si="583"/>
        <v>11.138999999999999</v>
      </c>
      <c r="S524" s="52">
        <f t="shared" si="583"/>
        <v>23.951000000000001</v>
      </c>
      <c r="T524" s="69">
        <f>SUM(N524:S524)</f>
        <v>75.405000000000001</v>
      </c>
      <c r="U524" s="69">
        <f>T524+L524</f>
        <v>119.18600000000001</v>
      </c>
      <c r="V524" s="69">
        <f t="shared" ref="V524" si="584">V541+V710</f>
        <v>119.18600000000001</v>
      </c>
      <c r="W524" s="52">
        <f>V524-U524</f>
        <v>0</v>
      </c>
    </row>
    <row r="525" spans="1:28" s="47" customFormat="1" ht="18" customHeight="1">
      <c r="A525" s="614"/>
      <c r="B525" s="581"/>
      <c r="C525" s="581"/>
      <c r="D525" s="178" t="str">
        <f>серпень!D448</f>
        <v>касові нат.п-ки 2025</v>
      </c>
      <c r="E525" s="12">
        <f>E542+E711</f>
        <v>0</v>
      </c>
      <c r="F525" s="12">
        <f>F542+F711</f>
        <v>0</v>
      </c>
      <c r="G525" s="12">
        <f>G542+G711</f>
        <v>47.8</v>
      </c>
      <c r="H525" s="12">
        <f>H542+H711</f>
        <v>40</v>
      </c>
      <c r="I525" s="12">
        <f>I542+I711</f>
        <v>46.1</v>
      </c>
      <c r="J525" s="12">
        <f>J542+J711</f>
        <v>48.6</v>
      </c>
      <c r="K525" s="12">
        <f>K542+K711</f>
        <v>44.3</v>
      </c>
      <c r="L525" s="117">
        <f>SUM(F525:K525)</f>
        <v>226.8</v>
      </c>
      <c r="M525" s="117">
        <f>L525/6</f>
        <v>37.799999999999997</v>
      </c>
      <c r="N525" s="12">
        <f>N542+N711</f>
        <v>46.1</v>
      </c>
      <c r="O525" s="12">
        <f>O542+O711</f>
        <v>47.3</v>
      </c>
      <c r="P525" s="12">
        <f>P542+P711</f>
        <v>45</v>
      </c>
      <c r="Q525" s="12">
        <f>Q542+Q711</f>
        <v>46.1</v>
      </c>
      <c r="R525" s="12">
        <f>R542+R711</f>
        <v>48.6</v>
      </c>
      <c r="S525" s="12">
        <f>S542+S711</f>
        <v>110.8</v>
      </c>
      <c r="T525" s="117">
        <f>SUM(N525:S525)</f>
        <v>343.9</v>
      </c>
      <c r="U525" s="117">
        <f>T525+L525</f>
        <v>570.70000000000005</v>
      </c>
      <c r="V525" s="76">
        <f>V542+V711</f>
        <v>569.4</v>
      </c>
      <c r="W525" s="38">
        <f>V525-U525</f>
        <v>-1.3</v>
      </c>
      <c r="X525" s="47">
        <f>U518-U525</f>
        <v>0</v>
      </c>
    </row>
    <row r="526" spans="1:28" s="47" customFormat="1" ht="18" customHeight="1">
      <c r="A526" s="614"/>
      <c r="B526" s="581"/>
      <c r="C526" s="581"/>
      <c r="D526" s="187" t="str">
        <f>серпень!D449</f>
        <v>тариф, грн.</v>
      </c>
      <c r="E526" s="49" t="e">
        <f>E527/E525*1000</f>
        <v>#DIV/0!</v>
      </c>
      <c r="F526" s="49" t="e">
        <f t="shared" ref="F526:S526" si="585">F527/F525*1000</f>
        <v>#DIV/0!</v>
      </c>
      <c r="G526" s="49">
        <f t="shared" si="585"/>
        <v>191.77799999999999</v>
      </c>
      <c r="H526" s="49">
        <f t="shared" si="585"/>
        <v>196.45</v>
      </c>
      <c r="I526" s="49">
        <f t="shared" si="585"/>
        <v>192.798</v>
      </c>
      <c r="J526" s="49">
        <f t="shared" si="585"/>
        <v>191.23500000000001</v>
      </c>
      <c r="K526" s="49">
        <f t="shared" si="585"/>
        <v>193.499</v>
      </c>
      <c r="L526" s="49">
        <f t="shared" si="585"/>
        <v>193.029</v>
      </c>
      <c r="M526" s="49">
        <f t="shared" si="585"/>
        <v>193.042</v>
      </c>
      <c r="N526" s="49">
        <f t="shared" si="585"/>
        <v>192.798</v>
      </c>
      <c r="O526" s="49">
        <f t="shared" si="585"/>
        <v>192.6</v>
      </c>
      <c r="P526" s="49">
        <f t="shared" si="585"/>
        <v>212.55600000000001</v>
      </c>
      <c r="Q526" s="49">
        <f t="shared" si="585"/>
        <v>211.518</v>
      </c>
      <c r="R526" s="49">
        <f t="shared" si="585"/>
        <v>209.38300000000001</v>
      </c>
      <c r="S526" s="49">
        <f t="shared" si="585"/>
        <v>200.56899999999999</v>
      </c>
      <c r="T526" s="49">
        <f>T527/T525*1000</f>
        <v>202.71299999999999</v>
      </c>
      <c r="U526" s="49">
        <f>U527/U525*1000</f>
        <v>198.86500000000001</v>
      </c>
      <c r="V526" s="49">
        <f>V527/V525*1000</f>
        <v>209.31899999999999</v>
      </c>
      <c r="W526" s="49">
        <f>W527/W525*1000</f>
        <v>-4380</v>
      </c>
      <c r="X526" s="59"/>
    </row>
    <row r="527" spans="1:28" s="63" customFormat="1" ht="18" customHeight="1">
      <c r="A527" s="614"/>
      <c r="B527" s="581"/>
      <c r="C527" s="581"/>
      <c r="D527" s="198" t="str">
        <f>серпень!D450</f>
        <v>касові видатки, тис.грн.</v>
      </c>
      <c r="E527" s="72">
        <f t="shared" ref="E527:K527" si="586">E544+E713</f>
        <v>0</v>
      </c>
      <c r="F527" s="61">
        <f t="shared" si="586"/>
        <v>0</v>
      </c>
      <c r="G527" s="61">
        <f t="shared" si="586"/>
        <v>9.1669999999999998</v>
      </c>
      <c r="H527" s="61">
        <f t="shared" si="586"/>
        <v>7.8579999999999997</v>
      </c>
      <c r="I527" s="61">
        <f t="shared" si="586"/>
        <v>8.8879999999999999</v>
      </c>
      <c r="J527" s="61">
        <f t="shared" si="586"/>
        <v>9.2940000000000005</v>
      </c>
      <c r="K527" s="61">
        <f t="shared" si="586"/>
        <v>8.5719999999999992</v>
      </c>
      <c r="L527" s="61">
        <f>SUM(F527:K527)</f>
        <v>43.779000000000003</v>
      </c>
      <c r="M527" s="61">
        <f>L527/6</f>
        <v>7.2969999999999997</v>
      </c>
      <c r="N527" s="61">
        <f t="shared" ref="N527:S529" si="587">N544+N713</f>
        <v>8.8879999999999999</v>
      </c>
      <c r="O527" s="61">
        <f t="shared" si="587"/>
        <v>9.11</v>
      </c>
      <c r="P527" s="61">
        <f t="shared" si="587"/>
        <v>9.5649999999999995</v>
      </c>
      <c r="Q527" s="61">
        <f t="shared" si="587"/>
        <v>9.7509999999999994</v>
      </c>
      <c r="R527" s="61">
        <f t="shared" si="587"/>
        <v>10.176</v>
      </c>
      <c r="S527" s="61">
        <f t="shared" si="587"/>
        <v>22.222999999999999</v>
      </c>
      <c r="T527" s="61">
        <f>SUM(N527:S527)</f>
        <v>69.712999999999994</v>
      </c>
      <c r="U527" s="61">
        <f>T527+L527</f>
        <v>113.492</v>
      </c>
      <c r="V527" s="61">
        <f>V544+V713</f>
        <v>119.18600000000001</v>
      </c>
      <c r="W527" s="72">
        <f>V527-U527</f>
        <v>5.694</v>
      </c>
      <c r="X527" s="63">
        <f>U522-U527</f>
        <v>0</v>
      </c>
    </row>
    <row r="528" spans="1:28" s="63" customFormat="1" ht="18" customHeight="1">
      <c r="A528" s="614"/>
      <c r="B528" s="581"/>
      <c r="C528" s="581"/>
      <c r="D528" s="201" t="str">
        <f>серпень!D451</f>
        <v>дотація</v>
      </c>
      <c r="E528" s="71"/>
      <c r="F528" s="61">
        <f t="shared" ref="F528:K529" si="588">F545+F714</f>
        <v>0</v>
      </c>
      <c r="G528" s="61">
        <f t="shared" si="588"/>
        <v>0</v>
      </c>
      <c r="H528" s="61">
        <f t="shared" si="588"/>
        <v>0</v>
      </c>
      <c r="I528" s="61">
        <f t="shared" si="588"/>
        <v>0</v>
      </c>
      <c r="J528" s="61">
        <f t="shared" si="588"/>
        <v>0</v>
      </c>
      <c r="K528" s="61">
        <f t="shared" si="588"/>
        <v>0</v>
      </c>
      <c r="L528" s="61">
        <f>SUM(F528:K528)</f>
        <v>0</v>
      </c>
      <c r="M528" s="61">
        <f>L528/6</f>
        <v>0</v>
      </c>
      <c r="N528" s="61">
        <f t="shared" si="587"/>
        <v>0</v>
      </c>
      <c r="O528" s="61">
        <f t="shared" si="587"/>
        <v>0</v>
      </c>
      <c r="P528" s="61">
        <f t="shared" si="587"/>
        <v>0</v>
      </c>
      <c r="Q528" s="61">
        <f t="shared" si="587"/>
        <v>0</v>
      </c>
      <c r="R528" s="61">
        <f t="shared" si="587"/>
        <v>0</v>
      </c>
      <c r="S528" s="61">
        <f t="shared" si="587"/>
        <v>0</v>
      </c>
      <c r="T528" s="61">
        <f>SUM(N528:S528)</f>
        <v>0</v>
      </c>
      <c r="U528" s="61">
        <f>T528+L528</f>
        <v>0</v>
      </c>
      <c r="V528" s="61">
        <f>V545+V714</f>
        <v>0</v>
      </c>
      <c r="W528" s="72">
        <f>V528-U528</f>
        <v>0</v>
      </c>
      <c r="X528" s="63">
        <f>U523-U528</f>
        <v>0</v>
      </c>
    </row>
    <row r="529" spans="1:24" s="63" customFormat="1" ht="18" customHeight="1">
      <c r="A529" s="614"/>
      <c r="B529" s="581"/>
      <c r="C529" s="581"/>
      <c r="D529" s="201" t="str">
        <f>серпень!D452</f>
        <v xml:space="preserve">місцевий </v>
      </c>
      <c r="E529" s="71"/>
      <c r="F529" s="61">
        <f t="shared" si="588"/>
        <v>0</v>
      </c>
      <c r="G529" s="61">
        <f t="shared" si="588"/>
        <v>9.1669999999999998</v>
      </c>
      <c r="H529" s="61">
        <f t="shared" si="588"/>
        <v>7.8579999999999997</v>
      </c>
      <c r="I529" s="61">
        <f t="shared" si="588"/>
        <v>8.8879999999999999</v>
      </c>
      <c r="J529" s="61">
        <f t="shared" si="588"/>
        <v>9.2940000000000005</v>
      </c>
      <c r="K529" s="61">
        <f t="shared" si="588"/>
        <v>8.5719999999999992</v>
      </c>
      <c r="L529" s="61">
        <f>SUM(F529:K529)</f>
        <v>43.779000000000003</v>
      </c>
      <c r="M529" s="61">
        <f>L529/6</f>
        <v>7.2969999999999997</v>
      </c>
      <c r="N529" s="61">
        <f t="shared" si="587"/>
        <v>8.8879999999999999</v>
      </c>
      <c r="O529" s="61">
        <f t="shared" si="587"/>
        <v>9.11</v>
      </c>
      <c r="P529" s="61">
        <f t="shared" si="587"/>
        <v>9.5649999999999995</v>
      </c>
      <c r="Q529" s="61">
        <f t="shared" si="587"/>
        <v>9.7509999999999994</v>
      </c>
      <c r="R529" s="61">
        <f t="shared" si="587"/>
        <v>10.176</v>
      </c>
      <c r="S529" s="61">
        <f t="shared" si="587"/>
        <v>22.222999999999999</v>
      </c>
      <c r="T529" s="61">
        <f>SUM(N529:S529)</f>
        <v>69.712999999999994</v>
      </c>
      <c r="U529" s="61">
        <f>T529+L529</f>
        <v>113.492</v>
      </c>
      <c r="V529" s="61">
        <f>V546+V715</f>
        <v>119.18600000000001</v>
      </c>
      <c r="W529" s="72">
        <f>V529-U529</f>
        <v>5.694</v>
      </c>
      <c r="X529" s="63">
        <f>U524-U529</f>
        <v>5.694</v>
      </c>
    </row>
    <row r="530" spans="1:24" s="43" customFormat="1" ht="18" customHeight="1">
      <c r="A530" s="614"/>
      <c r="B530" s="581"/>
      <c r="C530" s="581"/>
      <c r="D530" s="202" t="str">
        <f>серпень!D453</f>
        <v>план</v>
      </c>
      <c r="E530" s="42"/>
      <c r="F530" s="42">
        <f t="shared" ref="F530:K530" si="589">F524</f>
        <v>0</v>
      </c>
      <c r="G530" s="42">
        <f t="shared" si="589"/>
        <v>9.1669999999999998</v>
      </c>
      <c r="H530" s="42">
        <f t="shared" si="589"/>
        <v>8.9339999999999993</v>
      </c>
      <c r="I530" s="42">
        <f t="shared" si="589"/>
        <v>8.27</v>
      </c>
      <c r="J530" s="42">
        <f t="shared" si="589"/>
        <v>9.4819999999999993</v>
      </c>
      <c r="K530" s="42">
        <f t="shared" si="589"/>
        <v>7.9279999999999999</v>
      </c>
      <c r="L530" s="42">
        <f>SUM(F530:K530)</f>
        <v>43.780999999999999</v>
      </c>
      <c r="M530" s="42">
        <f>L530/6</f>
        <v>7.2969999999999997</v>
      </c>
      <c r="N530" s="42">
        <f t="shared" ref="N530:S530" si="590">N524</f>
        <v>9.0589999999999993</v>
      </c>
      <c r="O530" s="42">
        <f t="shared" si="590"/>
        <v>8.9740000000000002</v>
      </c>
      <c r="P530" s="42">
        <f t="shared" si="590"/>
        <v>10.525</v>
      </c>
      <c r="Q530" s="42">
        <f t="shared" si="590"/>
        <v>11.757</v>
      </c>
      <c r="R530" s="42">
        <f t="shared" si="590"/>
        <v>11.138999999999999</v>
      </c>
      <c r="S530" s="42">
        <f t="shared" si="590"/>
        <v>23.951000000000001</v>
      </c>
      <c r="T530" s="42">
        <f>SUM(N530:S530)</f>
        <v>75.405000000000001</v>
      </c>
      <c r="U530" s="42">
        <f>T530+L530</f>
        <v>119.18600000000001</v>
      </c>
      <c r="V530" s="42">
        <f>V524</f>
        <v>119.18600000000001</v>
      </c>
      <c r="W530" s="42">
        <f>V530-U530</f>
        <v>0</v>
      </c>
    </row>
    <row r="531" spans="1:24" s="43" customFormat="1" ht="18" customHeight="1">
      <c r="A531" s="614"/>
      <c r="B531" s="581"/>
      <c r="C531" s="581"/>
      <c r="D531" s="202" t="str">
        <f>серпень!D454</f>
        <v xml:space="preserve">відхилення </v>
      </c>
      <c r="E531" s="42"/>
      <c r="F531" s="42">
        <f t="shared" ref="F531:K531" si="591">F527-F530</f>
        <v>0</v>
      </c>
      <c r="G531" s="42">
        <f t="shared" si="591"/>
        <v>0</v>
      </c>
      <c r="H531" s="42">
        <f t="shared" si="591"/>
        <v>-1.0760000000000001</v>
      </c>
      <c r="I531" s="42">
        <f t="shared" si="591"/>
        <v>0.61799999999999999</v>
      </c>
      <c r="J531" s="42">
        <f t="shared" si="591"/>
        <v>-0.188</v>
      </c>
      <c r="K531" s="42">
        <f t="shared" si="591"/>
        <v>0.64400000000000002</v>
      </c>
      <c r="L531" s="42"/>
      <c r="M531" s="42"/>
      <c r="N531" s="42">
        <f t="shared" ref="N531:S531" si="592">N527-N530</f>
        <v>-0.17100000000000001</v>
      </c>
      <c r="O531" s="42">
        <f t="shared" si="592"/>
        <v>0.13600000000000001</v>
      </c>
      <c r="P531" s="42">
        <f t="shared" si="592"/>
        <v>-0.96</v>
      </c>
      <c r="Q531" s="42">
        <f t="shared" si="592"/>
        <v>-2.0059999999999998</v>
      </c>
      <c r="R531" s="42">
        <f t="shared" si="592"/>
        <v>-0.96299999999999997</v>
      </c>
      <c r="S531" s="42">
        <f t="shared" si="592"/>
        <v>-1.728</v>
      </c>
      <c r="T531" s="42"/>
      <c r="U531" s="42"/>
      <c r="V531" s="42"/>
      <c r="W531" s="42"/>
    </row>
    <row r="532" spans="1:24" s="43" customFormat="1" ht="18" customHeight="1">
      <c r="A532" s="614"/>
      <c r="B532" s="581"/>
      <c r="C532" s="581"/>
      <c r="D532" s="202" t="str">
        <f>серпень!D455</f>
        <v>відхилення з наростаючим</v>
      </c>
      <c r="E532" s="42"/>
      <c r="F532" s="42">
        <f>F531</f>
        <v>0</v>
      </c>
      <c r="G532" s="42">
        <f>G531+F532</f>
        <v>0</v>
      </c>
      <c r="H532" s="42">
        <f>H531+G532</f>
        <v>-1.0760000000000001</v>
      </c>
      <c r="I532" s="42">
        <f>I531+H532</f>
        <v>-0.45800000000000002</v>
      </c>
      <c r="J532" s="42">
        <f>J531+I532</f>
        <v>-0.64600000000000002</v>
      </c>
      <c r="K532" s="42">
        <f>K531+J532</f>
        <v>-2E-3</v>
      </c>
      <c r="L532" s="42"/>
      <c r="M532" s="42"/>
      <c r="N532" s="42">
        <f>N531+K532</f>
        <v>-0.17299999999999999</v>
      </c>
      <c r="O532" s="42">
        <f>O531+N532</f>
        <v>-3.6999999999999998E-2</v>
      </c>
      <c r="P532" s="42">
        <f>P531+O532</f>
        <v>-0.997</v>
      </c>
      <c r="Q532" s="42">
        <f>Q531+P532</f>
        <v>-3.0030000000000001</v>
      </c>
      <c r="R532" s="42">
        <f>R531+Q532</f>
        <v>-3.9660000000000002</v>
      </c>
      <c r="S532" s="42">
        <f>S531+R532</f>
        <v>-5.694</v>
      </c>
      <c r="T532" s="42"/>
      <c r="U532" s="42"/>
      <c r="V532" s="42"/>
      <c r="W532" s="42"/>
    </row>
    <row r="533" spans="1:24" s="47" customFormat="1" ht="18" customHeight="1">
      <c r="A533" s="614"/>
      <c r="B533" s="576" t="s">
        <v>90</v>
      </c>
      <c r="C533" s="577"/>
      <c r="D533" s="178" t="str">
        <f>серпень!D456</f>
        <v>факт. нат.п-ки 2023</v>
      </c>
      <c r="E533" s="11"/>
      <c r="F533" s="82">
        <f t="shared" ref="F533:K535" si="593">F550+F627</f>
        <v>40.880000000000003</v>
      </c>
      <c r="G533" s="82">
        <f t="shared" si="593"/>
        <v>40.880000000000003</v>
      </c>
      <c r="H533" s="82">
        <f t="shared" si="593"/>
        <v>52.7</v>
      </c>
      <c r="I533" s="82">
        <f t="shared" si="593"/>
        <v>51</v>
      </c>
      <c r="J533" s="82">
        <f t="shared" si="593"/>
        <v>49.7</v>
      </c>
      <c r="K533" s="82">
        <f t="shared" si="593"/>
        <v>31.55</v>
      </c>
      <c r="L533" s="467">
        <f>SUM(F533:K533)</f>
        <v>266.70999999999998</v>
      </c>
      <c r="M533" s="467">
        <f>L533/6</f>
        <v>44.451999999999998</v>
      </c>
      <c r="N533" s="82">
        <f t="shared" ref="N533:S535" si="594">N550+N627</f>
        <v>45.28</v>
      </c>
      <c r="O533" s="82">
        <f t="shared" si="594"/>
        <v>50.88</v>
      </c>
      <c r="P533" s="82">
        <f t="shared" si="594"/>
        <v>50.88</v>
      </c>
      <c r="Q533" s="82">
        <f t="shared" si="594"/>
        <v>53.7</v>
      </c>
      <c r="R533" s="82">
        <f t="shared" si="594"/>
        <v>53.7</v>
      </c>
      <c r="S533" s="82">
        <f t="shared" si="594"/>
        <v>53</v>
      </c>
      <c r="T533" s="467">
        <f>SUM(N533:S533)</f>
        <v>307.44</v>
      </c>
      <c r="U533" s="467">
        <f>T533+L533</f>
        <v>574.15</v>
      </c>
      <c r="V533" s="404"/>
      <c r="W533" s="505"/>
    </row>
    <row r="534" spans="1:24" s="47" customFormat="1" ht="18" customHeight="1">
      <c r="A534" s="614"/>
      <c r="B534" s="576"/>
      <c r="C534" s="577"/>
      <c r="D534" s="178" t="str">
        <f>серпень!D457</f>
        <v>факт. нат.п-ки 2024</v>
      </c>
      <c r="E534" s="11"/>
      <c r="F534" s="82">
        <f t="shared" si="593"/>
        <v>42.65</v>
      </c>
      <c r="G534" s="82">
        <f t="shared" si="593"/>
        <v>41.29</v>
      </c>
      <c r="H534" s="82">
        <f t="shared" si="593"/>
        <v>44.59</v>
      </c>
      <c r="I534" s="82">
        <f t="shared" si="593"/>
        <v>49.7</v>
      </c>
      <c r="J534" s="82">
        <f t="shared" si="593"/>
        <v>47.7</v>
      </c>
      <c r="K534" s="82">
        <f t="shared" si="593"/>
        <v>42.9</v>
      </c>
      <c r="L534" s="467">
        <f>SUM(F534:K534)</f>
        <v>268.83</v>
      </c>
      <c r="M534" s="467">
        <f>L534/6</f>
        <v>44.805</v>
      </c>
      <c r="N534" s="82">
        <f t="shared" si="594"/>
        <v>50.1</v>
      </c>
      <c r="O534" s="82">
        <f t="shared" si="594"/>
        <v>45</v>
      </c>
      <c r="P534" s="82">
        <f t="shared" si="594"/>
        <v>46.1</v>
      </c>
      <c r="Q534" s="82">
        <f t="shared" si="594"/>
        <v>48.6</v>
      </c>
      <c r="R534" s="82">
        <f t="shared" si="594"/>
        <v>53.7</v>
      </c>
      <c r="S534" s="82">
        <f t="shared" si="594"/>
        <v>48.4</v>
      </c>
      <c r="T534" s="467">
        <f>SUM(N534:S534)</f>
        <v>291.89999999999998</v>
      </c>
      <c r="U534" s="467">
        <f>T534+L534</f>
        <v>560.73</v>
      </c>
      <c r="V534" s="404"/>
      <c r="W534" s="505"/>
    </row>
    <row r="535" spans="1:24" s="47" customFormat="1" ht="18" customHeight="1">
      <c r="A535" s="614"/>
      <c r="B535" s="576"/>
      <c r="C535" s="577"/>
      <c r="D535" s="178" t="str">
        <f>серпень!D458</f>
        <v>факт. нат.п-ки 2025</v>
      </c>
      <c r="E535" s="11"/>
      <c r="F535" s="82">
        <f t="shared" si="593"/>
        <v>47.808999999999997</v>
      </c>
      <c r="G535" s="82">
        <f t="shared" si="593"/>
        <v>40.012</v>
      </c>
      <c r="H535" s="82">
        <f t="shared" si="593"/>
        <v>46.145000000000003</v>
      </c>
      <c r="I535" s="82">
        <f t="shared" si="593"/>
        <v>48.57</v>
      </c>
      <c r="J535" s="82">
        <f t="shared" si="593"/>
        <v>44.267000000000003</v>
      </c>
      <c r="K535" s="82">
        <f t="shared" si="593"/>
        <v>46.134</v>
      </c>
      <c r="L535" s="467">
        <f>SUM(F535:K535)</f>
        <v>272.93700000000001</v>
      </c>
      <c r="M535" s="467">
        <f>L535/6</f>
        <v>45.49</v>
      </c>
      <c r="N535" s="82">
        <f t="shared" si="594"/>
        <v>47.3</v>
      </c>
      <c r="O535" s="82">
        <f t="shared" si="594"/>
        <v>45</v>
      </c>
      <c r="P535" s="82">
        <f t="shared" si="594"/>
        <v>46.1</v>
      </c>
      <c r="Q535" s="82">
        <f t="shared" si="594"/>
        <v>48.6</v>
      </c>
      <c r="R535" s="82">
        <f t="shared" si="594"/>
        <v>53.7</v>
      </c>
      <c r="S535" s="82">
        <f t="shared" si="594"/>
        <v>57.07</v>
      </c>
      <c r="T535" s="467">
        <f>SUM(N535:S535)</f>
        <v>297.77</v>
      </c>
      <c r="U535" s="467">
        <f>T535+L535</f>
        <v>570.70699999999999</v>
      </c>
      <c r="V535" s="404">
        <f>V552+V629</f>
        <v>569.4</v>
      </c>
      <c r="W535" s="505">
        <f>V535-U535</f>
        <v>-1.3069999999999999</v>
      </c>
    </row>
    <row r="536" spans="1:24" s="47" customFormat="1" ht="18" customHeight="1">
      <c r="A536" s="614"/>
      <c r="B536" s="576"/>
      <c r="C536" s="577"/>
      <c r="D536" s="187" t="str">
        <f>серпень!D459</f>
        <v>тариф, грн.</v>
      </c>
      <c r="E536" s="49" t="e">
        <f>E537/E535*1000</f>
        <v>#DIV/0!</v>
      </c>
      <c r="F536" s="49">
        <f t="shared" ref="F536:S536" si="595">F537/F535*1000</f>
        <v>191.74199999999999</v>
      </c>
      <c r="G536" s="49">
        <f t="shared" si="595"/>
        <v>196.39099999999999</v>
      </c>
      <c r="H536" s="49">
        <f t="shared" si="595"/>
        <v>192.61</v>
      </c>
      <c r="I536" s="49">
        <f t="shared" si="595"/>
        <v>191.37299999999999</v>
      </c>
      <c r="J536" s="49">
        <f t="shared" si="595"/>
        <v>193.553</v>
      </c>
      <c r="K536" s="49">
        <f t="shared" si="595"/>
        <v>192.56899999999999</v>
      </c>
      <c r="L536" s="49">
        <f t="shared" si="595"/>
        <v>192.93799999999999</v>
      </c>
      <c r="M536" s="49">
        <f t="shared" si="595"/>
        <v>192.94399999999999</v>
      </c>
      <c r="N536" s="49">
        <f t="shared" si="595"/>
        <v>192.47399999999999</v>
      </c>
      <c r="O536" s="49">
        <f t="shared" si="595"/>
        <v>212.46700000000001</v>
      </c>
      <c r="P536" s="49">
        <f t="shared" si="595"/>
        <v>211.43199999999999</v>
      </c>
      <c r="Q536" s="49">
        <f t="shared" si="595"/>
        <v>209.3</v>
      </c>
      <c r="R536" s="49">
        <f t="shared" si="595"/>
        <v>206.85300000000001</v>
      </c>
      <c r="S536" s="49">
        <f t="shared" si="595"/>
        <v>194.60300000000001</v>
      </c>
      <c r="T536" s="49">
        <f>T537/T535*1000</f>
        <v>204.178</v>
      </c>
      <c r="U536" s="49">
        <f>U537/U535*1000</f>
        <v>198.803</v>
      </c>
      <c r="V536" s="49">
        <f>V537/V535*1000</f>
        <v>209.23099999999999</v>
      </c>
      <c r="W536" s="49">
        <f>W537/W535*1000</f>
        <v>-4344.3</v>
      </c>
    </row>
    <row r="537" spans="1:24" s="130" customFormat="1" ht="18" customHeight="1">
      <c r="A537" s="614"/>
      <c r="B537" s="576"/>
      <c r="C537" s="577"/>
      <c r="D537" s="191" t="str">
        <f>серпень!D460</f>
        <v>сума, тис.грн.</v>
      </c>
      <c r="E537" s="52"/>
      <c r="F537" s="52">
        <f>F554+F631</f>
        <v>9.1669999999999998</v>
      </c>
      <c r="G537" s="52">
        <f t="shared" ref="G537:K537" si="596">G554+G631</f>
        <v>7.8579999999999997</v>
      </c>
      <c r="H537" s="52">
        <f t="shared" si="596"/>
        <v>8.8879999999999999</v>
      </c>
      <c r="I537" s="52">
        <f t="shared" si="596"/>
        <v>9.2949999999999999</v>
      </c>
      <c r="J537" s="52">
        <f t="shared" si="596"/>
        <v>8.5679999999999996</v>
      </c>
      <c r="K537" s="52">
        <f t="shared" si="596"/>
        <v>8.8840000000000003</v>
      </c>
      <c r="L537" s="69">
        <f>SUM(F537:K537)</f>
        <v>52.66</v>
      </c>
      <c r="M537" s="69">
        <f>L537/6</f>
        <v>8.7769999999999992</v>
      </c>
      <c r="N537" s="52">
        <f>N554+N631</f>
        <v>9.1039999999999992</v>
      </c>
      <c r="O537" s="52">
        <f t="shared" ref="O537:S537" si="597">O554+O631</f>
        <v>9.5609999999999999</v>
      </c>
      <c r="P537" s="52">
        <f t="shared" si="597"/>
        <v>9.7469999999999999</v>
      </c>
      <c r="Q537" s="52">
        <f t="shared" si="597"/>
        <v>10.172000000000001</v>
      </c>
      <c r="R537" s="52">
        <f t="shared" si="597"/>
        <v>11.108000000000001</v>
      </c>
      <c r="S537" s="52">
        <f t="shared" si="597"/>
        <v>11.106</v>
      </c>
      <c r="T537" s="69">
        <f>SUM(N537:S537)</f>
        <v>60.798000000000002</v>
      </c>
      <c r="U537" s="69">
        <f>T537+L537</f>
        <v>113.458</v>
      </c>
      <c r="V537" s="69">
        <f t="shared" ref="V537" si="598">V554+V631</f>
        <v>119.136</v>
      </c>
      <c r="W537" s="52">
        <f>V537-U537</f>
        <v>5.6779999999999999</v>
      </c>
    </row>
    <row r="538" spans="1:24" s="130" customFormat="1" ht="18" customHeight="1">
      <c r="A538" s="614"/>
      <c r="B538" s="576"/>
      <c r="C538" s="577"/>
      <c r="D538" s="174" t="str">
        <f>серпень!D461</f>
        <v>абоненська плата, тис.грн.</v>
      </c>
      <c r="E538" s="52"/>
      <c r="F538" s="52">
        <f>F555</f>
        <v>0</v>
      </c>
      <c r="G538" s="52">
        <f t="shared" ref="G538:K538" si="599">G555</f>
        <v>0</v>
      </c>
      <c r="H538" s="52">
        <f t="shared" si="599"/>
        <v>2E-3</v>
      </c>
      <c r="I538" s="52">
        <f t="shared" si="599"/>
        <v>2E-3</v>
      </c>
      <c r="J538" s="52">
        <f t="shared" si="599"/>
        <v>2E-3</v>
      </c>
      <c r="K538" s="52">
        <f t="shared" si="599"/>
        <v>4.0000000000000001E-3</v>
      </c>
      <c r="L538" s="69">
        <f t="shared" ref="L538:L541" si="600">SUM(F538:K538)</f>
        <v>0.01</v>
      </c>
      <c r="M538" s="69">
        <f t="shared" ref="M538:M541" si="601">L538/6</f>
        <v>2E-3</v>
      </c>
      <c r="N538" s="52">
        <f>N555</f>
        <v>4.0000000000000001E-3</v>
      </c>
      <c r="O538" s="52">
        <f t="shared" ref="O538:S538" si="602">O555</f>
        <v>4.0000000000000001E-3</v>
      </c>
      <c r="P538" s="52">
        <f t="shared" si="602"/>
        <v>4.0000000000000001E-3</v>
      </c>
      <c r="Q538" s="52">
        <f t="shared" si="602"/>
        <v>4.0000000000000001E-3</v>
      </c>
      <c r="R538" s="52">
        <f t="shared" si="602"/>
        <v>4.0000000000000001E-3</v>
      </c>
      <c r="S538" s="52">
        <f t="shared" si="602"/>
        <v>4.0000000000000001E-3</v>
      </c>
      <c r="T538" s="69">
        <f t="shared" ref="T538:T540" si="603">SUM(N538:S538)</f>
        <v>2.4E-2</v>
      </c>
      <c r="U538" s="69">
        <f t="shared" ref="U538:U540" si="604">T538+L538</f>
        <v>3.4000000000000002E-2</v>
      </c>
      <c r="V538" s="69">
        <f t="shared" ref="V538" si="605">V555</f>
        <v>0.05</v>
      </c>
      <c r="W538" s="52">
        <f t="shared" ref="W538:W539" si="606">V538-U538</f>
        <v>1.6E-2</v>
      </c>
    </row>
    <row r="539" spans="1:24" s="130" customFormat="1" ht="18" customHeight="1">
      <c r="A539" s="614"/>
      <c r="B539" s="576"/>
      <c r="C539" s="577"/>
      <c r="D539" s="174" t="str">
        <f>серпень!D462</f>
        <v>разом сума тис. грн+абонплата</v>
      </c>
      <c r="E539" s="52"/>
      <c r="F539" s="52">
        <f>F537+F538</f>
        <v>9.1669999999999998</v>
      </c>
      <c r="G539" s="52">
        <f t="shared" ref="G539:K539" si="607">G537+G538</f>
        <v>7.8579999999999997</v>
      </c>
      <c r="H539" s="52">
        <f t="shared" si="607"/>
        <v>8.89</v>
      </c>
      <c r="I539" s="52">
        <f t="shared" si="607"/>
        <v>9.2970000000000006</v>
      </c>
      <c r="J539" s="52">
        <f t="shared" si="607"/>
        <v>8.57</v>
      </c>
      <c r="K539" s="52">
        <f t="shared" si="607"/>
        <v>8.8879999999999999</v>
      </c>
      <c r="L539" s="69">
        <f t="shared" si="600"/>
        <v>52.67</v>
      </c>
      <c r="M539" s="69">
        <f t="shared" si="601"/>
        <v>8.7780000000000005</v>
      </c>
      <c r="N539" s="52">
        <f>N537+N538</f>
        <v>9.1080000000000005</v>
      </c>
      <c r="O539" s="52">
        <f t="shared" ref="O539" si="608">O537+O538</f>
        <v>9.5649999999999995</v>
      </c>
      <c r="P539" s="52">
        <f t="shared" ref="P539" si="609">P537+P538</f>
        <v>9.7509999999999994</v>
      </c>
      <c r="Q539" s="52">
        <f t="shared" ref="Q539" si="610">Q537+Q538</f>
        <v>10.176</v>
      </c>
      <c r="R539" s="52">
        <f t="shared" ref="R539" si="611">R537+R538</f>
        <v>11.112</v>
      </c>
      <c r="S539" s="52">
        <f t="shared" ref="S539" si="612">S537+S538</f>
        <v>11.11</v>
      </c>
      <c r="T539" s="69">
        <f t="shared" si="603"/>
        <v>60.822000000000003</v>
      </c>
      <c r="U539" s="69">
        <f t="shared" si="604"/>
        <v>113.492</v>
      </c>
      <c r="V539" s="69">
        <f t="shared" ref="V539" si="613">V537+V538</f>
        <v>119.18600000000001</v>
      </c>
      <c r="W539" s="52">
        <f t="shared" si="606"/>
        <v>5.694</v>
      </c>
    </row>
    <row r="540" spans="1:24" s="130" customFormat="1" ht="18" customHeight="1">
      <c r="A540" s="614"/>
      <c r="B540" s="576"/>
      <c r="C540" s="577"/>
      <c r="D540" s="174" t="str">
        <f>серпень!D463</f>
        <v>дотація</v>
      </c>
      <c r="E540" s="56"/>
      <c r="F540" s="52">
        <f>F557+F634</f>
        <v>0</v>
      </c>
      <c r="G540" s="52">
        <f t="shared" ref="G540:K540" si="614">G557+G634</f>
        <v>0</v>
      </c>
      <c r="H540" s="52">
        <f t="shared" si="614"/>
        <v>0</v>
      </c>
      <c r="I540" s="52">
        <f t="shared" si="614"/>
        <v>0</v>
      </c>
      <c r="J540" s="52">
        <f t="shared" si="614"/>
        <v>0</v>
      </c>
      <c r="K540" s="52">
        <f t="shared" si="614"/>
        <v>0</v>
      </c>
      <c r="L540" s="69">
        <f t="shared" si="600"/>
        <v>0</v>
      </c>
      <c r="M540" s="69">
        <f t="shared" si="601"/>
        <v>0</v>
      </c>
      <c r="N540" s="52">
        <f>N557+N634</f>
        <v>0</v>
      </c>
      <c r="O540" s="52">
        <f t="shared" ref="O540:S540" si="615">O557+O634</f>
        <v>0</v>
      </c>
      <c r="P540" s="52">
        <f t="shared" si="615"/>
        <v>0</v>
      </c>
      <c r="Q540" s="52">
        <f t="shared" si="615"/>
        <v>0</v>
      </c>
      <c r="R540" s="52">
        <f t="shared" si="615"/>
        <v>0</v>
      </c>
      <c r="S540" s="52">
        <f t="shared" si="615"/>
        <v>0</v>
      </c>
      <c r="T540" s="69">
        <f t="shared" si="603"/>
        <v>0</v>
      </c>
      <c r="U540" s="69">
        <f t="shared" si="604"/>
        <v>0</v>
      </c>
      <c r="V540" s="69">
        <f t="shared" ref="V540" si="616">V557+V634</f>
        <v>0</v>
      </c>
      <c r="W540" s="52">
        <f>V540-U540</f>
        <v>0</v>
      </c>
      <c r="X540" s="134"/>
    </row>
    <row r="541" spans="1:24" s="130" customFormat="1" ht="18" customHeight="1">
      <c r="A541" s="614"/>
      <c r="B541" s="576"/>
      <c r="C541" s="577"/>
      <c r="D541" s="174" t="str">
        <f>серпень!D464</f>
        <v>місцевий (план), тис.грн</v>
      </c>
      <c r="E541" s="56"/>
      <c r="F541" s="52">
        <f>F558+F635</f>
        <v>0</v>
      </c>
      <c r="G541" s="52">
        <f t="shared" ref="G541:K541" si="617">G558+G635</f>
        <v>9.1669999999999998</v>
      </c>
      <c r="H541" s="52">
        <f t="shared" si="617"/>
        <v>8.9339999999999993</v>
      </c>
      <c r="I541" s="52">
        <f t="shared" si="617"/>
        <v>8.27</v>
      </c>
      <c r="J541" s="52">
        <f t="shared" si="617"/>
        <v>9.4819999999999993</v>
      </c>
      <c r="K541" s="52">
        <f t="shared" si="617"/>
        <v>7.9279999999999999</v>
      </c>
      <c r="L541" s="69">
        <f t="shared" si="600"/>
        <v>43.780999999999999</v>
      </c>
      <c r="M541" s="69">
        <f t="shared" si="601"/>
        <v>7.2969999999999997</v>
      </c>
      <c r="N541" s="52">
        <f>N558+N635</f>
        <v>9.0589999999999993</v>
      </c>
      <c r="O541" s="52">
        <f t="shared" ref="O541:S541" si="618">O558+O635</f>
        <v>8.9740000000000002</v>
      </c>
      <c r="P541" s="52">
        <f t="shared" si="618"/>
        <v>10.525</v>
      </c>
      <c r="Q541" s="52">
        <f t="shared" si="618"/>
        <v>11.757</v>
      </c>
      <c r="R541" s="52">
        <f t="shared" si="618"/>
        <v>11.138999999999999</v>
      </c>
      <c r="S541" s="52">
        <f t="shared" si="618"/>
        <v>23.951000000000001</v>
      </c>
      <c r="T541" s="69">
        <f>SUM(N541:S541)</f>
        <v>75.405000000000001</v>
      </c>
      <c r="U541" s="69">
        <f>T541+L541</f>
        <v>119.18600000000001</v>
      </c>
      <c r="V541" s="69">
        <f>V558+V635</f>
        <v>119.18600000000001</v>
      </c>
      <c r="W541" s="52">
        <f>V541-U541</f>
        <v>0</v>
      </c>
    </row>
    <row r="542" spans="1:24" s="47" customFormat="1" ht="18" customHeight="1">
      <c r="A542" s="614"/>
      <c r="B542" s="576"/>
      <c r="C542" s="577"/>
      <c r="D542" s="178" t="str">
        <f>серпень!D465</f>
        <v>касові нат.п-ки 2025</v>
      </c>
      <c r="E542" s="12">
        <f>E559+E636</f>
        <v>0</v>
      </c>
      <c r="F542" s="82">
        <f>F559+F636</f>
        <v>0</v>
      </c>
      <c r="G542" s="82">
        <f>G559+G636</f>
        <v>47.808999999999997</v>
      </c>
      <c r="H542" s="82">
        <f>H559+H636</f>
        <v>40.012</v>
      </c>
      <c r="I542" s="82">
        <f>I559+I636</f>
        <v>46.145000000000003</v>
      </c>
      <c r="J542" s="82">
        <f>J559+J636</f>
        <v>48.57</v>
      </c>
      <c r="K542" s="82">
        <f>K559+K636</f>
        <v>44.267000000000003</v>
      </c>
      <c r="L542" s="467">
        <f>SUM(F542:K542)</f>
        <v>226.803</v>
      </c>
      <c r="M542" s="467">
        <f>L542/6</f>
        <v>37.801000000000002</v>
      </c>
      <c r="N542" s="82">
        <f>N559+N636</f>
        <v>46.134</v>
      </c>
      <c r="O542" s="82">
        <f>O559+O636</f>
        <v>47.3</v>
      </c>
      <c r="P542" s="82">
        <f>P559+P636</f>
        <v>45</v>
      </c>
      <c r="Q542" s="82">
        <f>Q559+Q636</f>
        <v>46.1</v>
      </c>
      <c r="R542" s="82">
        <f>R559+R636</f>
        <v>48.6</v>
      </c>
      <c r="S542" s="82">
        <f>S559+S636</f>
        <v>110.77</v>
      </c>
      <c r="T542" s="467">
        <f>SUM(N542:S542)</f>
        <v>343.904</v>
      </c>
      <c r="U542" s="467">
        <f>T542+L542</f>
        <v>570.70699999999999</v>
      </c>
      <c r="V542" s="404">
        <f>V559+V636</f>
        <v>569.4</v>
      </c>
      <c r="W542" s="505">
        <f>V542-U542</f>
        <v>-1.3069999999999999</v>
      </c>
      <c r="X542" s="47">
        <f>U535-U542</f>
        <v>0</v>
      </c>
    </row>
    <row r="543" spans="1:24" s="47" customFormat="1" ht="18" customHeight="1">
      <c r="A543" s="614"/>
      <c r="B543" s="576"/>
      <c r="C543" s="577"/>
      <c r="D543" s="187" t="str">
        <f>серпень!D466</f>
        <v>тариф, грн.</v>
      </c>
      <c r="E543" s="49" t="e">
        <f>E544/E542*1000</f>
        <v>#DIV/0!</v>
      </c>
      <c r="F543" s="49" t="e">
        <f t="shared" ref="F543:S543" si="619">F544/F542*1000</f>
        <v>#DIV/0!</v>
      </c>
      <c r="G543" s="49">
        <f t="shared" si="619"/>
        <v>191.74199999999999</v>
      </c>
      <c r="H543" s="49">
        <f t="shared" si="619"/>
        <v>196.39099999999999</v>
      </c>
      <c r="I543" s="49">
        <f t="shared" si="619"/>
        <v>192.61</v>
      </c>
      <c r="J543" s="49">
        <f t="shared" si="619"/>
        <v>191.35300000000001</v>
      </c>
      <c r="K543" s="49">
        <f t="shared" si="619"/>
        <v>193.643</v>
      </c>
      <c r="L543" s="49">
        <f t="shared" si="619"/>
        <v>193.02699999999999</v>
      </c>
      <c r="M543" s="49">
        <f t="shared" si="619"/>
        <v>193.03700000000001</v>
      </c>
      <c r="N543" s="49">
        <f t="shared" si="619"/>
        <v>192.65600000000001</v>
      </c>
      <c r="O543" s="49">
        <f t="shared" si="619"/>
        <v>192.6</v>
      </c>
      <c r="P543" s="49">
        <f t="shared" si="619"/>
        <v>212.55600000000001</v>
      </c>
      <c r="Q543" s="49">
        <f t="shared" si="619"/>
        <v>211.518</v>
      </c>
      <c r="R543" s="49">
        <f t="shared" si="619"/>
        <v>209.38300000000001</v>
      </c>
      <c r="S543" s="49">
        <f t="shared" si="619"/>
        <v>200.62299999999999</v>
      </c>
      <c r="T543" s="49">
        <f>T544/T542*1000</f>
        <v>202.71100000000001</v>
      </c>
      <c r="U543" s="49">
        <f>U544/U542*1000</f>
        <v>198.86199999999999</v>
      </c>
      <c r="V543" s="49">
        <f>V544/V542*1000</f>
        <v>209.31899999999999</v>
      </c>
      <c r="W543" s="49">
        <f>W544/W542*1000</f>
        <v>-4356.5420000000004</v>
      </c>
      <c r="X543" s="59"/>
    </row>
    <row r="544" spans="1:24" s="63" customFormat="1" ht="18" customHeight="1">
      <c r="A544" s="614"/>
      <c r="B544" s="576"/>
      <c r="C544" s="577"/>
      <c r="D544" s="198" t="str">
        <f>серпень!D467</f>
        <v>касові видатки, тис.грн.</v>
      </c>
      <c r="E544" s="72">
        <f t="shared" ref="E544:K544" si="620">E561+E638</f>
        <v>0</v>
      </c>
      <c r="F544" s="61">
        <f t="shared" si="620"/>
        <v>0</v>
      </c>
      <c r="G544" s="61">
        <f t="shared" si="620"/>
        <v>9.1669999999999998</v>
      </c>
      <c r="H544" s="61">
        <f t="shared" si="620"/>
        <v>7.8579999999999997</v>
      </c>
      <c r="I544" s="61">
        <f t="shared" si="620"/>
        <v>8.8879999999999999</v>
      </c>
      <c r="J544" s="61">
        <f t="shared" si="620"/>
        <v>9.2940000000000005</v>
      </c>
      <c r="K544" s="61">
        <f t="shared" si="620"/>
        <v>8.5719999999999992</v>
      </c>
      <c r="L544" s="61">
        <f>SUM(F544:K544)</f>
        <v>43.779000000000003</v>
      </c>
      <c r="M544" s="61">
        <f>L544/6</f>
        <v>7.2969999999999997</v>
      </c>
      <c r="N544" s="61">
        <f t="shared" ref="N544:S546" si="621">N561+N638</f>
        <v>8.8879999999999999</v>
      </c>
      <c r="O544" s="61">
        <f t="shared" si="621"/>
        <v>9.11</v>
      </c>
      <c r="P544" s="61">
        <f t="shared" si="621"/>
        <v>9.5649999999999995</v>
      </c>
      <c r="Q544" s="61">
        <f t="shared" si="621"/>
        <v>9.7509999999999994</v>
      </c>
      <c r="R544" s="61">
        <f t="shared" si="621"/>
        <v>10.176</v>
      </c>
      <c r="S544" s="61">
        <f t="shared" si="621"/>
        <v>22.222999999999999</v>
      </c>
      <c r="T544" s="61">
        <f>SUM(N544:S544)</f>
        <v>69.712999999999994</v>
      </c>
      <c r="U544" s="61">
        <f>T544+L544</f>
        <v>113.492</v>
      </c>
      <c r="V544" s="61">
        <f>V561+V638</f>
        <v>119.18600000000001</v>
      </c>
      <c r="W544" s="72">
        <f>V544-U544</f>
        <v>5.694</v>
      </c>
      <c r="X544" s="63">
        <f>U539-U544</f>
        <v>0</v>
      </c>
    </row>
    <row r="545" spans="1:28" s="63" customFormat="1" ht="18" customHeight="1">
      <c r="A545" s="614"/>
      <c r="B545" s="576"/>
      <c r="C545" s="577"/>
      <c r="D545" s="201" t="str">
        <f>серпень!D468</f>
        <v>дотація</v>
      </c>
      <c r="E545" s="71"/>
      <c r="F545" s="61">
        <f t="shared" ref="F545:K546" si="622">F562+F639</f>
        <v>0</v>
      </c>
      <c r="G545" s="61">
        <f t="shared" si="622"/>
        <v>0</v>
      </c>
      <c r="H545" s="61">
        <f t="shared" si="622"/>
        <v>0</v>
      </c>
      <c r="I545" s="61">
        <f t="shared" si="622"/>
        <v>0</v>
      </c>
      <c r="J545" s="61">
        <f t="shared" si="622"/>
        <v>0</v>
      </c>
      <c r="K545" s="61">
        <f t="shared" si="622"/>
        <v>0</v>
      </c>
      <c r="L545" s="61">
        <f>SUM(F545:K545)</f>
        <v>0</v>
      </c>
      <c r="M545" s="61">
        <f>L545/6</f>
        <v>0</v>
      </c>
      <c r="N545" s="61">
        <f t="shared" si="621"/>
        <v>0</v>
      </c>
      <c r="O545" s="61">
        <f t="shared" si="621"/>
        <v>0</v>
      </c>
      <c r="P545" s="61">
        <f t="shared" si="621"/>
        <v>0</v>
      </c>
      <c r="Q545" s="61">
        <f t="shared" si="621"/>
        <v>0</v>
      </c>
      <c r="R545" s="61">
        <f t="shared" si="621"/>
        <v>0</v>
      </c>
      <c r="S545" s="61">
        <f t="shared" si="621"/>
        <v>0</v>
      </c>
      <c r="T545" s="61">
        <f>SUM(N545:S545)</f>
        <v>0</v>
      </c>
      <c r="U545" s="61">
        <f>T545+L545</f>
        <v>0</v>
      </c>
      <c r="V545" s="61">
        <f>V562+V639</f>
        <v>0</v>
      </c>
      <c r="W545" s="72">
        <f>V545-U545</f>
        <v>0</v>
      </c>
      <c r="X545" s="63">
        <f>U540-U545</f>
        <v>0</v>
      </c>
    </row>
    <row r="546" spans="1:28" s="63" customFormat="1" ht="18" customHeight="1">
      <c r="A546" s="614"/>
      <c r="B546" s="576"/>
      <c r="C546" s="577"/>
      <c r="D546" s="201" t="str">
        <f>серпень!D469</f>
        <v xml:space="preserve">місцевий </v>
      </c>
      <c r="E546" s="71"/>
      <c r="F546" s="61">
        <f t="shared" si="622"/>
        <v>0</v>
      </c>
      <c r="G546" s="61">
        <f t="shared" si="622"/>
        <v>9.1669999999999998</v>
      </c>
      <c r="H546" s="61">
        <f t="shared" si="622"/>
        <v>7.8579999999999997</v>
      </c>
      <c r="I546" s="61">
        <f t="shared" si="622"/>
        <v>8.8879999999999999</v>
      </c>
      <c r="J546" s="61">
        <f t="shared" si="622"/>
        <v>9.2940000000000005</v>
      </c>
      <c r="K546" s="61">
        <f t="shared" si="622"/>
        <v>8.5719999999999992</v>
      </c>
      <c r="L546" s="61">
        <f>SUM(F546:K546)</f>
        <v>43.779000000000003</v>
      </c>
      <c r="M546" s="61">
        <f>L546/6</f>
        <v>7.2969999999999997</v>
      </c>
      <c r="N546" s="61">
        <f t="shared" si="621"/>
        <v>8.8879999999999999</v>
      </c>
      <c r="O546" s="61">
        <f t="shared" si="621"/>
        <v>9.11</v>
      </c>
      <c r="P546" s="61">
        <f t="shared" si="621"/>
        <v>9.5649999999999995</v>
      </c>
      <c r="Q546" s="61">
        <f t="shared" si="621"/>
        <v>9.7509999999999994</v>
      </c>
      <c r="R546" s="61">
        <f t="shared" si="621"/>
        <v>10.176</v>
      </c>
      <c r="S546" s="61">
        <f t="shared" si="621"/>
        <v>22.222999999999999</v>
      </c>
      <c r="T546" s="61">
        <f>SUM(N546:S546)</f>
        <v>69.712999999999994</v>
      </c>
      <c r="U546" s="61">
        <f>T546+L546</f>
        <v>113.492</v>
      </c>
      <c r="V546" s="61">
        <f>V563+V640</f>
        <v>119.18600000000001</v>
      </c>
      <c r="W546" s="72">
        <f>V546-U546</f>
        <v>5.694</v>
      </c>
      <c r="X546" s="63">
        <f>U541-U546</f>
        <v>5.694</v>
      </c>
    </row>
    <row r="547" spans="1:28" s="43" customFormat="1" ht="18" customHeight="1">
      <c r="A547" s="614"/>
      <c r="B547" s="576"/>
      <c r="C547" s="577"/>
      <c r="D547" s="202" t="str">
        <f>серпень!D470</f>
        <v>план</v>
      </c>
      <c r="E547" s="42"/>
      <c r="F547" s="42">
        <f t="shared" ref="F547:K547" si="623">F541</f>
        <v>0</v>
      </c>
      <c r="G547" s="42">
        <f t="shared" si="623"/>
        <v>9.1669999999999998</v>
      </c>
      <c r="H547" s="42">
        <f t="shared" si="623"/>
        <v>8.9339999999999993</v>
      </c>
      <c r="I547" s="42">
        <f t="shared" si="623"/>
        <v>8.27</v>
      </c>
      <c r="J547" s="42">
        <f t="shared" si="623"/>
        <v>9.4819999999999993</v>
      </c>
      <c r="K547" s="42">
        <f t="shared" si="623"/>
        <v>7.9279999999999999</v>
      </c>
      <c r="L547" s="42">
        <f>SUM(F547:K547)</f>
        <v>43.780999999999999</v>
      </c>
      <c r="M547" s="42">
        <f>L547/6</f>
        <v>7.2969999999999997</v>
      </c>
      <c r="N547" s="42">
        <f t="shared" ref="N547:S547" si="624">N541</f>
        <v>9.0589999999999993</v>
      </c>
      <c r="O547" s="42">
        <f t="shared" si="624"/>
        <v>8.9740000000000002</v>
      </c>
      <c r="P547" s="42">
        <f t="shared" si="624"/>
        <v>10.525</v>
      </c>
      <c r="Q547" s="42">
        <f t="shared" si="624"/>
        <v>11.757</v>
      </c>
      <c r="R547" s="42">
        <f t="shared" si="624"/>
        <v>11.138999999999999</v>
      </c>
      <c r="S547" s="42">
        <f t="shared" si="624"/>
        <v>23.951000000000001</v>
      </c>
      <c r="T547" s="42">
        <f>SUM(N547:S547)</f>
        <v>75.405000000000001</v>
      </c>
      <c r="U547" s="42">
        <f>T547+L547</f>
        <v>119.18600000000001</v>
      </c>
      <c r="V547" s="42">
        <f>V541</f>
        <v>119.18600000000001</v>
      </c>
      <c r="W547" s="42">
        <f>V547-U547</f>
        <v>0</v>
      </c>
    </row>
    <row r="548" spans="1:28" s="43" customFormat="1" ht="18" customHeight="1">
      <c r="A548" s="614"/>
      <c r="B548" s="576"/>
      <c r="C548" s="577"/>
      <c r="D548" s="202" t="str">
        <f>серпень!D471</f>
        <v xml:space="preserve">відхилення </v>
      </c>
      <c r="E548" s="42"/>
      <c r="F548" s="42">
        <f t="shared" ref="F548:K548" si="625">F544-F547</f>
        <v>0</v>
      </c>
      <c r="G548" s="42">
        <f t="shared" si="625"/>
        <v>0</v>
      </c>
      <c r="H548" s="42">
        <f t="shared" si="625"/>
        <v>-1.0760000000000001</v>
      </c>
      <c r="I548" s="42">
        <f t="shared" si="625"/>
        <v>0.61799999999999999</v>
      </c>
      <c r="J548" s="42">
        <f t="shared" si="625"/>
        <v>-0.188</v>
      </c>
      <c r="K548" s="42">
        <f t="shared" si="625"/>
        <v>0.64400000000000002</v>
      </c>
      <c r="L548" s="42"/>
      <c r="M548" s="42"/>
      <c r="N548" s="42">
        <f t="shared" ref="N548:S548" si="626">N544-N547</f>
        <v>-0.17100000000000001</v>
      </c>
      <c r="O548" s="42">
        <f t="shared" si="626"/>
        <v>0.13600000000000001</v>
      </c>
      <c r="P548" s="42">
        <f t="shared" si="626"/>
        <v>-0.96</v>
      </c>
      <c r="Q548" s="42">
        <f t="shared" si="626"/>
        <v>-2.0059999999999998</v>
      </c>
      <c r="R548" s="42">
        <f t="shared" si="626"/>
        <v>-0.96299999999999997</v>
      </c>
      <c r="S548" s="42">
        <f t="shared" si="626"/>
        <v>-1.728</v>
      </c>
      <c r="T548" s="42"/>
      <c r="U548" s="42"/>
      <c r="V548" s="42"/>
      <c r="W548" s="42"/>
    </row>
    <row r="549" spans="1:28" s="43" customFormat="1" ht="18" customHeight="1">
      <c r="A549" s="614"/>
      <c r="B549" s="576"/>
      <c r="C549" s="577"/>
      <c r="D549" s="202" t="str">
        <f>серпень!D472</f>
        <v>відхилення з наростаючим</v>
      </c>
      <c r="E549" s="42"/>
      <c r="F549" s="42">
        <f>F548</f>
        <v>0</v>
      </c>
      <c r="G549" s="42">
        <f>G548+F549</f>
        <v>0</v>
      </c>
      <c r="H549" s="42">
        <f>H548+G549</f>
        <v>-1.0760000000000001</v>
      </c>
      <c r="I549" s="42">
        <f>I548+H549</f>
        <v>-0.45800000000000002</v>
      </c>
      <c r="J549" s="42">
        <f>J548+I549</f>
        <v>-0.64600000000000002</v>
      </c>
      <c r="K549" s="42">
        <f>K548+J549</f>
        <v>-2E-3</v>
      </c>
      <c r="L549" s="42"/>
      <c r="M549" s="42"/>
      <c r="N549" s="42">
        <f>N548+K549</f>
        <v>-0.17299999999999999</v>
      </c>
      <c r="O549" s="42">
        <f>O548+N549</f>
        <v>-3.6999999999999998E-2</v>
      </c>
      <c r="P549" s="42">
        <f>P548+O549</f>
        <v>-0.997</v>
      </c>
      <c r="Q549" s="42">
        <f>Q548+P549</f>
        <v>-3.0030000000000001</v>
      </c>
      <c r="R549" s="42">
        <f>R548+Q549</f>
        <v>-3.9660000000000002</v>
      </c>
      <c r="S549" s="42">
        <f>S548+R549</f>
        <v>-5.694</v>
      </c>
      <c r="T549" s="42"/>
      <c r="U549" s="42"/>
      <c r="V549" s="42"/>
      <c r="W549" s="42"/>
    </row>
    <row r="550" spans="1:28" s="55" customFormat="1" ht="18" customHeight="1">
      <c r="A550" s="614"/>
      <c r="B550" s="581" t="s">
        <v>65</v>
      </c>
      <c r="C550" s="581"/>
      <c r="D550" s="178" t="str">
        <f>серпень!D473</f>
        <v>факт. нат.п-ки 2023</v>
      </c>
      <c r="E550" s="11"/>
      <c r="F550" s="82">
        <f t="shared" ref="F550:K552" si="627">F567+F597</f>
        <v>40.880000000000003</v>
      </c>
      <c r="G550" s="82">
        <f t="shared" si="627"/>
        <v>40.880000000000003</v>
      </c>
      <c r="H550" s="82">
        <f t="shared" si="627"/>
        <v>52.7</v>
      </c>
      <c r="I550" s="82">
        <f t="shared" si="627"/>
        <v>51</v>
      </c>
      <c r="J550" s="82">
        <f t="shared" si="627"/>
        <v>49.7</v>
      </c>
      <c r="K550" s="82">
        <f t="shared" si="627"/>
        <v>31.55</v>
      </c>
      <c r="L550" s="125">
        <f>SUM(F550:K550)</f>
        <v>266.70999999999998</v>
      </c>
      <c r="M550" s="125">
        <f>L550/6</f>
        <v>44.451999999999998</v>
      </c>
      <c r="N550" s="82">
        <f t="shared" ref="N550:S552" si="628">N567+N597</f>
        <v>45.28</v>
      </c>
      <c r="O550" s="82">
        <f t="shared" si="628"/>
        <v>50.88</v>
      </c>
      <c r="P550" s="82">
        <f t="shared" si="628"/>
        <v>50.88</v>
      </c>
      <c r="Q550" s="82">
        <f t="shared" si="628"/>
        <v>53.7</v>
      </c>
      <c r="R550" s="82">
        <f t="shared" si="628"/>
        <v>53.7</v>
      </c>
      <c r="S550" s="82">
        <f t="shared" si="628"/>
        <v>53</v>
      </c>
      <c r="T550" s="125">
        <f>SUM(N550:S550)</f>
        <v>307.44</v>
      </c>
      <c r="U550" s="125">
        <f>T550+L550</f>
        <v>574.15</v>
      </c>
      <c r="V550" s="349"/>
      <c r="W550" s="505"/>
      <c r="X550" s="47"/>
      <c r="Y550" s="48"/>
      <c r="Z550" s="48"/>
      <c r="AA550" s="48"/>
      <c r="AB550" s="48"/>
    </row>
    <row r="551" spans="1:28" s="48" customFormat="1" ht="18" customHeight="1">
      <c r="A551" s="614"/>
      <c r="B551" s="581"/>
      <c r="C551" s="581"/>
      <c r="D551" s="178" t="str">
        <f>серпень!D474</f>
        <v>факт. нат.п-ки 2024</v>
      </c>
      <c r="E551" s="11"/>
      <c r="F551" s="82">
        <f t="shared" si="627"/>
        <v>42.65</v>
      </c>
      <c r="G551" s="82">
        <f t="shared" si="627"/>
        <v>41.29</v>
      </c>
      <c r="H551" s="82">
        <f t="shared" si="627"/>
        <v>44.59</v>
      </c>
      <c r="I551" s="82">
        <f t="shared" si="627"/>
        <v>49.7</v>
      </c>
      <c r="J551" s="82">
        <f t="shared" si="627"/>
        <v>47.7</v>
      </c>
      <c r="K551" s="82">
        <f t="shared" si="627"/>
        <v>42.9</v>
      </c>
      <c r="L551" s="125">
        <f>SUM(F551:K551)</f>
        <v>268.83</v>
      </c>
      <c r="M551" s="125">
        <f>L551/6</f>
        <v>44.805</v>
      </c>
      <c r="N551" s="82">
        <f t="shared" si="628"/>
        <v>50.1</v>
      </c>
      <c r="O551" s="82">
        <f t="shared" si="628"/>
        <v>45</v>
      </c>
      <c r="P551" s="82">
        <f t="shared" si="628"/>
        <v>46.1</v>
      </c>
      <c r="Q551" s="82">
        <f t="shared" si="628"/>
        <v>48.6</v>
      </c>
      <c r="R551" s="82">
        <f t="shared" si="628"/>
        <v>53.7</v>
      </c>
      <c r="S551" s="82">
        <f t="shared" si="628"/>
        <v>48.4</v>
      </c>
      <c r="T551" s="125">
        <f>SUM(N551:S551)</f>
        <v>291.89999999999998</v>
      </c>
      <c r="U551" s="125">
        <f>T551+L551</f>
        <v>560.73</v>
      </c>
      <c r="V551" s="349"/>
      <c r="W551" s="505"/>
      <c r="X551" s="47"/>
    </row>
    <row r="552" spans="1:28" s="48" customFormat="1" ht="18" customHeight="1">
      <c r="A552" s="614"/>
      <c r="B552" s="581"/>
      <c r="C552" s="581"/>
      <c r="D552" s="178" t="str">
        <f>серпень!D475</f>
        <v>факт. нат.п-ки 2025</v>
      </c>
      <c r="E552" s="11"/>
      <c r="F552" s="82">
        <f t="shared" si="627"/>
        <v>47.808999999999997</v>
      </c>
      <c r="G552" s="82">
        <f t="shared" si="627"/>
        <v>40.012</v>
      </c>
      <c r="H552" s="82">
        <f t="shared" si="627"/>
        <v>46.145000000000003</v>
      </c>
      <c r="I552" s="82">
        <f t="shared" si="627"/>
        <v>48.57</v>
      </c>
      <c r="J552" s="82">
        <f t="shared" si="627"/>
        <v>44.267000000000003</v>
      </c>
      <c r="K552" s="82">
        <f t="shared" si="627"/>
        <v>46.134</v>
      </c>
      <c r="L552" s="125">
        <f>SUM(F552:K552)</f>
        <v>272.93700000000001</v>
      </c>
      <c r="M552" s="125">
        <f>L552/6</f>
        <v>45.49</v>
      </c>
      <c r="N552" s="82">
        <f t="shared" si="628"/>
        <v>47.3</v>
      </c>
      <c r="O552" s="82">
        <f t="shared" si="628"/>
        <v>45</v>
      </c>
      <c r="P552" s="82">
        <f t="shared" si="628"/>
        <v>46.1</v>
      </c>
      <c r="Q552" s="82">
        <f t="shared" si="628"/>
        <v>48.6</v>
      </c>
      <c r="R552" s="82">
        <f t="shared" si="628"/>
        <v>53.7</v>
      </c>
      <c r="S552" s="82">
        <f t="shared" si="628"/>
        <v>57.07</v>
      </c>
      <c r="T552" s="125">
        <f>SUM(N552:S552)</f>
        <v>297.77</v>
      </c>
      <c r="U552" s="125">
        <f>T552+L552</f>
        <v>570.70699999999999</v>
      </c>
      <c r="V552" s="349">
        <f>V569+V599</f>
        <v>569.4</v>
      </c>
      <c r="W552" s="505">
        <f>V552-U552</f>
        <v>-1.3069999999999999</v>
      </c>
      <c r="X552" s="47"/>
    </row>
    <row r="553" spans="1:28" s="51" customFormat="1" ht="18" customHeight="1">
      <c r="A553" s="614"/>
      <c r="B553" s="581"/>
      <c r="C553" s="581"/>
      <c r="D553" s="187" t="str">
        <f>серпень!D476</f>
        <v>тариф, грн.</v>
      </c>
      <c r="E553" s="49" t="e">
        <f>E554/E552*1000</f>
        <v>#DIV/0!</v>
      </c>
      <c r="F553" s="49">
        <f t="shared" ref="F553:W553" si="629">F554/F552*1000</f>
        <v>191.74199999999999</v>
      </c>
      <c r="G553" s="49">
        <v>117.622</v>
      </c>
      <c r="H553" s="49">
        <f t="shared" si="629"/>
        <v>192.61</v>
      </c>
      <c r="I553" s="49">
        <f t="shared" si="629"/>
        <v>191.37299999999999</v>
      </c>
      <c r="J553" s="49">
        <f t="shared" si="629"/>
        <v>193.553</v>
      </c>
      <c r="K553" s="49">
        <f t="shared" si="629"/>
        <v>192.56899999999999</v>
      </c>
      <c r="L553" s="49">
        <f t="shared" si="629"/>
        <v>192.93799999999999</v>
      </c>
      <c r="M553" s="49">
        <f t="shared" si="629"/>
        <v>192.94399999999999</v>
      </c>
      <c r="N553" s="49">
        <f t="shared" si="629"/>
        <v>192.47399999999999</v>
      </c>
      <c r="O553" s="49">
        <f t="shared" si="629"/>
        <v>212.46700000000001</v>
      </c>
      <c r="P553" s="49">
        <f t="shared" si="629"/>
        <v>211.43199999999999</v>
      </c>
      <c r="Q553" s="49">
        <f t="shared" si="629"/>
        <v>209.3</v>
      </c>
      <c r="R553" s="49">
        <f t="shared" si="629"/>
        <v>206.85300000000001</v>
      </c>
      <c r="S553" s="49">
        <f t="shared" si="629"/>
        <v>194.60300000000001</v>
      </c>
      <c r="T553" s="49">
        <f t="shared" si="629"/>
        <v>204.178</v>
      </c>
      <c r="U553" s="49">
        <f t="shared" si="629"/>
        <v>198.803</v>
      </c>
      <c r="V553" s="49">
        <f t="shared" si="629"/>
        <v>209.23099999999999</v>
      </c>
      <c r="W553" s="49">
        <f t="shared" si="629"/>
        <v>-4344.3</v>
      </c>
      <c r="X553" s="59"/>
    </row>
    <row r="554" spans="1:28" s="130" customFormat="1" ht="18" customHeight="1">
      <c r="A554" s="614"/>
      <c r="B554" s="581"/>
      <c r="C554" s="581"/>
      <c r="D554" s="191" t="str">
        <f>серпень!D477</f>
        <v>сума, тис.грн.</v>
      </c>
      <c r="E554" s="52"/>
      <c r="F554" s="52">
        <f t="shared" ref="F554:K554" si="630">F571+F601</f>
        <v>9.1669999999999998</v>
      </c>
      <c r="G554" s="52">
        <f t="shared" si="630"/>
        <v>7.8579999999999997</v>
      </c>
      <c r="H554" s="52">
        <f t="shared" si="630"/>
        <v>8.8879999999999999</v>
      </c>
      <c r="I554" s="52">
        <f t="shared" si="630"/>
        <v>9.2949999999999999</v>
      </c>
      <c r="J554" s="52">
        <f t="shared" si="630"/>
        <v>8.5679999999999996</v>
      </c>
      <c r="K554" s="52">
        <f t="shared" si="630"/>
        <v>8.8840000000000003</v>
      </c>
      <c r="L554" s="69">
        <f>SUM(F554:K554)</f>
        <v>52.66</v>
      </c>
      <c r="M554" s="69">
        <f>L554/6</f>
        <v>8.7769999999999992</v>
      </c>
      <c r="N554" s="52">
        <f t="shared" ref="N554:S554" si="631">N571+N601</f>
        <v>9.1039999999999992</v>
      </c>
      <c r="O554" s="52">
        <f t="shared" si="631"/>
        <v>9.5609999999999999</v>
      </c>
      <c r="P554" s="52">
        <f t="shared" si="631"/>
        <v>9.7469999999999999</v>
      </c>
      <c r="Q554" s="52">
        <f t="shared" si="631"/>
        <v>10.172000000000001</v>
      </c>
      <c r="R554" s="52">
        <f t="shared" si="631"/>
        <v>11.108000000000001</v>
      </c>
      <c r="S554" s="52">
        <f t="shared" si="631"/>
        <v>11.106</v>
      </c>
      <c r="T554" s="69">
        <f>SUM(N554:S554)</f>
        <v>60.798000000000002</v>
      </c>
      <c r="U554" s="69">
        <f>T554+L554</f>
        <v>113.458</v>
      </c>
      <c r="V554" s="69">
        <f>V571+V601</f>
        <v>119.136</v>
      </c>
      <c r="W554" s="52">
        <f>V554-U554</f>
        <v>5.6779999999999999</v>
      </c>
    </row>
    <row r="555" spans="1:28" s="130" customFormat="1" ht="18" customHeight="1">
      <c r="A555" s="614"/>
      <c r="B555" s="581"/>
      <c r="C555" s="581"/>
      <c r="D555" s="174" t="str">
        <f>серпень!D478</f>
        <v>абоненська плата, тис.грн.</v>
      </c>
      <c r="E555" s="52"/>
      <c r="F555" s="52">
        <f>F586+F616</f>
        <v>0</v>
      </c>
      <c r="G555" s="52">
        <f t="shared" ref="G555:K555" si="632">G586+G616</f>
        <v>0</v>
      </c>
      <c r="H555" s="52">
        <f t="shared" si="632"/>
        <v>2E-3</v>
      </c>
      <c r="I555" s="52">
        <f t="shared" si="632"/>
        <v>2E-3</v>
      </c>
      <c r="J555" s="52">
        <f t="shared" si="632"/>
        <v>2E-3</v>
      </c>
      <c r="K555" s="52">
        <f t="shared" si="632"/>
        <v>4.0000000000000001E-3</v>
      </c>
      <c r="L555" s="69">
        <f t="shared" ref="L555:L556" si="633">SUM(F555:K555)</f>
        <v>0.01</v>
      </c>
      <c r="M555" s="69">
        <f t="shared" ref="M555:M556" si="634">L555/6</f>
        <v>2E-3</v>
      </c>
      <c r="N555" s="52">
        <f>N586+N616</f>
        <v>4.0000000000000001E-3</v>
      </c>
      <c r="O555" s="52">
        <f t="shared" ref="O555:S555" si="635">O586+O616</f>
        <v>4.0000000000000001E-3</v>
      </c>
      <c r="P555" s="52">
        <f t="shared" si="635"/>
        <v>4.0000000000000001E-3</v>
      </c>
      <c r="Q555" s="52">
        <f t="shared" si="635"/>
        <v>4.0000000000000001E-3</v>
      </c>
      <c r="R555" s="52">
        <f t="shared" si="635"/>
        <v>4.0000000000000001E-3</v>
      </c>
      <c r="S555" s="52">
        <f t="shared" si="635"/>
        <v>4.0000000000000001E-3</v>
      </c>
      <c r="T555" s="69">
        <f t="shared" ref="T555:T556" si="636">SUM(N555:S555)</f>
        <v>2.4E-2</v>
      </c>
      <c r="U555" s="69">
        <f t="shared" ref="U555:U556" si="637">T555+L555</f>
        <v>3.4000000000000002E-2</v>
      </c>
      <c r="V555" s="69">
        <f t="shared" ref="V555" si="638">V586+V616</f>
        <v>0.05</v>
      </c>
      <c r="W555" s="52">
        <f t="shared" ref="W555:W556" si="639">V555-U555</f>
        <v>1.6E-2</v>
      </c>
    </row>
    <row r="556" spans="1:28" s="130" customFormat="1" ht="18" customHeight="1">
      <c r="A556" s="614"/>
      <c r="B556" s="581"/>
      <c r="C556" s="581"/>
      <c r="D556" s="174" t="str">
        <f>серпень!D479</f>
        <v>разом сума тис. грн+абонплата</v>
      </c>
      <c r="E556" s="52"/>
      <c r="F556" s="52">
        <f>F554+F555</f>
        <v>9.1669999999999998</v>
      </c>
      <c r="G556" s="52">
        <f t="shared" ref="G556:K556" si="640">G554+G555</f>
        <v>7.8579999999999997</v>
      </c>
      <c r="H556" s="52">
        <f t="shared" si="640"/>
        <v>8.89</v>
      </c>
      <c r="I556" s="52">
        <f t="shared" si="640"/>
        <v>9.2970000000000006</v>
      </c>
      <c r="J556" s="52">
        <f t="shared" si="640"/>
        <v>8.57</v>
      </c>
      <c r="K556" s="52">
        <f t="shared" si="640"/>
        <v>8.8879999999999999</v>
      </c>
      <c r="L556" s="69">
        <f t="shared" si="633"/>
        <v>52.67</v>
      </c>
      <c r="M556" s="69">
        <f t="shared" si="634"/>
        <v>8.7780000000000005</v>
      </c>
      <c r="N556" s="52">
        <f>N554+N555</f>
        <v>9.1080000000000005</v>
      </c>
      <c r="O556" s="52">
        <f t="shared" ref="O556" si="641">O554+O555</f>
        <v>9.5649999999999995</v>
      </c>
      <c r="P556" s="52">
        <f t="shared" ref="P556" si="642">P554+P555</f>
        <v>9.7509999999999994</v>
      </c>
      <c r="Q556" s="52">
        <f t="shared" ref="Q556" si="643">Q554+Q555</f>
        <v>10.176</v>
      </c>
      <c r="R556" s="52">
        <f t="shared" ref="R556" si="644">R554+R555</f>
        <v>11.112</v>
      </c>
      <c r="S556" s="52">
        <f t="shared" ref="S556" si="645">S554+S555</f>
        <v>11.11</v>
      </c>
      <c r="T556" s="69">
        <f t="shared" si="636"/>
        <v>60.822000000000003</v>
      </c>
      <c r="U556" s="69">
        <f t="shared" si="637"/>
        <v>113.492</v>
      </c>
      <c r="V556" s="69">
        <f t="shared" ref="V556" si="646">V554+V555</f>
        <v>119.18600000000001</v>
      </c>
      <c r="W556" s="52">
        <f t="shared" si="639"/>
        <v>5.694</v>
      </c>
    </row>
    <row r="557" spans="1:28" s="130" customFormat="1" ht="18" customHeight="1">
      <c r="A557" s="614"/>
      <c r="B557" s="581"/>
      <c r="C557" s="581"/>
      <c r="D557" s="174" t="str">
        <f>серпень!D480</f>
        <v>дотація</v>
      </c>
      <c r="E557" s="56"/>
      <c r="F557" s="52">
        <f t="shared" ref="F557:K557" si="647">F572+F602</f>
        <v>0</v>
      </c>
      <c r="G557" s="52">
        <f t="shared" si="647"/>
        <v>0</v>
      </c>
      <c r="H557" s="52">
        <f t="shared" si="647"/>
        <v>0</v>
      </c>
      <c r="I557" s="52">
        <f t="shared" si="647"/>
        <v>0</v>
      </c>
      <c r="J557" s="52">
        <f t="shared" si="647"/>
        <v>0</v>
      </c>
      <c r="K557" s="52">
        <f t="shared" si="647"/>
        <v>0</v>
      </c>
      <c r="L557" s="69">
        <f>SUM(F557:K557)</f>
        <v>0</v>
      </c>
      <c r="M557" s="69">
        <f>L557/6</f>
        <v>0</v>
      </c>
      <c r="N557" s="52">
        <f t="shared" ref="N557:S557" si="648">N572+N602</f>
        <v>0</v>
      </c>
      <c r="O557" s="52">
        <f t="shared" si="648"/>
        <v>0</v>
      </c>
      <c r="P557" s="52">
        <f t="shared" si="648"/>
        <v>0</v>
      </c>
      <c r="Q557" s="52">
        <f t="shared" si="648"/>
        <v>0</v>
      </c>
      <c r="R557" s="52">
        <f t="shared" si="648"/>
        <v>0</v>
      </c>
      <c r="S557" s="52">
        <f t="shared" si="648"/>
        <v>0</v>
      </c>
      <c r="T557" s="69">
        <f>SUM(N557:S557)</f>
        <v>0</v>
      </c>
      <c r="U557" s="69">
        <f>T557+L557</f>
        <v>0</v>
      </c>
      <c r="V557" s="69">
        <f>V572+V602</f>
        <v>0</v>
      </c>
      <c r="W557" s="52">
        <f>V557-U557</f>
        <v>0</v>
      </c>
    </row>
    <row r="558" spans="1:28" s="130" customFormat="1" ht="18" customHeight="1">
      <c r="A558" s="614"/>
      <c r="B558" s="581"/>
      <c r="C558" s="581"/>
      <c r="D558" s="174" t="str">
        <f>серпень!D481</f>
        <v>місцевий (план), тис.грн</v>
      </c>
      <c r="E558" s="56"/>
      <c r="F558" s="52">
        <f>F573+F603+F588+F618</f>
        <v>0</v>
      </c>
      <c r="G558" s="52">
        <f t="shared" ref="G558:K558" si="649">G573+G603+G588+G618</f>
        <v>9.1669999999999998</v>
      </c>
      <c r="H558" s="52">
        <f t="shared" si="649"/>
        <v>8.9339999999999993</v>
      </c>
      <c r="I558" s="52">
        <f t="shared" si="649"/>
        <v>8.27</v>
      </c>
      <c r="J558" s="52">
        <f t="shared" si="649"/>
        <v>9.4819999999999993</v>
      </c>
      <c r="K558" s="52">
        <f t="shared" si="649"/>
        <v>7.9279999999999999</v>
      </c>
      <c r="L558" s="69">
        <f>SUM(F558:K558)</f>
        <v>43.780999999999999</v>
      </c>
      <c r="M558" s="69">
        <f>L558/6</f>
        <v>7.2969999999999997</v>
      </c>
      <c r="N558" s="52">
        <f>N573+N603+N588+N618</f>
        <v>9.0589999999999993</v>
      </c>
      <c r="O558" s="52">
        <f t="shared" ref="O558:S558" si="650">O573+O603+O588+O618</f>
        <v>8.9740000000000002</v>
      </c>
      <c r="P558" s="52">
        <f t="shared" si="650"/>
        <v>10.525</v>
      </c>
      <c r="Q558" s="52">
        <f t="shared" si="650"/>
        <v>11.757</v>
      </c>
      <c r="R558" s="52">
        <f t="shared" si="650"/>
        <v>11.138999999999999</v>
      </c>
      <c r="S558" s="52">
        <f t="shared" si="650"/>
        <v>23.951000000000001</v>
      </c>
      <c r="T558" s="69">
        <f>SUM(N558:S558)</f>
        <v>75.405000000000001</v>
      </c>
      <c r="U558" s="69">
        <f>T558+L558</f>
        <v>119.18600000000001</v>
      </c>
      <c r="V558" s="69">
        <f t="shared" ref="V558" si="651">V573+V603+V588+V618</f>
        <v>119.18600000000001</v>
      </c>
      <c r="W558" s="52">
        <f>V558-U558</f>
        <v>0</v>
      </c>
    </row>
    <row r="559" spans="1:28" s="48" customFormat="1" ht="18" customHeight="1">
      <c r="A559" s="614"/>
      <c r="B559" s="581"/>
      <c r="C559" s="581"/>
      <c r="D559" s="178" t="str">
        <f>серпень!D482</f>
        <v>касові нат.п-ки 2025</v>
      </c>
      <c r="E559" s="11"/>
      <c r="F559" s="349">
        <f t="shared" ref="F559:K559" si="652">F574+F604</f>
        <v>0</v>
      </c>
      <c r="G559" s="349">
        <f t="shared" si="652"/>
        <v>47.808999999999997</v>
      </c>
      <c r="H559" s="349">
        <f t="shared" si="652"/>
        <v>40.012</v>
      </c>
      <c r="I559" s="349">
        <f t="shared" si="652"/>
        <v>46.145000000000003</v>
      </c>
      <c r="J559" s="349">
        <f t="shared" si="652"/>
        <v>48.57</v>
      </c>
      <c r="K559" s="349">
        <f t="shared" si="652"/>
        <v>44.267000000000003</v>
      </c>
      <c r="L559" s="125">
        <f>SUM(F559:K559)</f>
        <v>226.803</v>
      </c>
      <c r="M559" s="125">
        <f>L559/6</f>
        <v>37.801000000000002</v>
      </c>
      <c r="N559" s="349">
        <f t="shared" ref="N559:S559" si="653">N574+N604</f>
        <v>46.134</v>
      </c>
      <c r="O559" s="349">
        <f t="shared" si="653"/>
        <v>47.3</v>
      </c>
      <c r="P559" s="349">
        <f t="shared" si="653"/>
        <v>45</v>
      </c>
      <c r="Q559" s="349">
        <f t="shared" si="653"/>
        <v>46.1</v>
      </c>
      <c r="R559" s="349">
        <f t="shared" si="653"/>
        <v>48.6</v>
      </c>
      <c r="S559" s="349">
        <f t="shared" si="653"/>
        <v>110.77</v>
      </c>
      <c r="T559" s="125">
        <f>SUM(N559:S559)</f>
        <v>343.904</v>
      </c>
      <c r="U559" s="125">
        <f>T559+L559</f>
        <v>570.70699999999999</v>
      </c>
      <c r="V559" s="505">
        <f>V574+V604</f>
        <v>569.4</v>
      </c>
      <c r="W559" s="505">
        <f>V559-U559</f>
        <v>-1.3069999999999999</v>
      </c>
      <c r="X559" s="47">
        <f>U552-U559</f>
        <v>0</v>
      </c>
    </row>
    <row r="560" spans="1:28" s="51" customFormat="1" ht="18" customHeight="1">
      <c r="A560" s="614"/>
      <c r="B560" s="581"/>
      <c r="C560" s="581"/>
      <c r="D560" s="187" t="str">
        <f>серпень!D483</f>
        <v>тариф, грн.</v>
      </c>
      <c r="E560" s="49" t="e">
        <f t="shared" ref="E560:W560" si="654">E561/E559*1000</f>
        <v>#DIV/0!</v>
      </c>
      <c r="F560" s="49" t="e">
        <f t="shared" si="654"/>
        <v>#DIV/0!</v>
      </c>
      <c r="G560" s="49">
        <f t="shared" si="654"/>
        <v>191.74199999999999</v>
      </c>
      <c r="H560" s="49">
        <v>117.60899999999999</v>
      </c>
      <c r="I560" s="49">
        <f t="shared" si="654"/>
        <v>192.61</v>
      </c>
      <c r="J560" s="49">
        <f t="shared" si="654"/>
        <v>191.35300000000001</v>
      </c>
      <c r="K560" s="49">
        <f t="shared" si="654"/>
        <v>193.643</v>
      </c>
      <c r="L560" s="49">
        <f t="shared" si="654"/>
        <v>193.02699999999999</v>
      </c>
      <c r="M560" s="49">
        <f t="shared" si="654"/>
        <v>193.03700000000001</v>
      </c>
      <c r="N560" s="49">
        <f t="shared" si="654"/>
        <v>192.65600000000001</v>
      </c>
      <c r="O560" s="49">
        <f t="shared" si="654"/>
        <v>192.6</v>
      </c>
      <c r="P560" s="49">
        <f t="shared" si="654"/>
        <v>212.55600000000001</v>
      </c>
      <c r="Q560" s="49">
        <f t="shared" si="654"/>
        <v>211.518</v>
      </c>
      <c r="R560" s="49">
        <f t="shared" si="654"/>
        <v>209.38300000000001</v>
      </c>
      <c r="S560" s="49">
        <f t="shared" si="654"/>
        <v>200.62299999999999</v>
      </c>
      <c r="T560" s="49">
        <f t="shared" si="654"/>
        <v>202.71100000000001</v>
      </c>
      <c r="U560" s="49">
        <f t="shared" si="654"/>
        <v>198.86199999999999</v>
      </c>
      <c r="V560" s="49">
        <f t="shared" si="654"/>
        <v>209.31899999999999</v>
      </c>
      <c r="W560" s="49">
        <f t="shared" si="654"/>
        <v>-4356.5420000000004</v>
      </c>
      <c r="X560" s="59"/>
    </row>
    <row r="561" spans="1:28" s="126" customFormat="1" ht="18" customHeight="1">
      <c r="A561" s="614"/>
      <c r="B561" s="581"/>
      <c r="C561" s="581"/>
      <c r="D561" s="198" t="str">
        <f>серпень!D484</f>
        <v>касові видатки, тис.грн.</v>
      </c>
      <c r="E561" s="71"/>
      <c r="F561" s="61">
        <f>F576+F606+F591+F621</f>
        <v>0</v>
      </c>
      <c r="G561" s="61">
        <f t="shared" ref="G561:K561" si="655">G576+G606+G591+G621</f>
        <v>9.1669999999999998</v>
      </c>
      <c r="H561" s="61">
        <f t="shared" si="655"/>
        <v>7.8579999999999997</v>
      </c>
      <c r="I561" s="61">
        <f t="shared" si="655"/>
        <v>8.8879999999999999</v>
      </c>
      <c r="J561" s="61">
        <f t="shared" si="655"/>
        <v>9.2940000000000005</v>
      </c>
      <c r="K561" s="61">
        <f t="shared" si="655"/>
        <v>8.5719999999999992</v>
      </c>
      <c r="L561" s="61">
        <f>SUM(F561:K561)</f>
        <v>43.779000000000003</v>
      </c>
      <c r="M561" s="61">
        <f>L561/6</f>
        <v>7.2969999999999997</v>
      </c>
      <c r="N561" s="61">
        <f>N576+N606+N591+N621</f>
        <v>8.8879999999999999</v>
      </c>
      <c r="O561" s="61">
        <f t="shared" ref="O561:S561" si="656">O576+O606+O591+O621</f>
        <v>9.11</v>
      </c>
      <c r="P561" s="61">
        <f t="shared" si="656"/>
        <v>9.5649999999999995</v>
      </c>
      <c r="Q561" s="61">
        <f t="shared" si="656"/>
        <v>9.7509999999999994</v>
      </c>
      <c r="R561" s="61">
        <f t="shared" si="656"/>
        <v>10.176</v>
      </c>
      <c r="S561" s="61">
        <f t="shared" si="656"/>
        <v>22.222999999999999</v>
      </c>
      <c r="T561" s="61">
        <f>SUM(N561:S561)</f>
        <v>69.712999999999994</v>
      </c>
      <c r="U561" s="61">
        <f>T561+L561</f>
        <v>113.492</v>
      </c>
      <c r="V561" s="61">
        <f t="shared" ref="V561" si="657">V576+V606+V591+V621</f>
        <v>119.18600000000001</v>
      </c>
      <c r="W561" s="72">
        <f>V561-U561</f>
        <v>5.694</v>
      </c>
      <c r="X561" s="63">
        <f>U556-U561</f>
        <v>0</v>
      </c>
    </row>
    <row r="562" spans="1:28" s="126" customFormat="1" ht="18" customHeight="1">
      <c r="A562" s="614"/>
      <c r="B562" s="581"/>
      <c r="C562" s="581"/>
      <c r="D562" s="201" t="str">
        <f>серпень!D485</f>
        <v>дотація</v>
      </c>
      <c r="E562" s="71"/>
      <c r="F562" s="61">
        <f t="shared" ref="F562:K563" si="658">F577+F607+F592+F622</f>
        <v>0</v>
      </c>
      <c r="G562" s="61">
        <f t="shared" si="658"/>
        <v>0</v>
      </c>
      <c r="H562" s="61">
        <f t="shared" si="658"/>
        <v>0</v>
      </c>
      <c r="I562" s="61">
        <f t="shared" si="658"/>
        <v>0</v>
      </c>
      <c r="J562" s="61">
        <f t="shared" si="658"/>
        <v>0</v>
      </c>
      <c r="K562" s="61">
        <f t="shared" si="658"/>
        <v>0</v>
      </c>
      <c r="L562" s="61">
        <f>SUM(F562:K562)</f>
        <v>0</v>
      </c>
      <c r="M562" s="61">
        <f>L562/6</f>
        <v>0</v>
      </c>
      <c r="N562" s="61">
        <f t="shared" ref="N562:S562" si="659">N577+N607+N592+N622</f>
        <v>0</v>
      </c>
      <c r="O562" s="61">
        <f t="shared" si="659"/>
        <v>0</v>
      </c>
      <c r="P562" s="61">
        <f t="shared" si="659"/>
        <v>0</v>
      </c>
      <c r="Q562" s="61">
        <f t="shared" si="659"/>
        <v>0</v>
      </c>
      <c r="R562" s="61">
        <f t="shared" si="659"/>
        <v>0</v>
      </c>
      <c r="S562" s="61">
        <f t="shared" si="659"/>
        <v>0</v>
      </c>
      <c r="T562" s="61">
        <f>SUM(N562:S562)</f>
        <v>0</v>
      </c>
      <c r="U562" s="61">
        <f>T562+L562</f>
        <v>0</v>
      </c>
      <c r="V562" s="61">
        <f t="shared" ref="V562" si="660">V577+V607+V592+V622</f>
        <v>0</v>
      </c>
      <c r="W562" s="72">
        <f>V562-U562</f>
        <v>0</v>
      </c>
      <c r="X562" s="63">
        <f>U557-U562</f>
        <v>0</v>
      </c>
    </row>
    <row r="563" spans="1:28" s="126" customFormat="1" ht="18" customHeight="1">
      <c r="A563" s="614"/>
      <c r="B563" s="581"/>
      <c r="C563" s="581"/>
      <c r="D563" s="201" t="str">
        <f>серпень!D486</f>
        <v xml:space="preserve">місцевий </v>
      </c>
      <c r="E563" s="71"/>
      <c r="F563" s="61">
        <f t="shared" si="658"/>
        <v>0</v>
      </c>
      <c r="G563" s="61">
        <f t="shared" si="658"/>
        <v>9.1669999999999998</v>
      </c>
      <c r="H563" s="61">
        <f t="shared" si="658"/>
        <v>7.8579999999999997</v>
      </c>
      <c r="I563" s="61">
        <f t="shared" si="658"/>
        <v>8.8879999999999999</v>
      </c>
      <c r="J563" s="61">
        <f t="shared" si="658"/>
        <v>9.2940000000000005</v>
      </c>
      <c r="K563" s="61">
        <f t="shared" si="658"/>
        <v>8.5719999999999992</v>
      </c>
      <c r="L563" s="61">
        <f>SUM(F563:K563)</f>
        <v>43.779000000000003</v>
      </c>
      <c r="M563" s="61">
        <f>L563/6</f>
        <v>7.2969999999999997</v>
      </c>
      <c r="N563" s="61">
        <f t="shared" ref="N563:S563" si="661">N578+N608+N593+N623</f>
        <v>8.8879999999999999</v>
      </c>
      <c r="O563" s="61">
        <f t="shared" si="661"/>
        <v>9.11</v>
      </c>
      <c r="P563" s="61">
        <f t="shared" si="661"/>
        <v>9.5649999999999995</v>
      </c>
      <c r="Q563" s="61">
        <f t="shared" si="661"/>
        <v>9.7509999999999994</v>
      </c>
      <c r="R563" s="61">
        <f t="shared" si="661"/>
        <v>10.176</v>
      </c>
      <c r="S563" s="61">
        <f t="shared" si="661"/>
        <v>22.222999999999999</v>
      </c>
      <c r="T563" s="61">
        <f>SUM(N563:S563)</f>
        <v>69.712999999999994</v>
      </c>
      <c r="U563" s="61">
        <f>T563+L563</f>
        <v>113.492</v>
      </c>
      <c r="V563" s="61">
        <f t="shared" ref="V563" si="662">V578+V608+V593+V623</f>
        <v>119.18600000000001</v>
      </c>
      <c r="W563" s="72">
        <f>V563-U563</f>
        <v>5.694</v>
      </c>
      <c r="X563" s="63">
        <f>U558-U563</f>
        <v>5.694</v>
      </c>
    </row>
    <row r="564" spans="1:28" s="43" customFormat="1" ht="18" customHeight="1">
      <c r="A564" s="614"/>
      <c r="B564" s="581"/>
      <c r="C564" s="581"/>
      <c r="D564" s="202" t="str">
        <f>серпень!D487</f>
        <v>план</v>
      </c>
      <c r="E564" s="42"/>
      <c r="F564" s="42">
        <f t="shared" ref="F564:K566" si="663">F579+F609</f>
        <v>0</v>
      </c>
      <c r="G564" s="42">
        <f t="shared" si="663"/>
        <v>9.1609999999999996</v>
      </c>
      <c r="H564" s="42">
        <f t="shared" si="663"/>
        <v>8.93</v>
      </c>
      <c r="I564" s="42">
        <f t="shared" si="663"/>
        <v>8.266</v>
      </c>
      <c r="J564" s="42">
        <f t="shared" si="663"/>
        <v>9.4779999999999998</v>
      </c>
      <c r="K564" s="42">
        <f t="shared" si="663"/>
        <v>7.9240000000000004</v>
      </c>
      <c r="L564" s="42">
        <f>SUM(F564:K564)</f>
        <v>43.759</v>
      </c>
      <c r="M564" s="42">
        <f>L564/6</f>
        <v>7.2930000000000001</v>
      </c>
      <c r="N564" s="42">
        <f t="shared" ref="N564:S566" si="664">N579+N609</f>
        <v>9.0549999999999997</v>
      </c>
      <c r="O564" s="42">
        <f t="shared" si="664"/>
        <v>8.9700000000000006</v>
      </c>
      <c r="P564" s="42">
        <f t="shared" si="664"/>
        <v>10.521000000000001</v>
      </c>
      <c r="Q564" s="42">
        <f t="shared" si="664"/>
        <v>11.753</v>
      </c>
      <c r="R564" s="42">
        <f t="shared" si="664"/>
        <v>11.135</v>
      </c>
      <c r="S564" s="42">
        <f t="shared" si="664"/>
        <v>23.943000000000001</v>
      </c>
      <c r="T564" s="42">
        <f>SUM(N564:S564)</f>
        <v>75.376999999999995</v>
      </c>
      <c r="U564" s="42">
        <f>T564+L564</f>
        <v>119.136</v>
      </c>
      <c r="V564" s="42">
        <f>V579+V609</f>
        <v>119.136</v>
      </c>
      <c r="W564" s="42">
        <f>V564-U564</f>
        <v>0</v>
      </c>
    </row>
    <row r="565" spans="1:28" s="43" customFormat="1" ht="18" customHeight="1">
      <c r="A565" s="614"/>
      <c r="B565" s="581"/>
      <c r="C565" s="581"/>
      <c r="D565" s="202" t="str">
        <f>серпень!D488</f>
        <v xml:space="preserve">відхилення </v>
      </c>
      <c r="E565" s="42"/>
      <c r="F565" s="42">
        <f t="shared" si="663"/>
        <v>0</v>
      </c>
      <c r="G565" s="42">
        <f t="shared" si="663"/>
        <v>6.0000000000000001E-3</v>
      </c>
      <c r="H565" s="42">
        <f t="shared" si="663"/>
        <v>-1.0720000000000001</v>
      </c>
      <c r="I565" s="42">
        <f t="shared" si="663"/>
        <v>0.62</v>
      </c>
      <c r="J565" s="42">
        <f t="shared" si="663"/>
        <v>-0.186</v>
      </c>
      <c r="K565" s="42">
        <f t="shared" si="663"/>
        <v>0.64400000000000002</v>
      </c>
      <c r="L565" s="42"/>
      <c r="M565" s="42"/>
      <c r="N565" s="42">
        <f t="shared" si="664"/>
        <v>-0.17100000000000001</v>
      </c>
      <c r="O565" s="42">
        <f t="shared" si="664"/>
        <v>0.13600000000000001</v>
      </c>
      <c r="P565" s="42">
        <f t="shared" si="664"/>
        <v>-0.96</v>
      </c>
      <c r="Q565" s="42">
        <f t="shared" si="664"/>
        <v>-2.0059999999999998</v>
      </c>
      <c r="R565" s="42">
        <f t="shared" si="664"/>
        <v>-0.96299999999999997</v>
      </c>
      <c r="S565" s="42">
        <f t="shared" si="664"/>
        <v>-1.726</v>
      </c>
      <c r="T565" s="42"/>
      <c r="U565" s="42"/>
      <c r="V565" s="42"/>
      <c r="W565" s="42"/>
    </row>
    <row r="566" spans="1:28" s="43" customFormat="1" ht="18" customHeight="1">
      <c r="A566" s="614"/>
      <c r="B566" s="581"/>
      <c r="C566" s="581"/>
      <c r="D566" s="202" t="str">
        <f>серпень!D489</f>
        <v>відхилення з наростаючим</v>
      </c>
      <c r="E566" s="42"/>
      <c r="F566" s="42">
        <f t="shared" si="663"/>
        <v>0</v>
      </c>
      <c r="G566" s="42">
        <f t="shared" si="663"/>
        <v>6.0000000000000001E-3</v>
      </c>
      <c r="H566" s="42">
        <f t="shared" si="663"/>
        <v>-1.0660000000000001</v>
      </c>
      <c r="I566" s="42">
        <f t="shared" si="663"/>
        <v>-0.44600000000000001</v>
      </c>
      <c r="J566" s="42">
        <f t="shared" si="663"/>
        <v>-0.63200000000000001</v>
      </c>
      <c r="K566" s="42">
        <f t="shared" si="663"/>
        <v>1.2E-2</v>
      </c>
      <c r="L566" s="42"/>
      <c r="M566" s="42"/>
      <c r="N566" s="42">
        <f t="shared" si="664"/>
        <v>-0.159</v>
      </c>
      <c r="O566" s="42">
        <f t="shared" si="664"/>
        <v>-2.3E-2</v>
      </c>
      <c r="P566" s="42">
        <f t="shared" si="664"/>
        <v>-0.98299999999999998</v>
      </c>
      <c r="Q566" s="42">
        <f t="shared" si="664"/>
        <v>-2.9889999999999999</v>
      </c>
      <c r="R566" s="42">
        <f t="shared" si="664"/>
        <v>-3.952</v>
      </c>
      <c r="S566" s="42">
        <f t="shared" si="664"/>
        <v>-5.6779999999999999</v>
      </c>
      <c r="T566" s="42"/>
      <c r="U566" s="42"/>
      <c r="V566" s="42"/>
      <c r="W566" s="42"/>
    </row>
    <row r="567" spans="1:28" s="55" customFormat="1" ht="18" customHeight="1">
      <c r="A567" s="614"/>
      <c r="B567" s="576" t="s">
        <v>63</v>
      </c>
      <c r="C567" s="577"/>
      <c r="D567" s="178" t="str">
        <f>серпень!D490</f>
        <v>факт. нат.п-ки 2023</v>
      </c>
      <c r="E567" s="11"/>
      <c r="F567" s="82">
        <v>7.48</v>
      </c>
      <c r="G567" s="82">
        <v>7.48</v>
      </c>
      <c r="H567" s="82">
        <v>19.3</v>
      </c>
      <c r="I567" s="82">
        <v>21</v>
      </c>
      <c r="J567" s="82">
        <v>19.7</v>
      </c>
      <c r="K567" s="82">
        <v>14.3</v>
      </c>
      <c r="L567" s="125">
        <f>SUM(F567:K567)</f>
        <v>89.26</v>
      </c>
      <c r="M567" s="125">
        <f>L567/6</f>
        <v>14.877000000000001</v>
      </c>
      <c r="N567" s="348">
        <v>14.3</v>
      </c>
      <c r="O567" s="348">
        <v>14.3</v>
      </c>
      <c r="P567" s="348">
        <v>14.3</v>
      </c>
      <c r="Q567" s="348">
        <v>19.100000000000001</v>
      </c>
      <c r="R567" s="348">
        <v>19.100000000000001</v>
      </c>
      <c r="S567" s="348">
        <v>14.3</v>
      </c>
      <c r="T567" s="125">
        <f>SUM(N567:S567)</f>
        <v>95.4</v>
      </c>
      <c r="U567" s="125">
        <f>T567+L567</f>
        <v>184.66</v>
      </c>
      <c r="V567" s="505"/>
      <c r="W567" s="505"/>
      <c r="X567" s="47"/>
      <c r="Y567" s="48"/>
      <c r="Z567" s="48"/>
      <c r="AA567" s="48"/>
      <c r="AB567" s="48"/>
    </row>
    <row r="568" spans="1:28" s="48" customFormat="1" ht="18" customHeight="1">
      <c r="A568" s="614"/>
      <c r="B568" s="576"/>
      <c r="C568" s="577"/>
      <c r="D568" s="178" t="str">
        <f>серпень!D491</f>
        <v>факт. нат.п-ки 2024</v>
      </c>
      <c r="E568" s="11"/>
      <c r="F568" s="82">
        <v>9.25</v>
      </c>
      <c r="G568" s="82">
        <v>7.89</v>
      </c>
      <c r="H568" s="82">
        <v>11.19</v>
      </c>
      <c r="I568" s="82">
        <v>16.3</v>
      </c>
      <c r="J568" s="82">
        <v>14.3</v>
      </c>
      <c r="K568" s="82">
        <v>12.1</v>
      </c>
      <c r="L568" s="125">
        <f>SUM(F568:K568)</f>
        <v>71.03</v>
      </c>
      <c r="M568" s="125">
        <f>L568/6</f>
        <v>11.837999999999999</v>
      </c>
      <c r="N568" s="348">
        <v>16.7</v>
      </c>
      <c r="O568" s="348">
        <v>11.6</v>
      </c>
      <c r="P568" s="348">
        <v>12.7</v>
      </c>
      <c r="Q568" s="348">
        <v>15.2</v>
      </c>
      <c r="R568" s="348">
        <v>19.100000000000001</v>
      </c>
      <c r="S568" s="348">
        <v>14.3</v>
      </c>
      <c r="T568" s="125">
        <f>SUM(N568:S568)</f>
        <v>89.6</v>
      </c>
      <c r="U568" s="125">
        <f>T568+L568</f>
        <v>160.63</v>
      </c>
      <c r="V568" s="505">
        <v>190.8</v>
      </c>
      <c r="W568" s="505"/>
      <c r="X568" s="47"/>
    </row>
    <row r="569" spans="1:28" s="48" customFormat="1" ht="18" customHeight="1">
      <c r="A569" s="614"/>
      <c r="B569" s="576"/>
      <c r="C569" s="577"/>
      <c r="D569" s="178" t="str">
        <f>серпень!D492</f>
        <v>факт. нат.п-ки 2025</v>
      </c>
      <c r="E569" s="11"/>
      <c r="F569" s="82">
        <v>14.409000000000001</v>
      </c>
      <c r="G569" s="82">
        <v>6.6120000000000001</v>
      </c>
      <c r="H569" s="82">
        <v>12.744999999999999</v>
      </c>
      <c r="I569" s="82">
        <v>15.17</v>
      </c>
      <c r="J569" s="82">
        <v>10.867000000000001</v>
      </c>
      <c r="K569" s="82">
        <v>12.734</v>
      </c>
      <c r="L569" s="125">
        <f>SUM(F569:K569)</f>
        <v>72.537000000000006</v>
      </c>
      <c r="M569" s="125">
        <f>L569/6</f>
        <v>12.09</v>
      </c>
      <c r="N569" s="348">
        <v>13.2</v>
      </c>
      <c r="O569" s="348">
        <v>11.6</v>
      </c>
      <c r="P569" s="348">
        <v>12.7</v>
      </c>
      <c r="Q569" s="348">
        <v>15.2</v>
      </c>
      <c r="R569" s="348">
        <v>19.100000000000001</v>
      </c>
      <c r="S569" s="348">
        <f>32.5-0.03</f>
        <v>32.47</v>
      </c>
      <c r="T569" s="125">
        <f>SUM(N569:S569)</f>
        <v>104.27</v>
      </c>
      <c r="U569" s="125">
        <f>T569+L569</f>
        <v>176.80699999999999</v>
      </c>
      <c r="V569" s="349">
        <v>178.8</v>
      </c>
      <c r="W569" s="505">
        <f>V569-U569</f>
        <v>1.9930000000000001</v>
      </c>
      <c r="X569" s="47"/>
    </row>
    <row r="570" spans="1:28" s="51" customFormat="1" ht="18" customHeight="1">
      <c r="A570" s="614"/>
      <c r="B570" s="576"/>
      <c r="C570" s="577"/>
      <c r="D570" s="187" t="str">
        <f>серпень!D493</f>
        <v>тариф, грн.</v>
      </c>
      <c r="E570" s="49" t="e">
        <f>E571/E569*1000</f>
        <v>#DIV/0!</v>
      </c>
      <c r="F570" s="49">
        <f t="shared" ref="F570:K570" si="665">F571/F569*1000</f>
        <v>167.881</v>
      </c>
      <c r="G570" s="49">
        <f t="shared" si="665"/>
        <v>167.87700000000001</v>
      </c>
      <c r="H570" s="49">
        <f t="shared" si="665"/>
        <v>167.90899999999999</v>
      </c>
      <c r="I570" s="49">
        <f t="shared" si="665"/>
        <v>167.89699999999999</v>
      </c>
      <c r="J570" s="49">
        <f t="shared" si="665"/>
        <v>167.66399999999999</v>
      </c>
      <c r="K570" s="49">
        <f t="shared" si="665"/>
        <v>167.74</v>
      </c>
      <c r="L570" s="68">
        <f>L571/L569*1000</f>
        <v>167.83199999999999</v>
      </c>
      <c r="M570" s="68">
        <f>M571/M569*1000</f>
        <v>167.82499999999999</v>
      </c>
      <c r="N570" s="68">
        <f t="shared" ref="N570:O570" si="666">N571/N569*1000</f>
        <v>167.727</v>
      </c>
      <c r="O570" s="68">
        <f t="shared" si="666"/>
        <v>169.74100000000001</v>
      </c>
      <c r="P570" s="68">
        <v>169.88</v>
      </c>
      <c r="Q570" s="68">
        <v>169.88</v>
      </c>
      <c r="R570" s="68">
        <v>169.88</v>
      </c>
      <c r="S570" s="49">
        <v>169.88</v>
      </c>
      <c r="T570" s="68">
        <f>T571/T569*1000</f>
        <v>169.512</v>
      </c>
      <c r="U570" s="68">
        <f>U571/U569*1000</f>
        <v>168.82300000000001</v>
      </c>
      <c r="V570" s="68">
        <f>V571/V569*1000</f>
        <v>169.74299999999999</v>
      </c>
      <c r="W570" s="14">
        <f>W571/W569*1000</f>
        <v>251.38</v>
      </c>
      <c r="X570" s="59"/>
    </row>
    <row r="571" spans="1:28" s="130" customFormat="1" ht="18" customHeight="1">
      <c r="A571" s="614"/>
      <c r="B571" s="576"/>
      <c r="C571" s="577"/>
      <c r="D571" s="191" t="str">
        <f>серпень!D494</f>
        <v>сума, тис.грн.</v>
      </c>
      <c r="E571" s="52"/>
      <c r="F571" s="52">
        <v>2.419</v>
      </c>
      <c r="G571" s="52">
        <v>1.1100000000000001</v>
      </c>
      <c r="H571" s="52">
        <v>2.14</v>
      </c>
      <c r="I571" s="52">
        <v>2.5470000000000002</v>
      </c>
      <c r="J571" s="52">
        <v>1.8220000000000001</v>
      </c>
      <c r="K571" s="52">
        <f>2.138-0.002</f>
        <v>2.1360000000000001</v>
      </c>
      <c r="L571" s="69">
        <f>SUM(F571:K571)</f>
        <v>12.173999999999999</v>
      </c>
      <c r="M571" s="69">
        <f>L571/6</f>
        <v>2.0289999999999999</v>
      </c>
      <c r="N571" s="52">
        <v>2.214</v>
      </c>
      <c r="O571" s="52">
        <v>1.9690000000000001</v>
      </c>
      <c r="P571" s="52">
        <f t="shared" ref="P571" si="667">P569*P570/1000-0.002</f>
        <v>2.1549999999999998</v>
      </c>
      <c r="Q571" s="52">
        <f t="shared" ref="Q571" si="668">Q569*Q570/1000-0.002</f>
        <v>2.58</v>
      </c>
      <c r="R571" s="52">
        <f t="shared" ref="R571" si="669">R569*R570/1000-0.002</f>
        <v>3.2429999999999999</v>
      </c>
      <c r="S571" s="52">
        <f>S569*S570/1000-0.002</f>
        <v>5.5140000000000002</v>
      </c>
      <c r="T571" s="69">
        <f>SUM(N571:S571)</f>
        <v>17.675000000000001</v>
      </c>
      <c r="U571" s="69">
        <f>T571+L571</f>
        <v>29.849</v>
      </c>
      <c r="V571" s="70">
        <f>V572+V573</f>
        <v>30.35</v>
      </c>
      <c r="W571" s="53">
        <f>V571-U571</f>
        <v>0.501</v>
      </c>
    </row>
    <row r="572" spans="1:28" s="130" customFormat="1" ht="18" customHeight="1">
      <c r="A572" s="614"/>
      <c r="B572" s="576"/>
      <c r="C572" s="577"/>
      <c r="D572" s="174" t="str">
        <f>серпень!D495</f>
        <v>дотація</v>
      </c>
      <c r="E572" s="56"/>
      <c r="F572" s="52"/>
      <c r="G572" s="52"/>
      <c r="H572" s="52"/>
      <c r="I572" s="52"/>
      <c r="J572" s="52"/>
      <c r="K572" s="52"/>
      <c r="L572" s="69">
        <f>SUM(F572:K572)</f>
        <v>0</v>
      </c>
      <c r="M572" s="69">
        <f>L572/6</f>
        <v>0</v>
      </c>
      <c r="N572" s="52"/>
      <c r="O572" s="52"/>
      <c r="P572" s="52"/>
      <c r="Q572" s="52"/>
      <c r="R572" s="52"/>
      <c r="S572" s="52"/>
      <c r="T572" s="69">
        <f>SUM(N572:S572)</f>
        <v>0</v>
      </c>
      <c r="U572" s="69">
        <f>T572+L572</f>
        <v>0</v>
      </c>
      <c r="V572" s="70"/>
      <c r="W572" s="53">
        <f>V572-U572</f>
        <v>0</v>
      </c>
    </row>
    <row r="573" spans="1:28" s="130" customFormat="1" ht="18" customHeight="1">
      <c r="A573" s="614"/>
      <c r="B573" s="576"/>
      <c r="C573" s="577"/>
      <c r="D573" s="174" t="str">
        <f>серпень!D496</f>
        <v>місцевий (план), тис.грн</v>
      </c>
      <c r="E573" s="56"/>
      <c r="F573" s="52">
        <f>0.51-0.51</f>
        <v>0</v>
      </c>
      <c r="G573" s="52">
        <v>1.569</v>
      </c>
      <c r="H573" s="52">
        <v>1.3380000000000001</v>
      </c>
      <c r="I573" s="52">
        <f>1.899-1.225</f>
        <v>0.67400000000000004</v>
      </c>
      <c r="J573" s="52">
        <f>2.767+0.474-1.355</f>
        <v>1.8859999999999999</v>
      </c>
      <c r="K573" s="52">
        <f>2.427+0.726</f>
        <v>3.153</v>
      </c>
      <c r="L573" s="69">
        <f>SUM(F573:K573)</f>
        <v>8.6199999999999992</v>
      </c>
      <c r="M573" s="69">
        <f>L573/6</f>
        <v>1.4370000000000001</v>
      </c>
      <c r="N573" s="52">
        <v>2.0539999999999998</v>
      </c>
      <c r="O573" s="52">
        <f>2.835+1.355-0.382</f>
        <v>3.8079999999999998</v>
      </c>
      <c r="P573" s="52">
        <v>1.9690000000000001</v>
      </c>
      <c r="Q573" s="52">
        <v>2.1549999999999998</v>
      </c>
      <c r="R573" s="52">
        <f>2.58+0.025</f>
        <v>2.605</v>
      </c>
      <c r="S573" s="52">
        <f>8.758-0.001+0.382</f>
        <v>9.1389999999999993</v>
      </c>
      <c r="T573" s="69">
        <f>SUM(N573:S573)</f>
        <v>21.73</v>
      </c>
      <c r="U573" s="69">
        <f>T573+L573</f>
        <v>30.35</v>
      </c>
      <c r="V573" s="70">
        <f>30.375-0.025</f>
        <v>30.35</v>
      </c>
      <c r="W573" s="53">
        <f>V573-U573</f>
        <v>0</v>
      </c>
    </row>
    <row r="574" spans="1:28" s="48" customFormat="1" ht="18" customHeight="1">
      <c r="A574" s="614"/>
      <c r="B574" s="576"/>
      <c r="C574" s="577"/>
      <c r="D574" s="178" t="str">
        <f>серпень!D497</f>
        <v>касові нат.п-ки 2025</v>
      </c>
      <c r="E574" s="11"/>
      <c r="F574" s="82">
        <v>0</v>
      </c>
      <c r="G574" s="82">
        <v>14.409000000000001</v>
      </c>
      <c r="H574" s="82">
        <v>6.6120000000000001</v>
      </c>
      <c r="I574" s="82">
        <v>12.744999999999999</v>
      </c>
      <c r="J574" s="82">
        <v>15.17</v>
      </c>
      <c r="K574" s="82">
        <v>10.867000000000001</v>
      </c>
      <c r="L574" s="125">
        <f>SUM(F574:K574)</f>
        <v>59.802999999999997</v>
      </c>
      <c r="M574" s="125">
        <f>L574/6</f>
        <v>9.9670000000000005</v>
      </c>
      <c r="N574" s="510">
        <v>12.734</v>
      </c>
      <c r="O574" s="348">
        <v>13.2</v>
      </c>
      <c r="P574" s="348">
        <v>11.6</v>
      </c>
      <c r="Q574" s="348">
        <v>12.7</v>
      </c>
      <c r="R574" s="348">
        <f>15.2</f>
        <v>15.2</v>
      </c>
      <c r="S574" s="348">
        <f>R569+S569</f>
        <v>51.57</v>
      </c>
      <c r="T574" s="125">
        <f>SUM(N574:S574)</f>
        <v>117.004</v>
      </c>
      <c r="U574" s="125">
        <f>T574+L574</f>
        <v>176.80699999999999</v>
      </c>
      <c r="V574" s="349">
        <f>V569</f>
        <v>178.8</v>
      </c>
      <c r="W574" s="505">
        <f>V574-U574</f>
        <v>1.9930000000000001</v>
      </c>
      <c r="X574" s="47">
        <f>U569-U574</f>
        <v>0</v>
      </c>
    </row>
    <row r="575" spans="1:28" s="51" customFormat="1" ht="18" customHeight="1">
      <c r="A575" s="614"/>
      <c r="B575" s="576"/>
      <c r="C575" s="577"/>
      <c r="D575" s="187" t="str">
        <f>серпень!D498</f>
        <v>тариф, грн.</v>
      </c>
      <c r="E575" s="49" t="e">
        <f>E576/E574*1000</f>
        <v>#DIV/0!</v>
      </c>
      <c r="F575" s="49" t="e">
        <f t="shared" ref="F575:K575" si="670">F576/F574*1000</f>
        <v>#DIV/0!</v>
      </c>
      <c r="G575" s="49">
        <f t="shared" si="670"/>
        <v>167.881</v>
      </c>
      <c r="H575" s="49">
        <f t="shared" si="670"/>
        <v>167.87700000000001</v>
      </c>
      <c r="I575" s="49">
        <f t="shared" si="670"/>
        <v>167.75200000000001</v>
      </c>
      <c r="J575" s="49">
        <f t="shared" si="670"/>
        <v>167.69900000000001</v>
      </c>
      <c r="K575" s="49">
        <f t="shared" si="670"/>
        <v>167.66399999999999</v>
      </c>
      <c r="L575" s="68">
        <f>L576/L574*1000</f>
        <v>167.768</v>
      </c>
      <c r="M575" s="68">
        <f>M576/M574*1000</f>
        <v>167.75399999999999</v>
      </c>
      <c r="N575" s="68">
        <f>N576/N574*1000</f>
        <v>167.74</v>
      </c>
      <c r="O575" s="68">
        <f>O576/O574*1000</f>
        <v>167.87899999999999</v>
      </c>
      <c r="P575" s="68">
        <v>169.88</v>
      </c>
      <c r="Q575" s="68">
        <v>169.88</v>
      </c>
      <c r="R575" s="68">
        <v>169.88</v>
      </c>
      <c r="S575" s="49">
        <v>169.88</v>
      </c>
      <c r="T575" s="68">
        <f>T576/T574*1000</f>
        <v>169.36199999999999</v>
      </c>
      <c r="U575" s="68">
        <f>U576/U574*1000</f>
        <v>168.82300000000001</v>
      </c>
      <c r="V575" s="68">
        <f>V576/V574*1000</f>
        <v>169.74299999999999</v>
      </c>
      <c r="W575" s="14">
        <f>W576/W574*1000</f>
        <v>251.38</v>
      </c>
      <c r="X575" s="59"/>
    </row>
    <row r="576" spans="1:28" s="126" customFormat="1" ht="18" customHeight="1">
      <c r="A576" s="614"/>
      <c r="B576" s="576"/>
      <c r="C576" s="577"/>
      <c r="D576" s="198" t="str">
        <f>серпень!D499</f>
        <v>касові видатки, тис.грн.</v>
      </c>
      <c r="E576" s="71"/>
      <c r="F576" s="61">
        <v>0</v>
      </c>
      <c r="G576" s="61">
        <v>2.419</v>
      </c>
      <c r="H576" s="61">
        <v>1.1100000000000001</v>
      </c>
      <c r="I576" s="61">
        <f>2.14-0.002</f>
        <v>2.1379999999999999</v>
      </c>
      <c r="J576" s="61">
        <f>2.547-0.003</f>
        <v>2.544</v>
      </c>
      <c r="K576" s="61">
        <v>1.8220000000000001</v>
      </c>
      <c r="L576" s="61">
        <f>SUM(F576:K576)</f>
        <v>10.032999999999999</v>
      </c>
      <c r="M576" s="61">
        <f>L576/6</f>
        <v>1.6719999999999999</v>
      </c>
      <c r="N576" s="61">
        <f>2.138-0.002</f>
        <v>2.1360000000000001</v>
      </c>
      <c r="O576" s="61">
        <v>2.2160000000000002</v>
      </c>
      <c r="P576" s="61">
        <v>1.9690000000000001</v>
      </c>
      <c r="Q576" s="61">
        <f t="shared" ref="Q576" si="671">Q574*Q575/1000-0.002</f>
        <v>2.1549999999999998</v>
      </c>
      <c r="R576" s="61">
        <f t="shared" ref="R576" si="672">R574*R575/1000-0.002</f>
        <v>2.58</v>
      </c>
      <c r="S576" s="61">
        <f>S574*S575/1000-0.001</f>
        <v>8.76</v>
      </c>
      <c r="T576" s="61">
        <f>SUM(N576:S576)</f>
        <v>19.815999999999999</v>
      </c>
      <c r="U576" s="61">
        <f>T576+L576</f>
        <v>29.849</v>
      </c>
      <c r="V576" s="61">
        <f>V571</f>
        <v>30.35</v>
      </c>
      <c r="W576" s="72">
        <f>V576-U576</f>
        <v>0.501</v>
      </c>
      <c r="X576" s="63">
        <f>U571-U576</f>
        <v>0</v>
      </c>
    </row>
    <row r="577" spans="1:28" s="126" customFormat="1" ht="18" customHeight="1">
      <c r="A577" s="614"/>
      <c r="B577" s="576"/>
      <c r="C577" s="577"/>
      <c r="D577" s="201" t="str">
        <f>серпень!D500</f>
        <v>дотація</v>
      </c>
      <c r="E577" s="71"/>
      <c r="F577" s="61"/>
      <c r="G577" s="61"/>
      <c r="H577" s="61"/>
      <c r="I577" s="61"/>
      <c r="J577" s="61"/>
      <c r="K577" s="61"/>
      <c r="L577" s="61">
        <f>SUM(F577:K577)</f>
        <v>0</v>
      </c>
      <c r="M577" s="61">
        <f>L577/6</f>
        <v>0</v>
      </c>
      <c r="N577" s="61"/>
      <c r="O577" s="61"/>
      <c r="P577" s="61"/>
      <c r="Q577" s="61"/>
      <c r="R577" s="61"/>
      <c r="S577" s="61"/>
      <c r="T577" s="61">
        <f>SUM(N577:S577)</f>
        <v>0</v>
      </c>
      <c r="U577" s="61">
        <f>T577+L577</f>
        <v>0</v>
      </c>
      <c r="V577" s="61">
        <f>V572</f>
        <v>0</v>
      </c>
      <c r="W577" s="72">
        <f>V577-U577</f>
        <v>0</v>
      </c>
      <c r="X577" s="63">
        <f>U572-U577</f>
        <v>0</v>
      </c>
    </row>
    <row r="578" spans="1:28" s="126" customFormat="1" ht="18" customHeight="1">
      <c r="A578" s="614"/>
      <c r="B578" s="576"/>
      <c r="C578" s="577"/>
      <c r="D578" s="201" t="str">
        <f>серпень!D501</f>
        <v xml:space="preserve">місцевий </v>
      </c>
      <c r="E578" s="71"/>
      <c r="F578" s="61">
        <f t="shared" ref="F578:K578" si="673">F576-F577</f>
        <v>0</v>
      </c>
      <c r="G578" s="61">
        <f t="shared" si="673"/>
        <v>2.419</v>
      </c>
      <c r="H578" s="61">
        <f t="shared" si="673"/>
        <v>1.1100000000000001</v>
      </c>
      <c r="I578" s="61">
        <f t="shared" si="673"/>
        <v>2.1379999999999999</v>
      </c>
      <c r="J578" s="61">
        <f t="shared" si="673"/>
        <v>2.544</v>
      </c>
      <c r="K578" s="61">
        <f t="shared" si="673"/>
        <v>1.8220000000000001</v>
      </c>
      <c r="L578" s="61">
        <f>SUM(F578:K578)</f>
        <v>10.032999999999999</v>
      </c>
      <c r="M578" s="61">
        <f>L578/6</f>
        <v>1.6719999999999999</v>
      </c>
      <c r="N578" s="61">
        <f t="shared" ref="N578:S578" si="674">N576-N577</f>
        <v>2.1360000000000001</v>
      </c>
      <c r="O578" s="61">
        <f t="shared" si="674"/>
        <v>2.2160000000000002</v>
      </c>
      <c r="P578" s="61">
        <f t="shared" si="674"/>
        <v>1.9690000000000001</v>
      </c>
      <c r="Q578" s="61">
        <f t="shared" si="674"/>
        <v>2.1549999999999998</v>
      </c>
      <c r="R578" s="61">
        <f t="shared" si="674"/>
        <v>2.58</v>
      </c>
      <c r="S578" s="61">
        <f t="shared" si="674"/>
        <v>8.76</v>
      </c>
      <c r="T578" s="61">
        <f>SUM(N578:S578)</f>
        <v>19.815999999999999</v>
      </c>
      <c r="U578" s="61">
        <f>T578+L578</f>
        <v>29.849</v>
      </c>
      <c r="V578" s="61">
        <f>V573</f>
        <v>30.35</v>
      </c>
      <c r="W578" s="72">
        <f>V578-U578</f>
        <v>0.501</v>
      </c>
      <c r="X578" s="63">
        <f>U573-U578</f>
        <v>0.501</v>
      </c>
    </row>
    <row r="579" spans="1:28" s="43" customFormat="1" ht="18" customHeight="1">
      <c r="A579" s="614"/>
      <c r="B579" s="576"/>
      <c r="C579" s="577"/>
      <c r="D579" s="202" t="str">
        <f>серпень!D502</f>
        <v>план</v>
      </c>
      <c r="E579" s="42"/>
      <c r="F579" s="42">
        <f>F573+F572</f>
        <v>0</v>
      </c>
      <c r="G579" s="42">
        <f t="shared" ref="G579:K579" si="675">G573+G572</f>
        <v>1.569</v>
      </c>
      <c r="H579" s="42">
        <f t="shared" si="675"/>
        <v>1.3380000000000001</v>
      </c>
      <c r="I579" s="42">
        <f t="shared" si="675"/>
        <v>0.67400000000000004</v>
      </c>
      <c r="J579" s="42">
        <f t="shared" si="675"/>
        <v>1.8859999999999999</v>
      </c>
      <c r="K579" s="42">
        <f t="shared" si="675"/>
        <v>3.153</v>
      </c>
      <c r="L579" s="42">
        <f>SUM(F579:K579)</f>
        <v>8.6199999999999992</v>
      </c>
      <c r="M579" s="42">
        <f>L579/6</f>
        <v>1.4370000000000001</v>
      </c>
      <c r="N579" s="42">
        <f>N573+N572</f>
        <v>2.0539999999999998</v>
      </c>
      <c r="O579" s="42">
        <f t="shared" ref="O579:S579" si="676">O573+O572</f>
        <v>3.8079999999999998</v>
      </c>
      <c r="P579" s="42">
        <f t="shared" si="676"/>
        <v>1.9690000000000001</v>
      </c>
      <c r="Q579" s="42">
        <f t="shared" si="676"/>
        <v>2.1549999999999998</v>
      </c>
      <c r="R579" s="42">
        <f t="shared" si="676"/>
        <v>2.605</v>
      </c>
      <c r="S579" s="42">
        <f t="shared" si="676"/>
        <v>9.1389999999999993</v>
      </c>
      <c r="T579" s="42">
        <f>SUM(N579:S579)</f>
        <v>21.73</v>
      </c>
      <c r="U579" s="42">
        <f>T579+L579</f>
        <v>30.35</v>
      </c>
      <c r="V579" s="42">
        <f>V576</f>
        <v>30.35</v>
      </c>
      <c r="W579" s="42">
        <f>V579-U579</f>
        <v>0</v>
      </c>
    </row>
    <row r="580" spans="1:28" s="43" customFormat="1" ht="18" customHeight="1">
      <c r="A580" s="614"/>
      <c r="B580" s="576"/>
      <c r="C580" s="577"/>
      <c r="D580" s="202" t="str">
        <f>серпень!D503</f>
        <v xml:space="preserve">відхилення </v>
      </c>
      <c r="E580" s="42"/>
      <c r="F580" s="42">
        <f t="shared" ref="F580:K580" si="677">F576-F579</f>
        <v>0</v>
      </c>
      <c r="G580" s="42">
        <f t="shared" si="677"/>
        <v>0.85</v>
      </c>
      <c r="H580" s="42">
        <f t="shared" si="677"/>
        <v>-0.22800000000000001</v>
      </c>
      <c r="I580" s="42">
        <f t="shared" si="677"/>
        <v>1.464</v>
      </c>
      <c r="J580" s="42">
        <f t="shared" si="677"/>
        <v>0.65800000000000003</v>
      </c>
      <c r="K580" s="42">
        <f t="shared" si="677"/>
        <v>-1.331</v>
      </c>
      <c r="L580" s="42"/>
      <c r="M580" s="42"/>
      <c r="N580" s="42">
        <f t="shared" ref="N580:S580" si="678">N576-N579</f>
        <v>8.2000000000000003E-2</v>
      </c>
      <c r="O580" s="42">
        <f t="shared" si="678"/>
        <v>-1.5920000000000001</v>
      </c>
      <c r="P580" s="42">
        <f t="shared" si="678"/>
        <v>0</v>
      </c>
      <c r="Q580" s="42">
        <f t="shared" si="678"/>
        <v>0</v>
      </c>
      <c r="R580" s="42">
        <f t="shared" si="678"/>
        <v>-2.5000000000000001E-2</v>
      </c>
      <c r="S580" s="42">
        <f t="shared" si="678"/>
        <v>-0.379</v>
      </c>
      <c r="T580" s="42"/>
      <c r="U580" s="42"/>
      <c r="V580" s="42"/>
      <c r="W580" s="42"/>
    </row>
    <row r="581" spans="1:28" s="43" customFormat="1" ht="18" customHeight="1">
      <c r="A581" s="614"/>
      <c r="B581" s="576"/>
      <c r="C581" s="577"/>
      <c r="D581" s="202" t="str">
        <f>серпень!D504</f>
        <v>відхилення з наростаючим</v>
      </c>
      <c r="E581" s="42"/>
      <c r="F581" s="42">
        <f>F580</f>
        <v>0</v>
      </c>
      <c r="G581" s="42">
        <f>G580+F581</f>
        <v>0.85</v>
      </c>
      <c r="H581" s="42">
        <f>H580+G581</f>
        <v>0.622</v>
      </c>
      <c r="I581" s="42">
        <f>I580+H581</f>
        <v>2.0859999999999999</v>
      </c>
      <c r="J581" s="42">
        <f>J580+I581</f>
        <v>2.7440000000000002</v>
      </c>
      <c r="K581" s="42">
        <f>K580+J581</f>
        <v>1.413</v>
      </c>
      <c r="L581" s="42"/>
      <c r="M581" s="42"/>
      <c r="N581" s="42">
        <f>N580+K581</f>
        <v>1.4950000000000001</v>
      </c>
      <c r="O581" s="42">
        <f>O580+N581</f>
        <v>-9.7000000000000003E-2</v>
      </c>
      <c r="P581" s="42">
        <f>P580+O581</f>
        <v>-9.7000000000000003E-2</v>
      </c>
      <c r="Q581" s="42">
        <f>Q580+P581</f>
        <v>-9.7000000000000003E-2</v>
      </c>
      <c r="R581" s="42">
        <f>R580+Q581</f>
        <v>-0.122</v>
      </c>
      <c r="S581" s="42">
        <f>S580+R581</f>
        <v>-0.501</v>
      </c>
      <c r="T581" s="42"/>
      <c r="U581" s="42"/>
      <c r="V581" s="42"/>
      <c r="W581" s="42"/>
    </row>
    <row r="582" spans="1:28" s="55" customFormat="1" ht="18" customHeight="1">
      <c r="A582" s="614"/>
      <c r="B582" s="654" t="s">
        <v>138</v>
      </c>
      <c r="C582" s="581"/>
      <c r="D582" s="178" t="str">
        <f>серпень!D505</f>
        <v>факт. нат.п-ки 2023</v>
      </c>
      <c r="E582" s="11"/>
      <c r="F582" s="12"/>
      <c r="G582" s="12"/>
      <c r="H582" s="12"/>
      <c r="I582" s="12"/>
      <c r="J582" s="12"/>
      <c r="K582" s="12"/>
      <c r="L582" s="65">
        <f>SUM(F582:K582)</f>
        <v>0</v>
      </c>
      <c r="M582" s="65">
        <f>L582/6</f>
        <v>0</v>
      </c>
      <c r="N582" s="83"/>
      <c r="O582" s="83"/>
      <c r="P582" s="83"/>
      <c r="Q582" s="83"/>
      <c r="R582" s="83"/>
      <c r="S582" s="83"/>
      <c r="T582" s="65">
        <f>SUM(N582:S582)</f>
        <v>0</v>
      </c>
      <c r="U582" s="65">
        <f>T582+L582</f>
        <v>0</v>
      </c>
      <c r="V582" s="46"/>
      <c r="W582" s="38"/>
      <c r="X582" s="47"/>
      <c r="Y582" s="48"/>
      <c r="Z582" s="48"/>
      <c r="AA582" s="48"/>
      <c r="AB582" s="48"/>
    </row>
    <row r="583" spans="1:28" s="48" customFormat="1" ht="18" customHeight="1">
      <c r="A583" s="614"/>
      <c r="B583" s="581"/>
      <c r="C583" s="581"/>
      <c r="D583" s="178" t="str">
        <f>серпень!D506</f>
        <v>факт. нат.п-ки 2024</v>
      </c>
      <c r="E583" s="11"/>
      <c r="F583" s="12"/>
      <c r="G583" s="12"/>
      <c r="H583" s="12"/>
      <c r="I583" s="12"/>
      <c r="J583" s="12"/>
      <c r="K583" s="12"/>
      <c r="L583" s="65">
        <f>SUM(F583:K583)</f>
        <v>0</v>
      </c>
      <c r="M583" s="65">
        <f>L583/6</f>
        <v>0</v>
      </c>
      <c r="N583" s="83"/>
      <c r="O583" s="83"/>
      <c r="P583" s="83"/>
      <c r="Q583" s="83"/>
      <c r="R583" s="83"/>
      <c r="S583" s="83"/>
      <c r="T583" s="65">
        <f>SUM(N583:S583)</f>
        <v>0</v>
      </c>
      <c r="U583" s="65">
        <f>T583+L583</f>
        <v>0</v>
      </c>
      <c r="V583" s="46"/>
      <c r="W583" s="38"/>
      <c r="X583" s="47"/>
    </row>
    <row r="584" spans="1:28" s="48" customFormat="1" ht="18" customHeight="1">
      <c r="A584" s="614"/>
      <c r="B584" s="581"/>
      <c r="C584" s="581"/>
      <c r="D584" s="178" t="str">
        <f>серпень!D507</f>
        <v>факт. нат.п-ки 2025</v>
      </c>
      <c r="E584" s="11"/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1</v>
      </c>
      <c r="L584" s="65">
        <f>SUM(F584:K584)</f>
        <v>1</v>
      </c>
      <c r="M584" s="65">
        <f>L584/6</f>
        <v>0.2</v>
      </c>
      <c r="N584" s="12">
        <v>1</v>
      </c>
      <c r="O584" s="12">
        <v>1</v>
      </c>
      <c r="P584" s="12">
        <v>1</v>
      </c>
      <c r="Q584" s="12">
        <v>1</v>
      </c>
      <c r="R584" s="12">
        <v>1</v>
      </c>
      <c r="S584" s="12">
        <v>1</v>
      </c>
      <c r="T584" s="65">
        <f>SUM(N584:S584)</f>
        <v>6</v>
      </c>
      <c r="U584" s="65">
        <f>T584+L584</f>
        <v>7</v>
      </c>
      <c r="V584" s="11">
        <v>12</v>
      </c>
      <c r="W584" s="38">
        <f>V584-U584</f>
        <v>5</v>
      </c>
      <c r="X584" s="47"/>
    </row>
    <row r="585" spans="1:28" s="51" customFormat="1" ht="18" customHeight="1">
      <c r="A585" s="614"/>
      <c r="B585" s="581"/>
      <c r="C585" s="581"/>
      <c r="D585" s="187" t="str">
        <f>серпень!D508</f>
        <v>тариф, грн.</v>
      </c>
      <c r="E585" s="49" t="e">
        <f>E586/E584*1000</f>
        <v>#DIV/0!</v>
      </c>
      <c r="F585" s="49" t="e">
        <f t="shared" ref="F585:J585" si="679">F586/F584*1000</f>
        <v>#DIV/0!</v>
      </c>
      <c r="G585" s="49" t="e">
        <f t="shared" si="679"/>
        <v>#DIV/0!</v>
      </c>
      <c r="H585" s="49" t="e">
        <f t="shared" si="679"/>
        <v>#DIV/0!</v>
      </c>
      <c r="I585" s="49" t="e">
        <f t="shared" si="679"/>
        <v>#DIV/0!</v>
      </c>
      <c r="J585" s="49" t="e">
        <f t="shared" si="679"/>
        <v>#DIV/0!</v>
      </c>
      <c r="K585" s="49">
        <v>2.1</v>
      </c>
      <c r="L585" s="68">
        <f>L586/L584*1000</f>
        <v>2</v>
      </c>
      <c r="M585" s="68">
        <f>M586/M584*1000</f>
        <v>0</v>
      </c>
      <c r="N585" s="68">
        <v>2.1</v>
      </c>
      <c r="O585" s="68">
        <v>2.1</v>
      </c>
      <c r="P585" s="68">
        <v>2.1</v>
      </c>
      <c r="Q585" s="68">
        <v>2.1</v>
      </c>
      <c r="R585" s="68">
        <v>2.1</v>
      </c>
      <c r="S585" s="49">
        <v>2.1</v>
      </c>
      <c r="T585" s="68">
        <f>T586/T584*1000</f>
        <v>2</v>
      </c>
      <c r="U585" s="68">
        <f>U586/U584*1000</f>
        <v>2</v>
      </c>
      <c r="V585" s="68">
        <f>V586/V584*1000</f>
        <v>2.0830000000000002</v>
      </c>
      <c r="W585" s="14">
        <f>W586/W584*1000</f>
        <v>2.2000000000000002</v>
      </c>
      <c r="X585" s="59"/>
    </row>
    <row r="586" spans="1:28" s="130" customFormat="1" ht="18" customHeight="1">
      <c r="A586" s="614"/>
      <c r="B586" s="581"/>
      <c r="C586" s="581"/>
      <c r="D586" s="191" t="str">
        <f>серпень!D509</f>
        <v>сума, тис.грн.</v>
      </c>
      <c r="E586" s="52"/>
      <c r="F586" s="52">
        <v>0</v>
      </c>
      <c r="G586" s="52">
        <v>0</v>
      </c>
      <c r="H586" s="52">
        <v>0</v>
      </c>
      <c r="I586" s="52">
        <v>0</v>
      </c>
      <c r="J586" s="52">
        <v>0</v>
      </c>
      <c r="K586" s="52">
        <f t="shared" ref="K586" si="680">K584*K585/1000</f>
        <v>2E-3</v>
      </c>
      <c r="L586" s="69">
        <f>SUM(F586:K586)</f>
        <v>2E-3</v>
      </c>
      <c r="M586" s="69">
        <f>L586/6</f>
        <v>0</v>
      </c>
      <c r="N586" s="52">
        <f>N584*N585/1000</f>
        <v>2E-3</v>
      </c>
      <c r="O586" s="52">
        <f t="shared" ref="O586" si="681">O584*O585/1000</f>
        <v>2E-3</v>
      </c>
      <c r="P586" s="52">
        <f t="shared" ref="P586" si="682">P584*P585/1000</f>
        <v>2E-3</v>
      </c>
      <c r="Q586" s="52">
        <f t="shared" ref="Q586" si="683">Q584*Q585/1000</f>
        <v>2E-3</v>
      </c>
      <c r="R586" s="52">
        <f t="shared" ref="R586" si="684">R584*R585/1000</f>
        <v>2E-3</v>
      </c>
      <c r="S586" s="52">
        <f>S584*S585/1000</f>
        <v>2E-3</v>
      </c>
      <c r="T586" s="69">
        <f>SUM(N586:S586)</f>
        <v>1.2E-2</v>
      </c>
      <c r="U586" s="69">
        <f>T586+L586</f>
        <v>1.4E-2</v>
      </c>
      <c r="V586" s="70">
        <f>V587+V588</f>
        <v>2.5000000000000001E-2</v>
      </c>
      <c r="W586" s="53">
        <f>V586-U586</f>
        <v>1.0999999999999999E-2</v>
      </c>
    </row>
    <row r="587" spans="1:28" s="130" customFormat="1" ht="18" customHeight="1">
      <c r="A587" s="614"/>
      <c r="B587" s="581"/>
      <c r="C587" s="581"/>
      <c r="D587" s="174" t="str">
        <f>серпень!D510</f>
        <v>дотація</v>
      </c>
      <c r="E587" s="56"/>
      <c r="F587" s="52"/>
      <c r="G587" s="52"/>
      <c r="H587" s="52"/>
      <c r="I587" s="52"/>
      <c r="J587" s="52"/>
      <c r="K587" s="52"/>
      <c r="L587" s="69">
        <f>SUM(F587:K587)</f>
        <v>0</v>
      </c>
      <c r="M587" s="69">
        <f>L587/6</f>
        <v>0</v>
      </c>
      <c r="N587" s="52"/>
      <c r="O587" s="52"/>
      <c r="P587" s="52"/>
      <c r="Q587" s="52"/>
      <c r="R587" s="52"/>
      <c r="S587" s="52"/>
      <c r="T587" s="69">
        <f>SUM(N587:S587)</f>
        <v>0</v>
      </c>
      <c r="U587" s="69">
        <f>T587+L587</f>
        <v>0</v>
      </c>
      <c r="V587" s="70"/>
      <c r="W587" s="53">
        <f>V587-U587</f>
        <v>0</v>
      </c>
    </row>
    <row r="588" spans="1:28" s="130" customFormat="1" ht="18" customHeight="1">
      <c r="A588" s="614"/>
      <c r="B588" s="581"/>
      <c r="C588" s="581"/>
      <c r="D588" s="174" t="str">
        <f>серпень!D511</f>
        <v>місцевий (план), тис.грн</v>
      </c>
      <c r="E588" s="56"/>
      <c r="F588" s="52"/>
      <c r="G588" s="52">
        <v>3.0000000000000001E-3</v>
      </c>
      <c r="H588" s="52">
        <v>2E-3</v>
      </c>
      <c r="I588" s="52">
        <v>2E-3</v>
      </c>
      <c r="J588" s="52">
        <v>2E-3</v>
      </c>
      <c r="K588" s="52">
        <v>2E-3</v>
      </c>
      <c r="L588" s="69">
        <f>SUM(F588:K588)</f>
        <v>1.0999999999999999E-2</v>
      </c>
      <c r="M588" s="69">
        <f>L588/6</f>
        <v>2E-3</v>
      </c>
      <c r="N588" s="52">
        <v>2E-3</v>
      </c>
      <c r="O588" s="52">
        <v>2E-3</v>
      </c>
      <c r="P588" s="52">
        <v>2E-3</v>
      </c>
      <c r="Q588" s="52">
        <v>2E-3</v>
      </c>
      <c r="R588" s="52">
        <v>2E-3</v>
      </c>
      <c r="S588" s="52">
        <v>4.0000000000000001E-3</v>
      </c>
      <c r="T588" s="69">
        <f>SUM(N588:S588)</f>
        <v>1.4E-2</v>
      </c>
      <c r="U588" s="69">
        <f>T588+L588</f>
        <v>2.5000000000000001E-2</v>
      </c>
      <c r="V588" s="70">
        <v>2.5000000000000001E-2</v>
      </c>
      <c r="W588" s="53">
        <f>V588-U588</f>
        <v>0</v>
      </c>
    </row>
    <row r="589" spans="1:28" s="48" customFormat="1" ht="18" customHeight="1">
      <c r="A589" s="614"/>
      <c r="B589" s="581"/>
      <c r="C589" s="581"/>
      <c r="D589" s="178" t="str">
        <f>серпень!D512</f>
        <v>касові нат.п-ки 2025</v>
      </c>
      <c r="E589" s="11"/>
      <c r="F589" s="12"/>
      <c r="G589" s="12">
        <v>0</v>
      </c>
      <c r="H589" s="12">
        <v>0</v>
      </c>
      <c r="I589" s="12">
        <v>0</v>
      </c>
      <c r="J589" s="12">
        <v>0</v>
      </c>
      <c r="K589" s="12">
        <v>1</v>
      </c>
      <c r="L589" s="65">
        <f>SUM(F589:K589)</f>
        <v>1</v>
      </c>
      <c r="M589" s="65">
        <f>L589/6</f>
        <v>0.2</v>
      </c>
      <c r="N589" s="12">
        <v>1</v>
      </c>
      <c r="O589" s="12">
        <v>1</v>
      </c>
      <c r="P589" s="12">
        <v>1</v>
      </c>
      <c r="Q589" s="12">
        <v>1</v>
      </c>
      <c r="R589" s="12">
        <v>1</v>
      </c>
      <c r="S589" s="12">
        <v>1</v>
      </c>
      <c r="T589" s="65">
        <f>SUM(N589:S589)</f>
        <v>6</v>
      </c>
      <c r="U589" s="65">
        <f>T589+L589</f>
        <v>7</v>
      </c>
      <c r="V589" s="11">
        <f>V584</f>
        <v>12</v>
      </c>
      <c r="W589" s="38">
        <f>V589-U589</f>
        <v>5</v>
      </c>
      <c r="X589" s="47">
        <f>U584-U589</f>
        <v>0</v>
      </c>
    </row>
    <row r="590" spans="1:28" s="51" customFormat="1" ht="18" customHeight="1">
      <c r="A590" s="614"/>
      <c r="B590" s="581"/>
      <c r="C590" s="581"/>
      <c r="D590" s="187" t="str">
        <f>серпень!D513</f>
        <v>тариф, грн.</v>
      </c>
      <c r="E590" s="49" t="e">
        <f>E591/E589*1000</f>
        <v>#DIV/0!</v>
      </c>
      <c r="F590" s="49" t="e">
        <f t="shared" ref="F590:J590" si="685">F591/F589*1000</f>
        <v>#DIV/0!</v>
      </c>
      <c r="G590" s="49" t="e">
        <f t="shared" si="685"/>
        <v>#DIV/0!</v>
      </c>
      <c r="H590" s="49" t="e">
        <f t="shared" si="685"/>
        <v>#DIV/0!</v>
      </c>
      <c r="I590" s="49" t="e">
        <f t="shared" si="685"/>
        <v>#DIV/0!</v>
      </c>
      <c r="J590" s="49" t="e">
        <f t="shared" si="685"/>
        <v>#DIV/0!</v>
      </c>
      <c r="K590" s="49">
        <v>2.1</v>
      </c>
      <c r="L590" s="68">
        <f>L591/L589*1000</f>
        <v>2</v>
      </c>
      <c r="M590" s="68">
        <f>M591/M589*1000</f>
        <v>0</v>
      </c>
      <c r="N590" s="68">
        <v>2.1</v>
      </c>
      <c r="O590" s="68">
        <v>2.1</v>
      </c>
      <c r="P590" s="68">
        <v>2.1</v>
      </c>
      <c r="Q590" s="68">
        <v>2.1</v>
      </c>
      <c r="R590" s="68">
        <v>2.1</v>
      </c>
      <c r="S590" s="49">
        <v>2.1</v>
      </c>
      <c r="T590" s="68">
        <f>T591/T589*1000</f>
        <v>2</v>
      </c>
      <c r="U590" s="68">
        <f>U591/U589*1000</f>
        <v>2</v>
      </c>
      <c r="V590" s="68">
        <f>V591/V589*1000</f>
        <v>2.0830000000000002</v>
      </c>
      <c r="W590" s="14">
        <f>W591/W589*1000</f>
        <v>2.2000000000000002</v>
      </c>
      <c r="X590" s="59"/>
    </row>
    <row r="591" spans="1:28" s="126" customFormat="1" ht="18" customHeight="1">
      <c r="A591" s="614"/>
      <c r="B591" s="581"/>
      <c r="C591" s="581"/>
      <c r="D591" s="198" t="str">
        <f>серпень!D514</f>
        <v>касові видатки, тис.грн.</v>
      </c>
      <c r="E591" s="71"/>
      <c r="F591" s="61">
        <v>0</v>
      </c>
      <c r="G591" s="61">
        <v>0</v>
      </c>
      <c r="H591" s="61">
        <v>0</v>
      </c>
      <c r="I591" s="61">
        <v>0</v>
      </c>
      <c r="J591" s="61">
        <v>0</v>
      </c>
      <c r="K591" s="61">
        <f t="shared" ref="K591" si="686">K589*K590/1000</f>
        <v>2E-3</v>
      </c>
      <c r="L591" s="61">
        <f>SUM(F591:K591)</f>
        <v>2E-3</v>
      </c>
      <c r="M591" s="61">
        <f>L591/6</f>
        <v>0</v>
      </c>
      <c r="N591" s="61">
        <f>N589*N590/1000</f>
        <v>2E-3</v>
      </c>
      <c r="O591" s="61">
        <f t="shared" ref="O591" si="687">O589*O590/1000</f>
        <v>2E-3</v>
      </c>
      <c r="P591" s="61">
        <f t="shared" ref="P591" si="688">P589*P590/1000</f>
        <v>2E-3</v>
      </c>
      <c r="Q591" s="61">
        <f t="shared" ref="Q591" si="689">Q589*Q590/1000</f>
        <v>2E-3</v>
      </c>
      <c r="R591" s="61">
        <f t="shared" ref="R591" si="690">R589*R590/1000</f>
        <v>2E-3</v>
      </c>
      <c r="S591" s="61">
        <f>S589*S590/1000</f>
        <v>2E-3</v>
      </c>
      <c r="T591" s="61">
        <f>SUM(N591:S591)</f>
        <v>1.2E-2</v>
      </c>
      <c r="U591" s="61">
        <f>T591+L591</f>
        <v>1.4E-2</v>
      </c>
      <c r="V591" s="61">
        <f>V586</f>
        <v>2.5000000000000001E-2</v>
      </c>
      <c r="W591" s="72">
        <f>V591-U591</f>
        <v>1.0999999999999999E-2</v>
      </c>
      <c r="X591" s="63">
        <f>U586-U591</f>
        <v>0</v>
      </c>
    </row>
    <row r="592" spans="1:28" s="126" customFormat="1" ht="18" customHeight="1">
      <c r="A592" s="614"/>
      <c r="B592" s="581"/>
      <c r="C592" s="581"/>
      <c r="D592" s="201" t="str">
        <f>серпень!D515</f>
        <v>дотація</v>
      </c>
      <c r="E592" s="71"/>
      <c r="F592" s="61"/>
      <c r="G592" s="61"/>
      <c r="H592" s="61"/>
      <c r="I592" s="61"/>
      <c r="J592" s="61"/>
      <c r="K592" s="61"/>
      <c r="L592" s="61">
        <f>SUM(F592:K592)</f>
        <v>0</v>
      </c>
      <c r="M592" s="61">
        <f>L592/6</f>
        <v>0</v>
      </c>
      <c r="N592" s="61"/>
      <c r="O592" s="61"/>
      <c r="P592" s="61"/>
      <c r="Q592" s="61"/>
      <c r="R592" s="61"/>
      <c r="S592" s="61"/>
      <c r="T592" s="61">
        <f>SUM(N592:S592)</f>
        <v>0</v>
      </c>
      <c r="U592" s="61">
        <f>T592+L592</f>
        <v>0</v>
      </c>
      <c r="V592" s="61">
        <f>V587</f>
        <v>0</v>
      </c>
      <c r="W592" s="72">
        <f>V592-U592</f>
        <v>0</v>
      </c>
      <c r="X592" s="63">
        <f>U587-U592</f>
        <v>0</v>
      </c>
    </row>
    <row r="593" spans="1:28" s="126" customFormat="1" ht="18" customHeight="1">
      <c r="A593" s="614"/>
      <c r="B593" s="581"/>
      <c r="C593" s="581"/>
      <c r="D593" s="201" t="str">
        <f>серпень!D516</f>
        <v xml:space="preserve">місцевий </v>
      </c>
      <c r="E593" s="71"/>
      <c r="F593" s="61">
        <f t="shared" ref="F593:K593" si="691">F591-F592</f>
        <v>0</v>
      </c>
      <c r="G593" s="61">
        <f t="shared" si="691"/>
        <v>0</v>
      </c>
      <c r="H593" s="61">
        <f t="shared" si="691"/>
        <v>0</v>
      </c>
      <c r="I593" s="61">
        <f t="shared" si="691"/>
        <v>0</v>
      </c>
      <c r="J593" s="61">
        <f t="shared" si="691"/>
        <v>0</v>
      </c>
      <c r="K593" s="61">
        <f t="shared" si="691"/>
        <v>2E-3</v>
      </c>
      <c r="L593" s="61">
        <f>SUM(F593:K593)</f>
        <v>2E-3</v>
      </c>
      <c r="M593" s="61">
        <f>L593/6</f>
        <v>0</v>
      </c>
      <c r="N593" s="61">
        <f t="shared" ref="N593:S593" si="692">N591-N592</f>
        <v>2E-3</v>
      </c>
      <c r="O593" s="61">
        <f t="shared" si="692"/>
        <v>2E-3</v>
      </c>
      <c r="P593" s="61">
        <f t="shared" si="692"/>
        <v>2E-3</v>
      </c>
      <c r="Q593" s="61">
        <f t="shared" si="692"/>
        <v>2E-3</v>
      </c>
      <c r="R593" s="61">
        <f t="shared" si="692"/>
        <v>2E-3</v>
      </c>
      <c r="S593" s="61">
        <f t="shared" si="692"/>
        <v>2E-3</v>
      </c>
      <c r="T593" s="61">
        <f>SUM(N593:S593)</f>
        <v>1.2E-2</v>
      </c>
      <c r="U593" s="61">
        <f>T593+L593</f>
        <v>1.4E-2</v>
      </c>
      <c r="V593" s="61">
        <f>V588</f>
        <v>2.5000000000000001E-2</v>
      </c>
      <c r="W593" s="72">
        <f>V593-U593</f>
        <v>1.0999999999999999E-2</v>
      </c>
      <c r="X593" s="63">
        <f>U588-U593</f>
        <v>1.0999999999999999E-2</v>
      </c>
    </row>
    <row r="594" spans="1:28" s="43" customFormat="1" ht="18" customHeight="1">
      <c r="A594" s="614"/>
      <c r="B594" s="581"/>
      <c r="C594" s="581"/>
      <c r="D594" s="202" t="str">
        <f>серпень!D517</f>
        <v>план</v>
      </c>
      <c r="E594" s="42"/>
      <c r="F594" s="42">
        <f>F588+F587</f>
        <v>0</v>
      </c>
      <c r="G594" s="42">
        <f t="shared" ref="G594:K594" si="693">G588+G587</f>
        <v>3.0000000000000001E-3</v>
      </c>
      <c r="H594" s="42">
        <f t="shared" si="693"/>
        <v>2E-3</v>
      </c>
      <c r="I594" s="42">
        <f t="shared" si="693"/>
        <v>2E-3</v>
      </c>
      <c r="J594" s="42">
        <f t="shared" si="693"/>
        <v>2E-3</v>
      </c>
      <c r="K594" s="42">
        <f t="shared" si="693"/>
        <v>2E-3</v>
      </c>
      <c r="L594" s="42">
        <f>SUM(F594:K594)</f>
        <v>1.0999999999999999E-2</v>
      </c>
      <c r="M594" s="42">
        <f>L594/6</f>
        <v>2E-3</v>
      </c>
      <c r="N594" s="42">
        <f>N588+N587</f>
        <v>2E-3</v>
      </c>
      <c r="O594" s="42">
        <f t="shared" ref="O594:S594" si="694">O588+O587</f>
        <v>2E-3</v>
      </c>
      <c r="P594" s="42">
        <f t="shared" si="694"/>
        <v>2E-3</v>
      </c>
      <c r="Q594" s="42">
        <f t="shared" si="694"/>
        <v>2E-3</v>
      </c>
      <c r="R594" s="42">
        <f t="shared" si="694"/>
        <v>2E-3</v>
      </c>
      <c r="S594" s="42">
        <f t="shared" si="694"/>
        <v>4.0000000000000001E-3</v>
      </c>
      <c r="T594" s="42">
        <f>SUM(N594:S594)</f>
        <v>1.4E-2</v>
      </c>
      <c r="U594" s="42">
        <f>T594+L594</f>
        <v>2.5000000000000001E-2</v>
      </c>
      <c r="V594" s="42">
        <f>V591</f>
        <v>2.5000000000000001E-2</v>
      </c>
      <c r="W594" s="42">
        <f>V594-U594</f>
        <v>0</v>
      </c>
    </row>
    <row r="595" spans="1:28" s="43" customFormat="1" ht="18" customHeight="1">
      <c r="A595" s="614"/>
      <c r="B595" s="581"/>
      <c r="C595" s="581"/>
      <c r="D595" s="202" t="str">
        <f>серпень!D518</f>
        <v xml:space="preserve">відхилення </v>
      </c>
      <c r="E595" s="42"/>
      <c r="F595" s="42">
        <f t="shared" ref="F595:K595" si="695">F591-F594</f>
        <v>0</v>
      </c>
      <c r="G595" s="42">
        <f t="shared" si="695"/>
        <v>-3.0000000000000001E-3</v>
      </c>
      <c r="H595" s="42">
        <f t="shared" si="695"/>
        <v>-2E-3</v>
      </c>
      <c r="I595" s="42">
        <f t="shared" si="695"/>
        <v>-2E-3</v>
      </c>
      <c r="J595" s="42">
        <f t="shared" si="695"/>
        <v>-2E-3</v>
      </c>
      <c r="K595" s="42">
        <f t="shared" si="695"/>
        <v>0</v>
      </c>
      <c r="L595" s="42"/>
      <c r="M595" s="42"/>
      <c r="N595" s="42">
        <f t="shared" ref="N595:S595" si="696">N591-N594</f>
        <v>0</v>
      </c>
      <c r="O595" s="42">
        <f t="shared" si="696"/>
        <v>0</v>
      </c>
      <c r="P595" s="42">
        <f t="shared" si="696"/>
        <v>0</v>
      </c>
      <c r="Q595" s="42">
        <f t="shared" si="696"/>
        <v>0</v>
      </c>
      <c r="R595" s="42">
        <f t="shared" si="696"/>
        <v>0</v>
      </c>
      <c r="S595" s="42">
        <f t="shared" si="696"/>
        <v>-2E-3</v>
      </c>
      <c r="T595" s="42"/>
      <c r="U595" s="42"/>
      <c r="V595" s="42"/>
      <c r="W595" s="42"/>
    </row>
    <row r="596" spans="1:28" s="43" customFormat="1" ht="18" customHeight="1">
      <c r="A596" s="614"/>
      <c r="B596" s="581"/>
      <c r="C596" s="581"/>
      <c r="D596" s="202" t="str">
        <f>серпень!D519</f>
        <v>відхилення з наростаючим</v>
      </c>
      <c r="E596" s="42"/>
      <c r="F596" s="42">
        <f>F595</f>
        <v>0</v>
      </c>
      <c r="G596" s="42">
        <f>G595+F596</f>
        <v>-3.0000000000000001E-3</v>
      </c>
      <c r="H596" s="42">
        <f>H595+G596</f>
        <v>-5.0000000000000001E-3</v>
      </c>
      <c r="I596" s="42">
        <f>I595+H596</f>
        <v>-7.0000000000000001E-3</v>
      </c>
      <c r="J596" s="42">
        <f>J595+I596</f>
        <v>-8.9999999999999993E-3</v>
      </c>
      <c r="K596" s="42">
        <f>K595+J596</f>
        <v>-8.9999999999999993E-3</v>
      </c>
      <c r="L596" s="42"/>
      <c r="M596" s="42"/>
      <c r="N596" s="42">
        <f>N595+K596</f>
        <v>-8.9999999999999993E-3</v>
      </c>
      <c r="O596" s="42">
        <f>O595+N596</f>
        <v>-8.9999999999999993E-3</v>
      </c>
      <c r="P596" s="42">
        <f>P595+O596</f>
        <v>-8.9999999999999993E-3</v>
      </c>
      <c r="Q596" s="42">
        <f>Q595+P596</f>
        <v>-8.9999999999999993E-3</v>
      </c>
      <c r="R596" s="42">
        <f>R595+Q596</f>
        <v>-8.9999999999999993E-3</v>
      </c>
      <c r="S596" s="42">
        <f>S595+R596</f>
        <v>-1.0999999999999999E-2</v>
      </c>
      <c r="T596" s="42"/>
      <c r="U596" s="42"/>
      <c r="V596" s="42"/>
      <c r="W596" s="42"/>
    </row>
    <row r="597" spans="1:28" s="55" customFormat="1" ht="17.55" customHeight="1">
      <c r="A597" s="614"/>
      <c r="B597" s="581" t="s">
        <v>64</v>
      </c>
      <c r="C597" s="581"/>
      <c r="D597" s="178" t="str">
        <f>серпень!D520</f>
        <v>факт. нат.п-ки 2023</v>
      </c>
      <c r="E597" s="11"/>
      <c r="F597" s="82">
        <v>33.4</v>
      </c>
      <c r="G597" s="82">
        <v>33.4</v>
      </c>
      <c r="H597" s="82">
        <v>33.4</v>
      </c>
      <c r="I597" s="82">
        <v>30</v>
      </c>
      <c r="J597" s="82">
        <v>30</v>
      </c>
      <c r="K597" s="82">
        <v>17.25</v>
      </c>
      <c r="L597" s="125">
        <f>SUM(F597:K597)</f>
        <v>177.45</v>
      </c>
      <c r="M597" s="125">
        <f>L597/6</f>
        <v>29.574999999999999</v>
      </c>
      <c r="N597" s="510">
        <v>30.98</v>
      </c>
      <c r="O597" s="510">
        <v>36.58</v>
      </c>
      <c r="P597" s="510">
        <v>36.58</v>
      </c>
      <c r="Q597" s="510">
        <v>34.6</v>
      </c>
      <c r="R597" s="510">
        <v>34.6</v>
      </c>
      <c r="S597" s="510">
        <v>38.700000000000003</v>
      </c>
      <c r="T597" s="125">
        <f>SUM(N597:S597)</f>
        <v>212.04</v>
      </c>
      <c r="U597" s="125">
        <f>T597+L597</f>
        <v>389.49</v>
      </c>
      <c r="V597" s="524"/>
      <c r="W597" s="505"/>
      <c r="X597" s="47"/>
      <c r="Y597" s="48"/>
      <c r="Z597" s="48"/>
      <c r="AA597" s="48"/>
      <c r="AB597" s="48"/>
    </row>
    <row r="598" spans="1:28" s="48" customFormat="1" ht="18" customHeight="1">
      <c r="A598" s="614"/>
      <c r="B598" s="581"/>
      <c r="C598" s="581"/>
      <c r="D598" s="178" t="str">
        <f>серпень!D521</f>
        <v>факт. нат.п-ки 2024</v>
      </c>
      <c r="E598" s="11"/>
      <c r="F598" s="82">
        <v>33.4</v>
      </c>
      <c r="G598" s="82">
        <v>33.4</v>
      </c>
      <c r="H598" s="82">
        <v>33.4</v>
      </c>
      <c r="I598" s="82">
        <v>33.4</v>
      </c>
      <c r="J598" s="82">
        <v>33.4</v>
      </c>
      <c r="K598" s="82">
        <v>30.8</v>
      </c>
      <c r="L598" s="125">
        <f>SUM(F598:K598)</f>
        <v>197.8</v>
      </c>
      <c r="M598" s="125">
        <f>L598/6</f>
        <v>32.966999999999999</v>
      </c>
      <c r="N598" s="348">
        <v>33.4</v>
      </c>
      <c r="O598" s="348">
        <v>33.4</v>
      </c>
      <c r="P598" s="348">
        <v>33.4</v>
      </c>
      <c r="Q598" s="348">
        <v>33.4</v>
      </c>
      <c r="R598" s="348">
        <v>34.6</v>
      </c>
      <c r="S598" s="348">
        <v>34.1</v>
      </c>
      <c r="T598" s="125">
        <f>SUM(N598:S598)</f>
        <v>202.3</v>
      </c>
      <c r="U598" s="125">
        <f>T598+L598</f>
        <v>400.1</v>
      </c>
      <c r="V598" s="505">
        <v>384.9</v>
      </c>
      <c r="W598" s="505"/>
      <c r="X598" s="47"/>
    </row>
    <row r="599" spans="1:28" s="48" customFormat="1" ht="18" customHeight="1">
      <c r="A599" s="614"/>
      <c r="B599" s="581"/>
      <c r="C599" s="581"/>
      <c r="D599" s="178" t="str">
        <f>серпень!D522</f>
        <v>факт. нат.п-ки 2025</v>
      </c>
      <c r="E599" s="11"/>
      <c r="F599" s="82">
        <v>33.4</v>
      </c>
      <c r="G599" s="82">
        <v>33.4</v>
      </c>
      <c r="H599" s="82">
        <v>33.4</v>
      </c>
      <c r="I599" s="82">
        <v>33.4</v>
      </c>
      <c r="J599" s="82">
        <v>33.4</v>
      </c>
      <c r="K599" s="82">
        <v>33.4</v>
      </c>
      <c r="L599" s="125">
        <f>SUM(F599:K599)</f>
        <v>200.4</v>
      </c>
      <c r="M599" s="125">
        <f>L599/6</f>
        <v>33.4</v>
      </c>
      <c r="N599" s="348">
        <v>34.1</v>
      </c>
      <c r="O599" s="348">
        <v>33.4</v>
      </c>
      <c r="P599" s="348">
        <v>33.4</v>
      </c>
      <c r="Q599" s="348">
        <v>33.4</v>
      </c>
      <c r="R599" s="348">
        <v>34.6</v>
      </c>
      <c r="S599" s="348">
        <v>24.6</v>
      </c>
      <c r="T599" s="125">
        <f>SUM(N599:S599)</f>
        <v>193.5</v>
      </c>
      <c r="U599" s="125">
        <f>T599+L599</f>
        <v>393.9</v>
      </c>
      <c r="V599" s="349">
        <v>390.6</v>
      </c>
      <c r="W599" s="505">
        <f>V599-U599</f>
        <v>-3.3</v>
      </c>
      <c r="X599" s="47"/>
    </row>
    <row r="600" spans="1:28" s="51" customFormat="1" ht="18" customHeight="1">
      <c r="A600" s="614"/>
      <c r="B600" s="581"/>
      <c r="C600" s="581"/>
      <c r="D600" s="187" t="str">
        <f>серпень!D523</f>
        <v>тариф, грн.</v>
      </c>
      <c r="E600" s="49" t="e">
        <f>E601/E599*1000</f>
        <v>#DIV/0!</v>
      </c>
      <c r="F600" s="49">
        <v>202.10400000000001</v>
      </c>
      <c r="G600" s="49">
        <v>202.10400000000001</v>
      </c>
      <c r="H600" s="49">
        <v>202.10400000000001</v>
      </c>
      <c r="I600" s="49">
        <v>202.10400000000001</v>
      </c>
      <c r="J600" s="49">
        <v>202.10400000000001</v>
      </c>
      <c r="K600" s="49">
        <v>202.10400000000001</v>
      </c>
      <c r="L600" s="68">
        <f>L601/L599*1000</f>
        <v>202.02600000000001</v>
      </c>
      <c r="M600" s="68">
        <f>M601/M599*1000</f>
        <v>202.036</v>
      </c>
      <c r="N600" s="68">
        <f t="shared" ref="N600:O600" si="697">N601/N599*1000</f>
        <v>202.053</v>
      </c>
      <c r="O600" s="68">
        <f t="shared" si="697"/>
        <v>227.30500000000001</v>
      </c>
      <c r="P600" s="49">
        <v>227.37</v>
      </c>
      <c r="Q600" s="49">
        <v>227.37</v>
      </c>
      <c r="R600" s="49">
        <v>227.37</v>
      </c>
      <c r="S600" s="49">
        <v>227.37</v>
      </c>
      <c r="T600" s="68">
        <f>T601/T599*1000</f>
        <v>222.858</v>
      </c>
      <c r="U600" s="68">
        <f>U601/U599*1000</f>
        <v>212.25899999999999</v>
      </c>
      <c r="V600" s="68">
        <f>V601/V599*1000</f>
        <v>227.30699999999999</v>
      </c>
      <c r="W600" s="14">
        <f>W601/W599*1000</f>
        <v>-1568.788</v>
      </c>
      <c r="X600" s="59"/>
    </row>
    <row r="601" spans="1:28" s="130" customFormat="1" ht="18" customHeight="1">
      <c r="A601" s="614"/>
      <c r="B601" s="581"/>
      <c r="C601" s="581"/>
      <c r="D601" s="191" t="str">
        <f>серпень!D524</f>
        <v>сума, тис.грн.</v>
      </c>
      <c r="E601" s="52"/>
      <c r="F601" s="52">
        <v>6.7480000000000002</v>
      </c>
      <c r="G601" s="52">
        <v>6.7480000000000002</v>
      </c>
      <c r="H601" s="52">
        <v>6.7480000000000002</v>
      </c>
      <c r="I601" s="52">
        <v>6.7480000000000002</v>
      </c>
      <c r="J601" s="52">
        <v>6.7460000000000004</v>
      </c>
      <c r="K601" s="52">
        <v>6.7480000000000002</v>
      </c>
      <c r="L601" s="69">
        <f>SUM(F601:K601)</f>
        <v>40.485999999999997</v>
      </c>
      <c r="M601" s="69">
        <f>L601/6</f>
        <v>6.7480000000000002</v>
      </c>
      <c r="N601" s="52">
        <v>6.89</v>
      </c>
      <c r="O601" s="52">
        <v>7.5919999999999996</v>
      </c>
      <c r="P601" s="52">
        <f t="shared" ref="P601" si="698">P599*P600/1000-0.002</f>
        <v>7.5919999999999996</v>
      </c>
      <c r="Q601" s="52">
        <f t="shared" ref="Q601" si="699">Q599*Q600/1000-0.002</f>
        <v>7.5919999999999996</v>
      </c>
      <c r="R601" s="52">
        <f t="shared" ref="R601" si="700">R599*R600/1000-0.002</f>
        <v>7.8650000000000002</v>
      </c>
      <c r="S601" s="52">
        <f>S599*S600/1000-0.001</f>
        <v>5.5919999999999996</v>
      </c>
      <c r="T601" s="69">
        <f>SUM(N601:S601)</f>
        <v>43.122999999999998</v>
      </c>
      <c r="U601" s="69">
        <f>T601+L601</f>
        <v>83.608999999999995</v>
      </c>
      <c r="V601" s="70">
        <f>V602+V603</f>
        <v>88.786000000000001</v>
      </c>
      <c r="W601" s="53">
        <f>V601-U601</f>
        <v>5.1769999999999996</v>
      </c>
    </row>
    <row r="602" spans="1:28" s="130" customFormat="1" ht="18" customHeight="1">
      <c r="A602" s="614"/>
      <c r="B602" s="581"/>
      <c r="C602" s="581"/>
      <c r="D602" s="174" t="str">
        <f>серпень!D525</f>
        <v>дотація</v>
      </c>
      <c r="E602" s="56"/>
      <c r="F602" s="52"/>
      <c r="G602" s="52"/>
      <c r="H602" s="52"/>
      <c r="I602" s="52"/>
      <c r="J602" s="52"/>
      <c r="K602" s="52"/>
      <c r="L602" s="69">
        <f>SUM(F602:K602)</f>
        <v>0</v>
      </c>
      <c r="M602" s="69">
        <f>L602/6</f>
        <v>0</v>
      </c>
      <c r="N602" s="52"/>
      <c r="O602" s="52"/>
      <c r="P602" s="52"/>
      <c r="Q602" s="52"/>
      <c r="R602" s="52"/>
      <c r="S602" s="52"/>
      <c r="T602" s="69">
        <f>SUM(N602:S602)</f>
        <v>0</v>
      </c>
      <c r="U602" s="69">
        <f>T602+L602</f>
        <v>0</v>
      </c>
      <c r="V602" s="70"/>
      <c r="W602" s="53">
        <f>V602-U602</f>
        <v>0</v>
      </c>
    </row>
    <row r="603" spans="1:28" s="130" customFormat="1" ht="18" customHeight="1">
      <c r="A603" s="614"/>
      <c r="B603" s="581"/>
      <c r="C603" s="581"/>
      <c r="D603" s="174" t="str">
        <f>серпень!D526</f>
        <v>місцевий (план), тис.грн</v>
      </c>
      <c r="E603" s="56"/>
      <c r="F603" s="52">
        <f>2.274-2.274</f>
        <v>0</v>
      </c>
      <c r="G603" s="52">
        <v>7.5919999999999996</v>
      </c>
      <c r="H603" s="52">
        <v>7.5919999999999996</v>
      </c>
      <c r="I603" s="52">
        <v>7.5919999999999996</v>
      </c>
      <c r="J603" s="52">
        <v>7.5919999999999996</v>
      </c>
      <c r="K603" s="52">
        <f>7.592-2.821</f>
        <v>4.7709999999999999</v>
      </c>
      <c r="L603" s="69">
        <f>SUM(F603:K603)</f>
        <v>35.139000000000003</v>
      </c>
      <c r="M603" s="69">
        <f>L603/6</f>
        <v>5.8570000000000002</v>
      </c>
      <c r="N603" s="52">
        <v>7.0010000000000003</v>
      </c>
      <c r="O603" s="52">
        <f>7.592-2.43</f>
        <v>5.1619999999999999</v>
      </c>
      <c r="P603" s="52">
        <f>7.592+0.96</f>
        <v>8.5519999999999996</v>
      </c>
      <c r="Q603" s="52">
        <f>7.592+1.206+0.8</f>
        <v>9.5980000000000008</v>
      </c>
      <c r="R603" s="52">
        <f>7.592+0.338+0.6</f>
        <v>8.5299999999999994</v>
      </c>
      <c r="S603" s="52">
        <f>13.458-0.001+0.317+1.03</f>
        <v>14.804</v>
      </c>
      <c r="T603" s="69">
        <f>SUM(N603:S603)</f>
        <v>53.646999999999998</v>
      </c>
      <c r="U603" s="69">
        <f>T603+L603</f>
        <v>88.786000000000001</v>
      </c>
      <c r="V603" s="70">
        <f>88.811-0.025</f>
        <v>88.786000000000001</v>
      </c>
      <c r="W603" s="53">
        <f>V603-U603</f>
        <v>0</v>
      </c>
    </row>
    <row r="604" spans="1:28" s="48" customFormat="1" ht="18" customHeight="1">
      <c r="A604" s="614"/>
      <c r="B604" s="581"/>
      <c r="C604" s="581"/>
      <c r="D604" s="178" t="str">
        <f>серпень!D527</f>
        <v>касові нат.п-ки 2025</v>
      </c>
      <c r="E604" s="11"/>
      <c r="F604" s="82">
        <v>0</v>
      </c>
      <c r="G604" s="82">
        <v>33.4</v>
      </c>
      <c r="H604" s="82">
        <v>33.4</v>
      </c>
      <c r="I604" s="82">
        <v>33.4</v>
      </c>
      <c r="J604" s="82">
        <v>33.4</v>
      </c>
      <c r="K604" s="82">
        <v>33.4</v>
      </c>
      <c r="L604" s="125">
        <f>SUM(F604:K604)</f>
        <v>167</v>
      </c>
      <c r="M604" s="125">
        <f>L604/6</f>
        <v>27.832999999999998</v>
      </c>
      <c r="N604" s="348">
        <v>33.4</v>
      </c>
      <c r="O604" s="348">
        <v>34.1</v>
      </c>
      <c r="P604" s="348">
        <v>33.4</v>
      </c>
      <c r="Q604" s="348">
        <v>33.4</v>
      </c>
      <c r="R604" s="348">
        <v>33.4</v>
      </c>
      <c r="S604" s="348">
        <f>R599+S599</f>
        <v>59.2</v>
      </c>
      <c r="T604" s="125">
        <f>SUM(N604:S604)</f>
        <v>226.9</v>
      </c>
      <c r="U604" s="125">
        <f>T604+L604</f>
        <v>393.9</v>
      </c>
      <c r="V604" s="349">
        <f>V599</f>
        <v>390.6</v>
      </c>
      <c r="W604" s="38">
        <f>V604-U604</f>
        <v>-3.3</v>
      </c>
      <c r="X604" s="47">
        <f>U599-U604</f>
        <v>0</v>
      </c>
    </row>
    <row r="605" spans="1:28" s="51" customFormat="1" ht="18" customHeight="1">
      <c r="A605" s="614"/>
      <c r="B605" s="581"/>
      <c r="C605" s="581"/>
      <c r="D605" s="187" t="str">
        <f>серпень!D528</f>
        <v>тариф, грн.</v>
      </c>
      <c r="E605" s="49" t="e">
        <f>E606/E604*1000</f>
        <v>#DIV/0!</v>
      </c>
      <c r="F605" s="49" t="e">
        <f t="shared" ref="F605:J605" si="701">F606/F604*1000</f>
        <v>#DIV/0!</v>
      </c>
      <c r="G605" s="49">
        <f t="shared" si="701"/>
        <v>202.036</v>
      </c>
      <c r="H605" s="49">
        <f t="shared" si="701"/>
        <v>202.036</v>
      </c>
      <c r="I605" s="49">
        <f t="shared" si="701"/>
        <v>202.036</v>
      </c>
      <c r="J605" s="49">
        <f t="shared" si="701"/>
        <v>202.036</v>
      </c>
      <c r="K605" s="49">
        <v>202.10400000000001</v>
      </c>
      <c r="L605" s="68">
        <f>L606/L604*1000</f>
        <v>202.024</v>
      </c>
      <c r="M605" s="68">
        <f>M606/M604*1000</f>
        <v>202.02600000000001</v>
      </c>
      <c r="N605" s="68">
        <f>N606/N604*1000</f>
        <v>202.036</v>
      </c>
      <c r="O605" s="68">
        <f t="shared" ref="O605:P605" si="702">O606/O604*1000</f>
        <v>202.053</v>
      </c>
      <c r="P605" s="68">
        <f t="shared" si="702"/>
        <v>227.30500000000001</v>
      </c>
      <c r="Q605" s="49">
        <v>227.37</v>
      </c>
      <c r="R605" s="49">
        <v>227.37</v>
      </c>
      <c r="S605" s="49">
        <v>227.37</v>
      </c>
      <c r="T605" s="68">
        <f>T606/T604*1000</f>
        <v>219.79300000000001</v>
      </c>
      <c r="U605" s="68">
        <f>U606/U604*1000</f>
        <v>212.25899999999999</v>
      </c>
      <c r="V605" s="68">
        <f>V606/V604*1000</f>
        <v>227.30699999999999</v>
      </c>
      <c r="W605" s="14">
        <f>W606/W604*1000</f>
        <v>-1568.788</v>
      </c>
      <c r="X605" s="59"/>
    </row>
    <row r="606" spans="1:28" s="126" customFormat="1" ht="18" customHeight="1">
      <c r="A606" s="614"/>
      <c r="B606" s="581"/>
      <c r="C606" s="581"/>
      <c r="D606" s="198" t="str">
        <f>серпень!D529</f>
        <v>касові видатки, тис.грн.</v>
      </c>
      <c r="E606" s="71"/>
      <c r="F606" s="61">
        <v>0</v>
      </c>
      <c r="G606" s="61">
        <v>6.7480000000000002</v>
      </c>
      <c r="H606" s="61">
        <v>6.7480000000000002</v>
      </c>
      <c r="I606" s="61">
        <v>6.7480000000000002</v>
      </c>
      <c r="J606" s="61">
        <v>6.7480000000000002</v>
      </c>
      <c r="K606" s="61">
        <v>6.7460000000000004</v>
      </c>
      <c r="L606" s="61">
        <f>SUM(F606:K606)</f>
        <v>33.738</v>
      </c>
      <c r="M606" s="61">
        <f>L606/6</f>
        <v>5.6230000000000002</v>
      </c>
      <c r="N606" s="61">
        <v>6.7480000000000002</v>
      </c>
      <c r="O606" s="61">
        <v>6.89</v>
      </c>
      <c r="P606" s="61">
        <v>7.5919999999999996</v>
      </c>
      <c r="Q606" s="61">
        <f t="shared" ref="Q606" si="703">Q604*Q605/1000-0.002</f>
        <v>7.5919999999999996</v>
      </c>
      <c r="R606" s="61">
        <f t="shared" ref="R606" si="704">R604*R605/1000-0.002</f>
        <v>7.5919999999999996</v>
      </c>
      <c r="S606" s="61">
        <f>S604*S605/1000-0.003</f>
        <v>13.457000000000001</v>
      </c>
      <c r="T606" s="61">
        <f>SUM(N606:S606)</f>
        <v>49.871000000000002</v>
      </c>
      <c r="U606" s="61">
        <f>T606+L606</f>
        <v>83.608999999999995</v>
      </c>
      <c r="V606" s="61">
        <f>V601</f>
        <v>88.786000000000001</v>
      </c>
      <c r="W606" s="72">
        <f>V606-U606</f>
        <v>5.1769999999999996</v>
      </c>
      <c r="X606" s="63">
        <f>U601-U606</f>
        <v>0</v>
      </c>
    </row>
    <row r="607" spans="1:28" s="126" customFormat="1" ht="18" customHeight="1">
      <c r="A607" s="614"/>
      <c r="B607" s="581"/>
      <c r="C607" s="581"/>
      <c r="D607" s="201" t="str">
        <f>серпень!D530</f>
        <v>дотація</v>
      </c>
      <c r="E607" s="71"/>
      <c r="F607" s="61"/>
      <c r="G607" s="61"/>
      <c r="H607" s="61"/>
      <c r="I607" s="61"/>
      <c r="J607" s="61"/>
      <c r="K607" s="61"/>
      <c r="L607" s="61">
        <f>SUM(F607:K607)</f>
        <v>0</v>
      </c>
      <c r="M607" s="61">
        <f>L607/6</f>
        <v>0</v>
      </c>
      <c r="N607" s="61"/>
      <c r="O607" s="61"/>
      <c r="P607" s="61"/>
      <c r="Q607" s="61"/>
      <c r="R607" s="61"/>
      <c r="S607" s="61"/>
      <c r="T607" s="61">
        <f>SUM(N607:S607)</f>
        <v>0</v>
      </c>
      <c r="U607" s="61">
        <f>T607+L607</f>
        <v>0</v>
      </c>
      <c r="V607" s="61">
        <f>V602</f>
        <v>0</v>
      </c>
      <c r="W607" s="72">
        <f>V607-U607</f>
        <v>0</v>
      </c>
      <c r="X607" s="63">
        <f>U602-U607</f>
        <v>0</v>
      </c>
    </row>
    <row r="608" spans="1:28" s="126" customFormat="1" ht="18" customHeight="1">
      <c r="A608" s="614"/>
      <c r="B608" s="581"/>
      <c r="C608" s="581"/>
      <c r="D608" s="201" t="str">
        <f>серпень!D531</f>
        <v xml:space="preserve">місцевий </v>
      </c>
      <c r="E608" s="71"/>
      <c r="F608" s="61">
        <f t="shared" ref="F608:K608" si="705">F606-F607</f>
        <v>0</v>
      </c>
      <c r="G608" s="61">
        <f t="shared" si="705"/>
        <v>6.7480000000000002</v>
      </c>
      <c r="H608" s="61">
        <f t="shared" si="705"/>
        <v>6.7480000000000002</v>
      </c>
      <c r="I608" s="61">
        <f t="shared" si="705"/>
        <v>6.7480000000000002</v>
      </c>
      <c r="J608" s="61">
        <f t="shared" si="705"/>
        <v>6.7480000000000002</v>
      </c>
      <c r="K608" s="61">
        <f t="shared" si="705"/>
        <v>6.7460000000000004</v>
      </c>
      <c r="L608" s="61">
        <f>SUM(F608:K608)</f>
        <v>33.738</v>
      </c>
      <c r="M608" s="61">
        <f>L608/6</f>
        <v>5.6230000000000002</v>
      </c>
      <c r="N608" s="61">
        <f t="shared" ref="N608:S608" si="706">N606-N607</f>
        <v>6.7480000000000002</v>
      </c>
      <c r="O608" s="61">
        <f t="shared" si="706"/>
        <v>6.89</v>
      </c>
      <c r="P608" s="61">
        <f t="shared" si="706"/>
        <v>7.5919999999999996</v>
      </c>
      <c r="Q608" s="61">
        <f t="shared" si="706"/>
        <v>7.5919999999999996</v>
      </c>
      <c r="R608" s="61">
        <f t="shared" si="706"/>
        <v>7.5919999999999996</v>
      </c>
      <c r="S608" s="61">
        <f t="shared" si="706"/>
        <v>13.457000000000001</v>
      </c>
      <c r="T608" s="61">
        <f>SUM(N608:S608)</f>
        <v>49.871000000000002</v>
      </c>
      <c r="U608" s="61">
        <f>T608+L608</f>
        <v>83.608999999999995</v>
      </c>
      <c r="V608" s="61">
        <f>V603</f>
        <v>88.786000000000001</v>
      </c>
      <c r="W608" s="72">
        <f>V608-U608</f>
        <v>5.1769999999999996</v>
      </c>
      <c r="X608" s="63">
        <f>U603-U608</f>
        <v>5.1769999999999996</v>
      </c>
    </row>
    <row r="609" spans="1:28" s="43" customFormat="1" ht="18" customHeight="1">
      <c r="A609" s="614"/>
      <c r="B609" s="581"/>
      <c r="C609" s="581"/>
      <c r="D609" s="202" t="str">
        <f>серпень!D532</f>
        <v>план</v>
      </c>
      <c r="E609" s="42"/>
      <c r="F609" s="42">
        <f>F603+F602</f>
        <v>0</v>
      </c>
      <c r="G609" s="42">
        <f>G603+G602</f>
        <v>7.5919999999999996</v>
      </c>
      <c r="H609" s="42">
        <f t="shared" ref="H609:K609" si="707">H603+H602</f>
        <v>7.5919999999999996</v>
      </c>
      <c r="I609" s="42">
        <f t="shared" si="707"/>
        <v>7.5919999999999996</v>
      </c>
      <c r="J609" s="42">
        <f t="shared" si="707"/>
        <v>7.5919999999999996</v>
      </c>
      <c r="K609" s="42">
        <f t="shared" si="707"/>
        <v>4.7709999999999999</v>
      </c>
      <c r="L609" s="42">
        <f>SUM(F609:K609)</f>
        <v>35.139000000000003</v>
      </c>
      <c r="M609" s="42">
        <f>L609/6</f>
        <v>5.8570000000000002</v>
      </c>
      <c r="N609" s="42">
        <f>N603+N602</f>
        <v>7.0010000000000003</v>
      </c>
      <c r="O609" s="42">
        <f>O603+O602</f>
        <v>5.1619999999999999</v>
      </c>
      <c r="P609" s="42">
        <f t="shared" ref="P609:S609" si="708">P603+P602</f>
        <v>8.5519999999999996</v>
      </c>
      <c r="Q609" s="42">
        <f t="shared" si="708"/>
        <v>9.5980000000000008</v>
      </c>
      <c r="R609" s="42">
        <f t="shared" si="708"/>
        <v>8.5299999999999994</v>
      </c>
      <c r="S609" s="42">
        <f t="shared" si="708"/>
        <v>14.804</v>
      </c>
      <c r="T609" s="42">
        <f>SUM(N609:S609)</f>
        <v>53.646999999999998</v>
      </c>
      <c r="U609" s="42">
        <f>T609+L609</f>
        <v>88.786000000000001</v>
      </c>
      <c r="V609" s="42">
        <f>V606</f>
        <v>88.786000000000001</v>
      </c>
      <c r="W609" s="42">
        <f>V609-U609</f>
        <v>0</v>
      </c>
    </row>
    <row r="610" spans="1:28" s="43" customFormat="1" ht="18" customHeight="1">
      <c r="A610" s="614"/>
      <c r="B610" s="581"/>
      <c r="C610" s="581"/>
      <c r="D610" s="202" t="str">
        <f>серпень!D533</f>
        <v xml:space="preserve">відхилення </v>
      </c>
      <c r="E610" s="42"/>
      <c r="F610" s="42">
        <f t="shared" ref="F610:K610" si="709">F606-F609</f>
        <v>0</v>
      </c>
      <c r="G610" s="42">
        <f t="shared" si="709"/>
        <v>-0.84399999999999997</v>
      </c>
      <c r="H610" s="42">
        <f t="shared" si="709"/>
        <v>-0.84399999999999997</v>
      </c>
      <c r="I610" s="42">
        <f t="shared" si="709"/>
        <v>-0.84399999999999997</v>
      </c>
      <c r="J610" s="42">
        <f t="shared" si="709"/>
        <v>-0.84399999999999997</v>
      </c>
      <c r="K610" s="42">
        <f t="shared" si="709"/>
        <v>1.9750000000000001</v>
      </c>
      <c r="L610" s="42"/>
      <c r="M610" s="42"/>
      <c r="N610" s="42">
        <f t="shared" ref="N610:S610" si="710">N606-N609</f>
        <v>-0.253</v>
      </c>
      <c r="O610" s="42">
        <f t="shared" si="710"/>
        <v>1.728</v>
      </c>
      <c r="P610" s="42">
        <f t="shared" si="710"/>
        <v>-0.96</v>
      </c>
      <c r="Q610" s="42">
        <f t="shared" si="710"/>
        <v>-2.0059999999999998</v>
      </c>
      <c r="R610" s="42">
        <f t="shared" si="710"/>
        <v>-0.93799999999999994</v>
      </c>
      <c r="S610" s="42">
        <f t="shared" si="710"/>
        <v>-1.347</v>
      </c>
      <c r="T610" s="42"/>
      <c r="U610" s="42"/>
      <c r="V610" s="42"/>
      <c r="W610" s="42"/>
    </row>
    <row r="611" spans="1:28" s="43" customFormat="1" ht="18" customHeight="1">
      <c r="A611" s="614"/>
      <c r="B611" s="581"/>
      <c r="C611" s="581"/>
      <c r="D611" s="202" t="str">
        <f>серпень!D534</f>
        <v>відхилення з наростаючим</v>
      </c>
      <c r="E611" s="42"/>
      <c r="F611" s="42">
        <f>F610</f>
        <v>0</v>
      </c>
      <c r="G611" s="42">
        <f>G610+F611</f>
        <v>-0.84399999999999997</v>
      </c>
      <c r="H611" s="42">
        <f>H610+G611</f>
        <v>-1.6879999999999999</v>
      </c>
      <c r="I611" s="42">
        <f>I610+H611</f>
        <v>-2.532</v>
      </c>
      <c r="J611" s="42">
        <f>J610+I611</f>
        <v>-3.3759999999999999</v>
      </c>
      <c r="K611" s="42">
        <f>K610+J611</f>
        <v>-1.401</v>
      </c>
      <c r="L611" s="42"/>
      <c r="M611" s="42"/>
      <c r="N611" s="42">
        <f>N610+K611</f>
        <v>-1.6539999999999999</v>
      </c>
      <c r="O611" s="42">
        <f>O610+N611</f>
        <v>7.3999999999999996E-2</v>
      </c>
      <c r="P611" s="42">
        <f>P610+O611</f>
        <v>-0.88600000000000001</v>
      </c>
      <c r="Q611" s="42">
        <f>Q610+P611</f>
        <v>-2.8919999999999999</v>
      </c>
      <c r="R611" s="42">
        <f>R610+Q611</f>
        <v>-3.83</v>
      </c>
      <c r="S611" s="42">
        <f>S610+R611</f>
        <v>-5.1769999999999996</v>
      </c>
      <c r="T611" s="42"/>
      <c r="U611" s="42"/>
      <c r="V611" s="42"/>
      <c r="W611" s="42"/>
    </row>
    <row r="612" spans="1:28" s="55" customFormat="1" ht="17.55" customHeight="1">
      <c r="A612" s="614"/>
      <c r="B612" s="654" t="s">
        <v>139</v>
      </c>
      <c r="C612" s="581"/>
      <c r="D612" s="178" t="str">
        <f>серпень!D535</f>
        <v>факт. нат.п-ки 2023</v>
      </c>
      <c r="E612" s="11"/>
      <c r="F612" s="12"/>
      <c r="G612" s="12"/>
      <c r="H612" s="12"/>
      <c r="I612" s="12"/>
      <c r="J612" s="12"/>
      <c r="K612" s="12"/>
      <c r="L612" s="65">
        <f>SUM(F612:K612)</f>
        <v>0</v>
      </c>
      <c r="M612" s="65">
        <f>L612/6</f>
        <v>0</v>
      </c>
      <c r="N612" s="151"/>
      <c r="O612" s="151"/>
      <c r="P612" s="151"/>
      <c r="Q612" s="151"/>
      <c r="R612" s="151"/>
      <c r="S612" s="151"/>
      <c r="T612" s="65">
        <f>SUM(N612:S612)</f>
        <v>0</v>
      </c>
      <c r="U612" s="65">
        <f>T612+L612</f>
        <v>0</v>
      </c>
      <c r="V612" s="67"/>
      <c r="W612" s="38"/>
      <c r="X612" s="47"/>
      <c r="Y612" s="48"/>
      <c r="Z612" s="48"/>
      <c r="AA612" s="48"/>
      <c r="AB612" s="48"/>
    </row>
    <row r="613" spans="1:28" s="48" customFormat="1" ht="18" customHeight="1">
      <c r="A613" s="614"/>
      <c r="B613" s="581"/>
      <c r="C613" s="581"/>
      <c r="D613" s="178" t="str">
        <f>серпень!D536</f>
        <v>факт. нат.п-ки 2024</v>
      </c>
      <c r="E613" s="11"/>
      <c r="F613" s="12"/>
      <c r="G613" s="12"/>
      <c r="H613" s="12"/>
      <c r="I613" s="12"/>
      <c r="J613" s="12"/>
      <c r="K613" s="12"/>
      <c r="L613" s="65">
        <f>SUM(F613:K613)</f>
        <v>0</v>
      </c>
      <c r="M613" s="65">
        <f>L613/6</f>
        <v>0</v>
      </c>
      <c r="N613" s="83"/>
      <c r="O613" s="83"/>
      <c r="P613" s="83"/>
      <c r="Q613" s="83"/>
      <c r="R613" s="83"/>
      <c r="S613" s="83"/>
      <c r="T613" s="65">
        <f>SUM(N613:S613)</f>
        <v>0</v>
      </c>
      <c r="U613" s="65">
        <f>T613+L613</f>
        <v>0</v>
      </c>
      <c r="V613" s="46"/>
      <c r="W613" s="38"/>
      <c r="X613" s="47"/>
    </row>
    <row r="614" spans="1:28" s="48" customFormat="1" ht="18" customHeight="1">
      <c r="A614" s="614"/>
      <c r="B614" s="581"/>
      <c r="C614" s="581"/>
      <c r="D614" s="178" t="str">
        <f>серпень!D537</f>
        <v>факт. нат.п-ки 2025</v>
      </c>
      <c r="E614" s="11"/>
      <c r="F614" s="12">
        <v>0</v>
      </c>
      <c r="G614" s="12">
        <v>0</v>
      </c>
      <c r="H614" s="12">
        <v>1</v>
      </c>
      <c r="I614" s="12">
        <v>1</v>
      </c>
      <c r="J614" s="12">
        <v>1</v>
      </c>
      <c r="K614" s="12">
        <v>1</v>
      </c>
      <c r="L614" s="65">
        <f>SUM(F614:K614)</f>
        <v>4</v>
      </c>
      <c r="M614" s="65">
        <f>L614/6</f>
        <v>0.7</v>
      </c>
      <c r="N614" s="12">
        <v>1</v>
      </c>
      <c r="O614" s="12">
        <v>1</v>
      </c>
      <c r="P614" s="12">
        <v>1</v>
      </c>
      <c r="Q614" s="12">
        <v>1</v>
      </c>
      <c r="R614" s="12">
        <v>1</v>
      </c>
      <c r="S614" s="12">
        <v>1</v>
      </c>
      <c r="T614" s="65">
        <f>SUM(N614:S614)</f>
        <v>6</v>
      </c>
      <c r="U614" s="65">
        <f>T614+L614</f>
        <v>10</v>
      </c>
      <c r="V614" s="11">
        <v>12</v>
      </c>
      <c r="W614" s="38">
        <f>V614-U614</f>
        <v>2</v>
      </c>
      <c r="X614" s="47"/>
    </row>
    <row r="615" spans="1:28" s="51" customFormat="1" ht="18" customHeight="1">
      <c r="A615" s="614"/>
      <c r="B615" s="581"/>
      <c r="C615" s="581"/>
      <c r="D615" s="187" t="str">
        <f>серпень!D538</f>
        <v>тариф, грн.</v>
      </c>
      <c r="E615" s="49" t="e">
        <f>E616/E614*1000</f>
        <v>#DIV/0!</v>
      </c>
      <c r="F615" s="49">
        <v>2.1</v>
      </c>
      <c r="G615" s="49">
        <v>2.1</v>
      </c>
      <c r="H615" s="49">
        <v>2.1</v>
      </c>
      <c r="I615" s="49">
        <v>2.1</v>
      </c>
      <c r="J615" s="49">
        <v>2.1</v>
      </c>
      <c r="K615" s="49">
        <v>2.1</v>
      </c>
      <c r="L615" s="68">
        <f>L616/L614*1000</f>
        <v>2</v>
      </c>
      <c r="M615" s="68">
        <f>M616/M614*1000</f>
        <v>1.429</v>
      </c>
      <c r="N615" s="68">
        <v>2.1</v>
      </c>
      <c r="O615" s="68">
        <v>2.1</v>
      </c>
      <c r="P615" s="68">
        <v>2.1</v>
      </c>
      <c r="Q615" s="68">
        <v>2.1</v>
      </c>
      <c r="R615" s="68">
        <v>2.1</v>
      </c>
      <c r="S615" s="49">
        <v>2.1</v>
      </c>
      <c r="T615" s="68">
        <f>T616/T614*1000</f>
        <v>2</v>
      </c>
      <c r="U615" s="68">
        <f>U616/U614*1000</f>
        <v>2</v>
      </c>
      <c r="V615" s="68">
        <f>V616/V614*1000</f>
        <v>2.0830000000000002</v>
      </c>
      <c r="W615" s="14">
        <f>W616/W614*1000</f>
        <v>2.5</v>
      </c>
      <c r="X615" s="59"/>
    </row>
    <row r="616" spans="1:28" s="130" customFormat="1" ht="18" customHeight="1">
      <c r="A616" s="614"/>
      <c r="B616" s="581"/>
      <c r="C616" s="581"/>
      <c r="D616" s="191" t="str">
        <f>серпень!D539</f>
        <v>сума, тис.грн.</v>
      </c>
      <c r="E616" s="52"/>
      <c r="F616" s="52">
        <v>0</v>
      </c>
      <c r="G616" s="52">
        <v>0</v>
      </c>
      <c r="H616" s="52">
        <f t="shared" ref="H616:K616" si="711">H614*H615/1000</f>
        <v>2E-3</v>
      </c>
      <c r="I616" s="52">
        <f t="shared" si="711"/>
        <v>2E-3</v>
      </c>
      <c r="J616" s="52">
        <f t="shared" si="711"/>
        <v>2E-3</v>
      </c>
      <c r="K616" s="52">
        <f t="shared" si="711"/>
        <v>2E-3</v>
      </c>
      <c r="L616" s="69">
        <f>SUM(F616:K616)</f>
        <v>8.0000000000000002E-3</v>
      </c>
      <c r="M616" s="69">
        <f>L616/6</f>
        <v>1E-3</v>
      </c>
      <c r="N616" s="52">
        <f>N614*N615/1000</f>
        <v>2E-3</v>
      </c>
      <c r="O616" s="52">
        <f t="shared" ref="O616" si="712">O614*O615/1000</f>
        <v>2E-3</v>
      </c>
      <c r="P616" s="52">
        <f t="shared" ref="P616" si="713">P614*P615/1000</f>
        <v>2E-3</v>
      </c>
      <c r="Q616" s="52">
        <f t="shared" ref="Q616" si="714">Q614*Q615/1000</f>
        <v>2E-3</v>
      </c>
      <c r="R616" s="52">
        <f t="shared" ref="R616" si="715">R614*R615/1000</f>
        <v>2E-3</v>
      </c>
      <c r="S616" s="52">
        <f>S614*S615/1000</f>
        <v>2E-3</v>
      </c>
      <c r="T616" s="69">
        <f>SUM(N616:S616)</f>
        <v>1.2E-2</v>
      </c>
      <c r="U616" s="69">
        <f>T616+L616</f>
        <v>0.02</v>
      </c>
      <c r="V616" s="70">
        <f>V617+V618</f>
        <v>2.5000000000000001E-2</v>
      </c>
      <c r="W616" s="53">
        <f>V616-U616</f>
        <v>5.0000000000000001E-3</v>
      </c>
    </row>
    <row r="617" spans="1:28" s="130" customFormat="1" ht="18" customHeight="1">
      <c r="A617" s="614"/>
      <c r="B617" s="581"/>
      <c r="C617" s="581"/>
      <c r="D617" s="174" t="str">
        <f>серпень!D540</f>
        <v>дотація</v>
      </c>
      <c r="E617" s="56"/>
      <c r="F617" s="52"/>
      <c r="G617" s="52"/>
      <c r="H617" s="52"/>
      <c r="I617" s="52"/>
      <c r="J617" s="52"/>
      <c r="K617" s="52"/>
      <c r="L617" s="69">
        <f>SUM(F617:K617)</f>
        <v>0</v>
      </c>
      <c r="M617" s="69">
        <f>L617/6</f>
        <v>0</v>
      </c>
      <c r="N617" s="52"/>
      <c r="O617" s="52"/>
      <c r="P617" s="52"/>
      <c r="Q617" s="52"/>
      <c r="R617" s="52"/>
      <c r="S617" s="52"/>
      <c r="T617" s="69">
        <f>SUM(N617:S617)</f>
        <v>0</v>
      </c>
      <c r="U617" s="69">
        <f>T617+L617</f>
        <v>0</v>
      </c>
      <c r="V617" s="70"/>
      <c r="W617" s="53">
        <f>V617-U617</f>
        <v>0</v>
      </c>
    </row>
    <row r="618" spans="1:28" s="130" customFormat="1" ht="18" customHeight="1">
      <c r="A618" s="614"/>
      <c r="B618" s="581"/>
      <c r="C618" s="581"/>
      <c r="D618" s="174" t="str">
        <f>серпень!D541</f>
        <v>місцевий (план), тис.грн</v>
      </c>
      <c r="E618" s="56"/>
      <c r="F618" s="52">
        <v>0</v>
      </c>
      <c r="G618" s="52">
        <v>3.0000000000000001E-3</v>
      </c>
      <c r="H618" s="52">
        <v>2E-3</v>
      </c>
      <c r="I618" s="52">
        <v>2E-3</v>
      </c>
      <c r="J618" s="52">
        <v>2E-3</v>
      </c>
      <c r="K618" s="52">
        <v>2E-3</v>
      </c>
      <c r="L618" s="69">
        <f>SUM(F618:K618)</f>
        <v>1.0999999999999999E-2</v>
      </c>
      <c r="M618" s="69">
        <f>L618/6</f>
        <v>2E-3</v>
      </c>
      <c r="N618" s="52">
        <v>2E-3</v>
      </c>
      <c r="O618" s="52">
        <v>2E-3</v>
      </c>
      <c r="P618" s="52">
        <v>2E-3</v>
      </c>
      <c r="Q618" s="52">
        <v>2E-3</v>
      </c>
      <c r="R618" s="52">
        <v>2E-3</v>
      </c>
      <c r="S618" s="52">
        <v>4.0000000000000001E-3</v>
      </c>
      <c r="T618" s="69">
        <f>SUM(N618:S618)</f>
        <v>1.4E-2</v>
      </c>
      <c r="U618" s="69">
        <f>T618+L618</f>
        <v>2.5000000000000001E-2</v>
      </c>
      <c r="V618" s="70">
        <v>2.5000000000000001E-2</v>
      </c>
      <c r="W618" s="53">
        <f>V618-U618</f>
        <v>0</v>
      </c>
    </row>
    <row r="619" spans="1:28" s="48" customFormat="1" ht="18" customHeight="1">
      <c r="A619" s="614"/>
      <c r="B619" s="581"/>
      <c r="C619" s="581"/>
      <c r="D619" s="178" t="str">
        <f>серпень!D542</f>
        <v>касові нат.п-ки 2025</v>
      </c>
      <c r="E619" s="11"/>
      <c r="F619" s="12"/>
      <c r="G619" s="12">
        <v>0</v>
      </c>
      <c r="H619" s="12">
        <v>0</v>
      </c>
      <c r="I619" s="12">
        <v>1</v>
      </c>
      <c r="J619" s="12">
        <v>1</v>
      </c>
      <c r="K619" s="12">
        <v>1</v>
      </c>
      <c r="L619" s="65">
        <f>SUM(F619:K619)</f>
        <v>3</v>
      </c>
      <c r="M619" s="65">
        <f>L619/6</f>
        <v>0.5</v>
      </c>
      <c r="N619" s="12">
        <v>1</v>
      </c>
      <c r="O619" s="12">
        <v>1</v>
      </c>
      <c r="P619" s="12">
        <v>1</v>
      </c>
      <c r="Q619" s="12">
        <v>1</v>
      </c>
      <c r="R619" s="12">
        <v>1</v>
      </c>
      <c r="S619" s="12">
        <v>2</v>
      </c>
      <c r="T619" s="65">
        <f>SUM(N619:S619)</f>
        <v>7</v>
      </c>
      <c r="U619" s="65">
        <f>T619+L619</f>
        <v>10</v>
      </c>
      <c r="V619" s="11">
        <f>V614</f>
        <v>12</v>
      </c>
      <c r="W619" s="38">
        <f>V619-U619</f>
        <v>2</v>
      </c>
      <c r="X619" s="47">
        <f>U614-U619</f>
        <v>0</v>
      </c>
    </row>
    <row r="620" spans="1:28" s="51" customFormat="1" ht="18" customHeight="1">
      <c r="A620" s="614"/>
      <c r="B620" s="581"/>
      <c r="C620" s="581"/>
      <c r="D620" s="187" t="str">
        <f>серпень!D543</f>
        <v>тариф, грн.</v>
      </c>
      <c r="E620" s="49" t="e">
        <f>E621/E619*1000</f>
        <v>#DIV/0!</v>
      </c>
      <c r="F620" s="49">
        <v>2.1</v>
      </c>
      <c r="G620" s="49">
        <v>2.1</v>
      </c>
      <c r="H620" s="49">
        <v>2.1</v>
      </c>
      <c r="I620" s="49">
        <v>2.1</v>
      </c>
      <c r="J620" s="49">
        <v>2.1</v>
      </c>
      <c r="K620" s="49">
        <v>2.1</v>
      </c>
      <c r="L620" s="68">
        <f>L621/L619*1000</f>
        <v>2</v>
      </c>
      <c r="M620" s="68">
        <f>M621/M619*1000</f>
        <v>2</v>
      </c>
      <c r="N620" s="68">
        <v>2.1</v>
      </c>
      <c r="O620" s="68">
        <v>2.1</v>
      </c>
      <c r="P620" s="68">
        <v>2.1</v>
      </c>
      <c r="Q620" s="68">
        <v>2.1</v>
      </c>
      <c r="R620" s="68">
        <v>2.1</v>
      </c>
      <c r="S620" s="49">
        <v>2.1</v>
      </c>
      <c r="T620" s="68">
        <f>T621/T619*1000</f>
        <v>2</v>
      </c>
      <c r="U620" s="68">
        <f>U621/U619*1000</f>
        <v>2</v>
      </c>
      <c r="V620" s="68">
        <f>V621/V619*1000</f>
        <v>2.0830000000000002</v>
      </c>
      <c r="W620" s="14">
        <f>W621/W619*1000</f>
        <v>2.5</v>
      </c>
      <c r="X620" s="59"/>
    </row>
    <row r="621" spans="1:28" s="126" customFormat="1" ht="18" customHeight="1">
      <c r="A621" s="614"/>
      <c r="B621" s="581"/>
      <c r="C621" s="581"/>
      <c r="D621" s="198" t="str">
        <f>серпень!D544</f>
        <v>касові видатки, тис.грн.</v>
      </c>
      <c r="E621" s="71"/>
      <c r="F621" s="61">
        <v>0</v>
      </c>
      <c r="G621" s="61">
        <v>0</v>
      </c>
      <c r="H621" s="61">
        <v>0</v>
      </c>
      <c r="I621" s="61">
        <f t="shared" ref="I621" si="716">I619*I620/1000</f>
        <v>2E-3</v>
      </c>
      <c r="J621" s="61">
        <f t="shared" ref="J621" si="717">J619*J620/1000</f>
        <v>2E-3</v>
      </c>
      <c r="K621" s="61">
        <f t="shared" ref="K621" si="718">K619*K620/1000</f>
        <v>2E-3</v>
      </c>
      <c r="L621" s="61">
        <f>SUM(F621:K621)</f>
        <v>6.0000000000000001E-3</v>
      </c>
      <c r="M621" s="61">
        <f>L621/6</f>
        <v>1E-3</v>
      </c>
      <c r="N621" s="61">
        <f>N619*N620/1000</f>
        <v>2E-3</v>
      </c>
      <c r="O621" s="61">
        <f t="shared" ref="O621" si="719">O619*O620/1000</f>
        <v>2E-3</v>
      </c>
      <c r="P621" s="61">
        <f t="shared" ref="P621" si="720">P619*P620/1000</f>
        <v>2E-3</v>
      </c>
      <c r="Q621" s="61">
        <f t="shared" ref="Q621" si="721">Q619*Q620/1000</f>
        <v>2E-3</v>
      </c>
      <c r="R621" s="61">
        <f t="shared" ref="R621" si="722">R619*R620/1000</f>
        <v>2E-3</v>
      </c>
      <c r="S621" s="61">
        <f>S619*S620/1000</f>
        <v>4.0000000000000001E-3</v>
      </c>
      <c r="T621" s="61">
        <f>SUM(N621:S621)</f>
        <v>1.4E-2</v>
      </c>
      <c r="U621" s="61">
        <f>T621+L621</f>
        <v>0.02</v>
      </c>
      <c r="V621" s="61">
        <f>V616</f>
        <v>2.5000000000000001E-2</v>
      </c>
      <c r="W621" s="72">
        <f>V621-U621</f>
        <v>5.0000000000000001E-3</v>
      </c>
      <c r="X621" s="63">
        <f>U616-U621</f>
        <v>0</v>
      </c>
    </row>
    <row r="622" spans="1:28" s="126" customFormat="1" ht="18" customHeight="1">
      <c r="A622" s="614"/>
      <c r="B622" s="581"/>
      <c r="C622" s="581"/>
      <c r="D622" s="201" t="str">
        <f>серпень!D545</f>
        <v>дотація</v>
      </c>
      <c r="E622" s="71"/>
      <c r="F622" s="61"/>
      <c r="G622" s="61"/>
      <c r="H622" s="61"/>
      <c r="I622" s="61"/>
      <c r="J622" s="61"/>
      <c r="K622" s="61"/>
      <c r="L622" s="61">
        <f>SUM(F622:K622)</f>
        <v>0</v>
      </c>
      <c r="M622" s="61">
        <f>L622/6</f>
        <v>0</v>
      </c>
      <c r="N622" s="61"/>
      <c r="O622" s="61"/>
      <c r="P622" s="61"/>
      <c r="Q622" s="61"/>
      <c r="R622" s="61"/>
      <c r="S622" s="61"/>
      <c r="T622" s="61">
        <f>SUM(N622:S622)</f>
        <v>0</v>
      </c>
      <c r="U622" s="61">
        <f>T622+L622</f>
        <v>0</v>
      </c>
      <c r="V622" s="61">
        <f>V617</f>
        <v>0</v>
      </c>
      <c r="W622" s="72">
        <f>V622-U622</f>
        <v>0</v>
      </c>
      <c r="X622" s="63">
        <f>U617-U622</f>
        <v>0</v>
      </c>
    </row>
    <row r="623" spans="1:28" s="126" customFormat="1" ht="18" customHeight="1">
      <c r="A623" s="614"/>
      <c r="B623" s="581"/>
      <c r="C623" s="581"/>
      <c r="D623" s="201" t="str">
        <f>серпень!D546</f>
        <v xml:space="preserve">місцевий </v>
      </c>
      <c r="E623" s="71"/>
      <c r="F623" s="61">
        <f t="shared" ref="F623:K623" si="723">F621-F622</f>
        <v>0</v>
      </c>
      <c r="G623" s="61">
        <f t="shared" si="723"/>
        <v>0</v>
      </c>
      <c r="H623" s="61">
        <f t="shared" si="723"/>
        <v>0</v>
      </c>
      <c r="I623" s="61">
        <f t="shared" si="723"/>
        <v>2E-3</v>
      </c>
      <c r="J623" s="61">
        <f t="shared" si="723"/>
        <v>2E-3</v>
      </c>
      <c r="K623" s="61">
        <f t="shared" si="723"/>
        <v>2E-3</v>
      </c>
      <c r="L623" s="61">
        <f>SUM(F623:K623)</f>
        <v>6.0000000000000001E-3</v>
      </c>
      <c r="M623" s="61">
        <f>L623/6</f>
        <v>1E-3</v>
      </c>
      <c r="N623" s="61">
        <f t="shared" ref="N623:S623" si="724">N621-N622</f>
        <v>2E-3</v>
      </c>
      <c r="O623" s="61">
        <f t="shared" si="724"/>
        <v>2E-3</v>
      </c>
      <c r="P623" s="61">
        <f t="shared" si="724"/>
        <v>2E-3</v>
      </c>
      <c r="Q623" s="61">
        <f t="shared" si="724"/>
        <v>2E-3</v>
      </c>
      <c r="R623" s="61">
        <f t="shared" si="724"/>
        <v>2E-3</v>
      </c>
      <c r="S623" s="61">
        <f t="shared" si="724"/>
        <v>4.0000000000000001E-3</v>
      </c>
      <c r="T623" s="61">
        <f>SUM(N623:S623)</f>
        <v>1.4E-2</v>
      </c>
      <c r="U623" s="61">
        <f>T623+L623</f>
        <v>0.02</v>
      </c>
      <c r="V623" s="61">
        <f>V618</f>
        <v>2.5000000000000001E-2</v>
      </c>
      <c r="W623" s="72">
        <f>V623-U623</f>
        <v>5.0000000000000001E-3</v>
      </c>
      <c r="X623" s="63">
        <f>U618-U623</f>
        <v>5.0000000000000001E-3</v>
      </c>
    </row>
    <row r="624" spans="1:28" s="43" customFormat="1" ht="18" customHeight="1">
      <c r="A624" s="614"/>
      <c r="B624" s="581"/>
      <c r="C624" s="581"/>
      <c r="D624" s="202" t="str">
        <f>серпень!D547</f>
        <v>план</v>
      </c>
      <c r="E624" s="42"/>
      <c r="F624" s="42">
        <f>F618+F617</f>
        <v>0</v>
      </c>
      <c r="G624" s="42">
        <f>G618+G617</f>
        <v>3.0000000000000001E-3</v>
      </c>
      <c r="H624" s="42">
        <f t="shared" ref="H624:K624" si="725">H618+H617</f>
        <v>2E-3</v>
      </c>
      <c r="I624" s="42">
        <f t="shared" si="725"/>
        <v>2E-3</v>
      </c>
      <c r="J624" s="42">
        <f t="shared" si="725"/>
        <v>2E-3</v>
      </c>
      <c r="K624" s="42">
        <f t="shared" si="725"/>
        <v>2E-3</v>
      </c>
      <c r="L624" s="42">
        <f>SUM(F624:K624)</f>
        <v>1.0999999999999999E-2</v>
      </c>
      <c r="M624" s="42">
        <f>L624/6</f>
        <v>2E-3</v>
      </c>
      <c r="N624" s="42">
        <f>N618+N617</f>
        <v>2E-3</v>
      </c>
      <c r="O624" s="42">
        <f>O618+O617</f>
        <v>2E-3</v>
      </c>
      <c r="P624" s="42">
        <f t="shared" ref="P624:S624" si="726">P618+P617</f>
        <v>2E-3</v>
      </c>
      <c r="Q624" s="42">
        <f t="shared" si="726"/>
        <v>2E-3</v>
      </c>
      <c r="R624" s="42">
        <f t="shared" si="726"/>
        <v>2E-3</v>
      </c>
      <c r="S624" s="42">
        <f t="shared" si="726"/>
        <v>4.0000000000000001E-3</v>
      </c>
      <c r="T624" s="42">
        <f>SUM(N624:S624)</f>
        <v>1.4E-2</v>
      </c>
      <c r="U624" s="42">
        <f>T624+L624</f>
        <v>2.5000000000000001E-2</v>
      </c>
      <c r="V624" s="42">
        <f>V621</f>
        <v>2.5000000000000001E-2</v>
      </c>
      <c r="W624" s="42">
        <f>V624-U624</f>
        <v>0</v>
      </c>
    </row>
    <row r="625" spans="1:28" s="43" customFormat="1" ht="18" customHeight="1">
      <c r="A625" s="614"/>
      <c r="B625" s="581"/>
      <c r="C625" s="581"/>
      <c r="D625" s="202" t="str">
        <f>серпень!D548</f>
        <v xml:space="preserve">відхилення </v>
      </c>
      <c r="E625" s="42"/>
      <c r="F625" s="42">
        <f t="shared" ref="F625:K625" si="727">F621-F624</f>
        <v>0</v>
      </c>
      <c r="G625" s="42">
        <f t="shared" si="727"/>
        <v>-3.0000000000000001E-3</v>
      </c>
      <c r="H625" s="42">
        <f t="shared" si="727"/>
        <v>-2E-3</v>
      </c>
      <c r="I625" s="42">
        <f t="shared" si="727"/>
        <v>0</v>
      </c>
      <c r="J625" s="42">
        <f t="shared" si="727"/>
        <v>0</v>
      </c>
      <c r="K625" s="42">
        <f t="shared" si="727"/>
        <v>0</v>
      </c>
      <c r="L625" s="42"/>
      <c r="M625" s="42"/>
      <c r="N625" s="42">
        <f t="shared" ref="N625:S625" si="728">N621-N624</f>
        <v>0</v>
      </c>
      <c r="O625" s="42">
        <f t="shared" si="728"/>
        <v>0</v>
      </c>
      <c r="P625" s="42">
        <f t="shared" si="728"/>
        <v>0</v>
      </c>
      <c r="Q625" s="42">
        <f t="shared" si="728"/>
        <v>0</v>
      </c>
      <c r="R625" s="42">
        <f t="shared" si="728"/>
        <v>0</v>
      </c>
      <c r="S625" s="42">
        <f t="shared" si="728"/>
        <v>0</v>
      </c>
      <c r="T625" s="42"/>
      <c r="U625" s="42"/>
      <c r="V625" s="42"/>
      <c r="W625" s="42"/>
    </row>
    <row r="626" spans="1:28" s="43" customFormat="1" ht="18" customHeight="1">
      <c r="A626" s="614"/>
      <c r="B626" s="581"/>
      <c r="C626" s="581"/>
      <c r="D626" s="202" t="str">
        <f>серпень!D549</f>
        <v>відхилення з наростаючим</v>
      </c>
      <c r="E626" s="42"/>
      <c r="F626" s="42">
        <f>F625</f>
        <v>0</v>
      </c>
      <c r="G626" s="42">
        <f>G625+F626</f>
        <v>-3.0000000000000001E-3</v>
      </c>
      <c r="H626" s="42">
        <f>H625+G626</f>
        <v>-5.0000000000000001E-3</v>
      </c>
      <c r="I626" s="42">
        <f>I625+H626</f>
        <v>-5.0000000000000001E-3</v>
      </c>
      <c r="J626" s="42">
        <f>J625+I626</f>
        <v>-5.0000000000000001E-3</v>
      </c>
      <c r="K626" s="42">
        <f>K625+J626</f>
        <v>-5.0000000000000001E-3</v>
      </c>
      <c r="L626" s="42"/>
      <c r="M626" s="42"/>
      <c r="N626" s="42">
        <f>N625+K626</f>
        <v>-5.0000000000000001E-3</v>
      </c>
      <c r="O626" s="42">
        <f>O625+N626</f>
        <v>-5.0000000000000001E-3</v>
      </c>
      <c r="P626" s="42">
        <f>P625+O626</f>
        <v>-5.0000000000000001E-3</v>
      </c>
      <c r="Q626" s="42">
        <f>Q625+P626</f>
        <v>-5.0000000000000001E-3</v>
      </c>
      <c r="R626" s="42">
        <f>R625+Q626</f>
        <v>-5.0000000000000001E-3</v>
      </c>
      <c r="S626" s="42">
        <f>S625+R626</f>
        <v>-5.0000000000000001E-3</v>
      </c>
      <c r="T626" s="42"/>
      <c r="U626" s="42"/>
      <c r="V626" s="42"/>
      <c r="W626" s="42"/>
    </row>
    <row r="627" spans="1:28" s="55" customFormat="1" ht="18" hidden="1" customHeight="1">
      <c r="A627" s="614"/>
      <c r="B627" s="581" t="s">
        <v>66</v>
      </c>
      <c r="C627" s="581"/>
      <c r="D627" s="178" t="str">
        <f>серпень!D550</f>
        <v>факт. нат.п-ки 2023</v>
      </c>
      <c r="E627" s="11"/>
      <c r="F627" s="12">
        <f>F644+F674</f>
        <v>0</v>
      </c>
      <c r="G627" s="12">
        <f t="shared" ref="G627:K627" si="729">G644+G674</f>
        <v>0</v>
      </c>
      <c r="H627" s="12">
        <f t="shared" si="729"/>
        <v>0</v>
      </c>
      <c r="I627" s="12">
        <f t="shared" si="729"/>
        <v>0</v>
      </c>
      <c r="J627" s="12">
        <f t="shared" si="729"/>
        <v>0</v>
      </c>
      <c r="K627" s="12">
        <f t="shared" si="729"/>
        <v>0</v>
      </c>
      <c r="L627" s="65">
        <f>SUM(F627:K627)</f>
        <v>0</v>
      </c>
      <c r="M627" s="65">
        <f>L627/6</f>
        <v>0</v>
      </c>
      <c r="N627" s="12">
        <f>N644+N674</f>
        <v>0</v>
      </c>
      <c r="O627" s="12">
        <f t="shared" ref="O627:S627" si="730">O644+O674</f>
        <v>0</v>
      </c>
      <c r="P627" s="12">
        <f t="shared" si="730"/>
        <v>0</v>
      </c>
      <c r="Q627" s="12">
        <f t="shared" si="730"/>
        <v>0</v>
      </c>
      <c r="R627" s="12">
        <f t="shared" si="730"/>
        <v>0</v>
      </c>
      <c r="S627" s="12">
        <f t="shared" si="730"/>
        <v>0</v>
      </c>
      <c r="T627" s="65">
        <f>SUM(N627:S627)</f>
        <v>0</v>
      </c>
      <c r="U627" s="65">
        <f>T627+L627</f>
        <v>0</v>
      </c>
      <c r="V627" s="75">
        <f>V644+V674</f>
        <v>0</v>
      </c>
      <c r="W627" s="38">
        <f>V627-U627</f>
        <v>0</v>
      </c>
      <c r="X627" s="47"/>
      <c r="Y627" s="48"/>
      <c r="Z627" s="48"/>
      <c r="AA627" s="48"/>
      <c r="AB627" s="48"/>
    </row>
    <row r="628" spans="1:28" s="48" customFormat="1" ht="18" hidden="1" customHeight="1">
      <c r="A628" s="614"/>
      <c r="B628" s="581"/>
      <c r="C628" s="581"/>
      <c r="D628" s="178" t="str">
        <f>серпень!D551</f>
        <v>факт. нат.п-ки 2024</v>
      </c>
      <c r="E628" s="11"/>
      <c r="F628" s="12">
        <f t="shared" ref="F628:K629" si="731">F645+F675</f>
        <v>0</v>
      </c>
      <c r="G628" s="12">
        <f t="shared" si="731"/>
        <v>0</v>
      </c>
      <c r="H628" s="12">
        <f t="shared" si="731"/>
        <v>0</v>
      </c>
      <c r="I628" s="12">
        <f t="shared" si="731"/>
        <v>0</v>
      </c>
      <c r="J628" s="12">
        <f t="shared" si="731"/>
        <v>0</v>
      </c>
      <c r="K628" s="12">
        <f t="shared" si="731"/>
        <v>0</v>
      </c>
      <c r="L628" s="65">
        <f>SUM(F628:K628)</f>
        <v>0</v>
      </c>
      <c r="M628" s="65">
        <f>L628/6</f>
        <v>0</v>
      </c>
      <c r="N628" s="12">
        <f t="shared" ref="N628:S628" si="732">N645+N675</f>
        <v>0</v>
      </c>
      <c r="O628" s="12">
        <f t="shared" si="732"/>
        <v>0</v>
      </c>
      <c r="P628" s="12">
        <f t="shared" si="732"/>
        <v>0</v>
      </c>
      <c r="Q628" s="12">
        <f t="shared" si="732"/>
        <v>0</v>
      </c>
      <c r="R628" s="12">
        <f t="shared" si="732"/>
        <v>0</v>
      </c>
      <c r="S628" s="12">
        <f t="shared" si="732"/>
        <v>0</v>
      </c>
      <c r="T628" s="65">
        <f>SUM(N628:S628)</f>
        <v>0</v>
      </c>
      <c r="U628" s="65">
        <f>T628+L628</f>
        <v>0</v>
      </c>
      <c r="V628" s="75">
        <f>V645+V675</f>
        <v>0</v>
      </c>
      <c r="W628" s="38">
        <f>V628-U628</f>
        <v>0</v>
      </c>
      <c r="X628" s="47"/>
    </row>
    <row r="629" spans="1:28" s="48" customFormat="1" ht="18" hidden="1" customHeight="1">
      <c r="A629" s="614"/>
      <c r="B629" s="581"/>
      <c r="C629" s="581"/>
      <c r="D629" s="178" t="str">
        <f>серпень!D552</f>
        <v>факт. нат.п-ки 2025</v>
      </c>
      <c r="E629" s="11"/>
      <c r="F629" s="12">
        <f t="shared" si="731"/>
        <v>0</v>
      </c>
      <c r="G629" s="12">
        <f t="shared" si="731"/>
        <v>0</v>
      </c>
      <c r="H629" s="12">
        <f t="shared" si="731"/>
        <v>0</v>
      </c>
      <c r="I629" s="12">
        <f t="shared" si="731"/>
        <v>0</v>
      </c>
      <c r="J629" s="12">
        <f t="shared" si="731"/>
        <v>0</v>
      </c>
      <c r="K629" s="12">
        <f t="shared" si="731"/>
        <v>0</v>
      </c>
      <c r="L629" s="65">
        <f>SUM(F629:K629)</f>
        <v>0</v>
      </c>
      <c r="M629" s="65">
        <f>L629/6</f>
        <v>0</v>
      </c>
      <c r="N629" s="12">
        <f t="shared" ref="N629:S629" si="733">N646+N676</f>
        <v>0</v>
      </c>
      <c r="O629" s="12">
        <f t="shared" si="733"/>
        <v>0</v>
      </c>
      <c r="P629" s="12">
        <f t="shared" si="733"/>
        <v>0</v>
      </c>
      <c r="Q629" s="12">
        <f t="shared" si="733"/>
        <v>0</v>
      </c>
      <c r="R629" s="12">
        <f t="shared" si="733"/>
        <v>0</v>
      </c>
      <c r="S629" s="12">
        <f t="shared" si="733"/>
        <v>0</v>
      </c>
      <c r="T629" s="65">
        <f>SUM(N629:S629)</f>
        <v>0</v>
      </c>
      <c r="U629" s="65">
        <f>T629+L629</f>
        <v>0</v>
      </c>
      <c r="V629" s="75">
        <f>V646+V676</f>
        <v>0</v>
      </c>
      <c r="W629" s="38">
        <f>V629-U629</f>
        <v>0</v>
      </c>
      <c r="X629" s="47"/>
    </row>
    <row r="630" spans="1:28" s="51" customFormat="1" ht="18" hidden="1" customHeight="1">
      <c r="A630" s="614"/>
      <c r="B630" s="581"/>
      <c r="C630" s="581"/>
      <c r="D630" s="187" t="str">
        <f>серпень!D553</f>
        <v>тариф, грн.</v>
      </c>
      <c r="E630" s="49"/>
      <c r="F630" s="49" t="e">
        <f t="shared" ref="F630:W630" si="734">F631/F629*1000</f>
        <v>#DIV/0!</v>
      </c>
      <c r="G630" s="49" t="e">
        <f t="shared" si="734"/>
        <v>#DIV/0!</v>
      </c>
      <c r="H630" s="49" t="e">
        <f t="shared" si="734"/>
        <v>#DIV/0!</v>
      </c>
      <c r="I630" s="49" t="e">
        <f t="shared" si="734"/>
        <v>#DIV/0!</v>
      </c>
      <c r="J630" s="49" t="e">
        <f t="shared" si="734"/>
        <v>#DIV/0!</v>
      </c>
      <c r="K630" s="49" t="e">
        <f t="shared" si="734"/>
        <v>#DIV/0!</v>
      </c>
      <c r="L630" s="49" t="e">
        <f t="shared" si="734"/>
        <v>#DIV/0!</v>
      </c>
      <c r="M630" s="49" t="e">
        <f t="shared" si="734"/>
        <v>#DIV/0!</v>
      </c>
      <c r="N630" s="49" t="e">
        <f t="shared" si="734"/>
        <v>#DIV/0!</v>
      </c>
      <c r="O630" s="49" t="e">
        <f t="shared" si="734"/>
        <v>#DIV/0!</v>
      </c>
      <c r="P630" s="49" t="e">
        <f t="shared" si="734"/>
        <v>#DIV/0!</v>
      </c>
      <c r="Q630" s="49" t="e">
        <f t="shared" si="734"/>
        <v>#DIV/0!</v>
      </c>
      <c r="R630" s="49" t="e">
        <f t="shared" si="734"/>
        <v>#DIV/0!</v>
      </c>
      <c r="S630" s="49" t="e">
        <f t="shared" si="734"/>
        <v>#DIV/0!</v>
      </c>
      <c r="T630" s="49" t="e">
        <f t="shared" si="734"/>
        <v>#DIV/0!</v>
      </c>
      <c r="U630" s="49" t="e">
        <f t="shared" si="734"/>
        <v>#DIV/0!</v>
      </c>
      <c r="V630" s="49" t="e">
        <f t="shared" si="734"/>
        <v>#DIV/0!</v>
      </c>
      <c r="W630" s="49" t="e">
        <f t="shared" si="734"/>
        <v>#DIV/0!</v>
      </c>
      <c r="X630" s="59"/>
    </row>
    <row r="631" spans="1:28" s="130" customFormat="1" ht="18" hidden="1" customHeight="1">
      <c r="A631" s="614"/>
      <c r="B631" s="581"/>
      <c r="C631" s="581"/>
      <c r="D631" s="191" t="str">
        <f>серпень!D554</f>
        <v>сума, тис.грн.</v>
      </c>
      <c r="E631" s="52"/>
      <c r="F631" s="52">
        <f>F648+F678</f>
        <v>0</v>
      </c>
      <c r="G631" s="52">
        <f t="shared" ref="G631:K631" si="735">G648+G678</f>
        <v>0</v>
      </c>
      <c r="H631" s="52">
        <f t="shared" si="735"/>
        <v>0</v>
      </c>
      <c r="I631" s="52">
        <f t="shared" si="735"/>
        <v>0</v>
      </c>
      <c r="J631" s="52">
        <f t="shared" si="735"/>
        <v>0</v>
      </c>
      <c r="K631" s="52">
        <f t="shared" si="735"/>
        <v>0</v>
      </c>
      <c r="L631" s="69">
        <f>SUM(F631:K631)</f>
        <v>0</v>
      </c>
      <c r="M631" s="69">
        <f>L631/6</f>
        <v>0</v>
      </c>
      <c r="N631" s="52">
        <f>N648+N678</f>
        <v>0</v>
      </c>
      <c r="O631" s="52">
        <f t="shared" ref="O631:S631" si="736">O648+O678</f>
        <v>0</v>
      </c>
      <c r="P631" s="52">
        <f t="shared" si="736"/>
        <v>0</v>
      </c>
      <c r="Q631" s="52">
        <f t="shared" si="736"/>
        <v>0</v>
      </c>
      <c r="R631" s="52">
        <f t="shared" si="736"/>
        <v>0</v>
      </c>
      <c r="S631" s="52">
        <f t="shared" si="736"/>
        <v>0</v>
      </c>
      <c r="T631" s="69">
        <f>SUM(N631:S631)</f>
        <v>0</v>
      </c>
      <c r="U631" s="69">
        <f>T631+L631</f>
        <v>0</v>
      </c>
      <c r="V631" s="69">
        <v>0</v>
      </c>
      <c r="W631" s="52">
        <f>V631-U631</f>
        <v>0</v>
      </c>
    </row>
    <row r="632" spans="1:28" s="130" customFormat="1" ht="18" hidden="1" customHeight="1">
      <c r="A632" s="614"/>
      <c r="B632" s="581"/>
      <c r="C632" s="581"/>
      <c r="D632" s="174" t="str">
        <f>серпень!D555</f>
        <v>абоненська плата, тис.грн.</v>
      </c>
      <c r="E632" s="52"/>
      <c r="F632" s="52">
        <f>F663+F693</f>
        <v>0</v>
      </c>
      <c r="G632" s="52">
        <f t="shared" ref="G632:K632" si="737">G663+G693</f>
        <v>0</v>
      </c>
      <c r="H632" s="52">
        <f t="shared" si="737"/>
        <v>0</v>
      </c>
      <c r="I632" s="52">
        <f t="shared" si="737"/>
        <v>0</v>
      </c>
      <c r="J632" s="52">
        <f t="shared" si="737"/>
        <v>0</v>
      </c>
      <c r="K632" s="52">
        <f t="shared" si="737"/>
        <v>0</v>
      </c>
      <c r="L632" s="69">
        <f t="shared" ref="L632:L633" si="738">SUM(F632:K632)</f>
        <v>0</v>
      </c>
      <c r="M632" s="69">
        <f t="shared" ref="M632:M633" si="739">L632/6</f>
        <v>0</v>
      </c>
      <c r="N632" s="52">
        <f>N663+N693</f>
        <v>0</v>
      </c>
      <c r="O632" s="52">
        <f t="shared" ref="O632:S632" si="740">O663+O693</f>
        <v>0</v>
      </c>
      <c r="P632" s="52">
        <f t="shared" si="740"/>
        <v>0</v>
      </c>
      <c r="Q632" s="52">
        <f t="shared" si="740"/>
        <v>0</v>
      </c>
      <c r="R632" s="52">
        <f t="shared" si="740"/>
        <v>0</v>
      </c>
      <c r="S632" s="52">
        <f t="shared" si="740"/>
        <v>0</v>
      </c>
      <c r="T632" s="69">
        <f t="shared" ref="T632:T634" si="741">SUM(N632:S632)</f>
        <v>0</v>
      </c>
      <c r="U632" s="69">
        <f t="shared" ref="U632:U634" si="742">T632+L632</f>
        <v>0</v>
      </c>
      <c r="V632" s="69">
        <v>0</v>
      </c>
      <c r="W632" s="52">
        <f t="shared" ref="W632:W634" si="743">V632-U632</f>
        <v>0</v>
      </c>
    </row>
    <row r="633" spans="1:28" s="130" customFormat="1" ht="18" hidden="1" customHeight="1">
      <c r="A633" s="614"/>
      <c r="B633" s="581"/>
      <c r="C633" s="581"/>
      <c r="D633" s="174" t="str">
        <f>серпень!D556</f>
        <v>разом сума тис. грн+абонплата</v>
      </c>
      <c r="E633" s="52"/>
      <c r="F633" s="52">
        <f>F631+F632</f>
        <v>0</v>
      </c>
      <c r="G633" s="52">
        <f t="shared" ref="G633:K633" si="744">G631+G632</f>
        <v>0</v>
      </c>
      <c r="H633" s="52">
        <f t="shared" si="744"/>
        <v>0</v>
      </c>
      <c r="I633" s="52">
        <f t="shared" si="744"/>
        <v>0</v>
      </c>
      <c r="J633" s="52">
        <f t="shared" si="744"/>
        <v>0</v>
      </c>
      <c r="K633" s="52">
        <f t="shared" si="744"/>
        <v>0</v>
      </c>
      <c r="L633" s="69">
        <f t="shared" si="738"/>
        <v>0</v>
      </c>
      <c r="M633" s="69">
        <f t="shared" si="739"/>
        <v>0</v>
      </c>
      <c r="N633" s="52">
        <f>N631+N632</f>
        <v>0</v>
      </c>
      <c r="O633" s="52">
        <f t="shared" ref="O633" si="745">O631+O632</f>
        <v>0</v>
      </c>
      <c r="P633" s="52">
        <f t="shared" ref="P633" si="746">P631+P632</f>
        <v>0</v>
      </c>
      <c r="Q633" s="52">
        <f t="shared" ref="Q633" si="747">Q631+Q632</f>
        <v>0</v>
      </c>
      <c r="R633" s="52">
        <f t="shared" ref="R633" si="748">R631+R632</f>
        <v>0</v>
      </c>
      <c r="S633" s="52">
        <f t="shared" ref="S633" si="749">S631+S632</f>
        <v>0</v>
      </c>
      <c r="T633" s="69">
        <f t="shared" si="741"/>
        <v>0</v>
      </c>
      <c r="U633" s="69">
        <f t="shared" si="742"/>
        <v>0</v>
      </c>
      <c r="V633" s="69">
        <v>0</v>
      </c>
      <c r="W633" s="52">
        <f t="shared" si="743"/>
        <v>0</v>
      </c>
    </row>
    <row r="634" spans="1:28" s="130" customFormat="1" ht="16.899999999999999" hidden="1" customHeight="1">
      <c r="A634" s="614"/>
      <c r="B634" s="581"/>
      <c r="C634" s="581"/>
      <c r="D634" s="174" t="str">
        <f>серпень!D557</f>
        <v>дотація</v>
      </c>
      <c r="E634" s="56"/>
      <c r="F634" s="52">
        <f>F649+F679</f>
        <v>0</v>
      </c>
      <c r="G634" s="52">
        <f t="shared" ref="G634:K634" si="750">G649+G679</f>
        <v>0</v>
      </c>
      <c r="H634" s="52">
        <f t="shared" si="750"/>
        <v>0</v>
      </c>
      <c r="I634" s="52">
        <f t="shared" si="750"/>
        <v>0</v>
      </c>
      <c r="J634" s="52">
        <f t="shared" si="750"/>
        <v>0</v>
      </c>
      <c r="K634" s="52">
        <f t="shared" si="750"/>
        <v>0</v>
      </c>
      <c r="L634" s="69">
        <f>SUM(F634:K634)</f>
        <v>0</v>
      </c>
      <c r="M634" s="69">
        <f>L634/6</f>
        <v>0</v>
      </c>
      <c r="N634" s="52">
        <f>N649+N679</f>
        <v>0</v>
      </c>
      <c r="O634" s="52">
        <f t="shared" ref="O634:S634" si="751">O649+O679</f>
        <v>0</v>
      </c>
      <c r="P634" s="52">
        <f t="shared" si="751"/>
        <v>0</v>
      </c>
      <c r="Q634" s="52">
        <f t="shared" si="751"/>
        <v>0</v>
      </c>
      <c r="R634" s="52">
        <f t="shared" si="751"/>
        <v>0</v>
      </c>
      <c r="S634" s="52">
        <f t="shared" si="751"/>
        <v>0</v>
      </c>
      <c r="T634" s="69">
        <f t="shared" si="741"/>
        <v>0</v>
      </c>
      <c r="U634" s="69">
        <f t="shared" si="742"/>
        <v>0</v>
      </c>
      <c r="V634" s="69">
        <v>0</v>
      </c>
      <c r="W634" s="52">
        <f t="shared" si="743"/>
        <v>0</v>
      </c>
    </row>
    <row r="635" spans="1:28" s="130" customFormat="1" ht="18" hidden="1" customHeight="1">
      <c r="A635" s="614"/>
      <c r="B635" s="581"/>
      <c r="C635" s="581"/>
      <c r="D635" s="174" t="str">
        <f>серпень!D558</f>
        <v>місцевий (план), тис.грн</v>
      </c>
      <c r="E635" s="56"/>
      <c r="F635" s="52">
        <f>F650+F680+F665+F695</f>
        <v>0</v>
      </c>
      <c r="G635" s="52">
        <f t="shared" ref="G635:K635" si="752">G650+G680+G665+G695</f>
        <v>0</v>
      </c>
      <c r="H635" s="52">
        <f t="shared" si="752"/>
        <v>0</v>
      </c>
      <c r="I635" s="52">
        <f t="shared" si="752"/>
        <v>0</v>
      </c>
      <c r="J635" s="52">
        <f t="shared" si="752"/>
        <v>0</v>
      </c>
      <c r="K635" s="52">
        <f t="shared" si="752"/>
        <v>0</v>
      </c>
      <c r="L635" s="69">
        <f>SUM(F635:K635)</f>
        <v>0</v>
      </c>
      <c r="M635" s="69">
        <f>L635/6</f>
        <v>0</v>
      </c>
      <c r="N635" s="52">
        <f>N650+N680+N665+N695</f>
        <v>0</v>
      </c>
      <c r="O635" s="52">
        <f t="shared" ref="O635:S635" si="753">O650+O680+O665+O695</f>
        <v>0</v>
      </c>
      <c r="P635" s="52">
        <f t="shared" si="753"/>
        <v>0</v>
      </c>
      <c r="Q635" s="52">
        <f t="shared" si="753"/>
        <v>0</v>
      </c>
      <c r="R635" s="52">
        <f t="shared" si="753"/>
        <v>0</v>
      </c>
      <c r="S635" s="52">
        <f t="shared" si="753"/>
        <v>0</v>
      </c>
      <c r="T635" s="69">
        <f>SUM(N635:S635)</f>
        <v>0</v>
      </c>
      <c r="U635" s="69">
        <f>T635+L635</f>
        <v>0</v>
      </c>
      <c r="V635" s="69">
        <v>0</v>
      </c>
      <c r="W635" s="52">
        <f>V635-U635</f>
        <v>0</v>
      </c>
    </row>
    <row r="636" spans="1:28" s="48" customFormat="1" ht="18" hidden="1" customHeight="1">
      <c r="A636" s="614"/>
      <c r="B636" s="581"/>
      <c r="C636" s="581"/>
      <c r="D636" s="178" t="str">
        <f>серпень!D559</f>
        <v>касові нат.п-ки 2025</v>
      </c>
      <c r="E636" s="11"/>
      <c r="F636" s="11">
        <f t="shared" ref="F636:K636" si="754">F651+F681</f>
        <v>0</v>
      </c>
      <c r="G636" s="11">
        <f t="shared" si="754"/>
        <v>0</v>
      </c>
      <c r="H636" s="11">
        <f t="shared" si="754"/>
        <v>0</v>
      </c>
      <c r="I636" s="11">
        <f t="shared" si="754"/>
        <v>0</v>
      </c>
      <c r="J636" s="11">
        <f t="shared" si="754"/>
        <v>0</v>
      </c>
      <c r="K636" s="11">
        <f t="shared" si="754"/>
        <v>0</v>
      </c>
      <c r="L636" s="65">
        <f>SUM(F636:K636)</f>
        <v>0</v>
      </c>
      <c r="M636" s="65">
        <f>L636/6</f>
        <v>0</v>
      </c>
      <c r="N636" s="11">
        <f t="shared" ref="N636:S636" si="755">N651+N681</f>
        <v>0</v>
      </c>
      <c r="O636" s="11">
        <f t="shared" si="755"/>
        <v>0</v>
      </c>
      <c r="P636" s="11">
        <f t="shared" si="755"/>
        <v>0</v>
      </c>
      <c r="Q636" s="11">
        <f t="shared" si="755"/>
        <v>0</v>
      </c>
      <c r="R636" s="11">
        <f t="shared" si="755"/>
        <v>0</v>
      </c>
      <c r="S636" s="11">
        <f t="shared" si="755"/>
        <v>0</v>
      </c>
      <c r="T636" s="65">
        <f>SUM(N636:S636)</f>
        <v>0</v>
      </c>
      <c r="U636" s="65">
        <f>T636+L636</f>
        <v>0</v>
      </c>
      <c r="V636" s="38">
        <f>V651+V681</f>
        <v>0</v>
      </c>
      <c r="W636" s="38">
        <f>V636-U636</f>
        <v>0</v>
      </c>
      <c r="X636" s="47">
        <f>U629-U636</f>
        <v>0</v>
      </c>
    </row>
    <row r="637" spans="1:28" s="51" customFormat="1" ht="18" hidden="1" customHeight="1">
      <c r="A637" s="614"/>
      <c r="B637" s="581"/>
      <c r="C637" s="581"/>
      <c r="D637" s="187" t="str">
        <f>серпень!D560</f>
        <v>тариф, грн.</v>
      </c>
      <c r="E637" s="49" t="e">
        <f>E638/E636*1000</f>
        <v>#DIV/0!</v>
      </c>
      <c r="F637" s="49" t="e">
        <f t="shared" ref="F637:W637" si="756">F638/F636*1000</f>
        <v>#DIV/0!</v>
      </c>
      <c r="G637" s="49" t="e">
        <f t="shared" si="756"/>
        <v>#DIV/0!</v>
      </c>
      <c r="H637" s="49" t="e">
        <f t="shared" si="756"/>
        <v>#DIV/0!</v>
      </c>
      <c r="I637" s="49" t="e">
        <f t="shared" si="756"/>
        <v>#DIV/0!</v>
      </c>
      <c r="J637" s="49" t="e">
        <f t="shared" si="756"/>
        <v>#DIV/0!</v>
      </c>
      <c r="K637" s="49" t="e">
        <f t="shared" si="756"/>
        <v>#DIV/0!</v>
      </c>
      <c r="L637" s="49" t="e">
        <f t="shared" si="756"/>
        <v>#DIV/0!</v>
      </c>
      <c r="M637" s="49" t="e">
        <f t="shared" si="756"/>
        <v>#DIV/0!</v>
      </c>
      <c r="N637" s="49" t="e">
        <f t="shared" si="756"/>
        <v>#DIV/0!</v>
      </c>
      <c r="O637" s="49" t="e">
        <f t="shared" si="756"/>
        <v>#DIV/0!</v>
      </c>
      <c r="P637" s="49" t="e">
        <f t="shared" si="756"/>
        <v>#DIV/0!</v>
      </c>
      <c r="Q637" s="49" t="e">
        <f t="shared" si="756"/>
        <v>#DIV/0!</v>
      </c>
      <c r="R637" s="49" t="e">
        <f t="shared" si="756"/>
        <v>#DIV/0!</v>
      </c>
      <c r="S637" s="49" t="e">
        <f t="shared" si="756"/>
        <v>#DIV/0!</v>
      </c>
      <c r="T637" s="49" t="e">
        <f t="shared" si="756"/>
        <v>#DIV/0!</v>
      </c>
      <c r="U637" s="49" t="e">
        <f t="shared" si="756"/>
        <v>#DIV/0!</v>
      </c>
      <c r="V637" s="49" t="e">
        <f t="shared" si="756"/>
        <v>#DIV/0!</v>
      </c>
      <c r="W637" s="49" t="e">
        <f t="shared" si="756"/>
        <v>#DIV/0!</v>
      </c>
      <c r="X637" s="59"/>
    </row>
    <row r="638" spans="1:28" s="126" customFormat="1" ht="18" hidden="1" customHeight="1">
      <c r="A638" s="614"/>
      <c r="B638" s="581"/>
      <c r="C638" s="581"/>
      <c r="D638" s="198" t="str">
        <f>серпень!D561</f>
        <v>касові видатки, тис.грн.</v>
      </c>
      <c r="E638" s="71"/>
      <c r="F638" s="61">
        <f t="shared" ref="F638:K643" si="757">F653+F683</f>
        <v>0</v>
      </c>
      <c r="G638" s="61">
        <f t="shared" si="757"/>
        <v>0</v>
      </c>
      <c r="H638" s="61">
        <f t="shared" si="757"/>
        <v>0</v>
      </c>
      <c r="I638" s="61">
        <f t="shared" si="757"/>
        <v>0</v>
      </c>
      <c r="J638" s="61">
        <f t="shared" si="757"/>
        <v>0</v>
      </c>
      <c r="K638" s="61">
        <f t="shared" si="757"/>
        <v>0</v>
      </c>
      <c r="L638" s="61">
        <f>SUM(F638:K638)</f>
        <v>0</v>
      </c>
      <c r="M638" s="61">
        <f>L638/6</f>
        <v>0</v>
      </c>
      <c r="N638" s="61">
        <f t="shared" ref="N638:S643" si="758">N653+N683</f>
        <v>0</v>
      </c>
      <c r="O638" s="61">
        <f t="shared" si="758"/>
        <v>0</v>
      </c>
      <c r="P638" s="61">
        <f t="shared" si="758"/>
        <v>0</v>
      </c>
      <c r="Q638" s="61">
        <f t="shared" si="758"/>
        <v>0</v>
      </c>
      <c r="R638" s="61">
        <f t="shared" si="758"/>
        <v>0</v>
      </c>
      <c r="S638" s="61">
        <f t="shared" si="758"/>
        <v>0</v>
      </c>
      <c r="T638" s="61">
        <f>SUM(N638:S638)</f>
        <v>0</v>
      </c>
      <c r="U638" s="61">
        <f>T638+L638</f>
        <v>0</v>
      </c>
      <c r="V638" s="61">
        <f>V653+V683</f>
        <v>0</v>
      </c>
      <c r="W638" s="72">
        <f>V638-U638</f>
        <v>0</v>
      </c>
      <c r="X638" s="63">
        <f>U631-U638</f>
        <v>0</v>
      </c>
    </row>
    <row r="639" spans="1:28" s="126" customFormat="1" ht="18" hidden="1" customHeight="1">
      <c r="A639" s="614"/>
      <c r="B639" s="581"/>
      <c r="C639" s="581"/>
      <c r="D639" s="201" t="str">
        <f>серпень!D562</f>
        <v>дотація</v>
      </c>
      <c r="E639" s="71"/>
      <c r="F639" s="61">
        <f t="shared" si="757"/>
        <v>0</v>
      </c>
      <c r="G639" s="61">
        <f t="shared" si="757"/>
        <v>0</v>
      </c>
      <c r="H639" s="61">
        <f t="shared" si="757"/>
        <v>0</v>
      </c>
      <c r="I639" s="61">
        <f t="shared" si="757"/>
        <v>0</v>
      </c>
      <c r="J639" s="61">
        <f t="shared" si="757"/>
        <v>0</v>
      </c>
      <c r="K639" s="61">
        <f t="shared" si="757"/>
        <v>0</v>
      </c>
      <c r="L639" s="61">
        <f>SUM(F639:K639)</f>
        <v>0</v>
      </c>
      <c r="M639" s="61">
        <f>L639/6</f>
        <v>0</v>
      </c>
      <c r="N639" s="61">
        <f t="shared" si="758"/>
        <v>0</v>
      </c>
      <c r="O639" s="61">
        <f t="shared" si="758"/>
        <v>0</v>
      </c>
      <c r="P639" s="61">
        <f t="shared" si="758"/>
        <v>0</v>
      </c>
      <c r="Q639" s="61">
        <f t="shared" si="758"/>
        <v>0</v>
      </c>
      <c r="R639" s="61">
        <f t="shared" si="758"/>
        <v>0</v>
      </c>
      <c r="S639" s="61">
        <f t="shared" si="758"/>
        <v>0</v>
      </c>
      <c r="T639" s="61">
        <f>SUM(N639:S639)</f>
        <v>0</v>
      </c>
      <c r="U639" s="61">
        <f>T639+L639</f>
        <v>0</v>
      </c>
      <c r="V639" s="61">
        <f>V654+V684</f>
        <v>0</v>
      </c>
      <c r="W639" s="72">
        <f>V639-U639</f>
        <v>0</v>
      </c>
      <c r="X639" s="63"/>
    </row>
    <row r="640" spans="1:28" s="126" customFormat="1" ht="18" hidden="1" customHeight="1">
      <c r="A640" s="614"/>
      <c r="B640" s="581"/>
      <c r="C640" s="581"/>
      <c r="D640" s="201" t="str">
        <f>серпень!D563</f>
        <v xml:space="preserve">місцевий </v>
      </c>
      <c r="E640" s="71"/>
      <c r="F640" s="61">
        <f t="shared" si="757"/>
        <v>0</v>
      </c>
      <c r="G640" s="61">
        <f t="shared" si="757"/>
        <v>0</v>
      </c>
      <c r="H640" s="61">
        <f t="shared" si="757"/>
        <v>0</v>
      </c>
      <c r="I640" s="61">
        <f t="shared" si="757"/>
        <v>0</v>
      </c>
      <c r="J640" s="61">
        <f t="shared" si="757"/>
        <v>0</v>
      </c>
      <c r="K640" s="61">
        <f t="shared" si="757"/>
        <v>0</v>
      </c>
      <c r="L640" s="61">
        <f>SUM(F640:K640)</f>
        <v>0</v>
      </c>
      <c r="M640" s="61">
        <f>L640/6</f>
        <v>0</v>
      </c>
      <c r="N640" s="61">
        <f t="shared" si="758"/>
        <v>0</v>
      </c>
      <c r="O640" s="61">
        <f t="shared" si="758"/>
        <v>0</v>
      </c>
      <c r="P640" s="61">
        <f t="shared" si="758"/>
        <v>0</v>
      </c>
      <c r="Q640" s="61">
        <f t="shared" si="758"/>
        <v>0</v>
      </c>
      <c r="R640" s="61">
        <f t="shared" si="758"/>
        <v>0</v>
      </c>
      <c r="S640" s="61">
        <f t="shared" si="758"/>
        <v>0</v>
      </c>
      <c r="T640" s="61">
        <f>SUM(N640:S640)</f>
        <v>0</v>
      </c>
      <c r="U640" s="61">
        <f>T640+L640</f>
        <v>0</v>
      </c>
      <c r="V640" s="61">
        <f>V655+V685</f>
        <v>0</v>
      </c>
      <c r="W640" s="72">
        <f>V640-U640</f>
        <v>0</v>
      </c>
      <c r="X640" s="63">
        <f>U635-U640</f>
        <v>0</v>
      </c>
    </row>
    <row r="641" spans="1:28" s="43" customFormat="1" ht="18" hidden="1" customHeight="1">
      <c r="A641" s="614"/>
      <c r="B641" s="581"/>
      <c r="C641" s="581"/>
      <c r="D641" s="202" t="str">
        <f>серпень!D564</f>
        <v>план</v>
      </c>
      <c r="E641" s="42"/>
      <c r="F641" s="42">
        <f t="shared" si="757"/>
        <v>0</v>
      </c>
      <c r="G641" s="42">
        <f t="shared" si="757"/>
        <v>0</v>
      </c>
      <c r="H641" s="42">
        <f t="shared" si="757"/>
        <v>0</v>
      </c>
      <c r="I641" s="42">
        <f t="shared" si="757"/>
        <v>0</v>
      </c>
      <c r="J641" s="42">
        <f t="shared" si="757"/>
        <v>0</v>
      </c>
      <c r="K641" s="42">
        <f t="shared" si="757"/>
        <v>0</v>
      </c>
      <c r="L641" s="42">
        <f>SUM(F641:K641)</f>
        <v>0</v>
      </c>
      <c r="M641" s="42">
        <f>L641/6</f>
        <v>0</v>
      </c>
      <c r="N641" s="42">
        <f t="shared" si="758"/>
        <v>0</v>
      </c>
      <c r="O641" s="42">
        <f t="shared" si="758"/>
        <v>0</v>
      </c>
      <c r="P641" s="42">
        <f t="shared" si="758"/>
        <v>0</v>
      </c>
      <c r="Q641" s="42">
        <f t="shared" si="758"/>
        <v>0</v>
      </c>
      <c r="R641" s="42">
        <f t="shared" si="758"/>
        <v>0</v>
      </c>
      <c r="S641" s="42">
        <f t="shared" si="758"/>
        <v>0</v>
      </c>
      <c r="T641" s="42">
        <f>SUM(N641:S641)</f>
        <v>0</v>
      </c>
      <c r="U641" s="42">
        <f>T641+L641</f>
        <v>0</v>
      </c>
      <c r="V641" s="42">
        <f>V656+V686</f>
        <v>0</v>
      </c>
      <c r="W641" s="42">
        <f>V641-U641</f>
        <v>0</v>
      </c>
    </row>
    <row r="642" spans="1:28" s="43" customFormat="1" ht="18" hidden="1" customHeight="1">
      <c r="A642" s="614"/>
      <c r="B642" s="581"/>
      <c r="C642" s="581"/>
      <c r="D642" s="202" t="str">
        <f>серпень!D565</f>
        <v xml:space="preserve">відхилення </v>
      </c>
      <c r="E642" s="42"/>
      <c r="F642" s="42">
        <f t="shared" si="757"/>
        <v>0</v>
      </c>
      <c r="G642" s="42">
        <f t="shared" si="757"/>
        <v>0</v>
      </c>
      <c r="H642" s="42">
        <f t="shared" si="757"/>
        <v>0</v>
      </c>
      <c r="I642" s="42">
        <f t="shared" si="757"/>
        <v>0</v>
      </c>
      <c r="J642" s="42">
        <f t="shared" si="757"/>
        <v>0</v>
      </c>
      <c r="K642" s="42">
        <f t="shared" si="757"/>
        <v>0</v>
      </c>
      <c r="L642" s="42"/>
      <c r="M642" s="42"/>
      <c r="N642" s="42">
        <f t="shared" si="758"/>
        <v>0</v>
      </c>
      <c r="O642" s="42">
        <f t="shared" si="758"/>
        <v>0</v>
      </c>
      <c r="P642" s="42">
        <f t="shared" si="758"/>
        <v>0</v>
      </c>
      <c r="Q642" s="42">
        <f t="shared" si="758"/>
        <v>0</v>
      </c>
      <c r="R642" s="42">
        <f t="shared" si="758"/>
        <v>0</v>
      </c>
      <c r="S642" s="42">
        <f t="shared" si="758"/>
        <v>0</v>
      </c>
      <c r="T642" s="42"/>
      <c r="U642" s="42"/>
      <c r="V642" s="42"/>
      <c r="W642" s="42"/>
    </row>
    <row r="643" spans="1:28" s="43" customFormat="1" ht="18" hidden="1" customHeight="1">
      <c r="A643" s="614"/>
      <c r="B643" s="581"/>
      <c r="C643" s="581"/>
      <c r="D643" s="202" t="str">
        <f>серпень!D566</f>
        <v>відхилення з наростаючим</v>
      </c>
      <c r="E643" s="42"/>
      <c r="F643" s="42">
        <f t="shared" si="757"/>
        <v>0</v>
      </c>
      <c r="G643" s="42">
        <f t="shared" si="757"/>
        <v>0</v>
      </c>
      <c r="H643" s="42">
        <f t="shared" si="757"/>
        <v>0</v>
      </c>
      <c r="I643" s="42">
        <f t="shared" si="757"/>
        <v>0</v>
      </c>
      <c r="J643" s="42">
        <f t="shared" si="757"/>
        <v>0</v>
      </c>
      <c r="K643" s="42">
        <f t="shared" si="757"/>
        <v>0</v>
      </c>
      <c r="L643" s="42"/>
      <c r="M643" s="42"/>
      <c r="N643" s="42">
        <f t="shared" si="758"/>
        <v>0</v>
      </c>
      <c r="O643" s="42">
        <f t="shared" si="758"/>
        <v>0</v>
      </c>
      <c r="P643" s="42">
        <f t="shared" si="758"/>
        <v>0</v>
      </c>
      <c r="Q643" s="42">
        <f t="shared" si="758"/>
        <v>0</v>
      </c>
      <c r="R643" s="42">
        <f t="shared" si="758"/>
        <v>0</v>
      </c>
      <c r="S643" s="42">
        <f t="shared" si="758"/>
        <v>0</v>
      </c>
      <c r="T643" s="42"/>
      <c r="U643" s="42"/>
      <c r="V643" s="42"/>
      <c r="W643" s="42"/>
    </row>
    <row r="644" spans="1:28" s="55" customFormat="1" ht="18" hidden="1" customHeight="1">
      <c r="A644" s="614"/>
      <c r="B644" s="581" t="s">
        <v>67</v>
      </c>
      <c r="C644" s="581"/>
      <c r="D644" s="178" t="str">
        <f>серпень!D567</f>
        <v>факт. нат.п-ки 2023</v>
      </c>
      <c r="E644" s="11"/>
      <c r="F644" s="12"/>
      <c r="G644" s="12"/>
      <c r="H644" s="12"/>
      <c r="I644" s="12"/>
      <c r="J644" s="12"/>
      <c r="K644" s="12"/>
      <c r="L644" s="65">
        <f>SUM(F644:K644)</f>
        <v>0</v>
      </c>
      <c r="M644" s="65">
        <f>L644/6</f>
        <v>0</v>
      </c>
      <c r="N644" s="12"/>
      <c r="O644" s="12"/>
      <c r="P644" s="12"/>
      <c r="Q644" s="12"/>
      <c r="R644" s="12"/>
      <c r="S644" s="12"/>
      <c r="T644" s="65">
        <f>SUM(N644:S644)</f>
        <v>0</v>
      </c>
      <c r="U644" s="66">
        <f>T644+L644</f>
        <v>0</v>
      </c>
      <c r="V644" s="67"/>
      <c r="W644" s="38">
        <f>V644-U644</f>
        <v>0</v>
      </c>
      <c r="X644" s="47"/>
      <c r="Y644" s="48"/>
      <c r="Z644" s="48"/>
      <c r="AA644" s="48"/>
      <c r="AB644" s="48"/>
    </row>
    <row r="645" spans="1:28" s="48" customFormat="1" ht="18" hidden="1" customHeight="1">
      <c r="A645" s="614"/>
      <c r="B645" s="581"/>
      <c r="C645" s="581"/>
      <c r="D645" s="178" t="str">
        <f>серпень!D568</f>
        <v>факт. нат.п-ки 2024</v>
      </c>
      <c r="E645" s="11"/>
      <c r="F645" s="12"/>
      <c r="G645" s="12"/>
      <c r="H645" s="12"/>
      <c r="I645" s="12"/>
      <c r="J645" s="12"/>
      <c r="K645" s="12"/>
      <c r="L645" s="65">
        <f>SUM(F645:K645)</f>
        <v>0</v>
      </c>
      <c r="M645" s="65">
        <f>L645/6</f>
        <v>0</v>
      </c>
      <c r="N645" s="11"/>
      <c r="O645" s="11"/>
      <c r="P645" s="11"/>
      <c r="Q645" s="11"/>
      <c r="R645" s="11"/>
      <c r="S645" s="11"/>
      <c r="T645" s="65">
        <f>SUM(N645:S645)</f>
        <v>0</v>
      </c>
      <c r="U645" s="66">
        <f>T645+L645</f>
        <v>0</v>
      </c>
      <c r="V645" s="67"/>
      <c r="W645" s="38">
        <f>V645-U645</f>
        <v>0</v>
      </c>
      <c r="X645" s="47"/>
    </row>
    <row r="646" spans="1:28" s="48" customFormat="1" ht="18" hidden="1" customHeight="1">
      <c r="A646" s="614"/>
      <c r="B646" s="581"/>
      <c r="C646" s="581"/>
      <c r="D646" s="178" t="str">
        <f>серпень!D569</f>
        <v>факт. нат.п-ки 2025</v>
      </c>
      <c r="E646" s="11"/>
      <c r="F646" s="12"/>
      <c r="G646" s="12"/>
      <c r="H646" s="12"/>
      <c r="I646" s="12"/>
      <c r="J646" s="12"/>
      <c r="K646" s="12"/>
      <c r="L646" s="65">
        <f>SUM(F646:K646)</f>
        <v>0</v>
      </c>
      <c r="M646" s="65">
        <f>L646/6</f>
        <v>0</v>
      </c>
      <c r="N646" s="12"/>
      <c r="O646" s="12"/>
      <c r="P646" s="12"/>
      <c r="Q646" s="12"/>
      <c r="R646" s="12"/>
      <c r="S646" s="11"/>
      <c r="T646" s="65">
        <f>SUM(N646:S646)</f>
        <v>0</v>
      </c>
      <c r="U646" s="66">
        <f>T646+L646</f>
        <v>0</v>
      </c>
      <c r="V646" s="11"/>
      <c r="W646" s="38">
        <f>V646-U646</f>
        <v>0</v>
      </c>
      <c r="X646" s="47"/>
    </row>
    <row r="647" spans="1:28" s="51" customFormat="1" ht="18" hidden="1" customHeight="1">
      <c r="A647" s="614"/>
      <c r="B647" s="581"/>
      <c r="C647" s="581"/>
      <c r="D647" s="187" t="str">
        <f>серпень!D570</f>
        <v>тариф, грн.</v>
      </c>
      <c r="E647" s="49"/>
      <c r="F647" s="49">
        <v>127.2</v>
      </c>
      <c r="G647" s="49">
        <v>127.2</v>
      </c>
      <c r="H647" s="49">
        <v>127.2</v>
      </c>
      <c r="I647" s="49">
        <v>127.2</v>
      </c>
      <c r="J647" s="49">
        <v>127.2</v>
      </c>
      <c r="K647" s="49">
        <v>127.2</v>
      </c>
      <c r="L647" s="49" t="e">
        <f>L648/L646*1000</f>
        <v>#DIV/0!</v>
      </c>
      <c r="M647" s="49" t="e">
        <f>M648/M646*1000</f>
        <v>#DIV/0!</v>
      </c>
      <c r="N647" s="49">
        <v>127.2</v>
      </c>
      <c r="O647" s="49">
        <v>127.2</v>
      </c>
      <c r="P647" s="49">
        <v>127.2</v>
      </c>
      <c r="Q647" s="49">
        <v>127.2</v>
      </c>
      <c r="R647" s="49">
        <v>127.2</v>
      </c>
      <c r="S647" s="49">
        <v>127.2</v>
      </c>
      <c r="T647" s="49" t="e">
        <f>T648/T646*1000</f>
        <v>#DIV/0!</v>
      </c>
      <c r="U647" s="49" t="e">
        <f>U648/U646*1000</f>
        <v>#DIV/0!</v>
      </c>
      <c r="V647" s="68" t="e">
        <f>V648/V646*1000</f>
        <v>#DIV/0!</v>
      </c>
      <c r="W647" s="14" t="e">
        <f>W648/W646*1000</f>
        <v>#DIV/0!</v>
      </c>
      <c r="X647" s="59"/>
    </row>
    <row r="648" spans="1:28" s="130" customFormat="1" ht="18" hidden="1" customHeight="1">
      <c r="A648" s="614"/>
      <c r="B648" s="581"/>
      <c r="C648" s="581"/>
      <c r="D648" s="191" t="str">
        <f>серпень!D571</f>
        <v>сума, тис.грн.</v>
      </c>
      <c r="E648" s="52"/>
      <c r="F648" s="52">
        <f t="shared" ref="F648:K648" si="759">F646*F647/1000</f>
        <v>0</v>
      </c>
      <c r="G648" s="52">
        <f t="shared" si="759"/>
        <v>0</v>
      </c>
      <c r="H648" s="52">
        <f t="shared" si="759"/>
        <v>0</v>
      </c>
      <c r="I648" s="52">
        <f t="shared" si="759"/>
        <v>0</v>
      </c>
      <c r="J648" s="52">
        <f t="shared" si="759"/>
        <v>0</v>
      </c>
      <c r="K648" s="52">
        <f t="shared" si="759"/>
        <v>0</v>
      </c>
      <c r="L648" s="69">
        <f>SUM(F648:K648)</f>
        <v>0</v>
      </c>
      <c r="M648" s="69">
        <f>L648/6</f>
        <v>0</v>
      </c>
      <c r="N648" s="52">
        <f t="shared" ref="N648:S648" si="760">N646*N647/1000</f>
        <v>0</v>
      </c>
      <c r="O648" s="52">
        <f t="shared" si="760"/>
        <v>0</v>
      </c>
      <c r="P648" s="52">
        <f t="shared" si="760"/>
        <v>0</v>
      </c>
      <c r="Q648" s="52">
        <f t="shared" si="760"/>
        <v>0</v>
      </c>
      <c r="R648" s="52">
        <f t="shared" si="760"/>
        <v>0</v>
      </c>
      <c r="S648" s="52">
        <f t="shared" si="760"/>
        <v>0</v>
      </c>
      <c r="T648" s="69">
        <f>SUM(N648:S648)</f>
        <v>0</v>
      </c>
      <c r="U648" s="69">
        <f>T648+L648</f>
        <v>0</v>
      </c>
      <c r="V648" s="70">
        <f>V649+V650</f>
        <v>0</v>
      </c>
      <c r="W648" s="53">
        <f>V648-U648</f>
        <v>0</v>
      </c>
    </row>
    <row r="649" spans="1:28" s="130" customFormat="1" ht="18" hidden="1" customHeight="1">
      <c r="A649" s="614"/>
      <c r="B649" s="581"/>
      <c r="C649" s="581"/>
      <c r="D649" s="174" t="str">
        <f>серпень!D572</f>
        <v>дотація</v>
      </c>
      <c r="E649" s="56"/>
      <c r="F649" s="52"/>
      <c r="G649" s="52"/>
      <c r="H649" s="52"/>
      <c r="I649" s="52"/>
      <c r="J649" s="52"/>
      <c r="K649" s="52"/>
      <c r="L649" s="69">
        <f>SUM(F649:K649)</f>
        <v>0</v>
      </c>
      <c r="M649" s="69">
        <f>L649/6</f>
        <v>0</v>
      </c>
      <c r="N649" s="52"/>
      <c r="O649" s="52"/>
      <c r="P649" s="52"/>
      <c r="Q649" s="52"/>
      <c r="R649" s="52"/>
      <c r="S649" s="52"/>
      <c r="T649" s="69">
        <f>SUM(N649:S649)</f>
        <v>0</v>
      </c>
      <c r="U649" s="69">
        <f>T649+L649</f>
        <v>0</v>
      </c>
      <c r="V649" s="70">
        <v>0</v>
      </c>
      <c r="W649" s="53">
        <f>V649-U649</f>
        <v>0</v>
      </c>
    </row>
    <row r="650" spans="1:28" s="130" customFormat="1" ht="18" hidden="1" customHeight="1">
      <c r="A650" s="614"/>
      <c r="B650" s="581"/>
      <c r="C650" s="581"/>
      <c r="D650" s="174" t="str">
        <f>серпень!D573</f>
        <v>місцевий (план), тис.грн</v>
      </c>
      <c r="E650" s="56"/>
      <c r="F650" s="52"/>
      <c r="G650" s="52"/>
      <c r="H650" s="52"/>
      <c r="I650" s="52"/>
      <c r="J650" s="52"/>
      <c r="K650" s="52"/>
      <c r="L650" s="69">
        <f>SUM(F650:K650)</f>
        <v>0</v>
      </c>
      <c r="M650" s="69">
        <f>L650/6</f>
        <v>0</v>
      </c>
      <c r="N650" s="52"/>
      <c r="O650" s="52"/>
      <c r="P650" s="52"/>
      <c r="Q650" s="52"/>
      <c r="R650" s="52"/>
      <c r="S650" s="52"/>
      <c r="T650" s="69">
        <f>SUM(N650:S650)</f>
        <v>0</v>
      </c>
      <c r="U650" s="69">
        <f>T650+L650</f>
        <v>0</v>
      </c>
      <c r="V650" s="70"/>
      <c r="W650" s="53">
        <f>V650-U650</f>
        <v>0</v>
      </c>
    </row>
    <row r="651" spans="1:28" s="48" customFormat="1" ht="18" hidden="1" customHeight="1">
      <c r="A651" s="614"/>
      <c r="B651" s="581"/>
      <c r="C651" s="581"/>
      <c r="D651" s="178" t="str">
        <f>серпень!D574</f>
        <v>касові нат.п-ки 2025</v>
      </c>
      <c r="E651" s="11"/>
      <c r="F651" s="11"/>
      <c r="G651" s="11"/>
      <c r="H651" s="11"/>
      <c r="I651" s="11"/>
      <c r="J651" s="11"/>
      <c r="K651" s="11"/>
      <c r="L651" s="65">
        <f>SUM(F651:K651)</f>
        <v>0</v>
      </c>
      <c r="M651" s="65">
        <f>L651/6</f>
        <v>0</v>
      </c>
      <c r="N651" s="11"/>
      <c r="O651" s="11"/>
      <c r="P651" s="11"/>
      <c r="Q651" s="11"/>
      <c r="R651" s="11"/>
      <c r="S651" s="11"/>
      <c r="T651" s="65">
        <f>SUM(N651:S651)</f>
        <v>0</v>
      </c>
      <c r="U651" s="65">
        <f>T651+L651</f>
        <v>0</v>
      </c>
      <c r="V651" s="11">
        <f>V646</f>
        <v>0</v>
      </c>
      <c r="W651" s="38">
        <f>V651-U651</f>
        <v>0</v>
      </c>
      <c r="X651" s="47">
        <f>U646-U651</f>
        <v>0</v>
      </c>
    </row>
    <row r="652" spans="1:28" s="51" customFormat="1" ht="18" hidden="1" customHeight="1">
      <c r="A652" s="614"/>
      <c r="B652" s="581"/>
      <c r="C652" s="581"/>
      <c r="D652" s="187" t="str">
        <f>серпень!D575</f>
        <v>тариф, грн.</v>
      </c>
      <c r="E652" s="49" t="e">
        <f>E653/E651*1000</f>
        <v>#DIV/0!</v>
      </c>
      <c r="F652" s="49">
        <v>127.2</v>
      </c>
      <c r="G652" s="49">
        <v>127.2</v>
      </c>
      <c r="H652" s="49">
        <v>127.2</v>
      </c>
      <c r="I652" s="49">
        <v>127.2</v>
      </c>
      <c r="J652" s="49">
        <v>127.2</v>
      </c>
      <c r="K652" s="49">
        <v>127.2</v>
      </c>
      <c r="L652" s="49" t="e">
        <f>L653/L651*1000</f>
        <v>#DIV/0!</v>
      </c>
      <c r="M652" s="49" t="e">
        <f>M653/M651*1000</f>
        <v>#DIV/0!</v>
      </c>
      <c r="N652" s="49">
        <v>127.2</v>
      </c>
      <c r="O652" s="49">
        <v>127.2</v>
      </c>
      <c r="P652" s="49">
        <v>127.2</v>
      </c>
      <c r="Q652" s="49">
        <v>127.2</v>
      </c>
      <c r="R652" s="49">
        <v>127.2</v>
      </c>
      <c r="S652" s="49">
        <v>127.2</v>
      </c>
      <c r="T652" s="49" t="e">
        <f>T653/T651*1000</f>
        <v>#DIV/0!</v>
      </c>
      <c r="U652" s="49" t="e">
        <f>U653/U651*1000</f>
        <v>#DIV/0!</v>
      </c>
      <c r="V652" s="68" t="e">
        <f>V653/V651*1000</f>
        <v>#DIV/0!</v>
      </c>
      <c r="W652" s="14" t="e">
        <f>W653/W651*1000</f>
        <v>#DIV/0!</v>
      </c>
      <c r="X652" s="59"/>
    </row>
    <row r="653" spans="1:28" s="126" customFormat="1" ht="18" hidden="1" customHeight="1">
      <c r="A653" s="614"/>
      <c r="B653" s="581"/>
      <c r="C653" s="581"/>
      <c r="D653" s="198" t="str">
        <f>серпень!D576</f>
        <v>касові видатки, тис.грн.</v>
      </c>
      <c r="E653" s="71"/>
      <c r="F653" s="61">
        <f t="shared" ref="F653:K653" si="761">F651*F652/1000</f>
        <v>0</v>
      </c>
      <c r="G653" s="61">
        <f t="shared" si="761"/>
        <v>0</v>
      </c>
      <c r="H653" s="61">
        <f t="shared" si="761"/>
        <v>0</v>
      </c>
      <c r="I653" s="61">
        <f t="shared" si="761"/>
        <v>0</v>
      </c>
      <c r="J653" s="61">
        <f t="shared" si="761"/>
        <v>0</v>
      </c>
      <c r="K653" s="61">
        <f t="shared" si="761"/>
        <v>0</v>
      </c>
      <c r="L653" s="61">
        <f>SUM(F653:K653)</f>
        <v>0</v>
      </c>
      <c r="M653" s="61">
        <f>L653/6</f>
        <v>0</v>
      </c>
      <c r="N653" s="61">
        <f t="shared" ref="N653:S653" si="762">N651*N652/1000</f>
        <v>0</v>
      </c>
      <c r="O653" s="61">
        <f t="shared" si="762"/>
        <v>0</v>
      </c>
      <c r="P653" s="61">
        <f t="shared" si="762"/>
        <v>0</v>
      </c>
      <c r="Q653" s="61">
        <f t="shared" si="762"/>
        <v>0</v>
      </c>
      <c r="R653" s="61">
        <f t="shared" si="762"/>
        <v>0</v>
      </c>
      <c r="S653" s="61">
        <f t="shared" si="762"/>
        <v>0</v>
      </c>
      <c r="T653" s="61">
        <f>SUM(N653:S653)</f>
        <v>0</v>
      </c>
      <c r="U653" s="61">
        <f>T653+L653</f>
        <v>0</v>
      </c>
      <c r="V653" s="61">
        <f>V648</f>
        <v>0</v>
      </c>
      <c r="W653" s="72">
        <f>V653-U653</f>
        <v>0</v>
      </c>
      <c r="X653" s="63">
        <f>U648-U653</f>
        <v>0</v>
      </c>
    </row>
    <row r="654" spans="1:28" s="126" customFormat="1" ht="18" hidden="1" customHeight="1">
      <c r="A654" s="614"/>
      <c r="B654" s="581"/>
      <c r="C654" s="581"/>
      <c r="D654" s="201" t="str">
        <f>серпень!D577</f>
        <v>дотація</v>
      </c>
      <c r="E654" s="71"/>
      <c r="F654" s="61"/>
      <c r="G654" s="61"/>
      <c r="H654" s="61"/>
      <c r="I654" s="61"/>
      <c r="J654" s="61"/>
      <c r="K654" s="61"/>
      <c r="L654" s="61">
        <f>SUM(F654:K654)</f>
        <v>0</v>
      </c>
      <c r="M654" s="61">
        <f>L654/6</f>
        <v>0</v>
      </c>
      <c r="N654" s="61"/>
      <c r="O654" s="61"/>
      <c r="P654" s="61"/>
      <c r="Q654" s="61"/>
      <c r="R654" s="61"/>
      <c r="S654" s="61"/>
      <c r="T654" s="61">
        <f>SUM(N654:S654)</f>
        <v>0</v>
      </c>
      <c r="U654" s="61">
        <f>T654+L654</f>
        <v>0</v>
      </c>
      <c r="V654" s="61">
        <f>V649</f>
        <v>0</v>
      </c>
      <c r="W654" s="72">
        <f>V654-U654</f>
        <v>0</v>
      </c>
      <c r="X654" s="63"/>
    </row>
    <row r="655" spans="1:28" s="126" customFormat="1" ht="18" hidden="1" customHeight="1">
      <c r="A655" s="614"/>
      <c r="B655" s="581"/>
      <c r="C655" s="581"/>
      <c r="D655" s="201" t="str">
        <f>серпень!D578</f>
        <v xml:space="preserve">місцевий </v>
      </c>
      <c r="E655" s="71"/>
      <c r="F655" s="61">
        <f t="shared" ref="F655:K655" si="763">F653-F654</f>
        <v>0</v>
      </c>
      <c r="G655" s="61">
        <f t="shared" si="763"/>
        <v>0</v>
      </c>
      <c r="H655" s="61">
        <f t="shared" si="763"/>
        <v>0</v>
      </c>
      <c r="I655" s="61">
        <f t="shared" si="763"/>
        <v>0</v>
      </c>
      <c r="J655" s="61">
        <f t="shared" si="763"/>
        <v>0</v>
      </c>
      <c r="K655" s="61">
        <f t="shared" si="763"/>
        <v>0</v>
      </c>
      <c r="L655" s="61">
        <f>SUM(F655:K655)</f>
        <v>0</v>
      </c>
      <c r="M655" s="61">
        <f>L655/6</f>
        <v>0</v>
      </c>
      <c r="N655" s="61">
        <f t="shared" ref="N655:S655" si="764">N653-N654</f>
        <v>0</v>
      </c>
      <c r="O655" s="61">
        <f t="shared" si="764"/>
        <v>0</v>
      </c>
      <c r="P655" s="61">
        <f t="shared" si="764"/>
        <v>0</v>
      </c>
      <c r="Q655" s="61">
        <f t="shared" si="764"/>
        <v>0</v>
      </c>
      <c r="R655" s="61">
        <f t="shared" si="764"/>
        <v>0</v>
      </c>
      <c r="S655" s="61">
        <f t="shared" si="764"/>
        <v>0</v>
      </c>
      <c r="T655" s="61">
        <f>SUM(N655:S655)</f>
        <v>0</v>
      </c>
      <c r="U655" s="61">
        <f>T655+L655</f>
        <v>0</v>
      </c>
      <c r="V655" s="61">
        <f>V650</f>
        <v>0</v>
      </c>
      <c r="W655" s="72">
        <f>V655-U655</f>
        <v>0</v>
      </c>
      <c r="X655" s="63">
        <f>U650-U655</f>
        <v>0</v>
      </c>
    </row>
    <row r="656" spans="1:28" s="43" customFormat="1" ht="18" hidden="1" customHeight="1">
      <c r="A656" s="614"/>
      <c r="B656" s="581"/>
      <c r="C656" s="581"/>
      <c r="D656" s="202" t="str">
        <f>серпень!D579</f>
        <v>план</v>
      </c>
      <c r="E656" s="42"/>
      <c r="F656" s="42">
        <f t="shared" ref="F656:K656" si="765">F650</f>
        <v>0</v>
      </c>
      <c r="G656" s="42">
        <f t="shared" si="765"/>
        <v>0</v>
      </c>
      <c r="H656" s="42">
        <f t="shared" si="765"/>
        <v>0</v>
      </c>
      <c r="I656" s="42">
        <f t="shared" si="765"/>
        <v>0</v>
      </c>
      <c r="J656" s="42">
        <f t="shared" si="765"/>
        <v>0</v>
      </c>
      <c r="K656" s="42">
        <f t="shared" si="765"/>
        <v>0</v>
      </c>
      <c r="L656" s="42">
        <f>SUM(F656:K656)</f>
        <v>0</v>
      </c>
      <c r="M656" s="42">
        <f>L656/6</f>
        <v>0</v>
      </c>
      <c r="N656" s="42">
        <f t="shared" ref="N656:S656" si="766">N650+N649</f>
        <v>0</v>
      </c>
      <c r="O656" s="42">
        <f t="shared" si="766"/>
        <v>0</v>
      </c>
      <c r="P656" s="42">
        <f t="shared" si="766"/>
        <v>0</v>
      </c>
      <c r="Q656" s="42">
        <f t="shared" si="766"/>
        <v>0</v>
      </c>
      <c r="R656" s="42">
        <f t="shared" si="766"/>
        <v>0</v>
      </c>
      <c r="S656" s="42">
        <f t="shared" si="766"/>
        <v>0</v>
      </c>
      <c r="T656" s="42">
        <f>SUM(N656:S656)</f>
        <v>0</v>
      </c>
      <c r="U656" s="42">
        <f>T656+L656</f>
        <v>0</v>
      </c>
      <c r="V656" s="42">
        <f>V653</f>
        <v>0</v>
      </c>
      <c r="W656" s="42">
        <f>V656-U656</f>
        <v>0</v>
      </c>
    </row>
    <row r="657" spans="1:28" s="43" customFormat="1" ht="18" hidden="1" customHeight="1">
      <c r="A657" s="614"/>
      <c r="B657" s="581"/>
      <c r="C657" s="581"/>
      <c r="D657" s="202" t="str">
        <f>серпень!D580</f>
        <v xml:space="preserve">відхилення </v>
      </c>
      <c r="E657" s="42"/>
      <c r="F657" s="42">
        <f t="shared" ref="F657:K657" si="767">F653-F656</f>
        <v>0</v>
      </c>
      <c r="G657" s="42">
        <f t="shared" si="767"/>
        <v>0</v>
      </c>
      <c r="H657" s="42">
        <f t="shared" si="767"/>
        <v>0</v>
      </c>
      <c r="I657" s="42">
        <f t="shared" si="767"/>
        <v>0</v>
      </c>
      <c r="J657" s="42">
        <f t="shared" si="767"/>
        <v>0</v>
      </c>
      <c r="K657" s="42">
        <f t="shared" si="767"/>
        <v>0</v>
      </c>
      <c r="L657" s="42"/>
      <c r="M657" s="42"/>
      <c r="N657" s="42">
        <f t="shared" ref="N657:S657" si="768">N653-N656</f>
        <v>0</v>
      </c>
      <c r="O657" s="42">
        <f t="shared" si="768"/>
        <v>0</v>
      </c>
      <c r="P657" s="42">
        <f t="shared" si="768"/>
        <v>0</v>
      </c>
      <c r="Q657" s="42">
        <f t="shared" si="768"/>
        <v>0</v>
      </c>
      <c r="R657" s="42">
        <f t="shared" si="768"/>
        <v>0</v>
      </c>
      <c r="S657" s="42">
        <f t="shared" si="768"/>
        <v>0</v>
      </c>
      <c r="T657" s="42"/>
      <c r="U657" s="42"/>
      <c r="V657" s="42"/>
      <c r="W657" s="42"/>
    </row>
    <row r="658" spans="1:28" s="43" customFormat="1" ht="18" hidden="1" customHeight="1">
      <c r="A658" s="614"/>
      <c r="B658" s="581"/>
      <c r="C658" s="581"/>
      <c r="D658" s="202" t="str">
        <f>серпень!D581</f>
        <v>відхилення з наростаючим</v>
      </c>
      <c r="E658" s="42"/>
      <c r="F658" s="42">
        <f>F657</f>
        <v>0</v>
      </c>
      <c r="G658" s="42">
        <f>G657+F658</f>
        <v>0</v>
      </c>
      <c r="H658" s="42">
        <f>H657+G658</f>
        <v>0</v>
      </c>
      <c r="I658" s="42">
        <f>I657+H658</f>
        <v>0</v>
      </c>
      <c r="J658" s="42">
        <f>J657+I658</f>
        <v>0</v>
      </c>
      <c r="K658" s="42">
        <f>K657+J658</f>
        <v>0</v>
      </c>
      <c r="L658" s="42"/>
      <c r="M658" s="42"/>
      <c r="N658" s="42">
        <f>N657+K658</f>
        <v>0</v>
      </c>
      <c r="O658" s="42">
        <f>O657+N658</f>
        <v>0</v>
      </c>
      <c r="P658" s="42">
        <f>P657+O658</f>
        <v>0</v>
      </c>
      <c r="Q658" s="42">
        <f>Q657+P658</f>
        <v>0</v>
      </c>
      <c r="R658" s="42">
        <f>R657+Q658</f>
        <v>0</v>
      </c>
      <c r="S658" s="42">
        <f>S657+R658</f>
        <v>0</v>
      </c>
      <c r="T658" s="42"/>
      <c r="U658" s="42"/>
      <c r="V658" s="42"/>
      <c r="W658" s="42"/>
    </row>
    <row r="659" spans="1:28" s="55" customFormat="1" ht="18" hidden="1" customHeight="1">
      <c r="A659" s="614"/>
      <c r="B659" s="654" t="s">
        <v>140</v>
      </c>
      <c r="C659" s="581"/>
      <c r="D659" s="178" t="str">
        <f>серпень!D582</f>
        <v>факт. нат.п-ки 2023</v>
      </c>
      <c r="E659" s="11"/>
      <c r="F659" s="12"/>
      <c r="G659" s="12"/>
      <c r="H659" s="12"/>
      <c r="I659" s="12"/>
      <c r="J659" s="12"/>
      <c r="K659" s="12"/>
      <c r="L659" s="65">
        <f>SUM(F659:K659)</f>
        <v>0</v>
      </c>
      <c r="M659" s="65">
        <f>L659/6</f>
        <v>0</v>
      </c>
      <c r="N659" s="12"/>
      <c r="O659" s="12"/>
      <c r="P659" s="12"/>
      <c r="Q659" s="12"/>
      <c r="R659" s="12"/>
      <c r="S659" s="12"/>
      <c r="T659" s="65">
        <f>SUM(N659:S659)</f>
        <v>0</v>
      </c>
      <c r="U659" s="66">
        <f>T659+L659</f>
        <v>0</v>
      </c>
      <c r="V659" s="67"/>
      <c r="W659" s="38">
        <f>V659-U659</f>
        <v>0</v>
      </c>
      <c r="X659" s="47"/>
      <c r="Y659" s="48"/>
      <c r="Z659" s="48"/>
      <c r="AA659" s="48"/>
      <c r="AB659" s="48"/>
    </row>
    <row r="660" spans="1:28" s="48" customFormat="1" ht="18" hidden="1" customHeight="1">
      <c r="A660" s="614"/>
      <c r="B660" s="581"/>
      <c r="C660" s="581"/>
      <c r="D660" s="178" t="str">
        <f>серпень!D583</f>
        <v>факт. нат.п-ки 2024</v>
      </c>
      <c r="E660" s="11"/>
      <c r="F660" s="12"/>
      <c r="G660" s="12"/>
      <c r="H660" s="12"/>
      <c r="I660" s="12"/>
      <c r="J660" s="12"/>
      <c r="K660" s="12"/>
      <c r="L660" s="65">
        <f>SUM(F660:K660)</f>
        <v>0</v>
      </c>
      <c r="M660" s="65">
        <f>L660/6</f>
        <v>0</v>
      </c>
      <c r="N660" s="11"/>
      <c r="O660" s="11"/>
      <c r="P660" s="11"/>
      <c r="Q660" s="11"/>
      <c r="R660" s="11"/>
      <c r="S660" s="11"/>
      <c r="T660" s="65">
        <f>SUM(N660:S660)</f>
        <v>0</v>
      </c>
      <c r="U660" s="66">
        <f>T660+L660</f>
        <v>0</v>
      </c>
      <c r="V660" s="67"/>
      <c r="W660" s="38">
        <f>V660-U660</f>
        <v>0</v>
      </c>
      <c r="X660" s="47"/>
    </row>
    <row r="661" spans="1:28" s="48" customFormat="1" ht="18" hidden="1" customHeight="1">
      <c r="A661" s="614"/>
      <c r="B661" s="581"/>
      <c r="C661" s="581"/>
      <c r="D661" s="178" t="str">
        <f>серпень!D584</f>
        <v>факт. нат.п-ки 2025</v>
      </c>
      <c r="E661" s="11"/>
      <c r="F661" s="12"/>
      <c r="G661" s="12"/>
      <c r="H661" s="12"/>
      <c r="I661" s="12"/>
      <c r="J661" s="12"/>
      <c r="K661" s="12"/>
      <c r="L661" s="65">
        <f>SUM(F661:K661)</f>
        <v>0</v>
      </c>
      <c r="M661" s="65">
        <f>L661/6</f>
        <v>0</v>
      </c>
      <c r="N661" s="12"/>
      <c r="O661" s="12"/>
      <c r="P661" s="12"/>
      <c r="Q661" s="12"/>
      <c r="R661" s="12"/>
      <c r="S661" s="11"/>
      <c r="T661" s="65">
        <f>SUM(N661:S661)</f>
        <v>0</v>
      </c>
      <c r="U661" s="66">
        <f>T661+L661</f>
        <v>0</v>
      </c>
      <c r="V661" s="11"/>
      <c r="W661" s="38">
        <f>V661-U661</f>
        <v>0</v>
      </c>
      <c r="X661" s="47"/>
    </row>
    <row r="662" spans="1:28" s="51" customFormat="1" ht="18" hidden="1" customHeight="1">
      <c r="A662" s="614"/>
      <c r="B662" s="581"/>
      <c r="C662" s="581"/>
      <c r="D662" s="187" t="str">
        <f>серпень!D585</f>
        <v>тариф, грн.</v>
      </c>
      <c r="E662" s="49"/>
      <c r="F662" s="49">
        <v>127.2</v>
      </c>
      <c r="G662" s="49">
        <v>127.2</v>
      </c>
      <c r="H662" s="49">
        <v>127.2</v>
      </c>
      <c r="I662" s="49">
        <v>127.2</v>
      </c>
      <c r="J662" s="49">
        <v>127.2</v>
      </c>
      <c r="K662" s="49">
        <v>127.2</v>
      </c>
      <c r="L662" s="49" t="e">
        <f>L663/L661*1000</f>
        <v>#DIV/0!</v>
      </c>
      <c r="M662" s="49" t="e">
        <f>M663/M661*1000</f>
        <v>#DIV/0!</v>
      </c>
      <c r="N662" s="49">
        <v>127.2</v>
      </c>
      <c r="O662" s="49">
        <v>127.2</v>
      </c>
      <c r="P662" s="49">
        <v>127.2</v>
      </c>
      <c r="Q662" s="49">
        <v>127.2</v>
      </c>
      <c r="R662" s="49">
        <v>127.2</v>
      </c>
      <c r="S662" s="49">
        <v>127.2</v>
      </c>
      <c r="T662" s="49" t="e">
        <f>T663/T661*1000</f>
        <v>#DIV/0!</v>
      </c>
      <c r="U662" s="49" t="e">
        <f>U663/U661*1000</f>
        <v>#DIV/0!</v>
      </c>
      <c r="V662" s="68" t="e">
        <f>V663/V661*1000</f>
        <v>#DIV/0!</v>
      </c>
      <c r="W662" s="14" t="e">
        <f>W663/W661*1000</f>
        <v>#DIV/0!</v>
      </c>
      <c r="X662" s="59"/>
    </row>
    <row r="663" spans="1:28" s="130" customFormat="1" ht="18" hidden="1" customHeight="1">
      <c r="A663" s="614"/>
      <c r="B663" s="581"/>
      <c r="C663" s="581"/>
      <c r="D663" s="191" t="str">
        <f>серпень!D586</f>
        <v>сума, тис.грн.</v>
      </c>
      <c r="E663" s="52"/>
      <c r="F663" s="52">
        <f t="shared" ref="F663:K663" si="769">F661*F662/1000</f>
        <v>0</v>
      </c>
      <c r="G663" s="52">
        <f t="shared" si="769"/>
        <v>0</v>
      </c>
      <c r="H663" s="52">
        <f t="shared" si="769"/>
        <v>0</v>
      </c>
      <c r="I663" s="52">
        <f t="shared" si="769"/>
        <v>0</v>
      </c>
      <c r="J663" s="52">
        <f t="shared" si="769"/>
        <v>0</v>
      </c>
      <c r="K663" s="52">
        <f t="shared" si="769"/>
        <v>0</v>
      </c>
      <c r="L663" s="69">
        <f>SUM(F663:K663)</f>
        <v>0</v>
      </c>
      <c r="M663" s="69">
        <f>L663/6</f>
        <v>0</v>
      </c>
      <c r="N663" s="52">
        <f t="shared" ref="N663:S663" si="770">N661*N662/1000</f>
        <v>0</v>
      </c>
      <c r="O663" s="52">
        <f t="shared" si="770"/>
        <v>0</v>
      </c>
      <c r="P663" s="52">
        <f t="shared" si="770"/>
        <v>0</v>
      </c>
      <c r="Q663" s="52">
        <f t="shared" si="770"/>
        <v>0</v>
      </c>
      <c r="R663" s="52">
        <f t="shared" si="770"/>
        <v>0</v>
      </c>
      <c r="S663" s="52">
        <f t="shared" si="770"/>
        <v>0</v>
      </c>
      <c r="T663" s="69">
        <f>SUM(N663:S663)</f>
        <v>0</v>
      </c>
      <c r="U663" s="69">
        <f>T663+L663</f>
        <v>0</v>
      </c>
      <c r="V663" s="70">
        <f>V664+V665</f>
        <v>0</v>
      </c>
      <c r="W663" s="53">
        <f>V663-U663</f>
        <v>0</v>
      </c>
    </row>
    <row r="664" spans="1:28" s="130" customFormat="1" ht="18" hidden="1" customHeight="1">
      <c r="A664" s="614"/>
      <c r="B664" s="581"/>
      <c r="C664" s="581"/>
      <c r="D664" s="174" t="str">
        <f>серпень!D587</f>
        <v>дотація</v>
      </c>
      <c r="E664" s="56"/>
      <c r="F664" s="52"/>
      <c r="G664" s="52"/>
      <c r="H664" s="52"/>
      <c r="I664" s="52"/>
      <c r="J664" s="52"/>
      <c r="K664" s="52"/>
      <c r="L664" s="69">
        <f>SUM(F664:K664)</f>
        <v>0</v>
      </c>
      <c r="M664" s="69">
        <f>L664/6</f>
        <v>0</v>
      </c>
      <c r="N664" s="52"/>
      <c r="O664" s="52"/>
      <c r="P664" s="52"/>
      <c r="Q664" s="52"/>
      <c r="R664" s="52"/>
      <c r="S664" s="52"/>
      <c r="T664" s="69">
        <f>SUM(N664:S664)</f>
        <v>0</v>
      </c>
      <c r="U664" s="69">
        <f>T664+L664</f>
        <v>0</v>
      </c>
      <c r="V664" s="70">
        <v>0</v>
      </c>
      <c r="W664" s="53">
        <f>V664-U664</f>
        <v>0</v>
      </c>
    </row>
    <row r="665" spans="1:28" s="130" customFormat="1" ht="18" hidden="1" customHeight="1">
      <c r="A665" s="614"/>
      <c r="B665" s="581"/>
      <c r="C665" s="581"/>
      <c r="D665" s="174" t="str">
        <f>серпень!D588</f>
        <v>місцевий (план), тис.грн</v>
      </c>
      <c r="E665" s="56"/>
      <c r="F665" s="52"/>
      <c r="G665" s="52"/>
      <c r="H665" s="52"/>
      <c r="I665" s="52"/>
      <c r="J665" s="52"/>
      <c r="K665" s="52"/>
      <c r="L665" s="69">
        <f>SUM(F665:K665)</f>
        <v>0</v>
      </c>
      <c r="M665" s="69">
        <f>L665/6</f>
        <v>0</v>
      </c>
      <c r="N665" s="52"/>
      <c r="O665" s="52"/>
      <c r="P665" s="52"/>
      <c r="Q665" s="52"/>
      <c r="R665" s="52"/>
      <c r="S665" s="52"/>
      <c r="T665" s="69">
        <f>SUM(N665:S665)</f>
        <v>0</v>
      </c>
      <c r="U665" s="69">
        <f>T665+L665</f>
        <v>0</v>
      </c>
      <c r="V665" s="70"/>
      <c r="W665" s="53">
        <f>V665-U665</f>
        <v>0</v>
      </c>
    </row>
    <row r="666" spans="1:28" s="48" customFormat="1" ht="18" hidden="1" customHeight="1">
      <c r="A666" s="614"/>
      <c r="B666" s="581"/>
      <c r="C666" s="581"/>
      <c r="D666" s="178" t="str">
        <f>серпень!D589</f>
        <v>касові нат.п-ки 2025</v>
      </c>
      <c r="E666" s="11"/>
      <c r="F666" s="11"/>
      <c r="G666" s="11"/>
      <c r="H666" s="11"/>
      <c r="I666" s="11"/>
      <c r="J666" s="11"/>
      <c r="K666" s="11"/>
      <c r="L666" s="65">
        <f>SUM(F666:K666)</f>
        <v>0</v>
      </c>
      <c r="M666" s="65">
        <f>L666/6</f>
        <v>0</v>
      </c>
      <c r="N666" s="11"/>
      <c r="O666" s="11"/>
      <c r="P666" s="11"/>
      <c r="Q666" s="11"/>
      <c r="R666" s="11"/>
      <c r="S666" s="11"/>
      <c r="T666" s="65">
        <f>SUM(N666:S666)</f>
        <v>0</v>
      </c>
      <c r="U666" s="65">
        <f>T666+L666</f>
        <v>0</v>
      </c>
      <c r="V666" s="11">
        <f>V661</f>
        <v>0</v>
      </c>
      <c r="W666" s="38">
        <f>V666-U666</f>
        <v>0</v>
      </c>
      <c r="X666" s="47">
        <f>U661-U666</f>
        <v>0</v>
      </c>
    </row>
    <row r="667" spans="1:28" s="51" customFormat="1" ht="18" hidden="1" customHeight="1">
      <c r="A667" s="614"/>
      <c r="B667" s="581"/>
      <c r="C667" s="581"/>
      <c r="D667" s="187" t="str">
        <f>серпень!D590</f>
        <v>тариф, грн.</v>
      </c>
      <c r="E667" s="49" t="e">
        <f>E668/E666*1000</f>
        <v>#DIV/0!</v>
      </c>
      <c r="F667" s="49">
        <v>127.2</v>
      </c>
      <c r="G667" s="49">
        <v>127.2</v>
      </c>
      <c r="H667" s="49">
        <v>127.2</v>
      </c>
      <c r="I667" s="49">
        <v>127.2</v>
      </c>
      <c r="J667" s="49">
        <v>127.2</v>
      </c>
      <c r="K667" s="49">
        <v>127.2</v>
      </c>
      <c r="L667" s="49" t="e">
        <f>L668/L666*1000</f>
        <v>#DIV/0!</v>
      </c>
      <c r="M667" s="49" t="e">
        <f>M668/M666*1000</f>
        <v>#DIV/0!</v>
      </c>
      <c r="N667" s="49">
        <v>127.2</v>
      </c>
      <c r="O667" s="49">
        <v>127.2</v>
      </c>
      <c r="P667" s="49">
        <v>127.2</v>
      </c>
      <c r="Q667" s="49">
        <v>127.2</v>
      </c>
      <c r="R667" s="49">
        <v>127.2</v>
      </c>
      <c r="S667" s="49">
        <v>127.2</v>
      </c>
      <c r="T667" s="49" t="e">
        <f>T668/T666*1000</f>
        <v>#DIV/0!</v>
      </c>
      <c r="U667" s="49" t="e">
        <f>U668/U666*1000</f>
        <v>#DIV/0!</v>
      </c>
      <c r="V667" s="68" t="e">
        <f>V668/V666*1000</f>
        <v>#DIV/0!</v>
      </c>
      <c r="W667" s="14" t="e">
        <f>W668/W666*1000</f>
        <v>#DIV/0!</v>
      </c>
      <c r="X667" s="59"/>
    </row>
    <row r="668" spans="1:28" s="126" customFormat="1" ht="18" hidden="1" customHeight="1">
      <c r="A668" s="614"/>
      <c r="B668" s="581"/>
      <c r="C668" s="581"/>
      <c r="D668" s="198" t="str">
        <f>серпень!D591</f>
        <v>касові видатки, тис.грн.</v>
      </c>
      <c r="E668" s="71"/>
      <c r="F668" s="61">
        <f t="shared" ref="F668:K668" si="771">F666*F667/1000</f>
        <v>0</v>
      </c>
      <c r="G668" s="61">
        <f t="shared" si="771"/>
        <v>0</v>
      </c>
      <c r="H668" s="61">
        <f t="shared" si="771"/>
        <v>0</v>
      </c>
      <c r="I668" s="61">
        <f t="shared" si="771"/>
        <v>0</v>
      </c>
      <c r="J668" s="61">
        <f t="shared" si="771"/>
        <v>0</v>
      </c>
      <c r="K668" s="61">
        <f t="shared" si="771"/>
        <v>0</v>
      </c>
      <c r="L668" s="61">
        <f>SUM(F668:K668)</f>
        <v>0</v>
      </c>
      <c r="M668" s="61">
        <f>L668/6</f>
        <v>0</v>
      </c>
      <c r="N668" s="61">
        <f t="shared" ref="N668:S668" si="772">N666*N667/1000</f>
        <v>0</v>
      </c>
      <c r="O668" s="61">
        <f t="shared" si="772"/>
        <v>0</v>
      </c>
      <c r="P668" s="61">
        <f t="shared" si="772"/>
        <v>0</v>
      </c>
      <c r="Q668" s="61">
        <f t="shared" si="772"/>
        <v>0</v>
      </c>
      <c r="R668" s="61">
        <f t="shared" si="772"/>
        <v>0</v>
      </c>
      <c r="S668" s="61">
        <f t="shared" si="772"/>
        <v>0</v>
      </c>
      <c r="T668" s="61">
        <f>SUM(N668:S668)</f>
        <v>0</v>
      </c>
      <c r="U668" s="61">
        <f>T668+L668</f>
        <v>0</v>
      </c>
      <c r="V668" s="61">
        <f>V663</f>
        <v>0</v>
      </c>
      <c r="W668" s="72">
        <f>V668-U668</f>
        <v>0</v>
      </c>
      <c r="X668" s="63">
        <f>U663-U668</f>
        <v>0</v>
      </c>
    </row>
    <row r="669" spans="1:28" s="126" customFormat="1" ht="18" hidden="1" customHeight="1">
      <c r="A669" s="614"/>
      <c r="B669" s="581"/>
      <c r="C669" s="581"/>
      <c r="D669" s="201" t="str">
        <f>серпень!D592</f>
        <v>дотація</v>
      </c>
      <c r="E669" s="71"/>
      <c r="F669" s="61"/>
      <c r="G669" s="61"/>
      <c r="H669" s="61"/>
      <c r="I669" s="61"/>
      <c r="J669" s="61"/>
      <c r="K669" s="61"/>
      <c r="L669" s="61">
        <f>SUM(F669:K669)</f>
        <v>0</v>
      </c>
      <c r="M669" s="61">
        <f>L669/6</f>
        <v>0</v>
      </c>
      <c r="N669" s="61"/>
      <c r="O669" s="61"/>
      <c r="P669" s="61"/>
      <c r="Q669" s="61"/>
      <c r="R669" s="61"/>
      <c r="S669" s="61"/>
      <c r="T669" s="61">
        <f>SUM(N669:S669)</f>
        <v>0</v>
      </c>
      <c r="U669" s="61">
        <f>T669+L669</f>
        <v>0</v>
      </c>
      <c r="V669" s="61">
        <f>V664</f>
        <v>0</v>
      </c>
      <c r="W669" s="72">
        <f>V669-U669</f>
        <v>0</v>
      </c>
      <c r="X669" s="63"/>
    </row>
    <row r="670" spans="1:28" s="126" customFormat="1" ht="18" hidden="1" customHeight="1">
      <c r="A670" s="614"/>
      <c r="B670" s="581"/>
      <c r="C670" s="581"/>
      <c r="D670" s="201" t="str">
        <f>серпень!D593</f>
        <v xml:space="preserve">місцевий </v>
      </c>
      <c r="E670" s="71"/>
      <c r="F670" s="61">
        <f t="shared" ref="F670:K670" si="773">F668-F669</f>
        <v>0</v>
      </c>
      <c r="G670" s="61">
        <f t="shared" si="773"/>
        <v>0</v>
      </c>
      <c r="H670" s="61">
        <f t="shared" si="773"/>
        <v>0</v>
      </c>
      <c r="I670" s="61">
        <f t="shared" si="773"/>
        <v>0</v>
      </c>
      <c r="J670" s="61">
        <f t="shared" si="773"/>
        <v>0</v>
      </c>
      <c r="K670" s="61">
        <f t="shared" si="773"/>
        <v>0</v>
      </c>
      <c r="L670" s="61">
        <f>SUM(F670:K670)</f>
        <v>0</v>
      </c>
      <c r="M670" s="61">
        <f>L670/6</f>
        <v>0</v>
      </c>
      <c r="N670" s="61">
        <f t="shared" ref="N670:S670" si="774">N668-N669</f>
        <v>0</v>
      </c>
      <c r="O670" s="61">
        <f t="shared" si="774"/>
        <v>0</v>
      </c>
      <c r="P670" s="61">
        <f t="shared" si="774"/>
        <v>0</v>
      </c>
      <c r="Q670" s="61">
        <f t="shared" si="774"/>
        <v>0</v>
      </c>
      <c r="R670" s="61">
        <f t="shared" si="774"/>
        <v>0</v>
      </c>
      <c r="S670" s="61">
        <f t="shared" si="774"/>
        <v>0</v>
      </c>
      <c r="T670" s="61">
        <f>SUM(N670:S670)</f>
        <v>0</v>
      </c>
      <c r="U670" s="61">
        <f>T670+L670</f>
        <v>0</v>
      </c>
      <c r="V670" s="61">
        <f>V665</f>
        <v>0</v>
      </c>
      <c r="W670" s="72">
        <f>V670-U670</f>
        <v>0</v>
      </c>
      <c r="X670" s="63">
        <f>U665-U670</f>
        <v>0</v>
      </c>
    </row>
    <row r="671" spans="1:28" s="43" customFormat="1" ht="18" hidden="1" customHeight="1">
      <c r="A671" s="614"/>
      <c r="B671" s="581"/>
      <c r="C671" s="581"/>
      <c r="D671" s="202" t="str">
        <f>серпень!D594</f>
        <v>план</v>
      </c>
      <c r="E671" s="42"/>
      <c r="F671" s="42">
        <f t="shared" ref="F671:K671" si="775">F665</f>
        <v>0</v>
      </c>
      <c r="G671" s="42">
        <f t="shared" si="775"/>
        <v>0</v>
      </c>
      <c r="H671" s="42">
        <f t="shared" si="775"/>
        <v>0</v>
      </c>
      <c r="I671" s="42">
        <f t="shared" si="775"/>
        <v>0</v>
      </c>
      <c r="J671" s="42">
        <f t="shared" si="775"/>
        <v>0</v>
      </c>
      <c r="K671" s="42">
        <f t="shared" si="775"/>
        <v>0</v>
      </c>
      <c r="L671" s="42">
        <f>SUM(F671:K671)</f>
        <v>0</v>
      </c>
      <c r="M671" s="42">
        <f>L671/6</f>
        <v>0</v>
      </c>
      <c r="N671" s="42">
        <f t="shared" ref="N671:S671" si="776">N665+N664</f>
        <v>0</v>
      </c>
      <c r="O671" s="42">
        <f t="shared" si="776"/>
        <v>0</v>
      </c>
      <c r="P671" s="42">
        <f t="shared" si="776"/>
        <v>0</v>
      </c>
      <c r="Q671" s="42">
        <f t="shared" si="776"/>
        <v>0</v>
      </c>
      <c r="R671" s="42">
        <f t="shared" si="776"/>
        <v>0</v>
      </c>
      <c r="S671" s="42">
        <f t="shared" si="776"/>
        <v>0</v>
      </c>
      <c r="T671" s="42">
        <f>SUM(N671:S671)</f>
        <v>0</v>
      </c>
      <c r="U671" s="42">
        <f>T671+L671</f>
        <v>0</v>
      </c>
      <c r="V671" s="42">
        <f>V668</f>
        <v>0</v>
      </c>
      <c r="W671" s="42">
        <f>V671-U671</f>
        <v>0</v>
      </c>
    </row>
    <row r="672" spans="1:28" s="43" customFormat="1" ht="18" hidden="1" customHeight="1">
      <c r="A672" s="614"/>
      <c r="B672" s="581"/>
      <c r="C672" s="581"/>
      <c r="D672" s="202" t="str">
        <f>серпень!D595</f>
        <v xml:space="preserve">відхилення </v>
      </c>
      <c r="E672" s="42"/>
      <c r="F672" s="42">
        <f t="shared" ref="F672:K672" si="777">F668-F671</f>
        <v>0</v>
      </c>
      <c r="G672" s="42">
        <f t="shared" si="777"/>
        <v>0</v>
      </c>
      <c r="H672" s="42">
        <f t="shared" si="777"/>
        <v>0</v>
      </c>
      <c r="I672" s="42">
        <f t="shared" si="777"/>
        <v>0</v>
      </c>
      <c r="J672" s="42">
        <f t="shared" si="777"/>
        <v>0</v>
      </c>
      <c r="K672" s="42">
        <f t="shared" si="777"/>
        <v>0</v>
      </c>
      <c r="L672" s="42"/>
      <c r="M672" s="42"/>
      <c r="N672" s="42">
        <f t="shared" ref="N672:S672" si="778">N668-N671</f>
        <v>0</v>
      </c>
      <c r="O672" s="42">
        <f t="shared" si="778"/>
        <v>0</v>
      </c>
      <c r="P672" s="42">
        <f t="shared" si="778"/>
        <v>0</v>
      </c>
      <c r="Q672" s="42">
        <f t="shared" si="778"/>
        <v>0</v>
      </c>
      <c r="R672" s="42">
        <f t="shared" si="778"/>
        <v>0</v>
      </c>
      <c r="S672" s="42">
        <f t="shared" si="778"/>
        <v>0</v>
      </c>
      <c r="T672" s="42"/>
      <c r="U672" s="42"/>
      <c r="V672" s="42"/>
      <c r="W672" s="42"/>
    </row>
    <row r="673" spans="1:28" s="43" customFormat="1" ht="18" hidden="1" customHeight="1">
      <c r="A673" s="614"/>
      <c r="B673" s="581"/>
      <c r="C673" s="581"/>
      <c r="D673" s="202" t="str">
        <f>серпень!D596</f>
        <v>відхилення з наростаючим</v>
      </c>
      <c r="E673" s="42"/>
      <c r="F673" s="42">
        <f>F672</f>
        <v>0</v>
      </c>
      <c r="G673" s="42">
        <f>G672+F673</f>
        <v>0</v>
      </c>
      <c r="H673" s="42">
        <f>H672+G673</f>
        <v>0</v>
      </c>
      <c r="I673" s="42">
        <f>I672+H673</f>
        <v>0</v>
      </c>
      <c r="J673" s="42">
        <f>J672+I673</f>
        <v>0</v>
      </c>
      <c r="K673" s="42">
        <f>K672+J673</f>
        <v>0</v>
      </c>
      <c r="L673" s="42"/>
      <c r="M673" s="42"/>
      <c r="N673" s="42">
        <f>N672+K673</f>
        <v>0</v>
      </c>
      <c r="O673" s="42">
        <f>O672+N673</f>
        <v>0</v>
      </c>
      <c r="P673" s="42">
        <f>P672+O673</f>
        <v>0</v>
      </c>
      <c r="Q673" s="42">
        <f>Q672+P673</f>
        <v>0</v>
      </c>
      <c r="R673" s="42">
        <f>R672+Q673</f>
        <v>0</v>
      </c>
      <c r="S673" s="42">
        <f>S672+R673</f>
        <v>0</v>
      </c>
      <c r="T673" s="42"/>
      <c r="U673" s="42"/>
      <c r="V673" s="42"/>
      <c r="W673" s="42"/>
    </row>
    <row r="674" spans="1:28" s="55" customFormat="1" ht="18" hidden="1" customHeight="1">
      <c r="A674" s="614"/>
      <c r="B674" s="581" t="s">
        <v>68</v>
      </c>
      <c r="C674" s="581"/>
      <c r="D674" s="178" t="str">
        <f>серпень!D597</f>
        <v>факт. нат.п-ки 2023</v>
      </c>
      <c r="E674" s="11"/>
      <c r="F674" s="12"/>
      <c r="G674" s="12"/>
      <c r="H674" s="12"/>
      <c r="I674" s="12"/>
      <c r="J674" s="12"/>
      <c r="K674" s="12"/>
      <c r="L674" s="65">
        <f>SUM(F674:K674)</f>
        <v>0</v>
      </c>
      <c r="M674" s="65">
        <f>L674/6</f>
        <v>0</v>
      </c>
      <c r="N674" s="12"/>
      <c r="O674" s="12"/>
      <c r="P674" s="12"/>
      <c r="Q674" s="12"/>
      <c r="R674" s="12"/>
      <c r="S674" s="12"/>
      <c r="T674" s="65">
        <f>SUM(N674:S674)</f>
        <v>0</v>
      </c>
      <c r="U674" s="66">
        <f>T674+L674</f>
        <v>0</v>
      </c>
      <c r="V674" s="67"/>
      <c r="W674" s="38">
        <f>V674-U674</f>
        <v>0</v>
      </c>
      <c r="X674" s="47"/>
      <c r="Y674" s="48"/>
      <c r="Z674" s="48"/>
      <c r="AA674" s="48"/>
      <c r="AB674" s="48"/>
    </row>
    <row r="675" spans="1:28" s="48" customFormat="1" ht="18" hidden="1" customHeight="1">
      <c r="A675" s="614"/>
      <c r="B675" s="581"/>
      <c r="C675" s="581"/>
      <c r="D675" s="178" t="str">
        <f>серпень!D598</f>
        <v>факт. нат.п-ки 2024</v>
      </c>
      <c r="E675" s="11"/>
      <c r="F675" s="12"/>
      <c r="G675" s="12"/>
      <c r="H675" s="12"/>
      <c r="I675" s="12"/>
      <c r="J675" s="12"/>
      <c r="K675" s="12"/>
      <c r="L675" s="65">
        <f>SUM(F675:K675)</f>
        <v>0</v>
      </c>
      <c r="M675" s="65">
        <f>L675/6</f>
        <v>0</v>
      </c>
      <c r="N675" s="11"/>
      <c r="O675" s="11"/>
      <c r="P675" s="11"/>
      <c r="Q675" s="11"/>
      <c r="R675" s="11"/>
      <c r="S675" s="11"/>
      <c r="T675" s="65">
        <f>SUM(N675:S675)</f>
        <v>0</v>
      </c>
      <c r="U675" s="66">
        <f>T675+L675</f>
        <v>0</v>
      </c>
      <c r="V675" s="67"/>
      <c r="W675" s="38">
        <f>V675-U675</f>
        <v>0</v>
      </c>
      <c r="X675" s="47"/>
    </row>
    <row r="676" spans="1:28" s="48" customFormat="1" ht="18" hidden="1" customHeight="1">
      <c r="A676" s="614"/>
      <c r="B676" s="581"/>
      <c r="C676" s="581"/>
      <c r="D676" s="178" t="str">
        <f>серпень!D599</f>
        <v>факт. нат.п-ки 2025</v>
      </c>
      <c r="E676" s="11"/>
      <c r="F676" s="12"/>
      <c r="G676" s="12"/>
      <c r="H676" s="12"/>
      <c r="I676" s="12"/>
      <c r="J676" s="12"/>
      <c r="K676" s="12"/>
      <c r="L676" s="65">
        <f>SUM(F676:K676)</f>
        <v>0</v>
      </c>
      <c r="M676" s="65">
        <f>L676/6</f>
        <v>0</v>
      </c>
      <c r="N676" s="12"/>
      <c r="O676" s="12"/>
      <c r="P676" s="12"/>
      <c r="Q676" s="12"/>
      <c r="R676" s="12"/>
      <c r="S676" s="11"/>
      <c r="T676" s="65">
        <f>SUM(N676:S676)</f>
        <v>0</v>
      </c>
      <c r="U676" s="66">
        <f>T676+L676</f>
        <v>0</v>
      </c>
      <c r="V676" s="11"/>
      <c r="W676" s="38">
        <f>V676-U676</f>
        <v>0</v>
      </c>
      <c r="X676" s="47"/>
    </row>
    <row r="677" spans="1:28" s="51" customFormat="1" ht="18" hidden="1" customHeight="1">
      <c r="A677" s="614"/>
      <c r="B677" s="581"/>
      <c r="C677" s="581"/>
      <c r="D677" s="187" t="str">
        <f>серпень!D600</f>
        <v>тариф, грн.</v>
      </c>
      <c r="E677" s="49"/>
      <c r="F677" s="49"/>
      <c r="G677" s="49"/>
      <c r="H677" s="49"/>
      <c r="I677" s="49"/>
      <c r="J677" s="49"/>
      <c r="K677" s="49"/>
      <c r="L677" s="49" t="e">
        <f>L678/L676*1000</f>
        <v>#DIV/0!</v>
      </c>
      <c r="M677" s="49" t="e">
        <f>M678/M676*1000</f>
        <v>#DIV/0!</v>
      </c>
      <c r="N677" s="49"/>
      <c r="O677" s="49"/>
      <c r="P677" s="49"/>
      <c r="Q677" s="49"/>
      <c r="R677" s="49"/>
      <c r="S677" s="49"/>
      <c r="T677" s="49" t="e">
        <f>T678/T676*1000</f>
        <v>#DIV/0!</v>
      </c>
      <c r="U677" s="49" t="e">
        <f>U678/U676*1000</f>
        <v>#DIV/0!</v>
      </c>
      <c r="V677" s="68" t="e">
        <f>V678/V676*1000</f>
        <v>#DIV/0!</v>
      </c>
      <c r="W677" s="14" t="e">
        <f>W678/W676*1000</f>
        <v>#DIV/0!</v>
      </c>
      <c r="X677" s="59"/>
    </row>
    <row r="678" spans="1:28" s="130" customFormat="1" ht="18" hidden="1" customHeight="1">
      <c r="A678" s="614"/>
      <c r="B678" s="581"/>
      <c r="C678" s="581"/>
      <c r="D678" s="191" t="str">
        <f>серпень!D601</f>
        <v>сума, тис.грн.</v>
      </c>
      <c r="E678" s="52"/>
      <c r="F678" s="52">
        <f t="shared" ref="F678:K678" si="779">F676*F677/1000</f>
        <v>0</v>
      </c>
      <c r="G678" s="52">
        <f t="shared" si="779"/>
        <v>0</v>
      </c>
      <c r="H678" s="52">
        <f t="shared" si="779"/>
        <v>0</v>
      </c>
      <c r="I678" s="52">
        <f t="shared" si="779"/>
        <v>0</v>
      </c>
      <c r="J678" s="52">
        <f t="shared" si="779"/>
        <v>0</v>
      </c>
      <c r="K678" s="52">
        <f t="shared" si="779"/>
        <v>0</v>
      </c>
      <c r="L678" s="69">
        <f>SUM(F678:K678)</f>
        <v>0</v>
      </c>
      <c r="M678" s="69">
        <f>L678/6</f>
        <v>0</v>
      </c>
      <c r="N678" s="52">
        <f t="shared" ref="N678:S678" si="780">N676*N677/1000</f>
        <v>0</v>
      </c>
      <c r="O678" s="52">
        <f t="shared" si="780"/>
        <v>0</v>
      </c>
      <c r="P678" s="52">
        <f t="shared" si="780"/>
        <v>0</v>
      </c>
      <c r="Q678" s="52">
        <f t="shared" si="780"/>
        <v>0</v>
      </c>
      <c r="R678" s="52">
        <f t="shared" si="780"/>
        <v>0</v>
      </c>
      <c r="S678" s="52">
        <f t="shared" si="780"/>
        <v>0</v>
      </c>
      <c r="T678" s="69">
        <f>SUM(N678:S678)</f>
        <v>0</v>
      </c>
      <c r="U678" s="69">
        <f>T678+L678</f>
        <v>0</v>
      </c>
      <c r="V678" s="70">
        <f>V679+V680</f>
        <v>0</v>
      </c>
      <c r="W678" s="53">
        <f>V678-U678</f>
        <v>0</v>
      </c>
    </row>
    <row r="679" spans="1:28" s="130" customFormat="1" ht="18" hidden="1" customHeight="1">
      <c r="A679" s="614"/>
      <c r="B679" s="581"/>
      <c r="C679" s="581"/>
      <c r="D679" s="174" t="str">
        <f>серпень!D602</f>
        <v>дотація</v>
      </c>
      <c r="E679" s="56"/>
      <c r="F679" s="52"/>
      <c r="G679" s="52"/>
      <c r="H679" s="52"/>
      <c r="I679" s="52"/>
      <c r="J679" s="52"/>
      <c r="K679" s="52"/>
      <c r="L679" s="69">
        <f>SUM(F679:K679)</f>
        <v>0</v>
      </c>
      <c r="M679" s="69">
        <f>L679/6</f>
        <v>0</v>
      </c>
      <c r="N679" s="52"/>
      <c r="O679" s="52"/>
      <c r="P679" s="52"/>
      <c r="Q679" s="52"/>
      <c r="R679" s="52"/>
      <c r="S679" s="52"/>
      <c r="T679" s="69">
        <f>SUM(N679:S679)</f>
        <v>0</v>
      </c>
      <c r="U679" s="69">
        <f>T679+L679</f>
        <v>0</v>
      </c>
      <c r="V679" s="70">
        <v>0</v>
      </c>
      <c r="W679" s="53">
        <f>V679-U679</f>
        <v>0</v>
      </c>
    </row>
    <row r="680" spans="1:28" s="130" customFormat="1" ht="18" hidden="1" customHeight="1">
      <c r="A680" s="614"/>
      <c r="B680" s="581"/>
      <c r="C680" s="581"/>
      <c r="D680" s="174" t="str">
        <f>серпень!D603</f>
        <v>місцевий (план), тис.грн</v>
      </c>
      <c r="E680" s="56"/>
      <c r="F680" s="52"/>
      <c r="G680" s="52"/>
      <c r="H680" s="52"/>
      <c r="I680" s="52"/>
      <c r="J680" s="52"/>
      <c r="K680" s="52"/>
      <c r="L680" s="69">
        <f>SUM(F680:K680)</f>
        <v>0</v>
      </c>
      <c r="M680" s="69">
        <f>L680/6</f>
        <v>0</v>
      </c>
      <c r="N680" s="52"/>
      <c r="O680" s="52"/>
      <c r="P680" s="52"/>
      <c r="Q680" s="52"/>
      <c r="R680" s="52"/>
      <c r="S680" s="52"/>
      <c r="T680" s="69">
        <f>SUM(N680:S680)</f>
        <v>0</v>
      </c>
      <c r="U680" s="69">
        <f>T680+L680</f>
        <v>0</v>
      </c>
      <c r="V680" s="70"/>
      <c r="W680" s="53">
        <f>V680-U680</f>
        <v>0</v>
      </c>
    </row>
    <row r="681" spans="1:28" s="48" customFormat="1" ht="18" hidden="1" customHeight="1">
      <c r="A681" s="614"/>
      <c r="B681" s="581"/>
      <c r="C681" s="581"/>
      <c r="D681" s="178" t="str">
        <f>серпень!D604</f>
        <v>касові нат.п-ки 2025</v>
      </c>
      <c r="E681" s="11"/>
      <c r="F681" s="11"/>
      <c r="G681" s="11"/>
      <c r="H681" s="11"/>
      <c r="I681" s="11"/>
      <c r="J681" s="11"/>
      <c r="K681" s="11"/>
      <c r="L681" s="65">
        <f>SUM(F681:K681)</f>
        <v>0</v>
      </c>
      <c r="M681" s="65">
        <f>L681/6</f>
        <v>0</v>
      </c>
      <c r="N681" s="11"/>
      <c r="O681" s="11"/>
      <c r="P681" s="11"/>
      <c r="Q681" s="11"/>
      <c r="R681" s="11"/>
      <c r="S681" s="11"/>
      <c r="T681" s="65">
        <f>SUM(N681:S681)</f>
        <v>0</v>
      </c>
      <c r="U681" s="65">
        <f>T681+L681</f>
        <v>0</v>
      </c>
      <c r="V681" s="11">
        <f>V676</f>
        <v>0</v>
      </c>
      <c r="W681" s="38">
        <f>V681-U681</f>
        <v>0</v>
      </c>
      <c r="X681" s="47">
        <f>U676-U681</f>
        <v>0</v>
      </c>
    </row>
    <row r="682" spans="1:28" s="51" customFormat="1" ht="18" hidden="1" customHeight="1">
      <c r="A682" s="614"/>
      <c r="B682" s="581"/>
      <c r="C682" s="581"/>
      <c r="D682" s="187" t="str">
        <f>серпень!D605</f>
        <v>тариф, грн.</v>
      </c>
      <c r="E682" s="49" t="e">
        <f>E683/E681*1000</f>
        <v>#DIV/0!</v>
      </c>
      <c r="F682" s="49"/>
      <c r="G682" s="49"/>
      <c r="H682" s="49"/>
      <c r="I682" s="49"/>
      <c r="J682" s="49"/>
      <c r="K682" s="49"/>
      <c r="L682" s="49" t="e">
        <f>L683/L681*1000</f>
        <v>#DIV/0!</v>
      </c>
      <c r="M682" s="49" t="e">
        <f>M683/M681*1000</f>
        <v>#DIV/0!</v>
      </c>
      <c r="N682" s="49"/>
      <c r="O682" s="49"/>
      <c r="P682" s="49"/>
      <c r="Q682" s="49"/>
      <c r="R682" s="49"/>
      <c r="S682" s="49"/>
      <c r="T682" s="49" t="e">
        <f>T683/T681*1000</f>
        <v>#DIV/0!</v>
      </c>
      <c r="U682" s="49" t="e">
        <f>U683/U681*1000</f>
        <v>#DIV/0!</v>
      </c>
      <c r="V682" s="68" t="e">
        <f>V683/V681*1000</f>
        <v>#DIV/0!</v>
      </c>
      <c r="W682" s="14" t="e">
        <f>W683/W681*1000</f>
        <v>#DIV/0!</v>
      </c>
      <c r="X682" s="59"/>
    </row>
    <row r="683" spans="1:28" s="126" customFormat="1" ht="18" hidden="1" customHeight="1">
      <c r="A683" s="614"/>
      <c r="B683" s="581"/>
      <c r="C683" s="581"/>
      <c r="D683" s="198" t="str">
        <f>серпень!D606</f>
        <v>касові видатки, тис.грн.</v>
      </c>
      <c r="E683" s="71"/>
      <c r="F683" s="61">
        <f t="shared" ref="F683:K683" si="781">F681*F682/1000</f>
        <v>0</v>
      </c>
      <c r="G683" s="61">
        <f t="shared" si="781"/>
        <v>0</v>
      </c>
      <c r="H683" s="61">
        <f t="shared" si="781"/>
        <v>0</v>
      </c>
      <c r="I683" s="61">
        <f t="shared" si="781"/>
        <v>0</v>
      </c>
      <c r="J683" s="61">
        <f t="shared" si="781"/>
        <v>0</v>
      </c>
      <c r="K683" s="61">
        <f t="shared" si="781"/>
        <v>0</v>
      </c>
      <c r="L683" s="61">
        <f>SUM(F683:K683)</f>
        <v>0</v>
      </c>
      <c r="M683" s="61">
        <f>L683/6</f>
        <v>0</v>
      </c>
      <c r="N683" s="61">
        <f t="shared" ref="N683:S683" si="782">N681*N682/1000</f>
        <v>0</v>
      </c>
      <c r="O683" s="61">
        <f t="shared" si="782"/>
        <v>0</v>
      </c>
      <c r="P683" s="61">
        <f t="shared" si="782"/>
        <v>0</v>
      </c>
      <c r="Q683" s="61">
        <f t="shared" si="782"/>
        <v>0</v>
      </c>
      <c r="R683" s="61">
        <f t="shared" si="782"/>
        <v>0</v>
      </c>
      <c r="S683" s="61">
        <f t="shared" si="782"/>
        <v>0</v>
      </c>
      <c r="T683" s="61">
        <f>SUM(N683:S683)</f>
        <v>0</v>
      </c>
      <c r="U683" s="61">
        <f>T683+L683</f>
        <v>0</v>
      </c>
      <c r="V683" s="61">
        <f>V678</f>
        <v>0</v>
      </c>
      <c r="W683" s="72">
        <f>V683-U683</f>
        <v>0</v>
      </c>
      <c r="X683" s="63">
        <f>U678-U683</f>
        <v>0</v>
      </c>
    </row>
    <row r="684" spans="1:28" s="126" customFormat="1" ht="18" hidden="1" customHeight="1">
      <c r="A684" s="614"/>
      <c r="B684" s="581"/>
      <c r="C684" s="581"/>
      <c r="D684" s="201" t="str">
        <f>серпень!D607</f>
        <v>дотація</v>
      </c>
      <c r="E684" s="71"/>
      <c r="F684" s="61"/>
      <c r="G684" s="61"/>
      <c r="H684" s="61"/>
      <c r="I684" s="61"/>
      <c r="J684" s="61"/>
      <c r="K684" s="61"/>
      <c r="L684" s="61">
        <f>SUM(F684:K684)</f>
        <v>0</v>
      </c>
      <c r="M684" s="61">
        <f>L684/6</f>
        <v>0</v>
      </c>
      <c r="N684" s="61"/>
      <c r="O684" s="61"/>
      <c r="P684" s="61"/>
      <c r="Q684" s="61"/>
      <c r="R684" s="61"/>
      <c r="S684" s="61"/>
      <c r="T684" s="61">
        <f>SUM(N684:S684)</f>
        <v>0</v>
      </c>
      <c r="U684" s="61">
        <f>T684+L684</f>
        <v>0</v>
      </c>
      <c r="V684" s="61">
        <f>V679</f>
        <v>0</v>
      </c>
      <c r="W684" s="72">
        <f>V684-U684</f>
        <v>0</v>
      </c>
      <c r="X684" s="63"/>
    </row>
    <row r="685" spans="1:28" s="126" customFormat="1" ht="18" hidden="1" customHeight="1">
      <c r="A685" s="614"/>
      <c r="B685" s="581"/>
      <c r="C685" s="581"/>
      <c r="D685" s="201" t="str">
        <f>серпень!D608</f>
        <v xml:space="preserve">місцевий </v>
      </c>
      <c r="E685" s="71"/>
      <c r="F685" s="61">
        <f t="shared" ref="F685:K685" si="783">F683-F684</f>
        <v>0</v>
      </c>
      <c r="G685" s="61">
        <f t="shared" si="783"/>
        <v>0</v>
      </c>
      <c r="H685" s="61">
        <f t="shared" si="783"/>
        <v>0</v>
      </c>
      <c r="I685" s="61">
        <f t="shared" si="783"/>
        <v>0</v>
      </c>
      <c r="J685" s="61">
        <f t="shared" si="783"/>
        <v>0</v>
      </c>
      <c r="K685" s="61">
        <f t="shared" si="783"/>
        <v>0</v>
      </c>
      <c r="L685" s="61">
        <f>SUM(F685:K685)</f>
        <v>0</v>
      </c>
      <c r="M685" s="61">
        <f>L685/6</f>
        <v>0</v>
      </c>
      <c r="N685" s="61">
        <f t="shared" ref="N685:S685" si="784">N683-N684</f>
        <v>0</v>
      </c>
      <c r="O685" s="61">
        <f t="shared" si="784"/>
        <v>0</v>
      </c>
      <c r="P685" s="61">
        <f t="shared" si="784"/>
        <v>0</v>
      </c>
      <c r="Q685" s="61">
        <f t="shared" si="784"/>
        <v>0</v>
      </c>
      <c r="R685" s="61">
        <f t="shared" si="784"/>
        <v>0</v>
      </c>
      <c r="S685" s="61">
        <f t="shared" si="784"/>
        <v>0</v>
      </c>
      <c r="T685" s="61">
        <f>SUM(N685:S685)</f>
        <v>0</v>
      </c>
      <c r="U685" s="61">
        <f>T685+L685</f>
        <v>0</v>
      </c>
      <c r="V685" s="61">
        <f>V680</f>
        <v>0</v>
      </c>
      <c r="W685" s="72">
        <f>V685-U685</f>
        <v>0</v>
      </c>
      <c r="X685" s="63">
        <f>U680-U685</f>
        <v>0</v>
      </c>
    </row>
    <row r="686" spans="1:28" s="43" customFormat="1" ht="18" hidden="1" customHeight="1">
      <c r="A686" s="614"/>
      <c r="B686" s="581"/>
      <c r="C686" s="581"/>
      <c r="D686" s="202" t="str">
        <f>серпень!D609</f>
        <v>план</v>
      </c>
      <c r="E686" s="42"/>
      <c r="F686" s="42">
        <f t="shared" ref="F686:K686" si="785">F680</f>
        <v>0</v>
      </c>
      <c r="G686" s="42">
        <f t="shared" si="785"/>
        <v>0</v>
      </c>
      <c r="H686" s="42">
        <f t="shared" si="785"/>
        <v>0</v>
      </c>
      <c r="I686" s="42">
        <f t="shared" si="785"/>
        <v>0</v>
      </c>
      <c r="J686" s="42">
        <f t="shared" si="785"/>
        <v>0</v>
      </c>
      <c r="K686" s="42">
        <f t="shared" si="785"/>
        <v>0</v>
      </c>
      <c r="L686" s="42">
        <f>SUM(F686:K686)</f>
        <v>0</v>
      </c>
      <c r="M686" s="42">
        <f>L686/6</f>
        <v>0</v>
      </c>
      <c r="N686" s="42">
        <f t="shared" ref="N686:S686" si="786">N680+N679</f>
        <v>0</v>
      </c>
      <c r="O686" s="42">
        <f t="shared" si="786"/>
        <v>0</v>
      </c>
      <c r="P686" s="42">
        <f t="shared" si="786"/>
        <v>0</v>
      </c>
      <c r="Q686" s="42">
        <f t="shared" si="786"/>
        <v>0</v>
      </c>
      <c r="R686" s="42">
        <f t="shared" si="786"/>
        <v>0</v>
      </c>
      <c r="S686" s="42">
        <f t="shared" si="786"/>
        <v>0</v>
      </c>
      <c r="T686" s="42">
        <f>SUM(N686:S686)</f>
        <v>0</v>
      </c>
      <c r="U686" s="42">
        <f>T686+L686</f>
        <v>0</v>
      </c>
      <c r="V686" s="42">
        <f>V683</f>
        <v>0</v>
      </c>
      <c r="W686" s="42">
        <f>V686-U686</f>
        <v>0</v>
      </c>
    </row>
    <row r="687" spans="1:28" s="43" customFormat="1" ht="18" hidden="1" customHeight="1">
      <c r="A687" s="614"/>
      <c r="B687" s="581"/>
      <c r="C687" s="581"/>
      <c r="D687" s="202" t="str">
        <f>серпень!D610</f>
        <v xml:space="preserve">відхилення </v>
      </c>
      <c r="E687" s="42"/>
      <c r="F687" s="42">
        <f t="shared" ref="F687:K687" si="787">F683-F686</f>
        <v>0</v>
      </c>
      <c r="G687" s="42">
        <f t="shared" si="787"/>
        <v>0</v>
      </c>
      <c r="H687" s="42">
        <f t="shared" si="787"/>
        <v>0</v>
      </c>
      <c r="I687" s="42">
        <f t="shared" si="787"/>
        <v>0</v>
      </c>
      <c r="J687" s="42">
        <f t="shared" si="787"/>
        <v>0</v>
      </c>
      <c r="K687" s="42">
        <f t="shared" si="787"/>
        <v>0</v>
      </c>
      <c r="L687" s="42"/>
      <c r="M687" s="42"/>
      <c r="N687" s="42">
        <f t="shared" ref="N687:S687" si="788">N683-N686</f>
        <v>0</v>
      </c>
      <c r="O687" s="42">
        <f t="shared" si="788"/>
        <v>0</v>
      </c>
      <c r="P687" s="42">
        <f t="shared" si="788"/>
        <v>0</v>
      </c>
      <c r="Q687" s="42">
        <f t="shared" si="788"/>
        <v>0</v>
      </c>
      <c r="R687" s="42">
        <f t="shared" si="788"/>
        <v>0</v>
      </c>
      <c r="S687" s="42">
        <f t="shared" si="788"/>
        <v>0</v>
      </c>
      <c r="T687" s="42"/>
      <c r="U687" s="42"/>
      <c r="V687" s="42"/>
      <c r="W687" s="42"/>
    </row>
    <row r="688" spans="1:28" s="43" customFormat="1" ht="18" hidden="1" customHeight="1">
      <c r="A688" s="614"/>
      <c r="B688" s="581"/>
      <c r="C688" s="581"/>
      <c r="D688" s="202" t="str">
        <f>серпень!D611</f>
        <v>відхилення з наростаючим</v>
      </c>
      <c r="E688" s="42"/>
      <c r="F688" s="42">
        <f>F687</f>
        <v>0</v>
      </c>
      <c r="G688" s="42">
        <f>G687+F688</f>
        <v>0</v>
      </c>
      <c r="H688" s="42">
        <f>H687+G688</f>
        <v>0</v>
      </c>
      <c r="I688" s="42">
        <f>I687+H688</f>
        <v>0</v>
      </c>
      <c r="J688" s="42">
        <f>J687+I688</f>
        <v>0</v>
      </c>
      <c r="K688" s="42">
        <f>K687+J688</f>
        <v>0</v>
      </c>
      <c r="L688" s="42"/>
      <c r="M688" s="42"/>
      <c r="N688" s="42">
        <f>N687+K688</f>
        <v>0</v>
      </c>
      <c r="O688" s="42">
        <f>O687+N688</f>
        <v>0</v>
      </c>
      <c r="P688" s="42">
        <f>P687+O688</f>
        <v>0</v>
      </c>
      <c r="Q688" s="42">
        <f>Q687+P688</f>
        <v>0</v>
      </c>
      <c r="R688" s="42">
        <f>R687+Q688</f>
        <v>0</v>
      </c>
      <c r="S688" s="42">
        <f>S687+R688</f>
        <v>0</v>
      </c>
      <c r="T688" s="42"/>
      <c r="U688" s="42"/>
      <c r="V688" s="42"/>
      <c r="W688" s="42"/>
    </row>
    <row r="689" spans="1:28" s="55" customFormat="1" ht="18" hidden="1" customHeight="1">
      <c r="A689" s="614"/>
      <c r="B689" s="654" t="s">
        <v>141</v>
      </c>
      <c r="C689" s="581"/>
      <c r="D689" s="178" t="str">
        <f>серпень!D612</f>
        <v>факт. нат.п-ки 2023</v>
      </c>
      <c r="E689" s="11"/>
      <c r="F689" s="12"/>
      <c r="G689" s="12"/>
      <c r="H689" s="12"/>
      <c r="I689" s="12"/>
      <c r="J689" s="12"/>
      <c r="K689" s="12"/>
      <c r="L689" s="65">
        <f>SUM(F689:K689)</f>
        <v>0</v>
      </c>
      <c r="M689" s="65">
        <f>L689/6</f>
        <v>0</v>
      </c>
      <c r="N689" s="12"/>
      <c r="O689" s="12"/>
      <c r="P689" s="12"/>
      <c r="Q689" s="12"/>
      <c r="R689" s="12"/>
      <c r="S689" s="12"/>
      <c r="T689" s="65">
        <f>SUM(N689:S689)</f>
        <v>0</v>
      </c>
      <c r="U689" s="66">
        <f>T689+L689</f>
        <v>0</v>
      </c>
      <c r="V689" s="67"/>
      <c r="W689" s="38">
        <f>V689-U689</f>
        <v>0</v>
      </c>
      <c r="X689" s="47"/>
      <c r="Y689" s="48"/>
      <c r="Z689" s="48"/>
      <c r="AA689" s="48"/>
      <c r="AB689" s="48"/>
    </row>
    <row r="690" spans="1:28" s="48" customFormat="1" ht="18" hidden="1" customHeight="1">
      <c r="A690" s="614"/>
      <c r="B690" s="581"/>
      <c r="C690" s="581"/>
      <c r="D690" s="178" t="str">
        <f>серпень!D613</f>
        <v>факт. нат.п-ки 2024</v>
      </c>
      <c r="E690" s="11"/>
      <c r="F690" s="12"/>
      <c r="G690" s="12"/>
      <c r="H690" s="12"/>
      <c r="I690" s="12"/>
      <c r="J690" s="12"/>
      <c r="K690" s="12"/>
      <c r="L690" s="65">
        <f>SUM(F690:K690)</f>
        <v>0</v>
      </c>
      <c r="M690" s="65">
        <f>L690/6</f>
        <v>0</v>
      </c>
      <c r="N690" s="11"/>
      <c r="O690" s="11"/>
      <c r="P690" s="11"/>
      <c r="Q690" s="11"/>
      <c r="R690" s="11"/>
      <c r="S690" s="11"/>
      <c r="T690" s="65">
        <f>SUM(N690:S690)</f>
        <v>0</v>
      </c>
      <c r="U690" s="66">
        <f>T690+L690</f>
        <v>0</v>
      </c>
      <c r="V690" s="67"/>
      <c r="W690" s="38">
        <f>V690-U690</f>
        <v>0</v>
      </c>
      <c r="X690" s="47"/>
    </row>
    <row r="691" spans="1:28" s="48" customFormat="1" ht="18" hidden="1" customHeight="1">
      <c r="A691" s="614"/>
      <c r="B691" s="581"/>
      <c r="C691" s="581"/>
      <c r="D691" s="178" t="str">
        <f>серпень!D614</f>
        <v>факт. нат.п-ки 2025</v>
      </c>
      <c r="E691" s="11"/>
      <c r="F691" s="12"/>
      <c r="G691" s="12"/>
      <c r="H691" s="12"/>
      <c r="I691" s="12"/>
      <c r="J691" s="12"/>
      <c r="K691" s="12"/>
      <c r="L691" s="65">
        <f>SUM(F691:K691)</f>
        <v>0</v>
      </c>
      <c r="M691" s="65">
        <f>L691/6</f>
        <v>0</v>
      </c>
      <c r="N691" s="12"/>
      <c r="O691" s="12"/>
      <c r="P691" s="12"/>
      <c r="Q691" s="12"/>
      <c r="R691" s="12"/>
      <c r="S691" s="11"/>
      <c r="T691" s="65">
        <f>SUM(N691:S691)</f>
        <v>0</v>
      </c>
      <c r="U691" s="66">
        <f>T691+L691</f>
        <v>0</v>
      </c>
      <c r="V691" s="11"/>
      <c r="W691" s="38">
        <f>V691-U691</f>
        <v>0</v>
      </c>
      <c r="X691" s="47"/>
    </row>
    <row r="692" spans="1:28" s="51" customFormat="1" ht="18" hidden="1" customHeight="1">
      <c r="A692" s="614"/>
      <c r="B692" s="581"/>
      <c r="C692" s="581"/>
      <c r="D692" s="187" t="str">
        <f>серпень!D615</f>
        <v>тариф, грн.</v>
      </c>
      <c r="E692" s="49"/>
      <c r="F692" s="49"/>
      <c r="G692" s="49"/>
      <c r="H692" s="49"/>
      <c r="I692" s="49"/>
      <c r="J692" s="49"/>
      <c r="K692" s="49"/>
      <c r="L692" s="49" t="e">
        <f>L693/L691*1000</f>
        <v>#DIV/0!</v>
      </c>
      <c r="M692" s="49" t="e">
        <f>M693/M691*1000</f>
        <v>#DIV/0!</v>
      </c>
      <c r="N692" s="49"/>
      <c r="O692" s="49"/>
      <c r="P692" s="49"/>
      <c r="Q692" s="49"/>
      <c r="R692" s="49"/>
      <c r="S692" s="49"/>
      <c r="T692" s="49" t="e">
        <f>T693/T691*1000</f>
        <v>#DIV/0!</v>
      </c>
      <c r="U692" s="49" t="e">
        <f>U693/U691*1000</f>
        <v>#DIV/0!</v>
      </c>
      <c r="V692" s="68" t="e">
        <f>V693/V691*1000</f>
        <v>#DIV/0!</v>
      </c>
      <c r="W692" s="14" t="e">
        <f>W693/W691*1000</f>
        <v>#DIV/0!</v>
      </c>
      <c r="X692" s="59"/>
    </row>
    <row r="693" spans="1:28" s="130" customFormat="1" ht="18" hidden="1" customHeight="1">
      <c r="A693" s="614"/>
      <c r="B693" s="581"/>
      <c r="C693" s="581"/>
      <c r="D693" s="191" t="str">
        <f>серпень!D616</f>
        <v>сума, тис.грн.</v>
      </c>
      <c r="E693" s="52"/>
      <c r="F693" s="52">
        <f t="shared" ref="F693:K693" si="789">F691*F692/1000</f>
        <v>0</v>
      </c>
      <c r="G693" s="52">
        <f t="shared" si="789"/>
        <v>0</v>
      </c>
      <c r="H693" s="52">
        <f t="shared" si="789"/>
        <v>0</v>
      </c>
      <c r="I693" s="52">
        <f t="shared" si="789"/>
        <v>0</v>
      </c>
      <c r="J693" s="52">
        <f t="shared" si="789"/>
        <v>0</v>
      </c>
      <c r="K693" s="52">
        <f t="shared" si="789"/>
        <v>0</v>
      </c>
      <c r="L693" s="69">
        <f>SUM(F693:K693)</f>
        <v>0</v>
      </c>
      <c r="M693" s="69">
        <f>L693/6</f>
        <v>0</v>
      </c>
      <c r="N693" s="52">
        <f t="shared" ref="N693:S693" si="790">N691*N692/1000</f>
        <v>0</v>
      </c>
      <c r="O693" s="52">
        <f t="shared" si="790"/>
        <v>0</v>
      </c>
      <c r="P693" s="52">
        <f t="shared" si="790"/>
        <v>0</v>
      </c>
      <c r="Q693" s="52">
        <f t="shared" si="790"/>
        <v>0</v>
      </c>
      <c r="R693" s="52">
        <f t="shared" si="790"/>
        <v>0</v>
      </c>
      <c r="S693" s="52">
        <f t="shared" si="790"/>
        <v>0</v>
      </c>
      <c r="T693" s="69">
        <f>SUM(N693:S693)</f>
        <v>0</v>
      </c>
      <c r="U693" s="69">
        <f>T693+L693</f>
        <v>0</v>
      </c>
      <c r="V693" s="70">
        <f>V694+V695</f>
        <v>0</v>
      </c>
      <c r="W693" s="53">
        <f>V693-U693</f>
        <v>0</v>
      </c>
    </row>
    <row r="694" spans="1:28" s="130" customFormat="1" ht="18" hidden="1" customHeight="1">
      <c r="A694" s="614"/>
      <c r="B694" s="581"/>
      <c r="C694" s="581"/>
      <c r="D694" s="174" t="str">
        <f>серпень!D617</f>
        <v>дотація</v>
      </c>
      <c r="E694" s="56"/>
      <c r="F694" s="52"/>
      <c r="G694" s="52"/>
      <c r="H694" s="52"/>
      <c r="I694" s="52"/>
      <c r="J694" s="52"/>
      <c r="K694" s="52"/>
      <c r="L694" s="69">
        <f>SUM(F694:K694)</f>
        <v>0</v>
      </c>
      <c r="M694" s="69">
        <f>L694/6</f>
        <v>0</v>
      </c>
      <c r="N694" s="52"/>
      <c r="O694" s="52"/>
      <c r="P694" s="52"/>
      <c r="Q694" s="52"/>
      <c r="R694" s="52"/>
      <c r="S694" s="52"/>
      <c r="T694" s="69">
        <f>SUM(N694:S694)</f>
        <v>0</v>
      </c>
      <c r="U694" s="69">
        <f>T694+L694</f>
        <v>0</v>
      </c>
      <c r="V694" s="70">
        <v>0</v>
      </c>
      <c r="W694" s="53">
        <f>V694-U694</f>
        <v>0</v>
      </c>
    </row>
    <row r="695" spans="1:28" s="130" customFormat="1" ht="18" hidden="1" customHeight="1">
      <c r="A695" s="614"/>
      <c r="B695" s="581"/>
      <c r="C695" s="581"/>
      <c r="D695" s="174" t="str">
        <f>серпень!D618</f>
        <v>місцевий (план), тис.грн</v>
      </c>
      <c r="E695" s="56"/>
      <c r="F695" s="52"/>
      <c r="G695" s="52"/>
      <c r="H695" s="52"/>
      <c r="I695" s="52"/>
      <c r="J695" s="52"/>
      <c r="K695" s="52"/>
      <c r="L695" s="69">
        <f>SUM(F695:K695)</f>
        <v>0</v>
      </c>
      <c r="M695" s="69">
        <f>L695/6</f>
        <v>0</v>
      </c>
      <c r="N695" s="52"/>
      <c r="O695" s="52"/>
      <c r="P695" s="52"/>
      <c r="Q695" s="52"/>
      <c r="R695" s="52"/>
      <c r="S695" s="52"/>
      <c r="T695" s="69">
        <f>SUM(N695:S695)</f>
        <v>0</v>
      </c>
      <c r="U695" s="69">
        <f>T695+L695</f>
        <v>0</v>
      </c>
      <c r="V695" s="70"/>
      <c r="W695" s="53">
        <f>V695-U695</f>
        <v>0</v>
      </c>
    </row>
    <row r="696" spans="1:28" s="48" customFormat="1" ht="18" hidden="1" customHeight="1">
      <c r="A696" s="614"/>
      <c r="B696" s="581"/>
      <c r="C696" s="581"/>
      <c r="D696" s="178" t="str">
        <f>серпень!D619</f>
        <v>касові нат.п-ки 2025</v>
      </c>
      <c r="E696" s="11"/>
      <c r="F696" s="11"/>
      <c r="G696" s="11"/>
      <c r="H696" s="11"/>
      <c r="I696" s="11"/>
      <c r="J696" s="11"/>
      <c r="K696" s="11"/>
      <c r="L696" s="65">
        <f>SUM(F696:K696)</f>
        <v>0</v>
      </c>
      <c r="M696" s="65">
        <f>L696/6</f>
        <v>0</v>
      </c>
      <c r="N696" s="11"/>
      <c r="O696" s="11"/>
      <c r="P696" s="11"/>
      <c r="Q696" s="11"/>
      <c r="R696" s="11"/>
      <c r="S696" s="11"/>
      <c r="T696" s="65">
        <f>SUM(N696:S696)</f>
        <v>0</v>
      </c>
      <c r="U696" s="65">
        <f>T696+L696</f>
        <v>0</v>
      </c>
      <c r="V696" s="11">
        <f>V691</f>
        <v>0</v>
      </c>
      <c r="W696" s="38">
        <f>V696-U696</f>
        <v>0</v>
      </c>
      <c r="X696" s="47">
        <f>U691-U696</f>
        <v>0</v>
      </c>
    </row>
    <row r="697" spans="1:28" s="51" customFormat="1" ht="18" hidden="1" customHeight="1">
      <c r="A697" s="614"/>
      <c r="B697" s="581"/>
      <c r="C697" s="581"/>
      <c r="D697" s="187" t="str">
        <f>серпень!D620</f>
        <v>тариф, грн.</v>
      </c>
      <c r="E697" s="49" t="e">
        <f>E698/E696*1000</f>
        <v>#DIV/0!</v>
      </c>
      <c r="F697" s="49"/>
      <c r="G697" s="49"/>
      <c r="H697" s="49"/>
      <c r="I697" s="49"/>
      <c r="J697" s="49"/>
      <c r="K697" s="49"/>
      <c r="L697" s="49" t="e">
        <f>L698/L696*1000</f>
        <v>#DIV/0!</v>
      </c>
      <c r="M697" s="49" t="e">
        <f>M698/M696*1000</f>
        <v>#DIV/0!</v>
      </c>
      <c r="N697" s="49"/>
      <c r="O697" s="49"/>
      <c r="P697" s="49"/>
      <c r="Q697" s="49"/>
      <c r="R697" s="49"/>
      <c r="S697" s="49"/>
      <c r="T697" s="49" t="e">
        <f>T698/T696*1000</f>
        <v>#DIV/0!</v>
      </c>
      <c r="U697" s="49" t="e">
        <f>U698/U696*1000</f>
        <v>#DIV/0!</v>
      </c>
      <c r="V697" s="68" t="e">
        <f>V698/V696*1000</f>
        <v>#DIV/0!</v>
      </c>
      <c r="W697" s="14" t="e">
        <f>W698/W696*1000</f>
        <v>#DIV/0!</v>
      </c>
      <c r="X697" s="59"/>
    </row>
    <row r="698" spans="1:28" s="126" customFormat="1" ht="18" hidden="1" customHeight="1">
      <c r="A698" s="614"/>
      <c r="B698" s="581"/>
      <c r="C698" s="581"/>
      <c r="D698" s="198" t="str">
        <f>серпень!D621</f>
        <v>касові видатки, тис.грн.</v>
      </c>
      <c r="E698" s="71"/>
      <c r="F698" s="61">
        <f t="shared" ref="F698:K698" si="791">F696*F697/1000</f>
        <v>0</v>
      </c>
      <c r="G698" s="61">
        <f t="shared" si="791"/>
        <v>0</v>
      </c>
      <c r="H698" s="61">
        <f t="shared" si="791"/>
        <v>0</v>
      </c>
      <c r="I698" s="61">
        <f t="shared" si="791"/>
        <v>0</v>
      </c>
      <c r="J698" s="61">
        <f t="shared" si="791"/>
        <v>0</v>
      </c>
      <c r="K698" s="61">
        <f t="shared" si="791"/>
        <v>0</v>
      </c>
      <c r="L698" s="61">
        <f>SUM(F698:K698)</f>
        <v>0</v>
      </c>
      <c r="M698" s="61">
        <f>L698/6</f>
        <v>0</v>
      </c>
      <c r="N698" s="61">
        <f t="shared" ref="N698:S698" si="792">N696*N697/1000</f>
        <v>0</v>
      </c>
      <c r="O698" s="61">
        <f t="shared" si="792"/>
        <v>0</v>
      </c>
      <c r="P698" s="61">
        <f t="shared" si="792"/>
        <v>0</v>
      </c>
      <c r="Q698" s="61">
        <f t="shared" si="792"/>
        <v>0</v>
      </c>
      <c r="R698" s="61">
        <f t="shared" si="792"/>
        <v>0</v>
      </c>
      <c r="S698" s="61">
        <f t="shared" si="792"/>
        <v>0</v>
      </c>
      <c r="T698" s="61">
        <f>SUM(N698:S698)</f>
        <v>0</v>
      </c>
      <c r="U698" s="61">
        <f>T698+L698</f>
        <v>0</v>
      </c>
      <c r="V698" s="61">
        <f>V693</f>
        <v>0</v>
      </c>
      <c r="W698" s="72">
        <f>V698-U698</f>
        <v>0</v>
      </c>
      <c r="X698" s="63">
        <f>U693-U698</f>
        <v>0</v>
      </c>
    </row>
    <row r="699" spans="1:28" s="126" customFormat="1" ht="18" hidden="1" customHeight="1">
      <c r="A699" s="614"/>
      <c r="B699" s="581"/>
      <c r="C699" s="581"/>
      <c r="D699" s="201" t="str">
        <f>серпень!D622</f>
        <v>дотація</v>
      </c>
      <c r="E699" s="71"/>
      <c r="F699" s="61"/>
      <c r="G699" s="61"/>
      <c r="H699" s="61"/>
      <c r="I699" s="61"/>
      <c r="J699" s="61"/>
      <c r="K699" s="61"/>
      <c r="L699" s="61">
        <f>SUM(F699:K699)</f>
        <v>0</v>
      </c>
      <c r="M699" s="61">
        <f>L699/6</f>
        <v>0</v>
      </c>
      <c r="N699" s="61"/>
      <c r="O699" s="61"/>
      <c r="P699" s="61"/>
      <c r="Q699" s="61"/>
      <c r="R699" s="61"/>
      <c r="S699" s="61"/>
      <c r="T699" s="61">
        <f>SUM(N699:S699)</f>
        <v>0</v>
      </c>
      <c r="U699" s="61">
        <f>T699+L699</f>
        <v>0</v>
      </c>
      <c r="V699" s="61">
        <f>V694</f>
        <v>0</v>
      </c>
      <c r="W699" s="72">
        <f>V699-U699</f>
        <v>0</v>
      </c>
      <c r="X699" s="63"/>
    </row>
    <row r="700" spans="1:28" s="126" customFormat="1" ht="18" hidden="1" customHeight="1">
      <c r="A700" s="614"/>
      <c r="B700" s="581"/>
      <c r="C700" s="581"/>
      <c r="D700" s="201" t="str">
        <f>серпень!D623</f>
        <v xml:space="preserve">місцевий </v>
      </c>
      <c r="E700" s="71"/>
      <c r="F700" s="61">
        <f t="shared" ref="F700:K700" si="793">F698-F699</f>
        <v>0</v>
      </c>
      <c r="G700" s="61">
        <f t="shared" si="793"/>
        <v>0</v>
      </c>
      <c r="H700" s="61">
        <f t="shared" si="793"/>
        <v>0</v>
      </c>
      <c r="I700" s="61">
        <f t="shared" si="793"/>
        <v>0</v>
      </c>
      <c r="J700" s="61">
        <f t="shared" si="793"/>
        <v>0</v>
      </c>
      <c r="K700" s="61">
        <f t="shared" si="793"/>
        <v>0</v>
      </c>
      <c r="L700" s="61">
        <f>SUM(F700:K700)</f>
        <v>0</v>
      </c>
      <c r="M700" s="61">
        <f>L700/6</f>
        <v>0</v>
      </c>
      <c r="N700" s="61">
        <f t="shared" ref="N700:S700" si="794">N698-N699</f>
        <v>0</v>
      </c>
      <c r="O700" s="61">
        <f t="shared" si="794"/>
        <v>0</v>
      </c>
      <c r="P700" s="61">
        <f t="shared" si="794"/>
        <v>0</v>
      </c>
      <c r="Q700" s="61">
        <f t="shared" si="794"/>
        <v>0</v>
      </c>
      <c r="R700" s="61">
        <f t="shared" si="794"/>
        <v>0</v>
      </c>
      <c r="S700" s="61">
        <f t="shared" si="794"/>
        <v>0</v>
      </c>
      <c r="T700" s="61">
        <f>SUM(N700:S700)</f>
        <v>0</v>
      </c>
      <c r="U700" s="61">
        <f>T700+L700</f>
        <v>0</v>
      </c>
      <c r="V700" s="61">
        <f>V695</f>
        <v>0</v>
      </c>
      <c r="W700" s="72">
        <f>V700-U700</f>
        <v>0</v>
      </c>
      <c r="X700" s="63">
        <f>U695-U700</f>
        <v>0</v>
      </c>
    </row>
    <row r="701" spans="1:28" s="43" customFormat="1" ht="18" hidden="1" customHeight="1">
      <c r="A701" s="614"/>
      <c r="B701" s="581"/>
      <c r="C701" s="581"/>
      <c r="D701" s="202" t="str">
        <f>серпень!D624</f>
        <v>план</v>
      </c>
      <c r="E701" s="42"/>
      <c r="F701" s="42">
        <f t="shared" ref="F701:K701" si="795">F695</f>
        <v>0</v>
      </c>
      <c r="G701" s="42">
        <f t="shared" si="795"/>
        <v>0</v>
      </c>
      <c r="H701" s="42">
        <f t="shared" si="795"/>
        <v>0</v>
      </c>
      <c r="I701" s="42">
        <f t="shared" si="795"/>
        <v>0</v>
      </c>
      <c r="J701" s="42">
        <f t="shared" si="795"/>
        <v>0</v>
      </c>
      <c r="K701" s="42">
        <f t="shared" si="795"/>
        <v>0</v>
      </c>
      <c r="L701" s="42">
        <f>SUM(F701:K701)</f>
        <v>0</v>
      </c>
      <c r="M701" s="42">
        <f>L701/6</f>
        <v>0</v>
      </c>
      <c r="N701" s="42">
        <f t="shared" ref="N701:S701" si="796">N695+N694</f>
        <v>0</v>
      </c>
      <c r="O701" s="42">
        <f t="shared" si="796"/>
        <v>0</v>
      </c>
      <c r="P701" s="42">
        <f t="shared" si="796"/>
        <v>0</v>
      </c>
      <c r="Q701" s="42">
        <f t="shared" si="796"/>
        <v>0</v>
      </c>
      <c r="R701" s="42">
        <f t="shared" si="796"/>
        <v>0</v>
      </c>
      <c r="S701" s="42">
        <f t="shared" si="796"/>
        <v>0</v>
      </c>
      <c r="T701" s="42">
        <f>SUM(N701:S701)</f>
        <v>0</v>
      </c>
      <c r="U701" s="42">
        <f>T701+L701</f>
        <v>0</v>
      </c>
      <c r="V701" s="42">
        <f>V698</f>
        <v>0</v>
      </c>
      <c r="W701" s="42">
        <f>V701-U701</f>
        <v>0</v>
      </c>
    </row>
    <row r="702" spans="1:28" s="43" customFormat="1" ht="18" hidden="1" customHeight="1">
      <c r="A702" s="614"/>
      <c r="B702" s="581"/>
      <c r="C702" s="581"/>
      <c r="D702" s="202" t="str">
        <f>серпень!D625</f>
        <v xml:space="preserve">відхилення </v>
      </c>
      <c r="E702" s="42"/>
      <c r="F702" s="42">
        <f t="shared" ref="F702:K702" si="797">F698-F701</f>
        <v>0</v>
      </c>
      <c r="G702" s="42">
        <f t="shared" si="797"/>
        <v>0</v>
      </c>
      <c r="H702" s="42">
        <f t="shared" si="797"/>
        <v>0</v>
      </c>
      <c r="I702" s="42">
        <f t="shared" si="797"/>
        <v>0</v>
      </c>
      <c r="J702" s="42">
        <f t="shared" si="797"/>
        <v>0</v>
      </c>
      <c r="K702" s="42">
        <f t="shared" si="797"/>
        <v>0</v>
      </c>
      <c r="L702" s="42"/>
      <c r="M702" s="42"/>
      <c r="N702" s="42">
        <f t="shared" ref="N702:S702" si="798">N698-N701</f>
        <v>0</v>
      </c>
      <c r="O702" s="42">
        <f t="shared" si="798"/>
        <v>0</v>
      </c>
      <c r="P702" s="42">
        <f t="shared" si="798"/>
        <v>0</v>
      </c>
      <c r="Q702" s="42">
        <f t="shared" si="798"/>
        <v>0</v>
      </c>
      <c r="R702" s="42">
        <f t="shared" si="798"/>
        <v>0</v>
      </c>
      <c r="S702" s="42">
        <f t="shared" si="798"/>
        <v>0</v>
      </c>
      <c r="T702" s="42"/>
      <c r="U702" s="42"/>
      <c r="V702" s="42"/>
      <c r="W702" s="42"/>
    </row>
    <row r="703" spans="1:28" s="43" customFormat="1" ht="18" hidden="1" customHeight="1">
      <c r="A703" s="614"/>
      <c r="B703" s="581"/>
      <c r="C703" s="581"/>
      <c r="D703" s="202" t="str">
        <f>серпень!D626</f>
        <v>відхилення з наростаючим</v>
      </c>
      <c r="E703" s="42"/>
      <c r="F703" s="42">
        <f>F702</f>
        <v>0</v>
      </c>
      <c r="G703" s="42">
        <f>G702+F703</f>
        <v>0</v>
      </c>
      <c r="H703" s="42">
        <f>H702+G703</f>
        <v>0</v>
      </c>
      <c r="I703" s="42">
        <f>I702+H703</f>
        <v>0</v>
      </c>
      <c r="J703" s="42">
        <f>J702+I703</f>
        <v>0</v>
      </c>
      <c r="K703" s="42">
        <f>K702+J703</f>
        <v>0</v>
      </c>
      <c r="L703" s="42"/>
      <c r="M703" s="42"/>
      <c r="N703" s="42">
        <f>N702+K703</f>
        <v>0</v>
      </c>
      <c r="O703" s="42">
        <f>O702+N703</f>
        <v>0</v>
      </c>
      <c r="P703" s="42">
        <f>P702+O703</f>
        <v>0</v>
      </c>
      <c r="Q703" s="42">
        <f>Q702+P703</f>
        <v>0</v>
      </c>
      <c r="R703" s="42">
        <f>R702+Q703</f>
        <v>0</v>
      </c>
      <c r="S703" s="42">
        <f>S702+R703</f>
        <v>0</v>
      </c>
      <c r="T703" s="42"/>
      <c r="U703" s="42"/>
      <c r="V703" s="42"/>
      <c r="W703" s="42"/>
    </row>
    <row r="704" spans="1:28" s="47" customFormat="1" ht="17.55" hidden="1" customHeight="1">
      <c r="A704" s="614"/>
      <c r="B704" s="585" t="s">
        <v>88</v>
      </c>
      <c r="C704" s="586"/>
      <c r="D704" s="178" t="str">
        <f>серпень!D627</f>
        <v>факт. нат.п-ки 2023</v>
      </c>
      <c r="E704" s="11"/>
      <c r="F704" s="12">
        <f>F719+F734</f>
        <v>0</v>
      </c>
      <c r="G704" s="12">
        <f t="shared" ref="G704:K704" si="799">G719+G734</f>
        <v>0</v>
      </c>
      <c r="H704" s="12">
        <f t="shared" si="799"/>
        <v>0</v>
      </c>
      <c r="I704" s="12">
        <f t="shared" si="799"/>
        <v>0</v>
      </c>
      <c r="J704" s="12">
        <f t="shared" si="799"/>
        <v>0</v>
      </c>
      <c r="K704" s="12">
        <f t="shared" si="799"/>
        <v>0</v>
      </c>
      <c r="L704" s="65">
        <f>SUM(F704:K704)</f>
        <v>0</v>
      </c>
      <c r="M704" s="65">
        <f>L704/6</f>
        <v>0</v>
      </c>
      <c r="N704" s="12">
        <f>N719+N734</f>
        <v>0</v>
      </c>
      <c r="O704" s="12">
        <f t="shared" ref="O704:S704" si="800">O719+O734</f>
        <v>0</v>
      </c>
      <c r="P704" s="12">
        <f t="shared" si="800"/>
        <v>0</v>
      </c>
      <c r="Q704" s="12">
        <f t="shared" si="800"/>
        <v>0</v>
      </c>
      <c r="R704" s="12">
        <f t="shared" si="800"/>
        <v>0</v>
      </c>
      <c r="S704" s="12">
        <f t="shared" si="800"/>
        <v>0</v>
      </c>
      <c r="T704" s="65">
        <f>SUM(N704:S704)</f>
        <v>0</v>
      </c>
      <c r="U704" s="66">
        <f>T704+L704</f>
        <v>0</v>
      </c>
      <c r="V704" s="67"/>
      <c r="W704" s="38">
        <f>V704-U704</f>
        <v>0</v>
      </c>
    </row>
    <row r="705" spans="1:23" s="47" customFormat="1" ht="18" hidden="1" customHeight="1">
      <c r="A705" s="614"/>
      <c r="B705" s="587"/>
      <c r="C705" s="588"/>
      <c r="D705" s="178" t="str">
        <f>серпень!D628</f>
        <v>факт. нат.п-ки 2024</v>
      </c>
      <c r="E705" s="11"/>
      <c r="F705" s="12">
        <f t="shared" ref="F705:K706" si="801">F720+F735</f>
        <v>0</v>
      </c>
      <c r="G705" s="12">
        <f t="shared" si="801"/>
        <v>0</v>
      </c>
      <c r="H705" s="12">
        <f t="shared" si="801"/>
        <v>0</v>
      </c>
      <c r="I705" s="12">
        <f t="shared" si="801"/>
        <v>0</v>
      </c>
      <c r="J705" s="12">
        <f t="shared" si="801"/>
        <v>0</v>
      </c>
      <c r="K705" s="12">
        <f t="shared" si="801"/>
        <v>0</v>
      </c>
      <c r="L705" s="65">
        <f>SUM(F705:K705)</f>
        <v>0</v>
      </c>
      <c r="M705" s="65">
        <f>L705/6</f>
        <v>0</v>
      </c>
      <c r="N705" s="12">
        <f t="shared" ref="N705:S705" si="802">N720+N735</f>
        <v>0</v>
      </c>
      <c r="O705" s="12">
        <f t="shared" si="802"/>
        <v>0</v>
      </c>
      <c r="P705" s="12">
        <f t="shared" si="802"/>
        <v>0</v>
      </c>
      <c r="Q705" s="12">
        <f t="shared" si="802"/>
        <v>0</v>
      </c>
      <c r="R705" s="12">
        <f t="shared" si="802"/>
        <v>0</v>
      </c>
      <c r="S705" s="12">
        <f t="shared" si="802"/>
        <v>0</v>
      </c>
      <c r="T705" s="65">
        <f>SUM(N705:S705)</f>
        <v>0</v>
      </c>
      <c r="U705" s="66">
        <f>T705+L705</f>
        <v>0</v>
      </c>
      <c r="V705" s="67"/>
      <c r="W705" s="38">
        <f>V705-U705</f>
        <v>0</v>
      </c>
    </row>
    <row r="706" spans="1:23" s="47" customFormat="1" ht="18" hidden="1" customHeight="1">
      <c r="A706" s="614"/>
      <c r="B706" s="587"/>
      <c r="C706" s="588"/>
      <c r="D706" s="178" t="str">
        <f>серпень!D629</f>
        <v>факт. нат.п-ки 2025</v>
      </c>
      <c r="E706" s="11"/>
      <c r="F706" s="12">
        <f t="shared" si="801"/>
        <v>0</v>
      </c>
      <c r="G706" s="12">
        <f t="shared" si="801"/>
        <v>0</v>
      </c>
      <c r="H706" s="12">
        <f t="shared" si="801"/>
        <v>0</v>
      </c>
      <c r="I706" s="12">
        <f t="shared" si="801"/>
        <v>0</v>
      </c>
      <c r="J706" s="12">
        <f t="shared" si="801"/>
        <v>0</v>
      </c>
      <c r="K706" s="12">
        <f t="shared" si="801"/>
        <v>0</v>
      </c>
      <c r="L706" s="65">
        <f>SUM(F706:K706)</f>
        <v>0</v>
      </c>
      <c r="M706" s="65">
        <f>L706/6</f>
        <v>0</v>
      </c>
      <c r="N706" s="12">
        <f t="shared" ref="N706:S706" si="803">N721+N736</f>
        <v>0</v>
      </c>
      <c r="O706" s="12">
        <f t="shared" si="803"/>
        <v>0</v>
      </c>
      <c r="P706" s="12">
        <f t="shared" si="803"/>
        <v>0</v>
      </c>
      <c r="Q706" s="12">
        <f t="shared" si="803"/>
        <v>0</v>
      </c>
      <c r="R706" s="12">
        <f t="shared" si="803"/>
        <v>0</v>
      </c>
      <c r="S706" s="12">
        <f t="shared" si="803"/>
        <v>0</v>
      </c>
      <c r="T706" s="65">
        <f>SUM(N706:S706)</f>
        <v>0</v>
      </c>
      <c r="U706" s="66">
        <f>T706+L706</f>
        <v>0</v>
      </c>
      <c r="V706" s="11"/>
      <c r="W706" s="38">
        <f>V706-U706</f>
        <v>0</v>
      </c>
    </row>
    <row r="707" spans="1:23" s="47" customFormat="1" ht="18" hidden="1" customHeight="1">
      <c r="A707" s="614"/>
      <c r="B707" s="587"/>
      <c r="C707" s="588"/>
      <c r="D707" s="187" t="str">
        <f>серпень!D630</f>
        <v>тариф, грн.</v>
      </c>
      <c r="E707" s="49"/>
      <c r="F707" s="49" t="e">
        <f>F708/F706*1000</f>
        <v>#DIV/0!</v>
      </c>
      <c r="G707" s="49" t="e">
        <f t="shared" ref="G707:K707" si="804">G708/G706*1000</f>
        <v>#DIV/0!</v>
      </c>
      <c r="H707" s="49" t="e">
        <f t="shared" si="804"/>
        <v>#DIV/0!</v>
      </c>
      <c r="I707" s="49" t="e">
        <f t="shared" si="804"/>
        <v>#DIV/0!</v>
      </c>
      <c r="J707" s="49" t="e">
        <f t="shared" si="804"/>
        <v>#DIV/0!</v>
      </c>
      <c r="K707" s="49" t="e">
        <f t="shared" si="804"/>
        <v>#DIV/0!</v>
      </c>
      <c r="L707" s="49" t="e">
        <f>L708/L706*1000</f>
        <v>#DIV/0!</v>
      </c>
      <c r="M707" s="49" t="e">
        <f>M708/M706*1000</f>
        <v>#DIV/0!</v>
      </c>
      <c r="N707" s="49" t="e">
        <f>N708/N706*1000</f>
        <v>#DIV/0!</v>
      </c>
      <c r="O707" s="49" t="e">
        <f t="shared" ref="O707" si="805">O708/O706*1000</f>
        <v>#DIV/0!</v>
      </c>
      <c r="P707" s="49" t="e">
        <f t="shared" ref="P707" si="806">P708/P706*1000</f>
        <v>#DIV/0!</v>
      </c>
      <c r="Q707" s="49" t="e">
        <f t="shared" ref="Q707" si="807">Q708/Q706*1000</f>
        <v>#DIV/0!</v>
      </c>
      <c r="R707" s="49" t="e">
        <f t="shared" ref="R707" si="808">R708/R706*1000</f>
        <v>#DIV/0!</v>
      </c>
      <c r="S707" s="49" t="e">
        <f t="shared" ref="S707" si="809">S708/S706*1000</f>
        <v>#DIV/0!</v>
      </c>
      <c r="T707" s="49" t="e">
        <f>T708/T706*1000</f>
        <v>#DIV/0!</v>
      </c>
      <c r="U707" s="49" t="e">
        <f>U708/U706*1000</f>
        <v>#DIV/0!</v>
      </c>
      <c r="V707" s="68" t="e">
        <f>V708/V706*1000</f>
        <v>#DIV/0!</v>
      </c>
      <c r="W707" s="14" t="e">
        <f>W708/W706*1000</f>
        <v>#DIV/0!</v>
      </c>
    </row>
    <row r="708" spans="1:23" s="47" customFormat="1" ht="18" hidden="1" customHeight="1">
      <c r="A708" s="614"/>
      <c r="B708" s="587"/>
      <c r="C708" s="588"/>
      <c r="D708" s="191" t="str">
        <f>серпень!D631</f>
        <v>сума, тис.грн.</v>
      </c>
      <c r="E708" s="52"/>
      <c r="F708" s="52">
        <f>F723+F738</f>
        <v>0</v>
      </c>
      <c r="G708" s="52">
        <f t="shared" ref="G708:K708" si="810">G723+G738</f>
        <v>0</v>
      </c>
      <c r="H708" s="52">
        <f t="shared" si="810"/>
        <v>0</v>
      </c>
      <c r="I708" s="52">
        <f t="shared" si="810"/>
        <v>0</v>
      </c>
      <c r="J708" s="52">
        <f t="shared" si="810"/>
        <v>0</v>
      </c>
      <c r="K708" s="52">
        <f t="shared" si="810"/>
        <v>0</v>
      </c>
      <c r="L708" s="69">
        <f>SUM(F708:K708)</f>
        <v>0</v>
      </c>
      <c r="M708" s="69">
        <f>L708/6</f>
        <v>0</v>
      </c>
      <c r="N708" s="52">
        <f>N723+N738</f>
        <v>0</v>
      </c>
      <c r="O708" s="52">
        <f t="shared" ref="O708:S708" si="811">O723+O738</f>
        <v>0</v>
      </c>
      <c r="P708" s="52">
        <f t="shared" si="811"/>
        <v>0</v>
      </c>
      <c r="Q708" s="52">
        <f t="shared" si="811"/>
        <v>0</v>
      </c>
      <c r="R708" s="52">
        <f t="shared" si="811"/>
        <v>0</v>
      </c>
      <c r="S708" s="52">
        <f t="shared" si="811"/>
        <v>0</v>
      </c>
      <c r="T708" s="69">
        <f>SUM(N708:S708)</f>
        <v>0</v>
      </c>
      <c r="U708" s="69">
        <f>T708+L708</f>
        <v>0</v>
      </c>
      <c r="V708" s="70">
        <f t="shared" ref="V708" si="812">V723+V738</f>
        <v>0</v>
      </c>
      <c r="W708" s="53">
        <f>V708-U708</f>
        <v>0</v>
      </c>
    </row>
    <row r="709" spans="1:23" s="47" customFormat="1" ht="18" hidden="1" customHeight="1">
      <c r="A709" s="614"/>
      <c r="B709" s="587"/>
      <c r="C709" s="588"/>
      <c r="D709" s="174" t="str">
        <f>серпень!D632</f>
        <v>дотація</v>
      </c>
      <c r="E709" s="56"/>
      <c r="F709" s="52">
        <f t="shared" ref="F709:K709" si="813">F724+F739</f>
        <v>0</v>
      </c>
      <c r="G709" s="52">
        <f t="shared" si="813"/>
        <v>0</v>
      </c>
      <c r="H709" s="52">
        <f t="shared" si="813"/>
        <v>0</v>
      </c>
      <c r="I709" s="52">
        <f t="shared" si="813"/>
        <v>0</v>
      </c>
      <c r="J709" s="52">
        <f t="shared" si="813"/>
        <v>0</v>
      </c>
      <c r="K709" s="52">
        <f t="shared" si="813"/>
        <v>0</v>
      </c>
      <c r="L709" s="69">
        <f>SUM(F709:K709)</f>
        <v>0</v>
      </c>
      <c r="M709" s="69">
        <f>L709/6</f>
        <v>0</v>
      </c>
      <c r="N709" s="52">
        <f t="shared" ref="N709:S709" si="814">N724+N739</f>
        <v>0</v>
      </c>
      <c r="O709" s="52">
        <f t="shared" si="814"/>
        <v>0</v>
      </c>
      <c r="P709" s="52">
        <f t="shared" si="814"/>
        <v>0</v>
      </c>
      <c r="Q709" s="52">
        <f t="shared" si="814"/>
        <v>0</v>
      </c>
      <c r="R709" s="52">
        <f t="shared" si="814"/>
        <v>0</v>
      </c>
      <c r="S709" s="52">
        <f t="shared" si="814"/>
        <v>0</v>
      </c>
      <c r="T709" s="69">
        <f>SUM(N709:S709)</f>
        <v>0</v>
      </c>
      <c r="U709" s="69">
        <f>T709+L709</f>
        <v>0</v>
      </c>
      <c r="V709" s="70">
        <f t="shared" ref="V709" si="815">V724+V739</f>
        <v>0</v>
      </c>
      <c r="W709" s="53">
        <f>V709-U709</f>
        <v>0</v>
      </c>
    </row>
    <row r="710" spans="1:23" s="47" customFormat="1" ht="18" hidden="1" customHeight="1">
      <c r="A710" s="614"/>
      <c r="B710" s="587"/>
      <c r="C710" s="588"/>
      <c r="D710" s="174" t="str">
        <f>серпень!D633</f>
        <v>місцевий (план), тис.грн</v>
      </c>
      <c r="E710" s="56"/>
      <c r="F710" s="52">
        <f t="shared" ref="F710:K713" si="816">F725+F740</f>
        <v>0</v>
      </c>
      <c r="G710" s="52">
        <f t="shared" si="816"/>
        <v>0</v>
      </c>
      <c r="H710" s="52">
        <f t="shared" si="816"/>
        <v>0</v>
      </c>
      <c r="I710" s="52">
        <f t="shared" si="816"/>
        <v>0</v>
      </c>
      <c r="J710" s="52">
        <f t="shared" si="816"/>
        <v>0</v>
      </c>
      <c r="K710" s="52">
        <f t="shared" si="816"/>
        <v>0</v>
      </c>
      <c r="L710" s="69">
        <f>SUM(F710:K710)</f>
        <v>0</v>
      </c>
      <c r="M710" s="69">
        <f>L710/6</f>
        <v>0</v>
      </c>
      <c r="N710" s="52">
        <f t="shared" ref="N710:S710" si="817">N725+N740</f>
        <v>0</v>
      </c>
      <c r="O710" s="52">
        <f t="shared" si="817"/>
        <v>0</v>
      </c>
      <c r="P710" s="52">
        <f t="shared" si="817"/>
        <v>0</v>
      </c>
      <c r="Q710" s="52">
        <f t="shared" si="817"/>
        <v>0</v>
      </c>
      <c r="R710" s="52">
        <f t="shared" si="817"/>
        <v>0</v>
      </c>
      <c r="S710" s="52">
        <f t="shared" si="817"/>
        <v>0</v>
      </c>
      <c r="T710" s="69">
        <f>SUM(N710:S710)</f>
        <v>0</v>
      </c>
      <c r="U710" s="69">
        <f>T710+L710</f>
        <v>0</v>
      </c>
      <c r="V710" s="70">
        <f t="shared" ref="V710" si="818">V725+V740</f>
        <v>0</v>
      </c>
      <c r="W710" s="53">
        <f>V710-U710</f>
        <v>0</v>
      </c>
    </row>
    <row r="711" spans="1:23" s="47" customFormat="1" ht="18" hidden="1" customHeight="1">
      <c r="A711" s="614"/>
      <c r="B711" s="587"/>
      <c r="C711" s="588"/>
      <c r="D711" s="178" t="str">
        <f>серпень!D634</f>
        <v>касові нат.п-ки 2025</v>
      </c>
      <c r="E711" s="11"/>
      <c r="F711" s="11">
        <f t="shared" si="816"/>
        <v>0</v>
      </c>
      <c r="G711" s="11">
        <f t="shared" si="816"/>
        <v>0</v>
      </c>
      <c r="H711" s="11">
        <f t="shared" si="816"/>
        <v>0</v>
      </c>
      <c r="I711" s="11">
        <f t="shared" si="816"/>
        <v>0</v>
      </c>
      <c r="J711" s="11">
        <f t="shared" si="816"/>
        <v>0</v>
      </c>
      <c r="K711" s="11">
        <f t="shared" si="816"/>
        <v>0</v>
      </c>
      <c r="L711" s="65">
        <f>SUM(F711:K711)</f>
        <v>0</v>
      </c>
      <c r="M711" s="65">
        <f>L711/6</f>
        <v>0</v>
      </c>
      <c r="N711" s="11">
        <f t="shared" ref="N711:S711" si="819">N726+N741</f>
        <v>0</v>
      </c>
      <c r="O711" s="11">
        <f t="shared" si="819"/>
        <v>0</v>
      </c>
      <c r="P711" s="11">
        <f t="shared" si="819"/>
        <v>0</v>
      </c>
      <c r="Q711" s="11">
        <f t="shared" si="819"/>
        <v>0</v>
      </c>
      <c r="R711" s="11">
        <f t="shared" si="819"/>
        <v>0</v>
      </c>
      <c r="S711" s="11">
        <f t="shared" si="819"/>
        <v>0</v>
      </c>
      <c r="T711" s="65">
        <f>SUM(N711:S711)</f>
        <v>0</v>
      </c>
      <c r="U711" s="65">
        <f>T711+L711</f>
        <v>0</v>
      </c>
      <c r="V711" s="11">
        <f t="shared" ref="V711" si="820">V726+V741</f>
        <v>0</v>
      </c>
      <c r="W711" s="38">
        <f>V711-U711</f>
        <v>0</v>
      </c>
    </row>
    <row r="712" spans="1:23" s="47" customFormat="1" ht="18" hidden="1" customHeight="1">
      <c r="A712" s="614"/>
      <c r="B712" s="587"/>
      <c r="C712" s="588"/>
      <c r="D712" s="187" t="str">
        <f>серпень!D635</f>
        <v>тариф, грн.</v>
      </c>
      <c r="E712" s="49" t="e">
        <f>E713/E711*1000</f>
        <v>#DIV/0!</v>
      </c>
      <c r="F712" s="49" t="e">
        <f>F713/F711*1000</f>
        <v>#DIV/0!</v>
      </c>
      <c r="G712" s="49" t="e">
        <f t="shared" ref="G712" si="821">G713/G711*1000</f>
        <v>#DIV/0!</v>
      </c>
      <c r="H712" s="49" t="e">
        <f t="shared" ref="H712" si="822">H713/H711*1000</f>
        <v>#DIV/0!</v>
      </c>
      <c r="I712" s="49" t="e">
        <f t="shared" ref="I712" si="823">I713/I711*1000</f>
        <v>#DIV/0!</v>
      </c>
      <c r="J712" s="49" t="e">
        <f t="shared" ref="J712" si="824">J713/J711*1000</f>
        <v>#DIV/0!</v>
      </c>
      <c r="K712" s="49" t="e">
        <f t="shared" ref="K712" si="825">K713/K711*1000</f>
        <v>#DIV/0!</v>
      </c>
      <c r="L712" s="49" t="e">
        <f>L713/L711*1000</f>
        <v>#DIV/0!</v>
      </c>
      <c r="M712" s="49" t="e">
        <f>M713/M711*1000</f>
        <v>#DIV/0!</v>
      </c>
      <c r="N712" s="49" t="e">
        <f>N713/N711*1000</f>
        <v>#DIV/0!</v>
      </c>
      <c r="O712" s="49" t="e">
        <f t="shared" ref="O712" si="826">O713/O711*1000</f>
        <v>#DIV/0!</v>
      </c>
      <c r="P712" s="49" t="e">
        <f t="shared" ref="P712" si="827">P713/P711*1000</f>
        <v>#DIV/0!</v>
      </c>
      <c r="Q712" s="49" t="e">
        <f t="shared" ref="Q712" si="828">Q713/Q711*1000</f>
        <v>#DIV/0!</v>
      </c>
      <c r="R712" s="49" t="e">
        <f t="shared" ref="R712" si="829">R713/R711*1000</f>
        <v>#DIV/0!</v>
      </c>
      <c r="S712" s="49" t="e">
        <f t="shared" ref="S712" si="830">S713/S711*1000</f>
        <v>#DIV/0!</v>
      </c>
      <c r="T712" s="49" t="e">
        <f>T713/T711*1000</f>
        <v>#DIV/0!</v>
      </c>
      <c r="U712" s="49" t="e">
        <f>U713/U711*1000</f>
        <v>#DIV/0!</v>
      </c>
      <c r="V712" s="68" t="e">
        <f t="shared" ref="V712" si="831">V713/V711*1000</f>
        <v>#DIV/0!</v>
      </c>
      <c r="W712" s="14" t="e">
        <f>W713/W711*1000</f>
        <v>#DIV/0!</v>
      </c>
    </row>
    <row r="713" spans="1:23" s="47" customFormat="1" ht="18" hidden="1" customHeight="1">
      <c r="A713" s="614"/>
      <c r="B713" s="587"/>
      <c r="C713" s="588"/>
      <c r="D713" s="198" t="str">
        <f>серпень!D636</f>
        <v>касові видатки, тис.грн.</v>
      </c>
      <c r="E713" s="71"/>
      <c r="F713" s="61">
        <f t="shared" si="816"/>
        <v>0</v>
      </c>
      <c r="G713" s="61">
        <f t="shared" si="816"/>
        <v>0</v>
      </c>
      <c r="H713" s="61">
        <f t="shared" si="816"/>
        <v>0</v>
      </c>
      <c r="I713" s="61">
        <f t="shared" si="816"/>
        <v>0</v>
      </c>
      <c r="J713" s="61">
        <f t="shared" si="816"/>
        <v>0</v>
      </c>
      <c r="K713" s="61">
        <f t="shared" si="816"/>
        <v>0</v>
      </c>
      <c r="L713" s="61">
        <f>SUM(F713:K713)</f>
        <v>0</v>
      </c>
      <c r="M713" s="61">
        <f>L713/6</f>
        <v>0</v>
      </c>
      <c r="N713" s="61">
        <f t="shared" ref="N713:S713" si="832">N728+N743</f>
        <v>0</v>
      </c>
      <c r="O713" s="61">
        <f t="shared" si="832"/>
        <v>0</v>
      </c>
      <c r="P713" s="61">
        <f t="shared" si="832"/>
        <v>0</v>
      </c>
      <c r="Q713" s="61">
        <f t="shared" si="832"/>
        <v>0</v>
      </c>
      <c r="R713" s="61">
        <f t="shared" si="832"/>
        <v>0</v>
      </c>
      <c r="S713" s="61">
        <f t="shared" si="832"/>
        <v>0</v>
      </c>
      <c r="T713" s="61">
        <f>SUM(N713:S713)</f>
        <v>0</v>
      </c>
      <c r="U713" s="61">
        <f>T713+L713</f>
        <v>0</v>
      </c>
      <c r="V713" s="61">
        <f t="shared" ref="V713" si="833">V728+V743</f>
        <v>0</v>
      </c>
      <c r="W713" s="72">
        <f>V713-U713</f>
        <v>0</v>
      </c>
    </row>
    <row r="714" spans="1:23" s="47" customFormat="1" ht="18" hidden="1" customHeight="1">
      <c r="A714" s="614"/>
      <c r="B714" s="587"/>
      <c r="C714" s="588"/>
      <c r="D714" s="201" t="str">
        <f>серпень!D637</f>
        <v>дотація</v>
      </c>
      <c r="E714" s="71"/>
      <c r="F714" s="61">
        <f t="shared" ref="F714:K714" si="834">F729+F744</f>
        <v>0</v>
      </c>
      <c r="G714" s="61">
        <f t="shared" si="834"/>
        <v>0</v>
      </c>
      <c r="H714" s="61">
        <f t="shared" si="834"/>
        <v>0</v>
      </c>
      <c r="I714" s="61">
        <f t="shared" si="834"/>
        <v>0</v>
      </c>
      <c r="J714" s="61">
        <f t="shared" si="834"/>
        <v>0</v>
      </c>
      <c r="K714" s="61">
        <f t="shared" si="834"/>
        <v>0</v>
      </c>
      <c r="L714" s="61">
        <f>SUM(F714:K714)</f>
        <v>0</v>
      </c>
      <c r="M714" s="61">
        <f>L714/6</f>
        <v>0</v>
      </c>
      <c r="N714" s="61">
        <f t="shared" ref="N714:S714" si="835">N729+N744</f>
        <v>0</v>
      </c>
      <c r="O714" s="61">
        <f t="shared" si="835"/>
        <v>0</v>
      </c>
      <c r="P714" s="61">
        <f t="shared" si="835"/>
        <v>0</v>
      </c>
      <c r="Q714" s="61">
        <f t="shared" si="835"/>
        <v>0</v>
      </c>
      <c r="R714" s="61">
        <f t="shared" si="835"/>
        <v>0</v>
      </c>
      <c r="S714" s="61">
        <f t="shared" si="835"/>
        <v>0</v>
      </c>
      <c r="T714" s="61">
        <f>SUM(N714:S714)</f>
        <v>0</v>
      </c>
      <c r="U714" s="61">
        <f>T714+L714</f>
        <v>0</v>
      </c>
      <c r="V714" s="61">
        <f t="shared" ref="V714" si="836">V729+V744</f>
        <v>0</v>
      </c>
      <c r="W714" s="72">
        <f>V714-U714</f>
        <v>0</v>
      </c>
    </row>
    <row r="715" spans="1:23" s="47" customFormat="1" ht="18" hidden="1" customHeight="1">
      <c r="A715" s="614"/>
      <c r="B715" s="587"/>
      <c r="C715" s="588"/>
      <c r="D715" s="201" t="str">
        <f>серпень!D638</f>
        <v xml:space="preserve">місцевий </v>
      </c>
      <c r="E715" s="71"/>
      <c r="F715" s="61">
        <f t="shared" ref="F715:K715" si="837">F730+F745</f>
        <v>0</v>
      </c>
      <c r="G715" s="61">
        <f t="shared" si="837"/>
        <v>0</v>
      </c>
      <c r="H715" s="61">
        <f t="shared" si="837"/>
        <v>0</v>
      </c>
      <c r="I715" s="61">
        <f t="shared" si="837"/>
        <v>0</v>
      </c>
      <c r="J715" s="61">
        <f t="shared" si="837"/>
        <v>0</v>
      </c>
      <c r="K715" s="61">
        <f t="shared" si="837"/>
        <v>0</v>
      </c>
      <c r="L715" s="61">
        <f>SUM(F715:K715)</f>
        <v>0</v>
      </c>
      <c r="M715" s="61">
        <f>L715/6</f>
        <v>0</v>
      </c>
      <c r="N715" s="61">
        <f t="shared" ref="N715:S715" si="838">N730+N745</f>
        <v>0</v>
      </c>
      <c r="O715" s="61">
        <f t="shared" si="838"/>
        <v>0</v>
      </c>
      <c r="P715" s="61">
        <f t="shared" si="838"/>
        <v>0</v>
      </c>
      <c r="Q715" s="61">
        <f t="shared" si="838"/>
        <v>0</v>
      </c>
      <c r="R715" s="61">
        <f t="shared" si="838"/>
        <v>0</v>
      </c>
      <c r="S715" s="61">
        <f t="shared" si="838"/>
        <v>0</v>
      </c>
      <c r="T715" s="61">
        <f>SUM(N715:S715)</f>
        <v>0</v>
      </c>
      <c r="U715" s="61">
        <f>T715+L715</f>
        <v>0</v>
      </c>
      <c r="V715" s="61">
        <f t="shared" ref="V715" si="839">V730+V745</f>
        <v>0</v>
      </c>
      <c r="W715" s="72">
        <f>V715-U715</f>
        <v>0</v>
      </c>
    </row>
    <row r="716" spans="1:23" s="47" customFormat="1" ht="18" hidden="1" customHeight="1">
      <c r="A716" s="614"/>
      <c r="B716" s="587"/>
      <c r="C716" s="588"/>
      <c r="D716" s="202" t="str">
        <f>серпень!D639</f>
        <v>план</v>
      </c>
      <c r="E716" s="42"/>
      <c r="F716" s="42">
        <f>F710</f>
        <v>0</v>
      </c>
      <c r="G716" s="42">
        <f t="shared" ref="G716:K716" si="840">G710</f>
        <v>0</v>
      </c>
      <c r="H716" s="42">
        <f t="shared" si="840"/>
        <v>0</v>
      </c>
      <c r="I716" s="42">
        <f t="shared" si="840"/>
        <v>0</v>
      </c>
      <c r="J716" s="42">
        <f t="shared" si="840"/>
        <v>0</v>
      </c>
      <c r="K716" s="42">
        <f t="shared" si="840"/>
        <v>0</v>
      </c>
      <c r="L716" s="42">
        <f>SUM(F716:K716)</f>
        <v>0</v>
      </c>
      <c r="M716" s="42">
        <f>L716/6</f>
        <v>0</v>
      </c>
      <c r="N716" s="42">
        <f t="shared" ref="N716:S716" si="841">N710+N709</f>
        <v>0</v>
      </c>
      <c r="O716" s="42">
        <f t="shared" si="841"/>
        <v>0</v>
      </c>
      <c r="P716" s="42">
        <f t="shared" si="841"/>
        <v>0</v>
      </c>
      <c r="Q716" s="42">
        <f t="shared" si="841"/>
        <v>0</v>
      </c>
      <c r="R716" s="42">
        <f t="shared" si="841"/>
        <v>0</v>
      </c>
      <c r="S716" s="42">
        <f t="shared" si="841"/>
        <v>0</v>
      </c>
      <c r="T716" s="42">
        <f>SUM(N716:S716)</f>
        <v>0</v>
      </c>
      <c r="U716" s="42">
        <f>T716+L716</f>
        <v>0</v>
      </c>
      <c r="V716" s="42">
        <f>V713</f>
        <v>0</v>
      </c>
      <c r="W716" s="42">
        <f>V716-U716</f>
        <v>0</v>
      </c>
    </row>
    <row r="717" spans="1:23" s="47" customFormat="1" ht="18" hidden="1" customHeight="1">
      <c r="A717" s="614"/>
      <c r="B717" s="587"/>
      <c r="C717" s="588"/>
      <c r="D717" s="202" t="str">
        <f>серпень!D640</f>
        <v xml:space="preserve">відхилення </v>
      </c>
      <c r="E717" s="42"/>
      <c r="F717" s="42">
        <f t="shared" ref="F717:K717" si="842">F713-F716</f>
        <v>0</v>
      </c>
      <c r="G717" s="42">
        <f t="shared" si="842"/>
        <v>0</v>
      </c>
      <c r="H717" s="42">
        <f t="shared" si="842"/>
        <v>0</v>
      </c>
      <c r="I717" s="42">
        <f t="shared" si="842"/>
        <v>0</v>
      </c>
      <c r="J717" s="42">
        <f t="shared" si="842"/>
        <v>0</v>
      </c>
      <c r="K717" s="42">
        <f t="shared" si="842"/>
        <v>0</v>
      </c>
      <c r="L717" s="42"/>
      <c r="M717" s="42"/>
      <c r="N717" s="42">
        <f t="shared" ref="N717:S717" si="843">N713-N716</f>
        <v>0</v>
      </c>
      <c r="O717" s="42">
        <f t="shared" si="843"/>
        <v>0</v>
      </c>
      <c r="P717" s="42">
        <f t="shared" si="843"/>
        <v>0</v>
      </c>
      <c r="Q717" s="42">
        <f t="shared" si="843"/>
        <v>0</v>
      </c>
      <c r="R717" s="42">
        <f t="shared" si="843"/>
        <v>0</v>
      </c>
      <c r="S717" s="42">
        <f t="shared" si="843"/>
        <v>0</v>
      </c>
      <c r="T717" s="42"/>
      <c r="U717" s="42"/>
      <c r="V717" s="42"/>
      <c r="W717" s="42"/>
    </row>
    <row r="718" spans="1:23" s="47" customFormat="1" ht="18" hidden="1" customHeight="1">
      <c r="A718" s="614"/>
      <c r="B718" s="589"/>
      <c r="C718" s="590"/>
      <c r="D718" s="202" t="str">
        <f>серпень!D641</f>
        <v>відхилення з наростаючим</v>
      </c>
      <c r="E718" s="42"/>
      <c r="F718" s="42">
        <f>F717</f>
        <v>0</v>
      </c>
      <c r="G718" s="42">
        <f>G717+F718</f>
        <v>0</v>
      </c>
      <c r="H718" s="42">
        <f>H717+G718</f>
        <v>0</v>
      </c>
      <c r="I718" s="42">
        <f>I717+H718</f>
        <v>0</v>
      </c>
      <c r="J718" s="42">
        <f>J717+I718</f>
        <v>0</v>
      </c>
      <c r="K718" s="42">
        <f>K717+J718</f>
        <v>0</v>
      </c>
      <c r="L718" s="42"/>
      <c r="M718" s="42"/>
      <c r="N718" s="42">
        <f>N717+K718</f>
        <v>0</v>
      </c>
      <c r="O718" s="42">
        <f>O717+N718</f>
        <v>0</v>
      </c>
      <c r="P718" s="42">
        <f>P717+O718</f>
        <v>0</v>
      </c>
      <c r="Q718" s="42">
        <f>Q717+P718</f>
        <v>0</v>
      </c>
      <c r="R718" s="42">
        <f>R717+Q718</f>
        <v>0</v>
      </c>
      <c r="S718" s="42">
        <f>S717+R718</f>
        <v>0</v>
      </c>
      <c r="T718" s="42"/>
      <c r="U718" s="42"/>
      <c r="V718" s="42"/>
      <c r="W718" s="42"/>
    </row>
    <row r="719" spans="1:23" s="47" customFormat="1" ht="17.55" hidden="1" customHeight="1">
      <c r="A719" s="614"/>
      <c r="B719" s="580" t="s">
        <v>125</v>
      </c>
      <c r="C719" s="575"/>
      <c r="D719" s="178" t="str">
        <f>серпень!D642</f>
        <v>факт. нат.п-ки 2023</v>
      </c>
      <c r="E719" s="11"/>
      <c r="F719" s="12"/>
      <c r="G719" s="12"/>
      <c r="H719" s="12"/>
      <c r="I719" s="12"/>
      <c r="J719" s="12"/>
      <c r="K719" s="12"/>
      <c r="L719" s="65">
        <f>SUM(F719:K719)</f>
        <v>0</v>
      </c>
      <c r="M719" s="65">
        <f>L719/6</f>
        <v>0</v>
      </c>
      <c r="N719" s="12"/>
      <c r="O719" s="12"/>
      <c r="P719" s="12"/>
      <c r="Q719" s="12"/>
      <c r="R719" s="12"/>
      <c r="S719" s="12"/>
      <c r="T719" s="65">
        <f>SUM(N719:S719)</f>
        <v>0</v>
      </c>
      <c r="U719" s="66">
        <f>T719+L719</f>
        <v>0</v>
      </c>
      <c r="V719" s="67"/>
      <c r="W719" s="38">
        <f>V719-U719</f>
        <v>0</v>
      </c>
    </row>
    <row r="720" spans="1:23" s="47" customFormat="1" ht="18" hidden="1" customHeight="1">
      <c r="A720" s="614"/>
      <c r="B720" s="576"/>
      <c r="C720" s="577"/>
      <c r="D720" s="178" t="str">
        <f>серпень!D643</f>
        <v>факт. нат.п-ки 2024</v>
      </c>
      <c r="E720" s="11"/>
      <c r="F720" s="12"/>
      <c r="G720" s="12"/>
      <c r="H720" s="12"/>
      <c r="I720" s="12"/>
      <c r="J720" s="12"/>
      <c r="K720" s="12"/>
      <c r="L720" s="65">
        <f>SUM(F720:K720)</f>
        <v>0</v>
      </c>
      <c r="M720" s="65">
        <f>L720/6</f>
        <v>0</v>
      </c>
      <c r="N720" s="11"/>
      <c r="O720" s="11"/>
      <c r="P720" s="11"/>
      <c r="Q720" s="11"/>
      <c r="R720" s="11"/>
      <c r="S720" s="11"/>
      <c r="T720" s="65">
        <f>SUM(N720:S720)</f>
        <v>0</v>
      </c>
      <c r="U720" s="66">
        <f>T720+L720</f>
        <v>0</v>
      </c>
      <c r="V720" s="67"/>
      <c r="W720" s="38">
        <f>V720-U720</f>
        <v>0</v>
      </c>
    </row>
    <row r="721" spans="1:23" s="47" customFormat="1" ht="18" hidden="1" customHeight="1">
      <c r="A721" s="614"/>
      <c r="B721" s="576"/>
      <c r="C721" s="577"/>
      <c r="D721" s="178" t="str">
        <f>серпень!D644</f>
        <v>факт. нат.п-ки 2025</v>
      </c>
      <c r="E721" s="11"/>
      <c r="F721" s="12"/>
      <c r="G721" s="12"/>
      <c r="H721" s="12"/>
      <c r="I721" s="12"/>
      <c r="J721" s="12"/>
      <c r="K721" s="12"/>
      <c r="L721" s="65">
        <f>SUM(F721:K721)</f>
        <v>0</v>
      </c>
      <c r="M721" s="65">
        <f>L721/6</f>
        <v>0</v>
      </c>
      <c r="N721" s="12"/>
      <c r="O721" s="12"/>
      <c r="P721" s="12"/>
      <c r="Q721" s="12"/>
      <c r="R721" s="12"/>
      <c r="S721" s="11"/>
      <c r="T721" s="65">
        <f>SUM(N721:S721)</f>
        <v>0</v>
      </c>
      <c r="U721" s="66">
        <f>T721+L721</f>
        <v>0</v>
      </c>
      <c r="V721" s="11"/>
      <c r="W721" s="38">
        <f>V721-U721</f>
        <v>0</v>
      </c>
    </row>
    <row r="722" spans="1:23" s="47" customFormat="1" ht="18" hidden="1" customHeight="1">
      <c r="A722" s="614"/>
      <c r="B722" s="576"/>
      <c r="C722" s="577"/>
      <c r="D722" s="187" t="str">
        <f>серпень!D645</f>
        <v>тариф, грн.</v>
      </c>
      <c r="E722" s="49"/>
      <c r="F722" s="49">
        <v>0</v>
      </c>
      <c r="G722" s="49">
        <v>0</v>
      </c>
      <c r="H722" s="49">
        <v>0</v>
      </c>
      <c r="I722" s="49">
        <v>0</v>
      </c>
      <c r="J722" s="49">
        <v>0</v>
      </c>
      <c r="K722" s="49">
        <v>0</v>
      </c>
      <c r="L722" s="49" t="e">
        <f>L723/L721*1000</f>
        <v>#DIV/0!</v>
      </c>
      <c r="M722" s="49" t="e">
        <f>M723/M721*1000</f>
        <v>#DIV/0!</v>
      </c>
      <c r="N722" s="49">
        <v>0</v>
      </c>
      <c r="O722" s="49">
        <v>0</v>
      </c>
      <c r="P722" s="49">
        <v>0</v>
      </c>
      <c r="Q722" s="49">
        <v>0</v>
      </c>
      <c r="R722" s="49">
        <v>0</v>
      </c>
      <c r="S722" s="49">
        <v>0</v>
      </c>
      <c r="T722" s="49" t="e">
        <f>T723/T721*1000</f>
        <v>#DIV/0!</v>
      </c>
      <c r="U722" s="49" t="e">
        <f>U723/U721*1000</f>
        <v>#DIV/0!</v>
      </c>
      <c r="V722" s="68" t="e">
        <f>V723/V721*1000</f>
        <v>#DIV/0!</v>
      </c>
      <c r="W722" s="14" t="e">
        <f>W723/W721*1000</f>
        <v>#DIV/0!</v>
      </c>
    </row>
    <row r="723" spans="1:23" s="47" customFormat="1" ht="18" hidden="1" customHeight="1">
      <c r="A723" s="614"/>
      <c r="B723" s="576"/>
      <c r="C723" s="577"/>
      <c r="D723" s="191" t="str">
        <f>серпень!D646</f>
        <v>сума, тис.грн.</v>
      </c>
      <c r="E723" s="52"/>
      <c r="F723" s="52">
        <f>F721*F722/1000</f>
        <v>0</v>
      </c>
      <c r="G723" s="52">
        <f t="shared" ref="G723:K723" si="844">G721*G722/1000</f>
        <v>0</v>
      </c>
      <c r="H723" s="52">
        <f t="shared" si="844"/>
        <v>0</v>
      </c>
      <c r="I723" s="52">
        <f t="shared" si="844"/>
        <v>0</v>
      </c>
      <c r="J723" s="52">
        <f t="shared" si="844"/>
        <v>0</v>
      </c>
      <c r="K723" s="52">
        <f t="shared" si="844"/>
        <v>0</v>
      </c>
      <c r="L723" s="69">
        <f>SUM(F723:K723)</f>
        <v>0</v>
      </c>
      <c r="M723" s="69">
        <f>L723/6</f>
        <v>0</v>
      </c>
      <c r="N723" s="52">
        <f>N721*N722/1000</f>
        <v>0</v>
      </c>
      <c r="O723" s="52">
        <f t="shared" ref="O723" si="845">O721*O722/1000</f>
        <v>0</v>
      </c>
      <c r="P723" s="52">
        <f t="shared" ref="P723" si="846">P721*P722/1000</f>
        <v>0</v>
      </c>
      <c r="Q723" s="52">
        <f t="shared" ref="Q723" si="847">Q721*Q722/1000</f>
        <v>0</v>
      </c>
      <c r="R723" s="52">
        <f t="shared" ref="R723" si="848">R721*R722/1000</f>
        <v>0</v>
      </c>
      <c r="S723" s="52">
        <f t="shared" ref="S723" si="849">S721*S722/1000</f>
        <v>0</v>
      </c>
      <c r="T723" s="69">
        <f>SUM(N723:S723)</f>
        <v>0</v>
      </c>
      <c r="U723" s="69">
        <f>T723+L723</f>
        <v>0</v>
      </c>
      <c r="V723" s="70">
        <f>V724+V725</f>
        <v>0</v>
      </c>
      <c r="W723" s="53">
        <f>V723-U723</f>
        <v>0</v>
      </c>
    </row>
    <row r="724" spans="1:23" s="47" customFormat="1" ht="18" hidden="1" customHeight="1">
      <c r="A724" s="614"/>
      <c r="B724" s="576"/>
      <c r="C724" s="577"/>
      <c r="D724" s="174" t="str">
        <f>серпень!D647</f>
        <v>дотація</v>
      </c>
      <c r="E724" s="56"/>
      <c r="F724" s="52"/>
      <c r="G724" s="52"/>
      <c r="H724" s="52"/>
      <c r="I724" s="52"/>
      <c r="J724" s="52"/>
      <c r="K724" s="52"/>
      <c r="L724" s="69">
        <f>SUM(F724:K724)</f>
        <v>0</v>
      </c>
      <c r="M724" s="69">
        <f>L724/6</f>
        <v>0</v>
      </c>
      <c r="N724" s="52"/>
      <c r="O724" s="52"/>
      <c r="P724" s="52"/>
      <c r="Q724" s="52"/>
      <c r="R724" s="52"/>
      <c r="S724" s="52"/>
      <c r="T724" s="69">
        <f>SUM(N724:S724)</f>
        <v>0</v>
      </c>
      <c r="U724" s="69">
        <f>T724+L724</f>
        <v>0</v>
      </c>
      <c r="V724" s="70">
        <v>0</v>
      </c>
      <c r="W724" s="53">
        <f>V724-U724</f>
        <v>0</v>
      </c>
    </row>
    <row r="725" spans="1:23" s="47" customFormat="1" ht="18" hidden="1" customHeight="1">
      <c r="A725" s="614"/>
      <c r="B725" s="576"/>
      <c r="C725" s="577"/>
      <c r="D725" s="174" t="str">
        <f>серпень!D648</f>
        <v>місцевий (план), тис.грн</v>
      </c>
      <c r="E725" s="56"/>
      <c r="F725" s="52"/>
      <c r="G725" s="52"/>
      <c r="H725" s="52"/>
      <c r="I725" s="52"/>
      <c r="J725" s="52"/>
      <c r="K725" s="52"/>
      <c r="L725" s="69">
        <f>SUM(F725:K725)</f>
        <v>0</v>
      </c>
      <c r="M725" s="69">
        <f>L725/6</f>
        <v>0</v>
      </c>
      <c r="N725" s="52"/>
      <c r="O725" s="52"/>
      <c r="P725" s="52"/>
      <c r="Q725" s="52"/>
      <c r="R725" s="52"/>
      <c r="S725" s="52"/>
      <c r="T725" s="69">
        <f>SUM(N725:S725)</f>
        <v>0</v>
      </c>
      <c r="U725" s="69">
        <f>T725+L725</f>
        <v>0</v>
      </c>
      <c r="V725" s="70"/>
      <c r="W725" s="53">
        <f>V725-U725</f>
        <v>0</v>
      </c>
    </row>
    <row r="726" spans="1:23" s="47" customFormat="1" ht="18" hidden="1" customHeight="1">
      <c r="A726" s="614"/>
      <c r="B726" s="576"/>
      <c r="C726" s="577"/>
      <c r="D726" s="178" t="str">
        <f>серпень!D649</f>
        <v>касові нат.п-ки 2025</v>
      </c>
      <c r="E726" s="11"/>
      <c r="F726" s="11"/>
      <c r="G726" s="11"/>
      <c r="H726" s="11"/>
      <c r="I726" s="11"/>
      <c r="J726" s="11"/>
      <c r="K726" s="11"/>
      <c r="L726" s="65">
        <f>SUM(F726:K726)</f>
        <v>0</v>
      </c>
      <c r="M726" s="65">
        <f>L726/6</f>
        <v>0</v>
      </c>
      <c r="N726" s="11"/>
      <c r="O726" s="11"/>
      <c r="P726" s="11"/>
      <c r="Q726" s="11"/>
      <c r="R726" s="11"/>
      <c r="S726" s="11"/>
      <c r="T726" s="65">
        <f>SUM(N726:S726)</f>
        <v>0</v>
      </c>
      <c r="U726" s="65">
        <f>T726+L726</f>
        <v>0</v>
      </c>
      <c r="V726" s="11">
        <f>V721</f>
        <v>0</v>
      </c>
      <c r="W726" s="38">
        <f>V726-U726</f>
        <v>0</v>
      </c>
    </row>
    <row r="727" spans="1:23" s="47" customFormat="1" ht="18" hidden="1" customHeight="1">
      <c r="A727" s="614"/>
      <c r="B727" s="576"/>
      <c r="C727" s="577"/>
      <c r="D727" s="187" t="str">
        <f>серпень!D650</f>
        <v>тариф, грн.</v>
      </c>
      <c r="E727" s="49" t="e">
        <f>E728/E726*1000</f>
        <v>#DIV/0!</v>
      </c>
      <c r="F727" s="49">
        <v>0</v>
      </c>
      <c r="G727" s="49">
        <v>0</v>
      </c>
      <c r="H727" s="49">
        <v>0</v>
      </c>
      <c r="I727" s="49">
        <v>0</v>
      </c>
      <c r="J727" s="49">
        <v>0</v>
      </c>
      <c r="K727" s="49">
        <v>0</v>
      </c>
      <c r="L727" s="49" t="e">
        <f>L728/L726*1000</f>
        <v>#DIV/0!</v>
      </c>
      <c r="M727" s="49" t="e">
        <f>M728/M726*1000</f>
        <v>#DIV/0!</v>
      </c>
      <c r="N727" s="49">
        <v>0</v>
      </c>
      <c r="O727" s="49">
        <v>0</v>
      </c>
      <c r="P727" s="49">
        <v>0</v>
      </c>
      <c r="Q727" s="49">
        <v>0</v>
      </c>
      <c r="R727" s="49">
        <v>0</v>
      </c>
      <c r="S727" s="49">
        <v>0</v>
      </c>
      <c r="T727" s="49" t="e">
        <f>T728/T726*1000</f>
        <v>#DIV/0!</v>
      </c>
      <c r="U727" s="49" t="e">
        <f>U728/U726*1000</f>
        <v>#DIV/0!</v>
      </c>
      <c r="V727" s="68" t="e">
        <f>V728/V726*1000</f>
        <v>#DIV/0!</v>
      </c>
      <c r="W727" s="14" t="e">
        <f>W728/W726*1000</f>
        <v>#DIV/0!</v>
      </c>
    </row>
    <row r="728" spans="1:23" s="47" customFormat="1" ht="18" hidden="1" customHeight="1">
      <c r="A728" s="614"/>
      <c r="B728" s="576"/>
      <c r="C728" s="577"/>
      <c r="D728" s="198" t="str">
        <f>серпень!D651</f>
        <v>касові видатки, тис.грн.</v>
      </c>
      <c r="E728" s="71"/>
      <c r="F728" s="61">
        <f>F726*F727/1000</f>
        <v>0</v>
      </c>
      <c r="G728" s="61">
        <f t="shared" ref="G728" si="850">G726*G727/1000</f>
        <v>0</v>
      </c>
      <c r="H728" s="61">
        <f t="shared" ref="H728" si="851">H726*H727/1000</f>
        <v>0</v>
      </c>
      <c r="I728" s="61">
        <f t="shared" ref="I728" si="852">I726*I727/1000</f>
        <v>0</v>
      </c>
      <c r="J728" s="61">
        <f t="shared" ref="J728" si="853">J726*J727/1000</f>
        <v>0</v>
      </c>
      <c r="K728" s="61">
        <f t="shared" ref="K728" si="854">K726*K727/1000</f>
        <v>0</v>
      </c>
      <c r="L728" s="61">
        <f>SUM(F728:K728)</f>
        <v>0</v>
      </c>
      <c r="M728" s="61">
        <f>L728/6</f>
        <v>0</v>
      </c>
      <c r="N728" s="61">
        <f>N726*N727/1000</f>
        <v>0</v>
      </c>
      <c r="O728" s="61">
        <f t="shared" ref="O728" si="855">O726*O727/1000</f>
        <v>0</v>
      </c>
      <c r="P728" s="61">
        <f t="shared" ref="P728" si="856">P726*P727/1000</f>
        <v>0</v>
      </c>
      <c r="Q728" s="61">
        <f t="shared" ref="Q728" si="857">Q726*Q727/1000</f>
        <v>0</v>
      </c>
      <c r="R728" s="61">
        <f t="shared" ref="R728" si="858">R726*R727/1000</f>
        <v>0</v>
      </c>
      <c r="S728" s="61">
        <f t="shared" ref="S728" si="859">S726*S727/1000</f>
        <v>0</v>
      </c>
      <c r="T728" s="61">
        <f>SUM(N728:S728)</f>
        <v>0</v>
      </c>
      <c r="U728" s="61">
        <f>T728+L728</f>
        <v>0</v>
      </c>
      <c r="V728" s="61">
        <f>V723</f>
        <v>0</v>
      </c>
      <c r="W728" s="72">
        <f>V728-U728</f>
        <v>0</v>
      </c>
    </row>
    <row r="729" spans="1:23" s="47" customFormat="1" ht="18" hidden="1" customHeight="1">
      <c r="A729" s="614"/>
      <c r="B729" s="576"/>
      <c r="C729" s="577"/>
      <c r="D729" s="201" t="str">
        <f>серпень!D652</f>
        <v>дотація</v>
      </c>
      <c r="E729" s="71"/>
      <c r="F729" s="61"/>
      <c r="G729" s="61"/>
      <c r="H729" s="61"/>
      <c r="I729" s="61"/>
      <c r="J729" s="61"/>
      <c r="K729" s="61"/>
      <c r="L729" s="61">
        <f>SUM(F729:K729)</f>
        <v>0</v>
      </c>
      <c r="M729" s="61">
        <f>L729/6</f>
        <v>0</v>
      </c>
      <c r="N729" s="61"/>
      <c r="O729" s="61"/>
      <c r="P729" s="61"/>
      <c r="Q729" s="61"/>
      <c r="R729" s="61"/>
      <c r="S729" s="61"/>
      <c r="T729" s="61">
        <f>SUM(N729:S729)</f>
        <v>0</v>
      </c>
      <c r="U729" s="61">
        <f>T729+L729</f>
        <v>0</v>
      </c>
      <c r="V729" s="61">
        <f>V724</f>
        <v>0</v>
      </c>
      <c r="W729" s="72">
        <f>V729-U729</f>
        <v>0</v>
      </c>
    </row>
    <row r="730" spans="1:23" s="47" customFormat="1" ht="18" hidden="1" customHeight="1">
      <c r="A730" s="614"/>
      <c r="B730" s="576"/>
      <c r="C730" s="577"/>
      <c r="D730" s="201" t="str">
        <f>серпень!D653</f>
        <v xml:space="preserve">місцевий </v>
      </c>
      <c r="E730" s="71"/>
      <c r="F730" s="61">
        <f t="shared" ref="F730:K730" si="860">F728-F729</f>
        <v>0</v>
      </c>
      <c r="G730" s="61">
        <f t="shared" si="860"/>
        <v>0</v>
      </c>
      <c r="H730" s="61">
        <f t="shared" si="860"/>
        <v>0</v>
      </c>
      <c r="I730" s="61">
        <f t="shared" si="860"/>
        <v>0</v>
      </c>
      <c r="J730" s="61">
        <f t="shared" si="860"/>
        <v>0</v>
      </c>
      <c r="K730" s="61">
        <f t="shared" si="860"/>
        <v>0</v>
      </c>
      <c r="L730" s="61">
        <f>SUM(F730:K730)</f>
        <v>0</v>
      </c>
      <c r="M730" s="61">
        <f>L730/6</f>
        <v>0</v>
      </c>
      <c r="N730" s="61">
        <f t="shared" ref="N730:S730" si="861">N728-N729</f>
        <v>0</v>
      </c>
      <c r="O730" s="61">
        <f t="shared" si="861"/>
        <v>0</v>
      </c>
      <c r="P730" s="61">
        <f t="shared" si="861"/>
        <v>0</v>
      </c>
      <c r="Q730" s="61">
        <f t="shared" si="861"/>
        <v>0</v>
      </c>
      <c r="R730" s="61">
        <f t="shared" si="861"/>
        <v>0</v>
      </c>
      <c r="S730" s="61">
        <f t="shared" si="861"/>
        <v>0</v>
      </c>
      <c r="T730" s="61">
        <f>SUM(N730:S730)</f>
        <v>0</v>
      </c>
      <c r="U730" s="61">
        <f>T730+L730</f>
        <v>0</v>
      </c>
      <c r="V730" s="61">
        <f>V725</f>
        <v>0</v>
      </c>
      <c r="W730" s="72">
        <f>V730-U730</f>
        <v>0</v>
      </c>
    </row>
    <row r="731" spans="1:23" s="47" customFormat="1" ht="18" hidden="1" customHeight="1">
      <c r="A731" s="614"/>
      <c r="B731" s="576"/>
      <c r="C731" s="577"/>
      <c r="D731" s="202" t="str">
        <f>серпень!D654</f>
        <v>план</v>
      </c>
      <c r="E731" s="42"/>
      <c r="F731" s="42">
        <f t="shared" ref="F731:K731" si="862">F725</f>
        <v>0</v>
      </c>
      <c r="G731" s="42">
        <f t="shared" si="862"/>
        <v>0</v>
      </c>
      <c r="H731" s="42">
        <f t="shared" si="862"/>
        <v>0</v>
      </c>
      <c r="I731" s="42">
        <f t="shared" si="862"/>
        <v>0</v>
      </c>
      <c r="J731" s="42">
        <f t="shared" si="862"/>
        <v>0</v>
      </c>
      <c r="K731" s="42">
        <f t="shared" si="862"/>
        <v>0</v>
      </c>
      <c r="L731" s="42">
        <f>SUM(F731:K731)</f>
        <v>0</v>
      </c>
      <c r="M731" s="42">
        <f>L731/6</f>
        <v>0</v>
      </c>
      <c r="N731" s="42">
        <f t="shared" ref="N731:S731" si="863">N725+N724</f>
        <v>0</v>
      </c>
      <c r="O731" s="42">
        <f t="shared" si="863"/>
        <v>0</v>
      </c>
      <c r="P731" s="42">
        <f t="shared" si="863"/>
        <v>0</v>
      </c>
      <c r="Q731" s="42">
        <f t="shared" si="863"/>
        <v>0</v>
      </c>
      <c r="R731" s="42">
        <f t="shared" si="863"/>
        <v>0</v>
      </c>
      <c r="S731" s="42">
        <f t="shared" si="863"/>
        <v>0</v>
      </c>
      <c r="T731" s="42">
        <f>SUM(N731:S731)</f>
        <v>0</v>
      </c>
      <c r="U731" s="42">
        <f>T731+L731</f>
        <v>0</v>
      </c>
      <c r="V731" s="42">
        <f>V728</f>
        <v>0</v>
      </c>
      <c r="W731" s="42">
        <f>V731-U731</f>
        <v>0</v>
      </c>
    </row>
    <row r="732" spans="1:23" s="47" customFormat="1" ht="18" hidden="1" customHeight="1">
      <c r="A732" s="614"/>
      <c r="B732" s="576"/>
      <c r="C732" s="577"/>
      <c r="D732" s="202" t="str">
        <f>серпень!D655</f>
        <v xml:space="preserve">відхилення </v>
      </c>
      <c r="E732" s="42"/>
      <c r="F732" s="42">
        <f t="shared" ref="F732:K732" si="864">F728-F731</f>
        <v>0</v>
      </c>
      <c r="G732" s="42">
        <f t="shared" si="864"/>
        <v>0</v>
      </c>
      <c r="H732" s="42">
        <f t="shared" si="864"/>
        <v>0</v>
      </c>
      <c r="I732" s="42">
        <f t="shared" si="864"/>
        <v>0</v>
      </c>
      <c r="J732" s="42">
        <f t="shared" si="864"/>
        <v>0</v>
      </c>
      <c r="K732" s="42">
        <f t="shared" si="864"/>
        <v>0</v>
      </c>
      <c r="L732" s="42"/>
      <c r="M732" s="42"/>
      <c r="N732" s="42">
        <f t="shared" ref="N732:S732" si="865">N728-N731</f>
        <v>0</v>
      </c>
      <c r="O732" s="42">
        <f t="shared" si="865"/>
        <v>0</v>
      </c>
      <c r="P732" s="42">
        <f t="shared" si="865"/>
        <v>0</v>
      </c>
      <c r="Q732" s="42">
        <f t="shared" si="865"/>
        <v>0</v>
      </c>
      <c r="R732" s="42">
        <f t="shared" si="865"/>
        <v>0</v>
      </c>
      <c r="S732" s="42">
        <f t="shared" si="865"/>
        <v>0</v>
      </c>
      <c r="T732" s="42"/>
      <c r="U732" s="42"/>
      <c r="V732" s="42"/>
      <c r="W732" s="42"/>
    </row>
    <row r="733" spans="1:23" s="47" customFormat="1" ht="18" hidden="1" customHeight="1">
      <c r="A733" s="614"/>
      <c r="B733" s="578"/>
      <c r="C733" s="579"/>
      <c r="D733" s="202" t="str">
        <f>серпень!D656</f>
        <v>відхилення з наростаючим</v>
      </c>
      <c r="E733" s="42"/>
      <c r="F733" s="42">
        <f>F732</f>
        <v>0</v>
      </c>
      <c r="G733" s="42">
        <f>G732+F733</f>
        <v>0</v>
      </c>
      <c r="H733" s="42">
        <f>H732+G733</f>
        <v>0</v>
      </c>
      <c r="I733" s="42">
        <f>I732+H733</f>
        <v>0</v>
      </c>
      <c r="J733" s="42">
        <f>J732+I733</f>
        <v>0</v>
      </c>
      <c r="K733" s="42">
        <f>K732+J733</f>
        <v>0</v>
      </c>
      <c r="L733" s="42"/>
      <c r="M733" s="42"/>
      <c r="N733" s="42">
        <f>N732+K733</f>
        <v>0</v>
      </c>
      <c r="O733" s="42">
        <f>O732+N733</f>
        <v>0</v>
      </c>
      <c r="P733" s="42">
        <f>P732+O733</f>
        <v>0</v>
      </c>
      <c r="Q733" s="42">
        <f>Q732+P733</f>
        <v>0</v>
      </c>
      <c r="R733" s="42">
        <f>R732+Q733</f>
        <v>0</v>
      </c>
      <c r="S733" s="42">
        <f>S732+R733</f>
        <v>0</v>
      </c>
      <c r="T733" s="42"/>
      <c r="U733" s="42"/>
      <c r="V733" s="42"/>
      <c r="W733" s="42"/>
    </row>
    <row r="734" spans="1:23" s="47" customFormat="1" ht="17.55" hidden="1" customHeight="1">
      <c r="A734" s="614"/>
      <c r="B734" s="580" t="s">
        <v>124</v>
      </c>
      <c r="C734" s="575"/>
      <c r="D734" s="178" t="str">
        <f>серпень!D657</f>
        <v>факт. нат.п-ки 2023</v>
      </c>
      <c r="E734" s="11"/>
      <c r="F734" s="12"/>
      <c r="G734" s="12"/>
      <c r="H734" s="12"/>
      <c r="I734" s="12"/>
      <c r="J734" s="12"/>
      <c r="K734" s="12"/>
      <c r="L734" s="65">
        <f>SUM(F734:K734)</f>
        <v>0</v>
      </c>
      <c r="M734" s="65">
        <f>L734/6</f>
        <v>0</v>
      </c>
      <c r="N734" s="12"/>
      <c r="O734" s="12"/>
      <c r="P734" s="12"/>
      <c r="Q734" s="12"/>
      <c r="R734" s="12"/>
      <c r="S734" s="12"/>
      <c r="T734" s="65">
        <f>SUM(N734:S734)</f>
        <v>0</v>
      </c>
      <c r="U734" s="66">
        <f>T734+L734</f>
        <v>0</v>
      </c>
      <c r="V734" s="67"/>
      <c r="W734" s="38">
        <f>V734-U734</f>
        <v>0</v>
      </c>
    </row>
    <row r="735" spans="1:23" s="47" customFormat="1" ht="18" hidden="1" customHeight="1">
      <c r="A735" s="614"/>
      <c r="B735" s="576"/>
      <c r="C735" s="577"/>
      <c r="D735" s="178" t="str">
        <f>серпень!D658</f>
        <v>факт. нат.п-ки 2024</v>
      </c>
      <c r="E735" s="11"/>
      <c r="F735" s="12"/>
      <c r="G735" s="12"/>
      <c r="H735" s="12"/>
      <c r="I735" s="12"/>
      <c r="J735" s="12"/>
      <c r="K735" s="12"/>
      <c r="L735" s="65">
        <f>SUM(F735:K735)</f>
        <v>0</v>
      </c>
      <c r="M735" s="65">
        <f>L735/6</f>
        <v>0</v>
      </c>
      <c r="N735" s="11"/>
      <c r="O735" s="11"/>
      <c r="P735" s="11"/>
      <c r="Q735" s="11"/>
      <c r="R735" s="11"/>
      <c r="S735" s="11"/>
      <c r="T735" s="65">
        <f>SUM(N735:S735)</f>
        <v>0</v>
      </c>
      <c r="U735" s="66">
        <f>T735+L735</f>
        <v>0</v>
      </c>
      <c r="V735" s="67"/>
      <c r="W735" s="38">
        <f>V735-U735</f>
        <v>0</v>
      </c>
    </row>
    <row r="736" spans="1:23" s="47" customFormat="1" ht="18" hidden="1" customHeight="1">
      <c r="A736" s="614"/>
      <c r="B736" s="576"/>
      <c r="C736" s="577"/>
      <c r="D736" s="178" t="str">
        <f>серпень!D659</f>
        <v>факт. нат.п-ки 2025</v>
      </c>
      <c r="E736" s="11"/>
      <c r="F736" s="12"/>
      <c r="G736" s="12"/>
      <c r="H736" s="12"/>
      <c r="I736" s="12"/>
      <c r="J736" s="12"/>
      <c r="K736" s="12"/>
      <c r="L736" s="65">
        <f>SUM(F736:K736)</f>
        <v>0</v>
      </c>
      <c r="M736" s="65">
        <f>L736/6</f>
        <v>0</v>
      </c>
      <c r="N736" s="12"/>
      <c r="O736" s="12"/>
      <c r="P736" s="12"/>
      <c r="Q736" s="12"/>
      <c r="R736" s="12"/>
      <c r="S736" s="11"/>
      <c r="T736" s="65">
        <f>SUM(N736:S736)</f>
        <v>0</v>
      </c>
      <c r="U736" s="66">
        <f>T736+L736</f>
        <v>0</v>
      </c>
      <c r="V736" s="11"/>
      <c r="W736" s="38">
        <f>V736-U736</f>
        <v>0</v>
      </c>
    </row>
    <row r="737" spans="1:23" s="47" customFormat="1" ht="18" hidden="1" customHeight="1">
      <c r="A737" s="614"/>
      <c r="B737" s="576"/>
      <c r="C737" s="577"/>
      <c r="D737" s="187" t="str">
        <f>серпень!D660</f>
        <v>тариф, грн.</v>
      </c>
      <c r="E737" s="49"/>
      <c r="F737" s="49">
        <v>0</v>
      </c>
      <c r="G737" s="49">
        <v>0</v>
      </c>
      <c r="H737" s="49">
        <v>0</v>
      </c>
      <c r="I737" s="49">
        <v>0</v>
      </c>
      <c r="J737" s="49">
        <v>0</v>
      </c>
      <c r="K737" s="49">
        <v>0</v>
      </c>
      <c r="L737" s="49" t="e">
        <f>L738/L736*1000</f>
        <v>#DIV/0!</v>
      </c>
      <c r="M737" s="49" t="e">
        <f>M738/M736*1000</f>
        <v>#DIV/0!</v>
      </c>
      <c r="N737" s="49">
        <v>0</v>
      </c>
      <c r="O737" s="49">
        <v>0</v>
      </c>
      <c r="P737" s="49">
        <v>0</v>
      </c>
      <c r="Q737" s="49">
        <v>0</v>
      </c>
      <c r="R737" s="49">
        <v>0</v>
      </c>
      <c r="S737" s="49">
        <v>0</v>
      </c>
      <c r="T737" s="49" t="e">
        <f>T738/T736*1000</f>
        <v>#DIV/0!</v>
      </c>
      <c r="U737" s="49" t="e">
        <f>U738/U736*1000</f>
        <v>#DIV/0!</v>
      </c>
      <c r="V737" s="68" t="e">
        <f>V738/V736*1000</f>
        <v>#DIV/0!</v>
      </c>
      <c r="W737" s="14" t="e">
        <f>W738/W736*1000</f>
        <v>#DIV/0!</v>
      </c>
    </row>
    <row r="738" spans="1:23" s="47" customFormat="1" ht="18" hidden="1" customHeight="1">
      <c r="A738" s="614"/>
      <c r="B738" s="576"/>
      <c r="C738" s="577"/>
      <c r="D738" s="191" t="str">
        <f>серпень!D661</f>
        <v>сума, тис.грн.</v>
      </c>
      <c r="E738" s="52"/>
      <c r="F738" s="52">
        <f>F736*F737/1000</f>
        <v>0</v>
      </c>
      <c r="G738" s="52">
        <f t="shared" ref="G738" si="866">G736*G737/1000</f>
        <v>0</v>
      </c>
      <c r="H738" s="52">
        <f t="shared" ref="H738" si="867">H736*H737/1000</f>
        <v>0</v>
      </c>
      <c r="I738" s="52">
        <f t="shared" ref="I738" si="868">I736*I737/1000</f>
        <v>0</v>
      </c>
      <c r="J738" s="52">
        <f t="shared" ref="J738" si="869">J736*J737/1000</f>
        <v>0</v>
      </c>
      <c r="K738" s="52">
        <f t="shared" ref="K738" si="870">K736*K737/1000</f>
        <v>0</v>
      </c>
      <c r="L738" s="69">
        <f>SUM(F738:K738)</f>
        <v>0</v>
      </c>
      <c r="M738" s="69">
        <f>L738/6</f>
        <v>0</v>
      </c>
      <c r="N738" s="52">
        <f>N736*N737/1000</f>
        <v>0</v>
      </c>
      <c r="O738" s="52">
        <f t="shared" ref="O738" si="871">O736*O737/1000</f>
        <v>0</v>
      </c>
      <c r="P738" s="52">
        <f t="shared" ref="P738" si="872">P736*P737/1000</f>
        <v>0</v>
      </c>
      <c r="Q738" s="52">
        <f t="shared" ref="Q738" si="873">Q736*Q737/1000</f>
        <v>0</v>
      </c>
      <c r="R738" s="52">
        <f t="shared" ref="R738" si="874">R736*R737/1000</f>
        <v>0</v>
      </c>
      <c r="S738" s="52">
        <f t="shared" ref="S738" si="875">S736*S737/1000</f>
        <v>0</v>
      </c>
      <c r="T738" s="69">
        <f>SUM(N738:S738)</f>
        <v>0</v>
      </c>
      <c r="U738" s="69">
        <f>T738+L738</f>
        <v>0</v>
      </c>
      <c r="V738" s="70">
        <f>V739+V740</f>
        <v>0</v>
      </c>
      <c r="W738" s="53">
        <f>V738-U738</f>
        <v>0</v>
      </c>
    </row>
    <row r="739" spans="1:23" s="47" customFormat="1" ht="18" hidden="1" customHeight="1">
      <c r="A739" s="614"/>
      <c r="B739" s="576"/>
      <c r="C739" s="577"/>
      <c r="D739" s="174" t="str">
        <f>серпень!D662</f>
        <v>дотація</v>
      </c>
      <c r="E739" s="56"/>
      <c r="F739" s="52"/>
      <c r="G739" s="52"/>
      <c r="H739" s="52"/>
      <c r="I739" s="52"/>
      <c r="J739" s="52"/>
      <c r="K739" s="52"/>
      <c r="L739" s="69">
        <f>SUM(F739:K739)</f>
        <v>0</v>
      </c>
      <c r="M739" s="69">
        <f>L739/6</f>
        <v>0</v>
      </c>
      <c r="N739" s="52"/>
      <c r="O739" s="52"/>
      <c r="P739" s="52"/>
      <c r="Q739" s="52"/>
      <c r="R739" s="52"/>
      <c r="S739" s="52"/>
      <c r="T739" s="69">
        <f>SUM(N739:S739)</f>
        <v>0</v>
      </c>
      <c r="U739" s="69">
        <f>T739+L739</f>
        <v>0</v>
      </c>
      <c r="V739" s="70">
        <v>0</v>
      </c>
      <c r="W739" s="53">
        <f>V739-U739</f>
        <v>0</v>
      </c>
    </row>
    <row r="740" spans="1:23" s="47" customFormat="1" ht="18" hidden="1" customHeight="1">
      <c r="A740" s="614"/>
      <c r="B740" s="576"/>
      <c r="C740" s="577"/>
      <c r="D740" s="174" t="str">
        <f>серпень!D663</f>
        <v>місцевий (план), тис.грн</v>
      </c>
      <c r="E740" s="56"/>
      <c r="F740" s="52"/>
      <c r="G740" s="52"/>
      <c r="H740" s="52"/>
      <c r="I740" s="52"/>
      <c r="J740" s="52"/>
      <c r="K740" s="52"/>
      <c r="L740" s="69">
        <f>SUM(F740:K740)</f>
        <v>0</v>
      </c>
      <c r="M740" s="69">
        <f>L740/6</f>
        <v>0</v>
      </c>
      <c r="N740" s="52"/>
      <c r="O740" s="52"/>
      <c r="P740" s="52"/>
      <c r="Q740" s="52"/>
      <c r="R740" s="52"/>
      <c r="S740" s="52"/>
      <c r="T740" s="69">
        <f>SUM(N740:S740)</f>
        <v>0</v>
      </c>
      <c r="U740" s="69">
        <f>T740+L740</f>
        <v>0</v>
      </c>
      <c r="V740" s="70"/>
      <c r="W740" s="53">
        <f>V740-U740</f>
        <v>0</v>
      </c>
    </row>
    <row r="741" spans="1:23" s="47" customFormat="1" ht="18" hidden="1" customHeight="1">
      <c r="A741" s="614"/>
      <c r="B741" s="576"/>
      <c r="C741" s="577"/>
      <c r="D741" s="178" t="str">
        <f>серпень!D664</f>
        <v>касові нат.п-ки 2025</v>
      </c>
      <c r="E741" s="11"/>
      <c r="F741" s="11"/>
      <c r="G741" s="11"/>
      <c r="H741" s="11"/>
      <c r="I741" s="11"/>
      <c r="J741" s="11"/>
      <c r="K741" s="11"/>
      <c r="L741" s="65">
        <f>SUM(F741:K741)</f>
        <v>0</v>
      </c>
      <c r="M741" s="65">
        <f>L741/6</f>
        <v>0</v>
      </c>
      <c r="N741" s="11"/>
      <c r="O741" s="11"/>
      <c r="P741" s="11"/>
      <c r="Q741" s="11"/>
      <c r="R741" s="11"/>
      <c r="S741" s="11"/>
      <c r="T741" s="65">
        <f>SUM(N741:S741)</f>
        <v>0</v>
      </c>
      <c r="U741" s="65">
        <f>T741+L741</f>
        <v>0</v>
      </c>
      <c r="V741" s="11">
        <f>V736</f>
        <v>0</v>
      </c>
      <c r="W741" s="38">
        <f>V741-U741</f>
        <v>0</v>
      </c>
    </row>
    <row r="742" spans="1:23" s="47" customFormat="1" ht="18" hidden="1" customHeight="1">
      <c r="A742" s="614"/>
      <c r="B742" s="576"/>
      <c r="C742" s="577"/>
      <c r="D742" s="187" t="str">
        <f>серпень!D665</f>
        <v>тариф, грн.</v>
      </c>
      <c r="E742" s="49" t="e">
        <f>E743/E741*1000</f>
        <v>#DIV/0!</v>
      </c>
      <c r="F742" s="49">
        <v>0</v>
      </c>
      <c r="G742" s="49">
        <v>0</v>
      </c>
      <c r="H742" s="49">
        <v>0</v>
      </c>
      <c r="I742" s="49">
        <v>0</v>
      </c>
      <c r="J742" s="49">
        <v>0</v>
      </c>
      <c r="K742" s="49">
        <v>0</v>
      </c>
      <c r="L742" s="49" t="e">
        <f>L743/L741*1000</f>
        <v>#DIV/0!</v>
      </c>
      <c r="M742" s="49" t="e">
        <f>M743/M741*1000</f>
        <v>#DIV/0!</v>
      </c>
      <c r="N742" s="49">
        <v>0</v>
      </c>
      <c r="O742" s="49">
        <v>0</v>
      </c>
      <c r="P742" s="49">
        <v>0</v>
      </c>
      <c r="Q742" s="49">
        <v>0</v>
      </c>
      <c r="R742" s="49">
        <v>0</v>
      </c>
      <c r="S742" s="49">
        <v>0</v>
      </c>
      <c r="T742" s="49" t="e">
        <f>T743/T741*1000</f>
        <v>#DIV/0!</v>
      </c>
      <c r="U742" s="49" t="e">
        <f>U743/U741*1000</f>
        <v>#DIV/0!</v>
      </c>
      <c r="V742" s="68" t="e">
        <f>V743/V741*1000</f>
        <v>#DIV/0!</v>
      </c>
      <c r="W742" s="14" t="e">
        <f>W743/W741*1000</f>
        <v>#DIV/0!</v>
      </c>
    </row>
    <row r="743" spans="1:23" s="47" customFormat="1" ht="18" hidden="1" customHeight="1">
      <c r="A743" s="614"/>
      <c r="B743" s="576"/>
      <c r="C743" s="577"/>
      <c r="D743" s="198" t="str">
        <f>серпень!D666</f>
        <v>касові видатки, тис.грн.</v>
      </c>
      <c r="E743" s="71"/>
      <c r="F743" s="61">
        <f>F741*F742/1000</f>
        <v>0</v>
      </c>
      <c r="G743" s="61">
        <f t="shared" ref="G743" si="876">G741*G742/1000</f>
        <v>0</v>
      </c>
      <c r="H743" s="61">
        <f t="shared" ref="H743" si="877">H741*H742/1000</f>
        <v>0</v>
      </c>
      <c r="I743" s="61">
        <f t="shared" ref="I743" si="878">I741*I742/1000</f>
        <v>0</v>
      </c>
      <c r="J743" s="61">
        <f t="shared" ref="J743" si="879">J741*J742/1000</f>
        <v>0</v>
      </c>
      <c r="K743" s="61">
        <f t="shared" ref="K743" si="880">K741*K742/1000</f>
        <v>0</v>
      </c>
      <c r="L743" s="61">
        <f>SUM(F743:K743)</f>
        <v>0</v>
      </c>
      <c r="M743" s="61">
        <f>L743/6</f>
        <v>0</v>
      </c>
      <c r="N743" s="61">
        <f>N741*N742/1000</f>
        <v>0</v>
      </c>
      <c r="O743" s="61">
        <f t="shared" ref="O743" si="881">O741*O742/1000</f>
        <v>0</v>
      </c>
      <c r="P743" s="61">
        <f t="shared" ref="P743" si="882">P741*P742/1000</f>
        <v>0</v>
      </c>
      <c r="Q743" s="61">
        <f t="shared" ref="Q743" si="883">Q741*Q742/1000</f>
        <v>0</v>
      </c>
      <c r="R743" s="61">
        <f t="shared" ref="R743" si="884">R741*R742/1000</f>
        <v>0</v>
      </c>
      <c r="S743" s="61">
        <f t="shared" ref="S743" si="885">S741*S742/1000</f>
        <v>0</v>
      </c>
      <c r="T743" s="61">
        <f>SUM(N743:S743)</f>
        <v>0</v>
      </c>
      <c r="U743" s="61">
        <f>T743+L743</f>
        <v>0</v>
      </c>
      <c r="V743" s="61">
        <f>V738</f>
        <v>0</v>
      </c>
      <c r="W743" s="72">
        <f>V743-U743</f>
        <v>0</v>
      </c>
    </row>
    <row r="744" spans="1:23" s="47" customFormat="1" ht="18" hidden="1" customHeight="1">
      <c r="A744" s="614"/>
      <c r="B744" s="576"/>
      <c r="C744" s="577"/>
      <c r="D744" s="201" t="str">
        <f>серпень!D667</f>
        <v>дотація</v>
      </c>
      <c r="E744" s="71"/>
      <c r="F744" s="61"/>
      <c r="G744" s="61"/>
      <c r="H744" s="61"/>
      <c r="I744" s="61"/>
      <c r="J744" s="61"/>
      <c r="K744" s="61"/>
      <c r="L744" s="61">
        <f>SUM(F744:K744)</f>
        <v>0</v>
      </c>
      <c r="M744" s="61">
        <f>L744/6</f>
        <v>0</v>
      </c>
      <c r="N744" s="61"/>
      <c r="O744" s="61"/>
      <c r="P744" s="61"/>
      <c r="Q744" s="61"/>
      <c r="R744" s="61"/>
      <c r="S744" s="61"/>
      <c r="T744" s="61">
        <f>SUM(N744:S744)</f>
        <v>0</v>
      </c>
      <c r="U744" s="61">
        <f>T744+L744</f>
        <v>0</v>
      </c>
      <c r="V744" s="61">
        <f>V739</f>
        <v>0</v>
      </c>
      <c r="W744" s="72">
        <f>V744-U744</f>
        <v>0</v>
      </c>
    </row>
    <row r="745" spans="1:23" s="47" customFormat="1" ht="18" hidden="1" customHeight="1">
      <c r="A745" s="614"/>
      <c r="B745" s="576"/>
      <c r="C745" s="577"/>
      <c r="D745" s="201" t="str">
        <f>серпень!D668</f>
        <v xml:space="preserve">місцевий </v>
      </c>
      <c r="E745" s="71"/>
      <c r="F745" s="61">
        <f t="shared" ref="F745:K745" si="886">F743-F744</f>
        <v>0</v>
      </c>
      <c r="G745" s="61">
        <f t="shared" si="886"/>
        <v>0</v>
      </c>
      <c r="H745" s="61">
        <f t="shared" si="886"/>
        <v>0</v>
      </c>
      <c r="I745" s="61">
        <f t="shared" si="886"/>
        <v>0</v>
      </c>
      <c r="J745" s="61">
        <f t="shared" si="886"/>
        <v>0</v>
      </c>
      <c r="K745" s="61">
        <f t="shared" si="886"/>
        <v>0</v>
      </c>
      <c r="L745" s="61">
        <f>SUM(F745:K745)</f>
        <v>0</v>
      </c>
      <c r="M745" s="61">
        <f>L745/6</f>
        <v>0</v>
      </c>
      <c r="N745" s="61">
        <f t="shared" ref="N745:S745" si="887">N743-N744</f>
        <v>0</v>
      </c>
      <c r="O745" s="61">
        <f t="shared" si="887"/>
        <v>0</v>
      </c>
      <c r="P745" s="61">
        <f t="shared" si="887"/>
        <v>0</v>
      </c>
      <c r="Q745" s="61">
        <f t="shared" si="887"/>
        <v>0</v>
      </c>
      <c r="R745" s="61">
        <f t="shared" si="887"/>
        <v>0</v>
      </c>
      <c r="S745" s="61">
        <f t="shared" si="887"/>
        <v>0</v>
      </c>
      <c r="T745" s="61">
        <f>SUM(N745:S745)</f>
        <v>0</v>
      </c>
      <c r="U745" s="61">
        <f>T745+L745</f>
        <v>0</v>
      </c>
      <c r="V745" s="61">
        <f>V740</f>
        <v>0</v>
      </c>
      <c r="W745" s="72">
        <f>V745-U745</f>
        <v>0</v>
      </c>
    </row>
    <row r="746" spans="1:23" s="47" customFormat="1" ht="18" hidden="1" customHeight="1">
      <c r="A746" s="614"/>
      <c r="B746" s="576"/>
      <c r="C746" s="577"/>
      <c r="D746" s="202" t="str">
        <f>серпень!D669</f>
        <v>план</v>
      </c>
      <c r="E746" s="42"/>
      <c r="F746" s="42">
        <f t="shared" ref="F746:K746" si="888">F740</f>
        <v>0</v>
      </c>
      <c r="G746" s="42">
        <f t="shared" si="888"/>
        <v>0</v>
      </c>
      <c r="H746" s="42">
        <f t="shared" si="888"/>
        <v>0</v>
      </c>
      <c r="I746" s="42">
        <f t="shared" si="888"/>
        <v>0</v>
      </c>
      <c r="J746" s="42">
        <f t="shared" si="888"/>
        <v>0</v>
      </c>
      <c r="K746" s="42">
        <f t="shared" si="888"/>
        <v>0</v>
      </c>
      <c r="L746" s="42">
        <f>SUM(F746:K746)</f>
        <v>0</v>
      </c>
      <c r="M746" s="42">
        <f>L746/6</f>
        <v>0</v>
      </c>
      <c r="N746" s="42">
        <f t="shared" ref="N746:S746" si="889">N740+N739</f>
        <v>0</v>
      </c>
      <c r="O746" s="42">
        <f t="shared" si="889"/>
        <v>0</v>
      </c>
      <c r="P746" s="42">
        <f t="shared" si="889"/>
        <v>0</v>
      </c>
      <c r="Q746" s="42">
        <f t="shared" si="889"/>
        <v>0</v>
      </c>
      <c r="R746" s="42">
        <f t="shared" si="889"/>
        <v>0</v>
      </c>
      <c r="S746" s="42">
        <f t="shared" si="889"/>
        <v>0</v>
      </c>
      <c r="T746" s="42">
        <f>SUM(N746:S746)</f>
        <v>0</v>
      </c>
      <c r="U746" s="42">
        <f>T746+L746</f>
        <v>0</v>
      </c>
      <c r="V746" s="42">
        <f>V743</f>
        <v>0</v>
      </c>
      <c r="W746" s="42">
        <f>V746-U746</f>
        <v>0</v>
      </c>
    </row>
    <row r="747" spans="1:23" s="47" customFormat="1" ht="18" hidden="1" customHeight="1">
      <c r="A747" s="614"/>
      <c r="B747" s="576"/>
      <c r="C747" s="577"/>
      <c r="D747" s="202" t="str">
        <f>серпень!D670</f>
        <v xml:space="preserve">відхилення </v>
      </c>
      <c r="E747" s="42"/>
      <c r="F747" s="42">
        <f t="shared" ref="F747:K747" si="890">F743-F746</f>
        <v>0</v>
      </c>
      <c r="G747" s="42">
        <f t="shared" si="890"/>
        <v>0</v>
      </c>
      <c r="H747" s="42">
        <f t="shared" si="890"/>
        <v>0</v>
      </c>
      <c r="I747" s="42">
        <f t="shared" si="890"/>
        <v>0</v>
      </c>
      <c r="J747" s="42">
        <f t="shared" si="890"/>
        <v>0</v>
      </c>
      <c r="K747" s="42">
        <f t="shared" si="890"/>
        <v>0</v>
      </c>
      <c r="L747" s="42"/>
      <c r="M747" s="42"/>
      <c r="N747" s="42">
        <f t="shared" ref="N747:S747" si="891">N743-N746</f>
        <v>0</v>
      </c>
      <c r="O747" s="42">
        <f t="shared" si="891"/>
        <v>0</v>
      </c>
      <c r="P747" s="42">
        <f t="shared" si="891"/>
        <v>0</v>
      </c>
      <c r="Q747" s="42">
        <f t="shared" si="891"/>
        <v>0</v>
      </c>
      <c r="R747" s="42">
        <f t="shared" si="891"/>
        <v>0</v>
      </c>
      <c r="S747" s="42">
        <f t="shared" si="891"/>
        <v>0</v>
      </c>
      <c r="T747" s="42"/>
      <c r="U747" s="42"/>
      <c r="V747" s="42"/>
      <c r="W747" s="42"/>
    </row>
    <row r="748" spans="1:23" s="47" customFormat="1" ht="18" hidden="1" customHeight="1">
      <c r="A748" s="614"/>
      <c r="B748" s="578"/>
      <c r="C748" s="579"/>
      <c r="D748" s="202" t="str">
        <f>серпень!D671</f>
        <v>відхилення з наростаючим</v>
      </c>
      <c r="E748" s="42"/>
      <c r="F748" s="42">
        <f>F747</f>
        <v>0</v>
      </c>
      <c r="G748" s="42">
        <f>G747+F748</f>
        <v>0</v>
      </c>
      <c r="H748" s="42">
        <f>H747+G748</f>
        <v>0</v>
      </c>
      <c r="I748" s="42">
        <f>I747+H748</f>
        <v>0</v>
      </c>
      <c r="J748" s="42">
        <f>J747+I748</f>
        <v>0</v>
      </c>
      <c r="K748" s="42">
        <f>K747+J748</f>
        <v>0</v>
      </c>
      <c r="L748" s="42"/>
      <c r="M748" s="42"/>
      <c r="N748" s="42">
        <f>N747+K748</f>
        <v>0</v>
      </c>
      <c r="O748" s="42">
        <f>O747+N748</f>
        <v>0</v>
      </c>
      <c r="P748" s="42">
        <f>P747+O748</f>
        <v>0</v>
      </c>
      <c r="Q748" s="42">
        <f>Q747+P748</f>
        <v>0</v>
      </c>
      <c r="R748" s="42">
        <f>R747+Q748</f>
        <v>0</v>
      </c>
      <c r="S748" s="42">
        <f>S747+R748</f>
        <v>0</v>
      </c>
      <c r="T748" s="42"/>
      <c r="U748" s="42"/>
      <c r="V748" s="42"/>
      <c r="W748" s="42"/>
    </row>
    <row r="749" spans="1:23" ht="13.15" customHeight="1">
      <c r="L749" s="15"/>
      <c r="M749" s="15"/>
      <c r="N749" s="15"/>
      <c r="T749" s="15"/>
      <c r="U749" s="15"/>
    </row>
    <row r="750" spans="1:23" ht="13.15" customHeight="1">
      <c r="L750" s="15"/>
      <c r="M750" s="15"/>
      <c r="N750" s="15"/>
      <c r="T750" s="15"/>
      <c r="U750" s="15"/>
    </row>
    <row r="751" spans="1:23" ht="13.15" customHeight="1">
      <c r="L751" s="15"/>
      <c r="M751" s="15"/>
      <c r="N751" s="15"/>
      <c r="T751" s="15"/>
      <c r="U751" s="15"/>
    </row>
    <row r="752" spans="1:23" ht="13.15" customHeight="1">
      <c r="L752" s="15"/>
      <c r="M752" s="15"/>
      <c r="N752" s="15"/>
      <c r="T752" s="15"/>
      <c r="U752" s="15"/>
    </row>
    <row r="753" spans="12:21" ht="13.15" customHeight="1">
      <c r="L753" s="15"/>
      <c r="M753" s="15"/>
      <c r="N753" s="15"/>
      <c r="T753" s="15"/>
      <c r="U753" s="15"/>
    </row>
    <row r="754" spans="12:21" ht="13.15" customHeight="1">
      <c r="L754" s="15"/>
      <c r="M754" s="15"/>
      <c r="N754" s="15"/>
      <c r="T754" s="15"/>
      <c r="U754" s="15"/>
    </row>
    <row r="755" spans="12:21" ht="13.15" customHeight="1">
      <c r="L755" s="15"/>
      <c r="M755" s="15"/>
      <c r="N755" s="15"/>
      <c r="T755" s="15"/>
      <c r="U755" s="15"/>
    </row>
    <row r="756" spans="12:21">
      <c r="L756" s="15"/>
      <c r="M756" s="15"/>
      <c r="N756" s="15"/>
      <c r="T756" s="15"/>
      <c r="U756" s="15"/>
    </row>
    <row r="757" spans="12:21">
      <c r="L757" s="15"/>
      <c r="M757" s="15"/>
      <c r="N757" s="15"/>
      <c r="T757" s="15"/>
      <c r="U757" s="15"/>
    </row>
    <row r="758" spans="12:21">
      <c r="L758" s="15"/>
      <c r="M758" s="15"/>
      <c r="N758" s="15"/>
      <c r="T758" s="15"/>
      <c r="U758" s="15"/>
    </row>
    <row r="759" spans="12:21">
      <c r="L759" s="15"/>
      <c r="M759" s="15"/>
      <c r="N759" s="15"/>
      <c r="T759" s="15"/>
      <c r="U759" s="15"/>
    </row>
    <row r="760" spans="12:21">
      <c r="L760" s="15"/>
      <c r="M760" s="15"/>
      <c r="N760" s="15"/>
      <c r="T760" s="15"/>
      <c r="U760" s="15"/>
    </row>
    <row r="761" spans="12:21">
      <c r="L761" s="15"/>
      <c r="M761" s="15"/>
      <c r="N761" s="15"/>
      <c r="T761" s="15"/>
      <c r="U761" s="15"/>
    </row>
    <row r="762" spans="12:21">
      <c r="L762" s="15"/>
      <c r="M762" s="15"/>
      <c r="N762" s="15"/>
      <c r="T762" s="15"/>
      <c r="U762" s="15"/>
    </row>
    <row r="763" spans="12:21">
      <c r="L763" s="15"/>
      <c r="M763" s="15"/>
      <c r="N763" s="15"/>
      <c r="T763" s="15"/>
      <c r="U763" s="15"/>
    </row>
    <row r="764" spans="12:21">
      <c r="L764" s="15"/>
      <c r="M764" s="15"/>
      <c r="N764" s="15"/>
      <c r="T764" s="15"/>
      <c r="U764" s="15"/>
    </row>
    <row r="765" spans="12:21">
      <c r="L765" s="15"/>
      <c r="M765" s="15"/>
      <c r="N765" s="15"/>
      <c r="T765" s="15"/>
      <c r="U765" s="15"/>
    </row>
    <row r="766" spans="12:21">
      <c r="L766" s="15"/>
      <c r="M766" s="15"/>
      <c r="N766" s="15"/>
      <c r="T766" s="15"/>
      <c r="U766" s="15"/>
    </row>
    <row r="767" spans="12:21">
      <c r="L767" s="15"/>
      <c r="M767" s="15"/>
      <c r="N767" s="15"/>
      <c r="T767" s="15"/>
      <c r="U767" s="15"/>
    </row>
    <row r="768" spans="12:21">
      <c r="L768" s="15"/>
      <c r="M768" s="15"/>
      <c r="N768" s="15"/>
      <c r="T768" s="15"/>
      <c r="U768" s="15"/>
    </row>
    <row r="769" spans="12:21">
      <c r="L769" s="15"/>
      <c r="M769" s="15"/>
      <c r="N769" s="15"/>
      <c r="T769" s="15"/>
      <c r="U769" s="15"/>
    </row>
    <row r="770" spans="12:21">
      <c r="L770" s="15"/>
      <c r="M770" s="15"/>
      <c r="N770" s="15"/>
      <c r="T770" s="15"/>
      <c r="U770" s="15"/>
    </row>
    <row r="771" spans="12:21">
      <c r="L771" s="15"/>
      <c r="M771" s="15"/>
      <c r="N771" s="15"/>
      <c r="T771" s="15"/>
      <c r="U771" s="15"/>
    </row>
    <row r="772" spans="12:21">
      <c r="L772" s="15"/>
      <c r="M772" s="15"/>
      <c r="N772" s="15"/>
      <c r="T772" s="15"/>
      <c r="U772" s="15"/>
    </row>
    <row r="773" spans="12:21">
      <c r="L773" s="15"/>
      <c r="M773" s="15"/>
      <c r="N773" s="15"/>
      <c r="T773" s="15"/>
      <c r="U773" s="15"/>
    </row>
    <row r="774" spans="12:21">
      <c r="L774" s="15"/>
      <c r="M774" s="15"/>
      <c r="N774" s="15"/>
      <c r="T774" s="15"/>
      <c r="U774" s="15"/>
    </row>
    <row r="775" spans="12:21">
      <c r="L775" s="15"/>
      <c r="M775" s="15"/>
      <c r="N775" s="15"/>
      <c r="T775" s="15"/>
      <c r="U775" s="15"/>
    </row>
    <row r="776" spans="12:21">
      <c r="L776" s="15"/>
      <c r="M776" s="15"/>
      <c r="N776" s="15"/>
      <c r="T776" s="15"/>
      <c r="U776" s="15"/>
    </row>
    <row r="777" spans="12:21">
      <c r="L777" s="15"/>
      <c r="M777" s="15"/>
      <c r="N777" s="15"/>
      <c r="T777" s="15"/>
      <c r="U777" s="15"/>
    </row>
    <row r="778" spans="12:21">
      <c r="L778" s="15"/>
      <c r="M778" s="15"/>
      <c r="N778" s="15"/>
      <c r="T778" s="15"/>
      <c r="U778" s="15"/>
    </row>
    <row r="779" spans="12:21">
      <c r="L779" s="15"/>
      <c r="M779" s="15"/>
      <c r="N779" s="15"/>
      <c r="T779" s="15"/>
      <c r="U779" s="15"/>
    </row>
    <row r="780" spans="12:21">
      <c r="L780" s="15"/>
      <c r="M780" s="15"/>
      <c r="N780" s="15"/>
      <c r="T780" s="15"/>
      <c r="U780" s="15"/>
    </row>
    <row r="781" spans="12:21">
      <c r="L781" s="15"/>
      <c r="M781" s="15"/>
      <c r="N781" s="15"/>
      <c r="T781" s="15"/>
      <c r="U781" s="15"/>
    </row>
    <row r="782" spans="12:21">
      <c r="L782" s="15"/>
      <c r="M782" s="15"/>
      <c r="N782" s="15"/>
      <c r="T782" s="15"/>
      <c r="U782" s="15"/>
    </row>
    <row r="783" spans="12:21">
      <c r="L783" s="15"/>
      <c r="M783" s="15"/>
      <c r="N783" s="15"/>
      <c r="T783" s="15"/>
      <c r="U783" s="15"/>
    </row>
    <row r="784" spans="12:21" ht="18" customHeight="1">
      <c r="L784" s="15"/>
      <c r="M784" s="15"/>
      <c r="N784" s="15"/>
      <c r="T784" s="15"/>
      <c r="U784" s="15"/>
    </row>
    <row r="785" spans="12:21" ht="18" customHeight="1">
      <c r="L785" s="15"/>
      <c r="M785" s="15"/>
      <c r="N785" s="15"/>
      <c r="T785" s="15"/>
      <c r="U785" s="15"/>
    </row>
    <row r="786" spans="12:21" ht="18" customHeight="1">
      <c r="L786" s="15"/>
      <c r="M786" s="15"/>
      <c r="N786" s="15"/>
      <c r="T786" s="15"/>
      <c r="U786" s="15"/>
    </row>
    <row r="787" spans="12:21" ht="18" customHeight="1">
      <c r="L787" s="15"/>
      <c r="M787" s="15"/>
      <c r="N787" s="15"/>
      <c r="T787" s="15"/>
      <c r="U787" s="15"/>
    </row>
    <row r="788" spans="12:21" ht="18" customHeight="1">
      <c r="L788" s="15"/>
      <c r="M788" s="15"/>
      <c r="N788" s="15"/>
      <c r="T788" s="15"/>
      <c r="U788" s="15"/>
    </row>
    <row r="789" spans="12:21" ht="18" customHeight="1">
      <c r="L789" s="15"/>
      <c r="M789" s="15"/>
      <c r="N789" s="15"/>
      <c r="T789" s="15"/>
      <c r="U789" s="15"/>
    </row>
    <row r="790" spans="12:21" ht="18" customHeight="1">
      <c r="L790" s="15"/>
      <c r="M790" s="15"/>
      <c r="N790" s="15"/>
      <c r="T790" s="15"/>
      <c r="U790" s="15"/>
    </row>
    <row r="791" spans="12:21" ht="18" customHeight="1">
      <c r="L791" s="15"/>
      <c r="M791" s="15"/>
      <c r="N791" s="15"/>
      <c r="T791" s="15"/>
      <c r="U791" s="15"/>
    </row>
    <row r="792" spans="12:21" ht="18" customHeight="1">
      <c r="L792" s="15"/>
      <c r="M792" s="15"/>
      <c r="N792" s="15"/>
      <c r="T792" s="15"/>
      <c r="U792" s="15"/>
    </row>
    <row r="793" spans="12:21" ht="18" customHeight="1">
      <c r="L793" s="15"/>
      <c r="M793" s="15"/>
      <c r="N793" s="15"/>
      <c r="T793" s="15"/>
      <c r="U793" s="15"/>
    </row>
    <row r="794" spans="12:21" ht="18" customHeight="1">
      <c r="L794" s="15"/>
      <c r="M794" s="15"/>
      <c r="N794" s="15"/>
      <c r="T794" s="15"/>
      <c r="U794" s="15"/>
    </row>
    <row r="795" spans="12:21" ht="18" customHeight="1">
      <c r="L795" s="15"/>
      <c r="M795" s="15"/>
      <c r="N795" s="15"/>
      <c r="T795" s="15"/>
      <c r="U795" s="15"/>
    </row>
    <row r="796" spans="12:21" ht="18" customHeight="1">
      <c r="L796" s="15"/>
      <c r="M796" s="15"/>
      <c r="N796" s="15"/>
      <c r="T796" s="15"/>
      <c r="U796" s="15"/>
    </row>
    <row r="797" spans="12:21" ht="18" customHeight="1">
      <c r="L797" s="15"/>
      <c r="M797" s="15"/>
      <c r="N797" s="15"/>
      <c r="T797" s="15"/>
      <c r="U797" s="15"/>
    </row>
    <row r="798" spans="12:21" ht="18" customHeight="1">
      <c r="L798" s="15"/>
      <c r="M798" s="15"/>
      <c r="N798" s="15"/>
      <c r="T798" s="15"/>
      <c r="U798" s="15"/>
    </row>
    <row r="799" spans="12:21" ht="18" customHeight="1">
      <c r="L799" s="15"/>
      <c r="M799" s="15"/>
      <c r="N799" s="15"/>
      <c r="T799" s="15"/>
      <c r="U799" s="15"/>
    </row>
    <row r="800" spans="12:21" ht="18" customHeight="1">
      <c r="L800" s="15"/>
      <c r="M800" s="15"/>
      <c r="N800" s="15"/>
      <c r="T800" s="15"/>
      <c r="U800" s="15"/>
    </row>
    <row r="801" spans="12:21" ht="18" customHeight="1">
      <c r="L801" s="15"/>
      <c r="M801" s="15"/>
      <c r="N801" s="15"/>
      <c r="T801" s="15"/>
      <c r="U801" s="15"/>
    </row>
    <row r="802" spans="12:21" ht="18" customHeight="1">
      <c r="L802" s="15"/>
      <c r="M802" s="15"/>
      <c r="N802" s="15"/>
      <c r="T802" s="15"/>
      <c r="U802" s="15"/>
    </row>
    <row r="803" spans="12:21" ht="18" customHeight="1">
      <c r="L803" s="15"/>
      <c r="M803" s="15"/>
      <c r="N803" s="15"/>
      <c r="T803" s="15"/>
      <c r="U803" s="15"/>
    </row>
    <row r="804" spans="12:21" ht="18" customHeight="1">
      <c r="L804" s="15"/>
      <c r="M804" s="15"/>
      <c r="N804" s="15"/>
      <c r="T804" s="15"/>
      <c r="U804" s="15"/>
    </row>
    <row r="805" spans="12:21" ht="18" customHeight="1">
      <c r="L805" s="15"/>
      <c r="M805" s="15"/>
      <c r="N805" s="15"/>
      <c r="T805" s="15"/>
      <c r="U805" s="15"/>
    </row>
    <row r="806" spans="12:21" ht="18" customHeight="1">
      <c r="L806" s="15"/>
      <c r="M806" s="15"/>
      <c r="N806" s="15"/>
      <c r="T806" s="15"/>
      <c r="U806" s="15"/>
    </row>
    <row r="807" spans="12:21" ht="18" customHeight="1">
      <c r="L807" s="15"/>
      <c r="M807" s="15"/>
      <c r="N807" s="15"/>
      <c r="T807" s="15"/>
      <c r="U807" s="15"/>
    </row>
    <row r="808" spans="12:21" ht="18" customHeight="1">
      <c r="L808" s="15"/>
      <c r="M808" s="15"/>
      <c r="N808" s="15"/>
      <c r="T808" s="15"/>
      <c r="U808" s="15"/>
    </row>
    <row r="809" spans="12:21" ht="13.15" customHeight="1">
      <c r="L809" s="15"/>
      <c r="M809" s="15"/>
      <c r="N809" s="15"/>
      <c r="T809" s="15"/>
      <c r="U809" s="15"/>
    </row>
    <row r="810" spans="12:21" ht="13.15" customHeight="1">
      <c r="L810" s="15"/>
      <c r="M810" s="15"/>
      <c r="N810" s="15"/>
      <c r="T810" s="15"/>
      <c r="U810" s="15"/>
    </row>
    <row r="811" spans="12:21" ht="13.15" customHeight="1">
      <c r="L811" s="15"/>
      <c r="M811" s="15"/>
      <c r="N811" s="15"/>
      <c r="T811" s="15"/>
      <c r="U811" s="15"/>
    </row>
    <row r="812" spans="12:21" ht="13.15" customHeight="1">
      <c r="L812" s="15"/>
      <c r="M812" s="15"/>
      <c r="N812" s="15"/>
      <c r="T812" s="15"/>
      <c r="U812" s="15"/>
    </row>
    <row r="813" spans="12:21" ht="13.15" customHeight="1">
      <c r="L813" s="15"/>
      <c r="M813" s="15"/>
      <c r="N813" s="15"/>
      <c r="T813" s="15"/>
      <c r="U813" s="15"/>
    </row>
    <row r="814" spans="12:21" ht="13.15" customHeight="1">
      <c r="L814" s="15"/>
      <c r="M814" s="15"/>
      <c r="N814" s="15"/>
      <c r="T814" s="15"/>
      <c r="U814" s="15"/>
    </row>
    <row r="815" spans="12:21" ht="13.15" customHeight="1">
      <c r="L815" s="15"/>
      <c r="M815" s="15"/>
      <c r="N815" s="15"/>
      <c r="T815" s="15"/>
      <c r="U815" s="15"/>
    </row>
    <row r="816" spans="12:21" ht="13.15" customHeight="1">
      <c r="L816" s="15"/>
      <c r="M816" s="15"/>
      <c r="N816" s="15"/>
      <c r="T816" s="15"/>
      <c r="U816" s="15"/>
    </row>
    <row r="817" spans="12:21" ht="13.15" customHeight="1">
      <c r="L817" s="15"/>
      <c r="M817" s="15"/>
      <c r="N817" s="15"/>
      <c r="T817" s="15"/>
      <c r="U817" s="15"/>
    </row>
    <row r="818" spans="12:21" ht="13.15" customHeight="1">
      <c r="L818" s="15"/>
      <c r="M818" s="15"/>
      <c r="N818" s="15"/>
      <c r="T818" s="15"/>
      <c r="U818" s="15"/>
    </row>
    <row r="819" spans="12:21" ht="13.15" customHeight="1">
      <c r="L819" s="15"/>
      <c r="M819" s="15"/>
      <c r="N819" s="15"/>
      <c r="T819" s="15"/>
      <c r="U819" s="15"/>
    </row>
    <row r="820" spans="12:21" ht="13.15" customHeight="1">
      <c r="L820" s="15"/>
      <c r="M820" s="15"/>
      <c r="N820" s="15"/>
      <c r="T820" s="15"/>
      <c r="U820" s="15"/>
    </row>
    <row r="821" spans="12:21" ht="13.15" customHeight="1">
      <c r="L821" s="15"/>
      <c r="M821" s="15"/>
      <c r="N821" s="15"/>
      <c r="T821" s="15"/>
      <c r="U821" s="15"/>
    </row>
    <row r="822" spans="12:21" ht="13.15" customHeight="1">
      <c r="L822" s="15"/>
      <c r="M822" s="15"/>
      <c r="N822" s="15"/>
      <c r="T822" s="15"/>
      <c r="U822" s="15"/>
    </row>
    <row r="823" spans="12:21" ht="13.15" customHeight="1">
      <c r="L823" s="15"/>
      <c r="M823" s="15"/>
      <c r="N823" s="15"/>
      <c r="T823" s="15"/>
      <c r="U823" s="15"/>
    </row>
    <row r="824" spans="12:21" ht="13.15" customHeight="1">
      <c r="L824" s="15"/>
      <c r="M824" s="15"/>
      <c r="N824" s="15"/>
      <c r="T824" s="15"/>
      <c r="U824" s="15"/>
    </row>
    <row r="825" spans="12:21" ht="13.15" customHeight="1">
      <c r="L825" s="15"/>
      <c r="M825" s="15"/>
      <c r="N825" s="15"/>
      <c r="T825" s="15"/>
      <c r="U825" s="15"/>
    </row>
    <row r="826" spans="12:21" ht="13.15" customHeight="1">
      <c r="L826" s="15"/>
      <c r="M826" s="15"/>
      <c r="N826" s="15"/>
      <c r="T826" s="15"/>
      <c r="U826" s="15"/>
    </row>
    <row r="827" spans="12:21" ht="13.15" customHeight="1">
      <c r="L827" s="15"/>
      <c r="M827" s="15"/>
      <c r="N827" s="15"/>
      <c r="T827" s="15"/>
      <c r="U827" s="15"/>
    </row>
    <row r="828" spans="12:21" ht="13.15" customHeight="1">
      <c r="L828" s="15"/>
      <c r="M828" s="15"/>
      <c r="N828" s="15"/>
      <c r="T828" s="15"/>
      <c r="U828" s="15"/>
    </row>
    <row r="829" spans="12:21" ht="13.15" customHeight="1">
      <c r="L829" s="15"/>
      <c r="M829" s="15"/>
      <c r="N829" s="15"/>
      <c r="T829" s="15"/>
      <c r="U829" s="15"/>
    </row>
    <row r="830" spans="12:21" ht="13.15" customHeight="1">
      <c r="L830" s="15"/>
      <c r="M830" s="15"/>
      <c r="N830" s="15"/>
      <c r="T830" s="15"/>
      <c r="U830" s="15"/>
    </row>
    <row r="831" spans="12:21" ht="13.15" customHeight="1">
      <c r="L831" s="15"/>
      <c r="M831" s="15"/>
      <c r="N831" s="15"/>
      <c r="T831" s="15"/>
      <c r="U831" s="15"/>
    </row>
    <row r="832" spans="12:21" ht="13.15" customHeight="1">
      <c r="L832" s="15"/>
      <c r="M832" s="15"/>
      <c r="N832" s="15"/>
      <c r="T832" s="15"/>
      <c r="U832" s="15"/>
    </row>
    <row r="833" spans="12:21" ht="13.15" customHeight="1">
      <c r="L833" s="15"/>
      <c r="M833" s="15"/>
      <c r="N833" s="15"/>
      <c r="T833" s="15"/>
      <c r="U833" s="15"/>
    </row>
    <row r="834" spans="12:21" ht="13.15" customHeight="1">
      <c r="L834" s="15"/>
      <c r="M834" s="15"/>
      <c r="N834" s="15"/>
      <c r="T834" s="15"/>
      <c r="U834" s="15"/>
    </row>
    <row r="835" spans="12:21" ht="13.15" customHeight="1">
      <c r="L835" s="15"/>
      <c r="M835" s="15"/>
      <c r="N835" s="15"/>
      <c r="T835" s="15"/>
      <c r="U835" s="15"/>
    </row>
    <row r="836" spans="12:21" ht="13.15" customHeight="1">
      <c r="L836" s="15"/>
      <c r="M836" s="15"/>
      <c r="N836" s="15"/>
      <c r="T836" s="15"/>
      <c r="U836" s="15"/>
    </row>
    <row r="837" spans="12:21" ht="13.15" customHeight="1">
      <c r="L837" s="15"/>
      <c r="M837" s="15"/>
      <c r="N837" s="15"/>
      <c r="T837" s="15"/>
      <c r="U837" s="15"/>
    </row>
    <row r="838" spans="12:21" ht="13.15" customHeight="1">
      <c r="L838" s="15"/>
      <c r="M838" s="15"/>
      <c r="N838" s="15"/>
      <c r="T838" s="15"/>
      <c r="U838" s="15"/>
    </row>
    <row r="839" spans="12:21">
      <c r="L839" s="15"/>
      <c r="M839" s="15"/>
      <c r="N839" s="15"/>
      <c r="T839" s="15"/>
      <c r="U839" s="15"/>
    </row>
    <row r="840" spans="12:21">
      <c r="L840" s="15"/>
      <c r="M840" s="15"/>
      <c r="N840" s="15"/>
      <c r="T840" s="15"/>
      <c r="U840" s="15"/>
    </row>
    <row r="841" spans="12:21">
      <c r="L841" s="15"/>
      <c r="M841" s="15"/>
      <c r="N841" s="15"/>
      <c r="T841" s="15"/>
      <c r="U841" s="15"/>
    </row>
    <row r="842" spans="12:21">
      <c r="L842" s="15"/>
      <c r="M842" s="15"/>
      <c r="N842" s="15"/>
      <c r="T842" s="15"/>
      <c r="U842" s="15"/>
    </row>
    <row r="843" spans="12:21">
      <c r="L843" s="15"/>
      <c r="M843" s="15"/>
      <c r="N843" s="15"/>
      <c r="T843" s="15"/>
      <c r="U843" s="15"/>
    </row>
    <row r="844" spans="12:21">
      <c r="L844" s="15"/>
      <c r="M844" s="15"/>
      <c r="N844" s="15"/>
      <c r="T844" s="15"/>
      <c r="U844" s="15"/>
    </row>
    <row r="845" spans="12:21">
      <c r="L845" s="15"/>
      <c r="M845" s="15"/>
      <c r="N845" s="15"/>
      <c r="T845" s="15"/>
      <c r="U845" s="15"/>
    </row>
    <row r="846" spans="12:21">
      <c r="L846" s="15"/>
      <c r="M846" s="15"/>
      <c r="N846" s="15"/>
      <c r="T846" s="15"/>
      <c r="U846" s="15"/>
    </row>
    <row r="847" spans="12:21">
      <c r="L847" s="15"/>
      <c r="M847" s="15"/>
      <c r="N847" s="15"/>
      <c r="T847" s="15"/>
      <c r="U847" s="15"/>
    </row>
    <row r="848" spans="12:21">
      <c r="L848" s="15"/>
      <c r="M848" s="15"/>
      <c r="N848" s="15"/>
      <c r="T848" s="15"/>
      <c r="U848" s="15"/>
    </row>
    <row r="849" spans="12:21">
      <c r="L849" s="15"/>
      <c r="M849" s="15"/>
      <c r="N849" s="15"/>
      <c r="T849" s="15"/>
      <c r="U849" s="15"/>
    </row>
    <row r="850" spans="12:21">
      <c r="L850" s="15"/>
      <c r="M850" s="15"/>
      <c r="N850" s="15"/>
      <c r="T850" s="15"/>
      <c r="U850" s="15"/>
    </row>
    <row r="851" spans="12:21">
      <c r="L851" s="15"/>
      <c r="M851" s="15"/>
      <c r="N851" s="15"/>
      <c r="T851" s="15"/>
      <c r="U851" s="15"/>
    </row>
    <row r="852" spans="12:21">
      <c r="L852" s="15"/>
      <c r="M852" s="15"/>
      <c r="N852" s="15"/>
      <c r="T852" s="15"/>
      <c r="U852" s="15"/>
    </row>
    <row r="853" spans="12:21">
      <c r="L853" s="15"/>
      <c r="M853" s="15"/>
      <c r="N853" s="15"/>
      <c r="T853" s="15"/>
      <c r="U853" s="15"/>
    </row>
    <row r="854" spans="12:21">
      <c r="L854" s="15"/>
      <c r="M854" s="15"/>
      <c r="N854" s="15"/>
      <c r="T854" s="15"/>
      <c r="U854" s="15"/>
    </row>
    <row r="855" spans="12:21">
      <c r="L855" s="15"/>
      <c r="M855" s="15"/>
      <c r="N855" s="15"/>
      <c r="T855" s="15"/>
      <c r="U855" s="15"/>
    </row>
    <row r="856" spans="12:21">
      <c r="L856" s="15"/>
      <c r="M856" s="15"/>
      <c r="N856" s="15"/>
      <c r="T856" s="15"/>
      <c r="U856" s="15"/>
    </row>
    <row r="857" spans="12:21">
      <c r="L857" s="15"/>
      <c r="M857" s="15"/>
      <c r="N857" s="15"/>
      <c r="T857" s="15"/>
      <c r="U857" s="15"/>
    </row>
    <row r="858" spans="12:21">
      <c r="L858" s="15"/>
      <c r="M858" s="15"/>
      <c r="N858" s="15"/>
      <c r="T858" s="15"/>
      <c r="U858" s="15"/>
    </row>
    <row r="859" spans="12:21">
      <c r="L859" s="15"/>
      <c r="M859" s="15"/>
      <c r="N859" s="15"/>
      <c r="T859" s="15"/>
      <c r="U859" s="15"/>
    </row>
    <row r="860" spans="12:21">
      <c r="L860" s="15"/>
      <c r="M860" s="15"/>
      <c r="N860" s="15"/>
      <c r="T860" s="15"/>
      <c r="U860" s="15"/>
    </row>
    <row r="861" spans="12:21">
      <c r="L861" s="15"/>
      <c r="M861" s="15"/>
      <c r="N861" s="15"/>
      <c r="T861" s="15"/>
      <c r="U861" s="15"/>
    </row>
    <row r="862" spans="12:21">
      <c r="L862" s="15"/>
      <c r="M862" s="15"/>
      <c r="N862" s="15"/>
      <c r="T862" s="15"/>
      <c r="U862" s="15"/>
    </row>
    <row r="863" spans="12:21">
      <c r="L863" s="15"/>
      <c r="M863" s="15"/>
      <c r="N863" s="15"/>
      <c r="T863" s="15"/>
      <c r="U863" s="15"/>
    </row>
    <row r="864" spans="12:21">
      <c r="L864" s="15"/>
      <c r="M864" s="15"/>
      <c r="N864" s="15"/>
      <c r="T864" s="15"/>
      <c r="U864" s="15"/>
    </row>
    <row r="865" spans="12:21">
      <c r="L865" s="15"/>
      <c r="M865" s="15"/>
      <c r="N865" s="15"/>
      <c r="T865" s="15"/>
      <c r="U865" s="15"/>
    </row>
    <row r="866" spans="12:21">
      <c r="L866" s="15"/>
      <c r="M866" s="15"/>
      <c r="N866" s="15"/>
      <c r="T866" s="15"/>
      <c r="U866" s="15"/>
    </row>
    <row r="867" spans="12:21">
      <c r="L867" s="15"/>
      <c r="M867" s="15"/>
      <c r="N867" s="15"/>
      <c r="T867" s="15"/>
      <c r="U867" s="15"/>
    </row>
    <row r="868" spans="12:21">
      <c r="L868" s="15"/>
      <c r="M868" s="15"/>
      <c r="N868" s="15"/>
      <c r="T868" s="15"/>
      <c r="U868" s="15"/>
    </row>
    <row r="869" spans="12:21">
      <c r="L869" s="15"/>
      <c r="M869" s="15"/>
      <c r="N869" s="15"/>
      <c r="T869" s="15"/>
      <c r="U869" s="15"/>
    </row>
    <row r="870" spans="12:21">
      <c r="L870" s="15"/>
      <c r="M870" s="15"/>
      <c r="N870" s="15"/>
      <c r="T870" s="15"/>
      <c r="U870" s="15"/>
    </row>
    <row r="871" spans="12:21">
      <c r="L871" s="15"/>
      <c r="M871" s="15"/>
      <c r="N871" s="15"/>
      <c r="T871" s="15"/>
      <c r="U871" s="15"/>
    </row>
    <row r="872" spans="12:21">
      <c r="L872" s="15"/>
      <c r="M872" s="15"/>
      <c r="N872" s="15"/>
      <c r="T872" s="15"/>
      <c r="U872" s="15"/>
    </row>
    <row r="873" spans="12:21">
      <c r="L873" s="15"/>
      <c r="M873" s="15"/>
      <c r="N873" s="15"/>
      <c r="T873" s="15"/>
      <c r="U873" s="15"/>
    </row>
    <row r="874" spans="12:21">
      <c r="L874" s="15"/>
      <c r="M874" s="15"/>
      <c r="N874" s="15"/>
      <c r="T874" s="15"/>
      <c r="U874" s="15"/>
    </row>
    <row r="875" spans="12:21">
      <c r="L875" s="15"/>
      <c r="M875" s="15"/>
      <c r="N875" s="15"/>
      <c r="T875" s="15"/>
      <c r="U875" s="15"/>
    </row>
    <row r="876" spans="12:21">
      <c r="L876" s="15"/>
      <c r="M876" s="15"/>
      <c r="N876" s="15"/>
      <c r="T876" s="15"/>
      <c r="U876" s="15"/>
    </row>
    <row r="877" spans="12:21">
      <c r="L877" s="15"/>
      <c r="M877" s="15"/>
      <c r="N877" s="15"/>
      <c r="T877" s="15"/>
      <c r="U877" s="15"/>
    </row>
    <row r="878" spans="12:21">
      <c r="L878" s="15"/>
      <c r="M878" s="15"/>
      <c r="N878" s="15"/>
      <c r="T878" s="15"/>
      <c r="U878" s="15"/>
    </row>
    <row r="879" spans="12:21">
      <c r="L879" s="15"/>
      <c r="M879" s="15"/>
      <c r="N879" s="15"/>
      <c r="T879" s="15"/>
      <c r="U879" s="15"/>
    </row>
    <row r="880" spans="12:21">
      <c r="L880" s="15"/>
      <c r="M880" s="15"/>
      <c r="N880" s="15"/>
      <c r="T880" s="15"/>
      <c r="U880" s="15"/>
    </row>
    <row r="881" spans="12:21">
      <c r="L881" s="15"/>
      <c r="M881" s="15"/>
      <c r="N881" s="15"/>
      <c r="T881" s="15"/>
      <c r="U881" s="15"/>
    </row>
    <row r="882" spans="12:21">
      <c r="L882" s="15"/>
      <c r="M882" s="15"/>
      <c r="N882" s="15"/>
      <c r="T882" s="15"/>
      <c r="U882" s="15"/>
    </row>
    <row r="883" spans="12:21">
      <c r="L883" s="15"/>
      <c r="M883" s="15"/>
      <c r="N883" s="15"/>
      <c r="T883" s="15"/>
      <c r="U883" s="15"/>
    </row>
    <row r="884" spans="12:21">
      <c r="L884" s="15"/>
      <c r="M884" s="15"/>
      <c r="N884" s="15"/>
      <c r="T884" s="15"/>
      <c r="U884" s="15"/>
    </row>
    <row r="885" spans="12:21">
      <c r="L885" s="15"/>
      <c r="M885" s="15"/>
      <c r="N885" s="15"/>
      <c r="T885" s="15"/>
      <c r="U885" s="15"/>
    </row>
    <row r="886" spans="12:21">
      <c r="L886" s="15"/>
      <c r="M886" s="15"/>
      <c r="N886" s="15"/>
      <c r="T886" s="15"/>
      <c r="U886" s="15"/>
    </row>
    <row r="887" spans="12:21">
      <c r="L887" s="15"/>
      <c r="M887" s="15"/>
      <c r="N887" s="15"/>
      <c r="T887" s="15"/>
      <c r="U887" s="15"/>
    </row>
    <row r="888" spans="12:21">
      <c r="L888" s="15"/>
      <c r="M888" s="15"/>
      <c r="N888" s="15"/>
      <c r="T888" s="15"/>
      <c r="U888" s="15"/>
    </row>
    <row r="889" spans="12:21">
      <c r="L889" s="15"/>
      <c r="M889" s="15"/>
      <c r="N889" s="15"/>
      <c r="T889" s="15"/>
      <c r="U889" s="15"/>
    </row>
    <row r="890" spans="12:21">
      <c r="L890" s="15"/>
      <c r="M890" s="15"/>
      <c r="N890" s="15"/>
      <c r="T890" s="15"/>
      <c r="U890" s="15"/>
    </row>
    <row r="891" spans="12:21">
      <c r="L891" s="15"/>
      <c r="M891" s="15"/>
      <c r="N891" s="15"/>
      <c r="T891" s="15"/>
      <c r="U891" s="15"/>
    </row>
    <row r="892" spans="12:21">
      <c r="L892" s="15"/>
      <c r="M892" s="15"/>
      <c r="N892" s="15"/>
      <c r="T892" s="15"/>
      <c r="U892" s="15"/>
    </row>
    <row r="893" spans="12:21">
      <c r="L893" s="15"/>
      <c r="M893" s="15"/>
      <c r="N893" s="15"/>
      <c r="T893" s="15"/>
      <c r="U893" s="15"/>
    </row>
    <row r="894" spans="12:21">
      <c r="L894" s="15"/>
      <c r="M894" s="15"/>
      <c r="N894" s="15"/>
      <c r="T894" s="15"/>
      <c r="U894" s="15"/>
    </row>
    <row r="895" spans="12:21">
      <c r="L895" s="15"/>
      <c r="M895" s="15"/>
      <c r="N895" s="15"/>
      <c r="T895" s="15"/>
      <c r="U895" s="15"/>
    </row>
    <row r="896" spans="12:21">
      <c r="L896" s="15"/>
      <c r="M896" s="15"/>
      <c r="N896" s="15"/>
      <c r="T896" s="15"/>
      <c r="U896" s="15"/>
    </row>
    <row r="897" spans="12:21">
      <c r="L897" s="15"/>
      <c r="M897" s="15"/>
      <c r="N897" s="15"/>
      <c r="T897" s="15"/>
      <c r="U897" s="15"/>
    </row>
    <row r="898" spans="12:21">
      <c r="L898" s="15"/>
      <c r="M898" s="15"/>
      <c r="N898" s="15"/>
      <c r="T898" s="15"/>
      <c r="U898" s="15"/>
    </row>
    <row r="899" spans="12:21">
      <c r="L899" s="15"/>
      <c r="M899" s="15"/>
      <c r="N899" s="15"/>
      <c r="T899" s="15"/>
      <c r="U899" s="15"/>
    </row>
    <row r="900" spans="12:21">
      <c r="L900" s="15"/>
      <c r="M900" s="15"/>
      <c r="N900" s="15"/>
      <c r="T900" s="15"/>
      <c r="U900" s="15"/>
    </row>
    <row r="901" spans="12:21">
      <c r="L901" s="15"/>
      <c r="M901" s="15"/>
      <c r="N901" s="15"/>
      <c r="T901" s="15"/>
      <c r="U901" s="15"/>
    </row>
    <row r="902" spans="12:21">
      <c r="L902" s="15"/>
      <c r="M902" s="15"/>
      <c r="N902" s="15"/>
      <c r="T902" s="15"/>
      <c r="U902" s="15"/>
    </row>
    <row r="903" spans="12:21">
      <c r="L903" s="15"/>
      <c r="M903" s="15"/>
      <c r="N903" s="15"/>
      <c r="T903" s="15"/>
      <c r="U903" s="15"/>
    </row>
    <row r="904" spans="12:21">
      <c r="L904" s="15"/>
      <c r="M904" s="15"/>
      <c r="N904" s="15"/>
      <c r="T904" s="15"/>
      <c r="U904" s="15"/>
    </row>
    <row r="905" spans="12:21">
      <c r="L905" s="15"/>
      <c r="M905" s="15"/>
      <c r="N905" s="15"/>
      <c r="T905" s="15"/>
      <c r="U905" s="15"/>
    </row>
    <row r="906" spans="12:21">
      <c r="L906" s="15"/>
      <c r="M906" s="15"/>
      <c r="N906" s="15"/>
      <c r="T906" s="15"/>
      <c r="U906" s="15"/>
    </row>
    <row r="907" spans="12:21">
      <c r="L907" s="15"/>
      <c r="M907" s="15"/>
      <c r="N907" s="15"/>
      <c r="T907" s="15"/>
      <c r="U907" s="15"/>
    </row>
    <row r="908" spans="12:21">
      <c r="L908" s="15"/>
      <c r="M908" s="15"/>
      <c r="N908" s="15"/>
      <c r="T908" s="15"/>
      <c r="U908" s="15"/>
    </row>
    <row r="909" spans="12:21">
      <c r="L909" s="15"/>
      <c r="M909" s="15"/>
      <c r="N909" s="15"/>
      <c r="T909" s="15"/>
      <c r="U909" s="15"/>
    </row>
    <row r="910" spans="12:21">
      <c r="L910" s="15"/>
      <c r="M910" s="15"/>
      <c r="N910" s="15"/>
      <c r="T910" s="15"/>
      <c r="U910" s="15"/>
    </row>
    <row r="911" spans="12:21">
      <c r="L911" s="15"/>
      <c r="M911" s="15"/>
      <c r="N911" s="15"/>
      <c r="T911" s="15"/>
      <c r="U911" s="15"/>
    </row>
    <row r="912" spans="12:21">
      <c r="L912" s="15"/>
      <c r="M912" s="15"/>
      <c r="N912" s="15"/>
      <c r="T912" s="15"/>
      <c r="U912" s="15"/>
    </row>
    <row r="913" spans="12:21">
      <c r="L913" s="15"/>
      <c r="M913" s="15"/>
      <c r="N913" s="15"/>
      <c r="T913" s="15"/>
      <c r="U913" s="15"/>
    </row>
    <row r="914" spans="12:21">
      <c r="L914" s="15"/>
      <c r="M914" s="15"/>
      <c r="N914" s="15"/>
      <c r="T914" s="15"/>
      <c r="U914" s="15"/>
    </row>
    <row r="915" spans="12:21">
      <c r="L915" s="15"/>
      <c r="M915" s="15"/>
      <c r="N915" s="15"/>
      <c r="T915" s="15"/>
      <c r="U915" s="15"/>
    </row>
    <row r="916" spans="12:21">
      <c r="L916" s="15"/>
      <c r="M916" s="15"/>
      <c r="N916" s="15"/>
      <c r="T916" s="15"/>
      <c r="U916" s="15"/>
    </row>
    <row r="917" spans="12:21">
      <c r="L917" s="15"/>
      <c r="M917" s="15"/>
      <c r="N917" s="15"/>
      <c r="T917" s="15"/>
      <c r="U917" s="15"/>
    </row>
    <row r="918" spans="12:21">
      <c r="L918" s="15"/>
      <c r="M918" s="15"/>
      <c r="N918" s="15"/>
      <c r="T918" s="15"/>
      <c r="U918" s="15"/>
    </row>
    <row r="919" spans="12:21">
      <c r="L919" s="15"/>
      <c r="M919" s="15"/>
      <c r="N919" s="15"/>
      <c r="T919" s="15"/>
      <c r="U919" s="15"/>
    </row>
    <row r="920" spans="12:21">
      <c r="L920" s="15"/>
      <c r="M920" s="15"/>
      <c r="N920" s="15"/>
      <c r="T920" s="15"/>
      <c r="U920" s="15"/>
    </row>
    <row r="921" spans="12:21">
      <c r="L921" s="15"/>
      <c r="M921" s="15"/>
      <c r="N921" s="15"/>
      <c r="T921" s="15"/>
      <c r="U921" s="15"/>
    </row>
    <row r="922" spans="12:21">
      <c r="L922" s="15"/>
      <c r="M922" s="15"/>
      <c r="N922" s="15"/>
      <c r="T922" s="15"/>
      <c r="U922" s="15"/>
    </row>
    <row r="923" spans="12:21">
      <c r="L923" s="15"/>
      <c r="M923" s="15"/>
      <c r="N923" s="15"/>
      <c r="T923" s="15"/>
      <c r="U923" s="15"/>
    </row>
    <row r="924" spans="12:21">
      <c r="L924" s="15"/>
      <c r="M924" s="15"/>
      <c r="N924" s="15"/>
      <c r="T924" s="15"/>
      <c r="U924" s="15"/>
    </row>
    <row r="925" spans="12:21">
      <c r="L925" s="15"/>
      <c r="M925" s="15"/>
      <c r="N925" s="15"/>
      <c r="T925" s="15"/>
      <c r="U925" s="15"/>
    </row>
    <row r="926" spans="12:21">
      <c r="L926" s="15"/>
      <c r="M926" s="15"/>
      <c r="N926" s="15"/>
      <c r="T926" s="15"/>
      <c r="U926" s="15"/>
    </row>
    <row r="927" spans="12:21">
      <c r="L927" s="15"/>
      <c r="M927" s="15"/>
      <c r="N927" s="15"/>
      <c r="T927" s="15"/>
      <c r="U927" s="15"/>
    </row>
    <row r="928" spans="12:21">
      <c r="L928" s="15"/>
      <c r="M928" s="15"/>
      <c r="N928" s="15"/>
      <c r="T928" s="15"/>
      <c r="U928" s="15"/>
    </row>
    <row r="929" spans="12:21">
      <c r="L929" s="15"/>
      <c r="M929" s="15"/>
      <c r="N929" s="15"/>
      <c r="T929" s="15"/>
      <c r="U929" s="15"/>
    </row>
    <row r="930" spans="12:21">
      <c r="L930" s="15"/>
      <c r="M930" s="15"/>
      <c r="N930" s="15"/>
      <c r="T930" s="15"/>
      <c r="U930" s="15"/>
    </row>
    <row r="931" spans="12:21">
      <c r="L931" s="15"/>
      <c r="M931" s="15"/>
      <c r="N931" s="15"/>
      <c r="T931" s="15"/>
      <c r="U931" s="15"/>
    </row>
    <row r="932" spans="12:21">
      <c r="L932" s="15"/>
      <c r="M932" s="15"/>
      <c r="N932" s="15"/>
      <c r="T932" s="15"/>
      <c r="U932" s="15"/>
    </row>
    <row r="933" spans="12:21">
      <c r="L933" s="15"/>
      <c r="M933" s="15"/>
      <c r="N933" s="15"/>
      <c r="T933" s="15"/>
      <c r="U933" s="15"/>
    </row>
    <row r="934" spans="12:21">
      <c r="L934" s="15"/>
      <c r="M934" s="15"/>
      <c r="N934" s="15"/>
      <c r="T934" s="15"/>
      <c r="U934" s="15"/>
    </row>
    <row r="935" spans="12:21">
      <c r="L935" s="15"/>
      <c r="M935" s="15"/>
      <c r="N935" s="15"/>
      <c r="T935" s="15"/>
      <c r="U935" s="15"/>
    </row>
    <row r="936" spans="12:21">
      <c r="L936" s="15"/>
      <c r="M936" s="15"/>
      <c r="N936" s="15"/>
      <c r="T936" s="15"/>
      <c r="U936" s="15"/>
    </row>
    <row r="937" spans="12:21">
      <c r="L937" s="15"/>
      <c r="M937" s="15"/>
      <c r="N937" s="15"/>
      <c r="T937" s="15"/>
      <c r="U937" s="15"/>
    </row>
    <row r="938" spans="12:21">
      <c r="L938" s="15"/>
      <c r="M938" s="15"/>
      <c r="N938" s="15"/>
      <c r="T938" s="15"/>
      <c r="U938" s="15"/>
    </row>
    <row r="939" spans="12:21">
      <c r="L939" s="15"/>
      <c r="M939" s="15"/>
      <c r="N939" s="15"/>
      <c r="T939" s="15"/>
      <c r="U939" s="15"/>
    </row>
    <row r="940" spans="12:21">
      <c r="L940" s="15"/>
      <c r="M940" s="15"/>
      <c r="N940" s="15"/>
      <c r="T940" s="15"/>
      <c r="U940" s="15"/>
    </row>
    <row r="941" spans="12:21">
      <c r="L941" s="15"/>
      <c r="M941" s="15"/>
      <c r="N941" s="15"/>
      <c r="T941" s="15"/>
      <c r="U941" s="15"/>
    </row>
    <row r="942" spans="12:21">
      <c r="L942" s="15"/>
      <c r="M942" s="15"/>
      <c r="N942" s="15"/>
      <c r="T942" s="15"/>
      <c r="U942" s="15"/>
    </row>
    <row r="943" spans="12:21">
      <c r="L943" s="15"/>
      <c r="M943" s="15"/>
      <c r="N943" s="15"/>
      <c r="T943" s="15"/>
      <c r="U943" s="15"/>
    </row>
    <row r="944" spans="12:21">
      <c r="L944" s="15"/>
      <c r="M944" s="15"/>
      <c r="N944" s="15"/>
      <c r="T944" s="15"/>
      <c r="U944" s="15"/>
    </row>
    <row r="945" spans="12:21">
      <c r="L945" s="15"/>
      <c r="M945" s="15"/>
      <c r="N945" s="15"/>
      <c r="T945" s="15"/>
      <c r="U945" s="15"/>
    </row>
    <row r="946" spans="12:21">
      <c r="L946" s="15"/>
      <c r="M946" s="15"/>
      <c r="N946" s="15"/>
      <c r="T946" s="15"/>
      <c r="U946" s="15"/>
    </row>
    <row r="947" spans="12:21">
      <c r="L947" s="15"/>
      <c r="M947" s="15"/>
      <c r="N947" s="15"/>
      <c r="T947" s="15"/>
      <c r="U947" s="15"/>
    </row>
    <row r="948" spans="12:21">
      <c r="L948" s="15"/>
      <c r="M948" s="15"/>
      <c r="N948" s="15"/>
      <c r="T948" s="15"/>
      <c r="U948" s="15"/>
    </row>
    <row r="949" spans="12:21">
      <c r="L949" s="15"/>
      <c r="M949" s="15"/>
      <c r="N949" s="15"/>
      <c r="T949" s="15"/>
      <c r="U949" s="15"/>
    </row>
    <row r="950" spans="12:21">
      <c r="L950" s="15"/>
      <c r="M950" s="15"/>
      <c r="N950" s="15"/>
      <c r="T950" s="15"/>
      <c r="U950" s="15"/>
    </row>
    <row r="951" spans="12:21">
      <c r="L951" s="15"/>
      <c r="M951" s="15"/>
      <c r="N951" s="15"/>
      <c r="T951" s="15"/>
      <c r="U951" s="15"/>
    </row>
    <row r="952" spans="12:21">
      <c r="L952" s="15"/>
      <c r="M952" s="15"/>
      <c r="N952" s="15"/>
      <c r="T952" s="15"/>
      <c r="U952" s="15"/>
    </row>
    <row r="953" spans="12:21">
      <c r="L953" s="15"/>
      <c r="M953" s="15"/>
      <c r="N953" s="15"/>
      <c r="T953" s="15"/>
      <c r="U953" s="15"/>
    </row>
    <row r="954" spans="12:21">
      <c r="L954" s="15"/>
      <c r="M954" s="15"/>
      <c r="N954" s="15"/>
      <c r="T954" s="15"/>
      <c r="U954" s="15"/>
    </row>
    <row r="955" spans="12:21">
      <c r="L955" s="15"/>
      <c r="M955" s="15"/>
      <c r="N955" s="15"/>
      <c r="T955" s="15"/>
      <c r="U955" s="15"/>
    </row>
    <row r="956" spans="12:21">
      <c r="L956" s="15"/>
      <c r="M956" s="15"/>
      <c r="N956" s="15"/>
      <c r="T956" s="15"/>
      <c r="U956" s="15"/>
    </row>
    <row r="957" spans="12:21">
      <c r="L957" s="15"/>
      <c r="M957" s="15"/>
      <c r="N957" s="15"/>
      <c r="T957" s="15"/>
      <c r="U957" s="15"/>
    </row>
    <row r="958" spans="12:21">
      <c r="L958" s="15"/>
      <c r="M958" s="15"/>
      <c r="N958" s="15"/>
      <c r="T958" s="15"/>
      <c r="U958" s="15"/>
    </row>
    <row r="959" spans="12:21">
      <c r="L959" s="15"/>
      <c r="M959" s="15"/>
      <c r="N959" s="15"/>
      <c r="T959" s="15"/>
      <c r="U959" s="15"/>
    </row>
    <row r="960" spans="12:21">
      <c r="L960" s="15"/>
      <c r="M960" s="15"/>
      <c r="N960" s="15"/>
      <c r="T960" s="15"/>
      <c r="U960" s="15"/>
    </row>
    <row r="961" spans="12:21">
      <c r="L961" s="15"/>
      <c r="M961" s="15"/>
      <c r="N961" s="15"/>
      <c r="T961" s="15"/>
      <c r="U961" s="15"/>
    </row>
    <row r="962" spans="12:21">
      <c r="L962" s="15"/>
      <c r="M962" s="15"/>
      <c r="N962" s="15"/>
      <c r="T962" s="15"/>
      <c r="U962" s="15"/>
    </row>
    <row r="963" spans="12:21">
      <c r="L963" s="15"/>
      <c r="M963" s="15"/>
      <c r="N963" s="15"/>
      <c r="T963" s="15"/>
      <c r="U963" s="15"/>
    </row>
    <row r="964" spans="12:21">
      <c r="L964" s="15"/>
      <c r="M964" s="15"/>
      <c r="N964" s="15"/>
      <c r="T964" s="15"/>
      <c r="U964" s="15"/>
    </row>
    <row r="965" spans="12:21">
      <c r="L965" s="15"/>
      <c r="M965" s="15"/>
      <c r="N965" s="15"/>
      <c r="T965" s="15"/>
      <c r="U965" s="15"/>
    </row>
    <row r="966" spans="12:21">
      <c r="L966" s="15"/>
      <c r="M966" s="15"/>
      <c r="N966" s="15"/>
      <c r="T966" s="15"/>
      <c r="U966" s="15"/>
    </row>
    <row r="967" spans="12:21">
      <c r="L967" s="15"/>
      <c r="M967" s="15"/>
      <c r="N967" s="15"/>
      <c r="T967" s="15"/>
      <c r="U967" s="15"/>
    </row>
    <row r="968" spans="12:21">
      <c r="L968" s="15"/>
      <c r="M968" s="15"/>
      <c r="N968" s="15"/>
      <c r="T968" s="15"/>
      <c r="U968" s="15"/>
    </row>
    <row r="969" spans="12:21">
      <c r="L969" s="15"/>
      <c r="M969" s="15"/>
      <c r="N969" s="15"/>
      <c r="T969" s="15"/>
      <c r="U969" s="15"/>
    </row>
    <row r="970" spans="12:21">
      <c r="L970" s="15"/>
      <c r="M970" s="15"/>
      <c r="N970" s="15"/>
      <c r="T970" s="15"/>
      <c r="U970" s="15"/>
    </row>
    <row r="971" spans="12:21">
      <c r="L971" s="15"/>
      <c r="M971" s="15"/>
      <c r="N971" s="15"/>
      <c r="T971" s="15"/>
      <c r="U971" s="15"/>
    </row>
    <row r="972" spans="12:21">
      <c r="L972" s="15"/>
      <c r="M972" s="15"/>
      <c r="N972" s="15"/>
      <c r="T972" s="15"/>
      <c r="U972" s="15"/>
    </row>
    <row r="973" spans="12:21">
      <c r="L973" s="15"/>
      <c r="M973" s="15"/>
      <c r="N973" s="15"/>
      <c r="T973" s="15"/>
      <c r="U973" s="15"/>
    </row>
    <row r="974" spans="12:21">
      <c r="L974" s="15"/>
      <c r="M974" s="15"/>
      <c r="N974" s="15"/>
      <c r="T974" s="15"/>
      <c r="U974" s="15"/>
    </row>
    <row r="975" spans="12:21">
      <c r="L975" s="15"/>
      <c r="M975" s="15"/>
      <c r="N975" s="15"/>
      <c r="T975" s="15"/>
      <c r="U975" s="15"/>
    </row>
    <row r="976" spans="12:21">
      <c r="L976" s="15"/>
      <c r="M976" s="15"/>
      <c r="N976" s="15"/>
      <c r="T976" s="15"/>
      <c r="U976" s="15"/>
    </row>
    <row r="977" spans="12:21">
      <c r="L977" s="15"/>
      <c r="M977" s="15"/>
      <c r="N977" s="15"/>
      <c r="T977" s="15"/>
      <c r="U977" s="15"/>
    </row>
    <row r="978" spans="12:21">
      <c r="L978" s="15"/>
      <c r="M978" s="15"/>
      <c r="N978" s="15"/>
      <c r="T978" s="15"/>
      <c r="U978" s="15"/>
    </row>
    <row r="979" spans="12:21">
      <c r="L979" s="15"/>
      <c r="M979" s="15"/>
      <c r="N979" s="15"/>
      <c r="T979" s="15"/>
      <c r="U979" s="15"/>
    </row>
    <row r="980" spans="12:21">
      <c r="L980" s="15"/>
      <c r="M980" s="15"/>
      <c r="N980" s="15"/>
      <c r="T980" s="15"/>
      <c r="U980" s="15"/>
    </row>
    <row r="981" spans="12:21">
      <c r="L981" s="15"/>
      <c r="M981" s="15"/>
      <c r="N981" s="15"/>
      <c r="T981" s="15"/>
      <c r="U981" s="15"/>
    </row>
    <row r="982" spans="12:21">
      <c r="L982" s="15"/>
      <c r="M982" s="15"/>
      <c r="N982" s="15"/>
      <c r="T982" s="15"/>
      <c r="U982" s="15"/>
    </row>
    <row r="983" spans="12:21">
      <c r="L983" s="15"/>
      <c r="M983" s="15"/>
      <c r="N983" s="15"/>
      <c r="T983" s="15"/>
      <c r="U983" s="15"/>
    </row>
    <row r="984" spans="12:21">
      <c r="L984" s="15"/>
      <c r="M984" s="15"/>
      <c r="N984" s="15"/>
      <c r="T984" s="15"/>
      <c r="U984" s="15"/>
    </row>
    <row r="985" spans="12:21">
      <c r="L985" s="15"/>
      <c r="M985" s="15"/>
      <c r="N985" s="15"/>
      <c r="T985" s="15"/>
      <c r="U985" s="15"/>
    </row>
    <row r="986" spans="12:21">
      <c r="L986" s="15"/>
      <c r="M986" s="15"/>
      <c r="N986" s="15"/>
      <c r="T986" s="15"/>
      <c r="U986" s="15"/>
    </row>
    <row r="987" spans="12:21">
      <c r="L987" s="15"/>
      <c r="M987" s="15"/>
      <c r="N987" s="15"/>
      <c r="T987" s="15"/>
      <c r="U987" s="15"/>
    </row>
    <row r="988" spans="12:21">
      <c r="L988" s="15"/>
      <c r="M988" s="15"/>
      <c r="N988" s="15"/>
      <c r="T988" s="15"/>
      <c r="U988" s="15"/>
    </row>
    <row r="989" spans="12:21">
      <c r="L989" s="15"/>
      <c r="M989" s="15"/>
      <c r="N989" s="15"/>
      <c r="T989" s="15"/>
      <c r="U989" s="15"/>
    </row>
    <row r="990" spans="12:21">
      <c r="L990" s="15"/>
      <c r="M990" s="15"/>
      <c r="N990" s="15"/>
      <c r="T990" s="15"/>
      <c r="U990" s="15"/>
    </row>
    <row r="991" spans="12:21">
      <c r="L991" s="15"/>
      <c r="M991" s="15"/>
      <c r="N991" s="15"/>
      <c r="T991" s="15"/>
      <c r="U991" s="15"/>
    </row>
    <row r="992" spans="12:21">
      <c r="L992" s="15"/>
      <c r="M992" s="15"/>
      <c r="N992" s="15"/>
      <c r="T992" s="15"/>
      <c r="U992" s="15"/>
    </row>
    <row r="993" spans="12:21">
      <c r="L993" s="15"/>
      <c r="M993" s="15"/>
      <c r="N993" s="15"/>
      <c r="T993" s="15"/>
      <c r="U993" s="15"/>
    </row>
    <row r="994" spans="12:21">
      <c r="L994" s="15"/>
      <c r="M994" s="15"/>
      <c r="N994" s="15"/>
      <c r="T994" s="15"/>
      <c r="U994" s="15"/>
    </row>
    <row r="995" spans="12:21">
      <c r="L995" s="15"/>
      <c r="M995" s="15"/>
      <c r="N995" s="15"/>
      <c r="T995" s="15"/>
      <c r="U995" s="15"/>
    </row>
    <row r="996" spans="12:21">
      <c r="L996" s="15"/>
      <c r="M996" s="15"/>
      <c r="N996" s="15"/>
      <c r="T996" s="15"/>
      <c r="U996" s="15"/>
    </row>
    <row r="997" spans="12:21">
      <c r="L997" s="15"/>
      <c r="M997" s="15"/>
      <c r="N997" s="15"/>
      <c r="T997" s="15"/>
      <c r="U997" s="15"/>
    </row>
    <row r="998" spans="12:21">
      <c r="L998" s="15"/>
      <c r="M998" s="15"/>
      <c r="N998" s="15"/>
      <c r="T998" s="15"/>
      <c r="U998" s="15"/>
    </row>
    <row r="999" spans="12:21">
      <c r="L999" s="15"/>
      <c r="M999" s="15"/>
      <c r="N999" s="15"/>
      <c r="T999" s="15"/>
      <c r="U999" s="15"/>
    </row>
    <row r="1000" spans="12:21">
      <c r="L1000" s="15"/>
      <c r="M1000" s="15"/>
      <c r="N1000" s="15"/>
      <c r="T1000" s="15"/>
      <c r="U1000" s="15"/>
    </row>
    <row r="1001" spans="12:21">
      <c r="L1001" s="15"/>
      <c r="M1001" s="15"/>
      <c r="N1001" s="15"/>
      <c r="T1001" s="15"/>
      <c r="U1001" s="15"/>
    </row>
    <row r="1002" spans="12:21">
      <c r="L1002" s="15"/>
      <c r="M1002" s="15"/>
      <c r="N1002" s="15"/>
      <c r="T1002" s="15"/>
      <c r="U1002" s="15"/>
    </row>
    <row r="1003" spans="12:21">
      <c r="L1003" s="15"/>
      <c r="M1003" s="15"/>
      <c r="N1003" s="15"/>
      <c r="T1003" s="15"/>
      <c r="U1003" s="15"/>
    </row>
    <row r="1004" spans="12:21">
      <c r="L1004" s="15"/>
      <c r="M1004" s="15"/>
      <c r="N1004" s="15"/>
      <c r="T1004" s="15"/>
      <c r="U1004" s="15"/>
    </row>
    <row r="1005" spans="12:21">
      <c r="L1005" s="15"/>
      <c r="M1005" s="15"/>
      <c r="N1005" s="15"/>
      <c r="T1005" s="15"/>
      <c r="U1005" s="15"/>
    </row>
    <row r="1006" spans="12:21">
      <c r="L1006" s="15"/>
      <c r="M1006" s="15"/>
      <c r="N1006" s="15"/>
      <c r="T1006" s="15"/>
      <c r="U1006" s="15"/>
    </row>
    <row r="1007" spans="12:21">
      <c r="L1007" s="15"/>
      <c r="M1007" s="15"/>
      <c r="N1007" s="15"/>
      <c r="T1007" s="15"/>
      <c r="U1007" s="15"/>
    </row>
    <row r="1008" spans="12:21">
      <c r="L1008" s="15"/>
      <c r="M1008" s="15"/>
      <c r="N1008" s="15"/>
      <c r="T1008" s="15"/>
      <c r="U1008" s="15"/>
    </row>
    <row r="1009" spans="12:21">
      <c r="L1009" s="15"/>
      <c r="M1009" s="15"/>
      <c r="N1009" s="15"/>
      <c r="T1009" s="15"/>
      <c r="U1009" s="15"/>
    </row>
    <row r="1010" spans="12:21">
      <c r="L1010" s="15"/>
      <c r="M1010" s="15"/>
      <c r="N1010" s="15"/>
      <c r="T1010" s="15"/>
      <c r="U1010" s="15"/>
    </row>
    <row r="1011" spans="12:21">
      <c r="L1011" s="15"/>
      <c r="M1011" s="15"/>
      <c r="N1011" s="15"/>
      <c r="T1011" s="15"/>
      <c r="U1011" s="15"/>
    </row>
    <row r="1012" spans="12:21">
      <c r="L1012" s="15"/>
      <c r="M1012" s="15"/>
      <c r="N1012" s="15"/>
      <c r="T1012" s="15"/>
      <c r="U1012" s="15"/>
    </row>
    <row r="1013" spans="12:21">
      <c r="L1013" s="15"/>
      <c r="M1013" s="15"/>
      <c r="N1013" s="15"/>
      <c r="T1013" s="15"/>
      <c r="U1013" s="15"/>
    </row>
    <row r="1014" spans="12:21">
      <c r="L1014" s="15"/>
      <c r="M1014" s="15"/>
      <c r="N1014" s="15"/>
      <c r="T1014" s="15"/>
      <c r="U1014" s="15"/>
    </row>
    <row r="1015" spans="12:21">
      <c r="L1015" s="15"/>
      <c r="M1015" s="15"/>
      <c r="N1015" s="15"/>
      <c r="T1015" s="15"/>
      <c r="U1015" s="15"/>
    </row>
    <row r="1016" spans="12:21">
      <c r="L1016" s="15"/>
      <c r="M1016" s="15"/>
      <c r="N1016" s="15"/>
      <c r="T1016" s="15"/>
      <c r="U1016" s="15"/>
    </row>
    <row r="1017" spans="12:21">
      <c r="L1017" s="15"/>
      <c r="M1017" s="15"/>
      <c r="N1017" s="15"/>
      <c r="T1017" s="15"/>
      <c r="U1017" s="15"/>
    </row>
    <row r="1018" spans="12:21">
      <c r="L1018" s="15"/>
      <c r="M1018" s="15"/>
      <c r="N1018" s="15"/>
      <c r="T1018" s="15"/>
      <c r="U1018" s="15"/>
    </row>
    <row r="1019" spans="12:21">
      <c r="L1019" s="15"/>
      <c r="M1019" s="15"/>
      <c r="N1019" s="15"/>
      <c r="T1019" s="15"/>
      <c r="U1019" s="15"/>
    </row>
    <row r="1020" spans="12:21">
      <c r="L1020" s="15"/>
      <c r="M1020" s="15"/>
      <c r="N1020" s="15"/>
      <c r="T1020" s="15"/>
      <c r="U1020" s="15"/>
    </row>
    <row r="1021" spans="12:21">
      <c r="L1021" s="15"/>
      <c r="M1021" s="15"/>
      <c r="N1021" s="15"/>
      <c r="T1021" s="15"/>
      <c r="U1021" s="15"/>
    </row>
    <row r="1022" spans="12:21">
      <c r="L1022" s="15"/>
      <c r="M1022" s="15"/>
      <c r="N1022" s="15"/>
      <c r="T1022" s="15"/>
      <c r="U1022" s="15"/>
    </row>
    <row r="1023" spans="12:21">
      <c r="L1023" s="15"/>
      <c r="M1023" s="15"/>
      <c r="N1023" s="15"/>
      <c r="T1023" s="15"/>
      <c r="U1023" s="15"/>
    </row>
    <row r="1024" spans="12:21">
      <c r="L1024" s="15"/>
      <c r="M1024" s="15"/>
      <c r="N1024" s="15"/>
      <c r="T1024" s="15"/>
      <c r="U1024" s="15"/>
    </row>
    <row r="1025" spans="12:21">
      <c r="L1025" s="15"/>
      <c r="M1025" s="15"/>
      <c r="N1025" s="15"/>
      <c r="T1025" s="15"/>
      <c r="U1025" s="15"/>
    </row>
    <row r="1026" spans="12:21">
      <c r="L1026" s="15"/>
      <c r="M1026" s="15"/>
      <c r="N1026" s="15"/>
      <c r="T1026" s="15"/>
      <c r="U1026" s="15"/>
    </row>
    <row r="1027" spans="12:21">
      <c r="L1027" s="15"/>
      <c r="M1027" s="15"/>
      <c r="N1027" s="15"/>
      <c r="T1027" s="15"/>
      <c r="U1027" s="15"/>
    </row>
    <row r="1028" spans="12:21">
      <c r="L1028" s="15"/>
      <c r="M1028" s="15"/>
      <c r="N1028" s="15"/>
      <c r="T1028" s="15"/>
      <c r="U1028" s="15"/>
    </row>
    <row r="1029" spans="12:21">
      <c r="L1029" s="15"/>
      <c r="M1029" s="15"/>
      <c r="N1029" s="15"/>
      <c r="T1029" s="15"/>
      <c r="U1029" s="15"/>
    </row>
    <row r="1030" spans="12:21">
      <c r="L1030" s="15"/>
      <c r="M1030" s="15"/>
      <c r="N1030" s="15"/>
      <c r="T1030" s="15"/>
      <c r="U1030" s="15"/>
    </row>
    <row r="1031" spans="12:21">
      <c r="L1031" s="15"/>
      <c r="M1031" s="15"/>
      <c r="N1031" s="15"/>
      <c r="T1031" s="15"/>
      <c r="U1031" s="15"/>
    </row>
    <row r="1032" spans="12:21">
      <c r="L1032" s="15"/>
      <c r="M1032" s="15"/>
      <c r="N1032" s="15"/>
      <c r="T1032" s="15"/>
      <c r="U1032" s="15"/>
    </row>
    <row r="1033" spans="12:21">
      <c r="L1033" s="15"/>
      <c r="M1033" s="15"/>
      <c r="N1033" s="15"/>
      <c r="T1033" s="15"/>
      <c r="U1033" s="15"/>
    </row>
    <row r="1034" spans="12:21">
      <c r="L1034" s="15"/>
      <c r="M1034" s="15"/>
      <c r="N1034" s="15"/>
      <c r="T1034" s="15"/>
      <c r="U1034" s="15"/>
    </row>
    <row r="1035" spans="12:21">
      <c r="L1035" s="15"/>
      <c r="M1035" s="15"/>
      <c r="N1035" s="15"/>
      <c r="T1035" s="15"/>
      <c r="U1035" s="15"/>
    </row>
    <row r="1036" spans="12:21">
      <c r="L1036" s="15"/>
      <c r="M1036" s="15"/>
      <c r="N1036" s="15"/>
      <c r="T1036" s="15"/>
      <c r="U1036" s="15"/>
    </row>
    <row r="1037" spans="12:21">
      <c r="L1037" s="15"/>
      <c r="M1037" s="15"/>
      <c r="N1037" s="15"/>
      <c r="T1037" s="15"/>
      <c r="U1037" s="15"/>
    </row>
    <row r="1038" spans="12:21">
      <c r="L1038" s="15"/>
      <c r="M1038" s="15"/>
      <c r="N1038" s="15"/>
      <c r="T1038" s="15"/>
      <c r="U1038" s="15"/>
    </row>
    <row r="1039" spans="12:21">
      <c r="L1039" s="15"/>
      <c r="M1039" s="15"/>
      <c r="N1039" s="15"/>
      <c r="T1039" s="15"/>
      <c r="U1039" s="15"/>
    </row>
    <row r="1040" spans="12:21">
      <c r="L1040" s="15"/>
      <c r="M1040" s="15"/>
      <c r="N1040" s="15"/>
      <c r="T1040" s="15"/>
      <c r="U1040" s="15"/>
    </row>
    <row r="1041" spans="12:21">
      <c r="L1041" s="15"/>
      <c r="M1041" s="15"/>
      <c r="N1041" s="15"/>
      <c r="T1041" s="15"/>
      <c r="U1041" s="15"/>
    </row>
    <row r="1042" spans="12:21">
      <c r="L1042" s="15"/>
      <c r="M1042" s="15"/>
      <c r="N1042" s="15"/>
      <c r="T1042" s="15"/>
      <c r="U1042" s="15"/>
    </row>
    <row r="1043" spans="12:21">
      <c r="L1043" s="15"/>
      <c r="M1043" s="15"/>
      <c r="N1043" s="15"/>
      <c r="T1043" s="15"/>
      <c r="U1043" s="15"/>
    </row>
    <row r="1044" spans="12:21">
      <c r="L1044" s="15"/>
      <c r="M1044" s="15"/>
      <c r="N1044" s="15"/>
      <c r="T1044" s="15"/>
      <c r="U1044" s="15"/>
    </row>
    <row r="1045" spans="12:21">
      <c r="L1045" s="15"/>
      <c r="M1045" s="15"/>
      <c r="N1045" s="15"/>
      <c r="T1045" s="15"/>
      <c r="U1045" s="15"/>
    </row>
    <row r="1046" spans="12:21">
      <c r="L1046" s="15"/>
      <c r="M1046" s="15"/>
      <c r="N1046" s="15"/>
      <c r="T1046" s="15"/>
      <c r="U1046" s="15"/>
    </row>
    <row r="1047" spans="12:21">
      <c r="L1047" s="15"/>
      <c r="M1047" s="15"/>
      <c r="N1047" s="15"/>
      <c r="T1047" s="15"/>
      <c r="U1047" s="15"/>
    </row>
    <row r="1048" spans="12:21">
      <c r="L1048" s="15"/>
      <c r="M1048" s="15"/>
      <c r="N1048" s="15"/>
      <c r="T1048" s="15"/>
      <c r="U1048" s="15"/>
    </row>
    <row r="1049" spans="12:21">
      <c r="L1049" s="15"/>
      <c r="M1049" s="15"/>
      <c r="N1049" s="15"/>
      <c r="T1049" s="15"/>
      <c r="U1049" s="15"/>
    </row>
    <row r="1050" spans="12:21">
      <c r="L1050" s="15"/>
      <c r="M1050" s="15"/>
      <c r="N1050" s="15"/>
      <c r="T1050" s="15"/>
      <c r="U1050" s="15"/>
    </row>
    <row r="1051" spans="12:21">
      <c r="L1051" s="15"/>
      <c r="M1051" s="15"/>
      <c r="N1051" s="15"/>
      <c r="T1051" s="15"/>
      <c r="U1051" s="15"/>
    </row>
    <row r="1052" spans="12:21">
      <c r="L1052" s="15"/>
      <c r="M1052" s="15"/>
      <c r="N1052" s="15"/>
      <c r="T1052" s="15"/>
      <c r="U1052" s="15"/>
    </row>
    <row r="1053" spans="12:21">
      <c r="L1053" s="15"/>
      <c r="M1053" s="15"/>
      <c r="N1053" s="15"/>
      <c r="T1053" s="15"/>
      <c r="U1053" s="15"/>
    </row>
    <row r="1054" spans="12:21">
      <c r="L1054" s="15"/>
      <c r="M1054" s="15"/>
      <c r="N1054" s="15"/>
      <c r="T1054" s="15"/>
      <c r="U1054" s="15"/>
    </row>
    <row r="1055" spans="12:21">
      <c r="L1055" s="15"/>
      <c r="M1055" s="15"/>
      <c r="N1055" s="15"/>
      <c r="T1055" s="15"/>
      <c r="U1055" s="15"/>
    </row>
    <row r="1056" spans="12:21">
      <c r="L1056" s="15"/>
      <c r="M1056" s="15"/>
      <c r="N1056" s="15"/>
      <c r="T1056" s="15"/>
      <c r="U1056" s="15"/>
    </row>
    <row r="1057" spans="12:21">
      <c r="L1057" s="15"/>
      <c r="M1057" s="15"/>
      <c r="N1057" s="15"/>
      <c r="T1057" s="15"/>
      <c r="U1057" s="15"/>
    </row>
    <row r="1058" spans="12:21">
      <c r="L1058" s="15"/>
      <c r="M1058" s="15"/>
      <c r="N1058" s="15"/>
      <c r="T1058" s="15"/>
      <c r="U1058" s="15"/>
    </row>
    <row r="1059" spans="12:21">
      <c r="L1059" s="15"/>
      <c r="M1059" s="15"/>
      <c r="N1059" s="15"/>
      <c r="T1059" s="15"/>
      <c r="U1059" s="15"/>
    </row>
    <row r="1060" spans="12:21">
      <c r="L1060" s="15"/>
      <c r="M1060" s="15"/>
      <c r="N1060" s="15"/>
      <c r="T1060" s="15"/>
      <c r="U1060" s="15"/>
    </row>
    <row r="1061" spans="12:21">
      <c r="L1061" s="15"/>
      <c r="M1061" s="15"/>
      <c r="N1061" s="15"/>
      <c r="T1061" s="15"/>
      <c r="U1061" s="15"/>
    </row>
    <row r="1062" spans="12:21">
      <c r="L1062" s="15"/>
      <c r="M1062" s="15"/>
      <c r="N1062" s="15"/>
      <c r="T1062" s="15"/>
      <c r="U1062" s="15"/>
    </row>
    <row r="1063" spans="12:21">
      <c r="L1063" s="15"/>
      <c r="M1063" s="15"/>
      <c r="N1063" s="15"/>
      <c r="T1063" s="15"/>
      <c r="U1063" s="15"/>
    </row>
    <row r="1064" spans="12:21">
      <c r="L1064" s="15"/>
      <c r="M1064" s="15"/>
      <c r="N1064" s="15"/>
      <c r="T1064" s="15"/>
      <c r="U1064" s="15"/>
    </row>
    <row r="1065" spans="12:21">
      <c r="L1065" s="15"/>
      <c r="M1065" s="15"/>
      <c r="N1065" s="15"/>
      <c r="T1065" s="15"/>
      <c r="U1065" s="15"/>
    </row>
    <row r="1066" spans="12:21">
      <c r="L1066" s="15"/>
      <c r="M1066" s="15"/>
      <c r="N1066" s="15"/>
      <c r="T1066" s="15"/>
      <c r="U1066" s="15"/>
    </row>
    <row r="1067" spans="12:21">
      <c r="L1067" s="15"/>
      <c r="M1067" s="15"/>
      <c r="N1067" s="15"/>
      <c r="T1067" s="15"/>
      <c r="U1067" s="15"/>
    </row>
    <row r="1068" spans="12:21">
      <c r="L1068" s="15"/>
      <c r="M1068" s="15"/>
      <c r="N1068" s="15"/>
      <c r="T1068" s="15"/>
      <c r="U1068" s="15"/>
    </row>
    <row r="1069" spans="12:21">
      <c r="L1069" s="15"/>
      <c r="M1069" s="15"/>
      <c r="N1069" s="15"/>
      <c r="T1069" s="15"/>
      <c r="U1069" s="15"/>
    </row>
    <row r="1070" spans="12:21">
      <c r="L1070" s="15"/>
      <c r="M1070" s="15"/>
      <c r="N1070" s="15"/>
      <c r="T1070" s="15"/>
      <c r="U1070" s="15"/>
    </row>
    <row r="1071" spans="12:21">
      <c r="L1071" s="15"/>
      <c r="M1071" s="15"/>
      <c r="N1071" s="15"/>
      <c r="T1071" s="15"/>
      <c r="U1071" s="15"/>
    </row>
    <row r="1072" spans="12:21">
      <c r="L1072" s="15"/>
      <c r="M1072" s="15"/>
      <c r="N1072" s="15"/>
      <c r="T1072" s="15"/>
      <c r="U1072" s="15"/>
    </row>
    <row r="1073" spans="12:21">
      <c r="L1073" s="15"/>
      <c r="M1073" s="15"/>
      <c r="N1073" s="15"/>
      <c r="T1073" s="15"/>
      <c r="U1073" s="15"/>
    </row>
    <row r="1074" spans="12:21">
      <c r="L1074" s="15"/>
      <c r="M1074" s="15"/>
      <c r="N1074" s="15"/>
      <c r="T1074" s="15"/>
      <c r="U1074" s="15"/>
    </row>
    <row r="1075" spans="12:21">
      <c r="L1075" s="15"/>
      <c r="M1075" s="15"/>
      <c r="N1075" s="15"/>
      <c r="T1075" s="15"/>
      <c r="U1075" s="15"/>
    </row>
    <row r="1076" spans="12:21">
      <c r="L1076" s="15"/>
      <c r="M1076" s="15"/>
      <c r="N1076" s="15"/>
      <c r="T1076" s="15"/>
      <c r="U1076" s="15"/>
    </row>
    <row r="1077" spans="12:21">
      <c r="L1077" s="15"/>
      <c r="M1077" s="15"/>
      <c r="N1077" s="15"/>
      <c r="T1077" s="15"/>
      <c r="U1077" s="15"/>
    </row>
    <row r="1078" spans="12:21">
      <c r="L1078" s="15"/>
      <c r="M1078" s="15"/>
      <c r="N1078" s="15"/>
      <c r="T1078" s="15"/>
      <c r="U1078" s="15"/>
    </row>
    <row r="1079" spans="12:21">
      <c r="L1079" s="15"/>
      <c r="M1079" s="15"/>
      <c r="N1079" s="15"/>
      <c r="T1079" s="15"/>
      <c r="U1079" s="15"/>
    </row>
    <row r="1080" spans="12:21">
      <c r="L1080" s="15"/>
      <c r="M1080" s="15"/>
      <c r="N1080" s="15"/>
      <c r="T1080" s="15"/>
      <c r="U1080" s="15"/>
    </row>
    <row r="1081" spans="12:21">
      <c r="L1081" s="15"/>
      <c r="M1081" s="15"/>
      <c r="N1081" s="15"/>
      <c r="T1081" s="15"/>
      <c r="U1081" s="15"/>
    </row>
    <row r="1082" spans="12:21">
      <c r="L1082" s="15"/>
      <c r="M1082" s="15"/>
      <c r="N1082" s="15"/>
      <c r="T1082" s="15"/>
      <c r="U1082" s="15"/>
    </row>
    <row r="1083" spans="12:21">
      <c r="L1083" s="15"/>
      <c r="M1083" s="15"/>
      <c r="N1083" s="15"/>
      <c r="T1083" s="15"/>
      <c r="U1083" s="15"/>
    </row>
    <row r="1084" spans="12:21">
      <c r="L1084" s="15"/>
      <c r="M1084" s="15"/>
      <c r="N1084" s="15"/>
      <c r="T1084" s="15"/>
      <c r="U1084" s="15"/>
    </row>
    <row r="1085" spans="12:21">
      <c r="L1085" s="15"/>
      <c r="M1085" s="15"/>
      <c r="N1085" s="15"/>
      <c r="T1085" s="15"/>
      <c r="U1085" s="15"/>
    </row>
    <row r="1086" spans="12:21">
      <c r="L1086" s="15"/>
      <c r="M1086" s="15"/>
      <c r="N1086" s="15"/>
      <c r="T1086" s="15"/>
      <c r="U1086" s="15"/>
    </row>
    <row r="1087" spans="12:21">
      <c r="L1087" s="15"/>
      <c r="M1087" s="15"/>
      <c r="N1087" s="15"/>
      <c r="T1087" s="15"/>
      <c r="U1087" s="15"/>
    </row>
    <row r="1088" spans="12:21">
      <c r="L1088" s="15"/>
      <c r="M1088" s="15"/>
      <c r="N1088" s="15"/>
      <c r="T1088" s="15"/>
      <c r="U1088" s="15"/>
    </row>
    <row r="1089" spans="12:21">
      <c r="L1089" s="15"/>
      <c r="M1089" s="15"/>
      <c r="N1089" s="15"/>
      <c r="T1089" s="15"/>
      <c r="U1089" s="15"/>
    </row>
    <row r="1090" spans="12:21">
      <c r="L1090" s="15"/>
      <c r="M1090" s="15"/>
      <c r="N1090" s="15"/>
      <c r="T1090" s="15"/>
      <c r="U1090" s="15"/>
    </row>
    <row r="1091" spans="12:21">
      <c r="L1091" s="15"/>
      <c r="M1091" s="15"/>
      <c r="N1091" s="15"/>
      <c r="T1091" s="15"/>
      <c r="U1091" s="15"/>
    </row>
    <row r="1092" spans="12:21">
      <c r="L1092" s="15"/>
      <c r="M1092" s="15"/>
      <c r="N1092" s="15"/>
      <c r="T1092" s="15"/>
      <c r="U1092" s="15"/>
    </row>
    <row r="1093" spans="12:21">
      <c r="L1093" s="15"/>
      <c r="M1093" s="15"/>
      <c r="N1093" s="15"/>
      <c r="T1093" s="15"/>
      <c r="U1093" s="15"/>
    </row>
    <row r="1094" spans="12:21">
      <c r="L1094" s="15"/>
      <c r="M1094" s="15"/>
      <c r="N1094" s="15"/>
      <c r="T1094" s="15"/>
      <c r="U1094" s="15"/>
    </row>
    <row r="1095" spans="12:21">
      <c r="L1095" s="15"/>
      <c r="M1095" s="15"/>
      <c r="N1095" s="15"/>
      <c r="T1095" s="15"/>
      <c r="U1095" s="15"/>
    </row>
    <row r="1096" spans="12:21">
      <c r="L1096" s="15"/>
      <c r="M1096" s="15"/>
      <c r="N1096" s="15"/>
      <c r="T1096" s="15"/>
      <c r="U1096" s="15"/>
    </row>
    <row r="1097" spans="12:21">
      <c r="L1097" s="15"/>
      <c r="M1097" s="15"/>
      <c r="N1097" s="15"/>
      <c r="T1097" s="15"/>
      <c r="U1097" s="15"/>
    </row>
    <row r="1098" spans="12:21">
      <c r="L1098" s="15"/>
      <c r="M1098" s="15"/>
      <c r="N1098" s="15"/>
      <c r="T1098" s="15"/>
      <c r="U1098" s="15"/>
    </row>
    <row r="1099" spans="12:21">
      <c r="L1099" s="15"/>
      <c r="M1099" s="15"/>
      <c r="N1099" s="15"/>
      <c r="T1099" s="15"/>
      <c r="U1099" s="15"/>
    </row>
    <row r="1100" spans="12:21">
      <c r="L1100" s="15"/>
      <c r="M1100" s="15"/>
      <c r="N1100" s="15"/>
      <c r="T1100" s="15"/>
      <c r="U1100" s="15"/>
    </row>
    <row r="1101" spans="12:21">
      <c r="L1101" s="15"/>
      <c r="M1101" s="15"/>
      <c r="N1101" s="15"/>
      <c r="T1101" s="15"/>
      <c r="U1101" s="15"/>
    </row>
    <row r="1102" spans="12:21">
      <c r="L1102" s="15"/>
      <c r="M1102" s="15"/>
      <c r="N1102" s="15"/>
      <c r="T1102" s="15"/>
      <c r="U1102" s="15"/>
    </row>
    <row r="1103" spans="12:21">
      <c r="L1103" s="15"/>
      <c r="M1103" s="15"/>
      <c r="N1103" s="15"/>
      <c r="T1103" s="15"/>
      <c r="U1103" s="15"/>
    </row>
    <row r="1104" spans="12:21">
      <c r="L1104" s="15"/>
      <c r="M1104" s="15"/>
      <c r="N1104" s="15"/>
      <c r="T1104" s="15"/>
      <c r="U1104" s="15"/>
    </row>
    <row r="1105" spans="12:21">
      <c r="L1105" s="15"/>
      <c r="M1105" s="15"/>
      <c r="N1105" s="15"/>
      <c r="T1105" s="15"/>
      <c r="U1105" s="15"/>
    </row>
    <row r="1106" spans="12:21">
      <c r="L1106" s="15"/>
      <c r="M1106" s="15"/>
      <c r="N1106" s="15"/>
      <c r="T1106" s="15"/>
      <c r="U1106" s="15"/>
    </row>
    <row r="1107" spans="12:21">
      <c r="L1107" s="15"/>
      <c r="M1107" s="15"/>
      <c r="N1107" s="15"/>
      <c r="T1107" s="15"/>
      <c r="U1107" s="15"/>
    </row>
    <row r="1108" spans="12:21">
      <c r="L1108" s="15"/>
      <c r="M1108" s="15"/>
      <c r="N1108" s="15"/>
      <c r="T1108" s="15"/>
      <c r="U1108" s="15"/>
    </row>
    <row r="1109" spans="12:21">
      <c r="L1109" s="15"/>
      <c r="M1109" s="15"/>
      <c r="N1109" s="15"/>
      <c r="T1109" s="15"/>
      <c r="U1109" s="15"/>
    </row>
    <row r="1110" spans="12:21">
      <c r="L1110" s="15"/>
      <c r="M1110" s="15"/>
      <c r="N1110" s="15"/>
      <c r="T1110" s="15"/>
      <c r="U1110" s="15"/>
    </row>
    <row r="1111" spans="12:21">
      <c r="L1111" s="15"/>
      <c r="M1111" s="15"/>
      <c r="N1111" s="15"/>
      <c r="T1111" s="15"/>
      <c r="U1111" s="15"/>
    </row>
    <row r="1112" spans="12:21">
      <c r="L1112" s="15"/>
      <c r="M1112" s="15"/>
      <c r="N1112" s="15"/>
      <c r="T1112" s="15"/>
      <c r="U1112" s="15"/>
    </row>
    <row r="1113" spans="12:21">
      <c r="L1113" s="15"/>
      <c r="M1113" s="15"/>
      <c r="N1113" s="15"/>
      <c r="T1113" s="15"/>
      <c r="U1113" s="15"/>
    </row>
    <row r="1114" spans="12:21">
      <c r="L1114" s="15"/>
      <c r="M1114" s="15"/>
      <c r="N1114" s="15"/>
      <c r="T1114" s="15"/>
      <c r="U1114" s="15"/>
    </row>
    <row r="1115" spans="12:21">
      <c r="L1115" s="15"/>
      <c r="M1115" s="15"/>
      <c r="N1115" s="15"/>
      <c r="T1115" s="15"/>
      <c r="U1115" s="15"/>
    </row>
    <row r="1116" spans="12:21">
      <c r="L1116" s="15"/>
      <c r="M1116" s="15"/>
      <c r="N1116" s="15"/>
      <c r="T1116" s="15"/>
      <c r="U1116" s="15"/>
    </row>
    <row r="1117" spans="12:21">
      <c r="L1117" s="15"/>
      <c r="M1117" s="15"/>
      <c r="N1117" s="15"/>
      <c r="T1117" s="15"/>
      <c r="U1117" s="15"/>
    </row>
    <row r="1118" spans="12:21">
      <c r="L1118" s="15"/>
      <c r="M1118" s="15"/>
      <c r="N1118" s="15"/>
      <c r="T1118" s="15"/>
      <c r="U1118" s="15"/>
    </row>
    <row r="1119" spans="12:21">
      <c r="L1119" s="15"/>
      <c r="M1119" s="15"/>
      <c r="N1119" s="15"/>
      <c r="T1119" s="15"/>
      <c r="U1119" s="15"/>
    </row>
    <row r="1120" spans="12:21">
      <c r="L1120" s="15"/>
      <c r="M1120" s="15"/>
      <c r="N1120" s="15"/>
      <c r="T1120" s="15"/>
      <c r="U1120" s="15"/>
    </row>
    <row r="1121" spans="12:21">
      <c r="L1121" s="15"/>
      <c r="M1121" s="15"/>
      <c r="N1121" s="15"/>
      <c r="T1121" s="15"/>
      <c r="U1121" s="15"/>
    </row>
    <row r="1122" spans="12:21">
      <c r="L1122" s="15"/>
      <c r="M1122" s="15"/>
      <c r="N1122" s="15"/>
      <c r="T1122" s="15"/>
      <c r="U1122" s="15"/>
    </row>
    <row r="1123" spans="12:21">
      <c r="L1123" s="15"/>
      <c r="M1123" s="15"/>
      <c r="N1123" s="15"/>
      <c r="T1123" s="15"/>
      <c r="U1123" s="15"/>
    </row>
    <row r="1124" spans="12:21">
      <c r="L1124" s="15"/>
      <c r="M1124" s="15"/>
      <c r="N1124" s="15"/>
      <c r="T1124" s="15"/>
      <c r="U1124" s="15"/>
    </row>
    <row r="1125" spans="12:21">
      <c r="L1125" s="15"/>
      <c r="M1125" s="15"/>
      <c r="N1125" s="15"/>
      <c r="T1125" s="15"/>
      <c r="U1125" s="15"/>
    </row>
    <row r="1126" spans="12:21">
      <c r="L1126" s="15"/>
      <c r="M1126" s="15"/>
      <c r="N1126" s="15"/>
      <c r="T1126" s="15"/>
      <c r="U1126" s="15"/>
    </row>
    <row r="1127" spans="12:21">
      <c r="L1127" s="15"/>
      <c r="M1127" s="15"/>
      <c r="N1127" s="15"/>
      <c r="T1127" s="15"/>
      <c r="U1127" s="15"/>
    </row>
    <row r="1128" spans="12:21">
      <c r="L1128" s="15"/>
      <c r="M1128" s="15"/>
      <c r="N1128" s="15"/>
      <c r="T1128" s="15"/>
      <c r="U1128" s="15"/>
    </row>
    <row r="1129" spans="12:21">
      <c r="L1129" s="15"/>
      <c r="M1129" s="15"/>
      <c r="N1129" s="15"/>
      <c r="T1129" s="15"/>
      <c r="U1129" s="15"/>
    </row>
    <row r="1130" spans="12:21">
      <c r="L1130" s="15"/>
      <c r="M1130" s="15"/>
      <c r="N1130" s="15"/>
      <c r="T1130" s="15"/>
      <c r="U1130" s="15"/>
    </row>
    <row r="1131" spans="12:21">
      <c r="L1131" s="15"/>
      <c r="M1131" s="15"/>
      <c r="N1131" s="15"/>
      <c r="T1131" s="15"/>
      <c r="U1131" s="15"/>
    </row>
    <row r="1132" spans="12:21">
      <c r="L1132" s="15"/>
      <c r="M1132" s="15"/>
      <c r="N1132" s="15"/>
      <c r="T1132" s="15"/>
      <c r="U1132" s="15"/>
    </row>
    <row r="1133" spans="12:21">
      <c r="L1133" s="15"/>
      <c r="M1133" s="15"/>
      <c r="N1133" s="15"/>
      <c r="T1133" s="15"/>
      <c r="U1133" s="15"/>
    </row>
    <row r="1134" spans="12:21">
      <c r="L1134" s="15"/>
      <c r="M1134" s="15"/>
      <c r="N1134" s="15"/>
      <c r="T1134" s="15"/>
      <c r="U1134" s="15"/>
    </row>
    <row r="1135" spans="12:21">
      <c r="L1135" s="15"/>
      <c r="M1135" s="15"/>
      <c r="N1135" s="15"/>
      <c r="T1135" s="15"/>
      <c r="U1135" s="15"/>
    </row>
    <row r="1136" spans="12:21">
      <c r="L1136" s="15"/>
      <c r="M1136" s="15"/>
      <c r="N1136" s="15"/>
      <c r="T1136" s="15"/>
      <c r="U1136" s="15"/>
    </row>
    <row r="1137" spans="12:21">
      <c r="L1137" s="15"/>
      <c r="M1137" s="15"/>
      <c r="N1137" s="15"/>
      <c r="T1137" s="15"/>
      <c r="U1137" s="15"/>
    </row>
    <row r="1138" spans="12:21">
      <c r="L1138" s="15"/>
      <c r="M1138" s="15"/>
      <c r="N1138" s="15"/>
      <c r="T1138" s="15"/>
      <c r="U1138" s="15"/>
    </row>
    <row r="1139" spans="12:21">
      <c r="L1139" s="15"/>
      <c r="M1139" s="15"/>
      <c r="N1139" s="15"/>
      <c r="T1139" s="15"/>
      <c r="U1139" s="15"/>
    </row>
    <row r="1140" spans="12:21">
      <c r="L1140" s="15"/>
      <c r="M1140" s="15"/>
      <c r="N1140" s="15"/>
      <c r="T1140" s="15"/>
      <c r="U1140" s="15"/>
    </row>
    <row r="1141" spans="12:21">
      <c r="L1141" s="15"/>
      <c r="M1141" s="15"/>
      <c r="N1141" s="15"/>
      <c r="T1141" s="15"/>
      <c r="U1141" s="15"/>
    </row>
    <row r="1142" spans="12:21">
      <c r="L1142" s="15"/>
      <c r="M1142" s="15"/>
      <c r="N1142" s="15"/>
      <c r="T1142" s="15"/>
      <c r="U1142" s="15"/>
    </row>
    <row r="1143" spans="12:21">
      <c r="L1143" s="15"/>
      <c r="M1143" s="15"/>
      <c r="N1143" s="15"/>
      <c r="T1143" s="15"/>
      <c r="U1143" s="15"/>
    </row>
    <row r="1144" spans="12:21">
      <c r="L1144" s="15"/>
      <c r="M1144" s="15"/>
      <c r="N1144" s="15"/>
      <c r="T1144" s="15"/>
      <c r="U1144" s="15"/>
    </row>
    <row r="1145" spans="12:21">
      <c r="L1145" s="15"/>
      <c r="M1145" s="15"/>
      <c r="N1145" s="15"/>
      <c r="T1145" s="15"/>
      <c r="U1145" s="15"/>
    </row>
    <row r="1146" spans="12:21">
      <c r="L1146" s="15"/>
      <c r="M1146" s="15"/>
      <c r="N1146" s="15"/>
      <c r="T1146" s="15"/>
      <c r="U1146" s="15"/>
    </row>
    <row r="1147" spans="12:21">
      <c r="L1147" s="15"/>
      <c r="M1147" s="15"/>
      <c r="N1147" s="15"/>
      <c r="T1147" s="15"/>
      <c r="U1147" s="15"/>
    </row>
    <row r="1148" spans="12:21">
      <c r="L1148" s="15"/>
      <c r="M1148" s="15"/>
      <c r="N1148" s="15"/>
      <c r="T1148" s="15"/>
      <c r="U1148" s="15"/>
    </row>
    <row r="1149" spans="12:21">
      <c r="L1149" s="15"/>
      <c r="M1149" s="15"/>
      <c r="N1149" s="15"/>
      <c r="T1149" s="15"/>
      <c r="U1149" s="15"/>
    </row>
    <row r="1150" spans="12:21">
      <c r="L1150" s="15"/>
      <c r="M1150" s="15"/>
      <c r="N1150" s="15"/>
      <c r="T1150" s="15"/>
      <c r="U1150" s="15"/>
    </row>
    <row r="1151" spans="12:21">
      <c r="L1151" s="15"/>
      <c r="M1151" s="15"/>
      <c r="N1151" s="15"/>
      <c r="T1151" s="15"/>
      <c r="U1151" s="15"/>
    </row>
    <row r="1152" spans="12:21">
      <c r="L1152" s="15"/>
      <c r="M1152" s="15"/>
      <c r="N1152" s="15"/>
      <c r="T1152" s="15"/>
      <c r="U1152" s="15"/>
    </row>
    <row r="1153" spans="12:21">
      <c r="L1153" s="15"/>
      <c r="M1153" s="15"/>
      <c r="N1153" s="15"/>
      <c r="T1153" s="15"/>
      <c r="U1153" s="15"/>
    </row>
    <row r="1154" spans="12:21">
      <c r="L1154" s="15"/>
      <c r="M1154" s="15"/>
      <c r="N1154" s="15"/>
      <c r="T1154" s="15"/>
      <c r="U1154" s="15"/>
    </row>
    <row r="1155" spans="12:21">
      <c r="L1155" s="15"/>
      <c r="M1155" s="15"/>
      <c r="N1155" s="15"/>
      <c r="T1155" s="15"/>
      <c r="U1155" s="15"/>
    </row>
    <row r="1156" spans="12:21">
      <c r="L1156" s="15"/>
      <c r="M1156" s="15"/>
      <c r="N1156" s="15"/>
      <c r="T1156" s="15"/>
      <c r="U1156" s="15"/>
    </row>
    <row r="1157" spans="12:21">
      <c r="L1157" s="15"/>
      <c r="M1157" s="15"/>
      <c r="N1157" s="15"/>
      <c r="T1157" s="15"/>
      <c r="U1157" s="15"/>
    </row>
    <row r="1158" spans="12:21">
      <c r="L1158" s="15"/>
      <c r="M1158" s="15"/>
      <c r="N1158" s="15"/>
      <c r="T1158" s="15"/>
      <c r="U1158" s="15"/>
    </row>
    <row r="1159" spans="12:21">
      <c r="L1159" s="15"/>
      <c r="M1159" s="15"/>
      <c r="N1159" s="15"/>
      <c r="T1159" s="15"/>
      <c r="U1159" s="15"/>
    </row>
    <row r="1160" spans="12:21">
      <c r="L1160" s="15"/>
      <c r="M1160" s="15"/>
      <c r="N1160" s="15"/>
      <c r="T1160" s="15"/>
      <c r="U1160" s="15"/>
    </row>
    <row r="1161" spans="12:21">
      <c r="L1161" s="15"/>
      <c r="M1161" s="15"/>
      <c r="N1161" s="15"/>
      <c r="T1161" s="15"/>
      <c r="U1161" s="15"/>
    </row>
    <row r="1162" spans="12:21">
      <c r="L1162" s="15"/>
      <c r="M1162" s="15"/>
      <c r="N1162" s="15"/>
      <c r="T1162" s="15"/>
      <c r="U1162" s="15"/>
    </row>
    <row r="1163" spans="12:21">
      <c r="L1163" s="15"/>
      <c r="M1163" s="15"/>
      <c r="N1163" s="15"/>
      <c r="T1163" s="15"/>
      <c r="U1163" s="15"/>
    </row>
    <row r="1164" spans="12:21">
      <c r="L1164" s="15"/>
      <c r="M1164" s="15"/>
      <c r="N1164" s="15"/>
      <c r="T1164" s="15"/>
      <c r="U1164" s="15"/>
    </row>
    <row r="1165" spans="12:21">
      <c r="L1165" s="15"/>
      <c r="M1165" s="15"/>
      <c r="N1165" s="15"/>
      <c r="T1165" s="15"/>
      <c r="U1165" s="15"/>
    </row>
    <row r="1166" spans="12:21">
      <c r="L1166" s="15"/>
      <c r="M1166" s="15"/>
      <c r="N1166" s="15"/>
      <c r="T1166" s="15"/>
      <c r="U1166" s="15"/>
    </row>
    <row r="1167" spans="12:21">
      <c r="L1167" s="15"/>
      <c r="M1167" s="15"/>
      <c r="N1167" s="15"/>
      <c r="T1167" s="15"/>
      <c r="U1167" s="15"/>
    </row>
    <row r="1168" spans="12:21">
      <c r="L1168" s="15"/>
      <c r="M1168" s="15"/>
      <c r="N1168" s="15"/>
      <c r="T1168" s="15"/>
      <c r="U1168" s="15"/>
    </row>
    <row r="1169" spans="12:21">
      <c r="L1169" s="15"/>
      <c r="M1169" s="15"/>
      <c r="N1169" s="15"/>
      <c r="T1169" s="15"/>
      <c r="U1169" s="15"/>
    </row>
    <row r="1170" spans="12:21">
      <c r="L1170" s="15"/>
      <c r="M1170" s="15"/>
      <c r="N1170" s="15"/>
      <c r="T1170" s="15"/>
      <c r="U1170" s="15"/>
    </row>
    <row r="1171" spans="12:21">
      <c r="L1171" s="15"/>
      <c r="M1171" s="15"/>
      <c r="N1171" s="15"/>
      <c r="T1171" s="15"/>
      <c r="U1171" s="15"/>
    </row>
    <row r="1172" spans="12:21">
      <c r="L1172" s="15"/>
      <c r="M1172" s="15"/>
      <c r="N1172" s="15"/>
      <c r="T1172" s="15"/>
      <c r="U1172" s="15"/>
    </row>
    <row r="1173" spans="12:21">
      <c r="L1173" s="15"/>
      <c r="M1173" s="15"/>
      <c r="N1173" s="15"/>
      <c r="T1173" s="15"/>
      <c r="U1173" s="15"/>
    </row>
    <row r="1174" spans="12:21">
      <c r="L1174" s="15"/>
      <c r="M1174" s="15"/>
      <c r="N1174" s="15"/>
      <c r="T1174" s="15"/>
      <c r="U1174" s="15"/>
    </row>
    <row r="1175" spans="12:21">
      <c r="L1175" s="15"/>
      <c r="M1175" s="15"/>
      <c r="N1175" s="15"/>
      <c r="T1175" s="15"/>
      <c r="U1175" s="15"/>
    </row>
    <row r="1176" spans="12:21">
      <c r="L1176" s="15"/>
      <c r="M1176" s="15"/>
      <c r="N1176" s="15"/>
      <c r="T1176" s="15"/>
      <c r="U1176" s="15"/>
    </row>
    <row r="1177" spans="12:21">
      <c r="L1177" s="15"/>
      <c r="M1177" s="15"/>
      <c r="N1177" s="15"/>
      <c r="T1177" s="15"/>
      <c r="U1177" s="15"/>
    </row>
    <row r="1178" spans="12:21">
      <c r="L1178" s="15"/>
      <c r="M1178" s="15"/>
      <c r="N1178" s="15"/>
      <c r="T1178" s="15"/>
      <c r="U1178" s="15"/>
    </row>
    <row r="1179" spans="12:21">
      <c r="L1179" s="15"/>
      <c r="M1179" s="15"/>
      <c r="N1179" s="15"/>
      <c r="T1179" s="15"/>
      <c r="U1179" s="15"/>
    </row>
    <row r="1180" spans="12:21">
      <c r="L1180" s="15"/>
      <c r="M1180" s="15"/>
      <c r="N1180" s="15"/>
      <c r="T1180" s="15"/>
      <c r="U1180" s="15"/>
    </row>
    <row r="1181" spans="12:21">
      <c r="L1181" s="15"/>
      <c r="M1181" s="15"/>
      <c r="N1181" s="15"/>
      <c r="T1181" s="15"/>
      <c r="U1181" s="15"/>
    </row>
    <row r="1182" spans="12:21">
      <c r="L1182" s="15"/>
      <c r="M1182" s="15"/>
      <c r="N1182" s="15"/>
      <c r="T1182" s="15"/>
      <c r="U1182" s="15"/>
    </row>
    <row r="1183" spans="12:21">
      <c r="L1183" s="15"/>
      <c r="M1183" s="15"/>
      <c r="N1183" s="15"/>
      <c r="T1183" s="15"/>
      <c r="U1183" s="15"/>
    </row>
    <row r="1184" spans="12:21">
      <c r="L1184" s="15"/>
      <c r="M1184" s="15"/>
      <c r="N1184" s="15"/>
      <c r="T1184" s="15"/>
      <c r="U1184" s="15"/>
    </row>
    <row r="1185" spans="12:21">
      <c r="L1185" s="15"/>
      <c r="M1185" s="15"/>
      <c r="N1185" s="15"/>
      <c r="T1185" s="15"/>
      <c r="U1185" s="15"/>
    </row>
    <row r="1186" spans="12:21">
      <c r="L1186" s="15"/>
      <c r="M1186" s="15"/>
      <c r="N1186" s="15"/>
      <c r="T1186" s="15"/>
      <c r="U1186" s="15"/>
    </row>
    <row r="1187" spans="12:21">
      <c r="L1187" s="15"/>
      <c r="M1187" s="15"/>
      <c r="N1187" s="15"/>
      <c r="T1187" s="15"/>
      <c r="U1187" s="15"/>
    </row>
    <row r="1188" spans="12:21">
      <c r="L1188" s="15"/>
      <c r="M1188" s="15"/>
      <c r="N1188" s="15"/>
      <c r="T1188" s="15"/>
      <c r="U1188" s="15"/>
    </row>
    <row r="1189" spans="12:21">
      <c r="L1189" s="15"/>
      <c r="M1189" s="15"/>
      <c r="N1189" s="15"/>
      <c r="T1189" s="15"/>
      <c r="U1189" s="15"/>
    </row>
    <row r="1190" spans="12:21">
      <c r="L1190" s="15"/>
      <c r="M1190" s="15"/>
      <c r="N1190" s="15"/>
      <c r="T1190" s="15"/>
      <c r="U1190" s="15"/>
    </row>
    <row r="1191" spans="12:21">
      <c r="L1191" s="15"/>
      <c r="M1191" s="15"/>
      <c r="N1191" s="15"/>
      <c r="T1191" s="15"/>
      <c r="U1191" s="15"/>
    </row>
    <row r="1192" spans="12:21">
      <c r="L1192" s="15"/>
      <c r="M1192" s="15"/>
      <c r="N1192" s="15"/>
      <c r="T1192" s="15"/>
      <c r="U1192" s="15"/>
    </row>
    <row r="1193" spans="12:21">
      <c r="L1193" s="15"/>
      <c r="M1193" s="15"/>
      <c r="N1193" s="15"/>
      <c r="T1193" s="15"/>
      <c r="U1193" s="15"/>
    </row>
    <row r="1194" spans="12:21">
      <c r="L1194" s="15"/>
      <c r="M1194" s="15"/>
      <c r="N1194" s="15"/>
      <c r="T1194" s="15"/>
      <c r="U1194" s="15"/>
    </row>
    <row r="1195" spans="12:21">
      <c r="L1195" s="15"/>
      <c r="M1195" s="15"/>
      <c r="N1195" s="15"/>
      <c r="T1195" s="15"/>
      <c r="U1195" s="15"/>
    </row>
    <row r="1196" spans="12:21">
      <c r="L1196" s="15"/>
      <c r="M1196" s="15"/>
      <c r="N1196" s="15"/>
      <c r="T1196" s="15"/>
      <c r="U1196" s="15"/>
    </row>
    <row r="1197" spans="12:21">
      <c r="L1197" s="15"/>
      <c r="M1197" s="15"/>
      <c r="N1197" s="15"/>
      <c r="T1197" s="15"/>
      <c r="U1197" s="15"/>
    </row>
    <row r="1198" spans="12:21">
      <c r="L1198" s="15"/>
      <c r="M1198" s="15"/>
      <c r="N1198" s="15"/>
      <c r="T1198" s="15"/>
      <c r="U1198" s="15"/>
    </row>
    <row r="1199" spans="12:21">
      <c r="L1199" s="15"/>
      <c r="M1199" s="15"/>
      <c r="N1199" s="15"/>
      <c r="T1199" s="15"/>
      <c r="U1199" s="15"/>
    </row>
    <row r="1200" spans="12:21">
      <c r="L1200" s="15"/>
      <c r="M1200" s="15"/>
      <c r="N1200" s="15"/>
      <c r="T1200" s="15"/>
      <c r="U1200" s="15"/>
    </row>
    <row r="1201" spans="12:21">
      <c r="L1201" s="15"/>
      <c r="M1201" s="15"/>
      <c r="N1201" s="15"/>
      <c r="T1201" s="15"/>
      <c r="U1201" s="15"/>
    </row>
    <row r="1202" spans="12:21">
      <c r="L1202" s="15"/>
      <c r="M1202" s="15"/>
      <c r="N1202" s="15"/>
      <c r="T1202" s="15"/>
      <c r="U1202" s="15"/>
    </row>
    <row r="1203" spans="12:21">
      <c r="L1203" s="15"/>
      <c r="M1203" s="15"/>
      <c r="N1203" s="15"/>
      <c r="T1203" s="15"/>
      <c r="U1203" s="15"/>
    </row>
    <row r="1204" spans="12:21">
      <c r="L1204" s="15"/>
      <c r="M1204" s="15"/>
      <c r="N1204" s="15"/>
      <c r="T1204" s="15"/>
      <c r="U1204" s="15"/>
    </row>
    <row r="1205" spans="12:21">
      <c r="L1205" s="15"/>
      <c r="M1205" s="15"/>
      <c r="N1205" s="15"/>
      <c r="T1205" s="15"/>
      <c r="U1205" s="15"/>
    </row>
    <row r="1206" spans="12:21">
      <c r="L1206" s="15"/>
      <c r="M1206" s="15"/>
      <c r="N1206" s="15"/>
      <c r="T1206" s="15"/>
      <c r="U1206" s="15"/>
    </row>
    <row r="1207" spans="12:21">
      <c r="L1207" s="15"/>
      <c r="M1207" s="15"/>
      <c r="N1207" s="15"/>
      <c r="T1207" s="15"/>
      <c r="U1207" s="15"/>
    </row>
    <row r="1208" spans="12:21">
      <c r="L1208" s="15"/>
      <c r="M1208" s="15"/>
      <c r="N1208" s="15"/>
      <c r="T1208" s="15"/>
      <c r="U1208" s="15"/>
    </row>
    <row r="1209" spans="12:21">
      <c r="L1209" s="15"/>
      <c r="M1209" s="15"/>
      <c r="N1209" s="15"/>
      <c r="T1209" s="15"/>
      <c r="U1209" s="15"/>
    </row>
    <row r="1210" spans="12:21">
      <c r="L1210" s="15"/>
      <c r="M1210" s="15"/>
      <c r="N1210" s="15"/>
      <c r="T1210" s="15"/>
      <c r="U1210" s="15"/>
    </row>
    <row r="1211" spans="12:21">
      <c r="L1211" s="15"/>
      <c r="M1211" s="15"/>
      <c r="N1211" s="15"/>
      <c r="T1211" s="15"/>
      <c r="U1211" s="15"/>
    </row>
    <row r="1212" spans="12:21">
      <c r="L1212" s="15"/>
      <c r="M1212" s="15"/>
      <c r="N1212" s="15"/>
      <c r="T1212" s="15"/>
      <c r="U1212" s="15"/>
    </row>
    <row r="1213" spans="12:21">
      <c r="L1213" s="15"/>
      <c r="M1213" s="15"/>
      <c r="N1213" s="15"/>
      <c r="T1213" s="15"/>
      <c r="U1213" s="15"/>
    </row>
    <row r="1214" spans="12:21">
      <c r="L1214" s="15"/>
      <c r="M1214" s="15"/>
      <c r="N1214" s="15"/>
      <c r="T1214" s="15"/>
      <c r="U1214" s="15"/>
    </row>
    <row r="1215" spans="12:21">
      <c r="L1215" s="15"/>
      <c r="M1215" s="15"/>
      <c r="N1215" s="15"/>
      <c r="T1215" s="15"/>
      <c r="U1215" s="15"/>
    </row>
    <row r="1216" spans="12:21">
      <c r="L1216" s="15"/>
      <c r="M1216" s="15"/>
      <c r="N1216" s="15"/>
      <c r="T1216" s="15"/>
      <c r="U1216" s="15"/>
    </row>
    <row r="1217" spans="12:21">
      <c r="L1217" s="15"/>
      <c r="M1217" s="15"/>
      <c r="N1217" s="15"/>
      <c r="T1217" s="15"/>
      <c r="U1217" s="15"/>
    </row>
    <row r="1218" spans="12:21">
      <c r="L1218" s="15"/>
      <c r="M1218" s="15"/>
      <c r="N1218" s="15"/>
      <c r="T1218" s="15"/>
      <c r="U1218" s="15"/>
    </row>
    <row r="1219" spans="12:21">
      <c r="L1219" s="15"/>
      <c r="M1219" s="15"/>
      <c r="N1219" s="15"/>
      <c r="T1219" s="15"/>
      <c r="U1219" s="15"/>
    </row>
    <row r="1220" spans="12:21">
      <c r="L1220" s="15"/>
      <c r="M1220" s="15"/>
      <c r="N1220" s="15"/>
      <c r="T1220" s="15"/>
      <c r="U1220" s="15"/>
    </row>
    <row r="1221" spans="12:21">
      <c r="L1221" s="15"/>
      <c r="M1221" s="15"/>
      <c r="N1221" s="15"/>
      <c r="T1221" s="15"/>
      <c r="U1221" s="15"/>
    </row>
    <row r="1222" spans="12:21">
      <c r="L1222" s="15"/>
      <c r="M1222" s="15"/>
      <c r="N1222" s="15"/>
      <c r="T1222" s="15"/>
      <c r="U1222" s="15"/>
    </row>
    <row r="1223" spans="12:21">
      <c r="L1223" s="15"/>
      <c r="M1223" s="15"/>
      <c r="N1223" s="15"/>
      <c r="T1223" s="15"/>
      <c r="U1223" s="15"/>
    </row>
    <row r="1224" spans="12:21">
      <c r="L1224" s="15"/>
      <c r="M1224" s="15"/>
      <c r="N1224" s="15"/>
      <c r="T1224" s="15"/>
      <c r="U1224" s="15"/>
    </row>
    <row r="1225" spans="12:21">
      <c r="L1225" s="15"/>
      <c r="M1225" s="15"/>
      <c r="N1225" s="15"/>
      <c r="T1225" s="15"/>
      <c r="U1225" s="15"/>
    </row>
    <row r="1226" spans="12:21">
      <c r="L1226" s="15"/>
      <c r="M1226" s="15"/>
      <c r="N1226" s="15"/>
      <c r="T1226" s="15"/>
      <c r="U1226" s="15"/>
    </row>
    <row r="1227" spans="12:21">
      <c r="L1227" s="15"/>
      <c r="M1227" s="15"/>
      <c r="N1227" s="15"/>
      <c r="T1227" s="15"/>
      <c r="U1227" s="15"/>
    </row>
    <row r="1228" spans="12:21">
      <c r="L1228" s="15"/>
      <c r="M1228" s="15"/>
      <c r="N1228" s="15"/>
      <c r="T1228" s="15"/>
      <c r="U1228" s="15"/>
    </row>
    <row r="1229" spans="12:21">
      <c r="L1229" s="15"/>
      <c r="M1229" s="15"/>
      <c r="N1229" s="15"/>
      <c r="T1229" s="15"/>
      <c r="U1229" s="15"/>
    </row>
    <row r="1230" spans="12:21">
      <c r="L1230" s="15"/>
      <c r="M1230" s="15"/>
      <c r="N1230" s="15"/>
      <c r="T1230" s="15"/>
      <c r="U1230" s="15"/>
    </row>
    <row r="1231" spans="12:21">
      <c r="L1231" s="15"/>
      <c r="M1231" s="15"/>
      <c r="N1231" s="15"/>
      <c r="T1231" s="15"/>
      <c r="U1231" s="15"/>
    </row>
    <row r="1232" spans="12:21">
      <c r="L1232" s="15"/>
      <c r="M1232" s="15"/>
      <c r="N1232" s="15"/>
      <c r="T1232" s="15"/>
      <c r="U1232" s="15"/>
    </row>
    <row r="1233" spans="12:21">
      <c r="L1233" s="15"/>
      <c r="M1233" s="15"/>
      <c r="N1233" s="15"/>
      <c r="T1233" s="15"/>
      <c r="U1233" s="15"/>
    </row>
    <row r="1234" spans="12:21">
      <c r="L1234" s="15"/>
      <c r="M1234" s="15"/>
      <c r="N1234" s="15"/>
      <c r="T1234" s="15"/>
      <c r="U1234" s="15"/>
    </row>
    <row r="1235" spans="12:21">
      <c r="L1235" s="15"/>
      <c r="M1235" s="15"/>
      <c r="N1235" s="15"/>
      <c r="T1235" s="15"/>
      <c r="U1235" s="15"/>
    </row>
    <row r="1236" spans="12:21">
      <c r="L1236" s="15"/>
      <c r="M1236" s="15"/>
      <c r="N1236" s="15"/>
      <c r="T1236" s="15"/>
      <c r="U1236" s="15"/>
    </row>
    <row r="1237" spans="12:21">
      <c r="L1237" s="15"/>
      <c r="M1237" s="15"/>
      <c r="N1237" s="15"/>
      <c r="T1237" s="15"/>
      <c r="U1237" s="15"/>
    </row>
    <row r="1238" spans="12:21">
      <c r="L1238" s="15"/>
      <c r="M1238" s="15"/>
      <c r="N1238" s="15"/>
      <c r="T1238" s="15"/>
      <c r="U1238" s="15"/>
    </row>
    <row r="1239" spans="12:21">
      <c r="L1239" s="15"/>
      <c r="M1239" s="15"/>
      <c r="N1239" s="15"/>
      <c r="T1239" s="15"/>
      <c r="U1239" s="15"/>
    </row>
    <row r="1240" spans="12:21">
      <c r="L1240" s="15"/>
      <c r="M1240" s="15"/>
      <c r="N1240" s="15"/>
      <c r="T1240" s="15"/>
      <c r="U1240" s="15"/>
    </row>
    <row r="1241" spans="12:21">
      <c r="L1241" s="15"/>
      <c r="M1241" s="15"/>
      <c r="N1241" s="15"/>
      <c r="T1241" s="15"/>
      <c r="U1241" s="15"/>
    </row>
    <row r="1242" spans="12:21">
      <c r="L1242" s="15"/>
      <c r="M1242" s="15"/>
      <c r="N1242" s="15"/>
      <c r="T1242" s="15"/>
      <c r="U1242" s="15"/>
    </row>
    <row r="1243" spans="12:21">
      <c r="L1243" s="15"/>
      <c r="M1243" s="15"/>
      <c r="N1243" s="15"/>
      <c r="T1243" s="15"/>
      <c r="U1243" s="15"/>
    </row>
    <row r="1244" spans="12:21">
      <c r="L1244" s="15"/>
      <c r="M1244" s="15"/>
      <c r="N1244" s="15"/>
      <c r="T1244" s="15"/>
      <c r="U1244" s="15"/>
    </row>
    <row r="1245" spans="12:21">
      <c r="L1245" s="15"/>
      <c r="M1245" s="15"/>
      <c r="N1245" s="15"/>
      <c r="T1245" s="15"/>
      <c r="U1245" s="15"/>
    </row>
    <row r="1246" spans="12:21">
      <c r="L1246" s="15"/>
      <c r="M1246" s="15"/>
      <c r="N1246" s="15"/>
      <c r="T1246" s="15"/>
      <c r="U1246" s="15"/>
    </row>
    <row r="1247" spans="12:21">
      <c r="L1247" s="15"/>
      <c r="M1247" s="15"/>
      <c r="N1247" s="15"/>
      <c r="T1247" s="15"/>
      <c r="U1247" s="15"/>
    </row>
    <row r="1248" spans="12:21">
      <c r="L1248" s="15"/>
      <c r="M1248" s="15"/>
      <c r="N1248" s="15"/>
      <c r="T1248" s="15"/>
      <c r="U1248" s="15"/>
    </row>
    <row r="1249" spans="12:21">
      <c r="L1249" s="15"/>
      <c r="M1249" s="15"/>
      <c r="N1249" s="15"/>
      <c r="T1249" s="15"/>
      <c r="U1249" s="15"/>
    </row>
    <row r="1250" spans="12:21">
      <c r="L1250" s="15"/>
      <c r="M1250" s="15"/>
      <c r="N1250" s="15"/>
      <c r="T1250" s="15"/>
      <c r="U1250" s="15"/>
    </row>
    <row r="1251" spans="12:21">
      <c r="L1251" s="15"/>
      <c r="M1251" s="15"/>
      <c r="N1251" s="15"/>
      <c r="T1251" s="15"/>
      <c r="U1251" s="15"/>
    </row>
    <row r="1252" spans="12:21">
      <c r="L1252" s="15"/>
      <c r="M1252" s="15"/>
      <c r="N1252" s="15"/>
      <c r="T1252" s="15"/>
      <c r="U1252" s="15"/>
    </row>
    <row r="1253" spans="12:21">
      <c r="L1253" s="15"/>
      <c r="M1253" s="15"/>
      <c r="N1253" s="15"/>
      <c r="T1253" s="15"/>
      <c r="U1253" s="15"/>
    </row>
    <row r="1254" spans="12:21">
      <c r="L1254" s="15"/>
      <c r="M1254" s="15"/>
      <c r="N1254" s="15"/>
      <c r="T1254" s="15"/>
      <c r="U1254" s="15"/>
    </row>
    <row r="1255" spans="12:21">
      <c r="L1255" s="15"/>
      <c r="M1255" s="15"/>
      <c r="N1255" s="15"/>
      <c r="T1255" s="15"/>
      <c r="U1255" s="15"/>
    </row>
    <row r="1256" spans="12:21">
      <c r="L1256" s="15"/>
      <c r="M1256" s="15"/>
      <c r="N1256" s="15"/>
      <c r="T1256" s="15"/>
      <c r="U1256" s="15"/>
    </row>
    <row r="1257" spans="12:21">
      <c r="L1257" s="15"/>
      <c r="M1257" s="15"/>
      <c r="N1257" s="15"/>
      <c r="T1257" s="15"/>
      <c r="U1257" s="15"/>
    </row>
    <row r="1258" spans="12:21">
      <c r="L1258" s="15"/>
      <c r="M1258" s="15"/>
      <c r="N1258" s="15"/>
      <c r="T1258" s="15"/>
      <c r="U1258" s="15"/>
    </row>
    <row r="1259" spans="12:21">
      <c r="L1259" s="15"/>
      <c r="M1259" s="15"/>
      <c r="N1259" s="15"/>
      <c r="T1259" s="15"/>
      <c r="U1259" s="15"/>
    </row>
    <row r="1260" spans="12:21">
      <c r="L1260" s="15"/>
      <c r="M1260" s="15"/>
      <c r="N1260" s="15"/>
      <c r="T1260" s="15"/>
      <c r="U1260" s="15"/>
    </row>
    <row r="1261" spans="12:21">
      <c r="L1261" s="15"/>
      <c r="M1261" s="15"/>
      <c r="N1261" s="15"/>
      <c r="T1261" s="15"/>
      <c r="U1261" s="15"/>
    </row>
    <row r="1262" spans="12:21">
      <c r="L1262" s="15"/>
      <c r="M1262" s="15"/>
      <c r="N1262" s="15"/>
      <c r="T1262" s="15"/>
      <c r="U1262" s="15"/>
    </row>
    <row r="1263" spans="12:21">
      <c r="L1263" s="15"/>
      <c r="M1263" s="15"/>
      <c r="N1263" s="15"/>
      <c r="T1263" s="15"/>
      <c r="U1263" s="15"/>
    </row>
    <row r="1264" spans="12:21">
      <c r="L1264" s="15"/>
      <c r="M1264" s="15"/>
      <c r="N1264" s="15"/>
      <c r="T1264" s="15"/>
      <c r="U1264" s="15"/>
    </row>
    <row r="1265" spans="12:21">
      <c r="L1265" s="15"/>
      <c r="M1265" s="15"/>
      <c r="N1265" s="15"/>
      <c r="T1265" s="15"/>
      <c r="U1265" s="15"/>
    </row>
    <row r="1266" spans="12:21">
      <c r="L1266" s="15"/>
      <c r="M1266" s="15"/>
      <c r="N1266" s="15"/>
      <c r="T1266" s="15"/>
      <c r="U1266" s="15"/>
    </row>
    <row r="1267" spans="12:21">
      <c r="L1267" s="15"/>
      <c r="M1267" s="15"/>
      <c r="N1267" s="15"/>
      <c r="T1267" s="15"/>
      <c r="U1267" s="15"/>
    </row>
    <row r="1268" spans="12:21">
      <c r="L1268" s="15"/>
      <c r="M1268" s="15"/>
      <c r="N1268" s="15"/>
      <c r="T1268" s="15"/>
      <c r="U1268" s="15"/>
    </row>
    <row r="1269" spans="12:21">
      <c r="L1269" s="15"/>
      <c r="M1269" s="15"/>
      <c r="N1269" s="15"/>
      <c r="T1269" s="15"/>
      <c r="U1269" s="15"/>
    </row>
    <row r="1270" spans="12:21">
      <c r="L1270" s="15"/>
      <c r="M1270" s="15"/>
      <c r="N1270" s="15"/>
      <c r="T1270" s="15"/>
      <c r="U1270" s="15"/>
    </row>
    <row r="1271" spans="12:21">
      <c r="L1271" s="15"/>
      <c r="M1271" s="15"/>
      <c r="N1271" s="15"/>
      <c r="T1271" s="15"/>
      <c r="U1271" s="15"/>
    </row>
    <row r="1272" spans="12:21">
      <c r="L1272" s="15"/>
      <c r="M1272" s="15"/>
      <c r="N1272" s="15"/>
      <c r="T1272" s="15"/>
      <c r="U1272" s="15"/>
    </row>
    <row r="1273" spans="12:21">
      <c r="L1273" s="15"/>
      <c r="M1273" s="15"/>
      <c r="N1273" s="15"/>
      <c r="T1273" s="15"/>
      <c r="U1273" s="15"/>
    </row>
    <row r="1274" spans="12:21">
      <c r="L1274" s="15"/>
      <c r="M1274" s="15"/>
      <c r="N1274" s="15"/>
      <c r="T1274" s="15"/>
      <c r="U1274" s="15"/>
    </row>
    <row r="1275" spans="12:21">
      <c r="L1275" s="15"/>
      <c r="M1275" s="15"/>
      <c r="N1275" s="15"/>
      <c r="T1275" s="15"/>
      <c r="U1275" s="15"/>
    </row>
    <row r="1276" spans="12:21">
      <c r="L1276" s="15"/>
      <c r="M1276" s="15"/>
      <c r="N1276" s="15"/>
      <c r="T1276" s="15"/>
      <c r="U1276" s="15"/>
    </row>
    <row r="1277" spans="12:21">
      <c r="L1277" s="15"/>
      <c r="M1277" s="15"/>
      <c r="N1277" s="15"/>
      <c r="T1277" s="15"/>
      <c r="U1277" s="15"/>
    </row>
    <row r="1278" spans="12:21">
      <c r="L1278" s="15"/>
      <c r="M1278" s="15"/>
      <c r="N1278" s="15"/>
      <c r="T1278" s="15"/>
      <c r="U1278" s="15"/>
    </row>
    <row r="1279" spans="12:21">
      <c r="L1279" s="15"/>
      <c r="M1279" s="15"/>
      <c r="N1279" s="15"/>
      <c r="T1279" s="15"/>
      <c r="U1279" s="15"/>
    </row>
    <row r="1280" spans="12:21">
      <c r="L1280" s="15"/>
      <c r="M1280" s="15"/>
      <c r="N1280" s="15"/>
      <c r="T1280" s="15"/>
      <c r="U1280" s="15"/>
    </row>
    <row r="1281" spans="12:21">
      <c r="L1281" s="15"/>
      <c r="M1281" s="15"/>
      <c r="N1281" s="15"/>
      <c r="T1281" s="15"/>
      <c r="U1281" s="15"/>
    </row>
    <row r="1282" spans="12:21">
      <c r="L1282" s="15"/>
      <c r="M1282" s="15"/>
      <c r="N1282" s="15"/>
      <c r="T1282" s="15"/>
      <c r="U1282" s="15"/>
    </row>
    <row r="1283" spans="12:21">
      <c r="L1283" s="15"/>
      <c r="M1283" s="15"/>
      <c r="N1283" s="15"/>
      <c r="T1283" s="15"/>
      <c r="U1283" s="15"/>
    </row>
    <row r="1284" spans="12:21">
      <c r="L1284" s="15"/>
      <c r="M1284" s="15"/>
      <c r="N1284" s="15"/>
      <c r="T1284" s="15"/>
      <c r="U1284" s="15"/>
    </row>
    <row r="1285" spans="12:21">
      <c r="L1285" s="15"/>
      <c r="M1285" s="15"/>
      <c r="N1285" s="15"/>
      <c r="T1285" s="15"/>
      <c r="U1285" s="15"/>
    </row>
    <row r="1286" spans="12:21">
      <c r="L1286" s="15"/>
      <c r="M1286" s="15"/>
      <c r="N1286" s="15"/>
      <c r="T1286" s="15"/>
      <c r="U1286" s="15"/>
    </row>
    <row r="1287" spans="12:21">
      <c r="L1287" s="15"/>
      <c r="M1287" s="15"/>
      <c r="N1287" s="15"/>
      <c r="T1287" s="15"/>
      <c r="U1287" s="15"/>
    </row>
    <row r="1288" spans="12:21">
      <c r="L1288" s="15"/>
      <c r="M1288" s="15"/>
      <c r="N1288" s="15"/>
      <c r="T1288" s="15"/>
      <c r="U1288" s="15"/>
    </row>
    <row r="1289" spans="12:21">
      <c r="L1289" s="15"/>
      <c r="M1289" s="15"/>
      <c r="N1289" s="15"/>
      <c r="T1289" s="15"/>
      <c r="U1289" s="15"/>
    </row>
    <row r="1290" spans="12:21">
      <c r="L1290" s="15"/>
      <c r="M1290" s="15"/>
      <c r="N1290" s="15"/>
      <c r="T1290" s="15"/>
      <c r="U1290" s="15"/>
    </row>
    <row r="1291" spans="12:21">
      <c r="L1291" s="15"/>
      <c r="M1291" s="15"/>
      <c r="N1291" s="15"/>
      <c r="T1291" s="15"/>
      <c r="U1291" s="15"/>
    </row>
    <row r="1292" spans="12:21">
      <c r="L1292" s="15"/>
      <c r="M1292" s="15"/>
      <c r="N1292" s="15"/>
      <c r="T1292" s="15"/>
      <c r="U1292" s="15"/>
    </row>
    <row r="1293" spans="12:21">
      <c r="L1293" s="15"/>
      <c r="M1293" s="15"/>
      <c r="N1293" s="15"/>
      <c r="T1293" s="15"/>
      <c r="U1293" s="15"/>
    </row>
    <row r="1294" spans="12:21">
      <c r="L1294" s="15"/>
      <c r="M1294" s="15"/>
      <c r="N1294" s="15"/>
      <c r="T1294" s="15"/>
      <c r="U1294" s="15"/>
    </row>
    <row r="1295" spans="12:21">
      <c r="L1295" s="15"/>
      <c r="M1295" s="15"/>
      <c r="N1295" s="15"/>
      <c r="T1295" s="15"/>
      <c r="U1295" s="15"/>
    </row>
    <row r="1296" spans="12:21">
      <c r="L1296" s="15"/>
      <c r="M1296" s="15"/>
      <c r="N1296" s="15"/>
      <c r="T1296" s="15"/>
      <c r="U1296" s="15"/>
    </row>
    <row r="1297" spans="12:21">
      <c r="L1297" s="15"/>
      <c r="M1297" s="15"/>
      <c r="N1297" s="15"/>
      <c r="T1297" s="15"/>
      <c r="U1297" s="15"/>
    </row>
    <row r="1298" spans="12:21">
      <c r="L1298" s="15"/>
      <c r="M1298" s="15"/>
      <c r="N1298" s="15"/>
      <c r="T1298" s="15"/>
      <c r="U1298" s="15"/>
    </row>
    <row r="1299" spans="12:21">
      <c r="L1299" s="15"/>
      <c r="M1299" s="15"/>
      <c r="N1299" s="15"/>
      <c r="T1299" s="15"/>
      <c r="U1299" s="15"/>
    </row>
    <row r="1300" spans="12:21">
      <c r="L1300" s="15"/>
      <c r="M1300" s="15"/>
      <c r="N1300" s="15"/>
      <c r="T1300" s="15"/>
      <c r="U1300" s="15"/>
    </row>
    <row r="1301" spans="12:21">
      <c r="L1301" s="15"/>
      <c r="M1301" s="15"/>
      <c r="N1301" s="15"/>
      <c r="T1301" s="15"/>
      <c r="U1301" s="15"/>
    </row>
    <row r="1302" spans="12:21">
      <c r="L1302" s="15"/>
      <c r="M1302" s="15"/>
      <c r="N1302" s="15"/>
      <c r="T1302" s="15"/>
      <c r="U1302" s="15"/>
    </row>
    <row r="1303" spans="12:21">
      <c r="L1303" s="15"/>
      <c r="M1303" s="15"/>
      <c r="N1303" s="15"/>
      <c r="T1303" s="15"/>
      <c r="U1303" s="15"/>
    </row>
    <row r="1304" spans="12:21">
      <c r="L1304" s="15"/>
      <c r="M1304" s="15"/>
      <c r="N1304" s="15"/>
      <c r="T1304" s="15"/>
      <c r="U1304" s="15"/>
    </row>
    <row r="1305" spans="12:21">
      <c r="L1305" s="15"/>
      <c r="M1305" s="15"/>
      <c r="N1305" s="15"/>
      <c r="T1305" s="15"/>
      <c r="U1305" s="15"/>
    </row>
    <row r="1306" spans="12:21">
      <c r="L1306" s="15"/>
      <c r="M1306" s="15"/>
      <c r="N1306" s="15"/>
      <c r="T1306" s="15"/>
      <c r="U1306" s="15"/>
    </row>
    <row r="1307" spans="12:21">
      <c r="L1307" s="15"/>
      <c r="M1307" s="15"/>
      <c r="N1307" s="15"/>
      <c r="T1307" s="15"/>
      <c r="U1307" s="15"/>
    </row>
    <row r="1308" spans="12:21">
      <c r="L1308" s="15"/>
      <c r="M1308" s="15"/>
      <c r="N1308" s="15"/>
      <c r="T1308" s="15"/>
      <c r="U1308" s="15"/>
    </row>
    <row r="1309" spans="12:21">
      <c r="L1309" s="15"/>
      <c r="M1309" s="15"/>
      <c r="N1309" s="15"/>
      <c r="T1309" s="15"/>
      <c r="U1309" s="15"/>
    </row>
    <row r="1310" spans="12:21">
      <c r="L1310" s="15"/>
      <c r="M1310" s="15"/>
      <c r="N1310" s="15"/>
      <c r="T1310" s="15"/>
      <c r="U1310" s="15"/>
    </row>
    <row r="1311" spans="12:21">
      <c r="L1311" s="15"/>
      <c r="M1311" s="15"/>
      <c r="N1311" s="15"/>
      <c r="T1311" s="15"/>
      <c r="U1311" s="15"/>
    </row>
    <row r="1312" spans="12:21">
      <c r="L1312" s="15"/>
      <c r="M1312" s="15"/>
      <c r="N1312" s="15"/>
      <c r="T1312" s="15"/>
      <c r="U1312" s="15"/>
    </row>
    <row r="1313" spans="12:21">
      <c r="L1313" s="15"/>
      <c r="M1313" s="15"/>
      <c r="N1313" s="15"/>
      <c r="T1313" s="15"/>
      <c r="U1313" s="15"/>
    </row>
    <row r="1314" spans="12:21">
      <c r="L1314" s="15"/>
      <c r="M1314" s="15"/>
      <c r="N1314" s="15"/>
      <c r="T1314" s="15"/>
      <c r="U1314" s="15"/>
    </row>
    <row r="1315" spans="12:21">
      <c r="L1315" s="15"/>
      <c r="M1315" s="15"/>
      <c r="N1315" s="15"/>
      <c r="T1315" s="15"/>
      <c r="U1315" s="15"/>
    </row>
    <row r="1316" spans="12:21">
      <c r="L1316" s="15"/>
      <c r="M1316" s="15"/>
      <c r="N1316" s="15"/>
      <c r="T1316" s="15"/>
      <c r="U1316" s="15"/>
    </row>
    <row r="1317" spans="12:21">
      <c r="L1317" s="15"/>
      <c r="M1317" s="15"/>
      <c r="N1317" s="15"/>
      <c r="T1317" s="15"/>
      <c r="U1317" s="15"/>
    </row>
    <row r="1318" spans="12:21">
      <c r="L1318" s="15"/>
      <c r="M1318" s="15"/>
      <c r="N1318" s="15"/>
      <c r="T1318" s="15"/>
      <c r="U1318" s="15"/>
    </row>
    <row r="1319" spans="12:21">
      <c r="L1319" s="15"/>
      <c r="M1319" s="15"/>
      <c r="N1319" s="15"/>
      <c r="T1319" s="15"/>
      <c r="U1319" s="15"/>
    </row>
    <row r="1320" spans="12:21">
      <c r="L1320" s="15"/>
      <c r="M1320" s="15"/>
      <c r="N1320" s="15"/>
      <c r="T1320" s="15"/>
      <c r="U1320" s="15"/>
    </row>
    <row r="1321" spans="12:21">
      <c r="L1321" s="15"/>
      <c r="M1321" s="15"/>
      <c r="N1321" s="15"/>
      <c r="T1321" s="15"/>
      <c r="U1321" s="15"/>
    </row>
    <row r="1322" spans="12:21">
      <c r="L1322" s="15"/>
      <c r="M1322" s="15"/>
      <c r="N1322" s="15"/>
      <c r="T1322" s="15"/>
      <c r="U1322" s="15"/>
    </row>
    <row r="1323" spans="12:21">
      <c r="L1323" s="15"/>
      <c r="M1323" s="15"/>
      <c r="N1323" s="15"/>
      <c r="T1323" s="15"/>
      <c r="U1323" s="15"/>
    </row>
    <row r="1324" spans="12:21">
      <c r="L1324" s="15"/>
      <c r="M1324" s="15"/>
      <c r="N1324" s="15"/>
      <c r="T1324" s="15"/>
      <c r="U1324" s="15"/>
    </row>
    <row r="1325" spans="12:21">
      <c r="L1325" s="15"/>
      <c r="M1325" s="15"/>
      <c r="N1325" s="15"/>
      <c r="T1325" s="15"/>
      <c r="U1325" s="15"/>
    </row>
    <row r="1326" spans="12:21">
      <c r="L1326" s="15"/>
      <c r="M1326" s="15"/>
      <c r="N1326" s="15"/>
      <c r="T1326" s="15"/>
      <c r="U1326" s="15"/>
    </row>
    <row r="1327" spans="12:21">
      <c r="L1327" s="15"/>
      <c r="M1327" s="15"/>
      <c r="N1327" s="15"/>
      <c r="T1327" s="15"/>
      <c r="U1327" s="15"/>
    </row>
    <row r="1328" spans="12:21">
      <c r="L1328" s="15"/>
      <c r="M1328" s="15"/>
      <c r="N1328" s="15"/>
      <c r="T1328" s="15"/>
      <c r="U1328" s="15"/>
    </row>
    <row r="1329" spans="12:21">
      <c r="L1329" s="15"/>
      <c r="M1329" s="15"/>
      <c r="N1329" s="15"/>
      <c r="T1329" s="15"/>
      <c r="U1329" s="15"/>
    </row>
    <row r="1330" spans="12:21">
      <c r="L1330" s="15"/>
      <c r="M1330" s="15"/>
      <c r="N1330" s="15"/>
      <c r="T1330" s="15"/>
      <c r="U1330" s="15"/>
    </row>
    <row r="1331" spans="12:21">
      <c r="L1331" s="15"/>
      <c r="M1331" s="15"/>
      <c r="N1331" s="15"/>
      <c r="T1331" s="15"/>
      <c r="U1331" s="15"/>
    </row>
    <row r="1332" spans="12:21">
      <c r="L1332" s="15"/>
      <c r="M1332" s="15"/>
      <c r="N1332" s="15"/>
      <c r="T1332" s="15"/>
      <c r="U1332" s="15"/>
    </row>
    <row r="1333" spans="12:21">
      <c r="L1333" s="15"/>
      <c r="M1333" s="15"/>
      <c r="N1333" s="15"/>
      <c r="T1333" s="15"/>
      <c r="U1333" s="15"/>
    </row>
    <row r="1334" spans="12:21">
      <c r="L1334" s="15"/>
      <c r="M1334" s="15"/>
      <c r="N1334" s="15"/>
      <c r="T1334" s="15"/>
      <c r="U1334" s="15"/>
    </row>
    <row r="1335" spans="12:21">
      <c r="L1335" s="15"/>
      <c r="M1335" s="15"/>
      <c r="N1335" s="15"/>
      <c r="T1335" s="15"/>
      <c r="U1335" s="15"/>
    </row>
    <row r="1336" spans="12:21">
      <c r="L1336" s="15"/>
      <c r="M1336" s="15"/>
      <c r="N1336" s="15"/>
      <c r="T1336" s="15"/>
      <c r="U1336" s="15"/>
    </row>
    <row r="1337" spans="12:21">
      <c r="L1337" s="15"/>
      <c r="M1337" s="15"/>
      <c r="N1337" s="15"/>
      <c r="T1337" s="15"/>
      <c r="U1337" s="15"/>
    </row>
    <row r="1338" spans="12:21">
      <c r="L1338" s="15"/>
      <c r="M1338" s="15"/>
      <c r="N1338" s="15"/>
      <c r="T1338" s="15"/>
      <c r="U1338" s="15"/>
    </row>
    <row r="1339" spans="12:21">
      <c r="L1339" s="15"/>
      <c r="M1339" s="15"/>
      <c r="N1339" s="15"/>
      <c r="T1339" s="15"/>
      <c r="U1339" s="15"/>
    </row>
    <row r="1340" spans="12:21">
      <c r="L1340" s="15"/>
      <c r="M1340" s="15"/>
      <c r="N1340" s="15"/>
      <c r="T1340" s="15"/>
      <c r="U1340" s="15"/>
    </row>
    <row r="1341" spans="12:21">
      <c r="L1341" s="15"/>
      <c r="M1341" s="15"/>
      <c r="N1341" s="15"/>
      <c r="T1341" s="15"/>
      <c r="U1341" s="15"/>
    </row>
    <row r="1342" spans="12:21">
      <c r="L1342" s="15"/>
      <c r="M1342" s="15"/>
      <c r="N1342" s="15"/>
      <c r="T1342" s="15"/>
      <c r="U1342" s="15"/>
    </row>
    <row r="1343" spans="12:21">
      <c r="L1343" s="15"/>
      <c r="M1343" s="15"/>
      <c r="N1343" s="15"/>
      <c r="T1343" s="15"/>
      <c r="U1343" s="15"/>
    </row>
    <row r="1344" spans="12:21">
      <c r="L1344" s="15"/>
      <c r="M1344" s="15"/>
      <c r="N1344" s="15"/>
      <c r="T1344" s="15"/>
      <c r="U1344" s="15"/>
    </row>
    <row r="1345" spans="12:21">
      <c r="L1345" s="15"/>
      <c r="M1345" s="15"/>
      <c r="N1345" s="15"/>
      <c r="T1345" s="15"/>
      <c r="U1345" s="15"/>
    </row>
    <row r="1346" spans="12:21">
      <c r="L1346" s="15"/>
      <c r="M1346" s="15"/>
      <c r="N1346" s="15"/>
      <c r="T1346" s="15"/>
      <c r="U1346" s="15"/>
    </row>
    <row r="1347" spans="12:21">
      <c r="L1347" s="15"/>
      <c r="M1347" s="15"/>
      <c r="N1347" s="15"/>
      <c r="T1347" s="15"/>
      <c r="U1347" s="15"/>
    </row>
    <row r="1348" spans="12:21">
      <c r="L1348" s="15"/>
      <c r="M1348" s="15"/>
      <c r="N1348" s="15"/>
      <c r="T1348" s="15"/>
      <c r="U1348" s="15"/>
    </row>
    <row r="1349" spans="12:21">
      <c r="L1349" s="15"/>
      <c r="M1349" s="15"/>
      <c r="N1349" s="15"/>
      <c r="T1349" s="15"/>
      <c r="U1349" s="15"/>
    </row>
    <row r="1350" spans="12:21">
      <c r="L1350" s="15"/>
      <c r="M1350" s="15"/>
      <c r="N1350" s="15"/>
      <c r="T1350" s="15"/>
      <c r="U1350" s="15"/>
    </row>
    <row r="1351" spans="12:21">
      <c r="L1351" s="15"/>
      <c r="M1351" s="15"/>
      <c r="N1351" s="15"/>
      <c r="T1351" s="15"/>
      <c r="U1351" s="15"/>
    </row>
    <row r="1352" spans="12:21">
      <c r="L1352" s="15"/>
      <c r="M1352" s="15"/>
      <c r="N1352" s="15"/>
      <c r="T1352" s="15"/>
      <c r="U1352" s="15"/>
    </row>
    <row r="1353" spans="12:21">
      <c r="L1353" s="15"/>
      <c r="M1353" s="15"/>
      <c r="N1353" s="15"/>
      <c r="T1353" s="15"/>
      <c r="U1353" s="15"/>
    </row>
    <row r="1354" spans="12:21">
      <c r="L1354" s="15"/>
      <c r="M1354" s="15"/>
      <c r="N1354" s="15"/>
      <c r="T1354" s="15"/>
      <c r="U1354" s="15"/>
    </row>
    <row r="1355" spans="12:21">
      <c r="L1355" s="15"/>
      <c r="M1355" s="15"/>
      <c r="N1355" s="15"/>
      <c r="T1355" s="15"/>
      <c r="U1355" s="15"/>
    </row>
    <row r="1356" spans="12:21">
      <c r="L1356" s="15"/>
      <c r="M1356" s="15"/>
      <c r="N1356" s="15"/>
      <c r="T1356" s="15"/>
      <c r="U1356" s="15"/>
    </row>
    <row r="1357" spans="12:21">
      <c r="L1357" s="15"/>
      <c r="M1357" s="15"/>
      <c r="N1357" s="15"/>
      <c r="T1357" s="15"/>
      <c r="U1357" s="15"/>
    </row>
    <row r="1358" spans="12:21">
      <c r="L1358" s="15"/>
      <c r="M1358" s="15"/>
      <c r="N1358" s="15"/>
      <c r="T1358" s="15"/>
      <c r="U1358" s="15"/>
    </row>
    <row r="1359" spans="12:21">
      <c r="L1359" s="15"/>
      <c r="M1359" s="15"/>
      <c r="N1359" s="15"/>
      <c r="T1359" s="15"/>
      <c r="U1359" s="15"/>
    </row>
    <row r="1360" spans="12:21">
      <c r="L1360" s="15"/>
      <c r="M1360" s="15"/>
      <c r="N1360" s="15"/>
      <c r="T1360" s="15"/>
      <c r="U1360" s="15"/>
    </row>
    <row r="1361" spans="12:21">
      <c r="L1361" s="15"/>
      <c r="M1361" s="15"/>
      <c r="N1361" s="15"/>
      <c r="T1361" s="15"/>
      <c r="U1361" s="15"/>
    </row>
    <row r="1362" spans="12:21">
      <c r="L1362" s="15"/>
      <c r="M1362" s="15"/>
      <c r="N1362" s="15"/>
      <c r="T1362" s="15"/>
      <c r="U1362" s="15"/>
    </row>
    <row r="1363" spans="12:21">
      <c r="L1363" s="15"/>
      <c r="M1363" s="15"/>
      <c r="N1363" s="15"/>
      <c r="T1363" s="15"/>
      <c r="U1363" s="15"/>
    </row>
    <row r="1364" spans="12:21">
      <c r="L1364" s="15"/>
      <c r="M1364" s="15"/>
      <c r="N1364" s="15"/>
      <c r="T1364" s="15"/>
      <c r="U1364" s="15"/>
    </row>
    <row r="1365" spans="12:21">
      <c r="L1365" s="15"/>
      <c r="M1365" s="15"/>
      <c r="N1365" s="15"/>
      <c r="T1365" s="15"/>
      <c r="U1365" s="15"/>
    </row>
    <row r="1366" spans="12:21">
      <c r="L1366" s="15"/>
      <c r="M1366" s="15"/>
      <c r="N1366" s="15"/>
      <c r="T1366" s="15"/>
      <c r="U1366" s="15"/>
    </row>
    <row r="1367" spans="12:21">
      <c r="L1367" s="15"/>
      <c r="M1367" s="15"/>
      <c r="N1367" s="15"/>
      <c r="T1367" s="15"/>
      <c r="U1367" s="15"/>
    </row>
    <row r="1368" spans="12:21">
      <c r="L1368" s="15"/>
      <c r="M1368" s="15"/>
      <c r="N1368" s="15"/>
      <c r="T1368" s="15"/>
      <c r="U1368" s="15"/>
    </row>
    <row r="1369" spans="12:21">
      <c r="L1369" s="15"/>
      <c r="M1369" s="15"/>
      <c r="N1369" s="15"/>
      <c r="T1369" s="15"/>
      <c r="U1369" s="15"/>
    </row>
    <row r="1370" spans="12:21">
      <c r="L1370" s="15"/>
      <c r="M1370" s="15"/>
      <c r="N1370" s="15"/>
      <c r="T1370" s="15"/>
      <c r="U1370" s="15"/>
    </row>
    <row r="1371" spans="12:21">
      <c r="L1371" s="15"/>
      <c r="M1371" s="15"/>
      <c r="N1371" s="15"/>
      <c r="T1371" s="15"/>
      <c r="U1371" s="15"/>
    </row>
    <row r="1372" spans="12:21">
      <c r="L1372" s="15"/>
      <c r="M1372" s="15"/>
      <c r="N1372" s="15"/>
      <c r="T1372" s="15"/>
      <c r="U1372" s="15"/>
    </row>
    <row r="1373" spans="12:21">
      <c r="L1373" s="15"/>
      <c r="M1373" s="15"/>
      <c r="N1373" s="15"/>
      <c r="T1373" s="15"/>
      <c r="U1373" s="15"/>
    </row>
    <row r="1374" spans="12:21">
      <c r="L1374" s="15"/>
      <c r="M1374" s="15"/>
      <c r="N1374" s="15"/>
      <c r="T1374" s="15"/>
      <c r="U1374" s="15"/>
    </row>
    <row r="1375" spans="12:21">
      <c r="L1375" s="15"/>
      <c r="M1375" s="15"/>
      <c r="N1375" s="15"/>
      <c r="T1375" s="15"/>
      <c r="U1375" s="15"/>
    </row>
    <row r="1376" spans="12:21">
      <c r="L1376" s="15"/>
      <c r="M1376" s="15"/>
      <c r="N1376" s="15"/>
      <c r="T1376" s="15"/>
      <c r="U1376" s="15"/>
    </row>
    <row r="1377" spans="12:21">
      <c r="L1377" s="15"/>
      <c r="M1377" s="15"/>
      <c r="N1377" s="15"/>
      <c r="T1377" s="15"/>
      <c r="U1377" s="15"/>
    </row>
    <row r="1378" spans="12:21">
      <c r="L1378" s="15"/>
      <c r="M1378" s="15"/>
      <c r="N1378" s="15"/>
      <c r="T1378" s="15"/>
      <c r="U1378" s="15"/>
    </row>
    <row r="1379" spans="12:21">
      <c r="L1379" s="15"/>
      <c r="M1379" s="15"/>
      <c r="N1379" s="15"/>
      <c r="T1379" s="15"/>
      <c r="U1379" s="15"/>
    </row>
    <row r="1380" spans="12:21">
      <c r="L1380" s="15"/>
      <c r="M1380" s="15"/>
      <c r="N1380" s="15"/>
      <c r="T1380" s="15"/>
      <c r="U1380" s="15"/>
    </row>
    <row r="1381" spans="12:21">
      <c r="L1381" s="15"/>
      <c r="M1381" s="15"/>
      <c r="N1381" s="15"/>
      <c r="T1381" s="15"/>
      <c r="U1381" s="15"/>
    </row>
    <row r="1382" spans="12:21">
      <c r="L1382" s="15"/>
      <c r="M1382" s="15"/>
      <c r="N1382" s="15"/>
      <c r="T1382" s="15"/>
      <c r="U1382" s="15"/>
    </row>
    <row r="1383" spans="12:21">
      <c r="L1383" s="15"/>
      <c r="M1383" s="15"/>
      <c r="N1383" s="15"/>
      <c r="T1383" s="15"/>
      <c r="U1383" s="15"/>
    </row>
    <row r="1384" spans="12:21">
      <c r="L1384" s="15"/>
      <c r="M1384" s="15"/>
      <c r="N1384" s="15"/>
      <c r="T1384" s="15"/>
      <c r="U1384" s="15"/>
    </row>
    <row r="1385" spans="12:21">
      <c r="L1385" s="15"/>
      <c r="M1385" s="15"/>
      <c r="N1385" s="15"/>
      <c r="T1385" s="15"/>
      <c r="U1385" s="15"/>
    </row>
    <row r="1386" spans="12:21">
      <c r="L1386" s="15"/>
      <c r="M1386" s="15"/>
      <c r="N1386" s="15"/>
      <c r="T1386" s="15"/>
      <c r="U1386" s="15"/>
    </row>
    <row r="1387" spans="12:21">
      <c r="L1387" s="15"/>
      <c r="M1387" s="15"/>
      <c r="N1387" s="15"/>
      <c r="T1387" s="15"/>
      <c r="U1387" s="15"/>
    </row>
    <row r="1388" spans="12:21">
      <c r="L1388" s="15"/>
      <c r="M1388" s="15"/>
      <c r="N1388" s="15"/>
      <c r="T1388" s="15"/>
      <c r="U1388" s="15"/>
    </row>
    <row r="1389" spans="12:21">
      <c r="L1389" s="15"/>
      <c r="M1389" s="15"/>
      <c r="N1389" s="15"/>
      <c r="T1389" s="15"/>
      <c r="U1389" s="15"/>
    </row>
    <row r="1390" spans="12:21">
      <c r="L1390" s="15"/>
      <c r="M1390" s="15"/>
      <c r="N1390" s="15"/>
      <c r="T1390" s="15"/>
      <c r="U1390" s="15"/>
    </row>
    <row r="1391" spans="12:21">
      <c r="L1391" s="15"/>
      <c r="M1391" s="15"/>
      <c r="N1391" s="15"/>
      <c r="T1391" s="15"/>
      <c r="U1391" s="15"/>
    </row>
    <row r="1392" spans="12:21">
      <c r="L1392" s="15"/>
      <c r="M1392" s="15"/>
      <c r="N1392" s="15"/>
      <c r="T1392" s="15"/>
      <c r="U1392" s="15"/>
    </row>
    <row r="1393" spans="12:21">
      <c r="L1393" s="15"/>
      <c r="M1393" s="15"/>
      <c r="N1393" s="15"/>
      <c r="T1393" s="15"/>
      <c r="U1393" s="15"/>
    </row>
    <row r="1394" spans="12:21">
      <c r="L1394" s="15"/>
      <c r="M1394" s="15"/>
      <c r="N1394" s="15"/>
      <c r="T1394" s="15"/>
      <c r="U1394" s="15"/>
    </row>
    <row r="1395" spans="12:21">
      <c r="L1395" s="15"/>
      <c r="M1395" s="15"/>
      <c r="N1395" s="15"/>
      <c r="T1395" s="15"/>
      <c r="U1395" s="15"/>
    </row>
    <row r="1396" spans="12:21">
      <c r="L1396" s="15"/>
      <c r="M1396" s="15"/>
      <c r="N1396" s="15"/>
      <c r="T1396" s="15"/>
      <c r="U1396" s="15"/>
    </row>
    <row r="1397" spans="12:21">
      <c r="L1397" s="15"/>
      <c r="M1397" s="15"/>
      <c r="N1397" s="15"/>
      <c r="T1397" s="15"/>
      <c r="U1397" s="15"/>
    </row>
    <row r="1398" spans="12:21">
      <c r="L1398" s="15"/>
      <c r="M1398" s="15"/>
      <c r="N1398" s="15"/>
      <c r="T1398" s="15"/>
      <c r="U1398" s="15"/>
    </row>
    <row r="1399" spans="12:21">
      <c r="L1399" s="15"/>
      <c r="M1399" s="15"/>
      <c r="N1399" s="15"/>
      <c r="T1399" s="15"/>
      <c r="U1399" s="15"/>
    </row>
    <row r="1400" spans="12:21">
      <c r="L1400" s="15"/>
      <c r="M1400" s="15"/>
      <c r="N1400" s="15"/>
      <c r="T1400" s="15"/>
      <c r="U1400" s="15"/>
    </row>
    <row r="1401" spans="12:21">
      <c r="L1401" s="15"/>
      <c r="M1401" s="15"/>
      <c r="N1401" s="15"/>
      <c r="T1401" s="15"/>
      <c r="U1401" s="15"/>
    </row>
    <row r="1402" spans="12:21">
      <c r="L1402" s="15"/>
      <c r="M1402" s="15"/>
      <c r="N1402" s="15"/>
      <c r="T1402" s="15"/>
      <c r="U1402" s="15"/>
    </row>
    <row r="1403" spans="12:21">
      <c r="L1403" s="15"/>
      <c r="M1403" s="15"/>
      <c r="N1403" s="15"/>
      <c r="T1403" s="15"/>
      <c r="U1403" s="15"/>
    </row>
    <row r="1404" spans="12:21">
      <c r="L1404" s="15"/>
      <c r="M1404" s="15"/>
      <c r="N1404" s="15"/>
      <c r="T1404" s="15"/>
      <c r="U1404" s="15"/>
    </row>
    <row r="1405" spans="12:21">
      <c r="L1405" s="15"/>
      <c r="M1405" s="15"/>
      <c r="N1405" s="15"/>
      <c r="T1405" s="15"/>
      <c r="U1405" s="15"/>
    </row>
    <row r="1406" spans="12:21">
      <c r="L1406" s="15"/>
      <c r="M1406" s="15"/>
      <c r="N1406" s="15"/>
      <c r="T1406" s="15"/>
      <c r="U1406" s="15"/>
    </row>
    <row r="1407" spans="12:21">
      <c r="L1407" s="15"/>
      <c r="M1407" s="15"/>
      <c r="N1407" s="15"/>
      <c r="T1407" s="15"/>
      <c r="U1407" s="15"/>
    </row>
    <row r="1408" spans="12:21">
      <c r="L1408" s="15"/>
      <c r="M1408" s="15"/>
      <c r="N1408" s="15"/>
      <c r="T1408" s="15"/>
      <c r="U1408" s="15"/>
    </row>
    <row r="1409" spans="12:21">
      <c r="L1409" s="15"/>
      <c r="M1409" s="15"/>
      <c r="N1409" s="15"/>
      <c r="T1409" s="15"/>
      <c r="U1409" s="15"/>
    </row>
    <row r="1410" spans="12:21">
      <c r="L1410" s="15"/>
      <c r="M1410" s="15"/>
      <c r="N1410" s="15"/>
      <c r="T1410" s="15"/>
      <c r="U1410" s="15"/>
    </row>
    <row r="1411" spans="12:21">
      <c r="L1411" s="15"/>
      <c r="M1411" s="15"/>
      <c r="N1411" s="15"/>
      <c r="T1411" s="15"/>
      <c r="U1411" s="15"/>
    </row>
    <row r="1412" spans="12:21">
      <c r="L1412" s="15"/>
      <c r="M1412" s="15"/>
      <c r="N1412" s="15"/>
      <c r="T1412" s="15"/>
      <c r="U1412" s="15"/>
    </row>
    <row r="1413" spans="12:21">
      <c r="L1413" s="15"/>
      <c r="M1413" s="15"/>
      <c r="N1413" s="15"/>
      <c r="T1413" s="15"/>
      <c r="U1413" s="15"/>
    </row>
    <row r="1414" spans="12:21">
      <c r="L1414" s="15"/>
      <c r="M1414" s="15"/>
      <c r="N1414" s="15"/>
      <c r="T1414" s="15"/>
      <c r="U1414" s="15"/>
    </row>
    <row r="1415" spans="12:21">
      <c r="L1415" s="15"/>
      <c r="M1415" s="15"/>
      <c r="N1415" s="15"/>
      <c r="T1415" s="15"/>
      <c r="U1415" s="15"/>
    </row>
    <row r="1416" spans="12:21">
      <c r="L1416" s="15"/>
      <c r="M1416" s="15"/>
      <c r="N1416" s="15"/>
      <c r="T1416" s="15"/>
      <c r="U1416" s="15"/>
    </row>
    <row r="1417" spans="12:21">
      <c r="L1417" s="15"/>
      <c r="M1417" s="15"/>
      <c r="N1417" s="15"/>
      <c r="T1417" s="15"/>
      <c r="U1417" s="15"/>
    </row>
    <row r="1418" spans="12:21">
      <c r="L1418" s="15"/>
      <c r="M1418" s="15"/>
      <c r="N1418" s="15"/>
      <c r="T1418" s="15"/>
      <c r="U1418" s="15"/>
    </row>
    <row r="1419" spans="12:21">
      <c r="L1419" s="15"/>
      <c r="M1419" s="15"/>
      <c r="N1419" s="15"/>
      <c r="T1419" s="15"/>
      <c r="U1419" s="15"/>
    </row>
    <row r="1420" spans="12:21">
      <c r="L1420" s="15"/>
      <c r="M1420" s="15"/>
      <c r="N1420" s="15"/>
      <c r="T1420" s="15"/>
      <c r="U1420" s="15"/>
    </row>
    <row r="1421" spans="12:21">
      <c r="L1421" s="15"/>
      <c r="M1421" s="15"/>
      <c r="N1421" s="15"/>
      <c r="T1421" s="15"/>
      <c r="U1421" s="15"/>
    </row>
    <row r="1422" spans="12:21">
      <c r="L1422" s="15"/>
      <c r="M1422" s="15"/>
      <c r="N1422" s="15"/>
      <c r="T1422" s="15"/>
      <c r="U1422" s="15"/>
    </row>
    <row r="1423" spans="12:21">
      <c r="L1423" s="15"/>
      <c r="M1423" s="15"/>
      <c r="N1423" s="15"/>
      <c r="T1423" s="15"/>
      <c r="U1423" s="15"/>
    </row>
    <row r="1424" spans="12:21">
      <c r="L1424" s="15"/>
      <c r="M1424" s="15"/>
      <c r="N1424" s="15"/>
      <c r="T1424" s="15"/>
      <c r="U1424" s="15"/>
    </row>
    <row r="1425" spans="12:21">
      <c r="L1425" s="15"/>
      <c r="M1425" s="15"/>
      <c r="N1425" s="15"/>
      <c r="T1425" s="15"/>
      <c r="U1425" s="15"/>
    </row>
    <row r="1426" spans="12:21">
      <c r="L1426" s="15"/>
      <c r="M1426" s="15"/>
      <c r="N1426" s="15"/>
      <c r="T1426" s="15"/>
      <c r="U1426" s="15"/>
    </row>
    <row r="1427" spans="12:21">
      <c r="L1427" s="15"/>
      <c r="M1427" s="15"/>
      <c r="N1427" s="15"/>
      <c r="T1427" s="15"/>
      <c r="U1427" s="15"/>
    </row>
    <row r="1428" spans="12:21">
      <c r="L1428" s="15"/>
      <c r="M1428" s="15"/>
      <c r="N1428" s="15"/>
      <c r="T1428" s="15"/>
      <c r="U1428" s="15"/>
    </row>
    <row r="1429" spans="12:21">
      <c r="L1429" s="15"/>
      <c r="M1429" s="15"/>
      <c r="N1429" s="15"/>
      <c r="T1429" s="15"/>
      <c r="U1429" s="15"/>
    </row>
    <row r="1430" spans="12:21">
      <c r="L1430" s="15"/>
      <c r="M1430" s="15"/>
      <c r="N1430" s="15"/>
      <c r="T1430" s="15"/>
      <c r="U1430" s="15"/>
    </row>
    <row r="1431" spans="12:21">
      <c r="L1431" s="15"/>
      <c r="M1431" s="15"/>
      <c r="N1431" s="15"/>
      <c r="T1431" s="15"/>
      <c r="U1431" s="15"/>
    </row>
    <row r="1432" spans="12:21">
      <c r="L1432" s="15"/>
      <c r="M1432" s="15"/>
      <c r="N1432" s="15"/>
      <c r="T1432" s="15"/>
      <c r="U1432" s="15"/>
    </row>
    <row r="1433" spans="12:21">
      <c r="L1433" s="15"/>
      <c r="M1433" s="15"/>
      <c r="N1433" s="15"/>
      <c r="T1433" s="15"/>
      <c r="U1433" s="15"/>
    </row>
    <row r="1434" spans="12:21">
      <c r="L1434" s="15"/>
      <c r="M1434" s="15"/>
      <c r="N1434" s="15"/>
      <c r="T1434" s="15"/>
      <c r="U1434" s="15"/>
    </row>
    <row r="1435" spans="12:21">
      <c r="L1435" s="15"/>
      <c r="M1435" s="15"/>
      <c r="N1435" s="15"/>
      <c r="T1435" s="15"/>
      <c r="U1435" s="15"/>
    </row>
    <row r="1436" spans="12:21">
      <c r="L1436" s="15"/>
      <c r="M1436" s="15"/>
      <c r="N1436" s="15"/>
      <c r="T1436" s="15"/>
      <c r="U1436" s="15"/>
    </row>
    <row r="1437" spans="12:21">
      <c r="L1437" s="15"/>
      <c r="M1437" s="15"/>
      <c r="N1437" s="15"/>
      <c r="T1437" s="15"/>
      <c r="U1437" s="15"/>
    </row>
    <row r="1438" spans="12:21">
      <c r="L1438" s="15"/>
      <c r="M1438" s="15"/>
      <c r="N1438" s="15"/>
      <c r="T1438" s="15"/>
      <c r="U1438" s="15"/>
    </row>
    <row r="1439" spans="12:21">
      <c r="L1439" s="15"/>
      <c r="M1439" s="15"/>
      <c r="N1439" s="15"/>
      <c r="T1439" s="15"/>
      <c r="U1439" s="15"/>
    </row>
    <row r="1440" spans="12:21">
      <c r="L1440" s="15"/>
      <c r="M1440" s="15"/>
      <c r="N1440" s="15"/>
      <c r="T1440" s="15"/>
      <c r="U1440" s="15"/>
    </row>
    <row r="1441" spans="12:21">
      <c r="L1441" s="15"/>
      <c r="M1441" s="15"/>
      <c r="N1441" s="15"/>
      <c r="T1441" s="15"/>
      <c r="U1441" s="15"/>
    </row>
    <row r="1442" spans="12:21">
      <c r="L1442" s="15"/>
      <c r="M1442" s="15"/>
      <c r="N1442" s="15"/>
      <c r="T1442" s="15"/>
      <c r="U1442" s="15"/>
    </row>
    <row r="1443" spans="12:21">
      <c r="L1443" s="15"/>
      <c r="M1443" s="15"/>
      <c r="N1443" s="15"/>
      <c r="T1443" s="15"/>
      <c r="U1443" s="15"/>
    </row>
    <row r="1444" spans="12:21">
      <c r="L1444" s="15"/>
      <c r="M1444" s="15"/>
      <c r="N1444" s="15"/>
      <c r="T1444" s="15"/>
      <c r="U1444" s="15"/>
    </row>
    <row r="1445" spans="12:21">
      <c r="L1445" s="15"/>
      <c r="M1445" s="15"/>
      <c r="N1445" s="15"/>
      <c r="T1445" s="15"/>
      <c r="U1445" s="15"/>
    </row>
    <row r="1446" spans="12:21">
      <c r="L1446" s="15"/>
      <c r="M1446" s="15"/>
      <c r="N1446" s="15"/>
      <c r="T1446" s="15"/>
      <c r="U1446" s="15"/>
    </row>
    <row r="1447" spans="12:21">
      <c r="L1447" s="15"/>
      <c r="M1447" s="15"/>
      <c r="N1447" s="15"/>
      <c r="T1447" s="15"/>
      <c r="U1447" s="15"/>
    </row>
    <row r="1448" spans="12:21">
      <c r="L1448" s="15"/>
      <c r="M1448" s="15"/>
      <c r="N1448" s="15"/>
      <c r="T1448" s="15"/>
      <c r="U1448" s="15"/>
    </row>
    <row r="1449" spans="12:21">
      <c r="L1449" s="15"/>
      <c r="M1449" s="15"/>
      <c r="N1449" s="15"/>
      <c r="T1449" s="15"/>
      <c r="U1449" s="15"/>
    </row>
    <row r="1450" spans="12:21">
      <c r="L1450" s="15"/>
      <c r="M1450" s="15"/>
      <c r="N1450" s="15"/>
      <c r="T1450" s="15"/>
      <c r="U1450" s="15"/>
    </row>
    <row r="1451" spans="12:21">
      <c r="L1451" s="15"/>
      <c r="M1451" s="15"/>
      <c r="N1451" s="15"/>
      <c r="T1451" s="15"/>
      <c r="U1451" s="15"/>
    </row>
    <row r="1452" spans="12:21">
      <c r="L1452" s="15"/>
      <c r="M1452" s="15"/>
      <c r="N1452" s="15"/>
      <c r="T1452" s="15"/>
      <c r="U1452" s="15"/>
    </row>
    <row r="1453" spans="12:21">
      <c r="L1453" s="15"/>
      <c r="M1453" s="15"/>
      <c r="N1453" s="15"/>
      <c r="T1453" s="15"/>
      <c r="U1453" s="15"/>
    </row>
    <row r="1454" spans="12:21">
      <c r="L1454" s="15"/>
      <c r="M1454" s="15"/>
      <c r="N1454" s="15"/>
      <c r="T1454" s="15"/>
      <c r="U1454" s="15"/>
    </row>
    <row r="1455" spans="12:21">
      <c r="L1455" s="15"/>
      <c r="M1455" s="15"/>
      <c r="N1455" s="15"/>
      <c r="T1455" s="15"/>
      <c r="U1455" s="15"/>
    </row>
    <row r="1456" spans="12:21">
      <c r="L1456" s="15"/>
      <c r="M1456" s="15"/>
      <c r="N1456" s="15"/>
      <c r="T1456" s="15"/>
      <c r="U1456" s="15"/>
    </row>
    <row r="1457" spans="12:21">
      <c r="L1457" s="15"/>
      <c r="M1457" s="15"/>
      <c r="N1457" s="15"/>
      <c r="T1457" s="15"/>
      <c r="U1457" s="15"/>
    </row>
    <row r="1458" spans="12:21">
      <c r="L1458" s="15"/>
      <c r="M1458" s="15"/>
      <c r="N1458" s="15"/>
      <c r="T1458" s="15"/>
      <c r="U1458" s="15"/>
    </row>
    <row r="1459" spans="12:21">
      <c r="L1459" s="15"/>
      <c r="M1459" s="15"/>
      <c r="N1459" s="15"/>
      <c r="T1459" s="15"/>
      <c r="U1459" s="15"/>
    </row>
    <row r="1460" spans="12:21">
      <c r="L1460" s="15"/>
      <c r="M1460" s="15"/>
      <c r="N1460" s="15"/>
      <c r="T1460" s="15"/>
      <c r="U1460" s="15"/>
    </row>
    <row r="1461" spans="12:21">
      <c r="L1461" s="15"/>
      <c r="M1461" s="15"/>
      <c r="N1461" s="15"/>
      <c r="T1461" s="15"/>
      <c r="U1461" s="15"/>
    </row>
    <row r="1462" spans="12:21">
      <c r="L1462" s="15"/>
      <c r="M1462" s="15"/>
      <c r="N1462" s="15"/>
      <c r="T1462" s="15"/>
      <c r="U1462" s="15"/>
    </row>
    <row r="1463" spans="12:21">
      <c r="L1463" s="15"/>
      <c r="M1463" s="15"/>
      <c r="N1463" s="15"/>
      <c r="T1463" s="15"/>
      <c r="U1463" s="15"/>
    </row>
    <row r="1464" spans="12:21">
      <c r="L1464" s="15"/>
      <c r="M1464" s="15"/>
      <c r="N1464" s="15"/>
      <c r="T1464" s="15"/>
      <c r="U1464" s="15"/>
    </row>
    <row r="1465" spans="12:21">
      <c r="L1465" s="15"/>
      <c r="M1465" s="15"/>
      <c r="N1465" s="15"/>
      <c r="T1465" s="15"/>
      <c r="U1465" s="15"/>
    </row>
    <row r="1466" spans="12:21">
      <c r="L1466" s="15"/>
      <c r="M1466" s="15"/>
      <c r="N1466" s="15"/>
      <c r="T1466" s="15"/>
      <c r="U1466" s="15"/>
    </row>
    <row r="1467" spans="12:21">
      <c r="L1467" s="15"/>
      <c r="M1467" s="15"/>
      <c r="N1467" s="15"/>
      <c r="T1467" s="15"/>
      <c r="U1467" s="15"/>
    </row>
    <row r="1468" spans="12:21">
      <c r="L1468" s="15"/>
      <c r="M1468" s="15"/>
      <c r="N1468" s="15"/>
      <c r="T1468" s="15"/>
      <c r="U1468" s="15"/>
    </row>
    <row r="1469" spans="12:21">
      <c r="L1469" s="15"/>
      <c r="M1469" s="15"/>
      <c r="N1469" s="15"/>
      <c r="T1469" s="15"/>
      <c r="U1469" s="15"/>
    </row>
    <row r="1470" spans="12:21">
      <c r="L1470" s="15"/>
      <c r="M1470" s="15"/>
      <c r="N1470" s="15"/>
      <c r="T1470" s="15"/>
      <c r="U1470" s="15"/>
    </row>
    <row r="1471" spans="12:21">
      <c r="L1471" s="15"/>
      <c r="M1471" s="15"/>
      <c r="N1471" s="15"/>
      <c r="T1471" s="15"/>
      <c r="U1471" s="15"/>
    </row>
    <row r="1472" spans="12:21">
      <c r="L1472" s="15"/>
      <c r="M1472" s="15"/>
      <c r="N1472" s="15"/>
      <c r="T1472" s="15"/>
      <c r="U1472" s="15"/>
    </row>
    <row r="1473" spans="12:21">
      <c r="L1473" s="15"/>
      <c r="M1473" s="15"/>
      <c r="N1473" s="15"/>
      <c r="T1473" s="15"/>
      <c r="U1473" s="15"/>
    </row>
    <row r="1474" spans="12:21">
      <c r="L1474" s="15"/>
      <c r="M1474" s="15"/>
      <c r="N1474" s="15"/>
      <c r="T1474" s="15"/>
      <c r="U1474" s="15"/>
    </row>
    <row r="1475" spans="12:21">
      <c r="L1475" s="15"/>
      <c r="M1475" s="15"/>
      <c r="N1475" s="15"/>
      <c r="T1475" s="15"/>
      <c r="U1475" s="15"/>
    </row>
    <row r="1476" spans="12:21">
      <c r="L1476" s="15"/>
      <c r="M1476" s="15"/>
      <c r="N1476" s="15"/>
      <c r="T1476" s="15"/>
      <c r="U1476" s="15"/>
    </row>
    <row r="1477" spans="12:21">
      <c r="L1477" s="15"/>
      <c r="M1477" s="15"/>
      <c r="N1477" s="15"/>
      <c r="T1477" s="15"/>
      <c r="U1477" s="15"/>
    </row>
    <row r="1478" spans="12:21">
      <c r="L1478" s="15"/>
      <c r="M1478" s="15"/>
      <c r="N1478" s="15"/>
      <c r="T1478" s="15"/>
      <c r="U1478" s="15"/>
    </row>
    <row r="1479" spans="12:21">
      <c r="L1479" s="15"/>
      <c r="M1479" s="15"/>
      <c r="N1479" s="15"/>
      <c r="T1479" s="15"/>
      <c r="U1479" s="15"/>
    </row>
    <row r="1480" spans="12:21">
      <c r="L1480" s="15"/>
      <c r="M1480" s="15"/>
      <c r="N1480" s="15"/>
      <c r="T1480" s="15"/>
      <c r="U1480" s="15"/>
    </row>
    <row r="1481" spans="12:21">
      <c r="L1481" s="15"/>
      <c r="M1481" s="15"/>
      <c r="N1481" s="15"/>
      <c r="T1481" s="15"/>
      <c r="U1481" s="15"/>
    </row>
    <row r="1482" spans="12:21">
      <c r="L1482" s="15"/>
      <c r="M1482" s="15"/>
      <c r="N1482" s="15"/>
      <c r="T1482" s="15"/>
      <c r="U1482" s="15"/>
    </row>
    <row r="1483" spans="12:21">
      <c r="L1483" s="15"/>
      <c r="M1483" s="15"/>
      <c r="N1483" s="15"/>
      <c r="T1483" s="15"/>
      <c r="U1483" s="15"/>
    </row>
    <row r="1484" spans="12:21">
      <c r="L1484" s="15"/>
      <c r="M1484" s="15"/>
      <c r="N1484" s="15"/>
      <c r="T1484" s="15"/>
      <c r="U1484" s="15"/>
    </row>
    <row r="1485" spans="12:21">
      <c r="L1485" s="15"/>
      <c r="M1485" s="15"/>
      <c r="N1485" s="15"/>
      <c r="T1485" s="15"/>
      <c r="U1485" s="15"/>
    </row>
    <row r="1486" spans="12:21">
      <c r="L1486" s="15"/>
      <c r="M1486" s="15"/>
      <c r="N1486" s="15"/>
      <c r="T1486" s="15"/>
      <c r="U1486" s="15"/>
    </row>
    <row r="1487" spans="12:21">
      <c r="L1487" s="15"/>
      <c r="M1487" s="15"/>
      <c r="N1487" s="15"/>
      <c r="T1487" s="15"/>
      <c r="U1487" s="15"/>
    </row>
    <row r="1488" spans="12:21">
      <c r="L1488" s="15"/>
      <c r="M1488" s="15"/>
      <c r="N1488" s="15"/>
      <c r="T1488" s="15"/>
      <c r="U1488" s="15"/>
    </row>
    <row r="1489" spans="12:21">
      <c r="L1489" s="15"/>
      <c r="M1489" s="15"/>
      <c r="N1489" s="15"/>
      <c r="T1489" s="15"/>
      <c r="U1489" s="15"/>
    </row>
    <row r="1490" spans="12:21">
      <c r="L1490" s="15"/>
      <c r="M1490" s="15"/>
      <c r="N1490" s="15"/>
      <c r="T1490" s="15"/>
      <c r="U1490" s="15"/>
    </row>
    <row r="1491" spans="12:21">
      <c r="L1491" s="15"/>
      <c r="M1491" s="15"/>
      <c r="N1491" s="15"/>
      <c r="T1491" s="15"/>
      <c r="U1491" s="15"/>
    </row>
    <row r="1492" spans="12:21">
      <c r="L1492" s="15"/>
      <c r="M1492" s="15"/>
      <c r="N1492" s="15"/>
      <c r="T1492" s="15"/>
      <c r="U1492" s="15"/>
    </row>
    <row r="1493" spans="12:21">
      <c r="L1493" s="15"/>
      <c r="M1493" s="15"/>
      <c r="N1493" s="15"/>
      <c r="T1493" s="15"/>
      <c r="U1493" s="15"/>
    </row>
    <row r="1494" spans="12:21">
      <c r="L1494" s="15"/>
      <c r="M1494" s="15"/>
      <c r="N1494" s="15"/>
      <c r="T1494" s="15"/>
      <c r="U1494" s="15"/>
    </row>
    <row r="1495" spans="12:21">
      <c r="L1495" s="15"/>
      <c r="M1495" s="15"/>
      <c r="N1495" s="15"/>
      <c r="T1495" s="15"/>
      <c r="U1495" s="15"/>
    </row>
    <row r="1496" spans="12:21">
      <c r="L1496" s="15"/>
      <c r="M1496" s="15"/>
      <c r="N1496" s="15"/>
      <c r="T1496" s="15"/>
      <c r="U1496" s="15"/>
    </row>
    <row r="1497" spans="12:21">
      <c r="L1497" s="15"/>
      <c r="M1497" s="15"/>
      <c r="N1497" s="15"/>
      <c r="T1497" s="15"/>
      <c r="U1497" s="15"/>
    </row>
    <row r="1498" spans="12:21">
      <c r="L1498" s="15"/>
      <c r="M1498" s="15"/>
      <c r="N1498" s="15"/>
      <c r="T1498" s="15"/>
      <c r="U1498" s="15"/>
    </row>
    <row r="1499" spans="12:21">
      <c r="L1499" s="15"/>
      <c r="M1499" s="15"/>
      <c r="N1499" s="15"/>
      <c r="T1499" s="15"/>
      <c r="U1499" s="15"/>
    </row>
    <row r="1500" spans="12:21">
      <c r="L1500" s="15"/>
      <c r="M1500" s="15"/>
      <c r="N1500" s="15"/>
      <c r="T1500" s="15"/>
      <c r="U1500" s="15"/>
    </row>
    <row r="1501" spans="12:21">
      <c r="L1501" s="15"/>
      <c r="M1501" s="15"/>
      <c r="N1501" s="15"/>
      <c r="T1501" s="15"/>
      <c r="U1501" s="15"/>
    </row>
    <row r="1502" spans="12:21">
      <c r="L1502" s="15"/>
      <c r="M1502" s="15"/>
      <c r="N1502" s="15"/>
      <c r="T1502" s="15"/>
      <c r="U1502" s="15"/>
    </row>
    <row r="1503" spans="12:21">
      <c r="L1503" s="15"/>
      <c r="M1503" s="15"/>
      <c r="N1503" s="15"/>
      <c r="T1503" s="15"/>
      <c r="U1503" s="15"/>
    </row>
    <row r="1504" spans="12:21">
      <c r="L1504" s="15"/>
      <c r="M1504" s="15"/>
      <c r="N1504" s="15"/>
      <c r="T1504" s="15"/>
      <c r="U1504" s="15"/>
    </row>
    <row r="1505" spans="12:21">
      <c r="L1505" s="15"/>
      <c r="M1505" s="15"/>
      <c r="N1505" s="15"/>
      <c r="T1505" s="15"/>
      <c r="U1505" s="15"/>
    </row>
    <row r="1506" spans="12:21">
      <c r="L1506" s="15"/>
      <c r="M1506" s="15"/>
      <c r="N1506" s="15"/>
      <c r="T1506" s="15"/>
      <c r="U1506" s="15"/>
    </row>
    <row r="1507" spans="12:21">
      <c r="L1507" s="15"/>
      <c r="M1507" s="15"/>
      <c r="N1507" s="15"/>
      <c r="T1507" s="15"/>
      <c r="U1507" s="15"/>
    </row>
    <row r="1508" spans="12:21">
      <c r="L1508" s="15"/>
      <c r="M1508" s="15"/>
      <c r="N1508" s="15"/>
      <c r="T1508" s="15"/>
      <c r="U1508" s="15"/>
    </row>
    <row r="1509" spans="12:21">
      <c r="L1509" s="15"/>
      <c r="M1509" s="15"/>
      <c r="N1509" s="15"/>
      <c r="T1509" s="15"/>
      <c r="U1509" s="15"/>
    </row>
    <row r="1510" spans="12:21">
      <c r="L1510" s="15"/>
      <c r="M1510" s="15"/>
      <c r="N1510" s="15"/>
      <c r="T1510" s="15"/>
      <c r="U1510" s="15"/>
    </row>
    <row r="1511" spans="12:21">
      <c r="L1511" s="15"/>
      <c r="M1511" s="15"/>
      <c r="N1511" s="15"/>
      <c r="T1511" s="15"/>
      <c r="U1511" s="15"/>
    </row>
    <row r="1512" spans="12:21">
      <c r="L1512" s="15"/>
      <c r="M1512" s="15"/>
      <c r="N1512" s="15"/>
      <c r="T1512" s="15"/>
      <c r="U1512" s="15"/>
    </row>
    <row r="1513" spans="12:21">
      <c r="L1513" s="15"/>
      <c r="M1513" s="15"/>
      <c r="N1513" s="15"/>
      <c r="T1513" s="15"/>
      <c r="U1513" s="15"/>
    </row>
    <row r="1514" spans="12:21">
      <c r="L1514" s="15"/>
      <c r="M1514" s="15"/>
      <c r="N1514" s="15"/>
      <c r="T1514" s="15"/>
      <c r="U1514" s="15"/>
    </row>
    <row r="1515" spans="12:21">
      <c r="L1515" s="15"/>
      <c r="M1515" s="15"/>
      <c r="N1515" s="15"/>
      <c r="T1515" s="15"/>
      <c r="U1515" s="15"/>
    </row>
    <row r="1516" spans="12:21">
      <c r="L1516" s="15"/>
      <c r="M1516" s="15"/>
      <c r="N1516" s="15"/>
      <c r="T1516" s="15"/>
      <c r="U1516" s="15"/>
    </row>
    <row r="1517" spans="12:21">
      <c r="L1517" s="15"/>
      <c r="M1517" s="15"/>
      <c r="N1517" s="15"/>
      <c r="T1517" s="15"/>
      <c r="U1517" s="15"/>
    </row>
    <row r="1518" spans="12:21">
      <c r="L1518" s="15"/>
      <c r="M1518" s="15"/>
      <c r="N1518" s="15"/>
      <c r="T1518" s="15"/>
      <c r="U1518" s="15"/>
    </row>
    <row r="1519" spans="12:21">
      <c r="L1519" s="15"/>
      <c r="M1519" s="15"/>
      <c r="N1519" s="15"/>
      <c r="T1519" s="15"/>
      <c r="U1519" s="15"/>
    </row>
    <row r="1520" spans="12:21">
      <c r="L1520" s="15"/>
      <c r="M1520" s="15"/>
      <c r="N1520" s="15"/>
      <c r="T1520" s="15"/>
      <c r="U1520" s="15"/>
    </row>
    <row r="1521" spans="12:21">
      <c r="L1521" s="15"/>
      <c r="M1521" s="15"/>
      <c r="N1521" s="15"/>
      <c r="T1521" s="15"/>
      <c r="U1521" s="15"/>
    </row>
    <row r="1522" spans="12:21">
      <c r="L1522" s="15"/>
      <c r="M1522" s="15"/>
      <c r="N1522" s="15"/>
      <c r="T1522" s="15"/>
      <c r="U1522" s="15"/>
    </row>
    <row r="1523" spans="12:21">
      <c r="L1523" s="15"/>
      <c r="M1523" s="15"/>
      <c r="N1523" s="15"/>
      <c r="T1523" s="15"/>
      <c r="U1523" s="15"/>
    </row>
    <row r="1524" spans="12:21">
      <c r="L1524" s="15"/>
      <c r="M1524" s="15"/>
      <c r="N1524" s="15"/>
      <c r="T1524" s="15"/>
      <c r="U1524" s="15"/>
    </row>
    <row r="1525" spans="12:21">
      <c r="L1525" s="15"/>
      <c r="M1525" s="15"/>
      <c r="N1525" s="15"/>
      <c r="T1525" s="15"/>
      <c r="U1525" s="15"/>
    </row>
    <row r="1526" spans="12:21">
      <c r="L1526" s="15"/>
      <c r="M1526" s="15"/>
      <c r="N1526" s="15"/>
      <c r="T1526" s="15"/>
      <c r="U1526" s="15"/>
    </row>
    <row r="1527" spans="12:21">
      <c r="L1527" s="15"/>
      <c r="M1527" s="15"/>
      <c r="N1527" s="15"/>
      <c r="T1527" s="15"/>
      <c r="U1527" s="15"/>
    </row>
    <row r="1528" spans="12:21">
      <c r="L1528" s="15"/>
      <c r="M1528" s="15"/>
      <c r="N1528" s="15"/>
      <c r="T1528" s="15"/>
      <c r="U1528" s="15"/>
    </row>
    <row r="1529" spans="12:21">
      <c r="L1529" s="15"/>
      <c r="M1529" s="15"/>
      <c r="N1529" s="15"/>
      <c r="T1529" s="15"/>
      <c r="U1529" s="15"/>
    </row>
    <row r="1530" spans="12:21">
      <c r="L1530" s="15"/>
      <c r="M1530" s="15"/>
      <c r="N1530" s="15"/>
      <c r="T1530" s="15"/>
      <c r="U1530" s="15"/>
    </row>
    <row r="1531" spans="12:21">
      <c r="L1531" s="15"/>
      <c r="M1531" s="15"/>
      <c r="N1531" s="15"/>
      <c r="T1531" s="15"/>
      <c r="U1531" s="15"/>
    </row>
    <row r="1532" spans="12:21">
      <c r="L1532" s="15"/>
      <c r="M1532" s="15"/>
      <c r="N1532" s="15"/>
      <c r="T1532" s="15"/>
      <c r="U1532" s="15"/>
    </row>
    <row r="1533" spans="12:21">
      <c r="L1533" s="15"/>
      <c r="M1533" s="15"/>
      <c r="N1533" s="15"/>
      <c r="T1533" s="15"/>
      <c r="U1533" s="15"/>
    </row>
    <row r="1534" spans="12:21">
      <c r="L1534" s="15"/>
      <c r="M1534" s="15"/>
      <c r="N1534" s="15"/>
      <c r="T1534" s="15"/>
      <c r="U1534" s="15"/>
    </row>
    <row r="1535" spans="12:21">
      <c r="L1535" s="15"/>
      <c r="M1535" s="15"/>
      <c r="N1535" s="15"/>
      <c r="T1535" s="15"/>
      <c r="U1535" s="15"/>
    </row>
    <row r="1536" spans="12:21">
      <c r="L1536" s="15"/>
      <c r="M1536" s="15"/>
      <c r="N1536" s="15"/>
      <c r="T1536" s="15"/>
      <c r="U1536" s="15"/>
    </row>
    <row r="1537" spans="12:21">
      <c r="L1537" s="15"/>
      <c r="M1537" s="15"/>
      <c r="N1537" s="15"/>
      <c r="T1537" s="15"/>
      <c r="U1537" s="15"/>
    </row>
    <row r="1538" spans="12:21">
      <c r="L1538" s="15"/>
      <c r="M1538" s="15"/>
      <c r="N1538" s="15"/>
      <c r="T1538" s="15"/>
      <c r="U1538" s="15"/>
    </row>
    <row r="1539" spans="12:21">
      <c r="L1539" s="15"/>
      <c r="M1539" s="15"/>
      <c r="N1539" s="15"/>
      <c r="T1539" s="15"/>
      <c r="U1539" s="15"/>
    </row>
    <row r="1540" spans="12:21">
      <c r="L1540" s="15"/>
      <c r="M1540" s="15"/>
      <c r="N1540" s="15"/>
      <c r="T1540" s="15"/>
      <c r="U1540" s="15"/>
    </row>
    <row r="1541" spans="12:21">
      <c r="L1541" s="15"/>
      <c r="M1541" s="15"/>
      <c r="N1541" s="15"/>
      <c r="T1541" s="15"/>
      <c r="U1541" s="15"/>
    </row>
    <row r="1542" spans="12:21">
      <c r="L1542" s="15"/>
      <c r="M1542" s="15"/>
      <c r="N1542" s="15"/>
      <c r="T1542" s="15"/>
      <c r="U1542" s="15"/>
    </row>
    <row r="1543" spans="12:21">
      <c r="L1543" s="15"/>
      <c r="M1543" s="15"/>
      <c r="N1543" s="15"/>
      <c r="T1543" s="15"/>
      <c r="U1543" s="15"/>
    </row>
    <row r="1544" spans="12:21">
      <c r="L1544" s="15"/>
      <c r="M1544" s="15"/>
      <c r="N1544" s="15"/>
      <c r="T1544" s="15"/>
      <c r="U1544" s="15"/>
    </row>
    <row r="1545" spans="12:21">
      <c r="L1545" s="15"/>
      <c r="M1545" s="15"/>
      <c r="N1545" s="15"/>
      <c r="T1545" s="15"/>
      <c r="U1545" s="15"/>
    </row>
    <row r="1546" spans="12:21">
      <c r="L1546" s="15"/>
      <c r="M1546" s="15"/>
      <c r="N1546" s="15"/>
      <c r="T1546" s="15"/>
      <c r="U1546" s="15"/>
    </row>
    <row r="1547" spans="12:21">
      <c r="L1547" s="15"/>
      <c r="M1547" s="15"/>
      <c r="N1547" s="15"/>
      <c r="T1547" s="15"/>
      <c r="U1547" s="15"/>
    </row>
    <row r="1548" spans="12:21">
      <c r="L1548" s="15"/>
      <c r="M1548" s="15"/>
      <c r="N1548" s="15"/>
      <c r="T1548" s="15"/>
      <c r="U1548" s="15"/>
    </row>
    <row r="1549" spans="12:21">
      <c r="L1549" s="15"/>
      <c r="M1549" s="15"/>
      <c r="N1549" s="15"/>
      <c r="T1549" s="15"/>
      <c r="U1549" s="15"/>
    </row>
    <row r="1550" spans="12:21">
      <c r="L1550" s="15"/>
      <c r="M1550" s="15"/>
      <c r="N1550" s="15"/>
      <c r="T1550" s="15"/>
      <c r="U1550" s="15"/>
    </row>
    <row r="1551" spans="12:21">
      <c r="L1551" s="15"/>
      <c r="M1551" s="15"/>
      <c r="N1551" s="15"/>
      <c r="T1551" s="15"/>
      <c r="U1551" s="15"/>
    </row>
    <row r="1552" spans="12:21">
      <c r="L1552" s="15"/>
      <c r="M1552" s="15"/>
      <c r="N1552" s="15"/>
      <c r="T1552" s="15"/>
      <c r="U1552" s="15"/>
    </row>
    <row r="1553" spans="12:21">
      <c r="L1553" s="15"/>
      <c r="M1553" s="15"/>
      <c r="N1553" s="15"/>
      <c r="T1553" s="15"/>
      <c r="U1553" s="15"/>
    </row>
    <row r="1554" spans="12:21">
      <c r="L1554" s="15"/>
      <c r="M1554" s="15"/>
      <c r="N1554" s="15"/>
      <c r="T1554" s="15"/>
      <c r="U1554" s="15"/>
    </row>
    <row r="1555" spans="12:21">
      <c r="L1555" s="15"/>
      <c r="M1555" s="15"/>
      <c r="N1555" s="15"/>
      <c r="T1555" s="15"/>
      <c r="U1555" s="15"/>
    </row>
    <row r="1556" spans="12:21">
      <c r="L1556" s="15"/>
      <c r="M1556" s="15"/>
      <c r="N1556" s="15"/>
      <c r="T1556" s="15"/>
      <c r="U1556" s="15"/>
    </row>
    <row r="1557" spans="12:21">
      <c r="L1557" s="15"/>
      <c r="M1557" s="15"/>
      <c r="N1557" s="15"/>
      <c r="T1557" s="15"/>
      <c r="U1557" s="15"/>
    </row>
    <row r="1558" spans="12:21">
      <c r="L1558" s="15"/>
      <c r="M1558" s="15"/>
      <c r="N1558" s="15"/>
      <c r="T1558" s="15"/>
      <c r="U1558" s="15"/>
    </row>
    <row r="1559" spans="12:21">
      <c r="L1559" s="15"/>
      <c r="M1559" s="15"/>
      <c r="N1559" s="15"/>
      <c r="T1559" s="15"/>
      <c r="U1559" s="15"/>
    </row>
    <row r="1560" spans="12:21">
      <c r="L1560" s="15"/>
      <c r="M1560" s="15"/>
      <c r="N1560" s="15"/>
      <c r="T1560" s="15"/>
      <c r="U1560" s="15"/>
    </row>
    <row r="1561" spans="12:21">
      <c r="L1561" s="15"/>
      <c r="M1561" s="15"/>
      <c r="N1561" s="15"/>
      <c r="T1561" s="15"/>
      <c r="U1561" s="15"/>
    </row>
    <row r="1562" spans="12:21">
      <c r="L1562" s="15"/>
      <c r="M1562" s="15"/>
      <c r="N1562" s="15"/>
      <c r="T1562" s="15"/>
      <c r="U1562" s="15"/>
    </row>
    <row r="1563" spans="12:21">
      <c r="L1563" s="15"/>
      <c r="M1563" s="15"/>
      <c r="N1563" s="15"/>
      <c r="T1563" s="15"/>
      <c r="U1563" s="15"/>
    </row>
    <row r="1564" spans="12:21">
      <c r="L1564" s="15"/>
      <c r="M1564" s="15"/>
      <c r="N1564" s="15"/>
      <c r="T1564" s="15"/>
      <c r="U1564" s="15"/>
    </row>
    <row r="1565" spans="12:21">
      <c r="L1565" s="15"/>
      <c r="M1565" s="15"/>
      <c r="N1565" s="15"/>
      <c r="T1565" s="15"/>
      <c r="U1565" s="15"/>
    </row>
    <row r="1566" spans="12:21">
      <c r="L1566" s="15"/>
      <c r="M1566" s="15"/>
      <c r="N1566" s="15"/>
      <c r="T1566" s="15"/>
      <c r="U1566" s="15"/>
    </row>
    <row r="1567" spans="12:21">
      <c r="L1567" s="15"/>
      <c r="M1567" s="15"/>
      <c r="N1567" s="15"/>
      <c r="T1567" s="15"/>
      <c r="U1567" s="15"/>
    </row>
    <row r="1568" spans="12:21">
      <c r="L1568" s="15"/>
      <c r="M1568" s="15"/>
      <c r="N1568" s="15"/>
      <c r="T1568" s="15"/>
      <c r="U1568" s="15"/>
    </row>
    <row r="1569" spans="12:21">
      <c r="L1569" s="15"/>
      <c r="M1569" s="15"/>
      <c r="N1569" s="15"/>
      <c r="T1569" s="15"/>
      <c r="U1569" s="15"/>
    </row>
    <row r="1570" spans="12:21">
      <c r="L1570" s="15"/>
      <c r="M1570" s="15"/>
      <c r="N1570" s="15"/>
      <c r="T1570" s="15"/>
      <c r="U1570" s="15"/>
    </row>
    <row r="1571" spans="12:21">
      <c r="L1571" s="15"/>
      <c r="M1571" s="15"/>
      <c r="N1571" s="15"/>
      <c r="T1571" s="15"/>
      <c r="U1571" s="15"/>
    </row>
    <row r="1572" spans="12:21">
      <c r="L1572" s="15"/>
      <c r="M1572" s="15"/>
      <c r="N1572" s="15"/>
      <c r="T1572" s="15"/>
      <c r="U1572" s="15"/>
    </row>
    <row r="1573" spans="12:21">
      <c r="L1573" s="15"/>
      <c r="M1573" s="15"/>
      <c r="N1573" s="15"/>
      <c r="T1573" s="15"/>
      <c r="U1573" s="15"/>
    </row>
    <row r="1574" spans="12:21">
      <c r="L1574" s="15"/>
      <c r="M1574" s="15"/>
      <c r="N1574" s="15"/>
      <c r="T1574" s="15"/>
      <c r="U1574" s="15"/>
    </row>
    <row r="1575" spans="12:21">
      <c r="L1575" s="15"/>
      <c r="M1575" s="15"/>
      <c r="N1575" s="15"/>
      <c r="T1575" s="15"/>
      <c r="U1575" s="15"/>
    </row>
    <row r="1576" spans="12:21">
      <c r="L1576" s="15"/>
      <c r="M1576" s="15"/>
      <c r="N1576" s="15"/>
      <c r="T1576" s="15"/>
      <c r="U1576" s="15"/>
    </row>
    <row r="1577" spans="12:21">
      <c r="L1577" s="15"/>
      <c r="M1577" s="15"/>
      <c r="N1577" s="15"/>
      <c r="T1577" s="15"/>
      <c r="U1577" s="15"/>
    </row>
    <row r="1578" spans="12:21">
      <c r="L1578" s="15"/>
      <c r="M1578" s="15"/>
      <c r="N1578" s="15"/>
      <c r="T1578" s="15"/>
      <c r="U1578" s="15"/>
    </row>
    <row r="1579" spans="12:21">
      <c r="L1579" s="15"/>
      <c r="M1579" s="15"/>
      <c r="N1579" s="15"/>
      <c r="T1579" s="15"/>
      <c r="U1579" s="15"/>
    </row>
    <row r="1580" spans="12:21">
      <c r="L1580" s="15"/>
      <c r="M1580" s="15"/>
      <c r="N1580" s="15"/>
      <c r="T1580" s="15"/>
      <c r="U1580" s="15"/>
    </row>
    <row r="1581" spans="12:21">
      <c r="L1581" s="15"/>
      <c r="M1581" s="15"/>
      <c r="N1581" s="15"/>
      <c r="T1581" s="15"/>
      <c r="U1581" s="15"/>
    </row>
    <row r="1582" spans="12:21">
      <c r="L1582" s="15"/>
      <c r="M1582" s="15"/>
      <c r="N1582" s="15"/>
      <c r="T1582" s="15"/>
      <c r="U1582" s="15"/>
    </row>
    <row r="1583" spans="12:21">
      <c r="L1583" s="15"/>
      <c r="M1583" s="15"/>
      <c r="N1583" s="15"/>
      <c r="T1583" s="15"/>
      <c r="U1583" s="15"/>
    </row>
    <row r="1584" spans="12:21">
      <c r="L1584" s="15"/>
      <c r="M1584" s="15"/>
      <c r="N1584" s="15"/>
      <c r="T1584" s="15"/>
      <c r="U1584" s="15"/>
    </row>
    <row r="1585" spans="12:21">
      <c r="L1585" s="15"/>
      <c r="M1585" s="15"/>
      <c r="N1585" s="15"/>
      <c r="T1585" s="15"/>
      <c r="U1585" s="15"/>
    </row>
    <row r="1586" spans="12:21">
      <c r="L1586" s="15"/>
      <c r="M1586" s="15"/>
      <c r="N1586" s="15"/>
      <c r="T1586" s="15"/>
      <c r="U1586" s="15"/>
    </row>
    <row r="1587" spans="12:21">
      <c r="L1587" s="15"/>
      <c r="M1587" s="15"/>
      <c r="N1587" s="15"/>
      <c r="T1587" s="15"/>
      <c r="U1587" s="15"/>
    </row>
    <row r="1588" spans="12:21">
      <c r="L1588" s="15"/>
      <c r="M1588" s="15"/>
      <c r="N1588" s="15"/>
      <c r="T1588" s="15"/>
      <c r="U1588" s="15"/>
    </row>
    <row r="1589" spans="12:21">
      <c r="L1589" s="15"/>
      <c r="M1589" s="15"/>
      <c r="N1589" s="15"/>
      <c r="T1589" s="15"/>
      <c r="U1589" s="15"/>
    </row>
    <row r="1590" spans="12:21">
      <c r="L1590" s="15"/>
      <c r="M1590" s="15"/>
      <c r="N1590" s="15"/>
      <c r="T1590" s="15"/>
      <c r="U1590" s="15"/>
    </row>
    <row r="1591" spans="12:21">
      <c r="L1591" s="15"/>
      <c r="M1591" s="15"/>
      <c r="N1591" s="15"/>
      <c r="T1591" s="15"/>
      <c r="U1591" s="15"/>
    </row>
    <row r="1592" spans="12:21">
      <c r="L1592" s="15"/>
      <c r="M1592" s="15"/>
      <c r="N1592" s="15"/>
      <c r="T1592" s="15"/>
      <c r="U1592" s="15"/>
    </row>
    <row r="1593" spans="12:21">
      <c r="L1593" s="15"/>
      <c r="M1593" s="15"/>
      <c r="N1593" s="15"/>
      <c r="T1593" s="15"/>
      <c r="U1593" s="15"/>
    </row>
    <row r="1594" spans="12:21">
      <c r="L1594" s="15"/>
      <c r="M1594" s="15"/>
      <c r="N1594" s="15"/>
      <c r="T1594" s="15"/>
      <c r="U1594" s="15"/>
    </row>
    <row r="1595" spans="12:21">
      <c r="L1595" s="15"/>
      <c r="M1595" s="15"/>
      <c r="N1595" s="15"/>
      <c r="T1595" s="15"/>
      <c r="U1595" s="15"/>
    </row>
    <row r="1596" spans="12:21">
      <c r="L1596" s="15"/>
      <c r="M1596" s="15"/>
      <c r="N1596" s="15"/>
      <c r="T1596" s="15"/>
      <c r="U1596" s="15"/>
    </row>
    <row r="1597" spans="12:21">
      <c r="L1597" s="15"/>
      <c r="M1597" s="15"/>
      <c r="N1597" s="15"/>
      <c r="T1597" s="15"/>
      <c r="U1597" s="15"/>
    </row>
    <row r="1598" spans="12:21">
      <c r="L1598" s="15"/>
      <c r="M1598" s="15"/>
      <c r="N1598" s="15"/>
      <c r="T1598" s="15"/>
      <c r="U1598" s="15"/>
    </row>
    <row r="1599" spans="12:21">
      <c r="L1599" s="15"/>
      <c r="M1599" s="15"/>
      <c r="N1599" s="15"/>
      <c r="T1599" s="15"/>
      <c r="U1599" s="15"/>
    </row>
    <row r="1600" spans="12:21">
      <c r="L1600" s="15"/>
      <c r="M1600" s="15"/>
      <c r="N1600" s="15"/>
      <c r="T1600" s="15"/>
      <c r="U1600" s="15"/>
    </row>
    <row r="1601" spans="12:21">
      <c r="L1601" s="15"/>
      <c r="M1601" s="15"/>
      <c r="N1601" s="15"/>
      <c r="T1601" s="15"/>
      <c r="U1601" s="15"/>
    </row>
    <row r="1602" spans="12:21">
      <c r="L1602" s="15"/>
      <c r="M1602" s="15"/>
      <c r="N1602" s="15"/>
      <c r="T1602" s="15"/>
      <c r="U1602" s="15"/>
    </row>
    <row r="1603" spans="12:21">
      <c r="L1603" s="15"/>
      <c r="M1603" s="15"/>
      <c r="N1603" s="15"/>
      <c r="T1603" s="15"/>
      <c r="U1603" s="15"/>
    </row>
    <row r="1604" spans="12:21">
      <c r="L1604" s="15"/>
      <c r="M1604" s="15"/>
      <c r="N1604" s="15"/>
      <c r="T1604" s="15"/>
      <c r="U1604" s="15"/>
    </row>
    <row r="1605" spans="12:21">
      <c r="L1605" s="15"/>
      <c r="M1605" s="15"/>
      <c r="N1605" s="15"/>
      <c r="T1605" s="15"/>
      <c r="U1605" s="15"/>
    </row>
    <row r="1606" spans="12:21">
      <c r="L1606" s="15"/>
      <c r="M1606" s="15"/>
      <c r="N1606" s="15"/>
      <c r="T1606" s="15"/>
      <c r="U1606" s="15"/>
    </row>
    <row r="1607" spans="12:21">
      <c r="L1607" s="15"/>
      <c r="M1607" s="15"/>
      <c r="N1607" s="15"/>
      <c r="T1607" s="15"/>
      <c r="U1607" s="15"/>
    </row>
    <row r="1608" spans="12:21">
      <c r="L1608" s="15"/>
      <c r="M1608" s="15"/>
      <c r="N1608" s="15"/>
      <c r="T1608" s="15"/>
      <c r="U1608" s="15"/>
    </row>
    <row r="1609" spans="12:21">
      <c r="L1609" s="15"/>
      <c r="M1609" s="15"/>
      <c r="N1609" s="15"/>
      <c r="T1609" s="15"/>
      <c r="U1609" s="15"/>
    </row>
    <row r="1610" spans="12:21">
      <c r="L1610" s="15"/>
      <c r="M1610" s="15"/>
      <c r="N1610" s="15"/>
      <c r="T1610" s="15"/>
      <c r="U1610" s="15"/>
    </row>
    <row r="1611" spans="12:21">
      <c r="L1611" s="15"/>
      <c r="M1611" s="15"/>
      <c r="N1611" s="15"/>
      <c r="T1611" s="15"/>
      <c r="U1611" s="15"/>
    </row>
    <row r="1612" spans="12:21">
      <c r="L1612" s="15"/>
      <c r="M1612" s="15"/>
      <c r="N1612" s="15"/>
      <c r="T1612" s="15"/>
      <c r="U1612" s="15"/>
    </row>
    <row r="1613" spans="12:21">
      <c r="L1613" s="15"/>
      <c r="M1613" s="15"/>
      <c r="N1613" s="15"/>
      <c r="T1613" s="15"/>
      <c r="U1613" s="15"/>
    </row>
    <row r="1614" spans="12:21">
      <c r="L1614" s="15"/>
      <c r="M1614" s="15"/>
      <c r="N1614" s="15"/>
      <c r="T1614" s="15"/>
      <c r="U1614" s="15"/>
    </row>
    <row r="1615" spans="12:21">
      <c r="L1615" s="15"/>
      <c r="M1615" s="15"/>
      <c r="N1615" s="15"/>
      <c r="T1615" s="15"/>
      <c r="U1615" s="15"/>
    </row>
    <row r="1616" spans="12:21">
      <c r="L1616" s="15"/>
      <c r="M1616" s="15"/>
      <c r="N1616" s="15"/>
      <c r="T1616" s="15"/>
      <c r="U1616" s="15"/>
    </row>
    <row r="1617" spans="12:21">
      <c r="L1617" s="15"/>
      <c r="M1617" s="15"/>
      <c r="N1617" s="15"/>
      <c r="T1617" s="15"/>
      <c r="U1617" s="15"/>
    </row>
    <row r="1618" spans="12:21">
      <c r="L1618" s="15"/>
      <c r="M1618" s="15"/>
      <c r="N1618" s="15"/>
      <c r="T1618" s="15"/>
      <c r="U1618" s="15"/>
    </row>
    <row r="1619" spans="12:21">
      <c r="L1619" s="15"/>
      <c r="M1619" s="15"/>
      <c r="N1619" s="15"/>
      <c r="T1619" s="15"/>
      <c r="U1619" s="15"/>
    </row>
    <row r="1620" spans="12:21">
      <c r="L1620" s="15"/>
      <c r="M1620" s="15"/>
      <c r="N1620" s="15"/>
      <c r="T1620" s="15"/>
      <c r="U1620" s="15"/>
    </row>
    <row r="1621" spans="12:21">
      <c r="L1621" s="15"/>
      <c r="M1621" s="15"/>
      <c r="N1621" s="15"/>
      <c r="T1621" s="15"/>
      <c r="U1621" s="15"/>
    </row>
    <row r="1622" spans="12:21">
      <c r="L1622" s="15"/>
      <c r="M1622" s="15"/>
      <c r="N1622" s="15"/>
      <c r="T1622" s="15"/>
      <c r="U1622" s="15"/>
    </row>
    <row r="1623" spans="12:21">
      <c r="L1623" s="15"/>
      <c r="M1623" s="15"/>
      <c r="N1623" s="15"/>
      <c r="T1623" s="15"/>
      <c r="U1623" s="15"/>
    </row>
    <row r="1624" spans="12:21">
      <c r="L1624" s="15"/>
      <c r="M1624" s="15"/>
      <c r="N1624" s="15"/>
      <c r="T1624" s="15"/>
      <c r="U1624" s="15"/>
    </row>
    <row r="1625" spans="12:21">
      <c r="L1625" s="15"/>
      <c r="M1625" s="15"/>
      <c r="N1625" s="15"/>
      <c r="T1625" s="15"/>
      <c r="U1625" s="15"/>
    </row>
    <row r="1626" spans="12:21">
      <c r="L1626" s="15"/>
      <c r="M1626" s="15"/>
      <c r="N1626" s="15"/>
      <c r="T1626" s="15"/>
      <c r="U1626" s="15"/>
    </row>
    <row r="1627" spans="12:21">
      <c r="L1627" s="15"/>
      <c r="M1627" s="15"/>
      <c r="N1627" s="15"/>
      <c r="T1627" s="15"/>
      <c r="U1627" s="15"/>
    </row>
    <row r="1628" spans="12:21">
      <c r="L1628" s="15"/>
      <c r="M1628" s="15"/>
      <c r="N1628" s="15"/>
      <c r="T1628" s="15"/>
      <c r="U1628" s="15"/>
    </row>
    <row r="1629" spans="12:21">
      <c r="L1629" s="15"/>
      <c r="M1629" s="15"/>
      <c r="N1629" s="15"/>
      <c r="T1629" s="15"/>
      <c r="U1629" s="15"/>
    </row>
    <row r="1630" spans="12:21">
      <c r="L1630" s="15"/>
      <c r="M1630" s="15"/>
      <c r="N1630" s="15"/>
      <c r="T1630" s="15"/>
      <c r="U1630" s="15"/>
    </row>
    <row r="1631" spans="12:21">
      <c r="L1631" s="15"/>
      <c r="M1631" s="15"/>
      <c r="N1631" s="15"/>
      <c r="T1631" s="15"/>
      <c r="U1631" s="15"/>
    </row>
    <row r="1632" spans="12:21">
      <c r="L1632" s="15"/>
      <c r="M1632" s="15"/>
      <c r="N1632" s="15"/>
      <c r="T1632" s="15"/>
      <c r="U1632" s="15"/>
    </row>
    <row r="1633" spans="12:21">
      <c r="L1633" s="15"/>
      <c r="M1633" s="15"/>
      <c r="N1633" s="15"/>
      <c r="T1633" s="15"/>
      <c r="U1633" s="15"/>
    </row>
    <row r="1634" spans="12:21">
      <c r="L1634" s="15"/>
      <c r="M1634" s="15"/>
      <c r="N1634" s="15"/>
      <c r="T1634" s="15"/>
      <c r="U1634" s="15"/>
    </row>
    <row r="1635" spans="12:21">
      <c r="L1635" s="15"/>
      <c r="M1635" s="15"/>
      <c r="N1635" s="15"/>
      <c r="T1635" s="15"/>
      <c r="U1635" s="15"/>
    </row>
    <row r="1636" spans="12:21">
      <c r="L1636" s="15"/>
      <c r="M1636" s="15"/>
      <c r="N1636" s="15"/>
      <c r="T1636" s="15"/>
      <c r="U1636" s="15"/>
    </row>
    <row r="1637" spans="12:21">
      <c r="L1637" s="15"/>
      <c r="M1637" s="15"/>
      <c r="N1637" s="15"/>
      <c r="T1637" s="15"/>
      <c r="U1637" s="15"/>
    </row>
    <row r="1638" spans="12:21">
      <c r="L1638" s="15"/>
      <c r="M1638" s="15"/>
      <c r="N1638" s="15"/>
      <c r="T1638" s="15"/>
      <c r="U1638" s="15"/>
    </row>
    <row r="1639" spans="12:21">
      <c r="L1639" s="15"/>
      <c r="M1639" s="15"/>
      <c r="N1639" s="15"/>
      <c r="T1639" s="15"/>
      <c r="U1639" s="15"/>
    </row>
    <row r="1640" spans="12:21">
      <c r="L1640" s="15"/>
      <c r="M1640" s="15"/>
      <c r="N1640" s="15"/>
      <c r="T1640" s="15"/>
      <c r="U1640" s="15"/>
    </row>
    <row r="1641" spans="12:21">
      <c r="L1641" s="15"/>
      <c r="M1641" s="15"/>
      <c r="N1641" s="15"/>
      <c r="T1641" s="15"/>
      <c r="U1641" s="15"/>
    </row>
    <row r="1642" spans="12:21">
      <c r="L1642" s="15"/>
      <c r="M1642" s="15"/>
      <c r="N1642" s="15"/>
      <c r="T1642" s="15"/>
      <c r="U1642" s="15"/>
    </row>
    <row r="1643" spans="12:21">
      <c r="L1643" s="15"/>
      <c r="M1643" s="15"/>
      <c r="N1643" s="15"/>
      <c r="T1643" s="15"/>
      <c r="U1643" s="15"/>
    </row>
    <row r="1644" spans="12:21">
      <c r="L1644" s="15"/>
      <c r="M1644" s="15"/>
      <c r="N1644" s="15"/>
      <c r="T1644" s="15"/>
      <c r="U1644" s="15"/>
    </row>
    <row r="1645" spans="12:21">
      <c r="L1645" s="15"/>
      <c r="M1645" s="15"/>
      <c r="N1645" s="15"/>
      <c r="T1645" s="15"/>
      <c r="U1645" s="15"/>
    </row>
    <row r="1646" spans="12:21">
      <c r="L1646" s="15"/>
      <c r="M1646" s="15"/>
      <c r="N1646" s="15"/>
      <c r="T1646" s="15"/>
      <c r="U1646" s="15"/>
    </row>
    <row r="1647" spans="12:21">
      <c r="L1647" s="15"/>
      <c r="M1647" s="15"/>
      <c r="N1647" s="15"/>
      <c r="T1647" s="15"/>
      <c r="U1647" s="15"/>
    </row>
    <row r="1648" spans="12:21">
      <c r="L1648" s="15"/>
      <c r="M1648" s="15"/>
      <c r="N1648" s="15"/>
      <c r="T1648" s="15"/>
      <c r="U1648" s="15"/>
    </row>
    <row r="1649" spans="12:21">
      <c r="L1649" s="15"/>
      <c r="M1649" s="15"/>
      <c r="N1649" s="15"/>
      <c r="T1649" s="15"/>
      <c r="U1649" s="15"/>
    </row>
    <row r="1650" spans="12:21">
      <c r="L1650" s="15"/>
      <c r="M1650" s="15"/>
      <c r="N1650" s="15"/>
      <c r="T1650" s="15"/>
      <c r="U1650" s="15"/>
    </row>
    <row r="1651" spans="12:21">
      <c r="L1651" s="15"/>
      <c r="M1651" s="15"/>
      <c r="N1651" s="15"/>
      <c r="T1651" s="15"/>
      <c r="U1651" s="15"/>
    </row>
    <row r="1652" spans="12:21">
      <c r="L1652" s="15"/>
      <c r="M1652" s="15"/>
      <c r="N1652" s="15"/>
      <c r="T1652" s="15"/>
      <c r="U1652" s="15"/>
    </row>
    <row r="1653" spans="12:21">
      <c r="L1653" s="15"/>
      <c r="M1653" s="15"/>
      <c r="N1653" s="15"/>
      <c r="T1653" s="15"/>
      <c r="U1653" s="15"/>
    </row>
    <row r="1654" spans="12:21">
      <c r="L1654" s="15"/>
      <c r="M1654" s="15"/>
      <c r="N1654" s="15"/>
      <c r="T1654" s="15"/>
      <c r="U1654" s="15"/>
    </row>
    <row r="1655" spans="12:21">
      <c r="L1655" s="15"/>
      <c r="M1655" s="15"/>
      <c r="N1655" s="15"/>
      <c r="T1655" s="15"/>
      <c r="U1655" s="15"/>
    </row>
    <row r="1656" spans="12:21">
      <c r="L1656" s="15"/>
      <c r="M1656" s="15"/>
      <c r="N1656" s="15"/>
      <c r="T1656" s="15"/>
      <c r="U1656" s="15"/>
    </row>
    <row r="1657" spans="12:21">
      <c r="L1657" s="15"/>
      <c r="M1657" s="15"/>
      <c r="N1657" s="15"/>
      <c r="T1657" s="15"/>
      <c r="U1657" s="15"/>
    </row>
    <row r="1658" spans="12:21">
      <c r="L1658" s="15"/>
      <c r="M1658" s="15"/>
      <c r="N1658" s="15"/>
      <c r="T1658" s="15"/>
      <c r="U1658" s="15"/>
    </row>
    <row r="1659" spans="12:21">
      <c r="L1659" s="15"/>
      <c r="M1659" s="15"/>
      <c r="N1659" s="15"/>
      <c r="T1659" s="15"/>
      <c r="U1659" s="15"/>
    </row>
    <row r="1660" spans="12:21">
      <c r="L1660" s="15"/>
      <c r="M1660" s="15"/>
      <c r="N1660" s="15"/>
      <c r="T1660" s="15"/>
      <c r="U1660" s="15"/>
    </row>
    <row r="1661" spans="12:21">
      <c r="L1661" s="15"/>
      <c r="M1661" s="15"/>
      <c r="N1661" s="15"/>
      <c r="T1661" s="15"/>
      <c r="U1661" s="15"/>
    </row>
    <row r="1662" spans="12:21">
      <c r="L1662" s="15"/>
      <c r="M1662" s="15"/>
      <c r="N1662" s="15"/>
      <c r="T1662" s="15"/>
      <c r="U1662" s="15"/>
    </row>
    <row r="1663" spans="12:21">
      <c r="L1663" s="15"/>
      <c r="M1663" s="15"/>
      <c r="N1663" s="15"/>
      <c r="T1663" s="15"/>
      <c r="U1663" s="15"/>
    </row>
    <row r="1664" spans="12:21">
      <c r="L1664" s="15"/>
      <c r="M1664" s="15"/>
      <c r="N1664" s="15"/>
      <c r="T1664" s="15"/>
      <c r="U1664" s="15"/>
    </row>
    <row r="1665" spans="12:21">
      <c r="L1665" s="15"/>
      <c r="M1665" s="15"/>
      <c r="N1665" s="15"/>
      <c r="T1665" s="15"/>
      <c r="U1665" s="15"/>
    </row>
    <row r="1666" spans="12:21">
      <c r="L1666" s="15"/>
      <c r="M1666" s="15"/>
      <c r="N1666" s="15"/>
      <c r="T1666" s="15"/>
      <c r="U1666" s="15"/>
    </row>
    <row r="1667" spans="12:21">
      <c r="L1667" s="15"/>
      <c r="M1667" s="15"/>
      <c r="N1667" s="15"/>
      <c r="T1667" s="15"/>
      <c r="U1667" s="15"/>
    </row>
    <row r="1668" spans="12:21">
      <c r="L1668" s="15"/>
      <c r="M1668" s="15"/>
      <c r="N1668" s="15"/>
      <c r="T1668" s="15"/>
      <c r="U1668" s="15"/>
    </row>
    <row r="1669" spans="12:21">
      <c r="L1669" s="15"/>
      <c r="M1669" s="15"/>
      <c r="N1669" s="15"/>
      <c r="T1669" s="15"/>
      <c r="U1669" s="15"/>
    </row>
    <row r="1670" spans="12:21">
      <c r="L1670" s="15"/>
      <c r="M1670" s="15"/>
      <c r="N1670" s="15"/>
      <c r="T1670" s="15"/>
      <c r="U1670" s="15"/>
    </row>
    <row r="1671" spans="12:21">
      <c r="L1671" s="15"/>
      <c r="M1671" s="15"/>
      <c r="N1671" s="15"/>
      <c r="T1671" s="15"/>
      <c r="U1671" s="15"/>
    </row>
    <row r="1672" spans="12:21">
      <c r="L1672" s="15"/>
      <c r="M1672" s="15"/>
      <c r="N1672" s="15"/>
      <c r="T1672" s="15"/>
      <c r="U1672" s="15"/>
    </row>
    <row r="1673" spans="12:21">
      <c r="L1673" s="15"/>
      <c r="M1673" s="15"/>
      <c r="N1673" s="15"/>
      <c r="T1673" s="15"/>
      <c r="U1673" s="15"/>
    </row>
    <row r="1674" spans="12:21">
      <c r="L1674" s="15"/>
      <c r="M1674" s="15"/>
      <c r="N1674" s="15"/>
      <c r="T1674" s="15"/>
      <c r="U1674" s="15"/>
    </row>
    <row r="1675" spans="12:21">
      <c r="L1675" s="15"/>
      <c r="M1675" s="15"/>
      <c r="N1675" s="15"/>
      <c r="T1675" s="15"/>
      <c r="U1675" s="15"/>
    </row>
    <row r="1676" spans="12:21">
      <c r="L1676" s="15"/>
      <c r="M1676" s="15"/>
      <c r="N1676" s="15"/>
      <c r="T1676" s="15"/>
      <c r="U1676" s="15"/>
    </row>
    <row r="1677" spans="12:21">
      <c r="L1677" s="15"/>
      <c r="M1677" s="15"/>
      <c r="N1677" s="15"/>
      <c r="T1677" s="15"/>
      <c r="U1677" s="15"/>
    </row>
    <row r="1678" spans="12:21">
      <c r="L1678" s="15"/>
      <c r="M1678" s="15"/>
      <c r="N1678" s="15"/>
      <c r="T1678" s="15"/>
      <c r="U1678" s="15"/>
    </row>
    <row r="1679" spans="12:21">
      <c r="L1679" s="15"/>
      <c r="M1679" s="15"/>
      <c r="N1679" s="15"/>
      <c r="T1679" s="15"/>
      <c r="U1679" s="15"/>
    </row>
    <row r="1680" spans="12:21">
      <c r="L1680" s="15"/>
      <c r="M1680" s="15"/>
      <c r="N1680" s="15"/>
      <c r="T1680" s="15"/>
      <c r="U1680" s="15"/>
    </row>
    <row r="1681" spans="12:21">
      <c r="L1681" s="15"/>
      <c r="M1681" s="15"/>
      <c r="N1681" s="15"/>
      <c r="T1681" s="15"/>
      <c r="U1681" s="15"/>
    </row>
    <row r="1682" spans="12:21">
      <c r="L1682" s="15"/>
      <c r="M1682" s="15"/>
      <c r="N1682" s="15"/>
      <c r="T1682" s="15"/>
      <c r="U1682" s="15"/>
    </row>
    <row r="1683" spans="12:21">
      <c r="L1683" s="15"/>
      <c r="M1683" s="15"/>
      <c r="N1683" s="15"/>
      <c r="T1683" s="15"/>
      <c r="U1683" s="15"/>
    </row>
    <row r="1684" spans="12:21">
      <c r="L1684" s="15"/>
      <c r="M1684" s="15"/>
      <c r="N1684" s="15"/>
      <c r="T1684" s="15"/>
      <c r="U1684" s="15"/>
    </row>
    <row r="1685" spans="12:21">
      <c r="L1685" s="15"/>
      <c r="M1685" s="15"/>
      <c r="N1685" s="15"/>
      <c r="T1685" s="15"/>
      <c r="U1685" s="15"/>
    </row>
    <row r="1686" spans="12:21">
      <c r="L1686" s="15"/>
      <c r="M1686" s="15"/>
      <c r="N1686" s="15"/>
      <c r="T1686" s="15"/>
      <c r="U1686" s="15"/>
    </row>
    <row r="1687" spans="12:21">
      <c r="L1687" s="15"/>
      <c r="M1687" s="15"/>
      <c r="N1687" s="15"/>
      <c r="T1687" s="15"/>
      <c r="U1687" s="15"/>
    </row>
    <row r="1688" spans="12:21">
      <c r="L1688" s="15"/>
      <c r="M1688" s="15"/>
      <c r="N1688" s="15"/>
      <c r="T1688" s="15"/>
      <c r="U1688" s="15"/>
    </row>
    <row r="1689" spans="12:21">
      <c r="L1689" s="15"/>
      <c r="M1689" s="15"/>
      <c r="N1689" s="15"/>
      <c r="T1689" s="15"/>
      <c r="U1689" s="15"/>
    </row>
    <row r="1690" spans="12:21">
      <c r="L1690" s="15"/>
      <c r="M1690" s="15"/>
      <c r="N1690" s="15"/>
      <c r="T1690" s="15"/>
      <c r="U1690" s="15"/>
    </row>
    <row r="1691" spans="12:21">
      <c r="L1691" s="15"/>
      <c r="M1691" s="15"/>
      <c r="N1691" s="15"/>
      <c r="T1691" s="15"/>
      <c r="U1691" s="15"/>
    </row>
    <row r="1692" spans="12:21">
      <c r="L1692" s="15"/>
      <c r="M1692" s="15"/>
      <c r="N1692" s="15"/>
      <c r="T1692" s="15"/>
      <c r="U1692" s="15"/>
    </row>
    <row r="1693" spans="12:21">
      <c r="L1693" s="15"/>
      <c r="M1693" s="15"/>
      <c r="N1693" s="15"/>
      <c r="T1693" s="15"/>
      <c r="U1693" s="15"/>
    </row>
    <row r="1694" spans="12:21">
      <c r="L1694" s="15"/>
      <c r="M1694" s="15"/>
      <c r="N1694" s="15"/>
      <c r="T1694" s="15"/>
      <c r="U1694" s="15"/>
    </row>
    <row r="1695" spans="12:21">
      <c r="L1695" s="15"/>
      <c r="M1695" s="15"/>
      <c r="N1695" s="15"/>
      <c r="T1695" s="15"/>
      <c r="U1695" s="15"/>
    </row>
    <row r="1696" spans="12:21">
      <c r="L1696" s="15"/>
      <c r="M1696" s="15"/>
      <c r="N1696" s="15"/>
      <c r="T1696" s="15"/>
      <c r="U1696" s="15"/>
    </row>
    <row r="1697" spans="12:21">
      <c r="L1697" s="15"/>
      <c r="M1697" s="15"/>
      <c r="N1697" s="15"/>
      <c r="T1697" s="15"/>
      <c r="U1697" s="15"/>
    </row>
    <row r="1698" spans="12:21">
      <c r="L1698" s="15"/>
      <c r="M1698" s="15"/>
      <c r="N1698" s="15"/>
      <c r="T1698" s="15"/>
      <c r="U1698" s="15"/>
    </row>
    <row r="1699" spans="12:21">
      <c r="L1699" s="15"/>
      <c r="M1699" s="15"/>
      <c r="N1699" s="15"/>
      <c r="T1699" s="15"/>
      <c r="U1699" s="15"/>
    </row>
    <row r="1700" spans="12:21">
      <c r="L1700" s="15"/>
      <c r="M1700" s="15"/>
      <c r="N1700" s="15"/>
      <c r="T1700" s="15"/>
      <c r="U1700" s="15"/>
    </row>
    <row r="1701" spans="12:21">
      <c r="L1701" s="15"/>
      <c r="M1701" s="15"/>
      <c r="N1701" s="15"/>
      <c r="T1701" s="15"/>
      <c r="U1701" s="15"/>
    </row>
    <row r="1702" spans="12:21">
      <c r="L1702" s="15"/>
      <c r="M1702" s="15"/>
      <c r="N1702" s="15"/>
      <c r="T1702" s="15"/>
      <c r="U1702" s="15"/>
    </row>
    <row r="1703" spans="12:21">
      <c r="L1703" s="15"/>
      <c r="M1703" s="15"/>
      <c r="N1703" s="15"/>
      <c r="T1703" s="15"/>
      <c r="U1703" s="15"/>
    </row>
    <row r="1704" spans="12:21">
      <c r="L1704" s="15"/>
      <c r="M1704" s="15"/>
      <c r="N1704" s="15"/>
      <c r="T1704" s="15"/>
      <c r="U1704" s="15"/>
    </row>
    <row r="1705" spans="12:21">
      <c r="L1705" s="15"/>
      <c r="M1705" s="15"/>
      <c r="N1705" s="15"/>
      <c r="T1705" s="15"/>
      <c r="U1705" s="15"/>
    </row>
    <row r="1706" spans="12:21">
      <c r="L1706" s="15"/>
      <c r="M1706" s="15"/>
      <c r="N1706" s="15"/>
      <c r="T1706" s="15"/>
      <c r="U1706" s="15"/>
    </row>
    <row r="1707" spans="12:21">
      <c r="L1707" s="15"/>
      <c r="M1707" s="15"/>
      <c r="N1707" s="15"/>
      <c r="T1707" s="15"/>
      <c r="U1707" s="15"/>
    </row>
    <row r="1708" spans="12:21">
      <c r="L1708" s="15"/>
      <c r="M1708" s="15"/>
      <c r="N1708" s="15"/>
      <c r="T1708" s="15"/>
      <c r="U1708" s="15"/>
    </row>
    <row r="1709" spans="12:21">
      <c r="L1709" s="15"/>
      <c r="M1709" s="15"/>
      <c r="N1709" s="15"/>
      <c r="T1709" s="15"/>
      <c r="U1709" s="15"/>
    </row>
    <row r="1710" spans="12:21">
      <c r="L1710" s="15"/>
      <c r="M1710" s="15"/>
      <c r="N1710" s="15"/>
      <c r="T1710" s="15"/>
      <c r="U1710" s="15"/>
    </row>
    <row r="1711" spans="12:21">
      <c r="L1711" s="15"/>
      <c r="M1711" s="15"/>
      <c r="N1711" s="15"/>
      <c r="T1711" s="15"/>
      <c r="U1711" s="15"/>
    </row>
    <row r="1712" spans="12:21">
      <c r="L1712" s="15"/>
      <c r="M1712" s="15"/>
      <c r="N1712" s="15"/>
      <c r="T1712" s="15"/>
      <c r="U1712" s="15"/>
    </row>
    <row r="1713" spans="12:21">
      <c r="L1713" s="15"/>
      <c r="M1713" s="15"/>
      <c r="N1713" s="15"/>
      <c r="T1713" s="15"/>
      <c r="U1713" s="15"/>
    </row>
    <row r="1714" spans="12:21">
      <c r="L1714" s="15"/>
      <c r="M1714" s="15"/>
      <c r="N1714" s="15"/>
      <c r="T1714" s="15"/>
      <c r="U1714" s="15"/>
    </row>
    <row r="1715" spans="12:21">
      <c r="L1715" s="15"/>
      <c r="M1715" s="15"/>
      <c r="N1715" s="15"/>
      <c r="T1715" s="15"/>
      <c r="U1715" s="15"/>
    </row>
    <row r="1716" spans="12:21">
      <c r="L1716" s="15"/>
      <c r="M1716" s="15"/>
      <c r="N1716" s="15"/>
      <c r="T1716" s="15"/>
      <c r="U1716" s="15"/>
    </row>
    <row r="1717" spans="12:21">
      <c r="L1717" s="15"/>
      <c r="M1717" s="15"/>
      <c r="N1717" s="15"/>
      <c r="T1717" s="15"/>
      <c r="U1717" s="15"/>
    </row>
    <row r="1718" spans="12:21">
      <c r="L1718" s="15"/>
      <c r="M1718" s="15"/>
      <c r="N1718" s="15"/>
      <c r="T1718" s="15"/>
      <c r="U1718" s="15"/>
    </row>
    <row r="1719" spans="12:21">
      <c r="L1719" s="15"/>
      <c r="M1719" s="15"/>
      <c r="N1719" s="15"/>
      <c r="T1719" s="15"/>
      <c r="U1719" s="15"/>
    </row>
    <row r="1720" spans="12:21">
      <c r="L1720" s="15"/>
      <c r="M1720" s="15"/>
      <c r="N1720" s="15"/>
      <c r="T1720" s="15"/>
      <c r="U1720" s="15"/>
    </row>
    <row r="1721" spans="12:21">
      <c r="L1721" s="15"/>
      <c r="M1721" s="15"/>
      <c r="N1721" s="15"/>
      <c r="T1721" s="15"/>
      <c r="U1721" s="15"/>
    </row>
    <row r="1722" spans="12:21">
      <c r="L1722" s="15"/>
      <c r="M1722" s="15"/>
      <c r="N1722" s="15"/>
      <c r="T1722" s="15"/>
      <c r="U1722" s="15"/>
    </row>
    <row r="1723" spans="12:21">
      <c r="L1723" s="15"/>
      <c r="M1723" s="15"/>
      <c r="N1723" s="15"/>
      <c r="T1723" s="15"/>
      <c r="U1723" s="15"/>
    </row>
    <row r="1724" spans="12:21">
      <c r="L1724" s="15"/>
      <c r="M1724" s="15"/>
      <c r="N1724" s="15"/>
      <c r="T1724" s="15"/>
      <c r="U1724" s="15"/>
    </row>
    <row r="1725" spans="12:21">
      <c r="L1725" s="15"/>
      <c r="M1725" s="15"/>
      <c r="N1725" s="15"/>
      <c r="T1725" s="15"/>
      <c r="U1725" s="15"/>
    </row>
    <row r="1726" spans="12:21">
      <c r="L1726" s="15"/>
      <c r="M1726" s="15"/>
      <c r="N1726" s="15"/>
      <c r="T1726" s="15"/>
      <c r="U1726" s="15"/>
    </row>
    <row r="1727" spans="12:21">
      <c r="L1727" s="15"/>
      <c r="M1727" s="15"/>
      <c r="N1727" s="15"/>
      <c r="T1727" s="15"/>
      <c r="U1727" s="15"/>
    </row>
    <row r="1728" spans="12:21">
      <c r="L1728" s="15"/>
      <c r="M1728" s="15"/>
      <c r="N1728" s="15"/>
      <c r="T1728" s="15"/>
      <c r="U1728" s="15"/>
    </row>
    <row r="1729" spans="12:21">
      <c r="L1729" s="15"/>
      <c r="M1729" s="15"/>
      <c r="N1729" s="15"/>
      <c r="T1729" s="15"/>
      <c r="U1729" s="15"/>
    </row>
    <row r="1730" spans="12:21">
      <c r="L1730" s="15"/>
      <c r="M1730" s="15"/>
      <c r="N1730" s="15"/>
      <c r="T1730" s="15"/>
      <c r="U1730" s="15"/>
    </row>
    <row r="1731" spans="12:21">
      <c r="L1731" s="15"/>
      <c r="M1731" s="15"/>
      <c r="N1731" s="15"/>
      <c r="T1731" s="15"/>
      <c r="U1731" s="15"/>
    </row>
    <row r="1732" spans="12:21">
      <c r="L1732" s="15"/>
      <c r="M1732" s="15"/>
      <c r="N1732" s="15"/>
      <c r="T1732" s="15"/>
      <c r="U1732" s="15"/>
    </row>
    <row r="1733" spans="12:21">
      <c r="L1733" s="15"/>
      <c r="M1733" s="15"/>
      <c r="N1733" s="15"/>
      <c r="T1733" s="15"/>
      <c r="U1733" s="15"/>
    </row>
    <row r="1734" spans="12:21">
      <c r="L1734" s="15"/>
      <c r="M1734" s="15"/>
      <c r="N1734" s="15"/>
      <c r="T1734" s="15"/>
      <c r="U1734" s="15"/>
    </row>
    <row r="1735" spans="12:21">
      <c r="L1735" s="15"/>
      <c r="M1735" s="15"/>
      <c r="N1735" s="15"/>
      <c r="T1735" s="15"/>
      <c r="U1735" s="15"/>
    </row>
    <row r="1736" spans="12:21">
      <c r="L1736" s="15"/>
      <c r="M1736" s="15"/>
      <c r="N1736" s="15"/>
      <c r="T1736" s="15"/>
      <c r="U1736" s="15"/>
    </row>
    <row r="1737" spans="12:21">
      <c r="L1737" s="15"/>
      <c r="M1737" s="15"/>
      <c r="N1737" s="15"/>
      <c r="T1737" s="15"/>
      <c r="U1737" s="15"/>
    </row>
    <row r="1738" spans="12:21">
      <c r="L1738" s="15"/>
      <c r="M1738" s="15"/>
      <c r="N1738" s="15"/>
      <c r="T1738" s="15"/>
      <c r="U1738" s="15"/>
    </row>
    <row r="1739" spans="12:21">
      <c r="L1739" s="15"/>
      <c r="M1739" s="15"/>
      <c r="N1739" s="15"/>
      <c r="T1739" s="15"/>
      <c r="U1739" s="15"/>
    </row>
    <row r="1740" spans="12:21">
      <c r="L1740" s="15"/>
      <c r="M1740" s="15"/>
      <c r="N1740" s="15"/>
      <c r="T1740" s="15"/>
      <c r="U1740" s="15"/>
    </row>
    <row r="1741" spans="12:21">
      <c r="L1741" s="15"/>
      <c r="M1741" s="15"/>
      <c r="N1741" s="15"/>
      <c r="T1741" s="15"/>
      <c r="U1741" s="15"/>
    </row>
    <row r="1742" spans="12:21">
      <c r="L1742" s="15"/>
      <c r="M1742" s="15"/>
      <c r="N1742" s="15"/>
      <c r="T1742" s="15"/>
      <c r="U1742" s="15"/>
    </row>
    <row r="1743" spans="12:21">
      <c r="L1743" s="15"/>
      <c r="M1743" s="15"/>
      <c r="N1743" s="15"/>
      <c r="T1743" s="15"/>
      <c r="U1743" s="15"/>
    </row>
    <row r="1744" spans="12:21">
      <c r="L1744" s="15"/>
      <c r="M1744" s="15"/>
      <c r="N1744" s="15"/>
      <c r="T1744" s="15"/>
      <c r="U1744" s="15"/>
    </row>
    <row r="1745" spans="12:21">
      <c r="L1745" s="15"/>
      <c r="M1745" s="15"/>
      <c r="N1745" s="15"/>
      <c r="T1745" s="15"/>
      <c r="U1745" s="15"/>
    </row>
    <row r="1746" spans="12:21">
      <c r="L1746" s="15"/>
      <c r="M1746" s="15"/>
      <c r="N1746" s="15"/>
      <c r="T1746" s="15"/>
      <c r="U1746" s="15"/>
    </row>
    <row r="1747" spans="12:21">
      <c r="L1747" s="15"/>
      <c r="M1747" s="15"/>
      <c r="N1747" s="15"/>
      <c r="T1747" s="15"/>
      <c r="U1747" s="15"/>
    </row>
    <row r="1748" spans="12:21">
      <c r="L1748" s="15"/>
      <c r="M1748" s="15"/>
      <c r="N1748" s="15"/>
      <c r="T1748" s="15"/>
      <c r="U1748" s="15"/>
    </row>
    <row r="1749" spans="12:21">
      <c r="L1749" s="15"/>
      <c r="M1749" s="15"/>
      <c r="N1749" s="15"/>
      <c r="T1749" s="15"/>
      <c r="U1749" s="15"/>
    </row>
    <row r="1750" spans="12:21">
      <c r="L1750" s="15"/>
      <c r="M1750" s="15"/>
      <c r="N1750" s="15"/>
      <c r="T1750" s="15"/>
      <c r="U1750" s="15"/>
    </row>
    <row r="1751" spans="12:21">
      <c r="L1751" s="15"/>
      <c r="M1751" s="15"/>
      <c r="N1751" s="15"/>
      <c r="T1751" s="15"/>
      <c r="U1751" s="15"/>
    </row>
    <row r="1752" spans="12:21">
      <c r="L1752" s="15"/>
      <c r="M1752" s="15"/>
      <c r="N1752" s="15"/>
      <c r="T1752" s="15"/>
      <c r="U1752" s="15"/>
    </row>
    <row r="1753" spans="12:21">
      <c r="L1753" s="15"/>
      <c r="M1753" s="15"/>
      <c r="N1753" s="15"/>
      <c r="T1753" s="15"/>
      <c r="U1753" s="15"/>
    </row>
    <row r="1754" spans="12:21">
      <c r="L1754" s="15"/>
      <c r="M1754" s="15"/>
      <c r="N1754" s="15"/>
      <c r="T1754" s="15"/>
      <c r="U1754" s="15"/>
    </row>
    <row r="1755" spans="12:21">
      <c r="L1755" s="15"/>
      <c r="M1755" s="15"/>
      <c r="N1755" s="15"/>
      <c r="T1755" s="15"/>
      <c r="U1755" s="15"/>
    </row>
    <row r="1756" spans="12:21">
      <c r="L1756" s="15"/>
      <c r="M1756" s="15"/>
      <c r="N1756" s="15"/>
      <c r="T1756" s="15"/>
      <c r="U1756" s="15"/>
    </row>
    <row r="1757" spans="12:21">
      <c r="L1757" s="15"/>
      <c r="M1757" s="15"/>
      <c r="N1757" s="15"/>
      <c r="T1757" s="15"/>
      <c r="U1757" s="15"/>
    </row>
    <row r="1758" spans="12:21">
      <c r="L1758" s="15"/>
      <c r="M1758" s="15"/>
      <c r="N1758" s="15"/>
      <c r="T1758" s="15"/>
      <c r="U1758" s="15"/>
    </row>
    <row r="1759" spans="12:21">
      <c r="L1759" s="15"/>
      <c r="M1759" s="15"/>
      <c r="N1759" s="15"/>
      <c r="T1759" s="15"/>
      <c r="U1759" s="15"/>
    </row>
    <row r="1760" spans="12:21">
      <c r="L1760" s="15"/>
      <c r="M1760" s="15"/>
      <c r="N1760" s="15"/>
      <c r="T1760" s="15"/>
      <c r="U1760" s="15"/>
    </row>
    <row r="1761" spans="12:21">
      <c r="L1761" s="15"/>
      <c r="M1761" s="15"/>
      <c r="N1761" s="15"/>
      <c r="T1761" s="15"/>
      <c r="U1761" s="15"/>
    </row>
    <row r="1762" spans="12:21">
      <c r="L1762" s="15"/>
      <c r="M1762" s="15"/>
      <c r="N1762" s="15"/>
      <c r="T1762" s="15"/>
      <c r="U1762" s="15"/>
    </row>
    <row r="1763" spans="12:21">
      <c r="L1763" s="15"/>
      <c r="M1763" s="15"/>
      <c r="N1763" s="15"/>
      <c r="T1763" s="15"/>
      <c r="U1763" s="15"/>
    </row>
    <row r="1764" spans="12:21">
      <c r="L1764" s="15"/>
      <c r="M1764" s="15"/>
      <c r="N1764" s="15"/>
      <c r="T1764" s="15"/>
      <c r="U1764" s="15"/>
    </row>
    <row r="1765" spans="12:21">
      <c r="L1765" s="15"/>
      <c r="M1765" s="15"/>
      <c r="N1765" s="15"/>
      <c r="T1765" s="15"/>
      <c r="U1765" s="15"/>
    </row>
    <row r="1766" spans="12:21">
      <c r="L1766" s="15"/>
      <c r="M1766" s="15"/>
      <c r="N1766" s="15"/>
      <c r="T1766" s="15"/>
      <c r="U1766" s="15"/>
    </row>
    <row r="1767" spans="12:21">
      <c r="L1767" s="15"/>
      <c r="M1767" s="15"/>
      <c r="N1767" s="15"/>
      <c r="T1767" s="15"/>
      <c r="U1767" s="15"/>
    </row>
    <row r="1768" spans="12:21">
      <c r="L1768" s="15"/>
      <c r="M1768" s="15"/>
      <c r="N1768" s="15"/>
      <c r="T1768" s="15"/>
      <c r="U1768" s="15"/>
    </row>
    <row r="1769" spans="12:21">
      <c r="L1769" s="15"/>
      <c r="M1769" s="15"/>
      <c r="N1769" s="15"/>
      <c r="T1769" s="15"/>
      <c r="U1769" s="15"/>
    </row>
    <row r="1770" spans="12:21">
      <c r="L1770" s="15"/>
      <c r="M1770" s="15"/>
      <c r="N1770" s="15"/>
      <c r="T1770" s="15"/>
      <c r="U1770" s="15"/>
    </row>
    <row r="1771" spans="12:21">
      <c r="L1771" s="15"/>
      <c r="M1771" s="15"/>
      <c r="N1771" s="15"/>
      <c r="T1771" s="15"/>
      <c r="U1771" s="15"/>
    </row>
    <row r="1772" spans="12:21">
      <c r="L1772" s="15"/>
      <c r="M1772" s="15"/>
      <c r="N1772" s="15"/>
      <c r="T1772" s="15"/>
      <c r="U1772" s="15"/>
    </row>
    <row r="1773" spans="12:21">
      <c r="L1773" s="15"/>
      <c r="M1773" s="15"/>
      <c r="N1773" s="15"/>
      <c r="T1773" s="15"/>
      <c r="U1773" s="15"/>
    </row>
    <row r="1774" spans="12:21">
      <c r="L1774" s="15"/>
      <c r="M1774" s="15"/>
      <c r="N1774" s="15"/>
      <c r="T1774" s="15"/>
      <c r="U1774" s="15"/>
    </row>
    <row r="1775" spans="12:21">
      <c r="L1775" s="15"/>
      <c r="M1775" s="15"/>
      <c r="N1775" s="15"/>
      <c r="T1775" s="15"/>
      <c r="U1775" s="15"/>
    </row>
    <row r="1776" spans="12:21">
      <c r="L1776" s="15"/>
      <c r="M1776" s="15"/>
      <c r="N1776" s="15"/>
      <c r="T1776" s="15"/>
      <c r="U1776" s="15"/>
    </row>
    <row r="1777" spans="12:21">
      <c r="L1777" s="15"/>
      <c r="M1777" s="15"/>
      <c r="N1777" s="15"/>
      <c r="T1777" s="15"/>
      <c r="U1777" s="15"/>
    </row>
    <row r="1778" spans="12:21">
      <c r="L1778" s="15"/>
      <c r="M1778" s="15"/>
      <c r="N1778" s="15"/>
      <c r="T1778" s="15"/>
      <c r="U1778" s="15"/>
    </row>
    <row r="1779" spans="12:21">
      <c r="L1779" s="15"/>
      <c r="M1779" s="15"/>
      <c r="N1779" s="15"/>
      <c r="T1779" s="15"/>
      <c r="U1779" s="15"/>
    </row>
    <row r="1780" spans="12:21">
      <c r="L1780" s="15"/>
      <c r="M1780" s="15"/>
      <c r="N1780" s="15"/>
      <c r="T1780" s="15"/>
      <c r="U1780" s="15"/>
    </row>
    <row r="1781" spans="12:21">
      <c r="L1781" s="15"/>
      <c r="M1781" s="15"/>
      <c r="N1781" s="15"/>
      <c r="T1781" s="15"/>
      <c r="U1781" s="15"/>
    </row>
    <row r="1782" spans="12:21">
      <c r="L1782" s="15"/>
      <c r="M1782" s="15"/>
      <c r="N1782" s="15"/>
      <c r="T1782" s="15"/>
      <c r="U1782" s="15"/>
    </row>
    <row r="1783" spans="12:21">
      <c r="L1783" s="15"/>
      <c r="M1783" s="15"/>
      <c r="N1783" s="15"/>
      <c r="T1783" s="15"/>
      <c r="U1783" s="15"/>
    </row>
    <row r="1784" spans="12:21">
      <c r="L1784" s="15"/>
      <c r="M1784" s="15"/>
      <c r="N1784" s="15"/>
      <c r="T1784" s="15"/>
      <c r="U1784" s="15"/>
    </row>
    <row r="1785" spans="12:21">
      <c r="L1785" s="15"/>
      <c r="M1785" s="15"/>
      <c r="N1785" s="15"/>
      <c r="T1785" s="15"/>
      <c r="U1785" s="15"/>
    </row>
    <row r="1786" spans="12:21">
      <c r="L1786" s="15"/>
      <c r="M1786" s="15"/>
      <c r="N1786" s="15"/>
      <c r="T1786" s="15"/>
      <c r="U1786" s="15"/>
    </row>
    <row r="1787" spans="12:21">
      <c r="L1787" s="15"/>
      <c r="M1787" s="15"/>
      <c r="N1787" s="15"/>
      <c r="T1787" s="15"/>
      <c r="U1787" s="15"/>
    </row>
    <row r="1788" spans="12:21">
      <c r="L1788" s="15"/>
      <c r="M1788" s="15"/>
      <c r="N1788" s="15"/>
      <c r="T1788" s="15"/>
      <c r="U1788" s="15"/>
    </row>
    <row r="1789" spans="12:21">
      <c r="L1789" s="15"/>
      <c r="M1789" s="15"/>
      <c r="N1789" s="15"/>
      <c r="T1789" s="15"/>
      <c r="U1789" s="15"/>
    </row>
    <row r="1790" spans="12:21">
      <c r="L1790" s="15"/>
      <c r="M1790" s="15"/>
      <c r="N1790" s="15"/>
      <c r="T1790" s="15"/>
      <c r="U1790" s="15"/>
    </row>
    <row r="1791" spans="12:21">
      <c r="L1791" s="15"/>
      <c r="M1791" s="15"/>
      <c r="N1791" s="15"/>
      <c r="T1791" s="15"/>
      <c r="U1791" s="15"/>
    </row>
    <row r="1792" spans="12:21">
      <c r="L1792" s="15"/>
      <c r="M1792" s="15"/>
      <c r="N1792" s="15"/>
      <c r="T1792" s="15"/>
      <c r="U1792" s="15"/>
    </row>
    <row r="1793" spans="12:21">
      <c r="L1793" s="15"/>
      <c r="M1793" s="15"/>
      <c r="N1793" s="15"/>
      <c r="T1793" s="15"/>
      <c r="U1793" s="15"/>
    </row>
    <row r="1794" spans="12:21">
      <c r="L1794" s="15"/>
      <c r="M1794" s="15"/>
      <c r="N1794" s="15"/>
      <c r="T1794" s="15"/>
      <c r="U1794" s="15"/>
    </row>
    <row r="1795" spans="12:21">
      <c r="L1795" s="15"/>
      <c r="M1795" s="15"/>
      <c r="N1795" s="15"/>
      <c r="T1795" s="15"/>
      <c r="U1795" s="15"/>
    </row>
    <row r="1796" spans="12:21">
      <c r="L1796" s="15"/>
      <c r="M1796" s="15"/>
      <c r="N1796" s="15"/>
      <c r="T1796" s="15"/>
      <c r="U1796" s="15"/>
    </row>
    <row r="1797" spans="12:21">
      <c r="L1797" s="15"/>
      <c r="M1797" s="15"/>
      <c r="N1797" s="15"/>
      <c r="T1797" s="15"/>
      <c r="U1797" s="15"/>
    </row>
    <row r="1798" spans="12:21">
      <c r="L1798" s="15"/>
      <c r="M1798" s="15"/>
      <c r="N1798" s="15"/>
      <c r="T1798" s="15"/>
      <c r="U1798" s="15"/>
    </row>
    <row r="1799" spans="12:21">
      <c r="L1799" s="15"/>
      <c r="M1799" s="15"/>
      <c r="N1799" s="15"/>
      <c r="T1799" s="15"/>
      <c r="U1799" s="15"/>
    </row>
    <row r="1800" spans="12:21">
      <c r="L1800" s="15"/>
      <c r="M1800" s="15"/>
      <c r="N1800" s="15"/>
      <c r="T1800" s="15"/>
      <c r="U1800" s="15"/>
    </row>
    <row r="1801" spans="12:21">
      <c r="L1801" s="15"/>
      <c r="M1801" s="15"/>
      <c r="N1801" s="15"/>
      <c r="T1801" s="15"/>
      <c r="U1801" s="15"/>
    </row>
    <row r="1802" spans="12:21">
      <c r="L1802" s="15"/>
      <c r="M1802" s="15"/>
      <c r="N1802" s="15"/>
      <c r="T1802" s="15"/>
      <c r="U1802" s="15"/>
    </row>
    <row r="1803" spans="12:21">
      <c r="L1803" s="15"/>
      <c r="M1803" s="15"/>
      <c r="N1803" s="15"/>
      <c r="T1803" s="15"/>
      <c r="U1803" s="15"/>
    </row>
    <row r="1804" spans="12:21">
      <c r="L1804" s="15"/>
      <c r="M1804" s="15"/>
      <c r="N1804" s="15"/>
      <c r="T1804" s="15"/>
      <c r="U1804" s="15"/>
    </row>
    <row r="1805" spans="12:21">
      <c r="L1805" s="15"/>
      <c r="M1805" s="15"/>
      <c r="N1805" s="15"/>
      <c r="T1805" s="15"/>
      <c r="U1805" s="15"/>
    </row>
    <row r="1806" spans="12:21">
      <c r="L1806" s="15"/>
      <c r="M1806" s="15"/>
      <c r="N1806" s="15"/>
      <c r="T1806" s="15"/>
      <c r="U1806" s="15"/>
    </row>
    <row r="1807" spans="12:21">
      <c r="L1807" s="15"/>
      <c r="M1807" s="15"/>
      <c r="N1807" s="15"/>
      <c r="T1807" s="15"/>
      <c r="U1807" s="15"/>
    </row>
    <row r="1808" spans="12:21">
      <c r="L1808" s="15"/>
      <c r="M1808" s="15"/>
      <c r="N1808" s="15"/>
      <c r="T1808" s="15"/>
      <c r="U1808" s="15"/>
    </row>
    <row r="1809" spans="12:21">
      <c r="L1809" s="15"/>
      <c r="M1809" s="15"/>
      <c r="N1809" s="15"/>
      <c r="T1809" s="15"/>
      <c r="U1809" s="15"/>
    </row>
    <row r="1810" spans="12:21">
      <c r="L1810" s="15"/>
      <c r="M1810" s="15"/>
      <c r="N1810" s="15"/>
      <c r="T1810" s="15"/>
      <c r="U1810" s="15"/>
    </row>
    <row r="1811" spans="12:21">
      <c r="L1811" s="15"/>
      <c r="M1811" s="15"/>
      <c r="N1811" s="15"/>
      <c r="T1811" s="15"/>
      <c r="U1811" s="15"/>
    </row>
    <row r="1812" spans="12:21">
      <c r="L1812" s="15"/>
      <c r="M1812" s="15"/>
      <c r="N1812" s="15"/>
      <c r="T1812" s="15"/>
      <c r="U1812" s="15"/>
    </row>
    <row r="1813" spans="12:21">
      <c r="L1813" s="15"/>
      <c r="M1813" s="15"/>
      <c r="N1813" s="15"/>
      <c r="T1813" s="15"/>
      <c r="U1813" s="15"/>
    </row>
    <row r="1814" spans="12:21">
      <c r="L1814" s="15"/>
      <c r="M1814" s="15"/>
      <c r="N1814" s="15"/>
      <c r="T1814" s="15"/>
      <c r="U1814" s="15"/>
    </row>
    <row r="1815" spans="12:21">
      <c r="L1815" s="15"/>
      <c r="M1815" s="15"/>
      <c r="N1815" s="15"/>
      <c r="T1815" s="15"/>
      <c r="U1815" s="15"/>
    </row>
    <row r="1816" spans="12:21">
      <c r="L1816" s="15"/>
      <c r="M1816" s="15"/>
      <c r="N1816" s="15"/>
      <c r="T1816" s="15"/>
      <c r="U1816" s="15"/>
    </row>
    <row r="1817" spans="12:21">
      <c r="L1817" s="15"/>
      <c r="M1817" s="15"/>
      <c r="N1817" s="15"/>
      <c r="T1817" s="15"/>
      <c r="U1817" s="15"/>
    </row>
    <row r="1818" spans="12:21">
      <c r="L1818" s="15"/>
      <c r="M1818" s="15"/>
      <c r="N1818" s="15"/>
      <c r="T1818" s="15"/>
      <c r="U1818" s="15"/>
    </row>
    <row r="1819" spans="12:21">
      <c r="L1819" s="15"/>
      <c r="M1819" s="15"/>
      <c r="N1819" s="15"/>
      <c r="T1819" s="15"/>
      <c r="U1819" s="15"/>
    </row>
    <row r="1820" spans="12:21">
      <c r="L1820" s="15"/>
      <c r="M1820" s="15"/>
      <c r="N1820" s="15"/>
      <c r="T1820" s="15"/>
      <c r="U1820" s="15"/>
    </row>
    <row r="1821" spans="12:21">
      <c r="L1821" s="15"/>
      <c r="M1821" s="15"/>
      <c r="N1821" s="15"/>
      <c r="T1821" s="15"/>
      <c r="U1821" s="15"/>
    </row>
    <row r="1822" spans="12:21">
      <c r="L1822" s="15"/>
      <c r="M1822" s="15"/>
      <c r="N1822" s="15"/>
      <c r="T1822" s="15"/>
      <c r="U1822" s="15"/>
    </row>
    <row r="1823" spans="12:21">
      <c r="L1823" s="15"/>
      <c r="M1823" s="15"/>
      <c r="N1823" s="15"/>
      <c r="T1823" s="15"/>
      <c r="U1823" s="15"/>
    </row>
    <row r="1824" spans="12:21">
      <c r="L1824" s="15"/>
      <c r="M1824" s="15"/>
      <c r="N1824" s="15"/>
      <c r="T1824" s="15"/>
      <c r="U1824" s="15"/>
    </row>
    <row r="1825" spans="12:21">
      <c r="L1825" s="15"/>
      <c r="M1825" s="15"/>
      <c r="N1825" s="15"/>
      <c r="T1825" s="15"/>
      <c r="U1825" s="15"/>
    </row>
    <row r="1826" spans="12:21">
      <c r="L1826" s="15"/>
      <c r="M1826" s="15"/>
      <c r="N1826" s="15"/>
      <c r="T1826" s="15"/>
      <c r="U1826" s="15"/>
    </row>
    <row r="1827" spans="12:21">
      <c r="L1827" s="15"/>
      <c r="M1827" s="15"/>
      <c r="N1827" s="15"/>
      <c r="T1827" s="15"/>
      <c r="U1827" s="15"/>
    </row>
    <row r="1828" spans="12:21">
      <c r="L1828" s="15"/>
      <c r="M1828" s="15"/>
      <c r="N1828" s="15"/>
      <c r="T1828" s="15"/>
      <c r="U1828" s="15"/>
    </row>
    <row r="1829" spans="12:21">
      <c r="L1829" s="15"/>
      <c r="M1829" s="15"/>
      <c r="N1829" s="15"/>
      <c r="T1829" s="15"/>
      <c r="U1829" s="15"/>
    </row>
    <row r="1830" spans="12:21">
      <c r="L1830" s="15"/>
      <c r="M1830" s="15"/>
      <c r="N1830" s="15"/>
      <c r="T1830" s="15"/>
      <c r="U1830" s="15"/>
    </row>
    <row r="1831" spans="12:21">
      <c r="L1831" s="15"/>
      <c r="M1831" s="15"/>
      <c r="N1831" s="15"/>
      <c r="T1831" s="15"/>
      <c r="U1831" s="15"/>
    </row>
    <row r="1832" spans="12:21">
      <c r="L1832" s="15"/>
      <c r="M1832" s="15"/>
      <c r="N1832" s="15"/>
      <c r="T1832" s="15"/>
      <c r="U1832" s="15"/>
    </row>
    <row r="1833" spans="12:21">
      <c r="L1833" s="15"/>
      <c r="M1833" s="15"/>
      <c r="N1833" s="15"/>
      <c r="T1833" s="15"/>
      <c r="U1833" s="15"/>
    </row>
    <row r="1834" spans="12:21">
      <c r="L1834" s="15"/>
      <c r="M1834" s="15"/>
      <c r="N1834" s="15"/>
      <c r="T1834" s="15"/>
      <c r="U1834" s="15"/>
    </row>
    <row r="1835" spans="12:21">
      <c r="L1835" s="15"/>
      <c r="M1835" s="15"/>
      <c r="N1835" s="15"/>
      <c r="T1835" s="15"/>
      <c r="U1835" s="15"/>
    </row>
    <row r="1836" spans="12:21">
      <c r="L1836" s="15"/>
      <c r="M1836" s="15"/>
      <c r="N1836" s="15"/>
      <c r="T1836" s="15"/>
      <c r="U1836" s="15"/>
    </row>
    <row r="1837" spans="12:21">
      <c r="L1837" s="15"/>
      <c r="M1837" s="15"/>
      <c r="N1837" s="15"/>
      <c r="T1837" s="15"/>
      <c r="U1837" s="15"/>
    </row>
    <row r="1838" spans="12:21">
      <c r="L1838" s="15"/>
      <c r="M1838" s="15"/>
      <c r="N1838" s="15"/>
      <c r="T1838" s="15"/>
      <c r="U1838" s="15"/>
    </row>
    <row r="1839" spans="12:21">
      <c r="L1839" s="15"/>
      <c r="M1839" s="15"/>
      <c r="N1839" s="15"/>
      <c r="T1839" s="15"/>
      <c r="U1839" s="15"/>
    </row>
    <row r="1840" spans="12:21">
      <c r="L1840" s="15"/>
      <c r="M1840" s="15"/>
      <c r="N1840" s="15"/>
      <c r="T1840" s="15"/>
      <c r="U1840" s="15"/>
    </row>
    <row r="1841" spans="12:21">
      <c r="L1841" s="15"/>
      <c r="M1841" s="15"/>
      <c r="N1841" s="15"/>
      <c r="T1841" s="15"/>
      <c r="U1841" s="15"/>
    </row>
    <row r="1842" spans="12:21">
      <c r="L1842" s="15"/>
      <c r="M1842" s="15"/>
      <c r="N1842" s="15"/>
      <c r="T1842" s="15"/>
      <c r="U1842" s="15"/>
    </row>
    <row r="1843" spans="12:21">
      <c r="L1843" s="15"/>
      <c r="M1843" s="15"/>
      <c r="N1843" s="15"/>
      <c r="T1843" s="15"/>
      <c r="U1843" s="15"/>
    </row>
    <row r="1844" spans="12:21">
      <c r="L1844" s="15"/>
      <c r="M1844" s="15"/>
      <c r="N1844" s="15"/>
      <c r="T1844" s="15"/>
      <c r="U1844" s="15"/>
    </row>
    <row r="1845" spans="12:21">
      <c r="L1845" s="15"/>
      <c r="M1845" s="15"/>
      <c r="N1845" s="15"/>
      <c r="T1845" s="15"/>
      <c r="U1845" s="15"/>
    </row>
    <row r="1846" spans="12:21">
      <c r="L1846" s="15"/>
      <c r="M1846" s="15"/>
      <c r="N1846" s="15"/>
      <c r="T1846" s="15"/>
      <c r="U1846" s="15"/>
    </row>
    <row r="1847" spans="12:21">
      <c r="L1847" s="15"/>
      <c r="M1847" s="15"/>
      <c r="N1847" s="15"/>
      <c r="T1847" s="15"/>
      <c r="U1847" s="15"/>
    </row>
    <row r="1848" spans="12:21">
      <c r="L1848" s="15"/>
      <c r="M1848" s="15"/>
      <c r="N1848" s="15"/>
      <c r="T1848" s="15"/>
      <c r="U1848" s="15"/>
    </row>
    <row r="1849" spans="12:21">
      <c r="L1849" s="15"/>
      <c r="M1849" s="15"/>
      <c r="N1849" s="15"/>
      <c r="T1849" s="15"/>
      <c r="U1849" s="15"/>
    </row>
    <row r="1850" spans="12:21">
      <c r="L1850" s="15"/>
      <c r="M1850" s="15"/>
      <c r="N1850" s="15"/>
      <c r="T1850" s="15"/>
      <c r="U1850" s="15"/>
    </row>
    <row r="1851" spans="12:21">
      <c r="L1851" s="15"/>
      <c r="M1851" s="15"/>
      <c r="N1851" s="15"/>
      <c r="T1851" s="15"/>
      <c r="U1851" s="15"/>
    </row>
    <row r="1852" spans="12:21">
      <c r="L1852" s="15"/>
      <c r="M1852" s="15"/>
      <c r="N1852" s="15"/>
      <c r="T1852" s="15"/>
      <c r="U1852" s="15"/>
    </row>
    <row r="1853" spans="12:21">
      <c r="L1853" s="15"/>
      <c r="M1853" s="15"/>
      <c r="N1853" s="15"/>
      <c r="T1853" s="15"/>
      <c r="U1853" s="15"/>
    </row>
    <row r="1854" spans="12:21">
      <c r="L1854" s="15"/>
      <c r="M1854" s="15"/>
      <c r="N1854" s="15"/>
      <c r="T1854" s="15"/>
      <c r="U1854" s="15"/>
    </row>
    <row r="1855" spans="12:21">
      <c r="L1855" s="15"/>
      <c r="M1855" s="15"/>
      <c r="N1855" s="15"/>
      <c r="T1855" s="15"/>
      <c r="U1855" s="15"/>
    </row>
    <row r="1856" spans="12:21">
      <c r="L1856" s="15"/>
      <c r="M1856" s="15"/>
      <c r="N1856" s="15"/>
      <c r="T1856" s="15"/>
      <c r="U1856" s="15"/>
    </row>
    <row r="1857" spans="12:21">
      <c r="L1857" s="15"/>
      <c r="M1857" s="15"/>
      <c r="N1857" s="15"/>
      <c r="T1857" s="15"/>
      <c r="U1857" s="15"/>
    </row>
    <row r="1858" spans="12:21">
      <c r="L1858" s="15"/>
      <c r="M1858" s="15"/>
      <c r="N1858" s="15"/>
      <c r="T1858" s="15"/>
      <c r="U1858" s="15"/>
    </row>
    <row r="1859" spans="12:21">
      <c r="L1859" s="15"/>
      <c r="M1859" s="15"/>
      <c r="N1859" s="15"/>
      <c r="T1859" s="15"/>
      <c r="U1859" s="15"/>
    </row>
    <row r="1860" spans="12:21">
      <c r="L1860" s="15"/>
      <c r="M1860" s="15"/>
      <c r="N1860" s="15"/>
      <c r="T1860" s="15"/>
      <c r="U1860" s="15"/>
    </row>
    <row r="1861" spans="12:21">
      <c r="L1861" s="15"/>
      <c r="M1861" s="15"/>
      <c r="N1861" s="15"/>
      <c r="T1861" s="15"/>
      <c r="U1861" s="15"/>
    </row>
    <row r="1862" spans="12:21">
      <c r="L1862" s="15"/>
      <c r="M1862" s="15"/>
      <c r="N1862" s="15"/>
      <c r="T1862" s="15"/>
      <c r="U1862" s="15"/>
    </row>
    <row r="1863" spans="12:21">
      <c r="L1863" s="15"/>
      <c r="M1863" s="15"/>
      <c r="N1863" s="15"/>
      <c r="T1863" s="15"/>
      <c r="U1863" s="15"/>
    </row>
    <row r="1864" spans="12:21">
      <c r="L1864" s="15"/>
      <c r="M1864" s="15"/>
      <c r="N1864" s="15"/>
      <c r="T1864" s="15"/>
      <c r="U1864" s="15"/>
    </row>
    <row r="1865" spans="12:21">
      <c r="L1865" s="15"/>
      <c r="M1865" s="15"/>
      <c r="N1865" s="15"/>
      <c r="T1865" s="15"/>
      <c r="U1865" s="15"/>
    </row>
    <row r="1866" spans="12:21">
      <c r="L1866" s="15"/>
      <c r="M1866" s="15"/>
      <c r="N1866" s="15"/>
      <c r="T1866" s="15"/>
      <c r="U1866" s="15"/>
    </row>
    <row r="1867" spans="12:21">
      <c r="L1867" s="15"/>
      <c r="M1867" s="15"/>
      <c r="N1867" s="15"/>
      <c r="T1867" s="15"/>
      <c r="U1867" s="15"/>
    </row>
    <row r="1868" spans="12:21">
      <c r="L1868" s="15"/>
      <c r="M1868" s="15"/>
      <c r="N1868" s="15"/>
      <c r="T1868" s="15"/>
      <c r="U1868" s="15"/>
    </row>
    <row r="1869" spans="12:21">
      <c r="L1869" s="15"/>
      <c r="M1869" s="15"/>
      <c r="N1869" s="15"/>
      <c r="T1869" s="15"/>
      <c r="U1869" s="15"/>
    </row>
    <row r="1870" spans="12:21">
      <c r="L1870" s="15"/>
      <c r="M1870" s="15"/>
      <c r="N1870" s="15"/>
      <c r="T1870" s="15"/>
      <c r="U1870" s="15"/>
    </row>
    <row r="1871" spans="12:21">
      <c r="L1871" s="15"/>
      <c r="M1871" s="15"/>
      <c r="N1871" s="15"/>
      <c r="T1871" s="15"/>
      <c r="U1871" s="15"/>
    </row>
    <row r="1872" spans="12:21">
      <c r="L1872" s="15"/>
      <c r="M1872" s="15"/>
      <c r="N1872" s="15"/>
      <c r="T1872" s="15"/>
      <c r="U1872" s="15"/>
    </row>
    <row r="1873" spans="12:21">
      <c r="L1873" s="15"/>
      <c r="M1873" s="15"/>
      <c r="N1873" s="15"/>
      <c r="T1873" s="15"/>
      <c r="U1873" s="15"/>
    </row>
    <row r="1874" spans="12:21">
      <c r="L1874" s="15"/>
      <c r="M1874" s="15"/>
      <c r="N1874" s="15"/>
      <c r="T1874" s="15"/>
      <c r="U1874" s="15"/>
    </row>
    <row r="1875" spans="12:21">
      <c r="L1875" s="15"/>
      <c r="M1875" s="15"/>
      <c r="N1875" s="15"/>
      <c r="T1875" s="15"/>
      <c r="U1875" s="15"/>
    </row>
    <row r="1876" spans="12:21">
      <c r="L1876" s="15"/>
      <c r="M1876" s="15"/>
      <c r="N1876" s="15"/>
      <c r="T1876" s="15"/>
      <c r="U1876" s="15"/>
    </row>
    <row r="1877" spans="12:21">
      <c r="L1877" s="15"/>
      <c r="M1877" s="15"/>
      <c r="N1877" s="15"/>
      <c r="T1877" s="15"/>
      <c r="U1877" s="15"/>
    </row>
    <row r="1878" spans="12:21">
      <c r="L1878" s="15"/>
      <c r="M1878" s="15"/>
      <c r="N1878" s="15"/>
      <c r="T1878" s="15"/>
      <c r="U1878" s="15"/>
    </row>
    <row r="1879" spans="12:21">
      <c r="L1879" s="15"/>
      <c r="M1879" s="15"/>
      <c r="N1879" s="15"/>
      <c r="T1879" s="15"/>
      <c r="U1879" s="15"/>
    </row>
    <row r="1880" spans="12:21">
      <c r="L1880" s="15"/>
      <c r="M1880" s="15"/>
      <c r="N1880" s="15"/>
      <c r="T1880" s="15"/>
      <c r="U1880" s="15"/>
    </row>
    <row r="1881" spans="12:21">
      <c r="L1881" s="15"/>
      <c r="M1881" s="15"/>
      <c r="N1881" s="15"/>
      <c r="T1881" s="15"/>
      <c r="U1881" s="15"/>
    </row>
    <row r="1882" spans="12:21">
      <c r="L1882" s="15"/>
      <c r="M1882" s="15"/>
      <c r="N1882" s="15"/>
      <c r="T1882" s="15"/>
      <c r="U1882" s="15"/>
    </row>
    <row r="1883" spans="12:21">
      <c r="L1883" s="15"/>
      <c r="M1883" s="15"/>
      <c r="N1883" s="15"/>
      <c r="T1883" s="15"/>
      <c r="U1883" s="15"/>
    </row>
    <row r="1884" spans="12:21">
      <c r="L1884" s="15"/>
      <c r="M1884" s="15"/>
      <c r="N1884" s="15"/>
      <c r="T1884" s="15"/>
      <c r="U1884" s="15"/>
    </row>
    <row r="1885" spans="12:21">
      <c r="L1885" s="15"/>
      <c r="M1885" s="15"/>
      <c r="N1885" s="15"/>
      <c r="T1885" s="15"/>
      <c r="U1885" s="15"/>
    </row>
    <row r="1886" spans="12:21">
      <c r="L1886" s="15"/>
      <c r="M1886" s="15"/>
      <c r="N1886" s="15"/>
      <c r="T1886" s="15"/>
      <c r="U1886" s="15"/>
    </row>
    <row r="1887" spans="12:21">
      <c r="L1887" s="15"/>
      <c r="M1887" s="15"/>
      <c r="N1887" s="15"/>
      <c r="T1887" s="15"/>
      <c r="U1887" s="15"/>
    </row>
    <row r="1888" spans="12:21">
      <c r="L1888" s="15"/>
      <c r="M1888" s="15"/>
      <c r="N1888" s="15"/>
      <c r="T1888" s="15"/>
      <c r="U1888" s="15"/>
    </row>
    <row r="1889" spans="12:21">
      <c r="L1889" s="15"/>
      <c r="M1889" s="15"/>
      <c r="N1889" s="15"/>
      <c r="T1889" s="15"/>
      <c r="U1889" s="15"/>
    </row>
    <row r="1890" spans="12:21">
      <c r="L1890" s="15"/>
      <c r="M1890" s="15"/>
      <c r="N1890" s="15"/>
      <c r="T1890" s="15"/>
      <c r="U1890" s="15"/>
    </row>
    <row r="1891" spans="12:21">
      <c r="N1891" s="15"/>
    </row>
    <row r="1892" spans="12:21">
      <c r="N1892" s="15"/>
    </row>
    <row r="1893" spans="12:21">
      <c r="N1893" s="15"/>
    </row>
    <row r="1894" spans="12:21">
      <c r="N1894" s="15"/>
    </row>
    <row r="1895" spans="12:21">
      <c r="N1895" s="15"/>
    </row>
    <row r="1896" spans="12:21">
      <c r="N1896" s="15"/>
    </row>
    <row r="1897" spans="12:21">
      <c r="N1897" s="15"/>
    </row>
    <row r="1898" spans="12:21">
      <c r="N1898" s="15"/>
    </row>
    <row r="1899" spans="12:21">
      <c r="N1899" s="15"/>
    </row>
    <row r="1900" spans="12:21">
      <c r="N1900" s="15"/>
    </row>
    <row r="1901" spans="12:21">
      <c r="N1901" s="15"/>
    </row>
    <row r="1902" spans="12:21">
      <c r="N1902" s="15"/>
    </row>
    <row r="1903" spans="12:21">
      <c r="N1903" s="15"/>
    </row>
    <row r="1904" spans="12:21">
      <c r="N1904" s="15"/>
    </row>
    <row r="1905" spans="14:14">
      <c r="N1905" s="15"/>
    </row>
    <row r="1906" spans="14:14">
      <c r="N1906" s="15"/>
    </row>
  </sheetData>
  <mergeCells count="73">
    <mergeCell ref="B364:C378"/>
    <mergeCell ref="B118:B162"/>
    <mergeCell ref="B644:C658"/>
    <mergeCell ref="B674:C688"/>
    <mergeCell ref="W13:W14"/>
    <mergeCell ref="E13:E14"/>
    <mergeCell ref="B409:C425"/>
    <mergeCell ref="B426:C440"/>
    <mergeCell ref="B516:C532"/>
    <mergeCell ref="B471:C485"/>
    <mergeCell ref="B486:C500"/>
    <mergeCell ref="B501:C515"/>
    <mergeCell ref="A15:W15"/>
    <mergeCell ref="A16:C18"/>
    <mergeCell ref="A19:C21"/>
    <mergeCell ref="A347:A408"/>
    <mergeCell ref="B347:C363"/>
    <mergeCell ref="A330:A346"/>
    <mergeCell ref="A22:A207"/>
    <mergeCell ref="C88:C102"/>
    <mergeCell ref="C133:C147"/>
    <mergeCell ref="B238:C252"/>
    <mergeCell ref="C148:C162"/>
    <mergeCell ref="B163:C177"/>
    <mergeCell ref="B178:C192"/>
    <mergeCell ref="B193:C207"/>
    <mergeCell ref="B208:C222"/>
    <mergeCell ref="B223:C237"/>
    <mergeCell ref="C118:C132"/>
    <mergeCell ref="B22:C38"/>
    <mergeCell ref="B39:C55"/>
    <mergeCell ref="B56:C72"/>
    <mergeCell ref="B270:B299"/>
    <mergeCell ref="B300:B329"/>
    <mergeCell ref="B330:C346"/>
    <mergeCell ref="C315:C329"/>
    <mergeCell ref="C270:C284"/>
    <mergeCell ref="C300:C314"/>
    <mergeCell ref="A13:C14"/>
    <mergeCell ref="D13:D14"/>
    <mergeCell ref="F13:U13"/>
    <mergeCell ref="V13:V14"/>
    <mergeCell ref="B73:B117"/>
    <mergeCell ref="C73:C87"/>
    <mergeCell ref="C103:C117"/>
    <mergeCell ref="V1:W1"/>
    <mergeCell ref="C6:W6"/>
    <mergeCell ref="C7:W7"/>
    <mergeCell ref="C8:W8"/>
    <mergeCell ref="D9:U9"/>
    <mergeCell ref="A208:A252"/>
    <mergeCell ref="B704:C718"/>
    <mergeCell ref="B441:C455"/>
    <mergeCell ref="B456:C470"/>
    <mergeCell ref="A471:A515"/>
    <mergeCell ref="A409:A470"/>
    <mergeCell ref="C285:C299"/>
    <mergeCell ref="B533:C549"/>
    <mergeCell ref="B550:C566"/>
    <mergeCell ref="B567:C581"/>
    <mergeCell ref="B597:C611"/>
    <mergeCell ref="B627:C643"/>
    <mergeCell ref="B379:C393"/>
    <mergeCell ref="B394:C408"/>
    <mergeCell ref="A253:A329"/>
    <mergeCell ref="B253:C269"/>
    <mergeCell ref="B734:C748"/>
    <mergeCell ref="A516:A748"/>
    <mergeCell ref="B582:C596"/>
    <mergeCell ref="B612:C626"/>
    <mergeCell ref="B659:C673"/>
    <mergeCell ref="B689:C703"/>
    <mergeCell ref="B719:C733"/>
  </mergeCells>
  <pageMargins left="0.19685039370078741" right="0.19685039370078741" top="0.19685039370078741" bottom="0.19685039370078741" header="0.19685039370078741" footer="0.19685039370078741"/>
  <pageSetup paperSize="9" scale="19" fitToHeight="2" orientation="portrait" r:id="rId1"/>
  <rowBreaks count="2" manualBreakCount="2">
    <brk id="470" max="22" man="1"/>
    <brk id="703" max="2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C000"/>
  </sheetPr>
  <dimension ref="A1:AB1906"/>
  <sheetViews>
    <sheetView view="pageBreakPreview" zoomScale="70" zoomScaleNormal="70" zoomScaleSheetLayoutView="70" workbookViewId="0">
      <pane xSplit="5" ySplit="15" topLeftCell="H570" activePane="bottomRight" state="frozen"/>
      <selection activeCell="K525" sqref="K525"/>
      <selection pane="topRight" activeCell="K525" sqref="K525"/>
      <selection pane="bottomLeft" activeCell="K525" sqref="K525"/>
      <selection pane="bottomRight" activeCell="N572" sqref="N572"/>
    </sheetView>
  </sheetViews>
  <sheetFormatPr defaultColWidth="9.33203125" defaultRowHeight="12.55"/>
  <cols>
    <col min="1" max="1" width="10.44140625" style="249" customWidth="1"/>
    <col min="2" max="2" width="6.44140625" style="249" customWidth="1"/>
    <col min="3" max="3" width="7" style="155" customWidth="1"/>
    <col min="4" max="4" width="33.5546875" style="155" customWidth="1"/>
    <col min="5" max="5" width="12" style="1" customWidth="1"/>
    <col min="6" max="6" width="12.44140625" style="15" customWidth="1"/>
    <col min="7" max="11" width="11.44140625" style="15" customWidth="1"/>
    <col min="12" max="12" width="12" style="16" customWidth="1"/>
    <col min="13" max="13" width="11.44140625" style="16" customWidth="1"/>
    <col min="14" max="14" width="11.33203125" style="17" customWidth="1"/>
    <col min="15" max="17" width="11.44140625" style="15" customWidth="1"/>
    <col min="18" max="18" width="13" style="15" customWidth="1"/>
    <col min="19" max="19" width="13.44140625" style="15" customWidth="1"/>
    <col min="20" max="20" width="13.44140625" style="16" customWidth="1"/>
    <col min="21" max="21" width="13.5546875" style="16" customWidth="1"/>
    <col min="22" max="22" width="14.5546875" style="78" customWidth="1"/>
    <col min="23" max="23" width="14.5546875" style="15" customWidth="1"/>
    <col min="24" max="24" width="14.5546875" style="13" customWidth="1"/>
    <col min="25" max="25" width="9.6640625" style="13" bestFit="1" customWidth="1"/>
    <col min="26" max="26" width="10.88671875" style="13" bestFit="1" customWidth="1"/>
    <col min="27" max="16384" width="9.33203125" style="13"/>
  </cols>
  <sheetData>
    <row r="1" spans="1:24" s="3" customFormat="1" ht="30.7" customHeight="1">
      <c r="A1" s="545" t="s">
        <v>50</v>
      </c>
      <c r="B1" s="155"/>
      <c r="C1" s="155"/>
      <c r="D1" s="155"/>
      <c r="E1" s="519" t="s">
        <v>131</v>
      </c>
      <c r="F1" s="472"/>
      <c r="G1" s="472">
        <v>639879</v>
      </c>
      <c r="H1" s="472">
        <v>780108</v>
      </c>
      <c r="I1" s="472">
        <v>422511</v>
      </c>
      <c r="J1" s="472">
        <v>133478</v>
      </c>
      <c r="K1" s="472">
        <v>30315</v>
      </c>
      <c r="L1" s="472"/>
      <c r="M1" s="472"/>
      <c r="N1" s="472">
        <v>4906</v>
      </c>
      <c r="O1" s="472">
        <v>18044</v>
      </c>
      <c r="P1" s="472">
        <v>54851</v>
      </c>
      <c r="Q1" s="472">
        <v>152744</v>
      </c>
      <c r="R1" s="472">
        <v>230790</v>
      </c>
      <c r="S1" s="472">
        <v>1268156</v>
      </c>
      <c r="T1" s="472">
        <v>3735782</v>
      </c>
      <c r="U1" s="329">
        <v>3735782</v>
      </c>
      <c r="V1" s="681" t="s">
        <v>3</v>
      </c>
      <c r="W1" s="681"/>
    </row>
    <row r="2" spans="1:24" s="3" customFormat="1" ht="17.7" customHeight="1">
      <c r="A2" s="155"/>
      <c r="B2" s="155"/>
      <c r="C2" s="155"/>
      <c r="D2" s="155"/>
      <c r="E2" s="385"/>
      <c r="F2" s="476">
        <f>F1/1000</f>
        <v>0</v>
      </c>
      <c r="G2" s="476">
        <f t="shared" ref="G2:K2" si="0">G1/1000</f>
        <v>639.87900000000002</v>
      </c>
      <c r="H2" s="476">
        <f t="shared" si="0"/>
        <v>780.10799999999995</v>
      </c>
      <c r="I2" s="476">
        <f t="shared" si="0"/>
        <v>422.51100000000002</v>
      </c>
      <c r="J2" s="476">
        <f t="shared" si="0"/>
        <v>133.47800000000001</v>
      </c>
      <c r="K2" s="476">
        <f t="shared" si="0"/>
        <v>30.315000000000001</v>
      </c>
      <c r="L2" s="476"/>
      <c r="M2" s="476"/>
      <c r="N2" s="476">
        <f>N1/1000</f>
        <v>4.9059999999999997</v>
      </c>
      <c r="O2" s="476">
        <f t="shared" ref="O2:S2" si="1">O1/1000</f>
        <v>18.044</v>
      </c>
      <c r="P2" s="476">
        <f t="shared" si="1"/>
        <v>54.850999999999999</v>
      </c>
      <c r="Q2" s="476">
        <f t="shared" si="1"/>
        <v>152.744</v>
      </c>
      <c r="R2" s="476">
        <f t="shared" si="1"/>
        <v>230.79</v>
      </c>
      <c r="S2" s="476">
        <f t="shared" si="1"/>
        <v>1268.1559999999999</v>
      </c>
      <c r="T2" s="479">
        <f>SUM(F2:S2)</f>
        <v>3735.7820000000002</v>
      </c>
      <c r="U2" s="329">
        <f>U1/1000</f>
        <v>3735.7820000000002</v>
      </c>
      <c r="V2" s="515"/>
      <c r="W2" s="515"/>
    </row>
    <row r="3" spans="1:24" s="3" customFormat="1" ht="17.7" customHeight="1">
      <c r="A3" s="155"/>
      <c r="B3" s="155"/>
      <c r="C3" s="434"/>
      <c r="D3" s="434"/>
      <c r="E3" s="385"/>
      <c r="F3" s="477">
        <f>F2-F17-F18</f>
        <v>0</v>
      </c>
      <c r="G3" s="477">
        <f t="shared" ref="G3:K3" si="2">G2-G17-G18</f>
        <v>0</v>
      </c>
      <c r="H3" s="477">
        <f t="shared" si="2"/>
        <v>0</v>
      </c>
      <c r="I3" s="477">
        <f t="shared" si="2"/>
        <v>0</v>
      </c>
      <c r="J3" s="477">
        <f t="shared" si="2"/>
        <v>0</v>
      </c>
      <c r="K3" s="477">
        <f t="shared" si="2"/>
        <v>0</v>
      </c>
      <c r="L3" s="477"/>
      <c r="M3" s="477"/>
      <c r="N3" s="477">
        <f>N2-N17-N18</f>
        <v>0</v>
      </c>
      <c r="O3" s="477">
        <f t="shared" ref="O3" si="3">O2-O17-O18</f>
        <v>0</v>
      </c>
      <c r="P3" s="477">
        <f t="shared" ref="P3" si="4">P2-P17-P18</f>
        <v>0</v>
      </c>
      <c r="Q3" s="477">
        <f t="shared" ref="Q3" si="5">Q2-Q17-Q18</f>
        <v>0</v>
      </c>
      <c r="R3" s="477">
        <f t="shared" ref="R3" si="6">R2-R17-R18</f>
        <v>0</v>
      </c>
      <c r="S3" s="477">
        <f t="shared" ref="S3" si="7">S2-S17-S18</f>
        <v>0</v>
      </c>
      <c r="T3" s="478">
        <f>SUM(F3:S3)</f>
        <v>0</v>
      </c>
      <c r="U3" s="329">
        <f>U2-V16</f>
        <v>0</v>
      </c>
      <c r="V3" s="77"/>
      <c r="W3" s="1"/>
    </row>
    <row r="4" spans="1:24" s="3" customFormat="1" ht="17.7" customHeight="1">
      <c r="A4" s="155"/>
      <c r="B4" s="155"/>
      <c r="C4" s="434"/>
      <c r="D4" s="43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1"/>
      <c r="U4" s="1"/>
      <c r="V4" s="77"/>
      <c r="W4" s="1"/>
    </row>
    <row r="5" spans="1:24" s="3" customFormat="1" ht="17.7" customHeight="1">
      <c r="A5" s="155"/>
      <c r="B5" s="155"/>
      <c r="C5" s="516"/>
      <c r="D5" s="516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1"/>
      <c r="U5" s="1"/>
      <c r="V5" s="77"/>
      <c r="W5" s="1"/>
    </row>
    <row r="6" spans="1:24" s="7" customFormat="1" ht="17.55">
      <c r="A6" s="162"/>
      <c r="B6" s="162"/>
      <c r="C6" s="680" t="s">
        <v>85</v>
      </c>
      <c r="D6" s="680"/>
      <c r="E6" s="680"/>
      <c r="F6" s="680"/>
      <c r="G6" s="680"/>
      <c r="H6" s="680"/>
      <c r="I6" s="680"/>
      <c r="J6" s="680"/>
      <c r="K6" s="680"/>
      <c r="L6" s="680"/>
      <c r="M6" s="680"/>
      <c r="N6" s="680"/>
      <c r="O6" s="680"/>
      <c r="P6" s="680"/>
      <c r="Q6" s="680"/>
      <c r="R6" s="680"/>
      <c r="S6" s="680"/>
      <c r="T6" s="680"/>
      <c r="U6" s="680"/>
      <c r="V6" s="680"/>
      <c r="W6" s="680"/>
    </row>
    <row r="7" spans="1:24" s="7" customFormat="1" ht="15.65">
      <c r="A7" s="162"/>
      <c r="B7" s="162"/>
      <c r="C7" s="674" t="s">
        <v>46</v>
      </c>
      <c r="D7" s="674"/>
      <c r="E7" s="674"/>
      <c r="F7" s="674"/>
      <c r="G7" s="674"/>
      <c r="H7" s="674"/>
      <c r="I7" s="674"/>
      <c r="J7" s="674"/>
      <c r="K7" s="674"/>
      <c r="L7" s="674"/>
      <c r="M7" s="674"/>
      <c r="N7" s="674"/>
      <c r="O7" s="674"/>
      <c r="P7" s="674"/>
      <c r="Q7" s="674"/>
      <c r="R7" s="674"/>
      <c r="S7" s="674"/>
      <c r="T7" s="674"/>
      <c r="U7" s="674"/>
      <c r="V7" s="674"/>
      <c r="W7" s="674"/>
    </row>
    <row r="8" spans="1:24" s="7" customFormat="1" ht="15.65">
      <c r="A8" s="162"/>
      <c r="B8" s="162"/>
      <c r="C8" s="613" t="str">
        <f>серпень!C8</f>
        <v>станом на 01.09.2025</v>
      </c>
      <c r="D8" s="613"/>
      <c r="E8" s="613"/>
      <c r="F8" s="613"/>
      <c r="G8" s="613"/>
      <c r="H8" s="613"/>
      <c r="I8" s="613"/>
      <c r="J8" s="613"/>
      <c r="K8" s="613"/>
      <c r="L8" s="613"/>
      <c r="M8" s="613"/>
      <c r="N8" s="613"/>
      <c r="O8" s="613"/>
      <c r="P8" s="613"/>
      <c r="Q8" s="613"/>
      <c r="R8" s="613"/>
      <c r="S8" s="613"/>
      <c r="T8" s="613"/>
      <c r="U8" s="613"/>
      <c r="V8" s="613"/>
      <c r="W8" s="613"/>
    </row>
    <row r="9" spans="1:24" s="379" customFormat="1" ht="15.65">
      <c r="A9" s="372"/>
      <c r="B9" s="372"/>
      <c r="C9" s="372"/>
      <c r="D9" s="378"/>
      <c r="E9" s="373"/>
      <c r="F9" s="373"/>
      <c r="G9" s="37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3"/>
      <c r="T9" s="373"/>
      <c r="U9" s="373"/>
      <c r="V9" s="395"/>
      <c r="W9" s="373"/>
    </row>
    <row r="10" spans="1:24" s="379" customFormat="1" ht="19.899999999999999" customHeight="1">
      <c r="A10" s="372"/>
      <c r="B10" s="372"/>
      <c r="C10" s="372"/>
      <c r="D10" s="378"/>
      <c r="E10" s="373" t="s">
        <v>126</v>
      </c>
      <c r="F10" s="373">
        <v>0</v>
      </c>
      <c r="G10" s="373">
        <v>602447.37</v>
      </c>
      <c r="H10" s="373">
        <v>768931.12</v>
      </c>
      <c r="I10" s="373">
        <v>421793.81</v>
      </c>
      <c r="J10" s="373">
        <v>124219.56</v>
      </c>
      <c r="K10" s="373">
        <v>85639.2</v>
      </c>
      <c r="L10" s="373"/>
      <c r="M10" s="373"/>
      <c r="N10" s="373">
        <v>4927.0200000000004</v>
      </c>
      <c r="O10" s="373">
        <v>18470.5</v>
      </c>
      <c r="P10" s="373"/>
      <c r="Q10" s="373"/>
      <c r="R10" s="373"/>
      <c r="S10" s="373"/>
      <c r="T10" s="373"/>
      <c r="U10" s="373"/>
      <c r="V10" s="394"/>
      <c r="W10" s="373"/>
    </row>
    <row r="11" spans="1:24" s="3" customFormat="1" ht="19.899999999999999" customHeight="1">
      <c r="A11" s="155"/>
      <c r="B11" s="155"/>
      <c r="C11" s="155"/>
      <c r="D11" s="164"/>
      <c r="E11" s="1"/>
      <c r="F11" s="81">
        <f>F10/1000</f>
        <v>0</v>
      </c>
      <c r="G11" s="81">
        <f t="shared" ref="G11:K11" si="8">G10/1000</f>
        <v>602.447</v>
      </c>
      <c r="H11" s="81">
        <f t="shared" si="8"/>
        <v>768.93100000000004</v>
      </c>
      <c r="I11" s="81">
        <f t="shared" si="8"/>
        <v>421.79399999999998</v>
      </c>
      <c r="J11" s="81">
        <f t="shared" si="8"/>
        <v>124.22</v>
      </c>
      <c r="K11" s="81">
        <f t="shared" si="8"/>
        <v>85.638999999999996</v>
      </c>
      <c r="L11" s="1"/>
      <c r="M11" s="1"/>
      <c r="N11" s="81">
        <f>N10/1000</f>
        <v>4.9269999999999996</v>
      </c>
      <c r="O11" s="81">
        <f t="shared" ref="O11:S11" si="9">O10/1000</f>
        <v>18.471</v>
      </c>
      <c r="P11" s="81">
        <f t="shared" si="9"/>
        <v>0</v>
      </c>
      <c r="Q11" s="81">
        <f t="shared" si="9"/>
        <v>0</v>
      </c>
      <c r="R11" s="81">
        <f t="shared" si="9"/>
        <v>0</v>
      </c>
      <c r="S11" s="81">
        <f t="shared" si="9"/>
        <v>0</v>
      </c>
      <c r="T11" s="1"/>
      <c r="U11" s="1"/>
      <c r="V11" s="79"/>
      <c r="W11" s="1"/>
    </row>
    <row r="12" spans="1:24" s="36" customFormat="1" ht="19.899999999999999" customHeight="1">
      <c r="A12" s="525"/>
      <c r="B12" s="525"/>
      <c r="C12" s="525"/>
      <c r="D12" s="526"/>
      <c r="E12" s="527"/>
      <c r="F12" s="527">
        <f>F11-F19</f>
        <v>0</v>
      </c>
      <c r="G12" s="527">
        <f t="shared" ref="G12:K12" si="10">G11-G19</f>
        <v>0</v>
      </c>
      <c r="H12" s="527">
        <f t="shared" si="10"/>
        <v>0</v>
      </c>
      <c r="I12" s="527">
        <f t="shared" si="10"/>
        <v>0</v>
      </c>
      <c r="J12" s="527">
        <f t="shared" si="10"/>
        <v>-3.0000000000000001E-3</v>
      </c>
      <c r="K12" s="527">
        <f t="shared" si="10"/>
        <v>0</v>
      </c>
      <c r="L12" s="527"/>
      <c r="M12" s="527"/>
      <c r="N12" s="527">
        <f>N11-N19</f>
        <v>0</v>
      </c>
      <c r="O12" s="527">
        <f t="shared" ref="O12" si="11">O11-O19</f>
        <v>0</v>
      </c>
      <c r="P12" s="527">
        <f t="shared" ref="P12" si="12">P11-P19</f>
        <v>-44.256</v>
      </c>
      <c r="Q12" s="527">
        <f t="shared" ref="Q12" si="13">Q11-Q19</f>
        <v>-56.154000000000003</v>
      </c>
      <c r="R12" s="527">
        <f t="shared" ref="R12" si="14">R11-R19</f>
        <v>-110.745</v>
      </c>
      <c r="S12" s="527">
        <f t="shared" ref="S12" si="15">S11-S19</f>
        <v>-1351.5250000000001</v>
      </c>
      <c r="T12" s="527">
        <f>SUM(F12:S12)</f>
        <v>-1562.683</v>
      </c>
      <c r="U12" s="527"/>
      <c r="V12" s="549"/>
      <c r="W12" s="527"/>
    </row>
    <row r="13" spans="1:24" s="3" customFormat="1" ht="39.450000000000003" customHeight="1">
      <c r="A13" s="668" t="s">
        <v>5</v>
      </c>
      <c r="B13" s="668"/>
      <c r="C13" s="668"/>
      <c r="D13" s="668"/>
      <c r="E13" s="648" t="str">
        <f>серпень!E13</f>
        <v>оплата в січні 2025 за грудень 2024 року/в грудні 2024за січень 2025</v>
      </c>
      <c r="F13" s="675" t="s">
        <v>6</v>
      </c>
      <c r="G13" s="675"/>
      <c r="H13" s="675"/>
      <c r="I13" s="675"/>
      <c r="J13" s="675"/>
      <c r="K13" s="675"/>
      <c r="L13" s="675"/>
      <c r="M13" s="675"/>
      <c r="N13" s="675"/>
      <c r="O13" s="675"/>
      <c r="P13" s="675"/>
      <c r="Q13" s="675"/>
      <c r="R13" s="675"/>
      <c r="S13" s="675"/>
      <c r="T13" s="675"/>
      <c r="U13" s="675"/>
      <c r="V13" s="676" t="s">
        <v>7</v>
      </c>
      <c r="W13" s="676" t="s">
        <v>8</v>
      </c>
    </row>
    <row r="14" spans="1:24" s="3" customFormat="1" ht="51.05" customHeight="1">
      <c r="A14" s="668"/>
      <c r="B14" s="668"/>
      <c r="C14" s="668"/>
      <c r="D14" s="672"/>
      <c r="E14" s="649"/>
      <c r="F14" s="8" t="s">
        <v>9</v>
      </c>
      <c r="G14" s="8" t="s">
        <v>10</v>
      </c>
      <c r="H14" s="8" t="s">
        <v>11</v>
      </c>
      <c r="I14" s="8" t="s">
        <v>12</v>
      </c>
      <c r="J14" s="8" t="s">
        <v>13</v>
      </c>
      <c r="K14" s="8" t="s">
        <v>14</v>
      </c>
      <c r="L14" s="9" t="s">
        <v>15</v>
      </c>
      <c r="M14" s="9" t="s">
        <v>16</v>
      </c>
      <c r="N14" s="8" t="s">
        <v>17</v>
      </c>
      <c r="O14" s="8" t="s">
        <v>18</v>
      </c>
      <c r="P14" s="8" t="s">
        <v>19</v>
      </c>
      <c r="Q14" s="8" t="s">
        <v>20</v>
      </c>
      <c r="R14" s="8" t="s">
        <v>21</v>
      </c>
      <c r="S14" s="8" t="s">
        <v>22</v>
      </c>
      <c r="T14" s="9" t="s">
        <v>23</v>
      </c>
      <c r="U14" s="9" t="s">
        <v>2</v>
      </c>
      <c r="V14" s="676"/>
      <c r="W14" s="676"/>
    </row>
    <row r="15" spans="1:24" s="18" customFormat="1" ht="18.649999999999999" customHeight="1">
      <c r="A15" s="677" t="s">
        <v>94</v>
      </c>
      <c r="B15" s="678"/>
      <c r="C15" s="678"/>
      <c r="D15" s="678"/>
      <c r="E15" s="678"/>
      <c r="F15" s="678"/>
      <c r="G15" s="678"/>
      <c r="H15" s="678"/>
      <c r="I15" s="678"/>
      <c r="J15" s="678"/>
      <c r="K15" s="678"/>
      <c r="L15" s="678"/>
      <c r="M15" s="678"/>
      <c r="N15" s="678"/>
      <c r="O15" s="678"/>
      <c r="P15" s="678"/>
      <c r="Q15" s="678"/>
      <c r="R15" s="678"/>
      <c r="S15" s="678"/>
      <c r="T15" s="678"/>
      <c r="U15" s="678"/>
      <c r="V15" s="678"/>
      <c r="W15" s="679"/>
      <c r="X15" s="37"/>
    </row>
    <row r="16" spans="1:24" s="173" customFormat="1" ht="18" customHeight="1">
      <c r="A16" s="621">
        <v>2270</v>
      </c>
      <c r="B16" s="622"/>
      <c r="C16" s="623"/>
      <c r="D16" s="170" t="s">
        <v>0</v>
      </c>
      <c r="E16" s="171"/>
      <c r="F16" s="171">
        <f>F28+F336+F475+F522</f>
        <v>590.77</v>
      </c>
      <c r="G16" s="171">
        <f t="shared" ref="G16:J16" si="16">G28+G336+G475+G522</f>
        <v>766.89599999999996</v>
      </c>
      <c r="H16" s="171">
        <f t="shared" si="16"/>
        <v>419.84899999999999</v>
      </c>
      <c r="I16" s="171">
        <f t="shared" si="16"/>
        <v>122.702</v>
      </c>
      <c r="J16" s="171">
        <f t="shared" si="16"/>
        <v>84.73</v>
      </c>
      <c r="K16" s="171">
        <f t="shared" ref="K16" si="17">K28+K336+K475+K522</f>
        <v>23.018000000000001</v>
      </c>
      <c r="L16" s="171">
        <f t="shared" ref="L16:L18" si="18">SUM(F16:K16)</f>
        <v>2007.9649999999999</v>
      </c>
      <c r="M16" s="171">
        <f t="shared" ref="M16:M18" si="19">L16/6</f>
        <v>334.661</v>
      </c>
      <c r="N16" s="171">
        <f t="shared" ref="N16:S16" si="20">N28+N336+N475+N522</f>
        <v>3.2069999999999999</v>
      </c>
      <c r="O16" s="171">
        <f t="shared" si="20"/>
        <v>42.811999999999998</v>
      </c>
      <c r="P16" s="171">
        <f t="shared" si="20"/>
        <v>56.094999999999999</v>
      </c>
      <c r="Q16" s="171">
        <f t="shared" si="20"/>
        <v>112.735</v>
      </c>
      <c r="R16" s="171">
        <f t="shared" si="20"/>
        <v>558.59799999999996</v>
      </c>
      <c r="S16" s="171">
        <f t="shared" si="20"/>
        <v>807.7</v>
      </c>
      <c r="T16" s="171">
        <f t="shared" ref="T16:T18" si="21">SUM(N16:S16)</f>
        <v>1581.1469999999999</v>
      </c>
      <c r="U16" s="171">
        <f>T16+L16</f>
        <v>3589.1120000000001</v>
      </c>
      <c r="V16" s="171">
        <f t="shared" ref="V16" si="22">V28+V336+V475+V522</f>
        <v>3735.7820000000002</v>
      </c>
      <c r="W16" s="171">
        <f t="shared" ref="W16:W18" si="23">V16-U16</f>
        <v>146.66999999999999</v>
      </c>
      <c r="X16" s="172"/>
    </row>
    <row r="17" spans="1:25" s="173" customFormat="1" ht="18" customHeight="1">
      <c r="A17" s="624"/>
      <c r="B17" s="625"/>
      <c r="C17" s="626"/>
      <c r="D17" s="174" t="s">
        <v>55</v>
      </c>
      <c r="E17" s="171"/>
      <c r="F17" s="171">
        <f>F29+F337+F476+F540</f>
        <v>0</v>
      </c>
      <c r="G17" s="171">
        <f t="shared" ref="G17:J17" si="24">G29+G337+G476+G540</f>
        <v>0</v>
      </c>
      <c r="H17" s="171">
        <f t="shared" si="24"/>
        <v>85.180999999999997</v>
      </c>
      <c r="I17" s="171">
        <f t="shared" si="24"/>
        <v>46.006</v>
      </c>
      <c r="J17" s="171">
        <f t="shared" si="24"/>
        <v>48.345999999999997</v>
      </c>
      <c r="K17" s="171">
        <f t="shared" ref="K17" si="25">K29+K337+K476+K540</f>
        <v>0</v>
      </c>
      <c r="L17" s="171">
        <f t="shared" si="18"/>
        <v>179.53299999999999</v>
      </c>
      <c r="M17" s="171">
        <f>L17/6</f>
        <v>29.922000000000001</v>
      </c>
      <c r="N17" s="171">
        <f t="shared" ref="N17:S17" si="26">N29+N337+N476+N540</f>
        <v>0</v>
      </c>
      <c r="O17" s="171">
        <f t="shared" si="26"/>
        <v>0</v>
      </c>
      <c r="P17" s="171">
        <f t="shared" si="26"/>
        <v>0</v>
      </c>
      <c r="Q17" s="171">
        <f t="shared" si="26"/>
        <v>0</v>
      </c>
      <c r="R17" s="171">
        <f t="shared" si="26"/>
        <v>0</v>
      </c>
      <c r="S17" s="171">
        <f t="shared" si="26"/>
        <v>0</v>
      </c>
      <c r="T17" s="171">
        <f t="shared" si="21"/>
        <v>0</v>
      </c>
      <c r="U17" s="171">
        <f>T17+L17</f>
        <v>179.53299999999999</v>
      </c>
      <c r="V17" s="171">
        <f t="shared" ref="V17" si="27">V29+V337+V476+V540</f>
        <v>179.53299999999999</v>
      </c>
      <c r="W17" s="171">
        <f t="shared" si="23"/>
        <v>0</v>
      </c>
      <c r="X17" s="172"/>
    </row>
    <row r="18" spans="1:25" s="173" customFormat="1" ht="18" customHeight="1">
      <c r="A18" s="627"/>
      <c r="B18" s="628"/>
      <c r="C18" s="629"/>
      <c r="D18" s="170" t="s">
        <v>24</v>
      </c>
      <c r="E18" s="171"/>
      <c r="F18" s="171">
        <f>F30+F338+F477+F524</f>
        <v>0</v>
      </c>
      <c r="G18" s="171">
        <f t="shared" ref="G18:J18" si="28">G30+G338+G477+G524</f>
        <v>639.87900000000002</v>
      </c>
      <c r="H18" s="171">
        <f t="shared" si="28"/>
        <v>694.92700000000002</v>
      </c>
      <c r="I18" s="171">
        <f t="shared" si="28"/>
        <v>376.505</v>
      </c>
      <c r="J18" s="171">
        <f t="shared" si="28"/>
        <v>85.132000000000005</v>
      </c>
      <c r="K18" s="171">
        <f t="shared" ref="K18" si="29">K30+K338+K477+K524</f>
        <v>30.315000000000001</v>
      </c>
      <c r="L18" s="171">
        <f t="shared" si="18"/>
        <v>1826.758</v>
      </c>
      <c r="M18" s="171">
        <f t="shared" si="19"/>
        <v>304.45999999999998</v>
      </c>
      <c r="N18" s="171">
        <f t="shared" ref="N18:S18" si="30">N30+N338+N477+N524</f>
        <v>4.9059999999999997</v>
      </c>
      <c r="O18" s="171">
        <f t="shared" si="30"/>
        <v>18.044</v>
      </c>
      <c r="P18" s="171">
        <f t="shared" si="30"/>
        <v>54.850999999999999</v>
      </c>
      <c r="Q18" s="171">
        <f t="shared" si="30"/>
        <v>152.744</v>
      </c>
      <c r="R18" s="171">
        <f t="shared" si="30"/>
        <v>230.79</v>
      </c>
      <c r="S18" s="171">
        <f t="shared" si="30"/>
        <v>1268.1559999999999</v>
      </c>
      <c r="T18" s="171">
        <f t="shared" si="21"/>
        <v>1729.491</v>
      </c>
      <c r="U18" s="171">
        <f>T18+L18</f>
        <v>3556.2489999999998</v>
      </c>
      <c r="V18" s="171">
        <f t="shared" ref="V18" si="31">V30+V338+V477+V524</f>
        <v>3556.2489999999998</v>
      </c>
      <c r="W18" s="171">
        <f t="shared" si="23"/>
        <v>0</v>
      </c>
      <c r="X18" s="172"/>
    </row>
    <row r="19" spans="1:25" s="116" customFormat="1" ht="18.8" customHeight="1">
      <c r="A19" s="630">
        <v>2270</v>
      </c>
      <c r="B19" s="631"/>
      <c r="C19" s="632"/>
      <c r="D19" s="115" t="s">
        <v>25</v>
      </c>
      <c r="E19" s="62">
        <f t="shared" ref="E19:K19" si="32">E33+E341+E480+E527</f>
        <v>0</v>
      </c>
      <c r="F19" s="62">
        <f t="shared" si="32"/>
        <v>0</v>
      </c>
      <c r="G19" s="62">
        <f t="shared" si="32"/>
        <v>602.447</v>
      </c>
      <c r="H19" s="62">
        <f t="shared" si="32"/>
        <v>768.93100000000004</v>
      </c>
      <c r="I19" s="62">
        <f t="shared" si="32"/>
        <v>421.79399999999998</v>
      </c>
      <c r="J19" s="62">
        <f t="shared" si="32"/>
        <v>124.223</v>
      </c>
      <c r="K19" s="62">
        <f t="shared" si="32"/>
        <v>85.638999999999996</v>
      </c>
      <c r="L19" s="62">
        <f t="shared" ref="L19:L21" si="33">SUM(F19:K19)</f>
        <v>2003.0340000000001</v>
      </c>
      <c r="M19" s="62">
        <f t="shared" ref="M19:M21" si="34">L19/6</f>
        <v>333.839</v>
      </c>
      <c r="N19" s="62">
        <f t="shared" ref="N19:S21" si="35">N33+N341+N480+N527</f>
        <v>4.9269999999999996</v>
      </c>
      <c r="O19" s="62">
        <f t="shared" si="35"/>
        <v>18.471</v>
      </c>
      <c r="P19" s="62">
        <f t="shared" si="35"/>
        <v>44.256</v>
      </c>
      <c r="Q19" s="62">
        <f t="shared" si="35"/>
        <v>56.154000000000003</v>
      </c>
      <c r="R19" s="62">
        <f t="shared" si="35"/>
        <v>110.745</v>
      </c>
      <c r="S19" s="62">
        <f t="shared" si="35"/>
        <v>1351.5250000000001</v>
      </c>
      <c r="T19" s="62">
        <f t="shared" ref="T19:T21" si="36">SUM(N19:S19)</f>
        <v>1586.078</v>
      </c>
      <c r="U19" s="62">
        <f t="shared" ref="U19:U21" si="37">T19+L19</f>
        <v>3589.1120000000001</v>
      </c>
      <c r="V19" s="62">
        <f>V33+V341+V480+V527</f>
        <v>3735.7820000000002</v>
      </c>
      <c r="W19" s="62">
        <f t="shared" ref="W19:W21" si="38">V19-U19</f>
        <v>146.66999999999999</v>
      </c>
      <c r="X19" s="63">
        <f>U16-U19</f>
        <v>0</v>
      </c>
    </row>
    <row r="20" spans="1:25" s="116" customFormat="1" ht="18" customHeight="1">
      <c r="A20" s="633"/>
      <c r="B20" s="634"/>
      <c r="C20" s="635"/>
      <c r="D20" s="115" t="s">
        <v>55</v>
      </c>
      <c r="E20" s="62"/>
      <c r="F20" s="62">
        <f t="shared" ref="F20:K21" si="39">F34+F342+F481+F528</f>
        <v>0</v>
      </c>
      <c r="G20" s="62">
        <f t="shared" si="39"/>
        <v>0</v>
      </c>
      <c r="H20" s="62">
        <f t="shared" si="39"/>
        <v>65.299000000000007</v>
      </c>
      <c r="I20" s="62">
        <f t="shared" si="39"/>
        <v>19.882000000000001</v>
      </c>
      <c r="J20" s="62">
        <f t="shared" si="39"/>
        <v>46.006</v>
      </c>
      <c r="K20" s="62">
        <f t="shared" si="39"/>
        <v>48.345999999999997</v>
      </c>
      <c r="L20" s="62">
        <f t="shared" si="33"/>
        <v>179.53299999999999</v>
      </c>
      <c r="M20" s="62">
        <f t="shared" si="34"/>
        <v>29.922000000000001</v>
      </c>
      <c r="N20" s="62">
        <f t="shared" si="35"/>
        <v>0</v>
      </c>
      <c r="O20" s="62">
        <f t="shared" si="35"/>
        <v>0</v>
      </c>
      <c r="P20" s="62">
        <f t="shared" si="35"/>
        <v>0</v>
      </c>
      <c r="Q20" s="62">
        <f t="shared" si="35"/>
        <v>0</v>
      </c>
      <c r="R20" s="62">
        <f t="shared" si="35"/>
        <v>0</v>
      </c>
      <c r="S20" s="62">
        <f t="shared" si="35"/>
        <v>0</v>
      </c>
      <c r="T20" s="62">
        <f t="shared" si="36"/>
        <v>0</v>
      </c>
      <c r="U20" s="62">
        <f t="shared" si="37"/>
        <v>179.53299999999999</v>
      </c>
      <c r="V20" s="62">
        <f>V34+V342+V481+V528</f>
        <v>179.53299999999999</v>
      </c>
      <c r="W20" s="62">
        <f t="shared" si="38"/>
        <v>0</v>
      </c>
      <c r="X20" s="63">
        <f>U17-U20</f>
        <v>0</v>
      </c>
    </row>
    <row r="21" spans="1:25" s="116" customFormat="1" ht="18" customHeight="1">
      <c r="A21" s="636"/>
      <c r="B21" s="637"/>
      <c r="C21" s="638"/>
      <c r="D21" s="115" t="s">
        <v>24</v>
      </c>
      <c r="E21" s="62"/>
      <c r="F21" s="62">
        <f t="shared" si="39"/>
        <v>0</v>
      </c>
      <c r="G21" s="62">
        <f t="shared" si="39"/>
        <v>602.447</v>
      </c>
      <c r="H21" s="62">
        <f t="shared" si="39"/>
        <v>703.63199999999995</v>
      </c>
      <c r="I21" s="62">
        <f t="shared" si="39"/>
        <v>401.91199999999998</v>
      </c>
      <c r="J21" s="62">
        <f t="shared" si="39"/>
        <v>78.216999999999999</v>
      </c>
      <c r="K21" s="62">
        <f t="shared" si="39"/>
        <v>37.292999999999999</v>
      </c>
      <c r="L21" s="62">
        <f t="shared" si="33"/>
        <v>1823.501</v>
      </c>
      <c r="M21" s="62">
        <f t="shared" si="34"/>
        <v>303.91699999999997</v>
      </c>
      <c r="N21" s="62">
        <f t="shared" si="35"/>
        <v>4.9269999999999996</v>
      </c>
      <c r="O21" s="62">
        <f t="shared" si="35"/>
        <v>18.471</v>
      </c>
      <c r="P21" s="62">
        <f t="shared" si="35"/>
        <v>44.256</v>
      </c>
      <c r="Q21" s="62">
        <f t="shared" si="35"/>
        <v>56.154000000000003</v>
      </c>
      <c r="R21" s="62">
        <f t="shared" si="35"/>
        <v>110.745</v>
      </c>
      <c r="S21" s="62">
        <f t="shared" si="35"/>
        <v>1351.5250000000001</v>
      </c>
      <c r="T21" s="62">
        <f t="shared" si="36"/>
        <v>1586.078</v>
      </c>
      <c r="U21" s="62">
        <f t="shared" si="37"/>
        <v>3409.5790000000002</v>
      </c>
      <c r="V21" s="62">
        <f>V35+V343+V482+V529</f>
        <v>3556.2489999999998</v>
      </c>
      <c r="W21" s="62">
        <f t="shared" si="38"/>
        <v>146.66999999999999</v>
      </c>
      <c r="X21" s="63">
        <f>U18-U21</f>
        <v>146.66999999999999</v>
      </c>
    </row>
    <row r="22" spans="1:25" s="186" customFormat="1" ht="18" customHeight="1">
      <c r="A22" s="609">
        <v>2271</v>
      </c>
      <c r="B22" s="580" t="s">
        <v>86</v>
      </c>
      <c r="C22" s="575"/>
      <c r="D22" s="178" t="str">
        <f>серпень!D22</f>
        <v>факт. нат.п-ки 2023</v>
      </c>
      <c r="E22" s="179"/>
      <c r="F22" s="180">
        <f t="shared" ref="F22:K24" si="40">F56+F163+F208+F253</f>
        <v>280.10000000000002</v>
      </c>
      <c r="G22" s="180">
        <f t="shared" si="40"/>
        <v>195.2</v>
      </c>
      <c r="H22" s="180">
        <f t="shared" si="40"/>
        <v>178.7</v>
      </c>
      <c r="I22" s="180">
        <f t="shared" si="40"/>
        <v>12.6</v>
      </c>
      <c r="J22" s="180">
        <f t="shared" si="40"/>
        <v>0.5</v>
      </c>
      <c r="K22" s="180">
        <f t="shared" si="40"/>
        <v>0.5</v>
      </c>
      <c r="L22" s="181">
        <f t="shared" ref="L22:L23" si="41">SUM(F22:K22)</f>
        <v>667.6</v>
      </c>
      <c r="M22" s="181">
        <f>L22/6</f>
        <v>111.3</v>
      </c>
      <c r="N22" s="180">
        <f t="shared" ref="N22:S24" si="42">N56+N163+N208+N253</f>
        <v>0.5</v>
      </c>
      <c r="O22" s="180">
        <f t="shared" si="42"/>
        <v>0.5</v>
      </c>
      <c r="P22" s="180">
        <f t="shared" si="42"/>
        <v>0.5</v>
      </c>
      <c r="Q22" s="180">
        <f t="shared" si="42"/>
        <v>38.5</v>
      </c>
      <c r="R22" s="180">
        <f t="shared" si="42"/>
        <v>233.8</v>
      </c>
      <c r="S22" s="180">
        <f t="shared" si="42"/>
        <v>306.7</v>
      </c>
      <c r="T22" s="181">
        <f t="shared" ref="T22:T23" si="43">SUM(N22:S22)</f>
        <v>580.5</v>
      </c>
      <c r="U22" s="182">
        <f>T22+L22</f>
        <v>1248.0999999999999</v>
      </c>
      <c r="V22" s="183">
        <f>V56+V163+V208+V253</f>
        <v>243.4</v>
      </c>
      <c r="W22" s="184"/>
      <c r="X22" s="185"/>
    </row>
    <row r="23" spans="1:25" s="186" customFormat="1" ht="18" customHeight="1">
      <c r="A23" s="610"/>
      <c r="B23" s="576"/>
      <c r="C23" s="577"/>
      <c r="D23" s="178" t="str">
        <f>серпень!D23</f>
        <v>факт. нат.п-ки 2024</v>
      </c>
      <c r="E23" s="179"/>
      <c r="F23" s="180">
        <f t="shared" si="40"/>
        <v>275.39999999999998</v>
      </c>
      <c r="G23" s="180">
        <f t="shared" si="40"/>
        <v>239.7</v>
      </c>
      <c r="H23" s="180">
        <f t="shared" si="40"/>
        <v>157.69999999999999</v>
      </c>
      <c r="I23" s="180">
        <f t="shared" si="40"/>
        <v>0</v>
      </c>
      <c r="J23" s="180">
        <f t="shared" si="40"/>
        <v>0</v>
      </c>
      <c r="K23" s="180">
        <f t="shared" si="40"/>
        <v>0</v>
      </c>
      <c r="L23" s="181">
        <f t="shared" si="41"/>
        <v>672.8</v>
      </c>
      <c r="M23" s="181">
        <f>L23/6</f>
        <v>112.1</v>
      </c>
      <c r="N23" s="180">
        <f t="shared" si="42"/>
        <v>0</v>
      </c>
      <c r="O23" s="180">
        <f t="shared" si="42"/>
        <v>0</v>
      </c>
      <c r="P23" s="180">
        <f t="shared" si="42"/>
        <v>0</v>
      </c>
      <c r="Q23" s="180">
        <f t="shared" si="42"/>
        <v>0</v>
      </c>
      <c r="R23" s="180">
        <f t="shared" si="42"/>
        <v>231</v>
      </c>
      <c r="S23" s="180">
        <f t="shared" si="42"/>
        <v>282</v>
      </c>
      <c r="T23" s="181">
        <f t="shared" si="43"/>
        <v>513</v>
      </c>
      <c r="U23" s="182">
        <f t="shared" ref="U23:U24" si="44">T23+L23</f>
        <v>1185.8</v>
      </c>
      <c r="V23" s="183">
        <f>V57+V164+V209+V254</f>
        <v>681</v>
      </c>
      <c r="W23" s="184"/>
      <c r="X23" s="185"/>
    </row>
    <row r="24" spans="1:25" s="186" customFormat="1" ht="18" customHeight="1">
      <c r="A24" s="610"/>
      <c r="B24" s="576"/>
      <c r="C24" s="577"/>
      <c r="D24" s="178" t="str">
        <f>серпень!D24</f>
        <v>факт. нат.п-ки 2025</v>
      </c>
      <c r="E24" s="179"/>
      <c r="F24" s="180">
        <f>F58+F165+F210+F255</f>
        <v>162.80000000000001</v>
      </c>
      <c r="G24" s="180">
        <f t="shared" si="40"/>
        <v>203.1</v>
      </c>
      <c r="H24" s="180">
        <f t="shared" si="40"/>
        <v>91.2</v>
      </c>
      <c r="I24" s="180">
        <f t="shared" si="40"/>
        <v>0</v>
      </c>
      <c r="J24" s="180">
        <f t="shared" si="40"/>
        <v>0</v>
      </c>
      <c r="K24" s="180">
        <f t="shared" si="40"/>
        <v>0</v>
      </c>
      <c r="L24" s="181">
        <f t="shared" ref="L24" si="45">SUM(F24:K24)</f>
        <v>457.1</v>
      </c>
      <c r="M24" s="181">
        <f>L24/6</f>
        <v>76.2</v>
      </c>
      <c r="N24" s="264">
        <f>N58+N165+N210+N255</f>
        <v>0</v>
      </c>
      <c r="O24" s="264">
        <f t="shared" si="42"/>
        <v>0</v>
      </c>
      <c r="P24" s="264">
        <f t="shared" si="42"/>
        <v>0</v>
      </c>
      <c r="Q24" s="264">
        <f t="shared" si="42"/>
        <v>0</v>
      </c>
      <c r="R24" s="264">
        <f t="shared" si="42"/>
        <v>127.4</v>
      </c>
      <c r="S24" s="264">
        <f t="shared" si="42"/>
        <v>166.1</v>
      </c>
      <c r="T24" s="181">
        <f t="shared" ref="T24" si="46">SUM(N24:S24)</f>
        <v>293.5</v>
      </c>
      <c r="U24" s="182">
        <f t="shared" si="44"/>
        <v>750.6</v>
      </c>
      <c r="V24" s="183">
        <f>V58+V165+V210+V255</f>
        <v>808.2</v>
      </c>
      <c r="W24" s="184">
        <f>V24-U24</f>
        <v>57.6</v>
      </c>
      <c r="X24" s="185"/>
    </row>
    <row r="25" spans="1:25" s="190" customFormat="1" ht="18" customHeight="1">
      <c r="A25" s="610"/>
      <c r="B25" s="576"/>
      <c r="C25" s="577"/>
      <c r="D25" s="187" t="str">
        <f>серпень!D25</f>
        <v>тариф, грн.</v>
      </c>
      <c r="E25" s="188"/>
      <c r="F25" s="188">
        <f>F26/F24*1000</f>
        <v>2606.038</v>
      </c>
      <c r="G25" s="188">
        <f t="shared" ref="G25:W25" si="47">G26/G24*1000</f>
        <v>3078.5030000000002</v>
      </c>
      <c r="H25" s="188">
        <f t="shared" si="47"/>
        <v>3287.6970000000001</v>
      </c>
      <c r="I25" s="188" t="e">
        <f t="shared" si="47"/>
        <v>#DIV/0!</v>
      </c>
      <c r="J25" s="188" t="e">
        <f t="shared" si="47"/>
        <v>#DIV/0!</v>
      </c>
      <c r="K25" s="188" t="e">
        <f t="shared" si="47"/>
        <v>#DIV/0!</v>
      </c>
      <c r="L25" s="188">
        <f t="shared" si="47"/>
        <v>2951.9690000000001</v>
      </c>
      <c r="M25" s="188">
        <f t="shared" si="47"/>
        <v>2951.3249999999998</v>
      </c>
      <c r="N25" s="188" t="e">
        <f t="shared" si="47"/>
        <v>#DIV/0!</v>
      </c>
      <c r="O25" s="188" t="e">
        <f>O26/O24*1000</f>
        <v>#DIV/0!</v>
      </c>
      <c r="P25" s="188" t="e">
        <f>P26/P24*1000</f>
        <v>#DIV/0!</v>
      </c>
      <c r="Q25" s="188" t="e">
        <f>Q26/Q24*1000</f>
        <v>#DIV/0!</v>
      </c>
      <c r="R25" s="188">
        <f>R26/R24*1000</f>
        <v>3631.8919999999998</v>
      </c>
      <c r="S25" s="188">
        <f>S26/S24*1000</f>
        <v>3526.9479999999999</v>
      </c>
      <c r="T25" s="188">
        <f t="shared" si="47"/>
        <v>3572.5010000000002</v>
      </c>
      <c r="U25" s="188">
        <f t="shared" si="47"/>
        <v>3194.61</v>
      </c>
      <c r="V25" s="188">
        <f t="shared" si="47"/>
        <v>2806.623</v>
      </c>
      <c r="W25" s="189">
        <f t="shared" si="47"/>
        <v>-2249.3229999999999</v>
      </c>
      <c r="X25" s="185"/>
    </row>
    <row r="26" spans="1:25" s="196" customFormat="1" ht="18" customHeight="1">
      <c r="A26" s="610"/>
      <c r="B26" s="576"/>
      <c r="C26" s="577"/>
      <c r="D26" s="191" t="str">
        <f>серпень!D26</f>
        <v>сума, тис.грн.</v>
      </c>
      <c r="E26" s="192"/>
      <c r="F26" s="193">
        <f>F60+F167+F212+F257</f>
        <v>424.26299999999998</v>
      </c>
      <c r="G26" s="193">
        <f t="shared" ref="G26:K26" si="48">G60+G167+G212+G257</f>
        <v>625.24400000000003</v>
      </c>
      <c r="H26" s="193">
        <f t="shared" si="48"/>
        <v>299.83800000000002</v>
      </c>
      <c r="I26" s="193">
        <f t="shared" si="48"/>
        <v>0</v>
      </c>
      <c r="J26" s="193">
        <f t="shared" si="48"/>
        <v>0</v>
      </c>
      <c r="K26" s="193">
        <f t="shared" si="48"/>
        <v>0</v>
      </c>
      <c r="L26" s="194">
        <f t="shared" ref="L26:L31" si="49">SUM(F26:K26)</f>
        <v>1349.345</v>
      </c>
      <c r="M26" s="194">
        <f t="shared" ref="M26:M31" si="50">L26/6</f>
        <v>224.89099999999999</v>
      </c>
      <c r="N26" s="193">
        <f t="shared" ref="N26:S26" si="51">N60+N167+N212+N257</f>
        <v>0</v>
      </c>
      <c r="O26" s="193">
        <f t="shared" si="51"/>
        <v>0</v>
      </c>
      <c r="P26" s="193">
        <f t="shared" si="51"/>
        <v>0</v>
      </c>
      <c r="Q26" s="193">
        <f t="shared" si="51"/>
        <v>0</v>
      </c>
      <c r="R26" s="193">
        <f t="shared" si="51"/>
        <v>462.70299999999997</v>
      </c>
      <c r="S26" s="193">
        <f t="shared" si="51"/>
        <v>585.82600000000002</v>
      </c>
      <c r="T26" s="194">
        <f>SUM(N26:S26)</f>
        <v>1048.529</v>
      </c>
      <c r="U26" s="194">
        <f>T26+L26</f>
        <v>2397.8739999999998</v>
      </c>
      <c r="V26" s="171">
        <f t="shared" ref="V26" si="52">V60+V167+V212+V257</f>
        <v>2268.3130000000001</v>
      </c>
      <c r="W26" s="193">
        <f>W60+W167+W212+W257</f>
        <v>-129.56100000000001</v>
      </c>
      <c r="X26" s="195"/>
    </row>
    <row r="27" spans="1:25" s="196" customFormat="1" ht="18" customHeight="1">
      <c r="A27" s="610"/>
      <c r="B27" s="576"/>
      <c r="C27" s="577"/>
      <c r="D27" s="174" t="str">
        <f>серпень!D27</f>
        <v>абоненська плата, тис.грн.</v>
      </c>
      <c r="E27" s="192"/>
      <c r="F27" s="278">
        <f>F44+F258</f>
        <v>0</v>
      </c>
      <c r="G27" s="278">
        <f t="shared" ref="G27:K27" si="53">G44+G258</f>
        <v>0</v>
      </c>
      <c r="H27" s="278">
        <f t="shared" si="53"/>
        <v>0</v>
      </c>
      <c r="I27" s="278">
        <f t="shared" si="53"/>
        <v>0</v>
      </c>
      <c r="J27" s="278">
        <f t="shared" si="53"/>
        <v>0</v>
      </c>
      <c r="K27" s="278">
        <f t="shared" si="53"/>
        <v>0</v>
      </c>
      <c r="L27" s="194">
        <f t="shared" si="49"/>
        <v>0</v>
      </c>
      <c r="M27" s="194">
        <f t="shared" si="50"/>
        <v>0</v>
      </c>
      <c r="N27" s="278">
        <f>N44+N258</f>
        <v>0</v>
      </c>
      <c r="O27" s="278">
        <f t="shared" ref="O27:S27" si="54">O44+O258</f>
        <v>0</v>
      </c>
      <c r="P27" s="278">
        <f t="shared" si="54"/>
        <v>0</v>
      </c>
      <c r="Q27" s="278">
        <f t="shared" si="54"/>
        <v>0</v>
      </c>
      <c r="R27" s="278">
        <f t="shared" si="54"/>
        <v>0</v>
      </c>
      <c r="S27" s="278">
        <f t="shared" si="54"/>
        <v>0</v>
      </c>
      <c r="T27" s="194">
        <f>SUM(N27:S27)</f>
        <v>0</v>
      </c>
      <c r="U27" s="194">
        <f>T27+L27</f>
        <v>0</v>
      </c>
      <c r="V27" s="292">
        <f t="shared" ref="V27" si="55">V44+V258</f>
        <v>0</v>
      </c>
      <c r="W27" s="193">
        <f>W61+W168+W213+W258</f>
        <v>0</v>
      </c>
      <c r="X27" s="195"/>
    </row>
    <row r="28" spans="1:25" s="196" customFormat="1" ht="18" customHeight="1">
      <c r="A28" s="610"/>
      <c r="B28" s="576"/>
      <c r="C28" s="577"/>
      <c r="D28" s="174" t="str">
        <f>серпень!D28</f>
        <v>разом сума тис. грн+абонплата</v>
      </c>
      <c r="E28" s="192"/>
      <c r="F28" s="278">
        <f>F62+F167+F212+F259</f>
        <v>424.26299999999998</v>
      </c>
      <c r="G28" s="278">
        <f>G62+G167+G212+G259</f>
        <v>625.24400000000003</v>
      </c>
      <c r="H28" s="278">
        <f t="shared" ref="H28:K28" si="56">H62+H167+H212+H259</f>
        <v>299.83800000000002</v>
      </c>
      <c r="I28" s="278">
        <f t="shared" si="56"/>
        <v>0</v>
      </c>
      <c r="J28" s="278">
        <f t="shared" si="56"/>
        <v>0</v>
      </c>
      <c r="K28" s="278">
        <f t="shared" si="56"/>
        <v>0</v>
      </c>
      <c r="L28" s="194">
        <f t="shared" si="49"/>
        <v>1349.345</v>
      </c>
      <c r="M28" s="194">
        <f t="shared" si="50"/>
        <v>224.89099999999999</v>
      </c>
      <c r="N28" s="278">
        <f>N62+N167+N212+N259</f>
        <v>0</v>
      </c>
      <c r="O28" s="278">
        <f t="shared" ref="O28:R28" si="57">O62+O167+O212+O259</f>
        <v>0</v>
      </c>
      <c r="P28" s="278">
        <f t="shared" si="57"/>
        <v>0</v>
      </c>
      <c r="Q28" s="278">
        <f t="shared" si="57"/>
        <v>0</v>
      </c>
      <c r="R28" s="278">
        <f t="shared" si="57"/>
        <v>462.70299999999997</v>
      </c>
      <c r="S28" s="278">
        <f>S62+S167+S212+S259</f>
        <v>585.82600000000002</v>
      </c>
      <c r="T28" s="194">
        <f t="shared" ref="T28:T29" si="58">SUM(N28:S28)</f>
        <v>1048.529</v>
      </c>
      <c r="U28" s="194">
        <f t="shared" ref="U28:U29" si="59">T28+L28</f>
        <v>2397.8739999999998</v>
      </c>
      <c r="V28" s="292">
        <f>V62+V167+V212+V259</f>
        <v>2268.3130000000001</v>
      </c>
      <c r="W28" s="278">
        <f t="shared" ref="W28" si="60">W26+W27</f>
        <v>-129.56100000000001</v>
      </c>
      <c r="X28" s="195"/>
    </row>
    <row r="29" spans="1:25" s="196" customFormat="1" ht="18" customHeight="1">
      <c r="A29" s="610"/>
      <c r="B29" s="576"/>
      <c r="C29" s="577"/>
      <c r="D29" s="174" t="str">
        <f>серпень!D29</f>
        <v>дотація</v>
      </c>
      <c r="E29" s="192"/>
      <c r="F29" s="193">
        <f t="shared" ref="F29:K31" si="61">F63+F168+F213+F260</f>
        <v>0</v>
      </c>
      <c r="G29" s="193">
        <f t="shared" si="61"/>
        <v>0</v>
      </c>
      <c r="H29" s="193">
        <f t="shared" si="61"/>
        <v>19.882999999999999</v>
      </c>
      <c r="I29" s="193">
        <f t="shared" si="61"/>
        <v>0</v>
      </c>
      <c r="J29" s="193">
        <f t="shared" si="61"/>
        <v>0</v>
      </c>
      <c r="K29" s="193">
        <f t="shared" si="61"/>
        <v>0</v>
      </c>
      <c r="L29" s="194">
        <f t="shared" si="49"/>
        <v>19.882999999999999</v>
      </c>
      <c r="M29" s="194">
        <f t="shared" si="50"/>
        <v>3.3140000000000001</v>
      </c>
      <c r="N29" s="193">
        <f t="shared" ref="N29:S31" si="62">N63+N168+N213+N260</f>
        <v>0</v>
      </c>
      <c r="O29" s="193">
        <f t="shared" si="62"/>
        <v>0</v>
      </c>
      <c r="P29" s="193">
        <f t="shared" si="62"/>
        <v>0</v>
      </c>
      <c r="Q29" s="193">
        <f t="shared" si="62"/>
        <v>0</v>
      </c>
      <c r="R29" s="193">
        <f t="shared" si="62"/>
        <v>0</v>
      </c>
      <c r="S29" s="193">
        <f t="shared" si="62"/>
        <v>0</v>
      </c>
      <c r="T29" s="194">
        <f t="shared" si="58"/>
        <v>0</v>
      </c>
      <c r="U29" s="194">
        <f t="shared" si="59"/>
        <v>19.882999999999999</v>
      </c>
      <c r="V29" s="171">
        <f t="shared" ref="V29:V30" si="63">V63+V168+V213+V260</f>
        <v>19.882999999999999</v>
      </c>
      <c r="W29" s="192">
        <f t="shared" ref="W29" si="64">W63+W169+W214+W260</f>
        <v>0</v>
      </c>
      <c r="X29" s="195"/>
      <c r="Y29" s="197"/>
    </row>
    <row r="30" spans="1:25" s="196" customFormat="1" ht="18" customHeight="1">
      <c r="A30" s="610"/>
      <c r="B30" s="576"/>
      <c r="C30" s="577"/>
      <c r="D30" s="174" t="str">
        <f>серпень!D30</f>
        <v>місцевий (план), тис.грн</v>
      </c>
      <c r="E30" s="192"/>
      <c r="F30" s="193">
        <f>F64+F169+F214+F261</f>
        <v>0</v>
      </c>
      <c r="G30" s="193">
        <f t="shared" si="61"/>
        <v>458.89299999999997</v>
      </c>
      <c r="H30" s="193">
        <f t="shared" si="61"/>
        <v>590.61500000000001</v>
      </c>
      <c r="I30" s="193">
        <f t="shared" si="61"/>
        <v>282.387</v>
      </c>
      <c r="J30" s="193">
        <f t="shared" si="61"/>
        <v>0</v>
      </c>
      <c r="K30" s="193">
        <f t="shared" si="61"/>
        <v>0</v>
      </c>
      <c r="L30" s="194">
        <f t="shared" si="49"/>
        <v>1331.895</v>
      </c>
      <c r="M30" s="194">
        <f t="shared" si="50"/>
        <v>221.983</v>
      </c>
      <c r="N30" s="193">
        <f t="shared" si="62"/>
        <v>0</v>
      </c>
      <c r="O30" s="193">
        <f t="shared" si="62"/>
        <v>0</v>
      </c>
      <c r="P30" s="193">
        <f t="shared" si="62"/>
        <v>0</v>
      </c>
      <c r="Q30" s="193">
        <f t="shared" si="62"/>
        <v>0</v>
      </c>
      <c r="R30" s="193">
        <f t="shared" si="62"/>
        <v>0</v>
      </c>
      <c r="S30" s="193">
        <f t="shared" si="62"/>
        <v>916.53499999999997</v>
      </c>
      <c r="T30" s="194">
        <f>SUM(N30:S30)</f>
        <v>916.53499999999997</v>
      </c>
      <c r="U30" s="194">
        <f>T30+L30</f>
        <v>2248.4299999999998</v>
      </c>
      <c r="V30" s="171">
        <f t="shared" si="63"/>
        <v>2248.4299999999998</v>
      </c>
      <c r="W30" s="192">
        <f>W64+W169+W214</f>
        <v>0</v>
      </c>
      <c r="X30" s="195"/>
      <c r="Y30" s="197"/>
    </row>
    <row r="31" spans="1:25" s="186" customFormat="1" ht="18" customHeight="1">
      <c r="A31" s="610"/>
      <c r="B31" s="576"/>
      <c r="C31" s="577"/>
      <c r="D31" s="178" t="str">
        <f>серпень!D31</f>
        <v>касові нат.п-ки 2025</v>
      </c>
      <c r="E31" s="180">
        <f>E65+E170+E215+E262</f>
        <v>0</v>
      </c>
      <c r="F31" s="179">
        <f>F65+F170+F215+F262</f>
        <v>0</v>
      </c>
      <c r="G31" s="179">
        <f>G65+G170+G215+G262</f>
        <v>162.80000000000001</v>
      </c>
      <c r="H31" s="179">
        <f t="shared" si="61"/>
        <v>203.1</v>
      </c>
      <c r="I31" s="179">
        <f t="shared" si="61"/>
        <v>91.2</v>
      </c>
      <c r="J31" s="179">
        <f t="shared" si="61"/>
        <v>0</v>
      </c>
      <c r="K31" s="179">
        <f t="shared" si="61"/>
        <v>0</v>
      </c>
      <c r="L31" s="181">
        <f t="shared" si="49"/>
        <v>457.1</v>
      </c>
      <c r="M31" s="181">
        <f t="shared" si="50"/>
        <v>76.2</v>
      </c>
      <c r="N31" s="260">
        <f>N65+N170+N215+N262</f>
        <v>0</v>
      </c>
      <c r="O31" s="260">
        <f t="shared" si="62"/>
        <v>0</v>
      </c>
      <c r="P31" s="260">
        <f t="shared" si="62"/>
        <v>0</v>
      </c>
      <c r="Q31" s="260">
        <f t="shared" si="62"/>
        <v>0</v>
      </c>
      <c r="R31" s="260">
        <f t="shared" si="62"/>
        <v>0</v>
      </c>
      <c r="S31" s="260">
        <f t="shared" si="62"/>
        <v>293.5</v>
      </c>
      <c r="T31" s="181">
        <f>SUM(N31:S31)</f>
        <v>293.5</v>
      </c>
      <c r="U31" s="181">
        <f>T31+L31</f>
        <v>750.6</v>
      </c>
      <c r="V31" s="183">
        <f t="shared" ref="V31:W31" si="65">V65+V170+V215</f>
        <v>808.2</v>
      </c>
      <c r="W31" s="184">
        <f t="shared" si="65"/>
        <v>57.6</v>
      </c>
      <c r="X31" s="279">
        <f>U24-U31</f>
        <v>0</v>
      </c>
    </row>
    <row r="32" spans="1:25" s="190" customFormat="1" ht="18" customHeight="1">
      <c r="A32" s="610"/>
      <c r="B32" s="576"/>
      <c r="C32" s="577"/>
      <c r="D32" s="187" t="str">
        <f>серпень!D32</f>
        <v>тариф, грн.</v>
      </c>
      <c r="E32" s="188" t="e">
        <f t="shared" ref="E32:K32" si="66">E33/E31*1000</f>
        <v>#DIV/0!</v>
      </c>
      <c r="F32" s="188" t="e">
        <f t="shared" si="66"/>
        <v>#DIV/0!</v>
      </c>
      <c r="G32" s="188">
        <f t="shared" si="66"/>
        <v>2606.038</v>
      </c>
      <c r="H32" s="188">
        <f t="shared" si="66"/>
        <v>3078.5030000000002</v>
      </c>
      <c r="I32" s="188">
        <f t="shared" si="66"/>
        <v>3287.6970000000001</v>
      </c>
      <c r="J32" s="188" t="e">
        <f t="shared" si="66"/>
        <v>#DIV/0!</v>
      </c>
      <c r="K32" s="188" t="e">
        <f t="shared" si="66"/>
        <v>#DIV/0!</v>
      </c>
      <c r="L32" s="188">
        <f>L33/L31*1000</f>
        <v>2951.9690000000001</v>
      </c>
      <c r="M32" s="188">
        <f>M33/M31*1000</f>
        <v>2951.3249999999998</v>
      </c>
      <c r="N32" s="188" t="e">
        <f t="shared" ref="N32:S32" si="67">N33/N31*1000</f>
        <v>#DIV/0!</v>
      </c>
      <c r="O32" s="188" t="e">
        <f t="shared" si="67"/>
        <v>#DIV/0!</v>
      </c>
      <c r="P32" s="188" t="e">
        <f t="shared" si="67"/>
        <v>#DIV/0!</v>
      </c>
      <c r="Q32" s="188" t="e">
        <f t="shared" si="67"/>
        <v>#DIV/0!</v>
      </c>
      <c r="R32" s="188" t="e">
        <f t="shared" si="67"/>
        <v>#DIV/0!</v>
      </c>
      <c r="S32" s="188">
        <f t="shared" si="67"/>
        <v>3572.5010000000002</v>
      </c>
      <c r="T32" s="188">
        <f>T33/T31*1000</f>
        <v>3572.5010000000002</v>
      </c>
      <c r="U32" s="188">
        <f>U33/U31*1000</f>
        <v>3194.61</v>
      </c>
      <c r="V32" s="188">
        <f>V33/V31*1000</f>
        <v>2806.623</v>
      </c>
      <c r="W32" s="189">
        <f>W33/W31*1000</f>
        <v>-2249.3229999999999</v>
      </c>
      <c r="X32" s="185"/>
    </row>
    <row r="33" spans="1:25" s="176" customFormat="1" ht="18" customHeight="1">
      <c r="A33" s="610"/>
      <c r="B33" s="576"/>
      <c r="C33" s="577"/>
      <c r="D33" s="198" t="str">
        <f>серпень!D33</f>
        <v>касові видатки, тис.грн.</v>
      </c>
      <c r="E33" s="199">
        <f t="shared" ref="E33" si="68">E67+E172+E217+E264</f>
        <v>0</v>
      </c>
      <c r="F33" s="199">
        <f>F67+F172+F217+F264</f>
        <v>0</v>
      </c>
      <c r="G33" s="199">
        <f>G67+G172+G217+G264</f>
        <v>424.26299999999998</v>
      </c>
      <c r="H33" s="199">
        <f t="shared" ref="H33:K33" si="69">H67+H172+H217+H264</f>
        <v>625.24400000000003</v>
      </c>
      <c r="I33" s="199">
        <f t="shared" si="69"/>
        <v>299.83800000000002</v>
      </c>
      <c r="J33" s="199">
        <f t="shared" si="69"/>
        <v>0</v>
      </c>
      <c r="K33" s="199">
        <f t="shared" si="69"/>
        <v>0</v>
      </c>
      <c r="L33" s="199">
        <f>SUM(F33:K33)</f>
        <v>1349.345</v>
      </c>
      <c r="M33" s="199">
        <f>L33/6</f>
        <v>224.89099999999999</v>
      </c>
      <c r="N33" s="199">
        <f>N67+N172+N217+N264</f>
        <v>0</v>
      </c>
      <c r="O33" s="199">
        <f t="shared" ref="O33:S33" si="70">O67+O172+O217+O264</f>
        <v>0</v>
      </c>
      <c r="P33" s="199">
        <f t="shared" si="70"/>
        <v>0</v>
      </c>
      <c r="Q33" s="199">
        <f t="shared" si="70"/>
        <v>0</v>
      </c>
      <c r="R33" s="199">
        <f t="shared" si="70"/>
        <v>0</v>
      </c>
      <c r="S33" s="199">
        <f t="shared" si="70"/>
        <v>1048.529</v>
      </c>
      <c r="T33" s="199">
        <f>SUM(N33:S33)</f>
        <v>1048.529</v>
      </c>
      <c r="U33" s="199">
        <f>T33+L33</f>
        <v>2397.8739999999998</v>
      </c>
      <c r="V33" s="175">
        <f>V67+V172+V217+V264</f>
        <v>2268.3130000000001</v>
      </c>
      <c r="W33" s="200">
        <f>W67+W172+W217+W264</f>
        <v>-129.56100000000001</v>
      </c>
      <c r="X33" s="176">
        <f>U28-U33</f>
        <v>0</v>
      </c>
    </row>
    <row r="34" spans="1:25" s="176" customFormat="1" ht="18" customHeight="1">
      <c r="A34" s="610"/>
      <c r="B34" s="576"/>
      <c r="C34" s="577"/>
      <c r="D34" s="201" t="str">
        <f>серпень!D34</f>
        <v>дотація</v>
      </c>
      <c r="E34" s="199"/>
      <c r="F34" s="199">
        <f t="shared" ref="F34:K35" si="71">F68+F173+F218+F265</f>
        <v>0</v>
      </c>
      <c r="G34" s="199">
        <f t="shared" si="71"/>
        <v>0</v>
      </c>
      <c r="H34" s="199">
        <f t="shared" si="71"/>
        <v>19.882999999999999</v>
      </c>
      <c r="I34" s="199">
        <f t="shared" si="71"/>
        <v>0</v>
      </c>
      <c r="J34" s="199">
        <f t="shared" si="71"/>
        <v>0</v>
      </c>
      <c r="K34" s="199">
        <f t="shared" si="71"/>
        <v>0</v>
      </c>
      <c r="L34" s="199">
        <f>SUM(F34:K34)</f>
        <v>19.882999999999999</v>
      </c>
      <c r="M34" s="199">
        <f>L34/6</f>
        <v>3.3140000000000001</v>
      </c>
      <c r="N34" s="199">
        <f t="shared" ref="N34:S35" si="72">N68+N173+N218+N265</f>
        <v>0</v>
      </c>
      <c r="O34" s="199">
        <f t="shared" si="72"/>
        <v>0</v>
      </c>
      <c r="P34" s="199">
        <f t="shared" si="72"/>
        <v>0</v>
      </c>
      <c r="Q34" s="199">
        <f t="shared" si="72"/>
        <v>0</v>
      </c>
      <c r="R34" s="199">
        <f t="shared" si="72"/>
        <v>0</v>
      </c>
      <c r="S34" s="199">
        <f t="shared" si="72"/>
        <v>0</v>
      </c>
      <c r="T34" s="199">
        <f>SUM(N34:S34)</f>
        <v>0</v>
      </c>
      <c r="U34" s="199">
        <f>T34+L34</f>
        <v>19.882999999999999</v>
      </c>
      <c r="V34" s="175">
        <f>V68+V173+V218+V265</f>
        <v>19.882999999999999</v>
      </c>
      <c r="W34" s="200">
        <f>V34-U34</f>
        <v>0</v>
      </c>
      <c r="X34" s="176">
        <f>U29-U34</f>
        <v>0</v>
      </c>
    </row>
    <row r="35" spans="1:25" s="176" customFormat="1" ht="18" customHeight="1">
      <c r="A35" s="610"/>
      <c r="B35" s="576"/>
      <c r="C35" s="577"/>
      <c r="D35" s="201" t="str">
        <f>серпень!D35</f>
        <v xml:space="preserve">місцевий </v>
      </c>
      <c r="E35" s="199"/>
      <c r="F35" s="199">
        <f t="shared" si="71"/>
        <v>0</v>
      </c>
      <c r="G35" s="199">
        <f t="shared" si="71"/>
        <v>424.26299999999998</v>
      </c>
      <c r="H35" s="199">
        <f t="shared" si="71"/>
        <v>605.36099999999999</v>
      </c>
      <c r="I35" s="199">
        <f t="shared" si="71"/>
        <v>299.83800000000002</v>
      </c>
      <c r="J35" s="199">
        <f t="shared" si="71"/>
        <v>0</v>
      </c>
      <c r="K35" s="199">
        <f t="shared" si="71"/>
        <v>0</v>
      </c>
      <c r="L35" s="199">
        <f>SUM(F35:K35)</f>
        <v>1329.462</v>
      </c>
      <c r="M35" s="199">
        <f>L35/6</f>
        <v>221.577</v>
      </c>
      <c r="N35" s="199">
        <f t="shared" si="72"/>
        <v>0</v>
      </c>
      <c r="O35" s="199">
        <f t="shared" si="72"/>
        <v>0</v>
      </c>
      <c r="P35" s="199">
        <f t="shared" si="72"/>
        <v>0</v>
      </c>
      <c r="Q35" s="199">
        <f t="shared" si="72"/>
        <v>0</v>
      </c>
      <c r="R35" s="199">
        <f t="shared" si="72"/>
        <v>0</v>
      </c>
      <c r="S35" s="199">
        <f t="shared" si="72"/>
        <v>1048.529</v>
      </c>
      <c r="T35" s="199">
        <f>SUM(N35:S35)</f>
        <v>1048.529</v>
      </c>
      <c r="U35" s="199">
        <f>T35+L35</f>
        <v>2377.991</v>
      </c>
      <c r="V35" s="175">
        <f>V69+V174+V219+V266</f>
        <v>2248.4299999999998</v>
      </c>
      <c r="W35" s="200">
        <f>V35-U35</f>
        <v>-129.56100000000001</v>
      </c>
      <c r="X35" s="176">
        <f>U30-U35</f>
        <v>-129.56100000000001</v>
      </c>
    </row>
    <row r="36" spans="1:25" s="205" customFormat="1" ht="18" customHeight="1">
      <c r="A36" s="610"/>
      <c r="B36" s="576"/>
      <c r="C36" s="577"/>
      <c r="D36" s="202" t="str">
        <f>серпень!D36</f>
        <v>план</v>
      </c>
      <c r="E36" s="203"/>
      <c r="F36" s="203">
        <f>F30+F29</f>
        <v>0</v>
      </c>
      <c r="G36" s="203">
        <f t="shared" ref="G36:K36" si="73">G30+G29</f>
        <v>458.89299999999997</v>
      </c>
      <c r="H36" s="203">
        <f t="shared" si="73"/>
        <v>610.49800000000005</v>
      </c>
      <c r="I36" s="203">
        <f t="shared" si="73"/>
        <v>282.387</v>
      </c>
      <c r="J36" s="203">
        <f t="shared" si="73"/>
        <v>0</v>
      </c>
      <c r="K36" s="203">
        <f t="shared" si="73"/>
        <v>0</v>
      </c>
      <c r="L36" s="203">
        <f>SUM(F36:K36)</f>
        <v>1351.778</v>
      </c>
      <c r="M36" s="203">
        <f>L36/6</f>
        <v>225.29599999999999</v>
      </c>
      <c r="N36" s="203">
        <f t="shared" ref="N36:S36" si="74">N30+N29</f>
        <v>0</v>
      </c>
      <c r="O36" s="203">
        <f t="shared" si="74"/>
        <v>0</v>
      </c>
      <c r="P36" s="203">
        <f t="shared" si="74"/>
        <v>0</v>
      </c>
      <c r="Q36" s="203">
        <f t="shared" si="74"/>
        <v>0</v>
      </c>
      <c r="R36" s="203">
        <f t="shared" si="74"/>
        <v>0</v>
      </c>
      <c r="S36" s="203">
        <f t="shared" si="74"/>
        <v>916.53499999999997</v>
      </c>
      <c r="T36" s="203">
        <f>SUM(N36:S36)</f>
        <v>916.53499999999997</v>
      </c>
      <c r="U36" s="203">
        <f>T36+L36</f>
        <v>2268.3130000000001</v>
      </c>
      <c r="V36" s="204">
        <f>V70+V175+V220+V267</f>
        <v>2268.3130000000001</v>
      </c>
      <c r="W36" s="203">
        <f>V36-U36</f>
        <v>0</v>
      </c>
    </row>
    <row r="37" spans="1:25" s="205" customFormat="1" ht="18" customHeight="1">
      <c r="A37" s="610"/>
      <c r="B37" s="576"/>
      <c r="C37" s="577"/>
      <c r="D37" s="202" t="str">
        <f>серпень!D37</f>
        <v xml:space="preserve">відхилення </v>
      </c>
      <c r="E37" s="203"/>
      <c r="F37" s="203">
        <f t="shared" ref="F37:K37" si="75">F33-F36</f>
        <v>0</v>
      </c>
      <c r="G37" s="203">
        <f t="shared" si="75"/>
        <v>-34.630000000000003</v>
      </c>
      <c r="H37" s="203">
        <f t="shared" si="75"/>
        <v>14.746</v>
      </c>
      <c r="I37" s="203">
        <f t="shared" si="75"/>
        <v>17.451000000000001</v>
      </c>
      <c r="J37" s="203">
        <f t="shared" si="75"/>
        <v>0</v>
      </c>
      <c r="K37" s="203">
        <f t="shared" si="75"/>
        <v>0</v>
      </c>
      <c r="L37" s="203"/>
      <c r="M37" s="203"/>
      <c r="N37" s="203">
        <f t="shared" ref="N37:S37" si="76">N33-N36</f>
        <v>0</v>
      </c>
      <c r="O37" s="203">
        <f t="shared" si="76"/>
        <v>0</v>
      </c>
      <c r="P37" s="203">
        <f t="shared" si="76"/>
        <v>0</v>
      </c>
      <c r="Q37" s="203">
        <f t="shared" si="76"/>
        <v>0</v>
      </c>
      <c r="R37" s="203">
        <f t="shared" si="76"/>
        <v>0</v>
      </c>
      <c r="S37" s="203">
        <f t="shared" si="76"/>
        <v>131.994</v>
      </c>
      <c r="T37" s="203"/>
      <c r="U37" s="203"/>
      <c r="V37" s="203"/>
      <c r="W37" s="203"/>
    </row>
    <row r="38" spans="1:25" s="205" customFormat="1" ht="18" customHeight="1">
      <c r="A38" s="610"/>
      <c r="B38" s="576"/>
      <c r="C38" s="577"/>
      <c r="D38" s="202" t="str">
        <f>серпень!D38</f>
        <v>відхилення з наростаючим</v>
      </c>
      <c r="E38" s="203"/>
      <c r="F38" s="203">
        <f>F37</f>
        <v>0</v>
      </c>
      <c r="G38" s="203">
        <f>G37+F38</f>
        <v>-34.630000000000003</v>
      </c>
      <c r="H38" s="203">
        <f>H37+G38</f>
        <v>-19.884</v>
      </c>
      <c r="I38" s="203">
        <f>I37+H38</f>
        <v>-2.4329999999999998</v>
      </c>
      <c r="J38" s="203">
        <f>J37+I38</f>
        <v>-2.4329999999999998</v>
      </c>
      <c r="K38" s="203">
        <f>K37+J38</f>
        <v>-2.4329999999999998</v>
      </c>
      <c r="L38" s="203"/>
      <c r="M38" s="203"/>
      <c r="N38" s="203">
        <f>N37+K38</f>
        <v>-2.4329999999999998</v>
      </c>
      <c r="O38" s="203">
        <f>O37+N38</f>
        <v>-2.4329999999999998</v>
      </c>
      <c r="P38" s="203">
        <f>P37+O38</f>
        <v>-2.4329999999999998</v>
      </c>
      <c r="Q38" s="203">
        <f>Q37+P38</f>
        <v>-2.4329999999999998</v>
      </c>
      <c r="R38" s="203">
        <f>R37+Q38</f>
        <v>-2.4329999999999998</v>
      </c>
      <c r="S38" s="203">
        <f>S37+R38</f>
        <v>129.56100000000001</v>
      </c>
      <c r="T38" s="203"/>
      <c r="U38" s="203"/>
      <c r="V38" s="203"/>
      <c r="W38" s="203"/>
    </row>
    <row r="39" spans="1:25" s="206" customFormat="1" ht="18" customHeight="1">
      <c r="A39" s="610"/>
      <c r="B39" s="581" t="s">
        <v>71</v>
      </c>
      <c r="C39" s="581"/>
      <c r="D39" s="178" t="str">
        <f>серпень!D39</f>
        <v>факт. нат.п-ки 2023</v>
      </c>
      <c r="E39" s="179"/>
      <c r="F39" s="180">
        <f t="shared" ref="F39:K40" si="77">F56+F163+F208</f>
        <v>280.10000000000002</v>
      </c>
      <c r="G39" s="180">
        <f t="shared" si="77"/>
        <v>195.2</v>
      </c>
      <c r="H39" s="180">
        <f t="shared" si="77"/>
        <v>178.7</v>
      </c>
      <c r="I39" s="180">
        <f t="shared" si="77"/>
        <v>12.6</v>
      </c>
      <c r="J39" s="180">
        <f t="shared" si="77"/>
        <v>0.5</v>
      </c>
      <c r="K39" s="180">
        <f t="shared" si="77"/>
        <v>0.5</v>
      </c>
      <c r="L39" s="181">
        <f>SUM(F39:K39)</f>
        <v>667.6</v>
      </c>
      <c r="M39" s="181">
        <f>L39/6</f>
        <v>111.3</v>
      </c>
      <c r="N39" s="180">
        <f t="shared" ref="N39:S40" si="78">N56+N163+N208</f>
        <v>0.5</v>
      </c>
      <c r="O39" s="180">
        <f t="shared" si="78"/>
        <v>0.5</v>
      </c>
      <c r="P39" s="180">
        <f t="shared" si="78"/>
        <v>0.5</v>
      </c>
      <c r="Q39" s="180">
        <f t="shared" si="78"/>
        <v>38.5</v>
      </c>
      <c r="R39" s="180">
        <f t="shared" si="78"/>
        <v>233.8</v>
      </c>
      <c r="S39" s="180">
        <f t="shared" si="78"/>
        <v>306.7</v>
      </c>
      <c r="T39" s="181">
        <f>SUM(N39:S39)</f>
        <v>580.5</v>
      </c>
      <c r="U39" s="182">
        <f>T39+L39</f>
        <v>1248.0999999999999</v>
      </c>
      <c r="V39" s="183">
        <f>V56+V163</f>
        <v>243.4</v>
      </c>
      <c r="W39" s="184"/>
    </row>
    <row r="40" spans="1:25" s="206" customFormat="1" ht="18" customHeight="1">
      <c r="A40" s="610"/>
      <c r="B40" s="581"/>
      <c r="C40" s="581"/>
      <c r="D40" s="178" t="str">
        <f>серпень!D40</f>
        <v>факт. нат.п-ки 2024</v>
      </c>
      <c r="E40" s="179"/>
      <c r="F40" s="180">
        <f t="shared" si="77"/>
        <v>275.39999999999998</v>
      </c>
      <c r="G40" s="180">
        <f t="shared" si="77"/>
        <v>239.7</v>
      </c>
      <c r="H40" s="180">
        <f t="shared" si="77"/>
        <v>157.69999999999999</v>
      </c>
      <c r="I40" s="180">
        <f t="shared" si="77"/>
        <v>0</v>
      </c>
      <c r="J40" s="180">
        <f t="shared" si="77"/>
        <v>0</v>
      </c>
      <c r="K40" s="180">
        <f t="shared" si="77"/>
        <v>0</v>
      </c>
      <c r="L40" s="181">
        <f>SUM(F40:K40)</f>
        <v>672.8</v>
      </c>
      <c r="M40" s="181">
        <f>L40/6</f>
        <v>112.1</v>
      </c>
      <c r="N40" s="180">
        <f t="shared" si="78"/>
        <v>0</v>
      </c>
      <c r="O40" s="180">
        <f t="shared" si="78"/>
        <v>0</v>
      </c>
      <c r="P40" s="180">
        <f t="shared" si="78"/>
        <v>0</v>
      </c>
      <c r="Q40" s="180">
        <f t="shared" si="78"/>
        <v>0</v>
      </c>
      <c r="R40" s="180">
        <f t="shared" si="78"/>
        <v>231</v>
      </c>
      <c r="S40" s="180">
        <f t="shared" si="78"/>
        <v>282</v>
      </c>
      <c r="T40" s="181">
        <f>SUM(N40:S40)</f>
        <v>513</v>
      </c>
      <c r="U40" s="182">
        <f>T40+L40</f>
        <v>1185.8</v>
      </c>
      <c r="V40" s="183">
        <f>V57+V164</f>
        <v>197.9</v>
      </c>
      <c r="W40" s="184"/>
    </row>
    <row r="41" spans="1:25" s="206" customFormat="1" ht="18" customHeight="1">
      <c r="A41" s="610"/>
      <c r="B41" s="581"/>
      <c r="C41" s="581"/>
      <c r="D41" s="178" t="str">
        <f>серпень!D41</f>
        <v>факт. нат.п-ки 2025</v>
      </c>
      <c r="E41" s="179"/>
      <c r="F41" s="180">
        <f>F90+F135+F165+F210</f>
        <v>162.80000000000001</v>
      </c>
      <c r="G41" s="180">
        <f t="shared" ref="G41:K41" si="79">G90+G135+G165+G210</f>
        <v>203.1</v>
      </c>
      <c r="H41" s="180">
        <f t="shared" si="79"/>
        <v>91.2</v>
      </c>
      <c r="I41" s="180">
        <f t="shared" si="79"/>
        <v>0</v>
      </c>
      <c r="J41" s="180">
        <f t="shared" si="79"/>
        <v>0</v>
      </c>
      <c r="K41" s="180">
        <f t="shared" si="79"/>
        <v>0</v>
      </c>
      <c r="L41" s="181">
        <f>SUM(F41:K41)</f>
        <v>457.1</v>
      </c>
      <c r="M41" s="181">
        <f>L41/6</f>
        <v>76.2</v>
      </c>
      <c r="N41" s="180">
        <f>N90+N135+N165+N210</f>
        <v>0</v>
      </c>
      <c r="O41" s="180">
        <f t="shared" ref="O41:S41" si="80">O90+O135+O165+O210</f>
        <v>0</v>
      </c>
      <c r="P41" s="180">
        <f t="shared" si="80"/>
        <v>0</v>
      </c>
      <c r="Q41" s="180">
        <f t="shared" si="80"/>
        <v>0</v>
      </c>
      <c r="R41" s="180">
        <f t="shared" si="80"/>
        <v>127.4</v>
      </c>
      <c r="S41" s="180">
        <f t="shared" si="80"/>
        <v>166.1</v>
      </c>
      <c r="T41" s="181">
        <f>SUM(N41:S41)</f>
        <v>293.5</v>
      </c>
      <c r="U41" s="182">
        <f>T41+L41</f>
        <v>750.6</v>
      </c>
      <c r="V41" s="264">
        <f t="shared" ref="V41" si="81">V58+V165+V210</f>
        <v>808.2</v>
      </c>
      <c r="W41" s="184">
        <f>V41-U41</f>
        <v>57.6</v>
      </c>
    </row>
    <row r="42" spans="1:25" s="206" customFormat="1" ht="18" customHeight="1">
      <c r="A42" s="610"/>
      <c r="B42" s="581"/>
      <c r="C42" s="581"/>
      <c r="D42" s="187" t="str">
        <f>серпень!D42</f>
        <v>тариф, грн.</v>
      </c>
      <c r="E42" s="188"/>
      <c r="F42" s="188">
        <f t="shared" ref="F42:S42" si="82">F43/F41*1000</f>
        <v>2606.038</v>
      </c>
      <c r="G42" s="188">
        <f t="shared" si="82"/>
        <v>3078.5030000000002</v>
      </c>
      <c r="H42" s="188">
        <f t="shared" si="82"/>
        <v>3287.6970000000001</v>
      </c>
      <c r="I42" s="188" t="e">
        <f>I43/I41*1000</f>
        <v>#DIV/0!</v>
      </c>
      <c r="J42" s="188" t="e">
        <f>J43/J41*1000</f>
        <v>#DIV/0!</v>
      </c>
      <c r="K42" s="188" t="e">
        <f t="shared" si="82"/>
        <v>#DIV/0!</v>
      </c>
      <c r="L42" s="188">
        <f t="shared" si="82"/>
        <v>2951.9690000000001</v>
      </c>
      <c r="M42" s="188">
        <f t="shared" si="82"/>
        <v>2951.3249999999998</v>
      </c>
      <c r="N42" s="188" t="e">
        <f t="shared" si="82"/>
        <v>#DIV/0!</v>
      </c>
      <c r="O42" s="188" t="e">
        <f t="shared" si="82"/>
        <v>#DIV/0!</v>
      </c>
      <c r="P42" s="188" t="e">
        <f t="shared" si="82"/>
        <v>#DIV/0!</v>
      </c>
      <c r="Q42" s="188" t="e">
        <f t="shared" si="82"/>
        <v>#DIV/0!</v>
      </c>
      <c r="R42" s="188">
        <f t="shared" si="82"/>
        <v>3631.8919999999998</v>
      </c>
      <c r="S42" s="188">
        <f t="shared" si="82"/>
        <v>3526.9479999999999</v>
      </c>
      <c r="T42" s="188">
        <f>T43/T41*1000</f>
        <v>3572.5010000000002</v>
      </c>
      <c r="U42" s="188">
        <f>U43/U41*1000</f>
        <v>3194.61</v>
      </c>
      <c r="V42" s="188">
        <f>V43/V41*1000</f>
        <v>2806.623</v>
      </c>
      <c r="W42" s="189">
        <f>W43/W41*1000</f>
        <v>-2249.3229999999999</v>
      </c>
    </row>
    <row r="43" spans="1:25" s="206" customFormat="1" ht="18" customHeight="1">
      <c r="A43" s="610"/>
      <c r="B43" s="581"/>
      <c r="C43" s="581"/>
      <c r="D43" s="191" t="str">
        <f>серпень!D43</f>
        <v>сума, тис.грн.</v>
      </c>
      <c r="E43" s="192"/>
      <c r="F43" s="193">
        <f>F92+F137+F167+F212</f>
        <v>424.26299999999998</v>
      </c>
      <c r="G43" s="193">
        <f t="shared" ref="G43:K43" si="83">G92+G137+G167+G212</f>
        <v>625.24400000000003</v>
      </c>
      <c r="H43" s="193">
        <f t="shared" si="83"/>
        <v>299.83800000000002</v>
      </c>
      <c r="I43" s="193">
        <f t="shared" si="83"/>
        <v>0</v>
      </c>
      <c r="J43" s="193">
        <f t="shared" si="83"/>
        <v>0</v>
      </c>
      <c r="K43" s="193">
        <f t="shared" si="83"/>
        <v>0</v>
      </c>
      <c r="L43" s="194">
        <f t="shared" ref="L43:L48" si="84">SUM(F43:K43)</f>
        <v>1349.345</v>
      </c>
      <c r="M43" s="194">
        <f t="shared" ref="M43:M48" si="85">L43/6</f>
        <v>224.89099999999999</v>
      </c>
      <c r="N43" s="193">
        <f>N92+N137+N167+N212</f>
        <v>0</v>
      </c>
      <c r="O43" s="193">
        <f t="shared" ref="O43:S43" si="86">O92+O137+O167+O212</f>
        <v>0</v>
      </c>
      <c r="P43" s="193">
        <f t="shared" si="86"/>
        <v>0</v>
      </c>
      <c r="Q43" s="193">
        <f t="shared" si="86"/>
        <v>0</v>
      </c>
      <c r="R43" s="193">
        <f t="shared" si="86"/>
        <v>462.70299999999997</v>
      </c>
      <c r="S43" s="193">
        <f t="shared" si="86"/>
        <v>585.82600000000002</v>
      </c>
      <c r="T43" s="194">
        <f>SUM(N43:S43)</f>
        <v>1048.529</v>
      </c>
      <c r="U43" s="194">
        <f>T43+L43</f>
        <v>2397.8739999999998</v>
      </c>
      <c r="V43" s="171">
        <f>V92+V137+V167+V212</f>
        <v>2268.3130000000001</v>
      </c>
      <c r="W43" s="193">
        <f>V43-U43</f>
        <v>-129.56100000000001</v>
      </c>
    </row>
    <row r="44" spans="1:25" s="206" customFormat="1" ht="18" customHeight="1">
      <c r="A44" s="610"/>
      <c r="B44" s="581"/>
      <c r="C44" s="581"/>
      <c r="D44" s="174" t="str">
        <f>серпень!D44</f>
        <v>абоненська плата, тис.грн.</v>
      </c>
      <c r="E44" s="192"/>
      <c r="F44" s="193">
        <f>F77+F107+F122+F152</f>
        <v>0</v>
      </c>
      <c r="G44" s="193">
        <f t="shared" ref="G44:K44" si="87">G77+G107+G122+G152</f>
        <v>0</v>
      </c>
      <c r="H44" s="193">
        <f>H77+H107+H122+H152</f>
        <v>0</v>
      </c>
      <c r="I44" s="193">
        <f t="shared" si="87"/>
        <v>0</v>
      </c>
      <c r="J44" s="193">
        <f t="shared" si="87"/>
        <v>0</v>
      </c>
      <c r="K44" s="193">
        <f t="shared" si="87"/>
        <v>0</v>
      </c>
      <c r="L44" s="194">
        <f t="shared" si="84"/>
        <v>0</v>
      </c>
      <c r="M44" s="194">
        <f t="shared" si="85"/>
        <v>0</v>
      </c>
      <c r="N44" s="193">
        <f>N77+N107+N122+N152</f>
        <v>0</v>
      </c>
      <c r="O44" s="193">
        <f t="shared" ref="O44:S44" si="88">O77+O107+O122+O152</f>
        <v>0</v>
      </c>
      <c r="P44" s="193">
        <f t="shared" si="88"/>
        <v>0</v>
      </c>
      <c r="Q44" s="193">
        <f t="shared" si="88"/>
        <v>0</v>
      </c>
      <c r="R44" s="193">
        <f t="shared" si="88"/>
        <v>0</v>
      </c>
      <c r="S44" s="193">
        <f t="shared" si="88"/>
        <v>0</v>
      </c>
      <c r="T44" s="194">
        <f t="shared" ref="T44:T46" si="89">SUM(N44:S44)</f>
        <v>0</v>
      </c>
      <c r="U44" s="194">
        <f t="shared" ref="U44:U46" si="90">T44+L44</f>
        <v>0</v>
      </c>
      <c r="V44" s="171">
        <f>V61</f>
        <v>0</v>
      </c>
      <c r="W44" s="193">
        <f t="shared" ref="W44:W45" si="91">V44-U44</f>
        <v>0</v>
      </c>
    </row>
    <row r="45" spans="1:25" s="206" customFormat="1" ht="18" customHeight="1">
      <c r="A45" s="610"/>
      <c r="B45" s="581"/>
      <c r="C45" s="581"/>
      <c r="D45" s="174" t="str">
        <f>серпень!D45</f>
        <v>разом сума тис. грн+абонплата</v>
      </c>
      <c r="E45" s="192"/>
      <c r="F45" s="193">
        <f>F43+F44</f>
        <v>424.26299999999998</v>
      </c>
      <c r="G45" s="193">
        <f t="shared" ref="G45:K45" si="92">G43+G44</f>
        <v>625.24400000000003</v>
      </c>
      <c r="H45" s="193">
        <f t="shared" si="92"/>
        <v>299.83800000000002</v>
      </c>
      <c r="I45" s="193">
        <f t="shared" si="92"/>
        <v>0</v>
      </c>
      <c r="J45" s="193">
        <f t="shared" si="92"/>
        <v>0</v>
      </c>
      <c r="K45" s="193">
        <f t="shared" si="92"/>
        <v>0</v>
      </c>
      <c r="L45" s="194">
        <f t="shared" si="84"/>
        <v>1349.345</v>
      </c>
      <c r="M45" s="194">
        <f t="shared" si="85"/>
        <v>224.89099999999999</v>
      </c>
      <c r="N45" s="193">
        <f t="shared" ref="N45:S45" si="93">N43+N44</f>
        <v>0</v>
      </c>
      <c r="O45" s="193">
        <f t="shared" si="93"/>
        <v>0</v>
      </c>
      <c r="P45" s="193">
        <f t="shared" si="93"/>
        <v>0</v>
      </c>
      <c r="Q45" s="193">
        <f t="shared" si="93"/>
        <v>0</v>
      </c>
      <c r="R45" s="193">
        <f t="shared" si="93"/>
        <v>462.70299999999997</v>
      </c>
      <c r="S45" s="193">
        <f t="shared" si="93"/>
        <v>585.82600000000002</v>
      </c>
      <c r="T45" s="194">
        <f t="shared" ref="T45" si="94">SUM(N45:S45)</f>
        <v>1048.529</v>
      </c>
      <c r="U45" s="194">
        <f t="shared" si="90"/>
        <v>2397.8739999999998</v>
      </c>
      <c r="V45" s="171">
        <f>V62+V212</f>
        <v>2268.3130000000001</v>
      </c>
      <c r="W45" s="193">
        <f t="shared" si="91"/>
        <v>-129.56100000000001</v>
      </c>
    </row>
    <row r="46" spans="1:25" s="206" customFormat="1" ht="18" customHeight="1">
      <c r="A46" s="610"/>
      <c r="B46" s="581"/>
      <c r="C46" s="581"/>
      <c r="D46" s="174" t="str">
        <f>серпень!D46</f>
        <v>дотація</v>
      </c>
      <c r="E46" s="192"/>
      <c r="F46" s="193">
        <f>F63+F168+F213</f>
        <v>0</v>
      </c>
      <c r="G46" s="193">
        <f t="shared" ref="G46:K47" si="95">G63+G168+G213</f>
        <v>0</v>
      </c>
      <c r="H46" s="193">
        <f t="shared" si="95"/>
        <v>19.882999999999999</v>
      </c>
      <c r="I46" s="193">
        <f t="shared" si="95"/>
        <v>0</v>
      </c>
      <c r="J46" s="193">
        <f t="shared" si="95"/>
        <v>0</v>
      </c>
      <c r="K46" s="193">
        <f t="shared" si="95"/>
        <v>0</v>
      </c>
      <c r="L46" s="194">
        <f t="shared" si="84"/>
        <v>19.882999999999999</v>
      </c>
      <c r="M46" s="194">
        <f t="shared" si="85"/>
        <v>3.3140000000000001</v>
      </c>
      <c r="N46" s="193">
        <f t="shared" ref="N46:S47" si="96">N63+N168+N213</f>
        <v>0</v>
      </c>
      <c r="O46" s="193">
        <f t="shared" si="96"/>
        <v>0</v>
      </c>
      <c r="P46" s="193">
        <f t="shared" si="96"/>
        <v>0</v>
      </c>
      <c r="Q46" s="193">
        <f t="shared" si="96"/>
        <v>0</v>
      </c>
      <c r="R46" s="193">
        <f t="shared" si="96"/>
        <v>0</v>
      </c>
      <c r="S46" s="193">
        <f t="shared" si="96"/>
        <v>0</v>
      </c>
      <c r="T46" s="194">
        <f t="shared" si="89"/>
        <v>0</v>
      </c>
      <c r="U46" s="194">
        <f t="shared" si="90"/>
        <v>19.882999999999999</v>
      </c>
      <c r="V46" s="171">
        <f t="shared" ref="V46" si="97">V63+V168+V213</f>
        <v>19.882999999999999</v>
      </c>
      <c r="W46" s="192">
        <f>V46-U46</f>
        <v>0</v>
      </c>
    </row>
    <row r="47" spans="1:25" s="206" customFormat="1" ht="18" customHeight="1">
      <c r="A47" s="610"/>
      <c r="B47" s="581"/>
      <c r="C47" s="581"/>
      <c r="D47" s="174" t="str">
        <f>серпень!D47</f>
        <v>місцевий (план), тис.грн</v>
      </c>
      <c r="E47" s="192"/>
      <c r="F47" s="193">
        <f>F64+F169+F214</f>
        <v>0</v>
      </c>
      <c r="G47" s="193">
        <f t="shared" si="95"/>
        <v>458.89299999999997</v>
      </c>
      <c r="H47" s="193">
        <f t="shared" si="95"/>
        <v>590.61500000000001</v>
      </c>
      <c r="I47" s="193">
        <f t="shared" si="95"/>
        <v>282.387</v>
      </c>
      <c r="J47" s="193">
        <f t="shared" si="95"/>
        <v>0</v>
      </c>
      <c r="K47" s="193">
        <f t="shared" si="95"/>
        <v>0</v>
      </c>
      <c r="L47" s="194">
        <f t="shared" si="84"/>
        <v>1331.895</v>
      </c>
      <c r="M47" s="194">
        <f t="shared" si="85"/>
        <v>221.983</v>
      </c>
      <c r="N47" s="193">
        <f>N64+N169+N214</f>
        <v>0</v>
      </c>
      <c r="O47" s="193">
        <f t="shared" si="96"/>
        <v>0</v>
      </c>
      <c r="P47" s="193">
        <f t="shared" si="96"/>
        <v>0</v>
      </c>
      <c r="Q47" s="193">
        <f t="shared" si="96"/>
        <v>0</v>
      </c>
      <c r="R47" s="193">
        <f t="shared" si="96"/>
        <v>0</v>
      </c>
      <c r="S47" s="193">
        <f t="shared" si="96"/>
        <v>916.53499999999997</v>
      </c>
      <c r="T47" s="194">
        <f>SUM(N47:S47)</f>
        <v>916.53499999999997</v>
      </c>
      <c r="U47" s="194">
        <f>T47+L47</f>
        <v>2248.4299999999998</v>
      </c>
      <c r="V47" s="171">
        <f>V64+V169+V214</f>
        <v>2248.4299999999998</v>
      </c>
      <c r="W47" s="192">
        <f>V47-U47</f>
        <v>0</v>
      </c>
    </row>
    <row r="48" spans="1:25" s="206" customFormat="1" ht="18" customHeight="1">
      <c r="A48" s="610"/>
      <c r="B48" s="581"/>
      <c r="C48" s="581"/>
      <c r="D48" s="178" t="str">
        <f>серпень!D48</f>
        <v>касові нат.п-ки 2025</v>
      </c>
      <c r="E48" s="179">
        <f t="shared" ref="E48" si="98">E65+E170+E215</f>
        <v>0</v>
      </c>
      <c r="F48" s="264">
        <f>F95+F140+F170+F215</f>
        <v>0</v>
      </c>
      <c r="G48" s="264">
        <f>G95+G140+G170+G215</f>
        <v>162.80000000000001</v>
      </c>
      <c r="H48" s="264">
        <f t="shared" ref="H48:K48" si="99">H95+H140+H170+H215</f>
        <v>203.1</v>
      </c>
      <c r="I48" s="264">
        <f t="shared" si="99"/>
        <v>91.2</v>
      </c>
      <c r="J48" s="264">
        <f>J95+J140+J170+J215</f>
        <v>0</v>
      </c>
      <c r="K48" s="264">
        <f t="shared" si="99"/>
        <v>0</v>
      </c>
      <c r="L48" s="181">
        <f t="shared" si="84"/>
        <v>457.1</v>
      </c>
      <c r="M48" s="181">
        <f t="shared" si="85"/>
        <v>76.2</v>
      </c>
      <c r="N48" s="264">
        <f>N95+N140+N170+N215</f>
        <v>0</v>
      </c>
      <c r="O48" s="264">
        <f t="shared" ref="O48:S48" si="100">O95+O140+O170+O215</f>
        <v>0</v>
      </c>
      <c r="P48" s="264">
        <f t="shared" si="100"/>
        <v>0</v>
      </c>
      <c r="Q48" s="264">
        <f t="shared" si="100"/>
        <v>0</v>
      </c>
      <c r="R48" s="264">
        <f t="shared" si="100"/>
        <v>0</v>
      </c>
      <c r="S48" s="264">
        <f t="shared" si="100"/>
        <v>293.5</v>
      </c>
      <c r="T48" s="181">
        <f>SUM(N48:S48)</f>
        <v>293.5</v>
      </c>
      <c r="U48" s="181">
        <f>T48+L48</f>
        <v>750.6</v>
      </c>
      <c r="V48" s="260">
        <f t="shared" ref="V48" si="101">V80+V95+V110+V125+V140+V155+V170+V215</f>
        <v>808.2</v>
      </c>
      <c r="W48" s="184">
        <f>V48-U48</f>
        <v>57.6</v>
      </c>
      <c r="X48" s="206">
        <f>U41-U48</f>
        <v>0</v>
      </c>
      <c r="Y48" s="176"/>
    </row>
    <row r="49" spans="1:24" s="206" customFormat="1" ht="18" customHeight="1">
      <c r="A49" s="610"/>
      <c r="B49" s="581"/>
      <c r="C49" s="581"/>
      <c r="D49" s="187" t="str">
        <f>серпень!D49</f>
        <v>тариф, грн.</v>
      </c>
      <c r="E49" s="188" t="e">
        <f t="shared" ref="E49:S49" si="102">E50/E48*1000</f>
        <v>#DIV/0!</v>
      </c>
      <c r="F49" s="188" t="e">
        <f t="shared" si="102"/>
        <v>#DIV/0!</v>
      </c>
      <c r="G49" s="188">
        <f t="shared" si="102"/>
        <v>2606.038</v>
      </c>
      <c r="H49" s="188">
        <f t="shared" si="102"/>
        <v>3078.5030000000002</v>
      </c>
      <c r="I49" s="188">
        <f>I50/I48*1000</f>
        <v>3287.6970000000001</v>
      </c>
      <c r="J49" s="188" t="e">
        <f>J50/J48*1000</f>
        <v>#DIV/0!</v>
      </c>
      <c r="K49" s="188" t="e">
        <f t="shared" si="102"/>
        <v>#DIV/0!</v>
      </c>
      <c r="L49" s="188">
        <f t="shared" si="102"/>
        <v>2951.9690000000001</v>
      </c>
      <c r="M49" s="188">
        <f t="shared" si="102"/>
        <v>2951.3249999999998</v>
      </c>
      <c r="N49" s="188" t="e">
        <f t="shared" si="102"/>
        <v>#DIV/0!</v>
      </c>
      <c r="O49" s="188" t="e">
        <f t="shared" si="102"/>
        <v>#DIV/0!</v>
      </c>
      <c r="P49" s="188" t="e">
        <f t="shared" si="102"/>
        <v>#DIV/0!</v>
      </c>
      <c r="Q49" s="188" t="e">
        <f t="shared" si="102"/>
        <v>#DIV/0!</v>
      </c>
      <c r="R49" s="188" t="e">
        <f t="shared" si="102"/>
        <v>#DIV/0!</v>
      </c>
      <c r="S49" s="188">
        <f t="shared" si="102"/>
        <v>3572.5010000000002</v>
      </c>
      <c r="T49" s="188">
        <f>T50/T48*1000</f>
        <v>3572.5010000000002</v>
      </c>
      <c r="U49" s="188">
        <f>U50/U48*1000</f>
        <v>3194.61</v>
      </c>
      <c r="V49" s="188">
        <f>V50/V48*1000</f>
        <v>2806.623</v>
      </c>
      <c r="W49" s="189">
        <f>W50/W48*1000</f>
        <v>-2249.3229999999999</v>
      </c>
    </row>
    <row r="50" spans="1:24" s="176" customFormat="1" ht="18" customHeight="1">
      <c r="A50" s="610"/>
      <c r="B50" s="581"/>
      <c r="C50" s="581"/>
      <c r="D50" s="198" t="str">
        <f>серпень!D50</f>
        <v>касові видатки, тис.грн.</v>
      </c>
      <c r="E50" s="199">
        <f t="shared" ref="E50" si="103">E67+E172+E217</f>
        <v>0</v>
      </c>
      <c r="F50" s="199">
        <f>F67+F172+F217</f>
        <v>0</v>
      </c>
      <c r="G50" s="199">
        <f>G67+G172+G217</f>
        <v>424.26299999999998</v>
      </c>
      <c r="H50" s="199">
        <f t="shared" ref="F50:K52" si="104">H67+H172+H217</f>
        <v>625.24400000000003</v>
      </c>
      <c r="I50" s="199">
        <f t="shared" si="104"/>
        <v>299.83800000000002</v>
      </c>
      <c r="J50" s="199">
        <f t="shared" si="104"/>
        <v>0</v>
      </c>
      <c r="K50" s="199">
        <f t="shared" si="104"/>
        <v>0</v>
      </c>
      <c r="L50" s="199">
        <f>SUM(F50:K50)</f>
        <v>1349.345</v>
      </c>
      <c r="M50" s="199">
        <f>L50/6</f>
        <v>224.89099999999999</v>
      </c>
      <c r="N50" s="199">
        <f>N67+N172+N217</f>
        <v>0</v>
      </c>
      <c r="O50" s="199">
        <f t="shared" ref="O50:S50" si="105">O67+O172+O217</f>
        <v>0</v>
      </c>
      <c r="P50" s="199">
        <f t="shared" si="105"/>
        <v>0</v>
      </c>
      <c r="Q50" s="199">
        <f t="shared" si="105"/>
        <v>0</v>
      </c>
      <c r="R50" s="199">
        <f t="shared" si="105"/>
        <v>0</v>
      </c>
      <c r="S50" s="199">
        <f t="shared" si="105"/>
        <v>1048.529</v>
      </c>
      <c r="T50" s="199">
        <f>SUM(N50:S50)</f>
        <v>1048.529</v>
      </c>
      <c r="U50" s="199">
        <f>T50+L50</f>
        <v>2397.8739999999998</v>
      </c>
      <c r="V50" s="175">
        <f>V67+V172+V217</f>
        <v>2268.3130000000001</v>
      </c>
      <c r="W50" s="200">
        <f>V50-U50</f>
        <v>-129.56100000000001</v>
      </c>
      <c r="X50" s="176">
        <f>U45-U50</f>
        <v>0</v>
      </c>
    </row>
    <row r="51" spans="1:24" s="176" customFormat="1" ht="18" customHeight="1">
      <c r="A51" s="610"/>
      <c r="B51" s="581"/>
      <c r="C51" s="581"/>
      <c r="D51" s="201" t="str">
        <f>серпень!D51</f>
        <v>дотація</v>
      </c>
      <c r="E51" s="199"/>
      <c r="F51" s="199">
        <f>F68+F173+F218</f>
        <v>0</v>
      </c>
      <c r="G51" s="199">
        <f t="shared" si="104"/>
        <v>0</v>
      </c>
      <c r="H51" s="199">
        <f t="shared" si="104"/>
        <v>19.882999999999999</v>
      </c>
      <c r="I51" s="199">
        <f t="shared" si="104"/>
        <v>0</v>
      </c>
      <c r="J51" s="199">
        <f t="shared" si="104"/>
        <v>0</v>
      </c>
      <c r="K51" s="199">
        <f t="shared" si="104"/>
        <v>0</v>
      </c>
      <c r="L51" s="199">
        <f>SUM(F51:K51)</f>
        <v>19.882999999999999</v>
      </c>
      <c r="M51" s="199">
        <f>L51/6</f>
        <v>3.3140000000000001</v>
      </c>
      <c r="N51" s="199">
        <f t="shared" ref="N51:S52" si="106">N68+N173+N218</f>
        <v>0</v>
      </c>
      <c r="O51" s="199">
        <f t="shared" si="106"/>
        <v>0</v>
      </c>
      <c r="P51" s="199">
        <f t="shared" si="106"/>
        <v>0</v>
      </c>
      <c r="Q51" s="199">
        <f t="shared" si="106"/>
        <v>0</v>
      </c>
      <c r="R51" s="199">
        <f t="shared" si="106"/>
        <v>0</v>
      </c>
      <c r="S51" s="199">
        <f t="shared" si="106"/>
        <v>0</v>
      </c>
      <c r="T51" s="199">
        <f>SUM(N51:S51)</f>
        <v>0</v>
      </c>
      <c r="U51" s="199">
        <f>T51+L51</f>
        <v>19.882999999999999</v>
      </c>
      <c r="V51" s="175">
        <f>V68+V173+V218</f>
        <v>19.882999999999999</v>
      </c>
      <c r="W51" s="200">
        <f>V51-U51</f>
        <v>0</v>
      </c>
      <c r="X51" s="176">
        <f>U46-U51</f>
        <v>0</v>
      </c>
    </row>
    <row r="52" spans="1:24" s="176" customFormat="1" ht="18" customHeight="1">
      <c r="A52" s="610"/>
      <c r="B52" s="581"/>
      <c r="C52" s="581"/>
      <c r="D52" s="201" t="str">
        <f>серпень!D52</f>
        <v xml:space="preserve">місцевий </v>
      </c>
      <c r="E52" s="199"/>
      <c r="F52" s="199">
        <f t="shared" si="104"/>
        <v>0</v>
      </c>
      <c r="G52" s="199">
        <f t="shared" si="104"/>
        <v>424.26299999999998</v>
      </c>
      <c r="H52" s="199">
        <f t="shared" si="104"/>
        <v>605.36099999999999</v>
      </c>
      <c r="I52" s="199">
        <f>I69+I174+I219</f>
        <v>299.83800000000002</v>
      </c>
      <c r="J52" s="199">
        <f t="shared" si="104"/>
        <v>0</v>
      </c>
      <c r="K52" s="199">
        <f t="shared" si="104"/>
        <v>0</v>
      </c>
      <c r="L52" s="199">
        <f>SUM(F52:K52)</f>
        <v>1329.462</v>
      </c>
      <c r="M52" s="199">
        <f>L52/6</f>
        <v>221.577</v>
      </c>
      <c r="N52" s="199">
        <f t="shared" si="106"/>
        <v>0</v>
      </c>
      <c r="O52" s="199">
        <f t="shared" si="106"/>
        <v>0</v>
      </c>
      <c r="P52" s="199">
        <f t="shared" si="106"/>
        <v>0</v>
      </c>
      <c r="Q52" s="199">
        <f t="shared" si="106"/>
        <v>0</v>
      </c>
      <c r="R52" s="199">
        <f t="shared" si="106"/>
        <v>0</v>
      </c>
      <c r="S52" s="199">
        <f t="shared" si="106"/>
        <v>1048.529</v>
      </c>
      <c r="T52" s="199">
        <f>SUM(N52:S52)</f>
        <v>1048.529</v>
      </c>
      <c r="U52" s="199">
        <f>T52+L52</f>
        <v>2377.991</v>
      </c>
      <c r="V52" s="175">
        <f>V69+V174+V219</f>
        <v>2248.4299999999998</v>
      </c>
      <c r="W52" s="200">
        <f>V52-U52</f>
        <v>-129.56100000000001</v>
      </c>
      <c r="X52" s="176">
        <f>U47-U52-U51</f>
        <v>-149.44399999999999</v>
      </c>
    </row>
    <row r="53" spans="1:24" s="205" customFormat="1" ht="18" customHeight="1">
      <c r="A53" s="610"/>
      <c r="B53" s="581"/>
      <c r="C53" s="581"/>
      <c r="D53" s="202" t="str">
        <f>серпень!D53</f>
        <v>план</v>
      </c>
      <c r="E53" s="203"/>
      <c r="F53" s="203">
        <f>F47+F46</f>
        <v>0</v>
      </c>
      <c r="G53" s="203">
        <f t="shared" ref="G53:K53" si="107">G47+G46</f>
        <v>458.89299999999997</v>
      </c>
      <c r="H53" s="203">
        <f t="shared" si="107"/>
        <v>610.49800000000005</v>
      </c>
      <c r="I53" s="203">
        <f t="shared" si="107"/>
        <v>282.387</v>
      </c>
      <c r="J53" s="203">
        <f t="shared" si="107"/>
        <v>0</v>
      </c>
      <c r="K53" s="203">
        <f t="shared" si="107"/>
        <v>0</v>
      </c>
      <c r="L53" s="203">
        <f>SUM(F53:K53)</f>
        <v>1351.778</v>
      </c>
      <c r="M53" s="203">
        <f>L53/6</f>
        <v>225.29599999999999</v>
      </c>
      <c r="N53" s="203">
        <f>N47+N46</f>
        <v>0</v>
      </c>
      <c r="O53" s="203">
        <f t="shared" ref="O53:S53" si="108">O47+O46</f>
        <v>0</v>
      </c>
      <c r="P53" s="203">
        <f t="shared" si="108"/>
        <v>0</v>
      </c>
      <c r="Q53" s="203">
        <f t="shared" si="108"/>
        <v>0</v>
      </c>
      <c r="R53" s="203">
        <f t="shared" si="108"/>
        <v>0</v>
      </c>
      <c r="S53" s="203">
        <f t="shared" si="108"/>
        <v>916.53499999999997</v>
      </c>
      <c r="T53" s="203">
        <f>SUM(N53:S53)</f>
        <v>916.53499999999997</v>
      </c>
      <c r="U53" s="203">
        <f>T53+L53</f>
        <v>2268.3130000000001</v>
      </c>
      <c r="V53" s="204">
        <f>V47+V46</f>
        <v>2268.3130000000001</v>
      </c>
      <c r="W53" s="203">
        <f>V53-U53</f>
        <v>0</v>
      </c>
    </row>
    <row r="54" spans="1:24" s="205" customFormat="1" ht="18" customHeight="1">
      <c r="A54" s="610"/>
      <c r="B54" s="581"/>
      <c r="C54" s="581"/>
      <c r="D54" s="202" t="str">
        <f>серпень!D54</f>
        <v xml:space="preserve">відхилення </v>
      </c>
      <c r="E54" s="203"/>
      <c r="F54" s="203">
        <f t="shared" ref="F54:K54" si="109">F50-F53</f>
        <v>0</v>
      </c>
      <c r="G54" s="203">
        <f t="shared" si="109"/>
        <v>-34.630000000000003</v>
      </c>
      <c r="H54" s="203">
        <f t="shared" si="109"/>
        <v>14.746</v>
      </c>
      <c r="I54" s="203">
        <f t="shared" si="109"/>
        <v>17.451000000000001</v>
      </c>
      <c r="J54" s="203">
        <f t="shared" si="109"/>
        <v>0</v>
      </c>
      <c r="K54" s="203">
        <f t="shared" si="109"/>
        <v>0</v>
      </c>
      <c r="L54" s="203"/>
      <c r="M54" s="203"/>
      <c r="N54" s="203">
        <f t="shared" ref="N54:S54" si="110">N50-N53</f>
        <v>0</v>
      </c>
      <c r="O54" s="203">
        <f t="shared" si="110"/>
        <v>0</v>
      </c>
      <c r="P54" s="203">
        <f t="shared" si="110"/>
        <v>0</v>
      </c>
      <c r="Q54" s="203">
        <f t="shared" si="110"/>
        <v>0</v>
      </c>
      <c r="R54" s="203">
        <f t="shared" si="110"/>
        <v>0</v>
      </c>
      <c r="S54" s="203">
        <f t="shared" si="110"/>
        <v>131.994</v>
      </c>
      <c r="T54" s="203"/>
      <c r="U54" s="203"/>
      <c r="V54" s="203"/>
      <c r="W54" s="203"/>
    </row>
    <row r="55" spans="1:24" s="205" customFormat="1" ht="18" customHeight="1">
      <c r="A55" s="610"/>
      <c r="B55" s="581"/>
      <c r="C55" s="581"/>
      <c r="D55" s="202" t="str">
        <f>серпень!D55</f>
        <v>відхилення з наростаючим</v>
      </c>
      <c r="E55" s="203"/>
      <c r="F55" s="203">
        <f>F54</f>
        <v>0</v>
      </c>
      <c r="G55" s="203">
        <f>G54+F55</f>
        <v>-34.630000000000003</v>
      </c>
      <c r="H55" s="203">
        <f>H54+G55</f>
        <v>-19.884</v>
      </c>
      <c r="I55" s="203">
        <f>I54+H55</f>
        <v>-2.4329999999999998</v>
      </c>
      <c r="J55" s="203">
        <f>J54+I55</f>
        <v>-2.4329999999999998</v>
      </c>
      <c r="K55" s="203">
        <f>K54+J55</f>
        <v>-2.4329999999999998</v>
      </c>
      <c r="L55" s="203"/>
      <c r="M55" s="203"/>
      <c r="N55" s="203">
        <f>N54+K55</f>
        <v>-2.4329999999999998</v>
      </c>
      <c r="O55" s="203">
        <f>O54+N55</f>
        <v>-2.4329999999999998</v>
      </c>
      <c r="P55" s="203">
        <f>P54+O55</f>
        <v>-2.4329999999999998</v>
      </c>
      <c r="Q55" s="203">
        <f>Q54+P55</f>
        <v>-2.4329999999999998</v>
      </c>
      <c r="R55" s="203">
        <f>R54+Q55</f>
        <v>-2.4329999999999998</v>
      </c>
      <c r="S55" s="203">
        <f>S54+R55</f>
        <v>129.56100000000001</v>
      </c>
      <c r="T55" s="203"/>
      <c r="U55" s="203"/>
      <c r="V55" s="203"/>
      <c r="W55" s="203"/>
    </row>
    <row r="56" spans="1:24" s="209" customFormat="1" ht="18" customHeight="1">
      <c r="A56" s="610"/>
      <c r="B56" s="580" t="s">
        <v>53</v>
      </c>
      <c r="C56" s="575"/>
      <c r="D56" s="178" t="str">
        <f>серпень!D56</f>
        <v>факт. нат.п-ки 2023</v>
      </c>
      <c r="E56" s="179"/>
      <c r="F56" s="180">
        <f t="shared" ref="F56:K57" si="111">F73+F88+F103+F118+F133+F148</f>
        <v>88.1</v>
      </c>
      <c r="G56" s="180">
        <f t="shared" si="111"/>
        <v>65.8</v>
      </c>
      <c r="H56" s="180">
        <f t="shared" si="111"/>
        <v>41</v>
      </c>
      <c r="I56" s="180">
        <f t="shared" si="111"/>
        <v>0.5</v>
      </c>
      <c r="J56" s="180">
        <f t="shared" si="111"/>
        <v>0.5</v>
      </c>
      <c r="K56" s="180">
        <f t="shared" si="111"/>
        <v>0.5</v>
      </c>
      <c r="L56" s="207">
        <f>SUM(F56:K56)</f>
        <v>196.4</v>
      </c>
      <c r="M56" s="207">
        <f>L56/6</f>
        <v>32.700000000000003</v>
      </c>
      <c r="N56" s="180">
        <f t="shared" ref="N56:S57" si="112">N73+N88+N103+N118+N133+N148</f>
        <v>0.5</v>
      </c>
      <c r="O56" s="180">
        <f t="shared" si="112"/>
        <v>0.5</v>
      </c>
      <c r="P56" s="180">
        <f t="shared" si="112"/>
        <v>0.5</v>
      </c>
      <c r="Q56" s="180">
        <f t="shared" si="112"/>
        <v>38.5</v>
      </c>
      <c r="R56" s="180">
        <f t="shared" si="112"/>
        <v>130.19999999999999</v>
      </c>
      <c r="S56" s="180">
        <f t="shared" si="112"/>
        <v>178.8</v>
      </c>
      <c r="T56" s="207">
        <f>SUM(N56:S56)</f>
        <v>349</v>
      </c>
      <c r="U56" s="208">
        <f>T56+L56</f>
        <v>545.4</v>
      </c>
      <c r="V56" s="183">
        <f>V88+V133</f>
        <v>243.4</v>
      </c>
      <c r="W56" s="184"/>
    </row>
    <row r="57" spans="1:24" s="209" customFormat="1" ht="18.649999999999999" customHeight="1">
      <c r="A57" s="610"/>
      <c r="B57" s="576"/>
      <c r="C57" s="577"/>
      <c r="D57" s="178" t="str">
        <f>серпень!D57</f>
        <v>факт. нат.п-ки 2024</v>
      </c>
      <c r="E57" s="179"/>
      <c r="F57" s="180">
        <f t="shared" si="111"/>
        <v>159.80000000000001</v>
      </c>
      <c r="G57" s="180">
        <f t="shared" si="111"/>
        <v>156.19999999999999</v>
      </c>
      <c r="H57" s="180">
        <f t="shared" si="111"/>
        <v>83.5</v>
      </c>
      <c r="I57" s="180">
        <f t="shared" si="111"/>
        <v>0</v>
      </c>
      <c r="J57" s="180">
        <f t="shared" si="111"/>
        <v>0</v>
      </c>
      <c r="K57" s="180">
        <f t="shared" si="111"/>
        <v>0</v>
      </c>
      <c r="L57" s="207">
        <f>SUM(F57:K57)</f>
        <v>399.5</v>
      </c>
      <c r="M57" s="207">
        <f>L57/6</f>
        <v>66.599999999999994</v>
      </c>
      <c r="N57" s="179">
        <f t="shared" si="112"/>
        <v>0</v>
      </c>
      <c r="O57" s="179">
        <f t="shared" si="112"/>
        <v>0</v>
      </c>
      <c r="P57" s="179">
        <f t="shared" si="112"/>
        <v>0</v>
      </c>
      <c r="Q57" s="179">
        <f t="shared" si="112"/>
        <v>0</v>
      </c>
      <c r="R57" s="179">
        <f t="shared" si="112"/>
        <v>127.4</v>
      </c>
      <c r="S57" s="179">
        <f t="shared" si="112"/>
        <v>154.1</v>
      </c>
      <c r="T57" s="207">
        <f>SUM(N57:S57)</f>
        <v>281.5</v>
      </c>
      <c r="U57" s="208">
        <f>T57+L57</f>
        <v>681</v>
      </c>
      <c r="V57" s="183">
        <f>V89+V134</f>
        <v>197.9</v>
      </c>
      <c r="W57" s="184"/>
    </row>
    <row r="58" spans="1:24" s="209" customFormat="1" ht="18" customHeight="1">
      <c r="A58" s="610"/>
      <c r="B58" s="576"/>
      <c r="C58" s="577"/>
      <c r="D58" s="178" t="str">
        <f>серпень!D58</f>
        <v>факт. нат.п-ки 2025</v>
      </c>
      <c r="E58" s="179"/>
      <c r="F58" s="180">
        <f>F90+F135</f>
        <v>66.7</v>
      </c>
      <c r="G58" s="180">
        <f t="shared" ref="G58:K58" si="113">G90+G135</f>
        <v>77.7</v>
      </c>
      <c r="H58" s="180">
        <f t="shared" si="113"/>
        <v>28.9</v>
      </c>
      <c r="I58" s="180">
        <f t="shared" si="113"/>
        <v>0</v>
      </c>
      <c r="J58" s="180">
        <f t="shared" si="113"/>
        <v>0</v>
      </c>
      <c r="K58" s="180">
        <f t="shared" si="113"/>
        <v>0</v>
      </c>
      <c r="L58" s="337">
        <f>SUM(F58:K58)</f>
        <v>173.3</v>
      </c>
      <c r="M58" s="337">
        <f>L58/6</f>
        <v>28.883330000000001</v>
      </c>
      <c r="N58" s="180">
        <f>N90+N135</f>
        <v>0</v>
      </c>
      <c r="O58" s="180">
        <f t="shared" ref="O58:S58" si="114">O90+O135</f>
        <v>0</v>
      </c>
      <c r="P58" s="180">
        <f t="shared" si="114"/>
        <v>0</v>
      </c>
      <c r="Q58" s="180">
        <f t="shared" si="114"/>
        <v>0</v>
      </c>
      <c r="R58" s="180">
        <f t="shared" si="114"/>
        <v>23.8</v>
      </c>
      <c r="S58" s="180">
        <f t="shared" si="114"/>
        <v>38.200000000000003</v>
      </c>
      <c r="T58" s="337">
        <f>SUM(N58:S58)</f>
        <v>62</v>
      </c>
      <c r="U58" s="347">
        <f>T58+L58</f>
        <v>235.3</v>
      </c>
      <c r="V58" s="233">
        <f>V90+V135</f>
        <v>243.4</v>
      </c>
      <c r="W58" s="184">
        <f>V58-U58</f>
        <v>8.1</v>
      </c>
    </row>
    <row r="59" spans="1:24" s="209" customFormat="1" ht="18" customHeight="1">
      <c r="A59" s="610"/>
      <c r="B59" s="576"/>
      <c r="C59" s="577"/>
      <c r="D59" s="187" t="str">
        <f>серпень!D59</f>
        <v>тариф, грн.</v>
      </c>
      <c r="E59" s="188"/>
      <c r="F59" s="188">
        <f t="shared" ref="F59:S59" si="115">F60/F58*1000</f>
        <v>1654.498</v>
      </c>
      <c r="G59" s="188">
        <f t="shared" si="115"/>
        <v>1701.828</v>
      </c>
      <c r="H59" s="188">
        <f t="shared" si="115"/>
        <v>1645.2249999999999</v>
      </c>
      <c r="I59" s="188" t="e">
        <f>I60/I58*1000</f>
        <v>#DIV/0!</v>
      </c>
      <c r="J59" s="188" t="e">
        <f>J60/J58*1000</f>
        <v>#DIV/0!</v>
      </c>
      <c r="K59" s="188" t="e">
        <f t="shared" si="115"/>
        <v>#DIV/0!</v>
      </c>
      <c r="L59" s="188">
        <f t="shared" si="115"/>
        <v>1674.172</v>
      </c>
      <c r="M59" s="188">
        <f t="shared" si="115"/>
        <v>1674.184</v>
      </c>
      <c r="N59" s="188" t="e">
        <f t="shared" si="115"/>
        <v>#DIV/0!</v>
      </c>
      <c r="O59" s="188" t="e">
        <f t="shared" si="115"/>
        <v>#DIV/0!</v>
      </c>
      <c r="P59" s="188" t="e">
        <f t="shared" si="115"/>
        <v>#DIV/0!</v>
      </c>
      <c r="Q59" s="188" t="e">
        <f t="shared" si="115"/>
        <v>#DIV/0!</v>
      </c>
      <c r="R59" s="188">
        <f t="shared" si="115"/>
        <v>1655.0840000000001</v>
      </c>
      <c r="S59" s="188">
        <f t="shared" si="115"/>
        <v>1655.0519999999999</v>
      </c>
      <c r="T59" s="188">
        <f>T60/T58*1000</f>
        <v>1655.0650000000001</v>
      </c>
      <c r="U59" s="188">
        <f>U60/U58*1000</f>
        <v>1669.1369999999999</v>
      </c>
      <c r="V59" s="188">
        <f>V60/V58*1000</f>
        <v>1736.7670000000001</v>
      </c>
      <c r="W59" s="189">
        <f>W60/W58*1000</f>
        <v>3701.3580000000002</v>
      </c>
    </row>
    <row r="60" spans="1:24" s="209" customFormat="1" ht="18" customHeight="1">
      <c r="A60" s="610"/>
      <c r="B60" s="576"/>
      <c r="C60" s="577"/>
      <c r="D60" s="191" t="str">
        <f>серпень!D60</f>
        <v>сума, тис.грн.</v>
      </c>
      <c r="E60" s="192"/>
      <c r="F60" s="192">
        <f>F92+F137</f>
        <v>110.355</v>
      </c>
      <c r="G60" s="192">
        <f>G92+G137</f>
        <v>132.232</v>
      </c>
      <c r="H60" s="192">
        <f t="shared" ref="H60:K60" si="116">H92+H137</f>
        <v>47.546999999999997</v>
      </c>
      <c r="I60" s="192">
        <f t="shared" si="116"/>
        <v>0</v>
      </c>
      <c r="J60" s="192">
        <f t="shared" si="116"/>
        <v>0</v>
      </c>
      <c r="K60" s="192">
        <f t="shared" si="116"/>
        <v>0</v>
      </c>
      <c r="L60" s="192">
        <f t="shared" ref="L60:L65" si="117">SUM(F60:K60)</f>
        <v>290.13400000000001</v>
      </c>
      <c r="M60" s="192">
        <f t="shared" ref="M60:M65" si="118">L60/6</f>
        <v>48.356000000000002</v>
      </c>
      <c r="N60" s="192">
        <f>N92+N137</f>
        <v>0</v>
      </c>
      <c r="O60" s="192">
        <f t="shared" ref="O60:S60" si="119">O92+O137</f>
        <v>0</v>
      </c>
      <c r="P60" s="192">
        <f t="shared" si="119"/>
        <v>0</v>
      </c>
      <c r="Q60" s="192">
        <f t="shared" si="119"/>
        <v>0</v>
      </c>
      <c r="R60" s="192">
        <f t="shared" si="119"/>
        <v>39.390999999999998</v>
      </c>
      <c r="S60" s="192">
        <f t="shared" si="119"/>
        <v>63.222999999999999</v>
      </c>
      <c r="T60" s="192">
        <f t="shared" ref="T60:T65" si="120">SUM(N60:S60)</f>
        <v>102.614</v>
      </c>
      <c r="U60" s="192">
        <f t="shared" ref="U60:U65" si="121">T60+L60</f>
        <v>392.74799999999999</v>
      </c>
      <c r="V60" s="192">
        <f>V92+V137</f>
        <v>422.72899999999998</v>
      </c>
      <c r="W60" s="193">
        <f>V60-U60</f>
        <v>29.981000000000002</v>
      </c>
    </row>
    <row r="61" spans="1:24" s="209" customFormat="1" ht="18" customHeight="1">
      <c r="A61" s="610"/>
      <c r="B61" s="576"/>
      <c r="C61" s="577"/>
      <c r="D61" s="174" t="str">
        <f>серпень!D61</f>
        <v>абоненська плата, тис.грн.</v>
      </c>
      <c r="E61" s="192"/>
      <c r="F61" s="192">
        <f>F77+F107+F122+F152</f>
        <v>0</v>
      </c>
      <c r="G61" s="192">
        <f t="shared" ref="G61:K61" si="122">G77+G107+G122+G152</f>
        <v>0</v>
      </c>
      <c r="H61" s="192">
        <f>H77+H107+H122+H152</f>
        <v>0</v>
      </c>
      <c r="I61" s="192">
        <f t="shared" si="122"/>
        <v>0</v>
      </c>
      <c r="J61" s="192">
        <f t="shared" si="122"/>
        <v>0</v>
      </c>
      <c r="K61" s="192">
        <f t="shared" si="122"/>
        <v>0</v>
      </c>
      <c r="L61" s="192">
        <f t="shared" si="117"/>
        <v>0</v>
      </c>
      <c r="M61" s="192">
        <f t="shared" si="118"/>
        <v>0</v>
      </c>
      <c r="N61" s="192">
        <f>N77+N107+N122+N152</f>
        <v>0</v>
      </c>
      <c r="O61" s="192">
        <f t="shared" ref="O61:R61" si="123">O77+O107+O122+O152</f>
        <v>0</v>
      </c>
      <c r="P61" s="192">
        <f t="shared" si="123"/>
        <v>0</v>
      </c>
      <c r="Q61" s="192">
        <f t="shared" si="123"/>
        <v>0</v>
      </c>
      <c r="R61" s="192">
        <f t="shared" si="123"/>
        <v>0</v>
      </c>
      <c r="S61" s="192">
        <f>S77+S107+S122+S152</f>
        <v>0</v>
      </c>
      <c r="T61" s="192">
        <f t="shared" si="120"/>
        <v>0</v>
      </c>
      <c r="U61" s="192">
        <f t="shared" si="121"/>
        <v>0</v>
      </c>
      <c r="V61" s="192">
        <f>V77+V107+V122+V152</f>
        <v>0</v>
      </c>
      <c r="W61" s="193">
        <f t="shared" ref="W61:W63" si="124">V61-U61</f>
        <v>0</v>
      </c>
    </row>
    <row r="62" spans="1:24" s="209" customFormat="1" ht="18" customHeight="1">
      <c r="A62" s="610"/>
      <c r="B62" s="576"/>
      <c r="C62" s="577"/>
      <c r="D62" s="174" t="str">
        <f>серпень!D62</f>
        <v>разом сума тис. грн+абонплата</v>
      </c>
      <c r="E62" s="192"/>
      <c r="F62" s="192">
        <f>F60+F61</f>
        <v>110.355</v>
      </c>
      <c r="G62" s="192">
        <f t="shared" ref="G62:K62" si="125">G60+G61</f>
        <v>132.232</v>
      </c>
      <c r="H62" s="192">
        <f t="shared" si="125"/>
        <v>47.546999999999997</v>
      </c>
      <c r="I62" s="192">
        <f t="shared" si="125"/>
        <v>0</v>
      </c>
      <c r="J62" s="192">
        <f t="shared" si="125"/>
        <v>0</v>
      </c>
      <c r="K62" s="192">
        <f t="shared" si="125"/>
        <v>0</v>
      </c>
      <c r="L62" s="192">
        <f t="shared" si="117"/>
        <v>290.13400000000001</v>
      </c>
      <c r="M62" s="192">
        <f t="shared" si="118"/>
        <v>48.356000000000002</v>
      </c>
      <c r="N62" s="192">
        <f t="shared" ref="N62:R62" si="126">N60+N61</f>
        <v>0</v>
      </c>
      <c r="O62" s="192">
        <f t="shared" si="126"/>
        <v>0</v>
      </c>
      <c r="P62" s="192">
        <f t="shared" si="126"/>
        <v>0</v>
      </c>
      <c r="Q62" s="192">
        <f t="shared" si="126"/>
        <v>0</v>
      </c>
      <c r="R62" s="192">
        <f t="shared" si="126"/>
        <v>39.390999999999998</v>
      </c>
      <c r="S62" s="192">
        <f>S60+S61</f>
        <v>63.222999999999999</v>
      </c>
      <c r="T62" s="192">
        <f t="shared" si="120"/>
        <v>102.614</v>
      </c>
      <c r="U62" s="192">
        <f t="shared" si="121"/>
        <v>392.74799999999999</v>
      </c>
      <c r="V62" s="192">
        <f>V60+V61</f>
        <v>422.72899999999998</v>
      </c>
      <c r="W62" s="193">
        <f t="shared" si="124"/>
        <v>29.981000000000002</v>
      </c>
    </row>
    <row r="63" spans="1:24" s="209" customFormat="1" ht="18" customHeight="1">
      <c r="A63" s="610"/>
      <c r="B63" s="576"/>
      <c r="C63" s="577"/>
      <c r="D63" s="174" t="str">
        <f>серпень!D63</f>
        <v>дотація</v>
      </c>
      <c r="E63" s="210"/>
      <c r="F63" s="192">
        <f t="shared" ref="F63:K64" si="127">F78+F93+F108+F123+F138+F153</f>
        <v>0</v>
      </c>
      <c r="G63" s="192">
        <f t="shared" si="127"/>
        <v>0</v>
      </c>
      <c r="H63" s="192">
        <f t="shared" si="127"/>
        <v>19.882999999999999</v>
      </c>
      <c r="I63" s="192">
        <f t="shared" si="127"/>
        <v>0</v>
      </c>
      <c r="J63" s="192">
        <f t="shared" si="127"/>
        <v>0</v>
      </c>
      <c r="K63" s="192">
        <f t="shared" si="127"/>
        <v>0</v>
      </c>
      <c r="L63" s="192">
        <f t="shared" si="117"/>
        <v>19.882999999999999</v>
      </c>
      <c r="M63" s="192">
        <f t="shared" si="118"/>
        <v>3.3140000000000001</v>
      </c>
      <c r="N63" s="192">
        <f t="shared" ref="N63:S64" si="128">N78+N93+N108+N123+N138+N153</f>
        <v>0</v>
      </c>
      <c r="O63" s="192">
        <f t="shared" si="128"/>
        <v>0</v>
      </c>
      <c r="P63" s="192">
        <f t="shared" si="128"/>
        <v>0</v>
      </c>
      <c r="Q63" s="192">
        <f t="shared" si="128"/>
        <v>0</v>
      </c>
      <c r="R63" s="192">
        <f t="shared" si="128"/>
        <v>0</v>
      </c>
      <c r="S63" s="192">
        <f t="shared" si="128"/>
        <v>0</v>
      </c>
      <c r="T63" s="192">
        <f t="shared" si="120"/>
        <v>0</v>
      </c>
      <c r="U63" s="192">
        <f t="shared" si="121"/>
        <v>19.882999999999999</v>
      </c>
      <c r="V63" s="192">
        <f t="shared" ref="V63" si="129">V78+V93+V108+V123+V138+V153</f>
        <v>19.882999999999999</v>
      </c>
      <c r="W63" s="211">
        <f t="shared" si="124"/>
        <v>0</v>
      </c>
    </row>
    <row r="64" spans="1:24" s="209" customFormat="1" ht="18" customHeight="1">
      <c r="A64" s="610"/>
      <c r="B64" s="576"/>
      <c r="C64" s="577"/>
      <c r="D64" s="174" t="str">
        <f>серпень!D64</f>
        <v>місцевий (план), тис.грн</v>
      </c>
      <c r="E64" s="210"/>
      <c r="F64" s="192">
        <f>F79+F94+F109+F124+F139+F154</f>
        <v>0</v>
      </c>
      <c r="G64" s="192">
        <f>G79+G94+G109+G124+G139+G154</f>
        <v>144.98500000000001</v>
      </c>
      <c r="H64" s="192">
        <f>H79+H94+H109+H124+H139+H154</f>
        <v>88.215999999999994</v>
      </c>
      <c r="I64" s="192">
        <f t="shared" si="127"/>
        <v>67.031000000000006</v>
      </c>
      <c r="J64" s="192">
        <f t="shared" si="127"/>
        <v>0</v>
      </c>
      <c r="K64" s="192">
        <f t="shared" si="127"/>
        <v>0</v>
      </c>
      <c r="L64" s="210">
        <f t="shared" si="117"/>
        <v>300.23200000000003</v>
      </c>
      <c r="M64" s="210">
        <f t="shared" si="118"/>
        <v>50.039000000000001</v>
      </c>
      <c r="N64" s="192">
        <f>N79+N94+N109+N124+N139+N154</f>
        <v>0</v>
      </c>
      <c r="O64" s="192">
        <f>O79+O94+O109+O124+O139+O154</f>
        <v>0</v>
      </c>
      <c r="P64" s="192">
        <f t="shared" si="128"/>
        <v>0</v>
      </c>
      <c r="Q64" s="192">
        <f t="shared" si="128"/>
        <v>0</v>
      </c>
      <c r="R64" s="192">
        <f t="shared" si="128"/>
        <v>0</v>
      </c>
      <c r="S64" s="192">
        <f t="shared" si="128"/>
        <v>102.614</v>
      </c>
      <c r="T64" s="192">
        <f t="shared" si="120"/>
        <v>102.614</v>
      </c>
      <c r="U64" s="192">
        <f t="shared" si="121"/>
        <v>402.846</v>
      </c>
      <c r="V64" s="192">
        <f>V79+V94+V109+V124+V139+V154</f>
        <v>402.846</v>
      </c>
      <c r="W64" s="193">
        <f>V64-U64</f>
        <v>0</v>
      </c>
    </row>
    <row r="65" spans="1:24" s="209" customFormat="1" ht="18" customHeight="1">
      <c r="A65" s="610"/>
      <c r="B65" s="576"/>
      <c r="C65" s="577"/>
      <c r="D65" s="178" t="str">
        <f>серпень!D65</f>
        <v>касові нат.п-ки 2025</v>
      </c>
      <c r="E65" s="260">
        <f>E80+E95+E110+E125+E140+E155</f>
        <v>0</v>
      </c>
      <c r="F65" s="179">
        <f>F95+F140</f>
        <v>0</v>
      </c>
      <c r="G65" s="179">
        <f t="shared" ref="G65:K65" si="130">G95+G140</f>
        <v>66.7</v>
      </c>
      <c r="H65" s="179">
        <f t="shared" si="130"/>
        <v>77.7</v>
      </c>
      <c r="I65" s="179">
        <f t="shared" si="130"/>
        <v>28.9</v>
      </c>
      <c r="J65" s="179">
        <f t="shared" si="130"/>
        <v>0</v>
      </c>
      <c r="K65" s="179">
        <f t="shared" si="130"/>
        <v>0</v>
      </c>
      <c r="L65" s="355">
        <f t="shared" si="117"/>
        <v>173.3</v>
      </c>
      <c r="M65" s="355">
        <f t="shared" si="118"/>
        <v>28.883333</v>
      </c>
      <c r="N65" s="179">
        <f>N95+N140</f>
        <v>0</v>
      </c>
      <c r="O65" s="179">
        <f t="shared" ref="O65:S65" si="131">O95+O140</f>
        <v>0</v>
      </c>
      <c r="P65" s="179">
        <f t="shared" si="131"/>
        <v>0</v>
      </c>
      <c r="Q65" s="179">
        <f t="shared" si="131"/>
        <v>0</v>
      </c>
      <c r="R65" s="179">
        <f t="shared" si="131"/>
        <v>0</v>
      </c>
      <c r="S65" s="179">
        <f t="shared" si="131"/>
        <v>62</v>
      </c>
      <c r="T65" s="355">
        <f t="shared" si="120"/>
        <v>62</v>
      </c>
      <c r="U65" s="355">
        <f t="shared" si="121"/>
        <v>235.3</v>
      </c>
      <c r="V65" s="179">
        <f t="shared" ref="V65" si="132">V95+V140</f>
        <v>243.4</v>
      </c>
      <c r="W65" s="184">
        <f>V65-U65</f>
        <v>8.1</v>
      </c>
      <c r="X65" s="209">
        <f>U58-U65</f>
        <v>0</v>
      </c>
    </row>
    <row r="66" spans="1:24" s="209" customFormat="1" ht="18" customHeight="1">
      <c r="A66" s="610"/>
      <c r="B66" s="576"/>
      <c r="C66" s="577"/>
      <c r="D66" s="187" t="str">
        <f>серпень!D66</f>
        <v>тариф, грн.</v>
      </c>
      <c r="E66" s="188" t="e">
        <f t="shared" ref="E66:S66" si="133">E67/E65*1000</f>
        <v>#DIV/0!</v>
      </c>
      <c r="F66" s="188" t="e">
        <f t="shared" si="133"/>
        <v>#DIV/0!</v>
      </c>
      <c r="G66" s="188">
        <f t="shared" si="133"/>
        <v>1654.498</v>
      </c>
      <c r="H66" s="188">
        <f t="shared" si="133"/>
        <v>1701.828</v>
      </c>
      <c r="I66" s="188">
        <f>I67/I65*1000</f>
        <v>1645.2249999999999</v>
      </c>
      <c r="J66" s="188" t="e">
        <f>J67/J65*1000</f>
        <v>#DIV/0!</v>
      </c>
      <c r="K66" s="188" t="e">
        <f t="shared" si="133"/>
        <v>#DIV/0!</v>
      </c>
      <c r="L66" s="188">
        <f t="shared" si="133"/>
        <v>1674.172</v>
      </c>
      <c r="M66" s="188">
        <f t="shared" si="133"/>
        <v>1674.184</v>
      </c>
      <c r="N66" s="188" t="e">
        <f t="shared" si="133"/>
        <v>#DIV/0!</v>
      </c>
      <c r="O66" s="188" t="e">
        <f t="shared" si="133"/>
        <v>#DIV/0!</v>
      </c>
      <c r="P66" s="188" t="e">
        <f t="shared" si="133"/>
        <v>#DIV/0!</v>
      </c>
      <c r="Q66" s="188" t="e">
        <f t="shared" si="133"/>
        <v>#DIV/0!</v>
      </c>
      <c r="R66" s="188" t="e">
        <f t="shared" si="133"/>
        <v>#DIV/0!</v>
      </c>
      <c r="S66" s="188">
        <f t="shared" si="133"/>
        <v>1655.0650000000001</v>
      </c>
      <c r="T66" s="188">
        <f>T67/T65*1000</f>
        <v>1655.0650000000001</v>
      </c>
      <c r="U66" s="188">
        <f>U67/U65*1000</f>
        <v>1669.1369999999999</v>
      </c>
      <c r="V66" s="188">
        <f>V67/V65*1000</f>
        <v>1736.7670000000001</v>
      </c>
      <c r="W66" s="189">
        <f>W67/W65*1000</f>
        <v>3701.3580000000002</v>
      </c>
    </row>
    <row r="67" spans="1:24" s="213" customFormat="1" ht="18" customHeight="1">
      <c r="A67" s="610"/>
      <c r="B67" s="576"/>
      <c r="C67" s="577"/>
      <c r="D67" s="198" t="str">
        <f>серпень!D67</f>
        <v>касові видатки, тис.грн.</v>
      </c>
      <c r="E67" s="199">
        <f>E82+E97+E112+E127+E142+E157+E279+E294+E309+E324</f>
        <v>0</v>
      </c>
      <c r="F67" s="199">
        <f>F82+F97+F112+F127+F142+F157</f>
        <v>0</v>
      </c>
      <c r="G67" s="199">
        <f>G82+G97+G112+G127+G142+G157</f>
        <v>110.355</v>
      </c>
      <c r="H67" s="199">
        <f t="shared" ref="H67:K67" si="134">H82+H97+H112+H127+H142+H157</f>
        <v>132.232</v>
      </c>
      <c r="I67" s="199">
        <f t="shared" si="134"/>
        <v>47.546999999999997</v>
      </c>
      <c r="J67" s="199">
        <f t="shared" si="134"/>
        <v>0</v>
      </c>
      <c r="K67" s="199">
        <f t="shared" si="134"/>
        <v>0</v>
      </c>
      <c r="L67" s="199">
        <f>SUM(F67:K67)</f>
        <v>290.13400000000001</v>
      </c>
      <c r="M67" s="199">
        <f>L67/6</f>
        <v>48.356000000000002</v>
      </c>
      <c r="N67" s="199">
        <f>N82+N97+N112+N127+N142+N157</f>
        <v>0</v>
      </c>
      <c r="O67" s="199">
        <f t="shared" ref="O67:S67" si="135">O82+O97+O112+O127+O142+O157</f>
        <v>0</v>
      </c>
      <c r="P67" s="199">
        <f t="shared" si="135"/>
        <v>0</v>
      </c>
      <c r="Q67" s="199">
        <f t="shared" si="135"/>
        <v>0</v>
      </c>
      <c r="R67" s="199">
        <f t="shared" si="135"/>
        <v>0</v>
      </c>
      <c r="S67" s="199">
        <f t="shared" si="135"/>
        <v>102.614</v>
      </c>
      <c r="T67" s="199">
        <f>SUM(N67:S67)</f>
        <v>102.614</v>
      </c>
      <c r="U67" s="199">
        <f>T67+L67</f>
        <v>392.74799999999999</v>
      </c>
      <c r="V67" s="199">
        <f>V82+V97+V112+V127+V142+V157</f>
        <v>422.72899999999998</v>
      </c>
      <c r="W67" s="175">
        <f>V67-U67</f>
        <v>29.981000000000002</v>
      </c>
      <c r="X67" s="213">
        <f>U62-U67</f>
        <v>0</v>
      </c>
    </row>
    <row r="68" spans="1:24" s="213" customFormat="1" ht="18" customHeight="1">
      <c r="A68" s="610"/>
      <c r="B68" s="576"/>
      <c r="C68" s="577"/>
      <c r="D68" s="201" t="str">
        <f>серпень!D68</f>
        <v>дотація</v>
      </c>
      <c r="E68" s="212"/>
      <c r="F68" s="199">
        <f t="shared" ref="F68:K69" si="136">F83+F98+F113+F128+F143+F158</f>
        <v>0</v>
      </c>
      <c r="G68" s="199">
        <f t="shared" si="136"/>
        <v>0</v>
      </c>
      <c r="H68" s="199">
        <f t="shared" si="136"/>
        <v>19.882999999999999</v>
      </c>
      <c r="I68" s="199">
        <f t="shared" si="136"/>
        <v>0</v>
      </c>
      <c r="J68" s="199">
        <f t="shared" si="136"/>
        <v>0</v>
      </c>
      <c r="K68" s="199">
        <f t="shared" si="136"/>
        <v>0</v>
      </c>
      <c r="L68" s="199">
        <f>SUM(F68:K68)</f>
        <v>19.882999999999999</v>
      </c>
      <c r="M68" s="199">
        <f>L68/6</f>
        <v>3.3140000000000001</v>
      </c>
      <c r="N68" s="199">
        <f t="shared" ref="N68:S69" si="137">N83+N98+N113+N128+N143+N158</f>
        <v>0</v>
      </c>
      <c r="O68" s="199">
        <f t="shared" si="137"/>
        <v>0</v>
      </c>
      <c r="P68" s="199">
        <f t="shared" si="137"/>
        <v>0</v>
      </c>
      <c r="Q68" s="199">
        <f t="shared" si="137"/>
        <v>0</v>
      </c>
      <c r="R68" s="199">
        <f t="shared" si="137"/>
        <v>0</v>
      </c>
      <c r="S68" s="199">
        <f t="shared" si="137"/>
        <v>0</v>
      </c>
      <c r="T68" s="199">
        <f>SUM(N68:S68)</f>
        <v>0</v>
      </c>
      <c r="U68" s="199">
        <f>T68+L68</f>
        <v>19.882999999999999</v>
      </c>
      <c r="V68" s="199">
        <f t="shared" ref="V68" si="138">V83+V98+V113+V128+V143+V158</f>
        <v>19.882999999999999</v>
      </c>
      <c r="W68" s="175">
        <f>V68-U68</f>
        <v>0</v>
      </c>
      <c r="X68" s="213">
        <f>U63-U68</f>
        <v>0</v>
      </c>
    </row>
    <row r="69" spans="1:24" s="213" customFormat="1" ht="18" customHeight="1">
      <c r="A69" s="610"/>
      <c r="B69" s="576"/>
      <c r="C69" s="577"/>
      <c r="D69" s="201" t="str">
        <f>серпень!D69</f>
        <v xml:space="preserve">місцевий </v>
      </c>
      <c r="E69" s="212"/>
      <c r="F69" s="199">
        <f t="shared" si="136"/>
        <v>0</v>
      </c>
      <c r="G69" s="199">
        <f t="shared" si="136"/>
        <v>110.355</v>
      </c>
      <c r="H69" s="199">
        <f t="shared" si="136"/>
        <v>112.349</v>
      </c>
      <c r="I69" s="199">
        <f t="shared" si="136"/>
        <v>47.546999999999997</v>
      </c>
      <c r="J69" s="199">
        <f t="shared" si="136"/>
        <v>0</v>
      </c>
      <c r="K69" s="199">
        <f t="shared" si="136"/>
        <v>0</v>
      </c>
      <c r="L69" s="199">
        <f>SUM(F69:K69)</f>
        <v>270.25099999999998</v>
      </c>
      <c r="M69" s="199">
        <f>L69/6</f>
        <v>45.042000000000002</v>
      </c>
      <c r="N69" s="199">
        <f>N84+N99+N114+N129+N144+N159</f>
        <v>0</v>
      </c>
      <c r="O69" s="199">
        <f t="shared" si="137"/>
        <v>0</v>
      </c>
      <c r="P69" s="199">
        <f t="shared" si="137"/>
        <v>0</v>
      </c>
      <c r="Q69" s="199">
        <f t="shared" si="137"/>
        <v>0</v>
      </c>
      <c r="R69" s="199">
        <f t="shared" si="137"/>
        <v>0</v>
      </c>
      <c r="S69" s="199">
        <f t="shared" si="137"/>
        <v>102.614</v>
      </c>
      <c r="T69" s="199">
        <f>SUM(N69:S69)</f>
        <v>102.614</v>
      </c>
      <c r="U69" s="199">
        <f>T69+L69</f>
        <v>372.86500000000001</v>
      </c>
      <c r="V69" s="199">
        <f>V84+V99+V114+V129+V144+V159</f>
        <v>402.846</v>
      </c>
      <c r="W69" s="175">
        <f>V69-U69</f>
        <v>29.981000000000002</v>
      </c>
      <c r="X69" s="213">
        <f>U64-U69-U68</f>
        <v>10.098000000000001</v>
      </c>
    </row>
    <row r="70" spans="1:24" s="214" customFormat="1" ht="18" customHeight="1">
      <c r="A70" s="610"/>
      <c r="B70" s="576"/>
      <c r="C70" s="577"/>
      <c r="D70" s="202" t="str">
        <f>серпень!D70</f>
        <v>план</v>
      </c>
      <c r="E70" s="203"/>
      <c r="F70" s="203">
        <f>F64+F63</f>
        <v>0</v>
      </c>
      <c r="G70" s="203">
        <f t="shared" ref="G70:K70" si="139">G64+G63</f>
        <v>144.98500000000001</v>
      </c>
      <c r="H70" s="203">
        <f>H64+H63</f>
        <v>108.099</v>
      </c>
      <c r="I70" s="203">
        <f t="shared" si="139"/>
        <v>67.031000000000006</v>
      </c>
      <c r="J70" s="203">
        <f t="shared" si="139"/>
        <v>0</v>
      </c>
      <c r="K70" s="203">
        <f t="shared" si="139"/>
        <v>0</v>
      </c>
      <c r="L70" s="203">
        <f>SUM(F70:K70)</f>
        <v>320.11500000000001</v>
      </c>
      <c r="M70" s="203">
        <f>L70/6</f>
        <v>53.353000000000002</v>
      </c>
      <c r="N70" s="203">
        <f>N64+N63</f>
        <v>0</v>
      </c>
      <c r="O70" s="203">
        <f>O64+O63</f>
        <v>0</v>
      </c>
      <c r="P70" s="203">
        <f t="shared" ref="P70:R70" si="140">P64+P63</f>
        <v>0</v>
      </c>
      <c r="Q70" s="203">
        <f t="shared" si="140"/>
        <v>0</v>
      </c>
      <c r="R70" s="203">
        <f t="shared" si="140"/>
        <v>0</v>
      </c>
      <c r="S70" s="203">
        <f>S64+S63</f>
        <v>102.614</v>
      </c>
      <c r="T70" s="203">
        <f>SUM(N70:S70)</f>
        <v>102.614</v>
      </c>
      <c r="U70" s="203">
        <f>T70+L70</f>
        <v>422.72899999999998</v>
      </c>
      <c r="V70" s="203">
        <f>V64+V63</f>
        <v>422.72899999999998</v>
      </c>
      <c r="W70" s="204">
        <f>V70-U70</f>
        <v>0</v>
      </c>
    </row>
    <row r="71" spans="1:24" s="214" customFormat="1" ht="18" customHeight="1">
      <c r="A71" s="610"/>
      <c r="B71" s="576"/>
      <c r="C71" s="577"/>
      <c r="D71" s="202" t="str">
        <f>серпень!D71</f>
        <v xml:space="preserve">відхилення </v>
      </c>
      <c r="E71" s="203"/>
      <c r="F71" s="203">
        <f t="shared" ref="F71:K71" si="141">F67-F70</f>
        <v>0</v>
      </c>
      <c r="G71" s="203">
        <f t="shared" si="141"/>
        <v>-34.630000000000003</v>
      </c>
      <c r="H71" s="203">
        <f t="shared" si="141"/>
        <v>24.132999999999999</v>
      </c>
      <c r="I71" s="203">
        <f t="shared" si="141"/>
        <v>-19.484000000000002</v>
      </c>
      <c r="J71" s="203">
        <f t="shared" si="141"/>
        <v>0</v>
      </c>
      <c r="K71" s="203">
        <f t="shared" si="141"/>
        <v>0</v>
      </c>
      <c r="L71" s="203"/>
      <c r="M71" s="203"/>
      <c r="N71" s="203">
        <f>N67-N70</f>
        <v>0</v>
      </c>
      <c r="O71" s="203">
        <f t="shared" ref="O71:S71" si="142">O67-O70</f>
        <v>0</v>
      </c>
      <c r="P71" s="203">
        <f t="shared" si="142"/>
        <v>0</v>
      </c>
      <c r="Q71" s="203">
        <f t="shared" si="142"/>
        <v>0</v>
      </c>
      <c r="R71" s="203">
        <f t="shared" si="142"/>
        <v>0</v>
      </c>
      <c r="S71" s="203">
        <f t="shared" si="142"/>
        <v>0</v>
      </c>
      <c r="T71" s="203"/>
      <c r="U71" s="203"/>
      <c r="V71" s="203"/>
      <c r="W71" s="203"/>
    </row>
    <row r="72" spans="1:24" s="214" customFormat="1" ht="18" customHeight="1">
      <c r="A72" s="610"/>
      <c r="B72" s="578"/>
      <c r="C72" s="579"/>
      <c r="D72" s="202" t="str">
        <f>серпень!D72</f>
        <v>відхилення з наростаючим</v>
      </c>
      <c r="E72" s="203"/>
      <c r="F72" s="203">
        <f>F71</f>
        <v>0</v>
      </c>
      <c r="G72" s="203">
        <f>G71+F72</f>
        <v>-34.630000000000003</v>
      </c>
      <c r="H72" s="203">
        <f>H71+G72</f>
        <v>-10.497</v>
      </c>
      <c r="I72" s="203">
        <f>I71+H72</f>
        <v>-29.981000000000002</v>
      </c>
      <c r="J72" s="203">
        <f>J71+I72</f>
        <v>-29.981000000000002</v>
      </c>
      <c r="K72" s="203">
        <f>K71+J72</f>
        <v>-29.981000000000002</v>
      </c>
      <c r="L72" s="203"/>
      <c r="M72" s="203"/>
      <c r="N72" s="203">
        <f>N71+K72</f>
        <v>-29.981000000000002</v>
      </c>
      <c r="O72" s="203">
        <f>O71+N72</f>
        <v>-29.981000000000002</v>
      </c>
      <c r="P72" s="203">
        <f>P71+O72</f>
        <v>-29.981000000000002</v>
      </c>
      <c r="Q72" s="203">
        <f>Q71+P72</f>
        <v>-29.981000000000002</v>
      </c>
      <c r="R72" s="203">
        <f>R71+Q72</f>
        <v>-29.981000000000002</v>
      </c>
      <c r="S72" s="203">
        <f>S71+R72</f>
        <v>-29.981000000000002</v>
      </c>
      <c r="T72" s="203"/>
      <c r="U72" s="203"/>
      <c r="V72" s="203"/>
      <c r="W72" s="203"/>
    </row>
    <row r="73" spans="1:24" s="214" customFormat="1" ht="18" hidden="1" customHeight="1">
      <c r="A73" s="610"/>
      <c r="B73" s="582" t="s">
        <v>54</v>
      </c>
      <c r="C73" s="582" t="s">
        <v>98</v>
      </c>
      <c r="D73" s="178" t="str">
        <f>серпень!D73</f>
        <v>факт. нат.п-ки 2023</v>
      </c>
      <c r="E73" s="179"/>
      <c r="F73" s="399">
        <v>0.45839999999999997</v>
      </c>
      <c r="G73" s="399">
        <v>0.45839999999999997</v>
      </c>
      <c r="H73" s="342">
        <v>0.45839999999999997</v>
      </c>
      <c r="I73" s="342">
        <v>0.45839999999999997</v>
      </c>
      <c r="J73" s="342">
        <v>0.45839999999999997</v>
      </c>
      <c r="K73" s="342">
        <v>0.45839999999999997</v>
      </c>
      <c r="L73" s="400">
        <f>SUM(F73:K73)</f>
        <v>2.7504</v>
      </c>
      <c r="M73" s="400">
        <f>L73/6</f>
        <v>0.45839999999999997</v>
      </c>
      <c r="N73" s="342">
        <v>0.45839999999999997</v>
      </c>
      <c r="O73" s="342">
        <v>0.5111</v>
      </c>
      <c r="P73" s="342">
        <v>0.45829999999999999</v>
      </c>
      <c r="Q73" s="342">
        <v>0.45829999999999999</v>
      </c>
      <c r="R73" s="342">
        <v>0.45829999999999999</v>
      </c>
      <c r="S73" s="342">
        <v>0.45829999999999999</v>
      </c>
      <c r="T73" s="400">
        <f>SUM(N73:S73)</f>
        <v>2.8027000000000002</v>
      </c>
      <c r="U73" s="400">
        <f>T73+L73</f>
        <v>5.5530999999999997</v>
      </c>
      <c r="V73" s="342"/>
      <c r="W73" s="399"/>
    </row>
    <row r="74" spans="1:24" s="214" customFormat="1" ht="18" hidden="1" customHeight="1">
      <c r="A74" s="610"/>
      <c r="B74" s="583"/>
      <c r="C74" s="583"/>
      <c r="D74" s="178" t="str">
        <f>серпень!D74</f>
        <v>факт. нат.п-ки 2024</v>
      </c>
      <c r="E74" s="179"/>
      <c r="F74" s="399">
        <v>0</v>
      </c>
      <c r="G74" s="399">
        <v>0</v>
      </c>
      <c r="H74" s="342">
        <v>0</v>
      </c>
      <c r="I74" s="342">
        <v>0</v>
      </c>
      <c r="J74" s="342">
        <v>0</v>
      </c>
      <c r="K74" s="342">
        <v>0</v>
      </c>
      <c r="L74" s="400">
        <f>SUM(F74:K74)</f>
        <v>0</v>
      </c>
      <c r="M74" s="400">
        <f>L74/6</f>
        <v>0</v>
      </c>
      <c r="N74" s="342">
        <v>0</v>
      </c>
      <c r="O74" s="342">
        <v>0</v>
      </c>
      <c r="P74" s="342">
        <v>0</v>
      </c>
      <c r="Q74" s="342">
        <v>0</v>
      </c>
      <c r="R74" s="342">
        <v>0</v>
      </c>
      <c r="S74" s="342">
        <v>0</v>
      </c>
      <c r="T74" s="400">
        <f>SUM(N74:S74)</f>
        <v>0</v>
      </c>
      <c r="U74" s="400">
        <f>T74+L74</f>
        <v>0</v>
      </c>
      <c r="V74" s="342"/>
      <c r="W74" s="399"/>
    </row>
    <row r="75" spans="1:24" s="214" customFormat="1" ht="18" hidden="1" customHeight="1">
      <c r="A75" s="610"/>
      <c r="B75" s="583"/>
      <c r="C75" s="583"/>
      <c r="D75" s="178" t="str">
        <f>серпень!D75</f>
        <v>факт. нат.п-ки 2025</v>
      </c>
      <c r="E75" s="179"/>
      <c r="F75" s="399">
        <v>0</v>
      </c>
      <c r="G75" s="399">
        <v>0</v>
      </c>
      <c r="H75" s="342">
        <v>0</v>
      </c>
      <c r="I75" s="342">
        <v>0</v>
      </c>
      <c r="J75" s="342">
        <v>0</v>
      </c>
      <c r="K75" s="342">
        <v>0</v>
      </c>
      <c r="L75" s="400">
        <f>SUM(F75:K75)</f>
        <v>0</v>
      </c>
      <c r="M75" s="400">
        <f>L75/6</f>
        <v>0</v>
      </c>
      <c r="N75" s="342">
        <v>0</v>
      </c>
      <c r="O75" s="342">
        <v>0</v>
      </c>
      <c r="P75" s="342">
        <v>0</v>
      </c>
      <c r="Q75" s="342">
        <v>0</v>
      </c>
      <c r="R75" s="342">
        <v>0</v>
      </c>
      <c r="S75" s="342">
        <v>0</v>
      </c>
      <c r="T75" s="400">
        <f>SUM(N75:S75)</f>
        <v>0</v>
      </c>
      <c r="U75" s="400">
        <f>T75+L75</f>
        <v>0</v>
      </c>
      <c r="V75" s="342">
        <v>0</v>
      </c>
      <c r="W75" s="399">
        <f>U75-V75</f>
        <v>0</v>
      </c>
    </row>
    <row r="76" spans="1:24" s="214" customFormat="1" ht="18" hidden="1" customHeight="1">
      <c r="A76" s="610"/>
      <c r="B76" s="583"/>
      <c r="C76" s="583"/>
      <c r="D76" s="187" t="str">
        <f>серпень!D76</f>
        <v>тариф, грн.</v>
      </c>
      <c r="E76" s="188" t="e">
        <f t="shared" ref="E76" si="143">E77/E75*1000</f>
        <v>#DIV/0!</v>
      </c>
      <c r="F76" s="188">
        <v>104066.7</v>
      </c>
      <c r="G76" s="188">
        <v>104066.7</v>
      </c>
      <c r="H76" s="188">
        <v>104066.7</v>
      </c>
      <c r="I76" s="188">
        <v>104066.7</v>
      </c>
      <c r="J76" s="188">
        <v>104066.7</v>
      </c>
      <c r="K76" s="188">
        <v>104066.7</v>
      </c>
      <c r="L76" s="217" t="e">
        <f>L77/L75*1000</f>
        <v>#DIV/0!</v>
      </c>
      <c r="M76" s="217" t="e">
        <f>M77/M75*1000</f>
        <v>#DIV/0!</v>
      </c>
      <c r="N76" s="217">
        <v>104066.7</v>
      </c>
      <c r="O76" s="217">
        <v>104066.7</v>
      </c>
      <c r="P76" s="217">
        <v>104066.7</v>
      </c>
      <c r="Q76" s="217">
        <v>104066.7</v>
      </c>
      <c r="R76" s="217">
        <v>104066.7</v>
      </c>
      <c r="S76" s="217">
        <v>104066.7</v>
      </c>
      <c r="T76" s="217" t="e">
        <f>T77/T75*1000</f>
        <v>#DIV/0!</v>
      </c>
      <c r="U76" s="217" t="e">
        <f>U77/U75*1000</f>
        <v>#DIV/0!</v>
      </c>
      <c r="V76" s="218" t="e">
        <f>V77/V75*1000</f>
        <v>#DIV/0!</v>
      </c>
      <c r="W76" s="219" t="e">
        <f>W77/W75*1000</f>
        <v>#DIV/0!</v>
      </c>
    </row>
    <row r="77" spans="1:24" s="214" customFormat="1" ht="18" hidden="1" customHeight="1">
      <c r="A77" s="610"/>
      <c r="B77" s="583"/>
      <c r="C77" s="583"/>
      <c r="D77" s="191" t="str">
        <f>серпень!D77</f>
        <v>сума, тис.грн.</v>
      </c>
      <c r="E77" s="192"/>
      <c r="F77" s="192">
        <f>F75*F76/1000</f>
        <v>0</v>
      </c>
      <c r="G77" s="192">
        <f t="shared" ref="G77:K77" si="144">G75*G76/1000</f>
        <v>0</v>
      </c>
      <c r="H77" s="192">
        <f t="shared" si="144"/>
        <v>0</v>
      </c>
      <c r="I77" s="192">
        <f t="shared" si="144"/>
        <v>0</v>
      </c>
      <c r="J77" s="192">
        <f t="shared" si="144"/>
        <v>0</v>
      </c>
      <c r="K77" s="192">
        <f t="shared" si="144"/>
        <v>0</v>
      </c>
      <c r="L77" s="194">
        <f>SUM(F77:K77)</f>
        <v>0</v>
      </c>
      <c r="M77" s="194">
        <f>L77/6</f>
        <v>0</v>
      </c>
      <c r="N77" s="192">
        <f>N75*N76/1000</f>
        <v>0</v>
      </c>
      <c r="O77" s="192">
        <f t="shared" ref="O77" si="145">O75*O76/1000</f>
        <v>0</v>
      </c>
      <c r="P77" s="192">
        <f t="shared" ref="P77" si="146">P75*P76/1000</f>
        <v>0</v>
      </c>
      <c r="Q77" s="192">
        <f t="shared" ref="Q77" si="147">Q75*Q76/1000</f>
        <v>0</v>
      </c>
      <c r="R77" s="192">
        <f t="shared" ref="R77" si="148">R75*R76/1000</f>
        <v>0</v>
      </c>
      <c r="S77" s="192">
        <f t="shared" ref="S77" si="149">S75*S76/1000</f>
        <v>0</v>
      </c>
      <c r="T77" s="194">
        <f>SUM(N77:S77)</f>
        <v>0</v>
      </c>
      <c r="U77" s="194">
        <f>T77+L77</f>
        <v>0</v>
      </c>
      <c r="V77" s="171">
        <f>V78+V79</f>
        <v>0</v>
      </c>
      <c r="W77" s="192">
        <f>V77-U77</f>
        <v>0</v>
      </c>
    </row>
    <row r="78" spans="1:24" s="214" customFormat="1" ht="18" hidden="1" customHeight="1">
      <c r="A78" s="610"/>
      <c r="B78" s="583"/>
      <c r="C78" s="583"/>
      <c r="D78" s="174" t="str">
        <f>серпень!D78</f>
        <v>дотація</v>
      </c>
      <c r="E78" s="210"/>
      <c r="F78" s="192"/>
      <c r="G78" s="192"/>
      <c r="H78" s="192"/>
      <c r="I78" s="192"/>
      <c r="J78" s="192"/>
      <c r="K78" s="192"/>
      <c r="L78" s="194">
        <f>SUM(F78:K78)</f>
        <v>0</v>
      </c>
      <c r="M78" s="194">
        <f>L78/6</f>
        <v>0</v>
      </c>
      <c r="N78" s="192"/>
      <c r="O78" s="192"/>
      <c r="P78" s="192"/>
      <c r="Q78" s="192"/>
      <c r="R78" s="192"/>
      <c r="S78" s="192"/>
      <c r="T78" s="194">
        <f>SUM(N78:S78)</f>
        <v>0</v>
      </c>
      <c r="U78" s="194">
        <f>T78+L78</f>
        <v>0</v>
      </c>
      <c r="V78" s="171"/>
      <c r="W78" s="192">
        <f>V78-U78</f>
        <v>0</v>
      </c>
    </row>
    <row r="79" spans="1:24" s="214" customFormat="1" ht="18" hidden="1" customHeight="1">
      <c r="A79" s="610"/>
      <c r="B79" s="583"/>
      <c r="C79" s="583"/>
      <c r="D79" s="174" t="str">
        <f>серпень!D79</f>
        <v>місцевий (план), тис.грн</v>
      </c>
      <c r="E79" s="210"/>
      <c r="F79" s="192"/>
      <c r="G79" s="192"/>
      <c r="H79" s="192"/>
      <c r="I79" s="192"/>
      <c r="J79" s="192"/>
      <c r="K79" s="192"/>
      <c r="L79" s="194">
        <f>SUM(F79:K79)</f>
        <v>0</v>
      </c>
      <c r="M79" s="194">
        <f>L79/6</f>
        <v>0</v>
      </c>
      <c r="N79" s="192"/>
      <c r="O79" s="192"/>
      <c r="P79" s="192"/>
      <c r="Q79" s="192"/>
      <c r="R79" s="192"/>
      <c r="S79" s="192"/>
      <c r="T79" s="194">
        <f>SUM(N79:S79)</f>
        <v>0</v>
      </c>
      <c r="U79" s="194">
        <f>T79+L79</f>
        <v>0</v>
      </c>
      <c r="V79" s="171">
        <v>0</v>
      </c>
      <c r="W79" s="192">
        <f>V79-U79</f>
        <v>0</v>
      </c>
    </row>
    <row r="80" spans="1:24" s="214" customFormat="1" ht="18" hidden="1" customHeight="1">
      <c r="A80" s="610"/>
      <c r="B80" s="583"/>
      <c r="C80" s="583"/>
      <c r="D80" s="178" t="str">
        <f>серпень!D80</f>
        <v>касові нат.п-ки 2025</v>
      </c>
      <c r="E80" s="179"/>
      <c r="F80" s="405">
        <v>0</v>
      </c>
      <c r="G80" s="405">
        <v>0</v>
      </c>
      <c r="H80" s="383">
        <v>0</v>
      </c>
      <c r="I80" s="383">
        <v>0</v>
      </c>
      <c r="J80" s="383">
        <v>0</v>
      </c>
      <c r="K80" s="383">
        <v>0</v>
      </c>
      <c r="L80" s="333">
        <f>SUM(F80:K80)</f>
        <v>0</v>
      </c>
      <c r="M80" s="333">
        <f>L80/6</f>
        <v>0</v>
      </c>
      <c r="N80" s="288">
        <v>0</v>
      </c>
      <c r="O80" s="288">
        <v>0</v>
      </c>
      <c r="P80" s="288">
        <v>0</v>
      </c>
      <c r="Q80" s="288">
        <v>0</v>
      </c>
      <c r="R80" s="288">
        <v>0</v>
      </c>
      <c r="S80" s="288">
        <v>0</v>
      </c>
      <c r="T80" s="330">
        <f>SUM(N80:S80)</f>
        <v>0</v>
      </c>
      <c r="U80" s="330">
        <f>T80+L80</f>
        <v>0</v>
      </c>
      <c r="V80" s="216">
        <f>V75</f>
        <v>0</v>
      </c>
      <c r="W80" s="184">
        <f>V80-U80</f>
        <v>0</v>
      </c>
      <c r="X80" s="209">
        <f>U75-U80</f>
        <v>0</v>
      </c>
    </row>
    <row r="81" spans="1:24" s="214" customFormat="1" ht="18" hidden="1" customHeight="1">
      <c r="A81" s="610"/>
      <c r="B81" s="583"/>
      <c r="C81" s="583"/>
      <c r="D81" s="187" t="str">
        <f>серпень!D81</f>
        <v>тариф, грн.</v>
      </c>
      <c r="E81" s="188" t="e">
        <f t="shared" ref="E81" si="150">E82/E80*1000</f>
        <v>#DIV/0!</v>
      </c>
      <c r="F81" s="188">
        <v>104066.7</v>
      </c>
      <c r="G81" s="188">
        <v>104066.7</v>
      </c>
      <c r="H81" s="188">
        <v>104066.7</v>
      </c>
      <c r="I81" s="188">
        <v>104066.7</v>
      </c>
      <c r="J81" s="188">
        <v>104066.7</v>
      </c>
      <c r="K81" s="188">
        <v>104066.7</v>
      </c>
      <c r="L81" s="217" t="e">
        <f>L82/L80*1000</f>
        <v>#DIV/0!</v>
      </c>
      <c r="M81" s="217" t="e">
        <f>M82/M80*1000</f>
        <v>#DIV/0!</v>
      </c>
      <c r="N81" s="217">
        <v>104066.7</v>
      </c>
      <c r="O81" s="217">
        <v>104066.7</v>
      </c>
      <c r="P81" s="217">
        <v>104066.7</v>
      </c>
      <c r="Q81" s="217">
        <v>104066.7</v>
      </c>
      <c r="R81" s="188">
        <v>104066.7</v>
      </c>
      <c r="S81" s="188">
        <v>104066.7</v>
      </c>
      <c r="T81" s="217" t="e">
        <f>T82/T80*1000</f>
        <v>#DIV/0!</v>
      </c>
      <c r="U81" s="217" t="e">
        <f>U82/U80*1000</f>
        <v>#DIV/0!</v>
      </c>
      <c r="V81" s="218" t="e">
        <f>V82/V80*1000</f>
        <v>#DIV/0!</v>
      </c>
      <c r="W81" s="219" t="e">
        <f>W82/W80*1000</f>
        <v>#DIV/0!</v>
      </c>
    </row>
    <row r="82" spans="1:24" s="214" customFormat="1" ht="18" hidden="1" customHeight="1">
      <c r="A82" s="610"/>
      <c r="B82" s="583"/>
      <c r="C82" s="583"/>
      <c r="D82" s="198" t="str">
        <f>серпень!D82</f>
        <v>касові видатки, тис.грн.</v>
      </c>
      <c r="E82" s="220"/>
      <c r="F82" s="199">
        <f>F80*F81/1000</f>
        <v>0</v>
      </c>
      <c r="G82" s="199">
        <f t="shared" ref="G82" si="151">G80*G81/1000</f>
        <v>0</v>
      </c>
      <c r="H82" s="199">
        <f t="shared" ref="H82" si="152">H80*H81/1000</f>
        <v>0</v>
      </c>
      <c r="I82" s="199">
        <f t="shared" ref="I82" si="153">I80*I81/1000</f>
        <v>0</v>
      </c>
      <c r="J82" s="199">
        <f t="shared" ref="J82" si="154">J80*J81/1000</f>
        <v>0</v>
      </c>
      <c r="K82" s="199">
        <f t="shared" ref="K82" si="155">K80*K81/1000</f>
        <v>0</v>
      </c>
      <c r="L82" s="199">
        <f>SUM(F82:K82)</f>
        <v>0</v>
      </c>
      <c r="M82" s="199">
        <f>L82/6</f>
        <v>0</v>
      </c>
      <c r="N82" s="199">
        <f>N80*N81/1000</f>
        <v>0</v>
      </c>
      <c r="O82" s="199">
        <f t="shared" ref="O82" si="156">O80*O81/1000</f>
        <v>0</v>
      </c>
      <c r="P82" s="199">
        <f t="shared" ref="P82" si="157">P80*P81/1000</f>
        <v>0</v>
      </c>
      <c r="Q82" s="199">
        <f t="shared" ref="Q82" si="158">Q80*Q81/1000</f>
        <v>0</v>
      </c>
      <c r="R82" s="199">
        <f t="shared" ref="R82" si="159">R80*R81/1000</f>
        <v>0</v>
      </c>
      <c r="S82" s="199">
        <f t="shared" ref="S82" si="160">S80*S81/1000</f>
        <v>0</v>
      </c>
      <c r="T82" s="199">
        <f>SUM(N82:S82)</f>
        <v>0</v>
      </c>
      <c r="U82" s="199">
        <f>T82+L82</f>
        <v>0</v>
      </c>
      <c r="V82" s="199">
        <f>V77</f>
        <v>0</v>
      </c>
      <c r="W82" s="221">
        <f>V82-U82</f>
        <v>0</v>
      </c>
      <c r="X82" s="213">
        <f>U77-U82</f>
        <v>0</v>
      </c>
    </row>
    <row r="83" spans="1:24" s="214" customFormat="1" ht="18" hidden="1" customHeight="1">
      <c r="A83" s="610"/>
      <c r="B83" s="583"/>
      <c r="C83" s="583"/>
      <c r="D83" s="201" t="str">
        <f>серпень!D83</f>
        <v>дотація</v>
      </c>
      <c r="E83" s="220"/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f>SUM(F83:K83)</f>
        <v>0</v>
      </c>
      <c r="M83" s="199">
        <f>L83/6</f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f>SUM(N83:S83)</f>
        <v>0</v>
      </c>
      <c r="U83" s="199">
        <f>T83+L83</f>
        <v>0</v>
      </c>
      <c r="V83" s="199">
        <f>V78</f>
        <v>0</v>
      </c>
      <c r="W83" s="221">
        <f>V83-U83</f>
        <v>0</v>
      </c>
      <c r="X83" s="213">
        <f>U78-U83</f>
        <v>0</v>
      </c>
    </row>
    <row r="84" spans="1:24" s="214" customFormat="1" ht="18" hidden="1" customHeight="1">
      <c r="A84" s="610"/>
      <c r="B84" s="583"/>
      <c r="C84" s="583"/>
      <c r="D84" s="201" t="str">
        <f>серпень!D84</f>
        <v xml:space="preserve">місцевий </v>
      </c>
      <c r="E84" s="220"/>
      <c r="F84" s="199">
        <f>F82-F83</f>
        <v>0</v>
      </c>
      <c r="G84" s="199">
        <f t="shared" ref="G84:K84" si="161">G82-G83</f>
        <v>0</v>
      </c>
      <c r="H84" s="199">
        <f t="shared" si="161"/>
        <v>0</v>
      </c>
      <c r="I84" s="199">
        <f t="shared" si="161"/>
        <v>0</v>
      </c>
      <c r="J84" s="199">
        <f t="shared" si="161"/>
        <v>0</v>
      </c>
      <c r="K84" s="199">
        <f t="shared" si="161"/>
        <v>0</v>
      </c>
      <c r="L84" s="199">
        <f>SUM(F84:K84)</f>
        <v>0</v>
      </c>
      <c r="M84" s="199">
        <f>L84/6</f>
        <v>0</v>
      </c>
      <c r="N84" s="199">
        <f>N82-N83</f>
        <v>0</v>
      </c>
      <c r="O84" s="199">
        <f t="shared" ref="O84:R84" si="162">O82-O83</f>
        <v>0</v>
      </c>
      <c r="P84" s="199">
        <f t="shared" si="162"/>
        <v>0</v>
      </c>
      <c r="Q84" s="199">
        <f t="shared" si="162"/>
        <v>0</v>
      </c>
      <c r="R84" s="199">
        <f t="shared" si="162"/>
        <v>0</v>
      </c>
      <c r="S84" s="199">
        <f t="shared" ref="S84" si="163">S82-S83</f>
        <v>0</v>
      </c>
      <c r="T84" s="199">
        <f>SUM(N84:S84)</f>
        <v>0</v>
      </c>
      <c r="U84" s="199">
        <f>T84+L84</f>
        <v>0</v>
      </c>
      <c r="V84" s="199">
        <f>V79</f>
        <v>0</v>
      </c>
      <c r="W84" s="221">
        <f>V84-U84</f>
        <v>0</v>
      </c>
      <c r="X84" s="213">
        <f>U79-U84</f>
        <v>0</v>
      </c>
    </row>
    <row r="85" spans="1:24" s="214" customFormat="1" ht="18" hidden="1" customHeight="1">
      <c r="A85" s="610"/>
      <c r="B85" s="583"/>
      <c r="C85" s="583"/>
      <c r="D85" s="202" t="str">
        <f>серпень!D85</f>
        <v>план</v>
      </c>
      <c r="E85" s="203"/>
      <c r="F85" s="203">
        <f t="shared" ref="F85:K85" si="164">F78+F79</f>
        <v>0</v>
      </c>
      <c r="G85" s="203">
        <f t="shared" si="164"/>
        <v>0</v>
      </c>
      <c r="H85" s="203">
        <f t="shared" si="164"/>
        <v>0</v>
      </c>
      <c r="I85" s="203">
        <f t="shared" si="164"/>
        <v>0</v>
      </c>
      <c r="J85" s="203">
        <f t="shared" si="164"/>
        <v>0</v>
      </c>
      <c r="K85" s="203">
        <f t="shared" si="164"/>
        <v>0</v>
      </c>
      <c r="L85" s="203">
        <f>SUM(F85:K85)</f>
        <v>0</v>
      </c>
      <c r="M85" s="203">
        <f>L85/6</f>
        <v>0</v>
      </c>
      <c r="N85" s="203">
        <f t="shared" ref="N85:S85" si="165">N79+N78</f>
        <v>0</v>
      </c>
      <c r="O85" s="203">
        <f t="shared" si="165"/>
        <v>0</v>
      </c>
      <c r="P85" s="203">
        <f t="shared" si="165"/>
        <v>0</v>
      </c>
      <c r="Q85" s="203">
        <f t="shared" si="165"/>
        <v>0</v>
      </c>
      <c r="R85" s="203">
        <f t="shared" si="165"/>
        <v>0</v>
      </c>
      <c r="S85" s="203">
        <f t="shared" si="165"/>
        <v>0</v>
      </c>
      <c r="T85" s="203">
        <f>SUM(N85:S85)</f>
        <v>0</v>
      </c>
      <c r="U85" s="203">
        <f>T85+L85</f>
        <v>0</v>
      </c>
      <c r="V85" s="203">
        <f>V82</f>
        <v>0</v>
      </c>
      <c r="W85" s="203">
        <f>V85-U85</f>
        <v>0</v>
      </c>
    </row>
    <row r="86" spans="1:24" s="214" customFormat="1" ht="18" hidden="1" customHeight="1">
      <c r="A86" s="610"/>
      <c r="B86" s="583"/>
      <c r="C86" s="583"/>
      <c r="D86" s="202" t="str">
        <f>серпень!D86</f>
        <v xml:space="preserve">відхилення </v>
      </c>
      <c r="E86" s="203"/>
      <c r="F86" s="203">
        <f t="shared" ref="F86:K86" si="166">F82-F85</f>
        <v>0</v>
      </c>
      <c r="G86" s="203">
        <f t="shared" si="166"/>
        <v>0</v>
      </c>
      <c r="H86" s="203">
        <f t="shared" si="166"/>
        <v>0</v>
      </c>
      <c r="I86" s="203">
        <f t="shared" si="166"/>
        <v>0</v>
      </c>
      <c r="J86" s="203">
        <f t="shared" si="166"/>
        <v>0</v>
      </c>
      <c r="K86" s="203">
        <f t="shared" si="166"/>
        <v>0</v>
      </c>
      <c r="L86" s="203"/>
      <c r="M86" s="203"/>
      <c r="N86" s="203">
        <f t="shared" ref="N86:S86" si="167">N82-N85</f>
        <v>0</v>
      </c>
      <c r="O86" s="203">
        <f t="shared" si="167"/>
        <v>0</v>
      </c>
      <c r="P86" s="203">
        <f t="shared" si="167"/>
        <v>0</v>
      </c>
      <c r="Q86" s="203">
        <f t="shared" si="167"/>
        <v>0</v>
      </c>
      <c r="R86" s="203">
        <f t="shared" si="167"/>
        <v>0</v>
      </c>
      <c r="S86" s="203">
        <f t="shared" si="167"/>
        <v>0</v>
      </c>
      <c r="T86" s="203"/>
      <c r="U86" s="203"/>
      <c r="V86" s="203"/>
      <c r="W86" s="203"/>
    </row>
    <row r="87" spans="1:24" s="214" customFormat="1" ht="25.2" hidden="1" customHeight="1">
      <c r="A87" s="610"/>
      <c r="B87" s="583"/>
      <c r="C87" s="584"/>
      <c r="D87" s="202" t="str">
        <f>серпень!D87</f>
        <v>відхилення з наростаючим</v>
      </c>
      <c r="E87" s="203"/>
      <c r="F87" s="203">
        <f>F86</f>
        <v>0</v>
      </c>
      <c r="G87" s="203">
        <f>G86+F87</f>
        <v>0</v>
      </c>
      <c r="H87" s="203">
        <f>H86+G87</f>
        <v>0</v>
      </c>
      <c r="I87" s="203">
        <f>I86+H87</f>
        <v>0</v>
      </c>
      <c r="J87" s="203">
        <f>J86+I87</f>
        <v>0</v>
      </c>
      <c r="K87" s="203">
        <f>K86+J87</f>
        <v>0</v>
      </c>
      <c r="L87" s="203"/>
      <c r="M87" s="203"/>
      <c r="N87" s="203">
        <f>N86+K87</f>
        <v>0</v>
      </c>
      <c r="O87" s="203">
        <f>O86+N87</f>
        <v>0</v>
      </c>
      <c r="P87" s="203">
        <f>P86+O87</f>
        <v>0</v>
      </c>
      <c r="Q87" s="203">
        <f>Q86+P87</f>
        <v>0</v>
      </c>
      <c r="R87" s="203">
        <f>R86+Q87</f>
        <v>0</v>
      </c>
      <c r="S87" s="203">
        <f>S86+R87</f>
        <v>0</v>
      </c>
      <c r="T87" s="203"/>
      <c r="U87" s="203"/>
      <c r="V87" s="203"/>
      <c r="W87" s="203"/>
    </row>
    <row r="88" spans="1:24" s="47" customFormat="1" ht="23.95" hidden="1" customHeight="1">
      <c r="A88" s="610"/>
      <c r="B88" s="583"/>
      <c r="C88" s="582" t="s">
        <v>99</v>
      </c>
      <c r="D88" s="178" t="str">
        <f>серпень!D88</f>
        <v>факт. нат.п-ки 2023</v>
      </c>
      <c r="E88" s="11"/>
      <c r="F88" s="12"/>
      <c r="G88" s="12"/>
      <c r="H88" s="12"/>
      <c r="I88" s="12"/>
      <c r="J88" s="12"/>
      <c r="K88" s="12"/>
      <c r="L88" s="65">
        <f>SUM(F88:K88)</f>
        <v>0</v>
      </c>
      <c r="M88" s="65">
        <f>L88/6</f>
        <v>0</v>
      </c>
      <c r="N88" s="11">
        <v>0</v>
      </c>
      <c r="O88" s="11">
        <v>0</v>
      </c>
      <c r="P88" s="11">
        <v>0</v>
      </c>
      <c r="Q88" s="11">
        <v>38</v>
      </c>
      <c r="R88" s="11">
        <v>105.9</v>
      </c>
      <c r="S88" s="11">
        <v>152.1</v>
      </c>
      <c r="T88" s="65">
        <f>SUM(N88:S88)</f>
        <v>296</v>
      </c>
      <c r="U88" s="65">
        <f>T88+L88</f>
        <v>296</v>
      </c>
      <c r="V88" s="67"/>
      <c r="W88" s="38"/>
    </row>
    <row r="89" spans="1:24" s="47" customFormat="1" ht="23.95" hidden="1" customHeight="1">
      <c r="A89" s="610"/>
      <c r="B89" s="583"/>
      <c r="C89" s="583"/>
      <c r="D89" s="178" t="str">
        <f>серпень!D89</f>
        <v>факт. нат.п-ки 2024</v>
      </c>
      <c r="E89" s="11"/>
      <c r="F89" s="12">
        <v>101.5</v>
      </c>
      <c r="G89" s="12">
        <v>102.9</v>
      </c>
      <c r="H89" s="12">
        <v>47.2</v>
      </c>
      <c r="I89" s="12">
        <v>0</v>
      </c>
      <c r="J89" s="12">
        <v>0</v>
      </c>
      <c r="K89" s="12">
        <v>0</v>
      </c>
      <c r="L89" s="65">
        <f>SUM(F89:K89)</f>
        <v>251.6</v>
      </c>
      <c r="M89" s="65">
        <f>L89/6</f>
        <v>41.9</v>
      </c>
      <c r="N89" s="11">
        <v>0</v>
      </c>
      <c r="O89" s="11">
        <v>0</v>
      </c>
      <c r="P89" s="11">
        <v>0</v>
      </c>
      <c r="Q89" s="11">
        <v>0</v>
      </c>
      <c r="R89" s="11">
        <v>103.6</v>
      </c>
      <c r="S89" s="11">
        <v>127.9</v>
      </c>
      <c r="T89" s="65">
        <f>SUM(N89:S89)</f>
        <v>231.5</v>
      </c>
      <c r="U89" s="65">
        <f>T89+L89</f>
        <v>483.1</v>
      </c>
      <c r="V89" s="67"/>
      <c r="W89" s="38"/>
    </row>
    <row r="90" spans="1:24" s="47" customFormat="1" ht="20.2" hidden="1" customHeight="1">
      <c r="A90" s="610"/>
      <c r="B90" s="583"/>
      <c r="C90" s="583"/>
      <c r="D90" s="178" t="str">
        <f>серпень!D90</f>
        <v>факт. нат.п-ки 2025</v>
      </c>
      <c r="E90" s="11"/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65">
        <f>SUM(F90:K90)</f>
        <v>0</v>
      </c>
      <c r="M90" s="65">
        <f>L90/6</f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65">
        <f>SUM(N90:S90)</f>
        <v>0</v>
      </c>
      <c r="U90" s="65">
        <f>T90+L90</f>
        <v>0</v>
      </c>
      <c r="V90" s="11">
        <f>483.1-483.1</f>
        <v>0</v>
      </c>
      <c r="W90" s="38">
        <f>U90-V90</f>
        <v>0</v>
      </c>
    </row>
    <row r="91" spans="1:24" s="47" customFormat="1" ht="18" hidden="1" customHeight="1">
      <c r="A91" s="610"/>
      <c r="B91" s="583"/>
      <c r="C91" s="583"/>
      <c r="D91" s="187" t="str">
        <f>серпень!D91</f>
        <v>тариф, грн.</v>
      </c>
      <c r="E91" s="49" t="e">
        <f>E92/E90*1000</f>
        <v>#DIV/0!</v>
      </c>
      <c r="F91" s="49" t="e">
        <f t="shared" ref="F91:G91" si="168">F92/F90*1000</f>
        <v>#DIV/0!</v>
      </c>
      <c r="G91" s="49" t="e">
        <f t="shared" si="168"/>
        <v>#DIV/0!</v>
      </c>
      <c r="H91" s="49">
        <v>2919.7</v>
      </c>
      <c r="I91" s="49">
        <v>2919.7</v>
      </c>
      <c r="J91" s="49">
        <v>2919.7</v>
      </c>
      <c r="K91" s="49">
        <v>2919.7</v>
      </c>
      <c r="L91" s="217" t="e">
        <f t="shared" ref="L91:M91" si="169">L92/L90*1000</f>
        <v>#DIV/0!</v>
      </c>
      <c r="M91" s="217" t="e">
        <f t="shared" si="169"/>
        <v>#DIV/0!</v>
      </c>
      <c r="N91" s="217">
        <v>2919.7</v>
      </c>
      <c r="O91" s="217">
        <v>2919.7</v>
      </c>
      <c r="P91" s="217">
        <v>2919.7</v>
      </c>
      <c r="Q91" s="217">
        <v>2919.7</v>
      </c>
      <c r="R91" s="217">
        <v>2919.7</v>
      </c>
      <c r="S91" s="217">
        <v>2919.7</v>
      </c>
      <c r="T91" s="121" t="e">
        <f>T92/T90*1000</f>
        <v>#DIV/0!</v>
      </c>
      <c r="U91" s="121" t="e">
        <f>U92/U90*1000</f>
        <v>#DIV/0!</v>
      </c>
      <c r="V91" s="68" t="e">
        <f>V92/V90*1000</f>
        <v>#DIV/0!</v>
      </c>
      <c r="W91" s="14" t="e">
        <f>W92/W90*1000</f>
        <v>#DIV/0!</v>
      </c>
    </row>
    <row r="92" spans="1:24" s="47" customFormat="1" ht="18" hidden="1" customHeight="1">
      <c r="A92" s="610"/>
      <c r="B92" s="583"/>
      <c r="C92" s="583"/>
      <c r="D92" s="191" t="str">
        <f>серпень!D92</f>
        <v>сума, тис.грн.</v>
      </c>
      <c r="E92" s="52"/>
      <c r="F92" s="52">
        <v>0</v>
      </c>
      <c r="G92" s="52">
        <v>0</v>
      </c>
      <c r="H92" s="52">
        <f t="shared" ref="H92:K92" si="170">H90*H91/1000</f>
        <v>0</v>
      </c>
      <c r="I92" s="52">
        <f t="shared" si="170"/>
        <v>0</v>
      </c>
      <c r="J92" s="52">
        <f t="shared" si="170"/>
        <v>0</v>
      </c>
      <c r="K92" s="52">
        <f t="shared" si="170"/>
        <v>0</v>
      </c>
      <c r="L92" s="69">
        <f>SUM(F92:K92)</f>
        <v>0</v>
      </c>
      <c r="M92" s="69">
        <f>L92/6</f>
        <v>0</v>
      </c>
      <c r="N92" s="52">
        <f t="shared" ref="N92:R92" si="171">N90*N91/1000</f>
        <v>0</v>
      </c>
      <c r="O92" s="52">
        <f t="shared" si="171"/>
        <v>0</v>
      </c>
      <c r="P92" s="52">
        <f t="shared" si="171"/>
        <v>0</v>
      </c>
      <c r="Q92" s="52">
        <f t="shared" si="171"/>
        <v>0</v>
      </c>
      <c r="R92" s="52">
        <f t="shared" si="171"/>
        <v>0</v>
      </c>
      <c r="S92" s="52">
        <f>S90*S91/1000</f>
        <v>0</v>
      </c>
      <c r="T92" s="69">
        <f>SUM(N92:S92)</f>
        <v>0</v>
      </c>
      <c r="U92" s="69">
        <f>T92+L92</f>
        <v>0</v>
      </c>
      <c r="V92" s="70">
        <f>V93+V94</f>
        <v>0</v>
      </c>
      <c r="W92" s="53">
        <f>V92-U92</f>
        <v>0</v>
      </c>
    </row>
    <row r="93" spans="1:24" s="47" customFormat="1" ht="18" hidden="1" customHeight="1">
      <c r="A93" s="610"/>
      <c r="B93" s="583"/>
      <c r="C93" s="583"/>
      <c r="D93" s="174" t="str">
        <f>серпень!D93</f>
        <v>дотація</v>
      </c>
      <c r="E93" s="56"/>
      <c r="F93" s="52"/>
      <c r="G93" s="52"/>
      <c r="H93" s="52"/>
      <c r="I93" s="52"/>
      <c r="J93" s="52"/>
      <c r="K93" s="52"/>
      <c r="L93" s="69">
        <f>SUM(F93:K93)</f>
        <v>0</v>
      </c>
      <c r="M93" s="69">
        <f>L93/6</f>
        <v>0</v>
      </c>
      <c r="N93" s="52"/>
      <c r="O93" s="52"/>
      <c r="P93" s="52"/>
      <c r="Q93" s="52"/>
      <c r="R93" s="52"/>
      <c r="S93" s="52"/>
      <c r="T93" s="69">
        <f>SUM(N93:S93)</f>
        <v>0</v>
      </c>
      <c r="U93" s="69">
        <f>T93+L93</f>
        <v>0</v>
      </c>
      <c r="V93" s="70"/>
      <c r="W93" s="53">
        <f>V93-U93</f>
        <v>0</v>
      </c>
    </row>
    <row r="94" spans="1:24" s="47" customFormat="1" ht="18" hidden="1" customHeight="1">
      <c r="A94" s="610"/>
      <c r="B94" s="583"/>
      <c r="C94" s="583"/>
      <c r="D94" s="174" t="str">
        <f>серпень!D94</f>
        <v>місцевий (план), тис.грн</v>
      </c>
      <c r="E94" s="56"/>
      <c r="F94" s="52">
        <f>88.759-88.759</f>
        <v>0</v>
      </c>
      <c r="G94" s="52">
        <f>296.35-15.759-280.591</f>
        <v>0</v>
      </c>
      <c r="H94" s="52">
        <f>300.437+15.759-316.196</f>
        <v>0</v>
      </c>
      <c r="I94" s="52">
        <f>137.81-137.81</f>
        <v>0</v>
      </c>
      <c r="J94" s="52">
        <v>0</v>
      </c>
      <c r="K94" s="52">
        <v>0</v>
      </c>
      <c r="L94" s="69">
        <f>SUM(F94:K94)</f>
        <v>0</v>
      </c>
      <c r="M94" s="69">
        <f>L94/6</f>
        <v>0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f>302.481+373.429-675.91</f>
        <v>0</v>
      </c>
      <c r="T94" s="69">
        <f>SUM(N94:S94)</f>
        <v>0</v>
      </c>
      <c r="U94" s="69">
        <f>T94+L94</f>
        <v>0</v>
      </c>
      <c r="V94" s="70">
        <f>1410.507-280.591-1129.916</f>
        <v>0</v>
      </c>
      <c r="W94" s="53">
        <f>V94-U94</f>
        <v>0</v>
      </c>
    </row>
    <row r="95" spans="1:24" s="47" customFormat="1" ht="18" hidden="1" customHeight="1">
      <c r="A95" s="610"/>
      <c r="B95" s="583"/>
      <c r="C95" s="583"/>
      <c r="D95" s="178" t="str">
        <f>серпень!D95</f>
        <v>касові нат.п-ки 2025</v>
      </c>
      <c r="E95" s="11"/>
      <c r="F95" s="11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65">
        <f>SUM(F95:K95)</f>
        <v>0</v>
      </c>
      <c r="M95" s="65">
        <f>L95/6</f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65">
        <f>SUM(N95:S95)</f>
        <v>0</v>
      </c>
      <c r="U95" s="65">
        <f>T95+L95</f>
        <v>0</v>
      </c>
      <c r="V95" s="11">
        <f>V90</f>
        <v>0</v>
      </c>
      <c r="W95" s="38">
        <f>V95-U95</f>
        <v>0</v>
      </c>
      <c r="X95" s="47">
        <f>U90-U95</f>
        <v>0</v>
      </c>
    </row>
    <row r="96" spans="1:24" s="47" customFormat="1" ht="18" hidden="1" customHeight="1">
      <c r="A96" s="610"/>
      <c r="B96" s="583"/>
      <c r="C96" s="583"/>
      <c r="D96" s="187" t="str">
        <f>серпень!D96</f>
        <v>тариф, грн.</v>
      </c>
      <c r="E96" s="49" t="e">
        <f>E97/E95*1000</f>
        <v>#DIV/0!</v>
      </c>
      <c r="F96" s="49" t="e">
        <f>F97/F95*1000</f>
        <v>#DIV/0!</v>
      </c>
      <c r="G96" s="49" t="e">
        <f>G97/G95*1000</f>
        <v>#DIV/0!</v>
      </c>
      <c r="H96" s="49">
        <v>2919.7</v>
      </c>
      <c r="I96" s="49">
        <v>2919.7</v>
      </c>
      <c r="J96" s="49">
        <v>2919.7</v>
      </c>
      <c r="K96" s="49">
        <v>2919.7</v>
      </c>
      <c r="L96" s="217" t="e">
        <f t="shared" ref="L96:M96" si="172">L97/L95*1000</f>
        <v>#DIV/0!</v>
      </c>
      <c r="M96" s="217" t="e">
        <f t="shared" si="172"/>
        <v>#DIV/0!</v>
      </c>
      <c r="N96" s="217">
        <v>2919.7</v>
      </c>
      <c r="O96" s="217">
        <v>2919.7</v>
      </c>
      <c r="P96" s="217">
        <v>2919.7</v>
      </c>
      <c r="Q96" s="217">
        <v>2919.7</v>
      </c>
      <c r="R96" s="188">
        <v>2919.7</v>
      </c>
      <c r="S96" s="188">
        <v>2919.7</v>
      </c>
      <c r="T96" s="121" t="e">
        <f>T97/T95*1000</f>
        <v>#DIV/0!</v>
      </c>
      <c r="U96" s="121" t="e">
        <f>U97/U95*1000</f>
        <v>#DIV/0!</v>
      </c>
      <c r="V96" s="68" t="e">
        <f>V97/V95*1000</f>
        <v>#DIV/0!</v>
      </c>
      <c r="W96" s="14" t="e">
        <f>W97/W95*1000</f>
        <v>#DIV/0!</v>
      </c>
    </row>
    <row r="97" spans="1:24" s="63" customFormat="1" ht="18" hidden="1" customHeight="1">
      <c r="A97" s="610"/>
      <c r="B97" s="583"/>
      <c r="C97" s="583"/>
      <c r="D97" s="198" t="str">
        <f>серпень!D97</f>
        <v>касові видатки, тис.грн.</v>
      </c>
      <c r="E97" s="71"/>
      <c r="F97" s="61">
        <v>0</v>
      </c>
      <c r="G97" s="61">
        <v>0</v>
      </c>
      <c r="H97" s="61">
        <f t="shared" ref="H97:K97" si="173">H95*H96/1000</f>
        <v>0</v>
      </c>
      <c r="I97" s="61">
        <v>0</v>
      </c>
      <c r="J97" s="61">
        <f t="shared" si="173"/>
        <v>0</v>
      </c>
      <c r="K97" s="61">
        <f t="shared" si="173"/>
        <v>0</v>
      </c>
      <c r="L97" s="61">
        <f>SUM(F97:K97)</f>
        <v>0</v>
      </c>
      <c r="M97" s="61">
        <f>L97/6</f>
        <v>0</v>
      </c>
      <c r="N97" s="61">
        <f>N95*N96/1000</f>
        <v>0</v>
      </c>
      <c r="O97" s="61">
        <f t="shared" ref="O97:R97" si="174">O95*O96/1000</f>
        <v>0</v>
      </c>
      <c r="P97" s="61">
        <f t="shared" si="174"/>
        <v>0</v>
      </c>
      <c r="Q97" s="61">
        <f t="shared" si="174"/>
        <v>0</v>
      </c>
      <c r="R97" s="61">
        <f t="shared" si="174"/>
        <v>0</v>
      </c>
      <c r="S97" s="61">
        <f>S95*S96/1000</f>
        <v>0</v>
      </c>
      <c r="T97" s="61">
        <f>SUM(N97:S97)</f>
        <v>0</v>
      </c>
      <c r="U97" s="61">
        <f>T97+L97</f>
        <v>0</v>
      </c>
      <c r="V97" s="61">
        <f>V92</f>
        <v>0</v>
      </c>
      <c r="W97" s="72">
        <f>V97-U97</f>
        <v>0</v>
      </c>
      <c r="X97" s="63">
        <f>U92-U97</f>
        <v>0</v>
      </c>
    </row>
    <row r="98" spans="1:24" s="63" customFormat="1" ht="18" hidden="1" customHeight="1">
      <c r="A98" s="610"/>
      <c r="B98" s="583"/>
      <c r="C98" s="583"/>
      <c r="D98" s="201" t="str">
        <f>серпень!D98</f>
        <v>дотація</v>
      </c>
      <c r="E98" s="71"/>
      <c r="F98" s="61">
        <v>0</v>
      </c>
      <c r="G98" s="61">
        <v>0</v>
      </c>
      <c r="H98" s="61">
        <v>0</v>
      </c>
      <c r="I98" s="61">
        <v>0</v>
      </c>
      <c r="J98" s="61">
        <v>0</v>
      </c>
      <c r="K98" s="61">
        <v>0</v>
      </c>
      <c r="L98" s="61">
        <f>SUM(F98:K98)</f>
        <v>0</v>
      </c>
      <c r="M98" s="61">
        <f>L98/6</f>
        <v>0</v>
      </c>
      <c r="N98" s="61">
        <v>0</v>
      </c>
      <c r="O98" s="61">
        <v>0</v>
      </c>
      <c r="P98" s="61">
        <v>0</v>
      </c>
      <c r="Q98" s="61">
        <v>0</v>
      </c>
      <c r="R98" s="61">
        <v>0</v>
      </c>
      <c r="S98" s="61">
        <v>0</v>
      </c>
      <c r="T98" s="61">
        <f>SUM(N98:S98)</f>
        <v>0</v>
      </c>
      <c r="U98" s="61">
        <f>T98+L98</f>
        <v>0</v>
      </c>
      <c r="V98" s="61">
        <f>V93</f>
        <v>0</v>
      </c>
      <c r="W98" s="72">
        <f>V98-U98</f>
        <v>0</v>
      </c>
      <c r="X98" s="63">
        <f>U93-U98</f>
        <v>0</v>
      </c>
    </row>
    <row r="99" spans="1:24" s="63" customFormat="1" ht="18" hidden="1" customHeight="1">
      <c r="A99" s="610"/>
      <c r="B99" s="583"/>
      <c r="C99" s="583"/>
      <c r="D99" s="201" t="str">
        <f>серпень!D99</f>
        <v xml:space="preserve">місцевий </v>
      </c>
      <c r="E99" s="71"/>
      <c r="F99" s="61">
        <f t="shared" ref="F99:K99" si="175">F97-F98</f>
        <v>0</v>
      </c>
      <c r="G99" s="61">
        <f t="shared" si="175"/>
        <v>0</v>
      </c>
      <c r="H99" s="61">
        <f t="shared" si="175"/>
        <v>0</v>
      </c>
      <c r="I99" s="61">
        <f t="shared" si="175"/>
        <v>0</v>
      </c>
      <c r="J99" s="61">
        <f t="shared" si="175"/>
        <v>0</v>
      </c>
      <c r="K99" s="61">
        <f t="shared" si="175"/>
        <v>0</v>
      </c>
      <c r="L99" s="61">
        <f>SUM(F99:K99)</f>
        <v>0</v>
      </c>
      <c r="M99" s="61">
        <f>L99/6</f>
        <v>0</v>
      </c>
      <c r="N99" s="61">
        <f>N97-N98</f>
        <v>0</v>
      </c>
      <c r="O99" s="61">
        <f t="shared" ref="O99:S99" si="176">O97-O98</f>
        <v>0</v>
      </c>
      <c r="P99" s="61">
        <f>P97-P98</f>
        <v>0</v>
      </c>
      <c r="Q99" s="61">
        <f t="shared" si="176"/>
        <v>0</v>
      </c>
      <c r="R99" s="61">
        <f t="shared" si="176"/>
        <v>0</v>
      </c>
      <c r="S99" s="61">
        <f t="shared" si="176"/>
        <v>0</v>
      </c>
      <c r="T99" s="61">
        <f>SUM(N99:S99)</f>
        <v>0</v>
      </c>
      <c r="U99" s="61">
        <f>T99+L99</f>
        <v>0</v>
      </c>
      <c r="V99" s="61">
        <f>V97</f>
        <v>0</v>
      </c>
      <c r="W99" s="72">
        <f>V99-U99</f>
        <v>0</v>
      </c>
      <c r="X99" s="63">
        <f>U94-U99</f>
        <v>0</v>
      </c>
    </row>
    <row r="100" spans="1:24" s="43" customFormat="1" ht="18" hidden="1" customHeight="1">
      <c r="A100" s="610"/>
      <c r="B100" s="583"/>
      <c r="C100" s="583"/>
      <c r="D100" s="202" t="str">
        <f>серпень!D100</f>
        <v>план</v>
      </c>
      <c r="E100" s="42"/>
      <c r="F100" s="42">
        <f t="shared" ref="F100:K100" si="177">F93+F94</f>
        <v>0</v>
      </c>
      <c r="G100" s="42">
        <f t="shared" si="177"/>
        <v>0</v>
      </c>
      <c r="H100" s="42">
        <f>H93+H94</f>
        <v>0</v>
      </c>
      <c r="I100" s="42">
        <f t="shared" si="177"/>
        <v>0</v>
      </c>
      <c r="J100" s="42">
        <f t="shared" si="177"/>
        <v>0</v>
      </c>
      <c r="K100" s="42">
        <f t="shared" si="177"/>
        <v>0</v>
      </c>
      <c r="L100" s="42">
        <f>SUM(F100:K100)</f>
        <v>0</v>
      </c>
      <c r="M100" s="42">
        <f>L100/6</f>
        <v>0</v>
      </c>
      <c r="N100" s="42">
        <f t="shared" ref="N100:S100" si="178">N94+N93</f>
        <v>0</v>
      </c>
      <c r="O100" s="42">
        <f t="shared" si="178"/>
        <v>0</v>
      </c>
      <c r="P100" s="42">
        <f t="shared" si="178"/>
        <v>0</v>
      </c>
      <c r="Q100" s="42">
        <f t="shared" si="178"/>
        <v>0</v>
      </c>
      <c r="R100" s="42">
        <f t="shared" si="178"/>
        <v>0</v>
      </c>
      <c r="S100" s="42">
        <f t="shared" si="178"/>
        <v>0</v>
      </c>
      <c r="T100" s="42">
        <f>SUM(N100:S100)</f>
        <v>0</v>
      </c>
      <c r="U100" s="42">
        <f>T100+L100</f>
        <v>0</v>
      </c>
      <c r="V100" s="42">
        <f>V97</f>
        <v>0</v>
      </c>
      <c r="W100" s="42">
        <f>V100-U100</f>
        <v>0</v>
      </c>
    </row>
    <row r="101" spans="1:24" s="43" customFormat="1" ht="18" hidden="1" customHeight="1">
      <c r="A101" s="610"/>
      <c r="B101" s="583"/>
      <c r="C101" s="583"/>
      <c r="D101" s="202" t="str">
        <f>серпень!D101</f>
        <v xml:space="preserve">відхилення </v>
      </c>
      <c r="E101" s="42"/>
      <c r="F101" s="42">
        <f t="shared" ref="F101:K101" si="179">F97-F100</f>
        <v>0</v>
      </c>
      <c r="G101" s="42">
        <f t="shared" si="179"/>
        <v>0</v>
      </c>
      <c r="H101" s="42">
        <f t="shared" si="179"/>
        <v>0</v>
      </c>
      <c r="I101" s="42">
        <f t="shared" si="179"/>
        <v>0</v>
      </c>
      <c r="J101" s="42">
        <f t="shared" si="179"/>
        <v>0</v>
      </c>
      <c r="K101" s="42">
        <f t="shared" si="179"/>
        <v>0</v>
      </c>
      <c r="L101" s="42"/>
      <c r="M101" s="42"/>
      <c r="N101" s="42">
        <f t="shared" ref="N101:S101" si="180">N97-N100</f>
        <v>0</v>
      </c>
      <c r="O101" s="42">
        <f t="shared" si="180"/>
        <v>0</v>
      </c>
      <c r="P101" s="42">
        <f t="shared" si="180"/>
        <v>0</v>
      </c>
      <c r="Q101" s="42">
        <f t="shared" si="180"/>
        <v>0</v>
      </c>
      <c r="R101" s="42">
        <f t="shared" si="180"/>
        <v>0</v>
      </c>
      <c r="S101" s="42">
        <f t="shared" si="180"/>
        <v>0</v>
      </c>
      <c r="T101" s="42"/>
      <c r="U101" s="42"/>
      <c r="V101" s="42"/>
      <c r="W101" s="42"/>
    </row>
    <row r="102" spans="1:24" s="43" customFormat="1" ht="18" hidden="1" customHeight="1">
      <c r="A102" s="610"/>
      <c r="B102" s="583"/>
      <c r="C102" s="584"/>
      <c r="D102" s="202" t="str">
        <f>серпень!D102</f>
        <v>відхилення з наростаючим</v>
      </c>
      <c r="E102" s="42"/>
      <c r="F102" s="42">
        <f>F101</f>
        <v>0</v>
      </c>
      <c r="G102" s="42">
        <f>G101+F102</f>
        <v>0</v>
      </c>
      <c r="H102" s="42">
        <f>H101+G102</f>
        <v>0</v>
      </c>
      <c r="I102" s="42">
        <f>I101+H102</f>
        <v>0</v>
      </c>
      <c r="J102" s="42">
        <f>J101+I102</f>
        <v>0</v>
      </c>
      <c r="K102" s="42">
        <f>K101+J102</f>
        <v>0</v>
      </c>
      <c r="L102" s="42"/>
      <c r="M102" s="42"/>
      <c r="N102" s="42">
        <f>N101+K102</f>
        <v>0</v>
      </c>
      <c r="O102" s="42">
        <f>O101+N102</f>
        <v>0</v>
      </c>
      <c r="P102" s="42">
        <f>P101+O102</f>
        <v>0</v>
      </c>
      <c r="Q102" s="42">
        <f>Q101+P102</f>
        <v>0</v>
      </c>
      <c r="R102" s="42">
        <f>R101+Q102</f>
        <v>0</v>
      </c>
      <c r="S102" s="42">
        <f>S101+R102</f>
        <v>0</v>
      </c>
      <c r="T102" s="42"/>
      <c r="U102" s="42"/>
      <c r="V102" s="42"/>
      <c r="W102" s="42"/>
    </row>
    <row r="103" spans="1:24" s="43" customFormat="1" ht="18" hidden="1" customHeight="1">
      <c r="A103" s="610"/>
      <c r="B103" s="583"/>
      <c r="C103" s="582" t="s">
        <v>96</v>
      </c>
      <c r="D103" s="178" t="str">
        <f>серпень!D103</f>
        <v>факт. нат.п-ки 2023</v>
      </c>
      <c r="E103" s="179"/>
      <c r="F103" s="184"/>
      <c r="G103" s="184"/>
      <c r="H103" s="179"/>
      <c r="I103" s="179"/>
      <c r="J103" s="179"/>
      <c r="K103" s="179"/>
      <c r="L103" s="215">
        <f>SUM(F103:K103)</f>
        <v>0</v>
      </c>
      <c r="M103" s="215">
        <f>L103/6</f>
        <v>0</v>
      </c>
      <c r="N103" s="179"/>
      <c r="O103" s="179"/>
      <c r="P103" s="179"/>
      <c r="Q103" s="179"/>
      <c r="R103" s="179"/>
      <c r="S103" s="179"/>
      <c r="T103" s="215">
        <f>SUM(N103:S103)</f>
        <v>0</v>
      </c>
      <c r="U103" s="215">
        <f>T103+L103</f>
        <v>0</v>
      </c>
      <c r="V103" s="179"/>
      <c r="W103" s="184"/>
    </row>
    <row r="104" spans="1:24" s="43" customFormat="1" ht="18" hidden="1" customHeight="1">
      <c r="A104" s="610"/>
      <c r="B104" s="583"/>
      <c r="C104" s="583"/>
      <c r="D104" s="178" t="str">
        <f>серпень!D104</f>
        <v>факт. нат.п-ки 2024</v>
      </c>
      <c r="E104" s="179"/>
      <c r="F104" s="184"/>
      <c r="G104" s="184"/>
      <c r="H104" s="179"/>
      <c r="I104" s="179"/>
      <c r="J104" s="179"/>
      <c r="K104" s="179"/>
      <c r="L104" s="215">
        <f>SUM(F104:K104)</f>
        <v>0</v>
      </c>
      <c r="M104" s="215">
        <f>L104/6</f>
        <v>0</v>
      </c>
      <c r="N104" s="179"/>
      <c r="O104" s="179"/>
      <c r="P104" s="179"/>
      <c r="Q104" s="179"/>
      <c r="R104" s="179"/>
      <c r="S104" s="179"/>
      <c r="T104" s="215">
        <f>SUM(N104:S104)</f>
        <v>0</v>
      </c>
      <c r="U104" s="215">
        <f>T104+L104</f>
        <v>0</v>
      </c>
      <c r="V104" s="179"/>
      <c r="W104" s="184"/>
    </row>
    <row r="105" spans="1:24" s="43" customFormat="1" ht="18" hidden="1" customHeight="1">
      <c r="A105" s="610"/>
      <c r="B105" s="583"/>
      <c r="C105" s="583"/>
      <c r="D105" s="178" t="str">
        <f>серпень!D105</f>
        <v>факт. нат.п-ки 2025</v>
      </c>
      <c r="E105" s="179"/>
      <c r="F105" s="184"/>
      <c r="G105" s="184"/>
      <c r="H105" s="179"/>
      <c r="I105" s="216"/>
      <c r="J105" s="179"/>
      <c r="K105" s="179"/>
      <c r="L105" s="215">
        <f>SUM(F105:K105)</f>
        <v>0</v>
      </c>
      <c r="M105" s="215">
        <f>L105/6</f>
        <v>0</v>
      </c>
      <c r="N105" s="179"/>
      <c r="O105" s="179"/>
      <c r="P105" s="179"/>
      <c r="Q105" s="179"/>
      <c r="R105" s="179"/>
      <c r="S105" s="179"/>
      <c r="T105" s="215">
        <f>SUM(N105:S105)</f>
        <v>0</v>
      </c>
      <c r="U105" s="215">
        <f>T105+L105</f>
        <v>0</v>
      </c>
      <c r="V105" s="179"/>
      <c r="W105" s="184">
        <f>U105-V105</f>
        <v>0</v>
      </c>
    </row>
    <row r="106" spans="1:24" s="43" customFormat="1" ht="18" hidden="1" customHeight="1">
      <c r="A106" s="610"/>
      <c r="B106" s="583"/>
      <c r="C106" s="583"/>
      <c r="D106" s="187" t="str">
        <f>серпень!D106</f>
        <v>тариф, грн.</v>
      </c>
      <c r="E106" s="188"/>
      <c r="F106" s="188"/>
      <c r="G106" s="188"/>
      <c r="H106" s="188"/>
      <c r="I106" s="188"/>
      <c r="J106" s="188"/>
      <c r="K106" s="188"/>
      <c r="L106" s="217" t="e">
        <f>L107/L105*1000</f>
        <v>#DIV/0!</v>
      </c>
      <c r="M106" s="217" t="e">
        <f>M107/M105*1000</f>
        <v>#DIV/0!</v>
      </c>
      <c r="N106" s="188"/>
      <c r="O106" s="188"/>
      <c r="P106" s="218"/>
      <c r="Q106" s="218"/>
      <c r="R106" s="218"/>
      <c r="S106" s="218"/>
      <c r="T106" s="217" t="e">
        <f>T107/T105*1000</f>
        <v>#DIV/0!</v>
      </c>
      <c r="U106" s="217" t="e">
        <f>U107/U105*1000</f>
        <v>#DIV/0!</v>
      </c>
      <c r="V106" s="218" t="e">
        <f>V107/V105*1000</f>
        <v>#DIV/0!</v>
      </c>
      <c r="W106" s="219" t="e">
        <f>W107/W105*1000</f>
        <v>#DIV/0!</v>
      </c>
    </row>
    <row r="107" spans="1:24" s="43" customFormat="1" ht="18" hidden="1" customHeight="1">
      <c r="A107" s="610"/>
      <c r="B107" s="583"/>
      <c r="C107" s="583"/>
      <c r="D107" s="191" t="str">
        <f>серпень!D107</f>
        <v>сума, тис.грн.</v>
      </c>
      <c r="E107" s="192"/>
      <c r="F107" s="192"/>
      <c r="G107" s="192"/>
      <c r="H107" s="192"/>
      <c r="I107" s="192"/>
      <c r="J107" s="192"/>
      <c r="K107" s="192"/>
      <c r="L107" s="194">
        <f>SUM(F107:K107)</f>
        <v>0</v>
      </c>
      <c r="M107" s="194">
        <f>L107/6</f>
        <v>0</v>
      </c>
      <c r="N107" s="192"/>
      <c r="O107" s="192"/>
      <c r="P107" s="192"/>
      <c r="Q107" s="192"/>
      <c r="R107" s="192"/>
      <c r="S107" s="192"/>
      <c r="T107" s="194">
        <f>SUM(N107:S107)</f>
        <v>0</v>
      </c>
      <c r="U107" s="194">
        <f>T107+L107</f>
        <v>0</v>
      </c>
      <c r="V107" s="171">
        <f>V108+V109</f>
        <v>0</v>
      </c>
      <c r="W107" s="192">
        <f>V107-U107</f>
        <v>0</v>
      </c>
    </row>
    <row r="108" spans="1:24" s="43" customFormat="1" ht="18" hidden="1" customHeight="1">
      <c r="A108" s="610"/>
      <c r="B108" s="583"/>
      <c r="C108" s="583"/>
      <c r="D108" s="174" t="str">
        <f>серпень!D108</f>
        <v>дотація</v>
      </c>
      <c r="E108" s="210"/>
      <c r="F108" s="192"/>
      <c r="G108" s="192"/>
      <c r="H108" s="192"/>
      <c r="I108" s="192"/>
      <c r="J108" s="192"/>
      <c r="K108" s="192"/>
      <c r="L108" s="194">
        <f>SUM(F108:K108)</f>
        <v>0</v>
      </c>
      <c r="M108" s="194">
        <f>L108/6</f>
        <v>0</v>
      </c>
      <c r="N108" s="192"/>
      <c r="O108" s="192"/>
      <c r="P108" s="192"/>
      <c r="Q108" s="192"/>
      <c r="R108" s="192"/>
      <c r="S108" s="192"/>
      <c r="T108" s="194">
        <f>SUM(N108:S108)</f>
        <v>0</v>
      </c>
      <c r="U108" s="194">
        <f>T108+L108</f>
        <v>0</v>
      </c>
      <c r="V108" s="171"/>
      <c r="W108" s="192">
        <f>V108-U108</f>
        <v>0</v>
      </c>
    </row>
    <row r="109" spans="1:24" s="43" customFormat="1" ht="18" hidden="1" customHeight="1">
      <c r="A109" s="610"/>
      <c r="B109" s="583"/>
      <c r="C109" s="583"/>
      <c r="D109" s="174" t="str">
        <f>серпень!D109</f>
        <v>місцевий (план), тис.грн</v>
      </c>
      <c r="E109" s="210"/>
      <c r="F109" s="192"/>
      <c r="G109" s="192"/>
      <c r="H109" s="192"/>
      <c r="I109" s="192"/>
      <c r="J109" s="192"/>
      <c r="K109" s="192"/>
      <c r="L109" s="194">
        <f>SUM(F109:K109)</f>
        <v>0</v>
      </c>
      <c r="M109" s="194">
        <f>L109/6</f>
        <v>0</v>
      </c>
      <c r="N109" s="192"/>
      <c r="O109" s="192"/>
      <c r="P109" s="192"/>
      <c r="Q109" s="192"/>
      <c r="R109" s="192"/>
      <c r="S109" s="192"/>
      <c r="T109" s="194">
        <f>SUM(N109:S109)</f>
        <v>0</v>
      </c>
      <c r="U109" s="194">
        <f>T109+L109</f>
        <v>0</v>
      </c>
      <c r="V109" s="171"/>
      <c r="W109" s="192">
        <f>V109-U109</f>
        <v>0</v>
      </c>
    </row>
    <row r="110" spans="1:24" s="43" customFormat="1" ht="18" hidden="1" customHeight="1">
      <c r="A110" s="610"/>
      <c r="B110" s="583"/>
      <c r="C110" s="583"/>
      <c r="D110" s="178" t="str">
        <f>серпень!D110</f>
        <v>касові нат.п-ки 2025</v>
      </c>
      <c r="E110" s="179"/>
      <c r="F110" s="184"/>
      <c r="G110" s="184"/>
      <c r="H110" s="179"/>
      <c r="I110" s="179"/>
      <c r="J110" s="216"/>
      <c r="K110" s="179"/>
      <c r="L110" s="215">
        <f>SUM(F110:K110)</f>
        <v>0</v>
      </c>
      <c r="M110" s="215">
        <f>L110/6</f>
        <v>0</v>
      </c>
      <c r="N110" s="179"/>
      <c r="O110" s="179"/>
      <c r="P110" s="179"/>
      <c r="Q110" s="179"/>
      <c r="R110" s="179"/>
      <c r="S110" s="179"/>
      <c r="T110" s="215">
        <f>SUM(N110:S110)</f>
        <v>0</v>
      </c>
      <c r="U110" s="215">
        <f>T110+L110</f>
        <v>0</v>
      </c>
      <c r="V110" s="179">
        <f>V105</f>
        <v>0</v>
      </c>
      <c r="W110" s="184">
        <f>V110-U110</f>
        <v>0</v>
      </c>
    </row>
    <row r="111" spans="1:24" s="43" customFormat="1" ht="18" hidden="1" customHeight="1">
      <c r="A111" s="610"/>
      <c r="B111" s="583"/>
      <c r="C111" s="583"/>
      <c r="D111" s="187" t="str">
        <f>серпень!D111</f>
        <v>тариф, грн.</v>
      </c>
      <c r="E111" s="188" t="e">
        <f t="shared" ref="E111" si="181">E112/E110*1000</f>
        <v>#DIV/0!</v>
      </c>
      <c r="F111" s="188"/>
      <c r="G111" s="188"/>
      <c r="H111" s="188"/>
      <c r="I111" s="188"/>
      <c r="J111" s="188"/>
      <c r="K111" s="188"/>
      <c r="L111" s="217" t="e">
        <f>L112/L110*1000</f>
        <v>#DIV/0!</v>
      </c>
      <c r="M111" s="217" t="e">
        <f>M112/M110*1000</f>
        <v>#DIV/0!</v>
      </c>
      <c r="N111" s="188"/>
      <c r="O111" s="188"/>
      <c r="P111" s="188"/>
      <c r="Q111" s="218"/>
      <c r="R111" s="218"/>
      <c r="S111" s="218"/>
      <c r="T111" s="217" t="e">
        <f>T112/T110*1000</f>
        <v>#DIV/0!</v>
      </c>
      <c r="U111" s="217" t="e">
        <f>U112/U110*1000</f>
        <v>#DIV/0!</v>
      </c>
      <c r="V111" s="218" t="e">
        <f>V112/V110*1000</f>
        <v>#DIV/0!</v>
      </c>
      <c r="W111" s="219" t="e">
        <f>W112/W110*1000</f>
        <v>#DIV/0!</v>
      </c>
    </row>
    <row r="112" spans="1:24" s="43" customFormat="1" ht="18" hidden="1" customHeight="1">
      <c r="A112" s="610"/>
      <c r="B112" s="583"/>
      <c r="C112" s="583"/>
      <c r="D112" s="198" t="str">
        <f>серпень!D112</f>
        <v>касові видатки, тис.грн.</v>
      </c>
      <c r="E112" s="220"/>
      <c r="F112" s="199"/>
      <c r="G112" s="199"/>
      <c r="H112" s="199"/>
      <c r="I112" s="199"/>
      <c r="J112" s="199"/>
      <c r="K112" s="199"/>
      <c r="L112" s="199">
        <f>SUM(F112:K112)</f>
        <v>0</v>
      </c>
      <c r="M112" s="199">
        <f>L112/6</f>
        <v>0</v>
      </c>
      <c r="N112" s="199"/>
      <c r="O112" s="199"/>
      <c r="P112" s="199"/>
      <c r="Q112" s="199"/>
      <c r="R112" s="199"/>
      <c r="S112" s="199"/>
      <c r="T112" s="199">
        <f>SUM(N112:S112)</f>
        <v>0</v>
      </c>
      <c r="U112" s="199">
        <f>T112+L112</f>
        <v>0</v>
      </c>
      <c r="V112" s="199">
        <f>V107</f>
        <v>0</v>
      </c>
      <c r="W112" s="221">
        <f>V112-U112</f>
        <v>0</v>
      </c>
    </row>
    <row r="113" spans="1:24" s="43" customFormat="1" ht="18" hidden="1" customHeight="1">
      <c r="A113" s="610"/>
      <c r="B113" s="583"/>
      <c r="C113" s="583"/>
      <c r="D113" s="201" t="str">
        <f>серпень!D113</f>
        <v>дотація</v>
      </c>
      <c r="E113" s="220"/>
      <c r="F113" s="199"/>
      <c r="G113" s="199"/>
      <c r="H113" s="199"/>
      <c r="I113" s="199"/>
      <c r="J113" s="199"/>
      <c r="K113" s="199"/>
      <c r="L113" s="199">
        <f>SUM(F113:K113)</f>
        <v>0</v>
      </c>
      <c r="M113" s="199">
        <f>L113/6</f>
        <v>0</v>
      </c>
      <c r="N113" s="199"/>
      <c r="O113" s="199"/>
      <c r="P113" s="199"/>
      <c r="Q113" s="199"/>
      <c r="R113" s="199"/>
      <c r="S113" s="199"/>
      <c r="T113" s="199">
        <f>SUM(N113:S113)</f>
        <v>0</v>
      </c>
      <c r="U113" s="199">
        <f>T113+L113</f>
        <v>0</v>
      </c>
      <c r="V113" s="199">
        <f>V108</f>
        <v>0</v>
      </c>
      <c r="W113" s="221">
        <f>V113-U113</f>
        <v>0</v>
      </c>
    </row>
    <row r="114" spans="1:24" s="43" customFormat="1" ht="18" hidden="1" customHeight="1">
      <c r="A114" s="610"/>
      <c r="B114" s="583"/>
      <c r="C114" s="583"/>
      <c r="D114" s="201" t="str">
        <f>серпень!D114</f>
        <v xml:space="preserve">місцевий </v>
      </c>
      <c r="E114" s="220"/>
      <c r="F114" s="199"/>
      <c r="G114" s="199"/>
      <c r="H114" s="199"/>
      <c r="I114" s="199"/>
      <c r="J114" s="199"/>
      <c r="K114" s="199"/>
      <c r="L114" s="199">
        <f>SUM(F114:K114)</f>
        <v>0</v>
      </c>
      <c r="M114" s="199">
        <f>L114/6</f>
        <v>0</v>
      </c>
      <c r="N114" s="199"/>
      <c r="O114" s="199"/>
      <c r="P114" s="199"/>
      <c r="Q114" s="199"/>
      <c r="R114" s="199"/>
      <c r="S114" s="199"/>
      <c r="T114" s="199">
        <f>SUM(N114:S114)</f>
        <v>0</v>
      </c>
      <c r="U114" s="199">
        <f>T114+L114</f>
        <v>0</v>
      </c>
      <c r="V114" s="199">
        <f>V109</f>
        <v>0</v>
      </c>
      <c r="W114" s="221">
        <f>V114-U114</f>
        <v>0</v>
      </c>
    </row>
    <row r="115" spans="1:24" s="43" customFormat="1" ht="18" hidden="1" customHeight="1">
      <c r="A115" s="610"/>
      <c r="B115" s="583"/>
      <c r="C115" s="583"/>
      <c r="D115" s="202" t="str">
        <f>серпень!D115</f>
        <v>план</v>
      </c>
      <c r="E115" s="203"/>
      <c r="F115" s="203">
        <f t="shared" ref="F115:K115" si="182">F108+F109</f>
        <v>0</v>
      </c>
      <c r="G115" s="203">
        <f t="shared" si="182"/>
        <v>0</v>
      </c>
      <c r="H115" s="203">
        <f t="shared" si="182"/>
        <v>0</v>
      </c>
      <c r="I115" s="203">
        <f t="shared" si="182"/>
        <v>0</v>
      </c>
      <c r="J115" s="203">
        <f t="shared" si="182"/>
        <v>0</v>
      </c>
      <c r="K115" s="203">
        <f t="shared" si="182"/>
        <v>0</v>
      </c>
      <c r="L115" s="203">
        <f>SUM(F115:K115)</f>
        <v>0</v>
      </c>
      <c r="M115" s="203">
        <f>L115/6</f>
        <v>0</v>
      </c>
      <c r="N115" s="203">
        <f t="shared" ref="N115:S115" si="183">N109+N108</f>
        <v>0</v>
      </c>
      <c r="O115" s="203">
        <f t="shared" si="183"/>
        <v>0</v>
      </c>
      <c r="P115" s="203">
        <f t="shared" si="183"/>
        <v>0</v>
      </c>
      <c r="Q115" s="203">
        <f t="shared" si="183"/>
        <v>0</v>
      </c>
      <c r="R115" s="203">
        <f t="shared" si="183"/>
        <v>0</v>
      </c>
      <c r="S115" s="203">
        <f t="shared" si="183"/>
        <v>0</v>
      </c>
      <c r="T115" s="203">
        <f>SUM(N115:S115)</f>
        <v>0</v>
      </c>
      <c r="U115" s="203">
        <f>T115+L115</f>
        <v>0</v>
      </c>
      <c r="V115" s="203">
        <f>V112</f>
        <v>0</v>
      </c>
      <c r="W115" s="203">
        <f>V115-U115</f>
        <v>0</v>
      </c>
    </row>
    <row r="116" spans="1:24" s="43" customFormat="1" ht="18" hidden="1" customHeight="1">
      <c r="A116" s="610"/>
      <c r="B116" s="583"/>
      <c r="C116" s="583"/>
      <c r="D116" s="202" t="str">
        <f>серпень!D116</f>
        <v xml:space="preserve">відхилення </v>
      </c>
      <c r="E116" s="203"/>
      <c r="F116" s="203">
        <f t="shared" ref="F116:K116" si="184">F112-F115</f>
        <v>0</v>
      </c>
      <c r="G116" s="203">
        <f t="shared" si="184"/>
        <v>0</v>
      </c>
      <c r="H116" s="203">
        <f t="shared" si="184"/>
        <v>0</v>
      </c>
      <c r="I116" s="203">
        <f t="shared" si="184"/>
        <v>0</v>
      </c>
      <c r="J116" s="203">
        <f t="shared" si="184"/>
        <v>0</v>
      </c>
      <c r="K116" s="203">
        <f t="shared" si="184"/>
        <v>0</v>
      </c>
      <c r="L116" s="203"/>
      <c r="M116" s="203"/>
      <c r="N116" s="203">
        <f t="shared" ref="N116:S116" si="185">N112-N115</f>
        <v>0</v>
      </c>
      <c r="O116" s="203">
        <f t="shared" si="185"/>
        <v>0</v>
      </c>
      <c r="P116" s="203">
        <f t="shared" si="185"/>
        <v>0</v>
      </c>
      <c r="Q116" s="203">
        <f t="shared" si="185"/>
        <v>0</v>
      </c>
      <c r="R116" s="203">
        <f t="shared" si="185"/>
        <v>0</v>
      </c>
      <c r="S116" s="203">
        <f t="shared" si="185"/>
        <v>0</v>
      </c>
      <c r="T116" s="203"/>
      <c r="U116" s="203"/>
      <c r="V116" s="203"/>
      <c r="W116" s="203"/>
    </row>
    <row r="117" spans="1:24" s="43" customFormat="1" ht="18" hidden="1" customHeight="1">
      <c r="A117" s="610"/>
      <c r="B117" s="583"/>
      <c r="C117" s="584"/>
      <c r="D117" s="202" t="str">
        <f>серпень!D117</f>
        <v>відхилення з наростаючим</v>
      </c>
      <c r="E117" s="203"/>
      <c r="F117" s="203">
        <f>F116</f>
        <v>0</v>
      </c>
      <c r="G117" s="203">
        <f>G116+F117</f>
        <v>0</v>
      </c>
      <c r="H117" s="203">
        <f>H116+G117</f>
        <v>0</v>
      </c>
      <c r="I117" s="203">
        <f>I116+H117</f>
        <v>0</v>
      </c>
      <c r="J117" s="203">
        <f>J116+I117</f>
        <v>0</v>
      </c>
      <c r="K117" s="203">
        <f>K116+J117</f>
        <v>0</v>
      </c>
      <c r="L117" s="203"/>
      <c r="M117" s="203"/>
      <c r="N117" s="203">
        <f>N116+K117</f>
        <v>0</v>
      </c>
      <c r="O117" s="203">
        <f>O116+N117</f>
        <v>0</v>
      </c>
      <c r="P117" s="203">
        <f>P116+O117</f>
        <v>0</v>
      </c>
      <c r="Q117" s="203">
        <f>Q116+P117</f>
        <v>0</v>
      </c>
      <c r="R117" s="203">
        <f>R116+Q117</f>
        <v>0</v>
      </c>
      <c r="S117" s="203">
        <f>S116+R117</f>
        <v>0</v>
      </c>
      <c r="T117" s="203"/>
      <c r="U117" s="203"/>
      <c r="V117" s="203"/>
      <c r="W117" s="203"/>
    </row>
    <row r="118" spans="1:24" s="43" customFormat="1" ht="18" hidden="1" customHeight="1">
      <c r="A118" s="610"/>
      <c r="B118" s="581" t="s">
        <v>57</v>
      </c>
      <c r="C118" s="582" t="s">
        <v>98</v>
      </c>
      <c r="D118" s="178" t="str">
        <f>серпень!D118</f>
        <v>факт. нат.п-ки 2023</v>
      </c>
      <c r="E118" s="179"/>
      <c r="F118" s="184"/>
      <c r="G118" s="184"/>
      <c r="H118" s="179"/>
      <c r="I118" s="179"/>
      <c r="J118" s="179"/>
      <c r="K118" s="179"/>
      <c r="L118" s="215">
        <f>SUM(F118:K118)</f>
        <v>0</v>
      </c>
      <c r="M118" s="215">
        <f>L118/6</f>
        <v>0</v>
      </c>
      <c r="N118" s="179"/>
      <c r="O118" s="179"/>
      <c r="P118" s="179"/>
      <c r="Q118" s="179"/>
      <c r="R118" s="179"/>
      <c r="S118" s="179"/>
      <c r="T118" s="215">
        <f>SUM(N118:S118)</f>
        <v>0</v>
      </c>
      <c r="U118" s="215">
        <f>T118+L118</f>
        <v>0</v>
      </c>
      <c r="V118" s="179"/>
      <c r="W118" s="184"/>
    </row>
    <row r="119" spans="1:24" s="43" customFormat="1" ht="18" hidden="1" customHeight="1">
      <c r="A119" s="610"/>
      <c r="B119" s="581"/>
      <c r="C119" s="583"/>
      <c r="D119" s="178" t="str">
        <f>серпень!D119</f>
        <v>факт. нат.п-ки 2024</v>
      </c>
      <c r="E119" s="179"/>
      <c r="F119" s="184"/>
      <c r="G119" s="184"/>
      <c r="H119" s="179"/>
      <c r="I119" s="179"/>
      <c r="J119" s="179"/>
      <c r="K119" s="179"/>
      <c r="L119" s="215">
        <f>SUM(F119:K119)</f>
        <v>0</v>
      </c>
      <c r="M119" s="215">
        <f>L119/6</f>
        <v>0</v>
      </c>
      <c r="N119" s="179"/>
      <c r="O119" s="179"/>
      <c r="P119" s="179"/>
      <c r="Q119" s="179"/>
      <c r="R119" s="179"/>
      <c r="S119" s="179"/>
      <c r="T119" s="215">
        <f>SUM(N119:S119)</f>
        <v>0</v>
      </c>
      <c r="U119" s="215">
        <f>T119+L119</f>
        <v>0</v>
      </c>
      <c r="V119" s="179"/>
      <c r="W119" s="184"/>
    </row>
    <row r="120" spans="1:24" s="43" customFormat="1" ht="18" hidden="1" customHeight="1">
      <c r="A120" s="610"/>
      <c r="B120" s="581"/>
      <c r="C120" s="583"/>
      <c r="D120" s="178" t="str">
        <f>серпень!D120</f>
        <v>факт. нат.п-ки 2025</v>
      </c>
      <c r="E120" s="179"/>
      <c r="F120" s="184"/>
      <c r="G120" s="184"/>
      <c r="H120" s="179"/>
      <c r="I120" s="216"/>
      <c r="J120" s="179"/>
      <c r="K120" s="179"/>
      <c r="L120" s="215">
        <f>SUM(F120:K120)</f>
        <v>0</v>
      </c>
      <c r="M120" s="215">
        <f>L120/6</f>
        <v>0</v>
      </c>
      <c r="N120" s="179"/>
      <c r="O120" s="179"/>
      <c r="P120" s="179"/>
      <c r="Q120" s="179"/>
      <c r="R120" s="179"/>
      <c r="S120" s="179"/>
      <c r="T120" s="215">
        <f>SUM(N120:S120)</f>
        <v>0</v>
      </c>
      <c r="U120" s="215">
        <f>T120+L120</f>
        <v>0</v>
      </c>
      <c r="V120" s="179"/>
      <c r="W120" s="184">
        <f>U120-V120</f>
        <v>0</v>
      </c>
    </row>
    <row r="121" spans="1:24" s="43" customFormat="1" ht="18" hidden="1" customHeight="1">
      <c r="A121" s="610"/>
      <c r="B121" s="581"/>
      <c r="C121" s="583"/>
      <c r="D121" s="187" t="str">
        <f>серпень!D121</f>
        <v>тариф, грн.</v>
      </c>
      <c r="E121" s="188"/>
      <c r="F121" s="188"/>
      <c r="G121" s="188"/>
      <c r="H121" s="188"/>
      <c r="I121" s="188"/>
      <c r="J121" s="188"/>
      <c r="K121" s="188"/>
      <c r="L121" s="217" t="e">
        <f>L122/L120*1000</f>
        <v>#DIV/0!</v>
      </c>
      <c r="M121" s="217" t="e">
        <f>M122/M120*1000</f>
        <v>#DIV/0!</v>
      </c>
      <c r="N121" s="188"/>
      <c r="O121" s="188"/>
      <c r="P121" s="188"/>
      <c r="Q121" s="188"/>
      <c r="R121" s="188"/>
      <c r="S121" s="188"/>
      <c r="T121" s="217" t="e">
        <f>T122/T120*1000</f>
        <v>#DIV/0!</v>
      </c>
      <c r="U121" s="217" t="e">
        <f>U122/U120*1000</f>
        <v>#DIV/0!</v>
      </c>
      <c r="V121" s="218" t="e">
        <f>V122/V120*1000</f>
        <v>#DIV/0!</v>
      </c>
      <c r="W121" s="219" t="e">
        <f>W122/W120*1000</f>
        <v>#DIV/0!</v>
      </c>
    </row>
    <row r="122" spans="1:24" s="43" customFormat="1" ht="18" hidden="1" customHeight="1">
      <c r="A122" s="610"/>
      <c r="B122" s="581"/>
      <c r="C122" s="583"/>
      <c r="D122" s="191" t="str">
        <f>серпень!D122</f>
        <v>сума, тис.грн.</v>
      </c>
      <c r="E122" s="192"/>
      <c r="F122" s="192"/>
      <c r="G122" s="192"/>
      <c r="H122" s="192"/>
      <c r="I122" s="192"/>
      <c r="J122" s="192"/>
      <c r="K122" s="192"/>
      <c r="L122" s="194">
        <f>SUM(F122:K122)</f>
        <v>0</v>
      </c>
      <c r="M122" s="194">
        <f>L122/6</f>
        <v>0</v>
      </c>
      <c r="N122" s="192"/>
      <c r="O122" s="192"/>
      <c r="P122" s="192"/>
      <c r="Q122" s="192"/>
      <c r="R122" s="192"/>
      <c r="S122" s="192"/>
      <c r="T122" s="194">
        <f>SUM(N122:S122)</f>
        <v>0</v>
      </c>
      <c r="U122" s="194">
        <f>T122+L122</f>
        <v>0</v>
      </c>
      <c r="V122" s="171">
        <f>V123+V124</f>
        <v>0</v>
      </c>
      <c r="W122" s="192">
        <f>V122-U122</f>
        <v>0</v>
      </c>
    </row>
    <row r="123" spans="1:24" s="43" customFormat="1" ht="18" hidden="1" customHeight="1">
      <c r="A123" s="610"/>
      <c r="B123" s="581"/>
      <c r="C123" s="583"/>
      <c r="D123" s="174" t="str">
        <f>серпень!D123</f>
        <v>дотація</v>
      </c>
      <c r="E123" s="210"/>
      <c r="F123" s="192"/>
      <c r="G123" s="192"/>
      <c r="H123" s="192"/>
      <c r="I123" s="192"/>
      <c r="J123" s="192"/>
      <c r="K123" s="192"/>
      <c r="L123" s="194">
        <f>SUM(F123:K123)</f>
        <v>0</v>
      </c>
      <c r="M123" s="194">
        <f>L123/6</f>
        <v>0</v>
      </c>
      <c r="N123" s="192"/>
      <c r="O123" s="192"/>
      <c r="P123" s="192"/>
      <c r="Q123" s="192"/>
      <c r="R123" s="192"/>
      <c r="S123" s="192"/>
      <c r="T123" s="194">
        <f>SUM(N123:S123)</f>
        <v>0</v>
      </c>
      <c r="U123" s="194">
        <f>T123+L123</f>
        <v>0</v>
      </c>
      <c r="V123" s="171"/>
      <c r="W123" s="192">
        <f>V123-U123</f>
        <v>0</v>
      </c>
    </row>
    <row r="124" spans="1:24" s="43" customFormat="1" ht="18" hidden="1" customHeight="1">
      <c r="A124" s="610"/>
      <c r="B124" s="581"/>
      <c r="C124" s="583"/>
      <c r="D124" s="174" t="str">
        <f>серпень!D124</f>
        <v>місцевий (план), тис.грн</v>
      </c>
      <c r="E124" s="210"/>
      <c r="F124" s="192"/>
      <c r="G124" s="192"/>
      <c r="H124" s="192"/>
      <c r="I124" s="192"/>
      <c r="J124" s="192"/>
      <c r="K124" s="192"/>
      <c r="L124" s="194">
        <f>SUM(F124:K124)</f>
        <v>0</v>
      </c>
      <c r="M124" s="194">
        <f>L124/6</f>
        <v>0</v>
      </c>
      <c r="N124" s="192"/>
      <c r="O124" s="192"/>
      <c r="P124" s="192"/>
      <c r="Q124" s="192"/>
      <c r="R124" s="192"/>
      <c r="S124" s="192"/>
      <c r="T124" s="194">
        <f>SUM(N124:S124)</f>
        <v>0</v>
      </c>
      <c r="U124" s="194">
        <f>T124+L124</f>
        <v>0</v>
      </c>
      <c r="V124" s="171"/>
      <c r="W124" s="192">
        <f>V124-U124</f>
        <v>0</v>
      </c>
    </row>
    <row r="125" spans="1:24" s="43" customFormat="1" ht="18" hidden="1" customHeight="1">
      <c r="A125" s="610"/>
      <c r="B125" s="581"/>
      <c r="C125" s="583"/>
      <c r="D125" s="178" t="str">
        <f>серпень!D125</f>
        <v>касові нат.п-ки 2025</v>
      </c>
      <c r="E125" s="179"/>
      <c r="F125" s="184"/>
      <c r="G125" s="184"/>
      <c r="H125" s="179"/>
      <c r="I125" s="179"/>
      <c r="J125" s="216"/>
      <c r="K125" s="179"/>
      <c r="L125" s="215">
        <f>SUM(F125:K125)</f>
        <v>0</v>
      </c>
      <c r="M125" s="215">
        <f>L125/6</f>
        <v>0</v>
      </c>
      <c r="N125" s="179"/>
      <c r="O125" s="179"/>
      <c r="P125" s="179"/>
      <c r="Q125" s="179"/>
      <c r="R125" s="179"/>
      <c r="S125" s="179"/>
      <c r="T125" s="215">
        <f>SUM(N125:S125)</f>
        <v>0</v>
      </c>
      <c r="U125" s="215">
        <f>T125+L125</f>
        <v>0</v>
      </c>
      <c r="V125" s="179">
        <f>V120</f>
        <v>0</v>
      </c>
      <c r="W125" s="184">
        <f>V125-U125</f>
        <v>0</v>
      </c>
      <c r="X125" s="206">
        <f>U120-U125</f>
        <v>0</v>
      </c>
    </row>
    <row r="126" spans="1:24" s="43" customFormat="1" ht="18" hidden="1" customHeight="1">
      <c r="A126" s="610"/>
      <c r="B126" s="581"/>
      <c r="C126" s="583"/>
      <c r="D126" s="187" t="str">
        <f>серпень!D126</f>
        <v>тариф, грн.</v>
      </c>
      <c r="E126" s="188" t="e">
        <f t="shared" ref="E126" si="186">E127/E125*1000</f>
        <v>#DIV/0!</v>
      </c>
      <c r="F126" s="188"/>
      <c r="G126" s="188"/>
      <c r="H126" s="188"/>
      <c r="I126" s="188"/>
      <c r="J126" s="188"/>
      <c r="K126" s="188"/>
      <c r="L126" s="217" t="e">
        <f>L127/L125*1000</f>
        <v>#DIV/0!</v>
      </c>
      <c r="M126" s="217" t="e">
        <f>M127/M125*1000</f>
        <v>#DIV/0!</v>
      </c>
      <c r="N126" s="188"/>
      <c r="O126" s="188"/>
      <c r="P126" s="188"/>
      <c r="Q126" s="188"/>
      <c r="R126" s="188"/>
      <c r="S126" s="188"/>
      <c r="T126" s="217" t="e">
        <f>T127/T125*1000</f>
        <v>#DIV/0!</v>
      </c>
      <c r="U126" s="217" t="e">
        <f>U127/U125*1000</f>
        <v>#DIV/0!</v>
      </c>
      <c r="V126" s="218" t="e">
        <f>V127/V125*1000</f>
        <v>#DIV/0!</v>
      </c>
      <c r="W126" s="219" t="e">
        <f>W127/W125*1000</f>
        <v>#DIV/0!</v>
      </c>
      <c r="X126" s="206"/>
    </row>
    <row r="127" spans="1:24" s="43" customFormat="1" ht="18" hidden="1" customHeight="1">
      <c r="A127" s="610"/>
      <c r="B127" s="581"/>
      <c r="C127" s="583"/>
      <c r="D127" s="198" t="str">
        <f>серпень!D127</f>
        <v>касові видатки, тис.грн.</v>
      </c>
      <c r="E127" s="220"/>
      <c r="F127" s="199"/>
      <c r="G127" s="199"/>
      <c r="H127" s="199"/>
      <c r="I127" s="199"/>
      <c r="J127" s="199"/>
      <c r="K127" s="199"/>
      <c r="L127" s="199">
        <f>SUM(F127:K127)</f>
        <v>0</v>
      </c>
      <c r="M127" s="199">
        <f>L127/6</f>
        <v>0</v>
      </c>
      <c r="N127" s="199"/>
      <c r="O127" s="199"/>
      <c r="P127" s="199"/>
      <c r="Q127" s="199"/>
      <c r="R127" s="199"/>
      <c r="S127" s="199"/>
      <c r="T127" s="199">
        <f>SUM(N127:S127)</f>
        <v>0</v>
      </c>
      <c r="U127" s="199">
        <f>T127+L127</f>
        <v>0</v>
      </c>
      <c r="V127" s="199">
        <f>V122</f>
        <v>0</v>
      </c>
      <c r="W127" s="221">
        <f>V127-U127</f>
        <v>0</v>
      </c>
      <c r="X127" s="176">
        <f>U122-U127</f>
        <v>0</v>
      </c>
    </row>
    <row r="128" spans="1:24" s="43" customFormat="1" ht="18" hidden="1" customHeight="1">
      <c r="A128" s="610"/>
      <c r="B128" s="581"/>
      <c r="C128" s="583"/>
      <c r="D128" s="201" t="str">
        <f>серпень!D128</f>
        <v>дотація</v>
      </c>
      <c r="E128" s="220"/>
      <c r="F128" s="199"/>
      <c r="G128" s="199"/>
      <c r="H128" s="199"/>
      <c r="I128" s="199"/>
      <c r="J128" s="199"/>
      <c r="K128" s="199"/>
      <c r="L128" s="199">
        <f>SUM(F128:K128)</f>
        <v>0</v>
      </c>
      <c r="M128" s="199">
        <f>L128/6</f>
        <v>0</v>
      </c>
      <c r="N128" s="199"/>
      <c r="O128" s="199"/>
      <c r="P128" s="199"/>
      <c r="Q128" s="199"/>
      <c r="R128" s="199"/>
      <c r="S128" s="199"/>
      <c r="T128" s="199">
        <f>SUM(N128:S128)</f>
        <v>0</v>
      </c>
      <c r="U128" s="199">
        <f>T128+L128</f>
        <v>0</v>
      </c>
      <c r="V128" s="199">
        <f>V123</f>
        <v>0</v>
      </c>
      <c r="W128" s="221">
        <f>V128-U128</f>
        <v>0</v>
      </c>
      <c r="X128" s="176">
        <f>U123-U128</f>
        <v>0</v>
      </c>
    </row>
    <row r="129" spans="1:24" s="43" customFormat="1" ht="18" hidden="1" customHeight="1">
      <c r="A129" s="610"/>
      <c r="B129" s="581"/>
      <c r="C129" s="583"/>
      <c r="D129" s="201" t="str">
        <f>серпень!D129</f>
        <v xml:space="preserve">місцевий </v>
      </c>
      <c r="E129" s="220"/>
      <c r="F129" s="199"/>
      <c r="G129" s="199"/>
      <c r="H129" s="199"/>
      <c r="I129" s="199"/>
      <c r="J129" s="199"/>
      <c r="K129" s="199"/>
      <c r="L129" s="199">
        <f>SUM(F129:K129)</f>
        <v>0</v>
      </c>
      <c r="M129" s="199">
        <f>L129/6</f>
        <v>0</v>
      </c>
      <c r="N129" s="199"/>
      <c r="O129" s="199"/>
      <c r="P129" s="199"/>
      <c r="Q129" s="199"/>
      <c r="R129" s="199"/>
      <c r="S129" s="199"/>
      <c r="T129" s="199">
        <f>SUM(N129:S129)</f>
        <v>0</v>
      </c>
      <c r="U129" s="199">
        <f>T129+L129</f>
        <v>0</v>
      </c>
      <c r="V129" s="199">
        <f>V124</f>
        <v>0</v>
      </c>
      <c r="W129" s="221">
        <f>V129-U129</f>
        <v>0</v>
      </c>
      <c r="X129" s="176">
        <f>U124-U129</f>
        <v>0</v>
      </c>
    </row>
    <row r="130" spans="1:24" s="43" customFormat="1" ht="18" hidden="1" customHeight="1">
      <c r="A130" s="610"/>
      <c r="B130" s="581"/>
      <c r="C130" s="583"/>
      <c r="D130" s="202" t="str">
        <f>серпень!D130</f>
        <v>план</v>
      </c>
      <c r="E130" s="203"/>
      <c r="F130" s="203">
        <f t="shared" ref="F130:K130" si="187">F123+F124</f>
        <v>0</v>
      </c>
      <c r="G130" s="203">
        <f t="shared" si="187"/>
        <v>0</v>
      </c>
      <c r="H130" s="203">
        <f t="shared" si="187"/>
        <v>0</v>
      </c>
      <c r="I130" s="203">
        <f t="shared" si="187"/>
        <v>0</v>
      </c>
      <c r="J130" s="203">
        <f t="shared" si="187"/>
        <v>0</v>
      </c>
      <c r="K130" s="203">
        <f t="shared" si="187"/>
        <v>0</v>
      </c>
      <c r="L130" s="203">
        <f>SUM(F130:K130)</f>
        <v>0</v>
      </c>
      <c r="M130" s="203">
        <f>L130/6</f>
        <v>0</v>
      </c>
      <c r="N130" s="203">
        <f t="shared" ref="N130:S130" si="188">N124+N123</f>
        <v>0</v>
      </c>
      <c r="O130" s="203">
        <f t="shared" si="188"/>
        <v>0</v>
      </c>
      <c r="P130" s="203">
        <f t="shared" si="188"/>
        <v>0</v>
      </c>
      <c r="Q130" s="203">
        <f t="shared" si="188"/>
        <v>0</v>
      </c>
      <c r="R130" s="203">
        <f t="shared" si="188"/>
        <v>0</v>
      </c>
      <c r="S130" s="203">
        <f t="shared" si="188"/>
        <v>0</v>
      </c>
      <c r="T130" s="203">
        <f>SUM(N130:S130)</f>
        <v>0</v>
      </c>
      <c r="U130" s="203">
        <f>T130+L130</f>
        <v>0</v>
      </c>
      <c r="V130" s="203">
        <f>V127</f>
        <v>0</v>
      </c>
      <c r="W130" s="203">
        <f>V130-U130</f>
        <v>0</v>
      </c>
    </row>
    <row r="131" spans="1:24" s="43" customFormat="1" ht="18" hidden="1" customHeight="1">
      <c r="A131" s="610"/>
      <c r="B131" s="581"/>
      <c r="C131" s="583"/>
      <c r="D131" s="202" t="str">
        <f>серпень!D131</f>
        <v xml:space="preserve">відхилення </v>
      </c>
      <c r="E131" s="203"/>
      <c r="F131" s="203">
        <f t="shared" ref="F131:K131" si="189">F127-F130</f>
        <v>0</v>
      </c>
      <c r="G131" s="203">
        <f t="shared" si="189"/>
        <v>0</v>
      </c>
      <c r="H131" s="203">
        <f t="shared" si="189"/>
        <v>0</v>
      </c>
      <c r="I131" s="203">
        <f t="shared" si="189"/>
        <v>0</v>
      </c>
      <c r="J131" s="203">
        <f t="shared" si="189"/>
        <v>0</v>
      </c>
      <c r="K131" s="203">
        <f t="shared" si="189"/>
        <v>0</v>
      </c>
      <c r="L131" s="203"/>
      <c r="M131" s="203"/>
      <c r="N131" s="203">
        <f t="shared" ref="N131:S131" si="190">N127-N130</f>
        <v>0</v>
      </c>
      <c r="O131" s="203">
        <f t="shared" si="190"/>
        <v>0</v>
      </c>
      <c r="P131" s="203">
        <f t="shared" si="190"/>
        <v>0</v>
      </c>
      <c r="Q131" s="203">
        <f t="shared" si="190"/>
        <v>0</v>
      </c>
      <c r="R131" s="203">
        <f t="shared" si="190"/>
        <v>0</v>
      </c>
      <c r="S131" s="203">
        <f t="shared" si="190"/>
        <v>0</v>
      </c>
      <c r="T131" s="203"/>
      <c r="U131" s="203"/>
      <c r="V131" s="203"/>
      <c r="W131" s="203"/>
    </row>
    <row r="132" spans="1:24" s="43" customFormat="1" ht="27.1" hidden="1" customHeight="1">
      <c r="A132" s="610"/>
      <c r="B132" s="581"/>
      <c r="C132" s="584"/>
      <c r="D132" s="202" t="str">
        <f>серпень!D132</f>
        <v>відхилення з наростаючим</v>
      </c>
      <c r="E132" s="203"/>
      <c r="F132" s="203">
        <f>F131</f>
        <v>0</v>
      </c>
      <c r="G132" s="203">
        <f>G131+F132</f>
        <v>0</v>
      </c>
      <c r="H132" s="203">
        <f>H131+G132</f>
        <v>0</v>
      </c>
      <c r="I132" s="203">
        <f>I131+H132</f>
        <v>0</v>
      </c>
      <c r="J132" s="203">
        <f>J131+I132</f>
        <v>0</v>
      </c>
      <c r="K132" s="203">
        <f>K131+J132</f>
        <v>0</v>
      </c>
      <c r="L132" s="203"/>
      <c r="M132" s="203"/>
      <c r="N132" s="203">
        <f>N131+K132</f>
        <v>0</v>
      </c>
      <c r="O132" s="203">
        <f>O131+N132</f>
        <v>0</v>
      </c>
      <c r="P132" s="203">
        <f>P131+O132</f>
        <v>0</v>
      </c>
      <c r="Q132" s="203">
        <f>Q131+P132</f>
        <v>0</v>
      </c>
      <c r="R132" s="203">
        <f>R131+Q132</f>
        <v>0</v>
      </c>
      <c r="S132" s="203">
        <f>S131+R132</f>
        <v>0</v>
      </c>
      <c r="T132" s="203"/>
      <c r="U132" s="203"/>
      <c r="V132" s="203"/>
      <c r="W132" s="203"/>
    </row>
    <row r="133" spans="1:24" s="47" customFormat="1" ht="18" customHeight="1">
      <c r="A133" s="610"/>
      <c r="B133" s="581"/>
      <c r="C133" s="582" t="s">
        <v>99</v>
      </c>
      <c r="D133" s="178" t="str">
        <f>серпень!D133</f>
        <v>факт. нат.п-ки 2023</v>
      </c>
      <c r="E133" s="11"/>
      <c r="F133" s="12">
        <v>87.6</v>
      </c>
      <c r="G133" s="12">
        <v>65.3</v>
      </c>
      <c r="H133" s="12">
        <v>40.5</v>
      </c>
      <c r="I133" s="12">
        <v>0</v>
      </c>
      <c r="J133" s="12">
        <v>0</v>
      </c>
      <c r="K133" s="12">
        <v>0</v>
      </c>
      <c r="L133" s="65">
        <f>SUM(F133:K133)</f>
        <v>193.4</v>
      </c>
      <c r="M133" s="65">
        <f>L133/6</f>
        <v>32.200000000000003</v>
      </c>
      <c r="N133" s="12">
        <v>0</v>
      </c>
      <c r="O133" s="12">
        <v>0</v>
      </c>
      <c r="P133" s="12">
        <v>0</v>
      </c>
      <c r="Q133" s="12">
        <v>0</v>
      </c>
      <c r="R133" s="12">
        <v>23.8</v>
      </c>
      <c r="S133" s="11">
        <v>26.2</v>
      </c>
      <c r="T133" s="65">
        <f>SUM(N133:S133)</f>
        <v>50</v>
      </c>
      <c r="U133" s="65">
        <f>T133+L133</f>
        <v>243.4</v>
      </c>
      <c r="V133" s="67">
        <v>243.4</v>
      </c>
      <c r="W133" s="38"/>
    </row>
    <row r="134" spans="1:24" s="47" customFormat="1" ht="18" customHeight="1">
      <c r="A134" s="610"/>
      <c r="B134" s="581"/>
      <c r="C134" s="583"/>
      <c r="D134" s="178" t="str">
        <f>серпень!D134</f>
        <v>факт. нат.п-ки 2024</v>
      </c>
      <c r="E134" s="11"/>
      <c r="F134" s="12">
        <v>58.3</v>
      </c>
      <c r="G134" s="12">
        <v>53.3</v>
      </c>
      <c r="H134" s="12">
        <v>36.299999999999997</v>
      </c>
      <c r="I134" s="12">
        <v>0</v>
      </c>
      <c r="J134" s="12">
        <v>0</v>
      </c>
      <c r="K134" s="12">
        <v>0</v>
      </c>
      <c r="L134" s="65">
        <f>SUM(F134:K134)</f>
        <v>147.9</v>
      </c>
      <c r="M134" s="65">
        <f>L134/6</f>
        <v>24.7</v>
      </c>
      <c r="N134" s="12">
        <v>0</v>
      </c>
      <c r="O134" s="12">
        <v>0</v>
      </c>
      <c r="P134" s="12">
        <v>0</v>
      </c>
      <c r="Q134" s="12">
        <v>0</v>
      </c>
      <c r="R134" s="151">
        <v>23.8</v>
      </c>
      <c r="S134" s="83">
        <v>26.2</v>
      </c>
      <c r="T134" s="65">
        <f>SUM(N134:S134)</f>
        <v>50</v>
      </c>
      <c r="U134" s="65">
        <f>T134+L134</f>
        <v>197.9</v>
      </c>
      <c r="V134" s="67">
        <v>197.9</v>
      </c>
      <c r="W134" s="38"/>
    </row>
    <row r="135" spans="1:24" s="47" customFormat="1" ht="18" customHeight="1">
      <c r="A135" s="610"/>
      <c r="B135" s="581"/>
      <c r="C135" s="583"/>
      <c r="D135" s="178" t="str">
        <f>серпень!D135</f>
        <v>факт. нат.п-ки 2025</v>
      </c>
      <c r="E135" s="11"/>
      <c r="F135" s="12">
        <v>66.7</v>
      </c>
      <c r="G135" s="12">
        <v>77.7</v>
      </c>
      <c r="H135" s="12">
        <v>28.9</v>
      </c>
      <c r="I135" s="12">
        <v>0</v>
      </c>
      <c r="J135" s="12">
        <v>0</v>
      </c>
      <c r="K135" s="12">
        <v>0</v>
      </c>
      <c r="L135" s="65">
        <f>SUM(F135:K135)</f>
        <v>173.3</v>
      </c>
      <c r="M135" s="65">
        <f>L135/6</f>
        <v>28.9</v>
      </c>
      <c r="N135" s="12">
        <v>0</v>
      </c>
      <c r="O135" s="12">
        <v>0</v>
      </c>
      <c r="P135" s="12">
        <v>0</v>
      </c>
      <c r="Q135" s="12">
        <v>0</v>
      </c>
      <c r="R135" s="151">
        <v>23.8</v>
      </c>
      <c r="S135" s="83">
        <v>38.200000000000003</v>
      </c>
      <c r="T135" s="65">
        <f>SUM(N135:S135)</f>
        <v>62</v>
      </c>
      <c r="U135" s="65">
        <f>T135+L135</f>
        <v>235.3</v>
      </c>
      <c r="V135" s="11">
        <v>243.4</v>
      </c>
      <c r="W135" s="38">
        <f>V135-U135</f>
        <v>8.1</v>
      </c>
    </row>
    <row r="136" spans="1:24" s="47" customFormat="1" ht="18" customHeight="1">
      <c r="A136" s="610"/>
      <c r="B136" s="581"/>
      <c r="C136" s="583"/>
      <c r="D136" s="187" t="str">
        <f>серпень!D136</f>
        <v>тариф, грн.</v>
      </c>
      <c r="E136" s="49" t="e">
        <f>E137/E135*1000</f>
        <v>#DIV/0!</v>
      </c>
      <c r="F136" s="49">
        <f t="shared" ref="F136:H136" si="191">F137/F135*1000</f>
        <v>1654.498</v>
      </c>
      <c r="G136" s="49">
        <f t="shared" si="191"/>
        <v>1701.828</v>
      </c>
      <c r="H136" s="49">
        <f t="shared" si="191"/>
        <v>1645.2249999999999</v>
      </c>
      <c r="I136" s="49" t="e">
        <f t="shared" ref="I136" si="192">I137/I135*1000</f>
        <v>#DIV/0!</v>
      </c>
      <c r="J136" s="49" t="e">
        <f t="shared" ref="J136" si="193">J137/J135*1000</f>
        <v>#DIV/0!</v>
      </c>
      <c r="K136" s="49" t="e">
        <f t="shared" ref="K136" si="194">K137/K135*1000</f>
        <v>#DIV/0!</v>
      </c>
      <c r="L136" s="49">
        <f t="shared" ref="L136" si="195">L137/L135*1000</f>
        <v>1674.172</v>
      </c>
      <c r="M136" s="121">
        <f>M137/M135*1000</f>
        <v>1673.22</v>
      </c>
      <c r="N136" s="121">
        <v>1655.08</v>
      </c>
      <c r="O136" s="121">
        <v>1655.08</v>
      </c>
      <c r="P136" s="121">
        <v>1655.08</v>
      </c>
      <c r="Q136" s="121">
        <v>1655.08</v>
      </c>
      <c r="R136" s="121">
        <v>1655.08</v>
      </c>
      <c r="S136" s="121">
        <v>1655.08</v>
      </c>
      <c r="T136" s="121">
        <f>T137/T135*1000</f>
        <v>1655.06</v>
      </c>
      <c r="U136" s="121">
        <f>U137/U135*1000</f>
        <v>1669.14</v>
      </c>
      <c r="V136" s="68">
        <f>V137/V135*1000</f>
        <v>1736.7670000000001</v>
      </c>
      <c r="W136" s="14">
        <f>W137/W135*1000</f>
        <v>3701.3580000000002</v>
      </c>
    </row>
    <row r="137" spans="1:24" s="47" customFormat="1" ht="18" customHeight="1">
      <c r="A137" s="610"/>
      <c r="B137" s="581"/>
      <c r="C137" s="583"/>
      <c r="D137" s="191" t="str">
        <f>серпень!D137</f>
        <v>сума, тис.грн.</v>
      </c>
      <c r="E137" s="52"/>
      <c r="F137" s="52">
        <v>110.355</v>
      </c>
      <c r="G137" s="52">
        <v>132.232</v>
      </c>
      <c r="H137" s="52">
        <v>47.546999999999997</v>
      </c>
      <c r="I137" s="52">
        <v>0</v>
      </c>
      <c r="J137" s="52">
        <v>0</v>
      </c>
      <c r="K137" s="52">
        <v>0</v>
      </c>
      <c r="L137" s="69">
        <f>SUM(F137:K137)</f>
        <v>290.13400000000001</v>
      </c>
      <c r="M137" s="69">
        <f>L137/6</f>
        <v>48.356000000000002</v>
      </c>
      <c r="N137" s="52">
        <f>N135*N136/1000</f>
        <v>0</v>
      </c>
      <c r="O137" s="52">
        <f t="shared" ref="O137" si="196">O135*O136/1000</f>
        <v>0</v>
      </c>
      <c r="P137" s="52">
        <f t="shared" ref="P137" si="197">P135*P136/1000</f>
        <v>0</v>
      </c>
      <c r="Q137" s="52">
        <f t="shared" ref="Q137" si="198">Q135*Q136/1000</f>
        <v>0</v>
      </c>
      <c r="R137" s="52">
        <f t="shared" ref="R137" si="199">R135*R136/1000</f>
        <v>39.390999999999998</v>
      </c>
      <c r="S137" s="52">
        <f>S135*S136/1000-0.001</f>
        <v>63.222999999999999</v>
      </c>
      <c r="T137" s="69">
        <f>SUM(N137:S137)</f>
        <v>102.614</v>
      </c>
      <c r="U137" s="69">
        <f>T137+L137</f>
        <v>392.74799999999999</v>
      </c>
      <c r="V137" s="70">
        <f>V138+V139</f>
        <v>422.72899999999998</v>
      </c>
      <c r="W137" s="53">
        <f>V137-U137</f>
        <v>29.981000000000002</v>
      </c>
    </row>
    <row r="138" spans="1:24" s="47" customFormat="1" ht="18" customHeight="1">
      <c r="A138" s="610"/>
      <c r="B138" s="581"/>
      <c r="C138" s="583"/>
      <c r="D138" s="174" t="str">
        <f>серпень!D138</f>
        <v>дотація</v>
      </c>
      <c r="E138" s="56"/>
      <c r="F138" s="52"/>
      <c r="G138" s="52"/>
      <c r="H138" s="52">
        <v>19.882999999999999</v>
      </c>
      <c r="I138" s="52"/>
      <c r="J138" s="52"/>
      <c r="K138" s="52"/>
      <c r="L138" s="69">
        <f>SUM(F138:K138)</f>
        <v>19.882999999999999</v>
      </c>
      <c r="M138" s="69">
        <f>L138/6</f>
        <v>3.3140000000000001</v>
      </c>
      <c r="N138" s="52"/>
      <c r="O138" s="52"/>
      <c r="P138" s="52"/>
      <c r="Q138" s="52"/>
      <c r="R138" s="52"/>
      <c r="S138" s="52"/>
      <c r="T138" s="69">
        <f>SUM(N138:S138)</f>
        <v>0</v>
      </c>
      <c r="U138" s="69">
        <f>T138+L138</f>
        <v>19.882999999999999</v>
      </c>
      <c r="V138" s="70">
        <v>19.882999999999999</v>
      </c>
      <c r="W138" s="53">
        <f>V138-U138</f>
        <v>0</v>
      </c>
    </row>
    <row r="139" spans="1:24" s="47" customFormat="1" ht="18" customHeight="1">
      <c r="A139" s="610"/>
      <c r="B139" s="581"/>
      <c r="C139" s="583"/>
      <c r="D139" s="174" t="str">
        <f>серпень!D139</f>
        <v>місцевий (план), тис.грн</v>
      </c>
      <c r="E139" s="56"/>
      <c r="F139" s="52">
        <f>43.363-43.363</f>
        <v>0</v>
      </c>
      <c r="G139" s="52">
        <v>144.98500000000001</v>
      </c>
      <c r="H139" s="52">
        <v>88.215999999999994</v>
      </c>
      <c r="I139" s="52">
        <v>67.031000000000006</v>
      </c>
      <c r="J139" s="52">
        <v>0</v>
      </c>
      <c r="K139" s="52">
        <v>0</v>
      </c>
      <c r="L139" s="69">
        <f>SUM(F139:K139)</f>
        <v>300.23200000000003</v>
      </c>
      <c r="M139" s="69">
        <f>L139/6</f>
        <v>50.039000000000001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f>R137+S137</f>
        <v>102.614</v>
      </c>
      <c r="T139" s="69">
        <f>SUM(N139:S139)</f>
        <v>102.614</v>
      </c>
      <c r="U139" s="69">
        <f>T139+L139</f>
        <v>402.846</v>
      </c>
      <c r="V139" s="70">
        <v>402.846</v>
      </c>
      <c r="W139" s="53">
        <f>V139-U139</f>
        <v>0</v>
      </c>
    </row>
    <row r="140" spans="1:24" s="47" customFormat="1" ht="18" customHeight="1">
      <c r="A140" s="610"/>
      <c r="B140" s="581"/>
      <c r="C140" s="583"/>
      <c r="D140" s="178" t="str">
        <f>серпень!D140</f>
        <v>касові нат.п-ки 2025</v>
      </c>
      <c r="E140" s="11"/>
      <c r="F140" s="83">
        <v>0</v>
      </c>
      <c r="G140" s="151">
        <v>66.7</v>
      </c>
      <c r="H140" s="151">
        <v>77.7</v>
      </c>
      <c r="I140" s="151">
        <v>28.9</v>
      </c>
      <c r="J140" s="151">
        <v>0</v>
      </c>
      <c r="K140" s="83"/>
      <c r="L140" s="65">
        <f>SUM(F140:K140)</f>
        <v>173.3</v>
      </c>
      <c r="M140" s="65">
        <f>L140/6</f>
        <v>28.9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1">
        <f>R135+S135</f>
        <v>62</v>
      </c>
      <c r="T140" s="65">
        <f>SUM(N140:S140)</f>
        <v>62</v>
      </c>
      <c r="U140" s="65">
        <f>T140+L140</f>
        <v>235.3</v>
      </c>
      <c r="V140" s="11">
        <f>V135</f>
        <v>243.4</v>
      </c>
      <c r="W140" s="38">
        <f>V140-U140</f>
        <v>8.1</v>
      </c>
      <c r="X140" s="47">
        <v>0</v>
      </c>
    </row>
    <row r="141" spans="1:24" s="47" customFormat="1" ht="18" customHeight="1">
      <c r="A141" s="610"/>
      <c r="B141" s="581"/>
      <c r="C141" s="583"/>
      <c r="D141" s="187" t="str">
        <f>серпень!D141</f>
        <v>тариф, грн.</v>
      </c>
      <c r="E141" s="49" t="e">
        <f>E142/E140*1000</f>
        <v>#DIV/0!</v>
      </c>
      <c r="F141" s="49" t="e">
        <f t="shared" ref="F141:K141" si="200">F142/F140*1000</f>
        <v>#DIV/0!</v>
      </c>
      <c r="G141" s="49">
        <f t="shared" si="200"/>
        <v>1654.498</v>
      </c>
      <c r="H141" s="49">
        <f t="shared" si="200"/>
        <v>1701.828</v>
      </c>
      <c r="I141" s="49">
        <f t="shared" si="200"/>
        <v>1645.2249999999999</v>
      </c>
      <c r="J141" s="49" t="e">
        <f t="shared" si="200"/>
        <v>#DIV/0!</v>
      </c>
      <c r="K141" s="49" t="e">
        <f t="shared" si="200"/>
        <v>#DIV/0!</v>
      </c>
      <c r="L141" s="49">
        <f t="shared" ref="L141" si="201">L142/L140*1000</f>
        <v>1674.172</v>
      </c>
      <c r="M141" s="121">
        <f>M142/M140*1000</f>
        <v>1673.22</v>
      </c>
      <c r="N141" s="121">
        <v>1655.08</v>
      </c>
      <c r="O141" s="121">
        <v>1655.08</v>
      </c>
      <c r="P141" s="121">
        <v>1655.08</v>
      </c>
      <c r="Q141" s="121">
        <v>1655.08</v>
      </c>
      <c r="R141" s="49">
        <v>1655.08</v>
      </c>
      <c r="S141" s="49">
        <v>1655.08</v>
      </c>
      <c r="T141" s="121">
        <f>T142/T140*1000</f>
        <v>1655.06</v>
      </c>
      <c r="U141" s="121">
        <f>U142/U140*1000</f>
        <v>1669.14</v>
      </c>
      <c r="V141" s="68">
        <f>V142/V140*1000</f>
        <v>1736.7670000000001</v>
      </c>
      <c r="W141" s="14">
        <f>W142/W140*1000</f>
        <v>3701.3580000000002</v>
      </c>
    </row>
    <row r="142" spans="1:24" s="63" customFormat="1" ht="18" customHeight="1">
      <c r="A142" s="610"/>
      <c r="B142" s="581"/>
      <c r="C142" s="583"/>
      <c r="D142" s="198" t="str">
        <f>серпень!D142</f>
        <v>касові видатки, тис.грн.</v>
      </c>
      <c r="E142" s="71"/>
      <c r="F142" s="61">
        <v>0</v>
      </c>
      <c r="G142" s="61">
        <v>110.355</v>
      </c>
      <c r="H142" s="61">
        <v>132.232</v>
      </c>
      <c r="I142" s="61">
        <v>47.546999999999997</v>
      </c>
      <c r="J142" s="61">
        <v>0</v>
      </c>
      <c r="K142" s="61">
        <v>0</v>
      </c>
      <c r="L142" s="61">
        <f>SUM(F142:K142)</f>
        <v>290.13400000000001</v>
      </c>
      <c r="M142" s="61">
        <f>L142/6</f>
        <v>48.356000000000002</v>
      </c>
      <c r="N142" s="61">
        <f>N140*N141/1000</f>
        <v>0</v>
      </c>
      <c r="O142" s="61">
        <f t="shared" ref="O142" si="202">O140*O141/1000</f>
        <v>0</v>
      </c>
      <c r="P142" s="61">
        <f t="shared" ref="P142" si="203">P140*P141/1000</f>
        <v>0</v>
      </c>
      <c r="Q142" s="61">
        <f t="shared" ref="Q142" si="204">Q140*Q141/1000</f>
        <v>0</v>
      </c>
      <c r="R142" s="61">
        <f t="shared" ref="R142" si="205">R140*R141/1000</f>
        <v>0</v>
      </c>
      <c r="S142" s="61">
        <f>S140*S141/1000-0.001</f>
        <v>102.614</v>
      </c>
      <c r="T142" s="61">
        <f>SUM(N142:S142)</f>
        <v>102.614</v>
      </c>
      <c r="U142" s="61">
        <f>T142+L142</f>
        <v>392.74799999999999</v>
      </c>
      <c r="V142" s="61">
        <f>V137</f>
        <v>422.72899999999998</v>
      </c>
      <c r="W142" s="72">
        <f>V142-U142</f>
        <v>29.981000000000002</v>
      </c>
      <c r="X142" s="63">
        <f>U137-U142</f>
        <v>0</v>
      </c>
    </row>
    <row r="143" spans="1:24" s="63" customFormat="1" ht="18" customHeight="1">
      <c r="A143" s="610"/>
      <c r="B143" s="581"/>
      <c r="C143" s="583"/>
      <c r="D143" s="201" t="str">
        <f>серпень!D143</f>
        <v>дотація</v>
      </c>
      <c r="E143" s="71"/>
      <c r="F143" s="61">
        <v>0</v>
      </c>
      <c r="G143" s="61">
        <v>0</v>
      </c>
      <c r="H143" s="61">
        <v>19.882999999999999</v>
      </c>
      <c r="I143" s="61">
        <v>0</v>
      </c>
      <c r="J143" s="61">
        <v>0</v>
      </c>
      <c r="K143" s="61">
        <v>0</v>
      </c>
      <c r="L143" s="61">
        <f>SUM(F143:K143)</f>
        <v>19.882999999999999</v>
      </c>
      <c r="M143" s="61">
        <f>L143/6</f>
        <v>3.3140000000000001</v>
      </c>
      <c r="N143" s="61">
        <v>0</v>
      </c>
      <c r="O143" s="61">
        <v>0</v>
      </c>
      <c r="P143" s="61">
        <v>0</v>
      </c>
      <c r="Q143" s="61">
        <v>0</v>
      </c>
      <c r="R143" s="61">
        <v>0</v>
      </c>
      <c r="S143" s="61">
        <v>0</v>
      </c>
      <c r="T143" s="61">
        <f>SUM(N143:S143)</f>
        <v>0</v>
      </c>
      <c r="U143" s="61">
        <f>T143+L143</f>
        <v>19.882999999999999</v>
      </c>
      <c r="V143" s="61">
        <f>V138</f>
        <v>19.882999999999999</v>
      </c>
      <c r="W143" s="72">
        <f>V143-U143</f>
        <v>0</v>
      </c>
      <c r="X143" s="63">
        <f>U138-U143</f>
        <v>0</v>
      </c>
    </row>
    <row r="144" spans="1:24" s="63" customFormat="1" ht="18" customHeight="1">
      <c r="A144" s="610"/>
      <c r="B144" s="581"/>
      <c r="C144" s="583"/>
      <c r="D144" s="201" t="str">
        <f>серпень!D144</f>
        <v xml:space="preserve">місцевий </v>
      </c>
      <c r="E144" s="71"/>
      <c r="F144" s="61">
        <f t="shared" ref="F144:K144" si="206">F142-F143</f>
        <v>0</v>
      </c>
      <c r="G144" s="61">
        <f t="shared" si="206"/>
        <v>110.355</v>
      </c>
      <c r="H144" s="61">
        <f t="shared" si="206"/>
        <v>112.349</v>
      </c>
      <c r="I144" s="61">
        <f t="shared" si="206"/>
        <v>47.546999999999997</v>
      </c>
      <c r="J144" s="61">
        <f t="shared" si="206"/>
        <v>0</v>
      </c>
      <c r="K144" s="61">
        <f t="shared" si="206"/>
        <v>0</v>
      </c>
      <c r="L144" s="61">
        <f>SUM(F144:K144)</f>
        <v>270.25099999999998</v>
      </c>
      <c r="M144" s="61">
        <f>L144/6</f>
        <v>45.042000000000002</v>
      </c>
      <c r="N144" s="61">
        <f t="shared" ref="N144:S144" si="207">N142-N143</f>
        <v>0</v>
      </c>
      <c r="O144" s="61">
        <f t="shared" si="207"/>
        <v>0</v>
      </c>
      <c r="P144" s="61">
        <f t="shared" si="207"/>
        <v>0</v>
      </c>
      <c r="Q144" s="61">
        <f t="shared" si="207"/>
        <v>0</v>
      </c>
      <c r="R144" s="61">
        <f t="shared" si="207"/>
        <v>0</v>
      </c>
      <c r="S144" s="61">
        <f t="shared" si="207"/>
        <v>102.614</v>
      </c>
      <c r="T144" s="61">
        <f>SUM(N144:S144)</f>
        <v>102.614</v>
      </c>
      <c r="U144" s="61">
        <f>T144+L144</f>
        <v>372.86500000000001</v>
      </c>
      <c r="V144" s="61">
        <f>V139</f>
        <v>402.846</v>
      </c>
      <c r="W144" s="72">
        <f>V144-U144</f>
        <v>29.981000000000002</v>
      </c>
      <c r="X144" s="63">
        <f>U139-U144</f>
        <v>29.981000000000002</v>
      </c>
    </row>
    <row r="145" spans="1:24" s="43" customFormat="1" ht="18" customHeight="1">
      <c r="A145" s="610"/>
      <c r="B145" s="581"/>
      <c r="C145" s="583"/>
      <c r="D145" s="202" t="str">
        <f>серпень!D145</f>
        <v>план</v>
      </c>
      <c r="E145" s="42"/>
      <c r="F145" s="42">
        <f>F139+F138</f>
        <v>0</v>
      </c>
      <c r="G145" s="42">
        <f t="shared" ref="G145:K145" si="208">G139+G138</f>
        <v>144.98500000000001</v>
      </c>
      <c r="H145" s="42">
        <f t="shared" si="208"/>
        <v>108.099</v>
      </c>
      <c r="I145" s="42">
        <f t="shared" si="208"/>
        <v>67.031000000000006</v>
      </c>
      <c r="J145" s="42">
        <f t="shared" si="208"/>
        <v>0</v>
      </c>
      <c r="K145" s="42">
        <f t="shared" si="208"/>
        <v>0</v>
      </c>
      <c r="L145" s="42">
        <f>SUM(F145:K145)</f>
        <v>320.11500000000001</v>
      </c>
      <c r="M145" s="42">
        <f>L145/6</f>
        <v>53.353000000000002</v>
      </c>
      <c r="N145" s="42">
        <f>N139+N138</f>
        <v>0</v>
      </c>
      <c r="O145" s="42">
        <f t="shared" ref="O145:S145" si="209">O139+O138</f>
        <v>0</v>
      </c>
      <c r="P145" s="42">
        <f t="shared" si="209"/>
        <v>0</v>
      </c>
      <c r="Q145" s="42">
        <f t="shared" si="209"/>
        <v>0</v>
      </c>
      <c r="R145" s="42">
        <f t="shared" si="209"/>
        <v>0</v>
      </c>
      <c r="S145" s="42">
        <f t="shared" si="209"/>
        <v>102.614</v>
      </c>
      <c r="T145" s="42">
        <f>SUM(N145:S145)</f>
        <v>102.614</v>
      </c>
      <c r="U145" s="42">
        <f>T145+L145</f>
        <v>422.72899999999998</v>
      </c>
      <c r="V145" s="42">
        <f>V142</f>
        <v>422.72899999999998</v>
      </c>
      <c r="W145" s="42">
        <f>V145-U145</f>
        <v>0</v>
      </c>
    </row>
    <row r="146" spans="1:24" s="43" customFormat="1" ht="18" customHeight="1">
      <c r="A146" s="610"/>
      <c r="B146" s="581"/>
      <c r="C146" s="583"/>
      <c r="D146" s="202" t="str">
        <f>серпень!D146</f>
        <v xml:space="preserve">відхилення </v>
      </c>
      <c r="E146" s="42"/>
      <c r="F146" s="42">
        <f t="shared" ref="F146:K146" si="210">F142-F145</f>
        <v>0</v>
      </c>
      <c r="G146" s="42">
        <f t="shared" si="210"/>
        <v>-34.630000000000003</v>
      </c>
      <c r="H146" s="42">
        <f t="shared" si="210"/>
        <v>24.132999999999999</v>
      </c>
      <c r="I146" s="42">
        <f t="shared" si="210"/>
        <v>-19.484000000000002</v>
      </c>
      <c r="J146" s="42">
        <f t="shared" si="210"/>
        <v>0</v>
      </c>
      <c r="K146" s="42">
        <f t="shared" si="210"/>
        <v>0</v>
      </c>
      <c r="L146" s="42"/>
      <c r="M146" s="42"/>
      <c r="N146" s="42">
        <f t="shared" ref="N146:S146" si="211">N142-N145</f>
        <v>0</v>
      </c>
      <c r="O146" s="42">
        <f t="shared" si="211"/>
        <v>0</v>
      </c>
      <c r="P146" s="42">
        <f t="shared" si="211"/>
        <v>0</v>
      </c>
      <c r="Q146" s="42">
        <f t="shared" si="211"/>
        <v>0</v>
      </c>
      <c r="R146" s="42">
        <f t="shared" si="211"/>
        <v>0</v>
      </c>
      <c r="S146" s="42">
        <f t="shared" si="211"/>
        <v>0</v>
      </c>
      <c r="T146" s="42"/>
      <c r="U146" s="42"/>
      <c r="V146" s="42"/>
      <c r="W146" s="42"/>
    </row>
    <row r="147" spans="1:24" s="43" customFormat="1" ht="16.899999999999999" customHeight="1">
      <c r="A147" s="610"/>
      <c r="B147" s="581"/>
      <c r="C147" s="584"/>
      <c r="D147" s="202" t="str">
        <f>серпень!D147</f>
        <v>відхилення з наростаючим</v>
      </c>
      <c r="E147" s="42"/>
      <c r="F147" s="42">
        <f>F146</f>
        <v>0</v>
      </c>
      <c r="G147" s="42">
        <f>G146+F147</f>
        <v>-34.630000000000003</v>
      </c>
      <c r="H147" s="42">
        <f>H146+G147</f>
        <v>-10.497</v>
      </c>
      <c r="I147" s="42">
        <f>I146+H147</f>
        <v>-29.981000000000002</v>
      </c>
      <c r="J147" s="42">
        <f>J146+I147</f>
        <v>-29.981000000000002</v>
      </c>
      <c r="K147" s="42">
        <f>K146+J147</f>
        <v>-29.981000000000002</v>
      </c>
      <c r="L147" s="42"/>
      <c r="M147" s="42"/>
      <c r="N147" s="42">
        <f>N146+K147</f>
        <v>-29.981000000000002</v>
      </c>
      <c r="O147" s="42">
        <f>O146+N147</f>
        <v>-29.981000000000002</v>
      </c>
      <c r="P147" s="42">
        <f>P146+O147</f>
        <v>-29.981000000000002</v>
      </c>
      <c r="Q147" s="42">
        <f>Q146+P147</f>
        <v>-29.981000000000002</v>
      </c>
      <c r="R147" s="42">
        <f>R146+Q147</f>
        <v>-29.981000000000002</v>
      </c>
      <c r="S147" s="42">
        <f>S146+R147</f>
        <v>-29.981000000000002</v>
      </c>
      <c r="T147" s="42"/>
      <c r="U147" s="42"/>
      <c r="V147" s="42"/>
      <c r="W147" s="42"/>
    </row>
    <row r="148" spans="1:24" s="43" customFormat="1" ht="18" hidden="1" customHeight="1">
      <c r="A148" s="610"/>
      <c r="B148" s="581"/>
      <c r="C148" s="582" t="s">
        <v>96</v>
      </c>
      <c r="D148" s="178" t="str">
        <f>серпень!D148</f>
        <v>факт. нат.п-ки 2023</v>
      </c>
      <c r="E148" s="179"/>
      <c r="F148" s="184"/>
      <c r="G148" s="184"/>
      <c r="H148" s="179"/>
      <c r="I148" s="179"/>
      <c r="J148" s="179"/>
      <c r="K148" s="179"/>
      <c r="L148" s="215">
        <f>SUM(F148:K148)</f>
        <v>0</v>
      </c>
      <c r="M148" s="215">
        <f>L148/6</f>
        <v>0</v>
      </c>
      <c r="N148" s="179"/>
      <c r="O148" s="179"/>
      <c r="P148" s="179"/>
      <c r="Q148" s="179"/>
      <c r="R148" s="179"/>
      <c r="S148" s="179"/>
      <c r="T148" s="215">
        <f>SUM(N148:S148)</f>
        <v>0</v>
      </c>
      <c r="U148" s="215">
        <f>T148+L148</f>
        <v>0</v>
      </c>
      <c r="V148" s="179"/>
      <c r="W148" s="184"/>
    </row>
    <row r="149" spans="1:24" s="43" customFormat="1" ht="18" hidden="1" customHeight="1">
      <c r="A149" s="610"/>
      <c r="B149" s="581"/>
      <c r="C149" s="583"/>
      <c r="D149" s="178" t="str">
        <f>серпень!D149</f>
        <v>факт. нат.п-ки 2024</v>
      </c>
      <c r="E149" s="179"/>
      <c r="F149" s="184"/>
      <c r="G149" s="184"/>
      <c r="H149" s="179"/>
      <c r="I149" s="179"/>
      <c r="J149" s="179"/>
      <c r="K149" s="179"/>
      <c r="L149" s="215">
        <f>SUM(F149:K149)</f>
        <v>0</v>
      </c>
      <c r="M149" s="215">
        <f>L149/6</f>
        <v>0</v>
      </c>
      <c r="N149" s="179"/>
      <c r="O149" s="179"/>
      <c r="P149" s="179"/>
      <c r="Q149" s="179"/>
      <c r="R149" s="179"/>
      <c r="S149" s="179"/>
      <c r="T149" s="215">
        <f>SUM(N149:S149)</f>
        <v>0</v>
      </c>
      <c r="U149" s="215">
        <f>T149+L149</f>
        <v>0</v>
      </c>
      <c r="V149" s="179"/>
      <c r="W149" s="184"/>
    </row>
    <row r="150" spans="1:24" s="205" customFormat="1" ht="23.5" hidden="1" customHeight="1">
      <c r="A150" s="610"/>
      <c r="B150" s="581"/>
      <c r="C150" s="583"/>
      <c r="D150" s="178" t="str">
        <f>серпень!D150</f>
        <v>факт. нат.п-ки 2025</v>
      </c>
      <c r="E150" s="179"/>
      <c r="F150" s="184"/>
      <c r="G150" s="184"/>
      <c r="H150" s="179"/>
      <c r="I150" s="216"/>
      <c r="J150" s="179">
        <v>0</v>
      </c>
      <c r="K150" s="179"/>
      <c r="L150" s="215">
        <f>SUM(F150:K150)</f>
        <v>0</v>
      </c>
      <c r="M150" s="215">
        <f>L150/6</f>
        <v>0</v>
      </c>
      <c r="N150" s="179"/>
      <c r="O150" s="179"/>
      <c r="P150" s="179"/>
      <c r="Q150" s="179"/>
      <c r="R150" s="179"/>
      <c r="S150" s="179"/>
      <c r="T150" s="215">
        <f>SUM(N150:S150)</f>
        <v>0</v>
      </c>
      <c r="U150" s="215">
        <f>T150+L150</f>
        <v>0</v>
      </c>
      <c r="V150" s="179"/>
      <c r="W150" s="184">
        <f>U150-V150</f>
        <v>0</v>
      </c>
    </row>
    <row r="151" spans="1:24" s="205" customFormat="1" ht="23.5" hidden="1" customHeight="1">
      <c r="A151" s="610"/>
      <c r="B151" s="581"/>
      <c r="C151" s="583"/>
      <c r="D151" s="187" t="str">
        <f>серпень!D151</f>
        <v>тариф, грн.</v>
      </c>
      <c r="E151" s="188"/>
      <c r="F151" s="188" t="e">
        <f t="shared" ref="F151:I151" si="212">F152/F150*1000</f>
        <v>#DIV/0!</v>
      </c>
      <c r="G151" s="188" t="e">
        <f t="shared" si="212"/>
        <v>#DIV/0!</v>
      </c>
      <c r="H151" s="188" t="e">
        <f t="shared" si="212"/>
        <v>#DIV/0!</v>
      </c>
      <c r="I151" s="188" t="e">
        <f t="shared" si="212"/>
        <v>#DIV/0!</v>
      </c>
      <c r="J151" s="188" t="e">
        <f t="shared" ref="J151:K151" si="213">J152/J150*1000</f>
        <v>#DIV/0!</v>
      </c>
      <c r="K151" s="188" t="e">
        <f t="shared" si="213"/>
        <v>#DIV/0!</v>
      </c>
      <c r="L151" s="217" t="e">
        <f>L152/L150*1000</f>
        <v>#DIV/0!</v>
      </c>
      <c r="M151" s="217" t="e">
        <f>M152/M150*1000</f>
        <v>#DIV/0!</v>
      </c>
      <c r="N151" s="217" t="e">
        <f>N152/N150*1000</f>
        <v>#DIV/0!</v>
      </c>
      <c r="O151" s="188"/>
      <c r="P151" s="218"/>
      <c r="Q151" s="218"/>
      <c r="R151" s="218"/>
      <c r="S151" s="218"/>
      <c r="T151" s="217" t="e">
        <f>T152/T150*1000</f>
        <v>#DIV/0!</v>
      </c>
      <c r="U151" s="217" t="e">
        <f>U152/U150*1000</f>
        <v>#DIV/0!</v>
      </c>
      <c r="V151" s="218" t="e">
        <f>V152/V150*1000</f>
        <v>#DIV/0!</v>
      </c>
      <c r="W151" s="219" t="e">
        <f>W152/W150*1000</f>
        <v>#DIV/0!</v>
      </c>
    </row>
    <row r="152" spans="1:24" s="205" customFormat="1" ht="23.5" hidden="1" customHeight="1">
      <c r="A152" s="610"/>
      <c r="B152" s="581"/>
      <c r="C152" s="583"/>
      <c r="D152" s="191" t="str">
        <f>серпень!D152</f>
        <v>сума, тис.грн.</v>
      </c>
      <c r="E152" s="192"/>
      <c r="F152" s="192">
        <v>0</v>
      </c>
      <c r="G152" s="192">
        <v>0</v>
      </c>
      <c r="H152" s="192">
        <v>0</v>
      </c>
      <c r="I152" s="192">
        <v>0</v>
      </c>
      <c r="J152" s="192">
        <v>0</v>
      </c>
      <c r="K152" s="192">
        <v>0</v>
      </c>
      <c r="L152" s="194">
        <f>SUM(F152:K152)</f>
        <v>0</v>
      </c>
      <c r="M152" s="194">
        <f>L152/6</f>
        <v>0</v>
      </c>
      <c r="N152" s="192">
        <v>0</v>
      </c>
      <c r="O152" s="192"/>
      <c r="P152" s="192"/>
      <c r="Q152" s="192"/>
      <c r="R152" s="192"/>
      <c r="S152" s="192"/>
      <c r="T152" s="194">
        <f>SUM(N152:S152)</f>
        <v>0</v>
      </c>
      <c r="U152" s="194">
        <f>T152+L152</f>
        <v>0</v>
      </c>
      <c r="V152" s="171">
        <f>V153+V154</f>
        <v>0</v>
      </c>
      <c r="W152" s="192">
        <f>V152-U152</f>
        <v>0</v>
      </c>
    </row>
    <row r="153" spans="1:24" s="205" customFormat="1" ht="23.5" hidden="1" customHeight="1">
      <c r="A153" s="610"/>
      <c r="B153" s="581"/>
      <c r="C153" s="583"/>
      <c r="D153" s="174" t="str">
        <f>серпень!D153</f>
        <v>дотація</v>
      </c>
      <c r="E153" s="210"/>
      <c r="F153" s="192"/>
      <c r="G153" s="192"/>
      <c r="H153" s="192"/>
      <c r="I153" s="192"/>
      <c r="J153" s="192"/>
      <c r="K153" s="192"/>
      <c r="L153" s="194">
        <f>SUM(F153:K153)</f>
        <v>0</v>
      </c>
      <c r="M153" s="194">
        <f>L153/6</f>
        <v>0</v>
      </c>
      <c r="N153" s="192"/>
      <c r="O153" s="192"/>
      <c r="P153" s="192"/>
      <c r="Q153" s="192"/>
      <c r="R153" s="192"/>
      <c r="S153" s="192"/>
      <c r="T153" s="194">
        <f>SUM(N153:S153)</f>
        <v>0</v>
      </c>
      <c r="U153" s="194">
        <f>T153+L153</f>
        <v>0</v>
      </c>
      <c r="V153" s="171"/>
      <c r="W153" s="192">
        <f>V153-U153</f>
        <v>0</v>
      </c>
    </row>
    <row r="154" spans="1:24" s="205" customFormat="1" ht="23.5" hidden="1" customHeight="1">
      <c r="A154" s="610"/>
      <c r="B154" s="581"/>
      <c r="C154" s="583"/>
      <c r="D154" s="174" t="str">
        <f>серпень!D154</f>
        <v>місцевий (план), тис.грн</v>
      </c>
      <c r="E154" s="210"/>
      <c r="F154" s="192"/>
      <c r="G154" s="192"/>
      <c r="H154" s="192"/>
      <c r="I154" s="192"/>
      <c r="J154" s="192"/>
      <c r="K154" s="192"/>
      <c r="L154" s="194">
        <f>SUM(F154:K154)</f>
        <v>0</v>
      </c>
      <c r="M154" s="194">
        <f>L154/6</f>
        <v>0</v>
      </c>
      <c r="N154" s="192"/>
      <c r="O154" s="192"/>
      <c r="P154" s="192"/>
      <c r="Q154" s="192"/>
      <c r="R154" s="192"/>
      <c r="S154" s="192"/>
      <c r="T154" s="194">
        <f>SUM(N154:S154)</f>
        <v>0</v>
      </c>
      <c r="U154" s="194">
        <f>T154+L154</f>
        <v>0</v>
      </c>
      <c r="V154" s="171"/>
      <c r="W154" s="192">
        <f>V154-U154</f>
        <v>0</v>
      </c>
    </row>
    <row r="155" spans="1:24" s="205" customFormat="1" ht="23.5" hidden="1" customHeight="1">
      <c r="A155" s="610"/>
      <c r="B155" s="581"/>
      <c r="C155" s="583"/>
      <c r="D155" s="178" t="str">
        <f>серпень!D155</f>
        <v>касові нат.п-ки 2025</v>
      </c>
      <c r="E155" s="179"/>
      <c r="F155" s="179">
        <v>0</v>
      </c>
      <c r="G155" s="179">
        <v>0</v>
      </c>
      <c r="H155" s="179">
        <v>0</v>
      </c>
      <c r="I155" s="179">
        <v>0</v>
      </c>
      <c r="J155" s="179">
        <v>0</v>
      </c>
      <c r="K155" s="179">
        <v>0</v>
      </c>
      <c r="L155" s="215">
        <f>SUM(F155:K155)</f>
        <v>0</v>
      </c>
      <c r="M155" s="215">
        <f>L155/6</f>
        <v>0</v>
      </c>
      <c r="N155" s="179">
        <v>0</v>
      </c>
      <c r="O155" s="179"/>
      <c r="P155" s="179"/>
      <c r="Q155" s="179"/>
      <c r="R155" s="179"/>
      <c r="S155" s="179"/>
      <c r="T155" s="215">
        <f>SUM(N155:S155)</f>
        <v>0</v>
      </c>
      <c r="U155" s="215">
        <f>T155+L155</f>
        <v>0</v>
      </c>
      <c r="V155" s="179">
        <f>V150</f>
        <v>0</v>
      </c>
      <c r="W155" s="184">
        <f>V155-U155</f>
        <v>0</v>
      </c>
      <c r="X155" s="185">
        <f>U150-U155</f>
        <v>0</v>
      </c>
    </row>
    <row r="156" spans="1:24" s="205" customFormat="1" ht="23.5" hidden="1" customHeight="1">
      <c r="A156" s="610"/>
      <c r="B156" s="581"/>
      <c r="C156" s="583"/>
      <c r="D156" s="187" t="str">
        <f>серпень!D156</f>
        <v>тариф, грн.</v>
      </c>
      <c r="E156" s="188" t="e">
        <f t="shared" ref="E156:J156" si="214">E157/E155*1000</f>
        <v>#DIV/0!</v>
      </c>
      <c r="F156" s="188" t="e">
        <f t="shared" si="214"/>
        <v>#DIV/0!</v>
      </c>
      <c r="G156" s="188" t="e">
        <f t="shared" si="214"/>
        <v>#DIV/0!</v>
      </c>
      <c r="H156" s="188" t="e">
        <f t="shared" si="214"/>
        <v>#DIV/0!</v>
      </c>
      <c r="I156" s="188" t="e">
        <f t="shared" si="214"/>
        <v>#DIV/0!</v>
      </c>
      <c r="J156" s="188" t="e">
        <f t="shared" si="214"/>
        <v>#DIV/0!</v>
      </c>
      <c r="K156" s="188" t="e">
        <f t="shared" ref="K156" si="215">K157/K155*1000</f>
        <v>#DIV/0!</v>
      </c>
      <c r="L156" s="217" t="e">
        <f>L157/L155*1000</f>
        <v>#DIV/0!</v>
      </c>
      <c r="M156" s="217" t="e">
        <f>M157/M155*1000</f>
        <v>#DIV/0!</v>
      </c>
      <c r="N156" s="188" t="e">
        <f t="shared" ref="N156:O156" si="216">N157/N155*1000</f>
        <v>#DIV/0!</v>
      </c>
      <c r="O156" s="188" t="e">
        <f t="shared" si="216"/>
        <v>#DIV/0!</v>
      </c>
      <c r="P156" s="188"/>
      <c r="Q156" s="218"/>
      <c r="R156" s="218"/>
      <c r="S156" s="218"/>
      <c r="T156" s="217" t="e">
        <f>T157/T155*1000</f>
        <v>#DIV/0!</v>
      </c>
      <c r="U156" s="217" t="e">
        <f>U157/U155*1000</f>
        <v>#DIV/0!</v>
      </c>
      <c r="V156" s="218" t="e">
        <f>V157/V155*1000</f>
        <v>#DIV/0!</v>
      </c>
      <c r="W156" s="219" t="e">
        <f>W157/W155*1000</f>
        <v>#DIV/0!</v>
      </c>
      <c r="X156" s="185"/>
    </row>
    <row r="157" spans="1:24" s="205" customFormat="1" ht="23.5" hidden="1" customHeight="1">
      <c r="A157" s="610"/>
      <c r="B157" s="581"/>
      <c r="C157" s="583"/>
      <c r="D157" s="198" t="str">
        <f>серпень!D157</f>
        <v>касові видатки, тис.грн.</v>
      </c>
      <c r="E157" s="220"/>
      <c r="F157" s="199">
        <v>0</v>
      </c>
      <c r="G157" s="199">
        <v>0</v>
      </c>
      <c r="H157" s="199">
        <v>0</v>
      </c>
      <c r="I157" s="199">
        <v>0</v>
      </c>
      <c r="J157" s="199">
        <v>0</v>
      </c>
      <c r="K157" s="199">
        <v>0</v>
      </c>
      <c r="L157" s="199">
        <f>SUM(F157:K157)</f>
        <v>0</v>
      </c>
      <c r="M157" s="199">
        <f>L157/6</f>
        <v>0</v>
      </c>
      <c r="N157" s="199">
        <v>0</v>
      </c>
      <c r="O157" s="199">
        <v>0</v>
      </c>
      <c r="P157" s="199">
        <v>0</v>
      </c>
      <c r="Q157" s="199">
        <v>0</v>
      </c>
      <c r="R157" s="199">
        <v>0</v>
      </c>
      <c r="S157" s="199">
        <v>0</v>
      </c>
      <c r="T157" s="199">
        <f>SUM(N157:S157)</f>
        <v>0</v>
      </c>
      <c r="U157" s="199">
        <f>T157+L157</f>
        <v>0</v>
      </c>
      <c r="V157" s="199">
        <f>V152</f>
        <v>0</v>
      </c>
      <c r="W157" s="221">
        <f>V157-U157</f>
        <v>0</v>
      </c>
      <c r="X157" s="176">
        <f>U152-U157</f>
        <v>0</v>
      </c>
    </row>
    <row r="158" spans="1:24" s="63" customFormat="1" ht="18" hidden="1" customHeight="1">
      <c r="A158" s="610"/>
      <c r="B158" s="581"/>
      <c r="C158" s="583"/>
      <c r="D158" s="201" t="str">
        <f>серпень!D158</f>
        <v>дотація</v>
      </c>
      <c r="E158" s="71"/>
      <c r="F158" s="61">
        <v>0</v>
      </c>
      <c r="G158" s="61">
        <v>0</v>
      </c>
      <c r="H158" s="61">
        <v>0</v>
      </c>
      <c r="I158" s="61">
        <v>0</v>
      </c>
      <c r="J158" s="61">
        <v>0</v>
      </c>
      <c r="K158" s="61">
        <v>0</v>
      </c>
      <c r="L158" s="61">
        <f>SUM(F158:K158)</f>
        <v>0</v>
      </c>
      <c r="M158" s="61">
        <f>L158/6</f>
        <v>0</v>
      </c>
      <c r="N158" s="61">
        <v>0</v>
      </c>
      <c r="O158" s="61">
        <v>0</v>
      </c>
      <c r="P158" s="61">
        <v>0</v>
      </c>
      <c r="Q158" s="61">
        <v>0</v>
      </c>
      <c r="R158" s="61">
        <v>0</v>
      </c>
      <c r="S158" s="61">
        <v>0</v>
      </c>
      <c r="T158" s="61">
        <f>SUM(N158:S158)</f>
        <v>0</v>
      </c>
      <c r="U158" s="61">
        <f>T158+L158</f>
        <v>0</v>
      </c>
      <c r="V158" s="61">
        <f>V153</f>
        <v>0</v>
      </c>
      <c r="W158" s="72">
        <f>V158-U158</f>
        <v>0</v>
      </c>
      <c r="X158" s="63">
        <f>U153-U158</f>
        <v>0</v>
      </c>
    </row>
    <row r="159" spans="1:24" s="63" customFormat="1" ht="18" hidden="1" customHeight="1">
      <c r="A159" s="610"/>
      <c r="B159" s="581"/>
      <c r="C159" s="583"/>
      <c r="D159" s="201" t="str">
        <f>серпень!D159</f>
        <v xml:space="preserve">місцевий </v>
      </c>
      <c r="E159" s="71"/>
      <c r="F159" s="61">
        <f t="shared" ref="F159:K159" si="217">F157-F158</f>
        <v>0</v>
      </c>
      <c r="G159" s="61">
        <f t="shared" si="217"/>
        <v>0</v>
      </c>
      <c r="H159" s="61">
        <f t="shared" si="217"/>
        <v>0</v>
      </c>
      <c r="I159" s="61">
        <f t="shared" si="217"/>
        <v>0</v>
      </c>
      <c r="J159" s="61">
        <f t="shared" si="217"/>
        <v>0</v>
      </c>
      <c r="K159" s="61">
        <f t="shared" si="217"/>
        <v>0</v>
      </c>
      <c r="L159" s="61">
        <f>SUM(F159:K159)</f>
        <v>0</v>
      </c>
      <c r="M159" s="61">
        <f>L159/6</f>
        <v>0</v>
      </c>
      <c r="N159" s="61">
        <f t="shared" ref="N159:S159" si="218">N157-N158</f>
        <v>0</v>
      </c>
      <c r="O159" s="61">
        <f t="shared" si="218"/>
        <v>0</v>
      </c>
      <c r="P159" s="61">
        <f t="shared" si="218"/>
        <v>0</v>
      </c>
      <c r="Q159" s="61">
        <f t="shared" si="218"/>
        <v>0</v>
      </c>
      <c r="R159" s="61">
        <f t="shared" si="218"/>
        <v>0</v>
      </c>
      <c r="S159" s="61">
        <f t="shared" si="218"/>
        <v>0</v>
      </c>
      <c r="T159" s="61">
        <f>SUM(N159:S159)</f>
        <v>0</v>
      </c>
      <c r="U159" s="61">
        <f>T159+L159</f>
        <v>0</v>
      </c>
      <c r="V159" s="61">
        <f>V154</f>
        <v>0</v>
      </c>
      <c r="W159" s="72">
        <f>V159-U159</f>
        <v>0</v>
      </c>
      <c r="X159" s="63">
        <f>U154-U159</f>
        <v>0</v>
      </c>
    </row>
    <row r="160" spans="1:24" s="43" customFormat="1" ht="18" hidden="1" customHeight="1">
      <c r="A160" s="610"/>
      <c r="B160" s="581"/>
      <c r="C160" s="583"/>
      <c r="D160" s="202" t="str">
        <f>серпень!D160</f>
        <v>план</v>
      </c>
      <c r="E160" s="203"/>
      <c r="F160" s="203">
        <f t="shared" ref="F160:K160" si="219">F153+F154</f>
        <v>0</v>
      </c>
      <c r="G160" s="203">
        <f t="shared" si="219"/>
        <v>0</v>
      </c>
      <c r="H160" s="203">
        <f t="shared" si="219"/>
        <v>0</v>
      </c>
      <c r="I160" s="203">
        <f t="shared" si="219"/>
        <v>0</v>
      </c>
      <c r="J160" s="203">
        <f t="shared" si="219"/>
        <v>0</v>
      </c>
      <c r="K160" s="203">
        <f t="shared" si="219"/>
        <v>0</v>
      </c>
      <c r="L160" s="203">
        <f>SUM(F160:K160)</f>
        <v>0</v>
      </c>
      <c r="M160" s="203">
        <f>L160/6</f>
        <v>0</v>
      </c>
      <c r="N160" s="203">
        <f t="shared" ref="N160:S160" si="220">N154+N153</f>
        <v>0</v>
      </c>
      <c r="O160" s="203">
        <f t="shared" si="220"/>
        <v>0</v>
      </c>
      <c r="P160" s="203">
        <f t="shared" si="220"/>
        <v>0</v>
      </c>
      <c r="Q160" s="203">
        <f t="shared" si="220"/>
        <v>0</v>
      </c>
      <c r="R160" s="203">
        <f t="shared" si="220"/>
        <v>0</v>
      </c>
      <c r="S160" s="203">
        <f t="shared" si="220"/>
        <v>0</v>
      </c>
      <c r="T160" s="203">
        <f>SUM(N160:S160)</f>
        <v>0</v>
      </c>
      <c r="U160" s="203">
        <f>T160+L160</f>
        <v>0</v>
      </c>
      <c r="V160" s="203">
        <f>V157</f>
        <v>0</v>
      </c>
      <c r="W160" s="203">
        <f>V160-U160</f>
        <v>0</v>
      </c>
    </row>
    <row r="161" spans="1:24" s="43" customFormat="1" ht="18" hidden="1" customHeight="1">
      <c r="A161" s="610"/>
      <c r="B161" s="581"/>
      <c r="C161" s="583"/>
      <c r="D161" s="202" t="str">
        <f>серпень!D161</f>
        <v xml:space="preserve">відхилення </v>
      </c>
      <c r="E161" s="203"/>
      <c r="F161" s="203">
        <f t="shared" ref="F161:K161" si="221">F157-F160</f>
        <v>0</v>
      </c>
      <c r="G161" s="203">
        <f t="shared" si="221"/>
        <v>0</v>
      </c>
      <c r="H161" s="203">
        <f t="shared" si="221"/>
        <v>0</v>
      </c>
      <c r="I161" s="203">
        <f t="shared" si="221"/>
        <v>0</v>
      </c>
      <c r="J161" s="203">
        <f t="shared" si="221"/>
        <v>0</v>
      </c>
      <c r="K161" s="203">
        <f t="shared" si="221"/>
        <v>0</v>
      </c>
      <c r="L161" s="203"/>
      <c r="M161" s="203"/>
      <c r="N161" s="203">
        <f t="shared" ref="N161:S161" si="222">N157-N160</f>
        <v>0</v>
      </c>
      <c r="O161" s="203">
        <f t="shared" si="222"/>
        <v>0</v>
      </c>
      <c r="P161" s="203">
        <f t="shared" si="222"/>
        <v>0</v>
      </c>
      <c r="Q161" s="203">
        <f t="shared" si="222"/>
        <v>0</v>
      </c>
      <c r="R161" s="203">
        <f t="shared" si="222"/>
        <v>0</v>
      </c>
      <c r="S161" s="203">
        <f t="shared" si="222"/>
        <v>0</v>
      </c>
      <c r="T161" s="203"/>
      <c r="U161" s="203"/>
      <c r="V161" s="203"/>
      <c r="W161" s="203"/>
    </row>
    <row r="162" spans="1:24" s="43" customFormat="1" ht="18" hidden="1" customHeight="1">
      <c r="A162" s="610"/>
      <c r="B162" s="581"/>
      <c r="C162" s="584"/>
      <c r="D162" s="202" t="str">
        <f>серпень!D162</f>
        <v>відхилення з наростаючим</v>
      </c>
      <c r="E162" s="203"/>
      <c r="F162" s="203">
        <f>F161</f>
        <v>0</v>
      </c>
      <c r="G162" s="203">
        <f>G161+F162</f>
        <v>0</v>
      </c>
      <c r="H162" s="203">
        <f>H161+G162</f>
        <v>0</v>
      </c>
      <c r="I162" s="203">
        <f>I161+H162</f>
        <v>0</v>
      </c>
      <c r="J162" s="203">
        <f>J161+I162</f>
        <v>0</v>
      </c>
      <c r="K162" s="203">
        <f>K161+J162</f>
        <v>0</v>
      </c>
      <c r="L162" s="203"/>
      <c r="M162" s="203"/>
      <c r="N162" s="203">
        <f>N161+K162</f>
        <v>0</v>
      </c>
      <c r="O162" s="203">
        <f>O161+N162</f>
        <v>0</v>
      </c>
      <c r="P162" s="203">
        <f>P161+O162</f>
        <v>0</v>
      </c>
      <c r="Q162" s="203">
        <f>Q161+P162</f>
        <v>0</v>
      </c>
      <c r="R162" s="203">
        <f>R161+Q162</f>
        <v>0</v>
      </c>
      <c r="S162" s="203">
        <f>S161+R162</f>
        <v>0</v>
      </c>
      <c r="T162" s="203"/>
      <c r="U162" s="203"/>
      <c r="V162" s="203"/>
      <c r="W162" s="203"/>
    </row>
    <row r="163" spans="1:24" s="48" customFormat="1" ht="21.3" hidden="1" customHeight="1">
      <c r="A163" s="610"/>
      <c r="B163" s="576" t="s">
        <v>61</v>
      </c>
      <c r="C163" s="577"/>
      <c r="D163" s="178" t="str">
        <f>серпень!D163</f>
        <v>факт. нат.п-ки 2023</v>
      </c>
      <c r="E163" s="11"/>
      <c r="F163" s="12">
        <f t="shared" ref="F163:K165" si="223">F178+F193</f>
        <v>0</v>
      </c>
      <c r="G163" s="12">
        <f t="shared" si="223"/>
        <v>0</v>
      </c>
      <c r="H163" s="12">
        <f t="shared" si="223"/>
        <v>0</v>
      </c>
      <c r="I163" s="12">
        <f t="shared" si="223"/>
        <v>0</v>
      </c>
      <c r="J163" s="12">
        <f t="shared" si="223"/>
        <v>0</v>
      </c>
      <c r="K163" s="12">
        <f t="shared" si="223"/>
        <v>0</v>
      </c>
      <c r="L163" s="44">
        <f>SUM(F163:K163)</f>
        <v>0</v>
      </c>
      <c r="M163" s="44">
        <f>L163/6</f>
        <v>0</v>
      </c>
      <c r="N163" s="12">
        <f t="shared" ref="N163:S165" si="224">N178+N193</f>
        <v>0</v>
      </c>
      <c r="O163" s="12">
        <f t="shared" si="224"/>
        <v>0</v>
      </c>
      <c r="P163" s="12">
        <f t="shared" si="224"/>
        <v>0</v>
      </c>
      <c r="Q163" s="12">
        <f t="shared" si="224"/>
        <v>0</v>
      </c>
      <c r="R163" s="12">
        <f t="shared" si="224"/>
        <v>0</v>
      </c>
      <c r="S163" s="12">
        <f t="shared" si="224"/>
        <v>0</v>
      </c>
      <c r="T163" s="44">
        <f>SUM(N163:S163)</f>
        <v>0</v>
      </c>
      <c r="U163" s="45">
        <f>T163+L163</f>
        <v>0</v>
      </c>
      <c r="V163" s="46">
        <f>V178+V193</f>
        <v>0</v>
      </c>
      <c r="W163" s="38">
        <f>V163-U163</f>
        <v>0</v>
      </c>
      <c r="X163" s="47"/>
    </row>
    <row r="164" spans="1:24" s="48" customFormat="1" ht="18" hidden="1" customHeight="1">
      <c r="A164" s="610"/>
      <c r="B164" s="576"/>
      <c r="C164" s="577"/>
      <c r="D164" s="178" t="str">
        <f>серпень!D164</f>
        <v>факт. нат.п-ки 2024</v>
      </c>
      <c r="E164" s="11"/>
      <c r="F164" s="12">
        <f t="shared" si="223"/>
        <v>0</v>
      </c>
      <c r="G164" s="12">
        <f t="shared" si="223"/>
        <v>0</v>
      </c>
      <c r="H164" s="12">
        <f t="shared" si="223"/>
        <v>0</v>
      </c>
      <c r="I164" s="12">
        <f t="shared" si="223"/>
        <v>0</v>
      </c>
      <c r="J164" s="12">
        <f t="shared" si="223"/>
        <v>0</v>
      </c>
      <c r="K164" s="12">
        <f t="shared" si="223"/>
        <v>0</v>
      </c>
      <c r="L164" s="44">
        <f>SUM(F164:K164)</f>
        <v>0</v>
      </c>
      <c r="M164" s="44">
        <f>L164/6</f>
        <v>0</v>
      </c>
      <c r="N164" s="11">
        <f t="shared" si="224"/>
        <v>0</v>
      </c>
      <c r="O164" s="11">
        <f t="shared" si="224"/>
        <v>0</v>
      </c>
      <c r="P164" s="11">
        <f t="shared" si="224"/>
        <v>0</v>
      </c>
      <c r="Q164" s="11">
        <f t="shared" si="224"/>
        <v>0</v>
      </c>
      <c r="R164" s="11">
        <f t="shared" si="224"/>
        <v>0</v>
      </c>
      <c r="S164" s="11">
        <f t="shared" si="224"/>
        <v>0</v>
      </c>
      <c r="T164" s="44">
        <f>SUM(N164:S164)</f>
        <v>0</v>
      </c>
      <c r="U164" s="45">
        <f>T164+L164</f>
        <v>0</v>
      </c>
      <c r="V164" s="46">
        <f>V179+V194</f>
        <v>0</v>
      </c>
      <c r="W164" s="38">
        <f>V164-U164</f>
        <v>0</v>
      </c>
      <c r="X164" s="47"/>
    </row>
    <row r="165" spans="1:24" s="48" customFormat="1" ht="18" hidden="1" customHeight="1">
      <c r="A165" s="610"/>
      <c r="B165" s="576"/>
      <c r="C165" s="577"/>
      <c r="D165" s="178" t="str">
        <f>серпень!D165</f>
        <v>факт. нат.п-ки 2025</v>
      </c>
      <c r="E165" s="11"/>
      <c r="F165" s="12">
        <f t="shared" si="223"/>
        <v>0</v>
      </c>
      <c r="G165" s="12">
        <f t="shared" si="223"/>
        <v>0</v>
      </c>
      <c r="H165" s="12">
        <f t="shared" si="223"/>
        <v>0</v>
      </c>
      <c r="I165" s="12">
        <f t="shared" si="223"/>
        <v>0</v>
      </c>
      <c r="J165" s="12">
        <f t="shared" si="223"/>
        <v>0</v>
      </c>
      <c r="K165" s="12">
        <f t="shared" si="223"/>
        <v>0</v>
      </c>
      <c r="L165" s="44">
        <f>SUM(F165:K165)</f>
        <v>0</v>
      </c>
      <c r="M165" s="44">
        <f>L165/6</f>
        <v>0</v>
      </c>
      <c r="N165" s="12">
        <f t="shared" si="224"/>
        <v>0</v>
      </c>
      <c r="O165" s="12">
        <f t="shared" si="224"/>
        <v>0</v>
      </c>
      <c r="P165" s="12">
        <f t="shared" si="224"/>
        <v>0</v>
      </c>
      <c r="Q165" s="12">
        <f t="shared" si="224"/>
        <v>0</v>
      </c>
      <c r="R165" s="12">
        <f t="shared" si="224"/>
        <v>0</v>
      </c>
      <c r="S165" s="12">
        <f t="shared" si="224"/>
        <v>0</v>
      </c>
      <c r="T165" s="44">
        <f>SUM(N165:S165)</f>
        <v>0</v>
      </c>
      <c r="U165" s="45">
        <f>T165+L165</f>
        <v>0</v>
      </c>
      <c r="V165" s="46">
        <f>V180+V195</f>
        <v>0</v>
      </c>
      <c r="W165" s="38">
        <f>V165-U165</f>
        <v>0</v>
      </c>
      <c r="X165" s="47"/>
    </row>
    <row r="166" spans="1:24" s="51" customFormat="1" ht="18" hidden="1" customHeight="1">
      <c r="A166" s="610"/>
      <c r="B166" s="576"/>
      <c r="C166" s="577"/>
      <c r="D166" s="187" t="str">
        <f>серпень!D166</f>
        <v>тариф, грн.</v>
      </c>
      <c r="E166" s="49"/>
      <c r="F166" s="49" t="e">
        <f>F167/F165*1000</f>
        <v>#DIV/0!</v>
      </c>
      <c r="G166" s="49" t="e">
        <f>G167/G165*1000</f>
        <v>#DIV/0!</v>
      </c>
      <c r="H166" s="49" t="e">
        <f>H167/H165*1000</f>
        <v>#DIV/0!</v>
      </c>
      <c r="I166" s="49" t="e">
        <f>I167/I165*1000</f>
        <v>#DIV/0!</v>
      </c>
      <c r="J166" s="49" t="e">
        <f>J167/J165*1000</f>
        <v>#DIV/0!</v>
      </c>
      <c r="K166" s="49" t="e">
        <f t="shared" ref="K166:S166" si="225">K167/K165*1000</f>
        <v>#DIV/0!</v>
      </c>
      <c r="L166" s="49" t="e">
        <f t="shared" si="225"/>
        <v>#DIV/0!</v>
      </c>
      <c r="M166" s="49" t="e">
        <f t="shared" si="225"/>
        <v>#DIV/0!</v>
      </c>
      <c r="N166" s="49" t="e">
        <f t="shared" si="225"/>
        <v>#DIV/0!</v>
      </c>
      <c r="O166" s="49" t="e">
        <f t="shared" si="225"/>
        <v>#DIV/0!</v>
      </c>
      <c r="P166" s="49" t="e">
        <f t="shared" si="225"/>
        <v>#DIV/0!</v>
      </c>
      <c r="Q166" s="49" t="e">
        <f t="shared" si="225"/>
        <v>#DIV/0!</v>
      </c>
      <c r="R166" s="49" t="e">
        <f t="shared" si="225"/>
        <v>#DIV/0!</v>
      </c>
      <c r="S166" s="49" t="e">
        <f t="shared" si="225"/>
        <v>#DIV/0!</v>
      </c>
      <c r="T166" s="49" t="e">
        <f>T167/T165*1000</f>
        <v>#DIV/0!</v>
      </c>
      <c r="U166" s="49" t="e">
        <f>U167/U165*1000</f>
        <v>#DIV/0!</v>
      </c>
      <c r="V166" s="49" t="e">
        <f>V167/V165*1000</f>
        <v>#DIV/0!</v>
      </c>
      <c r="W166" s="14" t="e">
        <f>W167/W165*1000</f>
        <v>#DIV/0!</v>
      </c>
      <c r="X166" s="50"/>
    </row>
    <row r="167" spans="1:24" s="55" customFormat="1" ht="18" hidden="1" customHeight="1">
      <c r="A167" s="610"/>
      <c r="B167" s="576"/>
      <c r="C167" s="577"/>
      <c r="D167" s="191" t="str">
        <f>серпень!D167</f>
        <v>сума, тис.грн.</v>
      </c>
      <c r="E167" s="52"/>
      <c r="F167" s="52">
        <f t="shared" ref="F167:K170" si="226">F182+F197</f>
        <v>0</v>
      </c>
      <c r="G167" s="52">
        <f t="shared" si="226"/>
        <v>0</v>
      </c>
      <c r="H167" s="52">
        <f t="shared" si="226"/>
        <v>0</v>
      </c>
      <c r="I167" s="52">
        <f t="shared" si="226"/>
        <v>0</v>
      </c>
      <c r="J167" s="52">
        <f t="shared" si="226"/>
        <v>0</v>
      </c>
      <c r="K167" s="52">
        <f t="shared" si="226"/>
        <v>0</v>
      </c>
      <c r="L167" s="52">
        <f>SUM(F167:K167)</f>
        <v>0</v>
      </c>
      <c r="M167" s="52">
        <f>L167/6</f>
        <v>0</v>
      </c>
      <c r="N167" s="52">
        <f t="shared" ref="N167:S170" si="227">N182+N197</f>
        <v>0</v>
      </c>
      <c r="O167" s="52">
        <f t="shared" si="227"/>
        <v>0</v>
      </c>
      <c r="P167" s="52">
        <f t="shared" si="227"/>
        <v>0</v>
      </c>
      <c r="Q167" s="52">
        <f t="shared" si="227"/>
        <v>0</v>
      </c>
      <c r="R167" s="52">
        <f t="shared" si="227"/>
        <v>0</v>
      </c>
      <c r="S167" s="52">
        <f t="shared" si="227"/>
        <v>0</v>
      </c>
      <c r="T167" s="52">
        <f>SUM(N167:S167)</f>
        <v>0</v>
      </c>
      <c r="U167" s="52">
        <f>T167+L167</f>
        <v>0</v>
      </c>
      <c r="V167" s="53">
        <f>V182+V197</f>
        <v>0</v>
      </c>
      <c r="W167" s="53">
        <f>V167-U167</f>
        <v>0</v>
      </c>
      <c r="X167" s="54">
        <f>9891253.845/1000</f>
        <v>9891.2540000000008</v>
      </c>
    </row>
    <row r="168" spans="1:24" s="55" customFormat="1" ht="18" hidden="1" customHeight="1">
      <c r="A168" s="610"/>
      <c r="B168" s="576"/>
      <c r="C168" s="577"/>
      <c r="D168" s="174" t="str">
        <f>серпень!D168</f>
        <v>дотація</v>
      </c>
      <c r="E168" s="56"/>
      <c r="F168" s="52">
        <f t="shared" si="226"/>
        <v>0</v>
      </c>
      <c r="G168" s="52">
        <f t="shared" si="226"/>
        <v>0</v>
      </c>
      <c r="H168" s="52">
        <f t="shared" si="226"/>
        <v>0</v>
      </c>
      <c r="I168" s="52">
        <f t="shared" si="226"/>
        <v>0</v>
      </c>
      <c r="J168" s="52">
        <f t="shared" si="226"/>
        <v>0</v>
      </c>
      <c r="K168" s="52">
        <f t="shared" si="226"/>
        <v>0</v>
      </c>
      <c r="L168" s="52">
        <f>SUM(F168:K168)</f>
        <v>0</v>
      </c>
      <c r="M168" s="52">
        <f>L168/6</f>
        <v>0</v>
      </c>
      <c r="N168" s="52">
        <f t="shared" si="227"/>
        <v>0</v>
      </c>
      <c r="O168" s="52">
        <f t="shared" si="227"/>
        <v>0</v>
      </c>
      <c r="P168" s="52">
        <f t="shared" si="227"/>
        <v>0</v>
      </c>
      <c r="Q168" s="52">
        <f t="shared" si="227"/>
        <v>0</v>
      </c>
      <c r="R168" s="52">
        <f t="shared" si="227"/>
        <v>0</v>
      </c>
      <c r="S168" s="52">
        <f t="shared" si="227"/>
        <v>0</v>
      </c>
      <c r="T168" s="52">
        <f>SUM(N168:S168)</f>
        <v>0</v>
      </c>
      <c r="U168" s="52">
        <f>T168+L168</f>
        <v>0</v>
      </c>
      <c r="V168" s="53">
        <f>V183+V198</f>
        <v>0</v>
      </c>
      <c r="W168" s="57">
        <f>V168-U168</f>
        <v>0</v>
      </c>
      <c r="X168" s="58"/>
    </row>
    <row r="169" spans="1:24" s="55" customFormat="1" ht="18" hidden="1" customHeight="1">
      <c r="A169" s="610"/>
      <c r="B169" s="576"/>
      <c r="C169" s="577"/>
      <c r="D169" s="174" t="str">
        <f>серпень!D169</f>
        <v>місцевий (план), тис.грн</v>
      </c>
      <c r="E169" s="56"/>
      <c r="F169" s="52">
        <f t="shared" si="226"/>
        <v>0</v>
      </c>
      <c r="G169" s="52">
        <f t="shared" si="226"/>
        <v>0</v>
      </c>
      <c r="H169" s="52">
        <f t="shared" si="226"/>
        <v>0</v>
      </c>
      <c r="I169" s="52">
        <f t="shared" si="226"/>
        <v>0</v>
      </c>
      <c r="J169" s="52">
        <f t="shared" si="226"/>
        <v>0</v>
      </c>
      <c r="K169" s="52">
        <f t="shared" si="226"/>
        <v>0</v>
      </c>
      <c r="L169" s="52">
        <f>SUM(F169:K169)</f>
        <v>0</v>
      </c>
      <c r="M169" s="52">
        <f>L169/6</f>
        <v>0</v>
      </c>
      <c r="N169" s="52">
        <f t="shared" si="227"/>
        <v>0</v>
      </c>
      <c r="O169" s="52">
        <f t="shared" si="227"/>
        <v>0</v>
      </c>
      <c r="P169" s="52">
        <f t="shared" si="227"/>
        <v>0</v>
      </c>
      <c r="Q169" s="52">
        <f t="shared" si="227"/>
        <v>0</v>
      </c>
      <c r="R169" s="52">
        <f t="shared" si="227"/>
        <v>0</v>
      </c>
      <c r="S169" s="52">
        <f t="shared" si="227"/>
        <v>0</v>
      </c>
      <c r="T169" s="52">
        <f>SUM(N169:S169)</f>
        <v>0</v>
      </c>
      <c r="U169" s="52">
        <f>T169+L169</f>
        <v>0</v>
      </c>
      <c r="V169" s="53">
        <f>V184+V199</f>
        <v>0</v>
      </c>
      <c r="W169" s="53">
        <f>V169-U169</f>
        <v>0</v>
      </c>
      <c r="X169" s="58"/>
    </row>
    <row r="170" spans="1:24" s="48" customFormat="1" ht="18" hidden="1" customHeight="1">
      <c r="A170" s="610"/>
      <c r="B170" s="576"/>
      <c r="C170" s="577"/>
      <c r="D170" s="178" t="str">
        <f>серпень!D170</f>
        <v>касові нат.п-ки 2025</v>
      </c>
      <c r="E170" s="11">
        <f>E185+E200</f>
        <v>0</v>
      </c>
      <c r="F170" s="11">
        <f t="shared" si="226"/>
        <v>0</v>
      </c>
      <c r="G170" s="11">
        <f t="shared" si="226"/>
        <v>0</v>
      </c>
      <c r="H170" s="11">
        <f t="shared" si="226"/>
        <v>0</v>
      </c>
      <c r="I170" s="11">
        <f t="shared" si="226"/>
        <v>0</v>
      </c>
      <c r="J170" s="11">
        <f t="shared" si="226"/>
        <v>0</v>
      </c>
      <c r="K170" s="11">
        <f t="shared" si="226"/>
        <v>0</v>
      </c>
      <c r="L170" s="44">
        <f>SUM(F170:K170)</f>
        <v>0</v>
      </c>
      <c r="M170" s="44">
        <f>L170/6</f>
        <v>0</v>
      </c>
      <c r="N170" s="11">
        <f t="shared" si="227"/>
        <v>0</v>
      </c>
      <c r="O170" s="11">
        <f t="shared" si="227"/>
        <v>0</v>
      </c>
      <c r="P170" s="11">
        <f t="shared" si="227"/>
        <v>0</v>
      </c>
      <c r="Q170" s="11">
        <f t="shared" si="227"/>
        <v>0</v>
      </c>
      <c r="R170" s="11">
        <f t="shared" si="227"/>
        <v>0</v>
      </c>
      <c r="S170" s="11">
        <f t="shared" si="227"/>
        <v>0</v>
      </c>
      <c r="T170" s="44">
        <f>SUM(N170:S170)</f>
        <v>0</v>
      </c>
      <c r="U170" s="44">
        <f>T170+L170</f>
        <v>0</v>
      </c>
      <c r="V170" s="38">
        <f>V185+V200</f>
        <v>0</v>
      </c>
      <c r="W170" s="38">
        <f>V170-U170</f>
        <v>0</v>
      </c>
      <c r="X170" s="47">
        <f>U165-U170</f>
        <v>0</v>
      </c>
    </row>
    <row r="171" spans="1:24" s="51" customFormat="1" ht="18" hidden="1" customHeight="1">
      <c r="A171" s="610"/>
      <c r="B171" s="576"/>
      <c r="C171" s="577"/>
      <c r="D171" s="187" t="str">
        <f>серпень!D171</f>
        <v>тариф, грн.</v>
      </c>
      <c r="E171" s="49" t="e">
        <f t="shared" ref="E171:S171" si="228">E172/E170*1000</f>
        <v>#DIV/0!</v>
      </c>
      <c r="F171" s="49" t="e">
        <f t="shared" si="228"/>
        <v>#DIV/0!</v>
      </c>
      <c r="G171" s="49" t="e">
        <f t="shared" si="228"/>
        <v>#DIV/0!</v>
      </c>
      <c r="H171" s="49" t="e">
        <f t="shared" si="228"/>
        <v>#DIV/0!</v>
      </c>
      <c r="I171" s="49" t="e">
        <f t="shared" si="228"/>
        <v>#DIV/0!</v>
      </c>
      <c r="J171" s="49" t="e">
        <f t="shared" si="228"/>
        <v>#DIV/0!</v>
      </c>
      <c r="K171" s="49" t="e">
        <f t="shared" si="228"/>
        <v>#DIV/0!</v>
      </c>
      <c r="L171" s="49" t="e">
        <f t="shared" si="228"/>
        <v>#DIV/0!</v>
      </c>
      <c r="M171" s="49" t="e">
        <f t="shared" si="228"/>
        <v>#DIV/0!</v>
      </c>
      <c r="N171" s="49" t="e">
        <f t="shared" si="228"/>
        <v>#DIV/0!</v>
      </c>
      <c r="O171" s="49" t="e">
        <f t="shared" si="228"/>
        <v>#DIV/0!</v>
      </c>
      <c r="P171" s="49" t="e">
        <f t="shared" si="228"/>
        <v>#DIV/0!</v>
      </c>
      <c r="Q171" s="49" t="e">
        <f t="shared" si="228"/>
        <v>#DIV/0!</v>
      </c>
      <c r="R171" s="49" t="e">
        <f t="shared" si="228"/>
        <v>#DIV/0!</v>
      </c>
      <c r="S171" s="49" t="e">
        <f t="shared" si="228"/>
        <v>#DIV/0!</v>
      </c>
      <c r="T171" s="49" t="e">
        <f>T172/T170*1000</f>
        <v>#DIV/0!</v>
      </c>
      <c r="U171" s="49" t="e">
        <f>U172/U170*1000</f>
        <v>#DIV/0!</v>
      </c>
      <c r="V171" s="49" t="e">
        <f>V172/V170*1000</f>
        <v>#DIV/0!</v>
      </c>
      <c r="W171" s="14" t="e">
        <f>W172/W170*1000</f>
        <v>#DIV/0!</v>
      </c>
      <c r="X171" s="59"/>
    </row>
    <row r="172" spans="1:24" s="63" customFormat="1" ht="18" hidden="1" customHeight="1">
      <c r="A172" s="610"/>
      <c r="B172" s="576"/>
      <c r="C172" s="577"/>
      <c r="D172" s="198" t="str">
        <f>серпень!D172</f>
        <v>касові видатки, тис.грн.</v>
      </c>
      <c r="E172" s="60">
        <f t="shared" ref="E172:K174" si="229">E187+E202</f>
        <v>0</v>
      </c>
      <c r="F172" s="61">
        <f t="shared" si="229"/>
        <v>0</v>
      </c>
      <c r="G172" s="61">
        <f t="shared" si="229"/>
        <v>0</v>
      </c>
      <c r="H172" s="61">
        <f t="shared" si="229"/>
        <v>0</v>
      </c>
      <c r="I172" s="61">
        <f t="shared" si="229"/>
        <v>0</v>
      </c>
      <c r="J172" s="61">
        <f t="shared" si="229"/>
        <v>0</v>
      </c>
      <c r="K172" s="61">
        <f t="shared" si="229"/>
        <v>0</v>
      </c>
      <c r="L172" s="61">
        <f>SUM(F172:K172)</f>
        <v>0</v>
      </c>
      <c r="M172" s="61">
        <f>L172/6</f>
        <v>0</v>
      </c>
      <c r="N172" s="61">
        <f t="shared" ref="N172:S174" si="230">N187+N202</f>
        <v>0</v>
      </c>
      <c r="O172" s="61">
        <f t="shared" si="230"/>
        <v>0</v>
      </c>
      <c r="P172" s="61">
        <f t="shared" si="230"/>
        <v>0</v>
      </c>
      <c r="Q172" s="61">
        <f t="shared" si="230"/>
        <v>0</v>
      </c>
      <c r="R172" s="61">
        <f t="shared" si="230"/>
        <v>0</v>
      </c>
      <c r="S172" s="61">
        <f t="shared" si="230"/>
        <v>0</v>
      </c>
      <c r="T172" s="61">
        <f>SUM(N172:S172)</f>
        <v>0</v>
      </c>
      <c r="U172" s="61">
        <f>T172+L172</f>
        <v>0</v>
      </c>
      <c r="V172" s="62">
        <f>V187+V202</f>
        <v>0</v>
      </c>
      <c r="W172" s="62">
        <f>V172-U172</f>
        <v>0</v>
      </c>
      <c r="X172" s="63">
        <f>U167-U172</f>
        <v>0</v>
      </c>
    </row>
    <row r="173" spans="1:24" s="63" customFormat="1" ht="18" hidden="1" customHeight="1">
      <c r="A173" s="610"/>
      <c r="B173" s="576"/>
      <c r="C173" s="577"/>
      <c r="D173" s="201" t="str">
        <f>серпень!D173</f>
        <v>дотація</v>
      </c>
      <c r="E173" s="60"/>
      <c r="F173" s="61">
        <f t="shared" si="229"/>
        <v>0</v>
      </c>
      <c r="G173" s="61">
        <f t="shared" si="229"/>
        <v>0</v>
      </c>
      <c r="H173" s="61">
        <f t="shared" si="229"/>
        <v>0</v>
      </c>
      <c r="I173" s="61">
        <f t="shared" si="229"/>
        <v>0</v>
      </c>
      <c r="J173" s="61">
        <f>J188+J203</f>
        <v>0</v>
      </c>
      <c r="K173" s="61">
        <f t="shared" si="229"/>
        <v>0</v>
      </c>
      <c r="L173" s="61">
        <f>SUM(F173:K173)</f>
        <v>0</v>
      </c>
      <c r="M173" s="61">
        <f>L173/6</f>
        <v>0</v>
      </c>
      <c r="N173" s="61">
        <f t="shared" si="230"/>
        <v>0</v>
      </c>
      <c r="O173" s="61">
        <f t="shared" si="230"/>
        <v>0</v>
      </c>
      <c r="P173" s="61">
        <f t="shared" si="230"/>
        <v>0</v>
      </c>
      <c r="Q173" s="61">
        <f t="shared" si="230"/>
        <v>0</v>
      </c>
      <c r="R173" s="61">
        <f t="shared" si="230"/>
        <v>0</v>
      </c>
      <c r="S173" s="61">
        <f t="shared" si="230"/>
        <v>0</v>
      </c>
      <c r="T173" s="61">
        <f>SUM(N173:S173)</f>
        <v>0</v>
      </c>
      <c r="U173" s="61">
        <f>T173+L173</f>
        <v>0</v>
      </c>
      <c r="V173" s="62">
        <f>V188+V203</f>
        <v>0</v>
      </c>
      <c r="W173" s="62">
        <f>V173-U173</f>
        <v>0</v>
      </c>
      <c r="X173" s="63">
        <f>U168-U173</f>
        <v>0</v>
      </c>
    </row>
    <row r="174" spans="1:24" s="63" customFormat="1" ht="18" hidden="1" customHeight="1">
      <c r="A174" s="610"/>
      <c r="B174" s="576"/>
      <c r="C174" s="577"/>
      <c r="D174" s="201" t="str">
        <f>серпень!D174</f>
        <v xml:space="preserve">місцевий </v>
      </c>
      <c r="E174" s="60"/>
      <c r="F174" s="61">
        <f t="shared" si="229"/>
        <v>0</v>
      </c>
      <c r="G174" s="61">
        <f t="shared" si="229"/>
        <v>0</v>
      </c>
      <c r="H174" s="61">
        <f t="shared" si="229"/>
        <v>0</v>
      </c>
      <c r="I174" s="61">
        <f t="shared" si="229"/>
        <v>0</v>
      </c>
      <c r="J174" s="61">
        <f>J189+J204</f>
        <v>0</v>
      </c>
      <c r="K174" s="61">
        <f t="shared" si="229"/>
        <v>0</v>
      </c>
      <c r="L174" s="61">
        <f>SUM(F174:K174)</f>
        <v>0</v>
      </c>
      <c r="M174" s="61">
        <f>L174/6</f>
        <v>0</v>
      </c>
      <c r="N174" s="61">
        <f t="shared" si="230"/>
        <v>0</v>
      </c>
      <c r="O174" s="61">
        <f t="shared" si="230"/>
        <v>0</v>
      </c>
      <c r="P174" s="61">
        <f t="shared" si="230"/>
        <v>0</v>
      </c>
      <c r="Q174" s="61">
        <f t="shared" si="230"/>
        <v>0</v>
      </c>
      <c r="R174" s="61">
        <f t="shared" si="230"/>
        <v>0</v>
      </c>
      <c r="S174" s="61">
        <f t="shared" si="230"/>
        <v>0</v>
      </c>
      <c r="T174" s="61">
        <f>SUM(N174:S174)</f>
        <v>0</v>
      </c>
      <c r="U174" s="61">
        <f>T174+L174</f>
        <v>0</v>
      </c>
      <c r="V174" s="62">
        <f>V189+V204</f>
        <v>0</v>
      </c>
      <c r="W174" s="62">
        <f>V174-U174</f>
        <v>0</v>
      </c>
      <c r="X174" s="63">
        <f>U169-U174</f>
        <v>0</v>
      </c>
    </row>
    <row r="175" spans="1:24" s="43" customFormat="1" ht="18" hidden="1" customHeight="1">
      <c r="A175" s="610"/>
      <c r="B175" s="576"/>
      <c r="C175" s="577"/>
      <c r="D175" s="202" t="str">
        <f>серпень!D175</f>
        <v>план</v>
      </c>
      <c r="E175" s="42"/>
      <c r="F175" s="42">
        <f t="shared" ref="F175:K175" si="231">F169</f>
        <v>0</v>
      </c>
      <c r="G175" s="42">
        <f t="shared" si="231"/>
        <v>0</v>
      </c>
      <c r="H175" s="42">
        <f t="shared" si="231"/>
        <v>0</v>
      </c>
      <c r="I175" s="42">
        <f t="shared" si="231"/>
        <v>0</v>
      </c>
      <c r="J175" s="42">
        <f t="shared" si="231"/>
        <v>0</v>
      </c>
      <c r="K175" s="42">
        <f t="shared" si="231"/>
        <v>0</v>
      </c>
      <c r="L175" s="42">
        <f>SUM(F175:K175)</f>
        <v>0</v>
      </c>
      <c r="M175" s="42">
        <f>L175/6</f>
        <v>0</v>
      </c>
      <c r="N175" s="42">
        <f t="shared" ref="N175:S175" si="232">N169+N168</f>
        <v>0</v>
      </c>
      <c r="O175" s="42">
        <f t="shared" si="232"/>
        <v>0</v>
      </c>
      <c r="P175" s="42">
        <f t="shared" si="232"/>
        <v>0</v>
      </c>
      <c r="Q175" s="42">
        <f t="shared" si="232"/>
        <v>0</v>
      </c>
      <c r="R175" s="42">
        <f t="shared" si="232"/>
        <v>0</v>
      </c>
      <c r="S175" s="42">
        <f t="shared" si="232"/>
        <v>0</v>
      </c>
      <c r="T175" s="42">
        <f>SUM(N175:S175)</f>
        <v>0</v>
      </c>
      <c r="U175" s="42">
        <f>T175+L175</f>
        <v>0</v>
      </c>
      <c r="V175" s="64">
        <f>V190+V205</f>
        <v>0</v>
      </c>
      <c r="W175" s="64">
        <f>V175-U175</f>
        <v>0</v>
      </c>
    </row>
    <row r="176" spans="1:24" s="43" customFormat="1" ht="18" hidden="1" customHeight="1">
      <c r="A176" s="610"/>
      <c r="B176" s="576"/>
      <c r="C176" s="577"/>
      <c r="D176" s="202" t="str">
        <f>серпень!D176</f>
        <v xml:space="preserve">відхилення </v>
      </c>
      <c r="E176" s="42"/>
      <c r="F176" s="42">
        <f t="shared" ref="F176:K176" si="233">F172-F175</f>
        <v>0</v>
      </c>
      <c r="G176" s="42">
        <f t="shared" si="233"/>
        <v>0</v>
      </c>
      <c r="H176" s="42">
        <f t="shared" si="233"/>
        <v>0</v>
      </c>
      <c r="I176" s="42">
        <f t="shared" si="233"/>
        <v>0</v>
      </c>
      <c r="J176" s="42">
        <f t="shared" si="233"/>
        <v>0</v>
      </c>
      <c r="K176" s="42">
        <f t="shared" si="233"/>
        <v>0</v>
      </c>
      <c r="L176" s="42"/>
      <c r="M176" s="42"/>
      <c r="N176" s="42">
        <f t="shared" ref="N176:S176" si="234">N172-N175</f>
        <v>0</v>
      </c>
      <c r="O176" s="42">
        <f t="shared" si="234"/>
        <v>0</v>
      </c>
      <c r="P176" s="42">
        <f t="shared" si="234"/>
        <v>0</v>
      </c>
      <c r="Q176" s="42">
        <f t="shared" si="234"/>
        <v>0</v>
      </c>
      <c r="R176" s="42">
        <f t="shared" si="234"/>
        <v>0</v>
      </c>
      <c r="S176" s="42">
        <f t="shared" si="234"/>
        <v>0</v>
      </c>
      <c r="T176" s="42"/>
      <c r="U176" s="42"/>
      <c r="V176" s="42"/>
      <c r="W176" s="42"/>
    </row>
    <row r="177" spans="1:24" s="43" customFormat="1" ht="18" hidden="1" customHeight="1">
      <c r="A177" s="610"/>
      <c r="B177" s="576"/>
      <c r="C177" s="577"/>
      <c r="D177" s="202" t="str">
        <f>серпень!D177</f>
        <v>відхилення з наростаючим</v>
      </c>
      <c r="E177" s="42"/>
      <c r="F177" s="42">
        <f>F176</f>
        <v>0</v>
      </c>
      <c r="G177" s="42">
        <f>G176+F177</f>
        <v>0</v>
      </c>
      <c r="H177" s="42">
        <f>H176+G177</f>
        <v>0</v>
      </c>
      <c r="I177" s="42">
        <f>I176+H177</f>
        <v>0</v>
      </c>
      <c r="J177" s="42">
        <f>J176+I177</f>
        <v>0</v>
      </c>
      <c r="K177" s="42">
        <f>K176+J177</f>
        <v>0</v>
      </c>
      <c r="L177" s="42"/>
      <c r="M177" s="42"/>
      <c r="N177" s="42">
        <f>N176+K177</f>
        <v>0</v>
      </c>
      <c r="O177" s="42">
        <f>O176+N177</f>
        <v>0</v>
      </c>
      <c r="P177" s="42">
        <f>P176+O177</f>
        <v>0</v>
      </c>
      <c r="Q177" s="42">
        <f>Q176+P177</f>
        <v>0</v>
      </c>
      <c r="R177" s="42">
        <f>R176+Q177</f>
        <v>0</v>
      </c>
      <c r="S177" s="42">
        <f>S176+R177</f>
        <v>0</v>
      </c>
      <c r="T177" s="42"/>
      <c r="U177" s="42"/>
      <c r="V177" s="42"/>
      <c r="W177" s="42"/>
    </row>
    <row r="178" spans="1:24" s="47" customFormat="1" ht="18" hidden="1" customHeight="1">
      <c r="A178" s="610"/>
      <c r="B178" s="581" t="s">
        <v>89</v>
      </c>
      <c r="C178" s="581"/>
      <c r="D178" s="178" t="str">
        <f>серпень!D178</f>
        <v>факт. нат.п-ки 2023</v>
      </c>
      <c r="E178" s="11"/>
      <c r="F178" s="12"/>
      <c r="G178" s="12"/>
      <c r="H178" s="12"/>
      <c r="I178" s="12"/>
      <c r="J178" s="12"/>
      <c r="K178" s="12"/>
      <c r="L178" s="65">
        <f>SUM(F178:K178)</f>
        <v>0</v>
      </c>
      <c r="M178" s="65">
        <f>L178/6</f>
        <v>0</v>
      </c>
      <c r="N178" s="12"/>
      <c r="O178" s="12"/>
      <c r="P178" s="12"/>
      <c r="Q178" s="12"/>
      <c r="R178" s="12"/>
      <c r="S178" s="12"/>
      <c r="T178" s="65">
        <f>SUM(N178:S178)</f>
        <v>0</v>
      </c>
      <c r="U178" s="66">
        <f>T178+L178</f>
        <v>0</v>
      </c>
      <c r="V178" s="67"/>
      <c r="W178" s="38">
        <f>V178-U178</f>
        <v>0</v>
      </c>
    </row>
    <row r="179" spans="1:24" s="47" customFormat="1" ht="18" hidden="1" customHeight="1">
      <c r="A179" s="610"/>
      <c r="B179" s="581"/>
      <c r="C179" s="581"/>
      <c r="D179" s="178" t="str">
        <f>серпень!D179</f>
        <v>факт. нат.п-ки 2024</v>
      </c>
      <c r="E179" s="11"/>
      <c r="F179" s="12"/>
      <c r="G179" s="12"/>
      <c r="H179" s="12"/>
      <c r="I179" s="12"/>
      <c r="J179" s="12"/>
      <c r="K179" s="12"/>
      <c r="L179" s="65">
        <f>SUM(F179:K179)</f>
        <v>0</v>
      </c>
      <c r="M179" s="65">
        <f>L179/6</f>
        <v>0</v>
      </c>
      <c r="N179" s="11"/>
      <c r="O179" s="11"/>
      <c r="P179" s="11"/>
      <c r="Q179" s="11"/>
      <c r="R179" s="11"/>
      <c r="S179" s="11"/>
      <c r="T179" s="65">
        <f>SUM(N179:S179)</f>
        <v>0</v>
      </c>
      <c r="U179" s="66">
        <f>T179+L179</f>
        <v>0</v>
      </c>
      <c r="V179" s="67"/>
      <c r="W179" s="38">
        <f>V179-U179</f>
        <v>0</v>
      </c>
    </row>
    <row r="180" spans="1:24" s="47" customFormat="1" ht="18" hidden="1" customHeight="1">
      <c r="A180" s="610"/>
      <c r="B180" s="581"/>
      <c r="C180" s="581"/>
      <c r="D180" s="178" t="str">
        <f>серпень!D180</f>
        <v>факт. нат.п-ки 2025</v>
      </c>
      <c r="E180" s="11"/>
      <c r="F180" s="12"/>
      <c r="G180" s="12"/>
      <c r="H180" s="12"/>
      <c r="I180" s="12"/>
      <c r="J180" s="12"/>
      <c r="K180" s="12"/>
      <c r="L180" s="65">
        <f>SUM(F180:K180)</f>
        <v>0</v>
      </c>
      <c r="M180" s="65">
        <f>L180/6</f>
        <v>0</v>
      </c>
      <c r="N180" s="12"/>
      <c r="O180" s="12"/>
      <c r="P180" s="12"/>
      <c r="Q180" s="12"/>
      <c r="R180" s="12"/>
      <c r="S180" s="11"/>
      <c r="T180" s="65">
        <f>SUM(N180:S180)</f>
        <v>0</v>
      </c>
      <c r="U180" s="66">
        <f>T180+L180</f>
        <v>0</v>
      </c>
      <c r="V180" s="11"/>
      <c r="W180" s="38">
        <f>V180-U180</f>
        <v>0</v>
      </c>
    </row>
    <row r="181" spans="1:24" s="47" customFormat="1" ht="18" hidden="1" customHeight="1">
      <c r="A181" s="610"/>
      <c r="B181" s="581"/>
      <c r="C181" s="581"/>
      <c r="D181" s="187" t="str">
        <f>серпень!D181</f>
        <v>тариф, грн.</v>
      </c>
      <c r="E181" s="49"/>
      <c r="F181" s="49">
        <v>2665.4160000000002</v>
      </c>
      <c r="G181" s="49">
        <v>2665.4160000000002</v>
      </c>
      <c r="H181" s="49">
        <v>2665.4160000000002</v>
      </c>
      <c r="I181" s="49">
        <v>2665.4160000000002</v>
      </c>
      <c r="J181" s="49">
        <v>2665.4160000000002</v>
      </c>
      <c r="K181" s="49">
        <v>2665.4160000000002</v>
      </c>
      <c r="L181" s="49" t="e">
        <f>L182/L180*1000</f>
        <v>#DIV/0!</v>
      </c>
      <c r="M181" s="49" t="e">
        <f>M182/M180*1000</f>
        <v>#DIV/0!</v>
      </c>
      <c r="N181" s="49">
        <v>2665.4160000000002</v>
      </c>
      <c r="O181" s="49">
        <v>2665.4160000000002</v>
      </c>
      <c r="P181" s="49">
        <v>2665.4160000000002</v>
      </c>
      <c r="Q181" s="49">
        <v>2665.4160000000002</v>
      </c>
      <c r="R181" s="49">
        <v>2665.4160000000002</v>
      </c>
      <c r="S181" s="49">
        <v>2665.4160000000002</v>
      </c>
      <c r="T181" s="49" t="e">
        <f>T182/T180*1000</f>
        <v>#DIV/0!</v>
      </c>
      <c r="U181" s="49" t="e">
        <f>U182/U180*1000</f>
        <v>#DIV/0!</v>
      </c>
      <c r="V181" s="68" t="e">
        <f>V182/V180*1000</f>
        <v>#DIV/0!</v>
      </c>
      <c r="W181" s="14" t="e">
        <f>W182/W180*1000</f>
        <v>#DIV/0!</v>
      </c>
    </row>
    <row r="182" spans="1:24" s="47" customFormat="1" ht="18" hidden="1" customHeight="1">
      <c r="A182" s="610"/>
      <c r="B182" s="581"/>
      <c r="C182" s="581"/>
      <c r="D182" s="191" t="str">
        <f>серпень!D182</f>
        <v>сума, тис.грн.</v>
      </c>
      <c r="E182" s="52"/>
      <c r="F182" s="52">
        <f t="shared" ref="F182:K182" si="235">F180*F181/1000</f>
        <v>0</v>
      </c>
      <c r="G182" s="52">
        <f t="shared" si="235"/>
        <v>0</v>
      </c>
      <c r="H182" s="52">
        <f t="shared" si="235"/>
        <v>0</v>
      </c>
      <c r="I182" s="52">
        <f t="shared" si="235"/>
        <v>0</v>
      </c>
      <c r="J182" s="52">
        <f t="shared" si="235"/>
        <v>0</v>
      </c>
      <c r="K182" s="52">
        <f t="shared" si="235"/>
        <v>0</v>
      </c>
      <c r="L182" s="69">
        <f>SUM(F182:K182)</f>
        <v>0</v>
      </c>
      <c r="M182" s="69">
        <f>L182/6</f>
        <v>0</v>
      </c>
      <c r="N182" s="52">
        <f t="shared" ref="N182:S182" si="236">N180*N181/1000</f>
        <v>0</v>
      </c>
      <c r="O182" s="52">
        <f t="shared" si="236"/>
        <v>0</v>
      </c>
      <c r="P182" s="52">
        <f t="shared" si="236"/>
        <v>0</v>
      </c>
      <c r="Q182" s="52">
        <f t="shared" si="236"/>
        <v>0</v>
      </c>
      <c r="R182" s="52">
        <f t="shared" si="236"/>
        <v>0</v>
      </c>
      <c r="S182" s="52">
        <f t="shared" si="236"/>
        <v>0</v>
      </c>
      <c r="T182" s="69">
        <f>SUM(N182:S182)</f>
        <v>0</v>
      </c>
      <c r="U182" s="69">
        <f>T182+L182</f>
        <v>0</v>
      </c>
      <c r="V182" s="70">
        <f>V183+V184</f>
        <v>0</v>
      </c>
      <c r="W182" s="53">
        <f>V182-U182</f>
        <v>0</v>
      </c>
    </row>
    <row r="183" spans="1:24" s="47" customFormat="1" ht="18" hidden="1" customHeight="1">
      <c r="A183" s="610"/>
      <c r="B183" s="581"/>
      <c r="C183" s="581"/>
      <c r="D183" s="174" t="str">
        <f>серпень!D183</f>
        <v>дотація</v>
      </c>
      <c r="E183" s="56"/>
      <c r="F183" s="52"/>
      <c r="G183" s="52"/>
      <c r="H183" s="52"/>
      <c r="I183" s="52"/>
      <c r="J183" s="52"/>
      <c r="K183" s="52"/>
      <c r="L183" s="69">
        <f>SUM(F183:K183)</f>
        <v>0</v>
      </c>
      <c r="M183" s="69">
        <f>L183/6</f>
        <v>0</v>
      </c>
      <c r="N183" s="52"/>
      <c r="O183" s="52"/>
      <c r="P183" s="52"/>
      <c r="Q183" s="52"/>
      <c r="R183" s="52"/>
      <c r="S183" s="52"/>
      <c r="T183" s="69">
        <f>SUM(N183:S183)</f>
        <v>0</v>
      </c>
      <c r="U183" s="69">
        <f>T183+L183</f>
        <v>0</v>
      </c>
      <c r="V183" s="70"/>
      <c r="W183" s="53">
        <f>V183-U183</f>
        <v>0</v>
      </c>
    </row>
    <row r="184" spans="1:24" s="47" customFormat="1" ht="18" hidden="1" customHeight="1">
      <c r="A184" s="610"/>
      <c r="B184" s="581"/>
      <c r="C184" s="581"/>
      <c r="D184" s="174" t="str">
        <f>серпень!D184</f>
        <v>місцевий (план), тис.грн</v>
      </c>
      <c r="E184" s="56"/>
      <c r="F184" s="52"/>
      <c r="G184" s="52"/>
      <c r="H184" s="52"/>
      <c r="I184" s="52"/>
      <c r="J184" s="52"/>
      <c r="K184" s="52"/>
      <c r="L184" s="69">
        <f>SUM(F184:K184)</f>
        <v>0</v>
      </c>
      <c r="M184" s="69">
        <f>L184/6</f>
        <v>0</v>
      </c>
      <c r="N184" s="52"/>
      <c r="O184" s="52"/>
      <c r="P184" s="52"/>
      <c r="Q184" s="52"/>
      <c r="R184" s="52"/>
      <c r="S184" s="52"/>
      <c r="T184" s="69">
        <f>SUM(N184:S184)</f>
        <v>0</v>
      </c>
      <c r="U184" s="69">
        <f>T184+L184</f>
        <v>0</v>
      </c>
      <c r="V184" s="70"/>
      <c r="W184" s="53">
        <f>V184-U184</f>
        <v>0</v>
      </c>
    </row>
    <row r="185" spans="1:24" s="47" customFormat="1" ht="18" hidden="1" customHeight="1">
      <c r="A185" s="610"/>
      <c r="B185" s="581"/>
      <c r="C185" s="581"/>
      <c r="D185" s="178" t="str">
        <f>серпень!D185</f>
        <v>касові нат.п-ки 2025</v>
      </c>
      <c r="E185" s="11"/>
      <c r="F185" s="11"/>
      <c r="G185" s="11"/>
      <c r="H185" s="11"/>
      <c r="I185" s="11"/>
      <c r="J185" s="11"/>
      <c r="K185" s="11"/>
      <c r="L185" s="65">
        <f>SUM(F185:K185)</f>
        <v>0</v>
      </c>
      <c r="M185" s="65">
        <f>L185/6</f>
        <v>0</v>
      </c>
      <c r="N185" s="11"/>
      <c r="O185" s="11"/>
      <c r="P185" s="11"/>
      <c r="Q185" s="11"/>
      <c r="R185" s="11"/>
      <c r="S185" s="11">
        <f>S180+R180</f>
        <v>0</v>
      </c>
      <c r="T185" s="65">
        <f>SUM(N185:S185)</f>
        <v>0</v>
      </c>
      <c r="U185" s="65">
        <f>T185+L185</f>
        <v>0</v>
      </c>
      <c r="V185" s="11">
        <f>V180</f>
        <v>0</v>
      </c>
      <c r="W185" s="38">
        <f>V185-U185</f>
        <v>0</v>
      </c>
      <c r="X185" s="47">
        <f>U180-U185</f>
        <v>0</v>
      </c>
    </row>
    <row r="186" spans="1:24" s="47" customFormat="1" ht="18" hidden="1" customHeight="1">
      <c r="A186" s="610"/>
      <c r="B186" s="581"/>
      <c r="C186" s="581"/>
      <c r="D186" s="187" t="str">
        <f>серпень!D186</f>
        <v>тариф, грн.</v>
      </c>
      <c r="E186" s="49" t="e">
        <f>E187/E185*1000</f>
        <v>#DIV/0!</v>
      </c>
      <c r="F186" s="49">
        <v>2665.4160000000002</v>
      </c>
      <c r="G186" s="49">
        <v>2665.4160000000002</v>
      </c>
      <c r="H186" s="49">
        <v>2665.4160000000002</v>
      </c>
      <c r="I186" s="49">
        <v>2665.4160000000002</v>
      </c>
      <c r="J186" s="49">
        <v>2665.4160000000002</v>
      </c>
      <c r="K186" s="49">
        <v>2665.4160000000002</v>
      </c>
      <c r="L186" s="49" t="e">
        <f>L187/L185*1000</f>
        <v>#DIV/0!</v>
      </c>
      <c r="M186" s="49" t="e">
        <f>M187/M185*1000</f>
        <v>#DIV/0!</v>
      </c>
      <c r="N186" s="49">
        <v>2665.4160000000002</v>
      </c>
      <c r="O186" s="49">
        <v>2665.4160000000002</v>
      </c>
      <c r="P186" s="49">
        <v>2665.4160000000002</v>
      </c>
      <c r="Q186" s="49">
        <v>2665.4160000000002</v>
      </c>
      <c r="R186" s="49">
        <v>2665.4160000000002</v>
      </c>
      <c r="S186" s="49">
        <v>2665.4160000000002</v>
      </c>
      <c r="T186" s="49" t="e">
        <f>T187/T185*1000</f>
        <v>#DIV/0!</v>
      </c>
      <c r="U186" s="49" t="e">
        <f>U187/U185*1000</f>
        <v>#DIV/0!</v>
      </c>
      <c r="V186" s="68" t="e">
        <f>V187/V185*1000</f>
        <v>#DIV/0!</v>
      </c>
      <c r="W186" s="14" t="e">
        <f>W187/W185*1000</f>
        <v>#DIV/0!</v>
      </c>
    </row>
    <row r="187" spans="1:24" s="63" customFormat="1" ht="18" hidden="1" customHeight="1">
      <c r="A187" s="610"/>
      <c r="B187" s="581"/>
      <c r="C187" s="581"/>
      <c r="D187" s="198" t="str">
        <f>серпень!D187</f>
        <v>касові видатки, тис.грн.</v>
      </c>
      <c r="E187" s="71"/>
      <c r="F187" s="61">
        <f t="shared" ref="F187:K187" si="237">F185*F186/1000</f>
        <v>0</v>
      </c>
      <c r="G187" s="61">
        <f t="shared" si="237"/>
        <v>0</v>
      </c>
      <c r="H187" s="61">
        <f t="shared" si="237"/>
        <v>0</v>
      </c>
      <c r="I187" s="61">
        <f t="shared" si="237"/>
        <v>0</v>
      </c>
      <c r="J187" s="61">
        <f t="shared" si="237"/>
        <v>0</v>
      </c>
      <c r="K187" s="61">
        <f t="shared" si="237"/>
        <v>0</v>
      </c>
      <c r="L187" s="61">
        <f>SUM(F187:K187)</f>
        <v>0</v>
      </c>
      <c r="M187" s="61">
        <f>L187/6</f>
        <v>0</v>
      </c>
      <c r="N187" s="61">
        <f t="shared" ref="N187:S187" si="238">N185*N186/1000</f>
        <v>0</v>
      </c>
      <c r="O187" s="61">
        <f t="shared" si="238"/>
        <v>0</v>
      </c>
      <c r="P187" s="61">
        <f t="shared" si="238"/>
        <v>0</v>
      </c>
      <c r="Q187" s="61">
        <f t="shared" si="238"/>
        <v>0</v>
      </c>
      <c r="R187" s="61">
        <f t="shared" si="238"/>
        <v>0</v>
      </c>
      <c r="S187" s="61">
        <f t="shared" si="238"/>
        <v>0</v>
      </c>
      <c r="T187" s="61">
        <f>SUM(N187:S187)</f>
        <v>0</v>
      </c>
      <c r="U187" s="61">
        <f>T187+L187</f>
        <v>0</v>
      </c>
      <c r="V187" s="61">
        <f>V182</f>
        <v>0</v>
      </c>
      <c r="W187" s="72">
        <f>V187-U187</f>
        <v>0</v>
      </c>
      <c r="X187" s="63">
        <f>U182-U187</f>
        <v>0</v>
      </c>
    </row>
    <row r="188" spans="1:24" s="63" customFormat="1" ht="18" hidden="1" customHeight="1">
      <c r="A188" s="610"/>
      <c r="B188" s="581"/>
      <c r="C188" s="581"/>
      <c r="D188" s="201" t="str">
        <f>серпень!D188</f>
        <v>дотація</v>
      </c>
      <c r="E188" s="71"/>
      <c r="F188" s="61"/>
      <c r="G188" s="61"/>
      <c r="H188" s="61"/>
      <c r="I188" s="61"/>
      <c r="J188" s="61"/>
      <c r="K188" s="61"/>
      <c r="L188" s="61">
        <f>SUM(F188:K188)</f>
        <v>0</v>
      </c>
      <c r="M188" s="61">
        <f>L188/6</f>
        <v>0</v>
      </c>
      <c r="N188" s="61"/>
      <c r="O188" s="61"/>
      <c r="P188" s="61"/>
      <c r="Q188" s="61"/>
      <c r="R188" s="61"/>
      <c r="S188" s="61"/>
      <c r="T188" s="61">
        <f>SUM(N188:S188)</f>
        <v>0</v>
      </c>
      <c r="U188" s="61">
        <f>T188+L188</f>
        <v>0</v>
      </c>
      <c r="V188" s="61">
        <f>V183</f>
        <v>0</v>
      </c>
      <c r="W188" s="72">
        <f>V188-U188</f>
        <v>0</v>
      </c>
      <c r="X188" s="63">
        <f>U183-U188</f>
        <v>0</v>
      </c>
    </row>
    <row r="189" spans="1:24" s="63" customFormat="1" ht="18" hidden="1" customHeight="1">
      <c r="A189" s="610"/>
      <c r="B189" s="581"/>
      <c r="C189" s="581"/>
      <c r="D189" s="201" t="str">
        <f>серпень!D189</f>
        <v xml:space="preserve">місцевий </v>
      </c>
      <c r="E189" s="71"/>
      <c r="F189" s="61">
        <f t="shared" ref="F189:K189" si="239">F187-F188</f>
        <v>0</v>
      </c>
      <c r="G189" s="61">
        <f t="shared" si="239"/>
        <v>0</v>
      </c>
      <c r="H189" s="61">
        <f t="shared" si="239"/>
        <v>0</v>
      </c>
      <c r="I189" s="61">
        <f t="shared" si="239"/>
        <v>0</v>
      </c>
      <c r="J189" s="61">
        <f t="shared" si="239"/>
        <v>0</v>
      </c>
      <c r="K189" s="61">
        <f t="shared" si="239"/>
        <v>0</v>
      </c>
      <c r="L189" s="61">
        <f>SUM(F189:K189)</f>
        <v>0</v>
      </c>
      <c r="M189" s="61">
        <f>L189/6</f>
        <v>0</v>
      </c>
      <c r="N189" s="61">
        <f t="shared" ref="N189:S189" si="240">N187-N188</f>
        <v>0</v>
      </c>
      <c r="O189" s="61">
        <f t="shared" si="240"/>
        <v>0</v>
      </c>
      <c r="P189" s="61">
        <f t="shared" si="240"/>
        <v>0</v>
      </c>
      <c r="Q189" s="61">
        <f t="shared" si="240"/>
        <v>0</v>
      </c>
      <c r="R189" s="61">
        <f t="shared" si="240"/>
        <v>0</v>
      </c>
      <c r="S189" s="61">
        <f t="shared" si="240"/>
        <v>0</v>
      </c>
      <c r="T189" s="61">
        <f>SUM(N189:S189)</f>
        <v>0</v>
      </c>
      <c r="U189" s="61">
        <f>T189+L189</f>
        <v>0</v>
      </c>
      <c r="V189" s="61">
        <f>V184</f>
        <v>0</v>
      </c>
      <c r="W189" s="72">
        <f>V189-U189</f>
        <v>0</v>
      </c>
      <c r="X189" s="63">
        <f>U184-U189</f>
        <v>0</v>
      </c>
    </row>
    <row r="190" spans="1:24" s="43" customFormat="1" ht="18" hidden="1" customHeight="1">
      <c r="A190" s="610"/>
      <c r="B190" s="581"/>
      <c r="C190" s="581"/>
      <c r="D190" s="202" t="str">
        <f>серпень!D190</f>
        <v>план</v>
      </c>
      <c r="E190" s="42"/>
      <c r="F190" s="42">
        <f t="shared" ref="F190:K190" si="241">F184</f>
        <v>0</v>
      </c>
      <c r="G190" s="42">
        <f t="shared" si="241"/>
        <v>0</v>
      </c>
      <c r="H190" s="42">
        <f t="shared" si="241"/>
        <v>0</v>
      </c>
      <c r="I190" s="42">
        <f t="shared" si="241"/>
        <v>0</v>
      </c>
      <c r="J190" s="42">
        <f t="shared" si="241"/>
        <v>0</v>
      </c>
      <c r="K190" s="42">
        <f t="shared" si="241"/>
        <v>0</v>
      </c>
      <c r="L190" s="42">
        <f>SUM(F190:K190)</f>
        <v>0</v>
      </c>
      <c r="M190" s="42">
        <f>L190/6</f>
        <v>0</v>
      </c>
      <c r="N190" s="42">
        <f t="shared" ref="N190:S190" si="242">N184+N183</f>
        <v>0</v>
      </c>
      <c r="O190" s="42">
        <f t="shared" si="242"/>
        <v>0</v>
      </c>
      <c r="P190" s="42">
        <f t="shared" si="242"/>
        <v>0</v>
      </c>
      <c r="Q190" s="42">
        <f t="shared" si="242"/>
        <v>0</v>
      </c>
      <c r="R190" s="42">
        <f t="shared" si="242"/>
        <v>0</v>
      </c>
      <c r="S190" s="42">
        <f t="shared" si="242"/>
        <v>0</v>
      </c>
      <c r="T190" s="42">
        <f>SUM(N190:S190)</f>
        <v>0</v>
      </c>
      <c r="U190" s="42">
        <f>T190+L190</f>
        <v>0</v>
      </c>
      <c r="V190" s="42">
        <f>V187</f>
        <v>0</v>
      </c>
      <c r="W190" s="42">
        <f>V190-U190</f>
        <v>0</v>
      </c>
    </row>
    <row r="191" spans="1:24" s="43" customFormat="1" ht="18" hidden="1" customHeight="1">
      <c r="A191" s="610"/>
      <c r="B191" s="581"/>
      <c r="C191" s="581"/>
      <c r="D191" s="202" t="str">
        <f>серпень!D191</f>
        <v xml:space="preserve">відхилення </v>
      </c>
      <c r="E191" s="42"/>
      <c r="F191" s="42">
        <f t="shared" ref="F191:K191" si="243">F187-F190</f>
        <v>0</v>
      </c>
      <c r="G191" s="42">
        <f t="shared" si="243"/>
        <v>0</v>
      </c>
      <c r="H191" s="42">
        <f t="shared" si="243"/>
        <v>0</v>
      </c>
      <c r="I191" s="42">
        <f t="shared" si="243"/>
        <v>0</v>
      </c>
      <c r="J191" s="42">
        <f t="shared" si="243"/>
        <v>0</v>
      </c>
      <c r="K191" s="42">
        <f t="shared" si="243"/>
        <v>0</v>
      </c>
      <c r="L191" s="42"/>
      <c r="M191" s="42"/>
      <c r="N191" s="42">
        <f t="shared" ref="N191:S191" si="244">N187-N190</f>
        <v>0</v>
      </c>
      <c r="O191" s="42">
        <f t="shared" si="244"/>
        <v>0</v>
      </c>
      <c r="P191" s="42">
        <f t="shared" si="244"/>
        <v>0</v>
      </c>
      <c r="Q191" s="42">
        <f t="shared" si="244"/>
        <v>0</v>
      </c>
      <c r="R191" s="42">
        <f t="shared" si="244"/>
        <v>0</v>
      </c>
      <c r="S191" s="42">
        <f t="shared" si="244"/>
        <v>0</v>
      </c>
      <c r="T191" s="42"/>
      <c r="U191" s="42"/>
      <c r="V191" s="42"/>
      <c r="W191" s="42"/>
    </row>
    <row r="192" spans="1:24" s="43" customFormat="1" ht="18" hidden="1" customHeight="1">
      <c r="A192" s="610"/>
      <c r="B192" s="581"/>
      <c r="C192" s="581"/>
      <c r="D192" s="202" t="str">
        <f>серпень!D192</f>
        <v>відхилення з наростаючим</v>
      </c>
      <c r="E192" s="42"/>
      <c r="F192" s="42">
        <f>F191</f>
        <v>0</v>
      </c>
      <c r="G192" s="42">
        <f>G191+F192</f>
        <v>0</v>
      </c>
      <c r="H192" s="42">
        <f>H191+G192</f>
        <v>0</v>
      </c>
      <c r="I192" s="42">
        <f>I191+H192</f>
        <v>0</v>
      </c>
      <c r="J192" s="42">
        <f>J191+I192</f>
        <v>0</v>
      </c>
      <c r="K192" s="42">
        <f>K191+J192</f>
        <v>0</v>
      </c>
      <c r="L192" s="42"/>
      <c r="M192" s="42"/>
      <c r="N192" s="42">
        <f>N191+K192</f>
        <v>0</v>
      </c>
      <c r="O192" s="42">
        <f>O191+N192</f>
        <v>0</v>
      </c>
      <c r="P192" s="42">
        <f>P191+O192</f>
        <v>0</v>
      </c>
      <c r="Q192" s="42">
        <f>Q191+P192</f>
        <v>0</v>
      </c>
      <c r="R192" s="42">
        <f>R191+Q192</f>
        <v>0</v>
      </c>
      <c r="S192" s="42">
        <f>S191+R192</f>
        <v>0</v>
      </c>
      <c r="T192" s="42"/>
      <c r="U192" s="42"/>
      <c r="V192" s="42"/>
      <c r="W192" s="42"/>
    </row>
    <row r="193" spans="1:24" s="48" customFormat="1" ht="18" hidden="1" customHeight="1">
      <c r="A193" s="610"/>
      <c r="B193" s="576" t="s">
        <v>69</v>
      </c>
      <c r="C193" s="577"/>
      <c r="D193" s="178" t="str">
        <f>серпень!D193</f>
        <v>факт. нат.п-ки 2023</v>
      </c>
      <c r="E193" s="11"/>
      <c r="F193" s="12"/>
      <c r="G193" s="12"/>
      <c r="H193" s="12"/>
      <c r="I193" s="12"/>
      <c r="J193" s="12"/>
      <c r="K193" s="12"/>
      <c r="L193" s="65">
        <f>SUM(F193:K193)</f>
        <v>0</v>
      </c>
      <c r="M193" s="65">
        <f>L193/6</f>
        <v>0</v>
      </c>
      <c r="N193" s="12"/>
      <c r="O193" s="12"/>
      <c r="P193" s="12"/>
      <c r="Q193" s="12"/>
      <c r="R193" s="12"/>
      <c r="S193" s="12"/>
      <c r="T193" s="65">
        <f>SUM(N193:S193)</f>
        <v>0</v>
      </c>
      <c r="U193" s="66">
        <f>T193+L193</f>
        <v>0</v>
      </c>
      <c r="V193" s="67"/>
      <c r="W193" s="38">
        <f>V193-U193</f>
        <v>0</v>
      </c>
      <c r="X193" s="47"/>
    </row>
    <row r="194" spans="1:24" s="48" customFormat="1" ht="18" hidden="1" customHeight="1">
      <c r="A194" s="610"/>
      <c r="B194" s="576"/>
      <c r="C194" s="577"/>
      <c r="D194" s="178" t="str">
        <f>серпень!D194</f>
        <v>факт. нат.п-ки 2024</v>
      </c>
      <c r="E194" s="11"/>
      <c r="F194" s="12"/>
      <c r="G194" s="12"/>
      <c r="H194" s="12"/>
      <c r="I194" s="12"/>
      <c r="J194" s="12"/>
      <c r="K194" s="12"/>
      <c r="L194" s="65">
        <f>SUM(F194:K194)</f>
        <v>0</v>
      </c>
      <c r="M194" s="65">
        <f>L194/6</f>
        <v>0</v>
      </c>
      <c r="N194" s="11"/>
      <c r="O194" s="11"/>
      <c r="P194" s="11"/>
      <c r="Q194" s="11"/>
      <c r="R194" s="11"/>
      <c r="S194" s="11"/>
      <c r="T194" s="65">
        <f>SUM(N194:S194)</f>
        <v>0</v>
      </c>
      <c r="U194" s="66">
        <f>T194+L194</f>
        <v>0</v>
      </c>
      <c r="V194" s="67"/>
      <c r="W194" s="38">
        <f>V194-U194</f>
        <v>0</v>
      </c>
      <c r="X194" s="47"/>
    </row>
    <row r="195" spans="1:24" s="48" customFormat="1" ht="18" hidden="1" customHeight="1">
      <c r="A195" s="610"/>
      <c r="B195" s="576"/>
      <c r="C195" s="577"/>
      <c r="D195" s="178" t="str">
        <f>серпень!D195</f>
        <v>факт. нат.п-ки 2025</v>
      </c>
      <c r="E195" s="11"/>
      <c r="F195" s="12"/>
      <c r="G195" s="12"/>
      <c r="H195" s="12"/>
      <c r="I195" s="12"/>
      <c r="J195" s="12"/>
      <c r="K195" s="12"/>
      <c r="L195" s="65">
        <f>SUM(F195:K195)</f>
        <v>0</v>
      </c>
      <c r="M195" s="65">
        <f>L195/6</f>
        <v>0</v>
      </c>
      <c r="N195" s="12"/>
      <c r="O195" s="12"/>
      <c r="P195" s="12"/>
      <c r="Q195" s="12"/>
      <c r="R195" s="12"/>
      <c r="S195" s="11"/>
      <c r="T195" s="65">
        <f>SUM(N195:S195)</f>
        <v>0</v>
      </c>
      <c r="U195" s="66">
        <f>T195+L195</f>
        <v>0</v>
      </c>
      <c r="V195" s="11"/>
      <c r="W195" s="38">
        <f>V195-U195</f>
        <v>0</v>
      </c>
      <c r="X195" s="47"/>
    </row>
    <row r="196" spans="1:24" s="51" customFormat="1" ht="18" hidden="1" customHeight="1">
      <c r="A196" s="610"/>
      <c r="B196" s="576"/>
      <c r="C196" s="577"/>
      <c r="D196" s="187" t="str">
        <f>серпень!D196</f>
        <v>тариф, грн.</v>
      </c>
      <c r="E196" s="49"/>
      <c r="F196" s="49">
        <v>1441.6559999999999</v>
      </c>
      <c r="G196" s="49">
        <v>1441.6559999999999</v>
      </c>
      <c r="H196" s="49">
        <v>1441.6559999999999</v>
      </c>
      <c r="I196" s="49">
        <v>1441.6559999999999</v>
      </c>
      <c r="J196" s="49">
        <v>1441.6559999999999</v>
      </c>
      <c r="K196" s="49">
        <v>1441.6559999999999</v>
      </c>
      <c r="L196" s="49" t="e">
        <f>L197/L195*1000</f>
        <v>#DIV/0!</v>
      </c>
      <c r="M196" s="49" t="e">
        <f>M197/M195*1000</f>
        <v>#DIV/0!</v>
      </c>
      <c r="N196" s="49">
        <v>1441.6559999999999</v>
      </c>
      <c r="O196" s="49">
        <v>1441.6559999999999</v>
      </c>
      <c r="P196" s="49">
        <v>1441.6559999999999</v>
      </c>
      <c r="Q196" s="49">
        <v>1441.6559999999999</v>
      </c>
      <c r="R196" s="49">
        <v>1441.6559999999999</v>
      </c>
      <c r="S196" s="49">
        <v>1441.6559999999999</v>
      </c>
      <c r="T196" s="49" t="e">
        <f>T197/T195*1000</f>
        <v>#DIV/0!</v>
      </c>
      <c r="U196" s="49" t="e">
        <f>U197/U195*1000</f>
        <v>#DIV/0!</v>
      </c>
      <c r="V196" s="68" t="e">
        <f>V197/V195*1000</f>
        <v>#DIV/0!</v>
      </c>
      <c r="W196" s="14" t="e">
        <f>W197/W195*1000</f>
        <v>#DIV/0!</v>
      </c>
      <c r="X196" s="59"/>
    </row>
    <row r="197" spans="1:24" s="55" customFormat="1" ht="18" hidden="1" customHeight="1">
      <c r="A197" s="610"/>
      <c r="B197" s="576"/>
      <c r="C197" s="577"/>
      <c r="D197" s="191" t="str">
        <f>серпень!D197</f>
        <v>сума, тис.грн.</v>
      </c>
      <c r="E197" s="52"/>
      <c r="F197" s="52">
        <f t="shared" ref="F197:K197" si="245">F195*F196/1000</f>
        <v>0</v>
      </c>
      <c r="G197" s="52">
        <f t="shared" si="245"/>
        <v>0</v>
      </c>
      <c r="H197" s="52">
        <f t="shared" si="245"/>
        <v>0</v>
      </c>
      <c r="I197" s="52">
        <f t="shared" si="245"/>
        <v>0</v>
      </c>
      <c r="J197" s="52">
        <f t="shared" si="245"/>
        <v>0</v>
      </c>
      <c r="K197" s="52">
        <f t="shared" si="245"/>
        <v>0</v>
      </c>
      <c r="L197" s="69">
        <f>SUM(F197:K197)</f>
        <v>0</v>
      </c>
      <c r="M197" s="69">
        <f>L197/6</f>
        <v>0</v>
      </c>
      <c r="N197" s="52">
        <f t="shared" ref="N197:S197" si="246">N195*N196/1000</f>
        <v>0</v>
      </c>
      <c r="O197" s="52">
        <f t="shared" si="246"/>
        <v>0</v>
      </c>
      <c r="P197" s="52">
        <f t="shared" si="246"/>
        <v>0</v>
      </c>
      <c r="Q197" s="52">
        <f t="shared" si="246"/>
        <v>0</v>
      </c>
      <c r="R197" s="52">
        <f t="shared" si="246"/>
        <v>0</v>
      </c>
      <c r="S197" s="52">
        <f t="shared" si="246"/>
        <v>0</v>
      </c>
      <c r="T197" s="69">
        <f>SUM(N197:S197)</f>
        <v>0</v>
      </c>
      <c r="U197" s="69">
        <f>T197+L197</f>
        <v>0</v>
      </c>
      <c r="V197" s="70">
        <f>V198+V199</f>
        <v>0</v>
      </c>
      <c r="W197" s="53">
        <f>V197-U197</f>
        <v>0</v>
      </c>
      <c r="X197" s="54">
        <f>2726951.723/1000</f>
        <v>2726.9520000000002</v>
      </c>
    </row>
    <row r="198" spans="1:24" s="55" customFormat="1" ht="18" hidden="1" customHeight="1">
      <c r="A198" s="610"/>
      <c r="B198" s="576"/>
      <c r="C198" s="577"/>
      <c r="D198" s="174" t="str">
        <f>серпень!D198</f>
        <v>дотація</v>
      </c>
      <c r="E198" s="56"/>
      <c r="F198" s="52"/>
      <c r="G198" s="52"/>
      <c r="H198" s="52"/>
      <c r="I198" s="52"/>
      <c r="J198" s="52"/>
      <c r="K198" s="52"/>
      <c r="L198" s="69">
        <f>SUM(F198:K198)</f>
        <v>0</v>
      </c>
      <c r="M198" s="69">
        <f>L198/6</f>
        <v>0</v>
      </c>
      <c r="N198" s="52"/>
      <c r="O198" s="52"/>
      <c r="P198" s="52"/>
      <c r="Q198" s="52"/>
      <c r="R198" s="52"/>
      <c r="S198" s="52"/>
      <c r="T198" s="69">
        <f>SUM(N198:S198)</f>
        <v>0</v>
      </c>
      <c r="U198" s="69">
        <f>T198+L198</f>
        <v>0</v>
      </c>
      <c r="V198" s="70">
        <v>0</v>
      </c>
      <c r="W198" s="53">
        <f>V198-U198</f>
        <v>0</v>
      </c>
      <c r="X198" s="58"/>
    </row>
    <row r="199" spans="1:24" s="55" customFormat="1" ht="18" hidden="1" customHeight="1">
      <c r="A199" s="610"/>
      <c r="B199" s="576"/>
      <c r="C199" s="577"/>
      <c r="D199" s="174" t="str">
        <f>серпень!D199</f>
        <v>місцевий (план), тис.грн</v>
      </c>
      <c r="E199" s="56"/>
      <c r="F199" s="52"/>
      <c r="G199" s="52"/>
      <c r="H199" s="52"/>
      <c r="I199" s="52"/>
      <c r="J199" s="52"/>
      <c r="K199" s="52"/>
      <c r="L199" s="69">
        <f>SUM(F199:K199)</f>
        <v>0</v>
      </c>
      <c r="M199" s="69">
        <f>L199/6</f>
        <v>0</v>
      </c>
      <c r="N199" s="52"/>
      <c r="O199" s="52"/>
      <c r="P199" s="52"/>
      <c r="Q199" s="52"/>
      <c r="R199" s="52"/>
      <c r="S199" s="52"/>
      <c r="T199" s="69">
        <f>SUM(N199:S199)</f>
        <v>0</v>
      </c>
      <c r="U199" s="69">
        <f>T199+L199</f>
        <v>0</v>
      </c>
      <c r="V199" s="70"/>
      <c r="W199" s="53">
        <f>V199-U199</f>
        <v>0</v>
      </c>
      <c r="X199" s="58"/>
    </row>
    <row r="200" spans="1:24" s="48" customFormat="1" ht="18" hidden="1" customHeight="1">
      <c r="A200" s="610"/>
      <c r="B200" s="576"/>
      <c r="C200" s="577"/>
      <c r="D200" s="178" t="str">
        <f>серпень!D200</f>
        <v>касові нат.п-ки 2025</v>
      </c>
      <c r="E200" s="11"/>
      <c r="F200" s="11"/>
      <c r="G200" s="11"/>
      <c r="H200" s="11"/>
      <c r="I200" s="11"/>
      <c r="J200" s="11"/>
      <c r="K200" s="11"/>
      <c r="L200" s="65">
        <f>SUM(F200:K200)</f>
        <v>0</v>
      </c>
      <c r="M200" s="65">
        <f>L200/6</f>
        <v>0</v>
      </c>
      <c r="N200" s="11"/>
      <c r="O200" s="11"/>
      <c r="P200" s="11"/>
      <c r="Q200" s="11"/>
      <c r="R200" s="11"/>
      <c r="S200" s="11">
        <f>S195+R195</f>
        <v>0</v>
      </c>
      <c r="T200" s="65">
        <f>SUM(N200:S200)</f>
        <v>0</v>
      </c>
      <c r="U200" s="65">
        <f>T200+L200</f>
        <v>0</v>
      </c>
      <c r="V200" s="11">
        <f>V195</f>
        <v>0</v>
      </c>
      <c r="W200" s="38">
        <f>V200-U200</f>
        <v>0</v>
      </c>
      <c r="X200" s="47">
        <f>U195-U200</f>
        <v>0</v>
      </c>
    </row>
    <row r="201" spans="1:24" s="51" customFormat="1" ht="18" hidden="1" customHeight="1">
      <c r="A201" s="610"/>
      <c r="B201" s="576"/>
      <c r="C201" s="577"/>
      <c r="D201" s="187" t="str">
        <f>серпень!D201</f>
        <v>тариф, грн.</v>
      </c>
      <c r="E201" s="49" t="e">
        <f>E202/E200*1000</f>
        <v>#DIV/0!</v>
      </c>
      <c r="F201" s="49">
        <v>1441.6559999999999</v>
      </c>
      <c r="G201" s="49">
        <v>1441.6559999999999</v>
      </c>
      <c r="H201" s="49">
        <v>1441.6559999999999</v>
      </c>
      <c r="I201" s="49">
        <v>1441.6559999999999</v>
      </c>
      <c r="J201" s="49">
        <v>1441.6559999999999</v>
      </c>
      <c r="K201" s="49">
        <v>1441.6559999999999</v>
      </c>
      <c r="L201" s="49" t="e">
        <f>L202/L200*1000</f>
        <v>#DIV/0!</v>
      </c>
      <c r="M201" s="49" t="e">
        <f>M202/M200*1000</f>
        <v>#DIV/0!</v>
      </c>
      <c r="N201" s="49">
        <v>1441.6559999999999</v>
      </c>
      <c r="O201" s="49">
        <v>1441.6559999999999</v>
      </c>
      <c r="P201" s="49">
        <v>1441.6559999999999</v>
      </c>
      <c r="Q201" s="49">
        <v>1441.6559999999999</v>
      </c>
      <c r="R201" s="49">
        <v>1441.6559999999999</v>
      </c>
      <c r="S201" s="49">
        <v>1441.6559999999999</v>
      </c>
      <c r="T201" s="49" t="e">
        <f>T202/T200*1000</f>
        <v>#DIV/0!</v>
      </c>
      <c r="U201" s="49" t="e">
        <f>U202/U200*1000</f>
        <v>#DIV/0!</v>
      </c>
      <c r="V201" s="68" t="e">
        <f>V202/V200*1000</f>
        <v>#DIV/0!</v>
      </c>
      <c r="W201" s="14" t="e">
        <f>W202/W200*1000</f>
        <v>#DIV/0!</v>
      </c>
      <c r="X201" s="59"/>
    </row>
    <row r="202" spans="1:24" s="63" customFormat="1" ht="18" hidden="1" customHeight="1">
      <c r="A202" s="610"/>
      <c r="B202" s="576"/>
      <c r="C202" s="577"/>
      <c r="D202" s="198" t="str">
        <f>серпень!D202</f>
        <v>касові видатки, тис.грн.</v>
      </c>
      <c r="E202" s="71"/>
      <c r="F202" s="61">
        <f t="shared" ref="F202:K202" si="247">F200*F201/1000</f>
        <v>0</v>
      </c>
      <c r="G202" s="61">
        <f t="shared" si="247"/>
        <v>0</v>
      </c>
      <c r="H202" s="61">
        <f t="shared" si="247"/>
        <v>0</v>
      </c>
      <c r="I202" s="61">
        <f t="shared" si="247"/>
        <v>0</v>
      </c>
      <c r="J202" s="61">
        <f t="shared" si="247"/>
        <v>0</v>
      </c>
      <c r="K202" s="61">
        <f t="shared" si="247"/>
        <v>0</v>
      </c>
      <c r="L202" s="61">
        <f>SUM(F202:K202)</f>
        <v>0</v>
      </c>
      <c r="M202" s="61">
        <f>L202/6</f>
        <v>0</v>
      </c>
      <c r="N202" s="61">
        <f t="shared" ref="N202:S202" si="248">N200*N201/1000</f>
        <v>0</v>
      </c>
      <c r="O202" s="61">
        <f t="shared" si="248"/>
        <v>0</v>
      </c>
      <c r="P202" s="61">
        <f t="shared" si="248"/>
        <v>0</v>
      </c>
      <c r="Q202" s="61">
        <f t="shared" si="248"/>
        <v>0</v>
      </c>
      <c r="R202" s="61">
        <f t="shared" si="248"/>
        <v>0</v>
      </c>
      <c r="S202" s="61">
        <f t="shared" si="248"/>
        <v>0</v>
      </c>
      <c r="T202" s="61">
        <f>SUM(N202:S202)</f>
        <v>0</v>
      </c>
      <c r="U202" s="61">
        <f>T202+L202</f>
        <v>0</v>
      </c>
      <c r="V202" s="61">
        <f>V197</f>
        <v>0</v>
      </c>
      <c r="W202" s="72">
        <f>V202-U202</f>
        <v>0</v>
      </c>
      <c r="X202" s="63">
        <f>U197-U202</f>
        <v>0</v>
      </c>
    </row>
    <row r="203" spans="1:24" s="63" customFormat="1" ht="18" hidden="1" customHeight="1">
      <c r="A203" s="610"/>
      <c r="B203" s="576"/>
      <c r="C203" s="577"/>
      <c r="D203" s="201" t="str">
        <f>серпень!D203</f>
        <v>дотація</v>
      </c>
      <c r="E203" s="71"/>
      <c r="F203" s="61"/>
      <c r="G203" s="61"/>
      <c r="H203" s="61"/>
      <c r="I203" s="61"/>
      <c r="J203" s="61"/>
      <c r="K203" s="61"/>
      <c r="L203" s="61">
        <f>SUM(F203:K203)</f>
        <v>0</v>
      </c>
      <c r="M203" s="61">
        <f>L203/6</f>
        <v>0</v>
      </c>
      <c r="N203" s="61"/>
      <c r="O203" s="61"/>
      <c r="P203" s="61"/>
      <c r="Q203" s="61"/>
      <c r="R203" s="61"/>
      <c r="S203" s="61"/>
      <c r="T203" s="61">
        <f>SUM(N203:S203)</f>
        <v>0</v>
      </c>
      <c r="U203" s="61">
        <f>T203+L203</f>
        <v>0</v>
      </c>
      <c r="V203" s="61">
        <f>V198</f>
        <v>0</v>
      </c>
      <c r="W203" s="72">
        <f>V203-U203</f>
        <v>0</v>
      </c>
      <c r="X203" s="63">
        <f>U198-U203</f>
        <v>0</v>
      </c>
    </row>
    <row r="204" spans="1:24" s="63" customFormat="1" ht="18" hidden="1" customHeight="1">
      <c r="A204" s="610"/>
      <c r="B204" s="576"/>
      <c r="C204" s="577"/>
      <c r="D204" s="201" t="str">
        <f>серпень!D204</f>
        <v xml:space="preserve">місцевий </v>
      </c>
      <c r="E204" s="71"/>
      <c r="F204" s="61">
        <f t="shared" ref="F204:K204" si="249">F202-F203</f>
        <v>0</v>
      </c>
      <c r="G204" s="61">
        <f t="shared" si="249"/>
        <v>0</v>
      </c>
      <c r="H204" s="61">
        <f t="shared" si="249"/>
        <v>0</v>
      </c>
      <c r="I204" s="61">
        <f t="shared" si="249"/>
        <v>0</v>
      </c>
      <c r="J204" s="61">
        <f t="shared" si="249"/>
        <v>0</v>
      </c>
      <c r="K204" s="61">
        <f t="shared" si="249"/>
        <v>0</v>
      </c>
      <c r="L204" s="61">
        <f>SUM(F204:K204)</f>
        <v>0</v>
      </c>
      <c r="M204" s="61">
        <f>L204/6</f>
        <v>0</v>
      </c>
      <c r="N204" s="61">
        <f t="shared" ref="N204:S204" si="250">N202-N203</f>
        <v>0</v>
      </c>
      <c r="O204" s="61">
        <f t="shared" si="250"/>
        <v>0</v>
      </c>
      <c r="P204" s="61">
        <f t="shared" si="250"/>
        <v>0</v>
      </c>
      <c r="Q204" s="61">
        <f t="shared" si="250"/>
        <v>0</v>
      </c>
      <c r="R204" s="61">
        <f t="shared" si="250"/>
        <v>0</v>
      </c>
      <c r="S204" s="61">
        <f t="shared" si="250"/>
        <v>0</v>
      </c>
      <c r="T204" s="61">
        <f>SUM(N204:S204)</f>
        <v>0</v>
      </c>
      <c r="U204" s="61">
        <f>T204+L204</f>
        <v>0</v>
      </c>
      <c r="V204" s="61">
        <f>V199</f>
        <v>0</v>
      </c>
      <c r="W204" s="72">
        <f>V204-U204</f>
        <v>0</v>
      </c>
      <c r="X204" s="63">
        <f>U199-U204</f>
        <v>0</v>
      </c>
    </row>
    <row r="205" spans="1:24" s="43" customFormat="1" ht="18" hidden="1" customHeight="1">
      <c r="A205" s="610"/>
      <c r="B205" s="576"/>
      <c r="C205" s="577"/>
      <c r="D205" s="202" t="str">
        <f>серпень!D205</f>
        <v>план</v>
      </c>
      <c r="E205" s="42"/>
      <c r="F205" s="42">
        <f t="shared" ref="F205:K205" si="251">F199</f>
        <v>0</v>
      </c>
      <c r="G205" s="42">
        <f t="shared" si="251"/>
        <v>0</v>
      </c>
      <c r="H205" s="42">
        <f t="shared" si="251"/>
        <v>0</v>
      </c>
      <c r="I205" s="42">
        <f t="shared" si="251"/>
        <v>0</v>
      </c>
      <c r="J205" s="42">
        <f t="shared" si="251"/>
        <v>0</v>
      </c>
      <c r="K205" s="42">
        <f t="shared" si="251"/>
        <v>0</v>
      </c>
      <c r="L205" s="42">
        <f>SUM(F205:K205)</f>
        <v>0</v>
      </c>
      <c r="M205" s="42">
        <f>L205/6</f>
        <v>0</v>
      </c>
      <c r="N205" s="42">
        <f t="shared" ref="N205:S205" si="252">N199+N198</f>
        <v>0</v>
      </c>
      <c r="O205" s="42">
        <f t="shared" si="252"/>
        <v>0</v>
      </c>
      <c r="P205" s="42">
        <f t="shared" si="252"/>
        <v>0</v>
      </c>
      <c r="Q205" s="42">
        <f t="shared" si="252"/>
        <v>0</v>
      </c>
      <c r="R205" s="42">
        <f t="shared" si="252"/>
        <v>0</v>
      </c>
      <c r="S205" s="42">
        <f t="shared" si="252"/>
        <v>0</v>
      </c>
      <c r="T205" s="42">
        <f>SUM(N205:S205)</f>
        <v>0</v>
      </c>
      <c r="U205" s="42">
        <f>T205+L205</f>
        <v>0</v>
      </c>
      <c r="V205" s="42">
        <f>V202</f>
        <v>0</v>
      </c>
      <c r="W205" s="42">
        <f>V205-U205</f>
        <v>0</v>
      </c>
    </row>
    <row r="206" spans="1:24" s="43" customFormat="1" ht="18" hidden="1" customHeight="1">
      <c r="A206" s="610"/>
      <c r="B206" s="576"/>
      <c r="C206" s="577"/>
      <c r="D206" s="202" t="str">
        <f>серпень!D206</f>
        <v xml:space="preserve">відхилення </v>
      </c>
      <c r="E206" s="42"/>
      <c r="F206" s="42">
        <f t="shared" ref="F206:K206" si="253">F202-F205</f>
        <v>0</v>
      </c>
      <c r="G206" s="42">
        <f t="shared" si="253"/>
        <v>0</v>
      </c>
      <c r="H206" s="42">
        <f t="shared" si="253"/>
        <v>0</v>
      </c>
      <c r="I206" s="42">
        <f t="shared" si="253"/>
        <v>0</v>
      </c>
      <c r="J206" s="42">
        <f t="shared" si="253"/>
        <v>0</v>
      </c>
      <c r="K206" s="42">
        <f t="shared" si="253"/>
        <v>0</v>
      </c>
      <c r="L206" s="42"/>
      <c r="M206" s="42"/>
      <c r="N206" s="42">
        <f t="shared" ref="N206:S206" si="254">N202-N205</f>
        <v>0</v>
      </c>
      <c r="O206" s="42">
        <f t="shared" si="254"/>
        <v>0</v>
      </c>
      <c r="P206" s="42">
        <f t="shared" si="254"/>
        <v>0</v>
      </c>
      <c r="Q206" s="42">
        <f t="shared" si="254"/>
        <v>0</v>
      </c>
      <c r="R206" s="42">
        <f t="shared" si="254"/>
        <v>0</v>
      </c>
      <c r="S206" s="42">
        <f t="shared" si="254"/>
        <v>0</v>
      </c>
      <c r="T206" s="42"/>
      <c r="U206" s="42"/>
      <c r="V206" s="42"/>
      <c r="W206" s="42"/>
    </row>
    <row r="207" spans="1:24" s="43" customFormat="1" ht="18" hidden="1" customHeight="1">
      <c r="A207" s="611"/>
      <c r="B207" s="578"/>
      <c r="C207" s="579"/>
      <c r="D207" s="202" t="str">
        <f>серпень!D207</f>
        <v>відхилення з наростаючим</v>
      </c>
      <c r="E207" s="42"/>
      <c r="F207" s="42">
        <f>F206</f>
        <v>0</v>
      </c>
      <c r="G207" s="42">
        <f>G206+F207</f>
        <v>0</v>
      </c>
      <c r="H207" s="42">
        <f>H206+G207</f>
        <v>0</v>
      </c>
      <c r="I207" s="42">
        <f>I206+H207</f>
        <v>0</v>
      </c>
      <c r="J207" s="42">
        <f>J206+I207</f>
        <v>0</v>
      </c>
      <c r="K207" s="42">
        <f>K206+J207</f>
        <v>0</v>
      </c>
      <c r="L207" s="42"/>
      <c r="M207" s="42"/>
      <c r="N207" s="42">
        <f>N206+K207</f>
        <v>0</v>
      </c>
      <c r="O207" s="42">
        <f>O206+N207</f>
        <v>0</v>
      </c>
      <c r="P207" s="42">
        <f>P206+O207</f>
        <v>0</v>
      </c>
      <c r="Q207" s="42">
        <f>Q206+P207</f>
        <v>0</v>
      </c>
      <c r="R207" s="42">
        <f>R206+Q207</f>
        <v>0</v>
      </c>
      <c r="S207" s="42">
        <f>S206+R207</f>
        <v>0</v>
      </c>
      <c r="T207" s="42"/>
      <c r="U207" s="42"/>
      <c r="V207" s="42"/>
      <c r="W207" s="42"/>
    </row>
    <row r="208" spans="1:24" s="47" customFormat="1" ht="18" customHeight="1">
      <c r="A208" s="609"/>
      <c r="B208" s="580" t="s">
        <v>92</v>
      </c>
      <c r="C208" s="575"/>
      <c r="D208" s="178" t="str">
        <f>серпень!D208</f>
        <v>факт. нат.п-ки 2023</v>
      </c>
      <c r="E208" s="11"/>
      <c r="F208" s="12">
        <f t="shared" ref="F208:K210" si="255">F223+F238</f>
        <v>192</v>
      </c>
      <c r="G208" s="12">
        <f t="shared" si="255"/>
        <v>129.4</v>
      </c>
      <c r="H208" s="12">
        <f t="shared" si="255"/>
        <v>137.69999999999999</v>
      </c>
      <c r="I208" s="12">
        <f t="shared" si="255"/>
        <v>12.1</v>
      </c>
      <c r="J208" s="12">
        <f t="shared" si="255"/>
        <v>0</v>
      </c>
      <c r="K208" s="12">
        <f t="shared" si="255"/>
        <v>0</v>
      </c>
      <c r="L208" s="44">
        <f>SUM(F208:K208)</f>
        <v>471.2</v>
      </c>
      <c r="M208" s="44">
        <f>L208/6</f>
        <v>78.5</v>
      </c>
      <c r="N208" s="12">
        <f t="shared" ref="N208:S210" si="256">N223+N238</f>
        <v>0</v>
      </c>
      <c r="O208" s="12">
        <f t="shared" si="256"/>
        <v>0</v>
      </c>
      <c r="P208" s="12">
        <f t="shared" si="256"/>
        <v>0</v>
      </c>
      <c r="Q208" s="12">
        <f t="shared" si="256"/>
        <v>0</v>
      </c>
      <c r="R208" s="12">
        <f t="shared" si="256"/>
        <v>103.6</v>
      </c>
      <c r="S208" s="12">
        <f t="shared" si="256"/>
        <v>127.9</v>
      </c>
      <c r="T208" s="44">
        <f>SUM(N208:S208)</f>
        <v>231.5</v>
      </c>
      <c r="U208" s="119">
        <f>T208+L208</f>
        <v>702.7</v>
      </c>
      <c r="V208" s="46">
        <f>V223+V238</f>
        <v>0</v>
      </c>
      <c r="W208" s="38"/>
    </row>
    <row r="209" spans="1:24" s="47" customFormat="1" ht="18" customHeight="1">
      <c r="A209" s="610"/>
      <c r="B209" s="576"/>
      <c r="C209" s="577"/>
      <c r="D209" s="178" t="str">
        <f>серпень!D209</f>
        <v>факт. нат.п-ки 2024</v>
      </c>
      <c r="E209" s="11"/>
      <c r="F209" s="12">
        <f t="shared" si="255"/>
        <v>115.6</v>
      </c>
      <c r="G209" s="12">
        <f t="shared" si="255"/>
        <v>83.5</v>
      </c>
      <c r="H209" s="12">
        <f t="shared" si="255"/>
        <v>74.2</v>
      </c>
      <c r="I209" s="12">
        <f t="shared" si="255"/>
        <v>0</v>
      </c>
      <c r="J209" s="12">
        <f>J224+J239</f>
        <v>0</v>
      </c>
      <c r="K209" s="12">
        <f t="shared" si="255"/>
        <v>0</v>
      </c>
      <c r="L209" s="44">
        <f>SUM(F209:K209)</f>
        <v>273.3</v>
      </c>
      <c r="M209" s="44">
        <f>L209/6</f>
        <v>45.6</v>
      </c>
      <c r="N209" s="11">
        <f t="shared" si="256"/>
        <v>0</v>
      </c>
      <c r="O209" s="11">
        <f t="shared" si="256"/>
        <v>0</v>
      </c>
      <c r="P209" s="11">
        <f t="shared" si="256"/>
        <v>0</v>
      </c>
      <c r="Q209" s="11">
        <f t="shared" si="256"/>
        <v>0</v>
      </c>
      <c r="R209" s="11">
        <f t="shared" si="256"/>
        <v>103.6</v>
      </c>
      <c r="S209" s="11">
        <f t="shared" si="256"/>
        <v>127.9</v>
      </c>
      <c r="T209" s="44">
        <f>SUM(N209:S209)</f>
        <v>231.5</v>
      </c>
      <c r="U209" s="119">
        <f>T209+L209</f>
        <v>504.8</v>
      </c>
      <c r="V209" s="46">
        <f>V224+V239</f>
        <v>483.1</v>
      </c>
      <c r="W209" s="38"/>
    </row>
    <row r="210" spans="1:24" s="47" customFormat="1" ht="18" customHeight="1">
      <c r="A210" s="610"/>
      <c r="B210" s="576"/>
      <c r="C210" s="577"/>
      <c r="D210" s="178" t="str">
        <f>серпень!D210</f>
        <v>факт. нат.п-ки 2025</v>
      </c>
      <c r="E210" s="11"/>
      <c r="F210" s="12">
        <f t="shared" si="255"/>
        <v>96.1</v>
      </c>
      <c r="G210" s="12">
        <f t="shared" si="255"/>
        <v>125.4</v>
      </c>
      <c r="H210" s="12">
        <f t="shared" si="255"/>
        <v>62.3</v>
      </c>
      <c r="I210" s="12">
        <f t="shared" si="255"/>
        <v>0</v>
      </c>
      <c r="J210" s="12">
        <f>J225+J240</f>
        <v>0</v>
      </c>
      <c r="K210" s="12">
        <f t="shared" si="255"/>
        <v>0</v>
      </c>
      <c r="L210" s="44">
        <f>SUM(F210:K210)</f>
        <v>283.8</v>
      </c>
      <c r="M210" s="44">
        <f>L210/6</f>
        <v>47.3</v>
      </c>
      <c r="N210" s="12">
        <f t="shared" si="256"/>
        <v>0</v>
      </c>
      <c r="O210" s="12">
        <f t="shared" si="256"/>
        <v>0</v>
      </c>
      <c r="P210" s="12">
        <f t="shared" si="256"/>
        <v>0</v>
      </c>
      <c r="Q210" s="12">
        <f t="shared" si="256"/>
        <v>0</v>
      </c>
      <c r="R210" s="12">
        <f t="shared" si="256"/>
        <v>103.6</v>
      </c>
      <c r="S210" s="12">
        <f t="shared" si="256"/>
        <v>127.9</v>
      </c>
      <c r="T210" s="44">
        <f>SUM(N210:S210)</f>
        <v>231.5</v>
      </c>
      <c r="U210" s="119">
        <f>T210+L210</f>
        <v>515.29999999999995</v>
      </c>
      <c r="V210" s="46">
        <f>V225+V240</f>
        <v>564.79999999999995</v>
      </c>
      <c r="W210" s="38">
        <f>V210-U210</f>
        <v>49.5</v>
      </c>
    </row>
    <row r="211" spans="1:24" s="47" customFormat="1" ht="18" customHeight="1">
      <c r="A211" s="610"/>
      <c r="B211" s="576"/>
      <c r="C211" s="577"/>
      <c r="D211" s="187" t="str">
        <f>серпень!D211</f>
        <v>тариф, грн.</v>
      </c>
      <c r="E211" s="49" t="e">
        <f t="shared" ref="E211:S211" si="257">E212/E210*1000</f>
        <v>#DIV/0!</v>
      </c>
      <c r="F211" s="49">
        <f t="shared" si="257"/>
        <v>3266.4720000000002</v>
      </c>
      <c r="G211" s="49">
        <f t="shared" si="257"/>
        <v>3931.5149999999999</v>
      </c>
      <c r="H211" s="49">
        <f t="shared" si="257"/>
        <v>4049.6149999999998</v>
      </c>
      <c r="I211" s="49" t="e">
        <f t="shared" si="257"/>
        <v>#DIV/0!</v>
      </c>
      <c r="J211" s="49" t="e">
        <f t="shared" si="257"/>
        <v>#DIV/0!</v>
      </c>
      <c r="K211" s="49" t="e">
        <f t="shared" si="257"/>
        <v>#DIV/0!</v>
      </c>
      <c r="L211" s="49">
        <f t="shared" si="257"/>
        <v>3732.2449999999999</v>
      </c>
      <c r="M211" s="49">
        <f t="shared" si="257"/>
        <v>3732.241</v>
      </c>
      <c r="N211" s="49" t="e">
        <f t="shared" si="257"/>
        <v>#DIV/0!</v>
      </c>
      <c r="O211" s="49" t="e">
        <f t="shared" si="257"/>
        <v>#DIV/0!</v>
      </c>
      <c r="P211" s="49" t="e">
        <f t="shared" si="257"/>
        <v>#DIV/0!</v>
      </c>
      <c r="Q211" s="49" t="e">
        <f t="shared" si="257"/>
        <v>#DIV/0!</v>
      </c>
      <c r="R211" s="49">
        <f t="shared" si="257"/>
        <v>4086.0230000000001</v>
      </c>
      <c r="S211" s="49">
        <f t="shared" si="257"/>
        <v>4086.0279999999998</v>
      </c>
      <c r="T211" s="49">
        <f>T212/T210*1000</f>
        <v>4086.0259999999998</v>
      </c>
      <c r="U211" s="49">
        <f>U212/U210*1000</f>
        <v>3891.1819999999998</v>
      </c>
      <c r="V211" s="49">
        <f>V212/V210*1000</f>
        <v>3267.6770000000001</v>
      </c>
      <c r="W211" s="14">
        <f>W212/W210*1000</f>
        <v>-3223.0709999999999</v>
      </c>
    </row>
    <row r="212" spans="1:24" s="47" customFormat="1" ht="18" customHeight="1">
      <c r="A212" s="610"/>
      <c r="B212" s="576"/>
      <c r="C212" s="577"/>
      <c r="D212" s="191" t="str">
        <f>серпень!D212</f>
        <v>сума, тис.грн.</v>
      </c>
      <c r="E212" s="52"/>
      <c r="F212" s="52">
        <f t="shared" ref="F212:K215" si="258">F227+F242</f>
        <v>313.90800000000002</v>
      </c>
      <c r="G212" s="52">
        <f t="shared" si="258"/>
        <v>493.012</v>
      </c>
      <c r="H212" s="52">
        <f t="shared" si="258"/>
        <v>252.291</v>
      </c>
      <c r="I212" s="52">
        <f t="shared" si="258"/>
        <v>0</v>
      </c>
      <c r="J212" s="52">
        <f t="shared" si="258"/>
        <v>0</v>
      </c>
      <c r="K212" s="52">
        <f t="shared" si="258"/>
        <v>0</v>
      </c>
      <c r="L212" s="52">
        <f>SUM(F212:K212)</f>
        <v>1059.211</v>
      </c>
      <c r="M212" s="52">
        <f>L212/6</f>
        <v>176.535</v>
      </c>
      <c r="N212" s="52">
        <f t="shared" ref="N212:S215" si="259">N227+N242</f>
        <v>0</v>
      </c>
      <c r="O212" s="52">
        <f t="shared" si="259"/>
        <v>0</v>
      </c>
      <c r="P212" s="52">
        <f t="shared" si="259"/>
        <v>0</v>
      </c>
      <c r="Q212" s="52">
        <f t="shared" si="259"/>
        <v>0</v>
      </c>
      <c r="R212" s="52">
        <f t="shared" si="259"/>
        <v>423.31200000000001</v>
      </c>
      <c r="S212" s="52">
        <f t="shared" si="259"/>
        <v>522.60299999999995</v>
      </c>
      <c r="T212" s="52">
        <f>SUM(N212:S212)</f>
        <v>945.91499999999996</v>
      </c>
      <c r="U212" s="52">
        <f>T212+L212</f>
        <v>2005.126</v>
      </c>
      <c r="V212" s="53">
        <f>V227+V242</f>
        <v>1845.5840000000001</v>
      </c>
      <c r="W212" s="53">
        <f>V212-U212</f>
        <v>-159.542</v>
      </c>
    </row>
    <row r="213" spans="1:24" s="47" customFormat="1" ht="18" customHeight="1">
      <c r="A213" s="610"/>
      <c r="B213" s="576"/>
      <c r="C213" s="577"/>
      <c r="D213" s="174" t="str">
        <f>серпень!D213</f>
        <v>дотація</v>
      </c>
      <c r="E213" s="56"/>
      <c r="F213" s="52">
        <f t="shared" si="258"/>
        <v>0</v>
      </c>
      <c r="G213" s="52">
        <f t="shared" si="258"/>
        <v>0</v>
      </c>
      <c r="H213" s="52">
        <f t="shared" si="258"/>
        <v>0</v>
      </c>
      <c r="I213" s="52">
        <f t="shared" si="258"/>
        <v>0</v>
      </c>
      <c r="J213" s="52">
        <f>J228+J243</f>
        <v>0</v>
      </c>
      <c r="K213" s="52">
        <f t="shared" si="258"/>
        <v>0</v>
      </c>
      <c r="L213" s="52">
        <f>SUM(F213:K213)</f>
        <v>0</v>
      </c>
      <c r="M213" s="52">
        <f>L213/6</f>
        <v>0</v>
      </c>
      <c r="N213" s="52">
        <f t="shared" si="259"/>
        <v>0</v>
      </c>
      <c r="O213" s="52">
        <f t="shared" si="259"/>
        <v>0</v>
      </c>
      <c r="P213" s="52">
        <f t="shared" si="259"/>
        <v>0</v>
      </c>
      <c r="Q213" s="52">
        <f t="shared" si="259"/>
        <v>0</v>
      </c>
      <c r="R213" s="52">
        <f t="shared" si="259"/>
        <v>0</v>
      </c>
      <c r="S213" s="52">
        <f t="shared" si="259"/>
        <v>0</v>
      </c>
      <c r="T213" s="52">
        <f>SUM(N213:S213)</f>
        <v>0</v>
      </c>
      <c r="U213" s="52">
        <f>T213+L213</f>
        <v>0</v>
      </c>
      <c r="V213" s="53">
        <f>V228+V243</f>
        <v>0</v>
      </c>
      <c r="W213" s="57">
        <f>V213-U213</f>
        <v>0</v>
      </c>
    </row>
    <row r="214" spans="1:24" s="47" customFormat="1" ht="18" customHeight="1">
      <c r="A214" s="610"/>
      <c r="B214" s="576"/>
      <c r="C214" s="577"/>
      <c r="D214" s="174" t="str">
        <f>серпень!D214</f>
        <v>місцевий (план), тис.грн</v>
      </c>
      <c r="E214" s="56"/>
      <c r="F214" s="52">
        <f t="shared" si="258"/>
        <v>0</v>
      </c>
      <c r="G214" s="52">
        <f t="shared" si="258"/>
        <v>313.90800000000002</v>
      </c>
      <c r="H214" s="52">
        <f>H229+H244</f>
        <v>502.399</v>
      </c>
      <c r="I214" s="52">
        <f t="shared" si="258"/>
        <v>215.35599999999999</v>
      </c>
      <c r="J214" s="52">
        <f>J229+J244</f>
        <v>0</v>
      </c>
      <c r="K214" s="52">
        <f t="shared" si="258"/>
        <v>0</v>
      </c>
      <c r="L214" s="52">
        <f>SUM(F214:K214)</f>
        <v>1031.663</v>
      </c>
      <c r="M214" s="52">
        <f>L214/6</f>
        <v>171.94399999999999</v>
      </c>
      <c r="N214" s="52">
        <f t="shared" si="259"/>
        <v>0</v>
      </c>
      <c r="O214" s="52">
        <f t="shared" si="259"/>
        <v>0</v>
      </c>
      <c r="P214" s="52">
        <f t="shared" si="259"/>
        <v>0</v>
      </c>
      <c r="Q214" s="52">
        <f t="shared" si="259"/>
        <v>0</v>
      </c>
      <c r="R214" s="52">
        <f t="shared" si="259"/>
        <v>0</v>
      </c>
      <c r="S214" s="52">
        <f t="shared" si="259"/>
        <v>813.92100000000005</v>
      </c>
      <c r="T214" s="52">
        <f>SUM(N214:S214)</f>
        <v>813.92100000000005</v>
      </c>
      <c r="U214" s="52">
        <f>T214+L214</f>
        <v>1845.5840000000001</v>
      </c>
      <c r="V214" s="53">
        <f>V229+V244</f>
        <v>1845.5840000000001</v>
      </c>
      <c r="W214" s="53">
        <f>V214-U214</f>
        <v>0</v>
      </c>
    </row>
    <row r="215" spans="1:24" s="47" customFormat="1" ht="18" customHeight="1">
      <c r="A215" s="610"/>
      <c r="B215" s="576"/>
      <c r="C215" s="577"/>
      <c r="D215" s="178" t="str">
        <f>серпень!D215</f>
        <v>касові нат.п-ки 2025</v>
      </c>
      <c r="E215" s="11">
        <f>E230+E245</f>
        <v>0</v>
      </c>
      <c r="F215" s="11">
        <f t="shared" si="258"/>
        <v>0</v>
      </c>
      <c r="G215" s="11">
        <f t="shared" si="258"/>
        <v>96.1</v>
      </c>
      <c r="H215" s="11">
        <f t="shared" si="258"/>
        <v>125.4</v>
      </c>
      <c r="I215" s="11">
        <f t="shared" si="258"/>
        <v>62.3</v>
      </c>
      <c r="J215" s="11">
        <f>J230+J245</f>
        <v>0</v>
      </c>
      <c r="K215" s="11">
        <f t="shared" si="258"/>
        <v>0</v>
      </c>
      <c r="L215" s="44">
        <f>SUM(F215:K215)</f>
        <v>283.8</v>
      </c>
      <c r="M215" s="44">
        <f>L215/6</f>
        <v>47.3</v>
      </c>
      <c r="N215" s="11">
        <f t="shared" si="259"/>
        <v>0</v>
      </c>
      <c r="O215" s="11">
        <f t="shared" si="259"/>
        <v>0</v>
      </c>
      <c r="P215" s="11">
        <f t="shared" si="259"/>
        <v>0</v>
      </c>
      <c r="Q215" s="11">
        <f t="shared" si="259"/>
        <v>0</v>
      </c>
      <c r="R215" s="11">
        <f t="shared" si="259"/>
        <v>0</v>
      </c>
      <c r="S215" s="11">
        <f t="shared" si="259"/>
        <v>231.5</v>
      </c>
      <c r="T215" s="44">
        <f>SUM(N215:S215)</f>
        <v>231.5</v>
      </c>
      <c r="U215" s="44">
        <f>T215+L215</f>
        <v>515.29999999999995</v>
      </c>
      <c r="V215" s="38">
        <f>V230+V245</f>
        <v>564.79999999999995</v>
      </c>
      <c r="W215" s="38">
        <f>V215-U215</f>
        <v>49.5</v>
      </c>
      <c r="X215" s="47">
        <f>U210-U215</f>
        <v>0</v>
      </c>
    </row>
    <row r="216" spans="1:24" s="47" customFormat="1" ht="18" customHeight="1">
      <c r="A216" s="610"/>
      <c r="B216" s="576"/>
      <c r="C216" s="577"/>
      <c r="D216" s="187" t="str">
        <f>серпень!D216</f>
        <v>тариф, грн.</v>
      </c>
      <c r="E216" s="49" t="e">
        <f t="shared" ref="E216:S216" si="260">E217/E215*1000</f>
        <v>#DIV/0!</v>
      </c>
      <c r="F216" s="49" t="e">
        <f t="shared" si="260"/>
        <v>#DIV/0!</v>
      </c>
      <c r="G216" s="49">
        <f t="shared" si="260"/>
        <v>3266.4720000000002</v>
      </c>
      <c r="H216" s="49">
        <f t="shared" si="260"/>
        <v>3931.5149999999999</v>
      </c>
      <c r="I216" s="49">
        <f t="shared" si="260"/>
        <v>4049.6149999999998</v>
      </c>
      <c r="J216" s="49" t="e">
        <f t="shared" si="260"/>
        <v>#DIV/0!</v>
      </c>
      <c r="K216" s="49" t="e">
        <f t="shared" si="260"/>
        <v>#DIV/0!</v>
      </c>
      <c r="L216" s="49">
        <f t="shared" si="260"/>
        <v>3732.2449999999999</v>
      </c>
      <c r="M216" s="49">
        <f t="shared" si="260"/>
        <v>3732.241</v>
      </c>
      <c r="N216" s="49" t="e">
        <f t="shared" si="260"/>
        <v>#DIV/0!</v>
      </c>
      <c r="O216" s="49" t="e">
        <f t="shared" si="260"/>
        <v>#DIV/0!</v>
      </c>
      <c r="P216" s="49" t="e">
        <f t="shared" si="260"/>
        <v>#DIV/0!</v>
      </c>
      <c r="Q216" s="49" t="e">
        <f t="shared" si="260"/>
        <v>#DIV/0!</v>
      </c>
      <c r="R216" s="49" t="e">
        <f t="shared" si="260"/>
        <v>#DIV/0!</v>
      </c>
      <c r="S216" s="49">
        <f t="shared" si="260"/>
        <v>4086.0259999999998</v>
      </c>
      <c r="T216" s="49">
        <f>T217/T215*1000</f>
        <v>4086.0259999999998</v>
      </c>
      <c r="U216" s="49">
        <f>U217/U215*1000</f>
        <v>3891.1819999999998</v>
      </c>
      <c r="V216" s="49">
        <f>V217/V215*1000</f>
        <v>3267.6770000000001</v>
      </c>
      <c r="W216" s="14">
        <f>W217/W215*1000</f>
        <v>-3223.0709999999999</v>
      </c>
    </row>
    <row r="217" spans="1:24" s="63" customFormat="1" ht="18" customHeight="1">
      <c r="A217" s="610"/>
      <c r="B217" s="576"/>
      <c r="C217" s="577"/>
      <c r="D217" s="198" t="str">
        <f>серпень!D217</f>
        <v>касові видатки, тис.грн.</v>
      </c>
      <c r="E217" s="60">
        <f t="shared" ref="E217:K219" si="261">E232+E247</f>
        <v>0</v>
      </c>
      <c r="F217" s="61">
        <f t="shared" si="261"/>
        <v>0</v>
      </c>
      <c r="G217" s="61">
        <f t="shared" si="261"/>
        <v>313.90800000000002</v>
      </c>
      <c r="H217" s="61">
        <f t="shared" si="261"/>
        <v>493.012</v>
      </c>
      <c r="I217" s="61">
        <f t="shared" si="261"/>
        <v>252.291</v>
      </c>
      <c r="J217" s="61">
        <f t="shared" si="261"/>
        <v>0</v>
      </c>
      <c r="K217" s="61">
        <f t="shared" si="261"/>
        <v>0</v>
      </c>
      <c r="L217" s="61">
        <f>SUM(F217:K217)</f>
        <v>1059.211</v>
      </c>
      <c r="M217" s="61">
        <f>L217/6</f>
        <v>176.535</v>
      </c>
      <c r="N217" s="61">
        <f t="shared" ref="N217:S219" si="262">N232+N247</f>
        <v>0</v>
      </c>
      <c r="O217" s="61">
        <f t="shared" si="262"/>
        <v>0</v>
      </c>
      <c r="P217" s="61">
        <f t="shared" si="262"/>
        <v>0</v>
      </c>
      <c r="Q217" s="61">
        <f t="shared" si="262"/>
        <v>0</v>
      </c>
      <c r="R217" s="61">
        <f t="shared" si="262"/>
        <v>0</v>
      </c>
      <c r="S217" s="61">
        <f t="shared" si="262"/>
        <v>945.91499999999996</v>
      </c>
      <c r="T217" s="61">
        <f>SUM(N217:S217)</f>
        <v>945.91499999999996</v>
      </c>
      <c r="U217" s="61">
        <f>T217+L217</f>
        <v>2005.126</v>
      </c>
      <c r="V217" s="62">
        <f>V232+V247</f>
        <v>1845.5840000000001</v>
      </c>
      <c r="W217" s="62">
        <f>V217-U217</f>
        <v>-159.542</v>
      </c>
      <c r="X217" s="63">
        <f>U212-U217</f>
        <v>0</v>
      </c>
    </row>
    <row r="218" spans="1:24" s="63" customFormat="1" ht="18" customHeight="1">
      <c r="A218" s="610"/>
      <c r="B218" s="576"/>
      <c r="C218" s="577"/>
      <c r="D218" s="201" t="str">
        <f>серпень!D218</f>
        <v>дотація</v>
      </c>
      <c r="E218" s="60"/>
      <c r="F218" s="61">
        <f t="shared" si="261"/>
        <v>0</v>
      </c>
      <c r="G218" s="61">
        <f t="shared" si="261"/>
        <v>0</v>
      </c>
      <c r="H218" s="61">
        <f t="shared" si="261"/>
        <v>0</v>
      </c>
      <c r="I218" s="61">
        <f t="shared" si="261"/>
        <v>0</v>
      </c>
      <c r="J218" s="61">
        <f>J233+J248</f>
        <v>0</v>
      </c>
      <c r="K218" s="61">
        <f t="shared" si="261"/>
        <v>0</v>
      </c>
      <c r="L218" s="61">
        <f>SUM(F218:K218)</f>
        <v>0</v>
      </c>
      <c r="M218" s="61">
        <f>L218/6</f>
        <v>0</v>
      </c>
      <c r="N218" s="61">
        <f t="shared" si="262"/>
        <v>0</v>
      </c>
      <c r="O218" s="61">
        <f t="shared" si="262"/>
        <v>0</v>
      </c>
      <c r="P218" s="61">
        <f t="shared" si="262"/>
        <v>0</v>
      </c>
      <c r="Q218" s="61">
        <f t="shared" si="262"/>
        <v>0</v>
      </c>
      <c r="R218" s="61">
        <f t="shared" si="262"/>
        <v>0</v>
      </c>
      <c r="S218" s="61">
        <f t="shared" si="262"/>
        <v>0</v>
      </c>
      <c r="T218" s="61">
        <f>SUM(N218:S218)</f>
        <v>0</v>
      </c>
      <c r="U218" s="61">
        <f>T218+L218</f>
        <v>0</v>
      </c>
      <c r="V218" s="62">
        <f>V233+V248</f>
        <v>0</v>
      </c>
      <c r="W218" s="62">
        <f>V218-U218</f>
        <v>0</v>
      </c>
      <c r="X218" s="63">
        <f>U213-U218</f>
        <v>0</v>
      </c>
    </row>
    <row r="219" spans="1:24" s="63" customFormat="1" ht="18" customHeight="1">
      <c r="A219" s="610"/>
      <c r="B219" s="576"/>
      <c r="C219" s="577"/>
      <c r="D219" s="201" t="str">
        <f>серпень!D219</f>
        <v xml:space="preserve">місцевий </v>
      </c>
      <c r="E219" s="60"/>
      <c r="F219" s="61">
        <f t="shared" si="261"/>
        <v>0</v>
      </c>
      <c r="G219" s="61">
        <f t="shared" si="261"/>
        <v>313.90800000000002</v>
      </c>
      <c r="H219" s="61">
        <f t="shared" si="261"/>
        <v>493.012</v>
      </c>
      <c r="I219" s="61">
        <f t="shared" si="261"/>
        <v>252.291</v>
      </c>
      <c r="J219" s="61">
        <f>J234+J249</f>
        <v>0</v>
      </c>
      <c r="K219" s="61">
        <f t="shared" si="261"/>
        <v>0</v>
      </c>
      <c r="L219" s="61">
        <f>SUM(F219:K219)</f>
        <v>1059.211</v>
      </c>
      <c r="M219" s="61">
        <f>L219/6</f>
        <v>176.535</v>
      </c>
      <c r="N219" s="61">
        <f t="shared" si="262"/>
        <v>0</v>
      </c>
      <c r="O219" s="61">
        <f t="shared" si="262"/>
        <v>0</v>
      </c>
      <c r="P219" s="61">
        <f t="shared" si="262"/>
        <v>0</v>
      </c>
      <c r="Q219" s="61">
        <f t="shared" si="262"/>
        <v>0</v>
      </c>
      <c r="R219" s="61">
        <f t="shared" si="262"/>
        <v>0</v>
      </c>
      <c r="S219" s="61">
        <f t="shared" si="262"/>
        <v>945.91499999999996</v>
      </c>
      <c r="T219" s="61">
        <f>SUM(N219:S219)</f>
        <v>945.91499999999996</v>
      </c>
      <c r="U219" s="61">
        <f>T219+L219</f>
        <v>2005.126</v>
      </c>
      <c r="V219" s="62">
        <f>V234+V249</f>
        <v>1845.5840000000001</v>
      </c>
      <c r="W219" s="62">
        <f>V219-U219</f>
        <v>-159.542</v>
      </c>
      <c r="X219" s="63">
        <f>U214-U219</f>
        <v>-159.542</v>
      </c>
    </row>
    <row r="220" spans="1:24" s="43" customFormat="1" ht="18" customHeight="1">
      <c r="A220" s="610"/>
      <c r="B220" s="576"/>
      <c r="C220" s="577"/>
      <c r="D220" s="202" t="str">
        <f>серпень!D220</f>
        <v>план</v>
      </c>
      <c r="E220" s="42"/>
      <c r="F220" s="42">
        <f t="shared" ref="F220:K220" si="263">F214</f>
        <v>0</v>
      </c>
      <c r="G220" s="42">
        <f t="shared" si="263"/>
        <v>313.90800000000002</v>
      </c>
      <c r="H220" s="42">
        <f t="shared" si="263"/>
        <v>502.399</v>
      </c>
      <c r="I220" s="42">
        <f t="shared" si="263"/>
        <v>215.35599999999999</v>
      </c>
      <c r="J220" s="42">
        <f t="shared" si="263"/>
        <v>0</v>
      </c>
      <c r="K220" s="42">
        <f t="shared" si="263"/>
        <v>0</v>
      </c>
      <c r="L220" s="42">
        <f>SUM(F220:K220)</f>
        <v>1031.663</v>
      </c>
      <c r="M220" s="42">
        <f>L220/6</f>
        <v>171.94399999999999</v>
      </c>
      <c r="N220" s="42">
        <f t="shared" ref="N220:S220" si="264">N214+N213</f>
        <v>0</v>
      </c>
      <c r="O220" s="42">
        <f t="shared" si="264"/>
        <v>0</v>
      </c>
      <c r="P220" s="42">
        <f t="shared" si="264"/>
        <v>0</v>
      </c>
      <c r="Q220" s="42">
        <f t="shared" si="264"/>
        <v>0</v>
      </c>
      <c r="R220" s="42">
        <f t="shared" si="264"/>
        <v>0</v>
      </c>
      <c r="S220" s="42">
        <f t="shared" si="264"/>
        <v>813.92100000000005</v>
      </c>
      <c r="T220" s="42">
        <f>SUM(N220:S220)</f>
        <v>813.92100000000005</v>
      </c>
      <c r="U220" s="42">
        <f>T220+L220</f>
        <v>1845.5840000000001</v>
      </c>
      <c r="V220" s="64">
        <f>V235+V250</f>
        <v>1845.5840000000001</v>
      </c>
      <c r="W220" s="64">
        <f>V220-U220</f>
        <v>0</v>
      </c>
    </row>
    <row r="221" spans="1:24" s="43" customFormat="1" ht="18" customHeight="1">
      <c r="A221" s="610"/>
      <c r="B221" s="576"/>
      <c r="C221" s="577"/>
      <c r="D221" s="202" t="str">
        <f>серпень!D221</f>
        <v xml:space="preserve">відхилення </v>
      </c>
      <c r="E221" s="42"/>
      <c r="F221" s="42">
        <f t="shared" ref="F221:K221" si="265">F217-F220</f>
        <v>0</v>
      </c>
      <c r="G221" s="42">
        <f t="shared" si="265"/>
        <v>0</v>
      </c>
      <c r="H221" s="42">
        <f t="shared" si="265"/>
        <v>-9.3870000000000005</v>
      </c>
      <c r="I221" s="42">
        <f t="shared" si="265"/>
        <v>36.935000000000002</v>
      </c>
      <c r="J221" s="42">
        <f t="shared" si="265"/>
        <v>0</v>
      </c>
      <c r="K221" s="42">
        <f t="shared" si="265"/>
        <v>0</v>
      </c>
      <c r="L221" s="42"/>
      <c r="M221" s="42"/>
      <c r="N221" s="42">
        <f t="shared" ref="N221:S221" si="266">N217-N220</f>
        <v>0</v>
      </c>
      <c r="O221" s="42">
        <f t="shared" si="266"/>
        <v>0</v>
      </c>
      <c r="P221" s="42">
        <f t="shared" si="266"/>
        <v>0</v>
      </c>
      <c r="Q221" s="42">
        <f t="shared" si="266"/>
        <v>0</v>
      </c>
      <c r="R221" s="42">
        <f t="shared" si="266"/>
        <v>0</v>
      </c>
      <c r="S221" s="42">
        <f t="shared" si="266"/>
        <v>131.994</v>
      </c>
      <c r="T221" s="42"/>
      <c r="U221" s="42"/>
      <c r="V221" s="42"/>
      <c r="W221" s="42"/>
    </row>
    <row r="222" spans="1:24" s="43" customFormat="1" ht="18" customHeight="1">
      <c r="A222" s="610"/>
      <c r="B222" s="576"/>
      <c r="C222" s="577"/>
      <c r="D222" s="202" t="str">
        <f>серпень!D222</f>
        <v>відхилення з наростаючим</v>
      </c>
      <c r="E222" s="42"/>
      <c r="F222" s="42">
        <f>F221</f>
        <v>0</v>
      </c>
      <c r="G222" s="42">
        <f>G221+F222</f>
        <v>0</v>
      </c>
      <c r="H222" s="42">
        <f>H221+G222</f>
        <v>-9.3870000000000005</v>
      </c>
      <c r="I222" s="42">
        <f>I221+H222</f>
        <v>27.547999999999998</v>
      </c>
      <c r="J222" s="42">
        <f>J221+I222</f>
        <v>27.547999999999998</v>
      </c>
      <c r="K222" s="42">
        <f>K221+J222</f>
        <v>27.547999999999998</v>
      </c>
      <c r="L222" s="42"/>
      <c r="M222" s="42"/>
      <c r="N222" s="42">
        <f>N221+K222</f>
        <v>27.547999999999998</v>
      </c>
      <c r="O222" s="42">
        <f>O221+N222</f>
        <v>27.547999999999998</v>
      </c>
      <c r="P222" s="42">
        <f>P221+O222</f>
        <v>27.547999999999998</v>
      </c>
      <c r="Q222" s="42">
        <f>Q221+P222</f>
        <v>27.547999999999998</v>
      </c>
      <c r="R222" s="42">
        <f>R221+Q222</f>
        <v>27.547999999999998</v>
      </c>
      <c r="S222" s="42">
        <f>S221+R222</f>
        <v>159.542</v>
      </c>
      <c r="T222" s="42"/>
      <c r="U222" s="42"/>
      <c r="V222" s="42"/>
      <c r="W222" s="42"/>
    </row>
    <row r="223" spans="1:24" s="48" customFormat="1" ht="18" customHeight="1">
      <c r="A223" s="610"/>
      <c r="B223" s="581" t="s">
        <v>91</v>
      </c>
      <c r="C223" s="581"/>
      <c r="D223" s="178" t="str">
        <f>серпень!D223</f>
        <v>факт. нат.п-ки 2023</v>
      </c>
      <c r="E223" s="11"/>
      <c r="F223" s="82">
        <v>131.1</v>
      </c>
      <c r="G223" s="82">
        <v>89</v>
      </c>
      <c r="H223" s="82">
        <v>92.9</v>
      </c>
      <c r="I223" s="82">
        <v>0</v>
      </c>
      <c r="J223" s="82">
        <v>0</v>
      </c>
      <c r="K223" s="82">
        <v>0</v>
      </c>
      <c r="L223" s="125">
        <f>SUM(F223:K223)</f>
        <v>313</v>
      </c>
      <c r="M223" s="125">
        <f>L223/6</f>
        <v>52.167000000000002</v>
      </c>
      <c r="N223" s="537">
        <v>0</v>
      </c>
      <c r="O223" s="537">
        <v>0</v>
      </c>
      <c r="P223" s="537">
        <v>0</v>
      </c>
      <c r="Q223" s="537">
        <v>0</v>
      </c>
      <c r="R223" s="537">
        <v>103.6</v>
      </c>
      <c r="S223" s="537">
        <v>127.9</v>
      </c>
      <c r="T223" s="530">
        <f>SUM(N223:S223)</f>
        <v>231.5</v>
      </c>
      <c r="U223" s="536">
        <f>T223+L223</f>
        <v>544.5</v>
      </c>
      <c r="V223" s="67"/>
      <c r="W223" s="38"/>
      <c r="X223" s="47"/>
    </row>
    <row r="224" spans="1:24" s="48" customFormat="1" ht="18" customHeight="1">
      <c r="A224" s="610"/>
      <c r="B224" s="581"/>
      <c r="C224" s="581"/>
      <c r="D224" s="178" t="str">
        <f>серпень!D224</f>
        <v>факт. нат.п-ки 2024</v>
      </c>
      <c r="E224" s="11"/>
      <c r="F224" s="82">
        <v>115.6</v>
      </c>
      <c r="G224" s="82">
        <v>83.5</v>
      </c>
      <c r="H224" s="82">
        <v>74.2</v>
      </c>
      <c r="I224" s="82">
        <v>0</v>
      </c>
      <c r="J224" s="82">
        <v>0</v>
      </c>
      <c r="K224" s="82">
        <v>0</v>
      </c>
      <c r="L224" s="125">
        <f>SUM(F224:K224)</f>
        <v>273.3</v>
      </c>
      <c r="M224" s="125">
        <f>L224/6</f>
        <v>45.55</v>
      </c>
      <c r="N224" s="537">
        <v>0</v>
      </c>
      <c r="O224" s="537">
        <v>0</v>
      </c>
      <c r="P224" s="537">
        <v>0</v>
      </c>
      <c r="Q224" s="537">
        <v>0</v>
      </c>
      <c r="R224" s="537">
        <v>103.6</v>
      </c>
      <c r="S224" s="537">
        <v>127.9</v>
      </c>
      <c r="T224" s="530">
        <f>SUM(N224:S224)</f>
        <v>231.5</v>
      </c>
      <c r="U224" s="536">
        <f>T224+L224</f>
        <v>504.8</v>
      </c>
      <c r="V224" s="46">
        <v>483.1</v>
      </c>
      <c r="W224" s="38"/>
      <c r="X224" s="47"/>
    </row>
    <row r="225" spans="1:24" s="48" customFormat="1" ht="18" customHeight="1">
      <c r="A225" s="610"/>
      <c r="B225" s="581"/>
      <c r="C225" s="581"/>
      <c r="D225" s="178" t="str">
        <f>серпень!D225</f>
        <v>факт. нат.п-ки 2025</v>
      </c>
      <c r="E225" s="11"/>
      <c r="F225" s="82">
        <v>96.07</v>
      </c>
      <c r="G225" s="82">
        <v>125.364</v>
      </c>
      <c r="H225" s="82">
        <v>62.253999999999998</v>
      </c>
      <c r="I225" s="82">
        <v>0</v>
      </c>
      <c r="J225" s="82">
        <v>0</v>
      </c>
      <c r="K225" s="82">
        <v>0</v>
      </c>
      <c r="L225" s="125">
        <f>SUM(F225:K225)</f>
        <v>283.68799999999999</v>
      </c>
      <c r="M225" s="125">
        <f>L225/6</f>
        <v>47.280999999999999</v>
      </c>
      <c r="N225" s="537">
        <v>0</v>
      </c>
      <c r="O225" s="537">
        <v>0</v>
      </c>
      <c r="P225" s="537">
        <v>0</v>
      </c>
      <c r="Q225" s="537">
        <v>0</v>
      </c>
      <c r="R225" s="537">
        <v>103.6</v>
      </c>
      <c r="S225" s="537">
        <v>127.9</v>
      </c>
      <c r="T225" s="530">
        <f>SUM(N225:S225)</f>
        <v>231.5</v>
      </c>
      <c r="U225" s="536">
        <f>T225+L225</f>
        <v>515.18799999999999</v>
      </c>
      <c r="V225" s="349">
        <v>564.83199999999999</v>
      </c>
      <c r="W225" s="520">
        <f>V225-U225</f>
        <v>49.643999999999998</v>
      </c>
      <c r="X225" s="47"/>
    </row>
    <row r="226" spans="1:24" s="51" customFormat="1" ht="18" customHeight="1">
      <c r="A226" s="610"/>
      <c r="B226" s="581"/>
      <c r="C226" s="581"/>
      <c r="D226" s="187" t="str">
        <f>серпень!D226</f>
        <v>тариф, грн.</v>
      </c>
      <c r="E226" s="49" t="e">
        <f>E227/E225*1000</f>
        <v>#DIV/0!</v>
      </c>
      <c r="F226" s="49">
        <f t="shared" ref="F226:H226" si="267">F227/F225*1000</f>
        <v>3267.4920000000002</v>
      </c>
      <c r="G226" s="49">
        <f t="shared" si="267"/>
        <v>3932.6439999999998</v>
      </c>
      <c r="H226" s="49">
        <f t="shared" si="267"/>
        <v>4052.607</v>
      </c>
      <c r="I226" s="49" t="e">
        <f t="shared" ref="I226" si="268">I227/I225*1000</f>
        <v>#DIV/0!</v>
      </c>
      <c r="J226" s="49" t="e">
        <f t="shared" ref="J226" si="269">J227/J225*1000</f>
        <v>#DIV/0!</v>
      </c>
      <c r="K226" s="49" t="e">
        <f t="shared" ref="K226" si="270">K227/K225*1000</f>
        <v>#DIV/0!</v>
      </c>
      <c r="L226" s="49">
        <f>L227/L225*1000</f>
        <v>3733.7179999999998</v>
      </c>
      <c r="M226" s="49">
        <f>M227/M225*1000</f>
        <v>3733.741</v>
      </c>
      <c r="N226" s="49">
        <v>4086.02</v>
      </c>
      <c r="O226" s="49">
        <v>4086.02</v>
      </c>
      <c r="P226" s="49">
        <v>4086.02</v>
      </c>
      <c r="Q226" s="49">
        <v>4086.02</v>
      </c>
      <c r="R226" s="49">
        <v>4086.02</v>
      </c>
      <c r="S226" s="49">
        <v>4086.02</v>
      </c>
      <c r="T226" s="49">
        <f>T227/T225*1000</f>
        <v>4086.0259999999998</v>
      </c>
      <c r="U226" s="49">
        <f>U227/U225*1000</f>
        <v>3892.0279999999998</v>
      </c>
      <c r="V226" s="68">
        <f>V227/V225*1000</f>
        <v>3267.4920000000002</v>
      </c>
      <c r="W226" s="14">
        <f>W227/W225*1000</f>
        <v>-3213.7220000000002</v>
      </c>
      <c r="X226" s="59"/>
    </row>
    <row r="227" spans="1:24" s="55" customFormat="1" ht="18.2" customHeight="1">
      <c r="A227" s="610"/>
      <c r="B227" s="581"/>
      <c r="C227" s="581"/>
      <c r="D227" s="191" t="str">
        <f>серпень!D227</f>
        <v>сума, тис.грн.</v>
      </c>
      <c r="E227" s="52"/>
      <c r="F227" s="52">
        <v>313.90800000000002</v>
      </c>
      <c r="G227" s="52">
        <v>493.012</v>
      </c>
      <c r="H227" s="52">
        <v>252.291</v>
      </c>
      <c r="I227" s="52">
        <v>0</v>
      </c>
      <c r="J227" s="52">
        <v>0</v>
      </c>
      <c r="K227" s="52">
        <v>0</v>
      </c>
      <c r="L227" s="69">
        <f>SUM(F227:K227)</f>
        <v>1059.211</v>
      </c>
      <c r="M227" s="69">
        <f>L227/6</f>
        <v>176.535</v>
      </c>
      <c r="N227" s="52">
        <f>N225*N226/1000</f>
        <v>0</v>
      </c>
      <c r="O227" s="52">
        <f t="shared" ref="O227" si="271">O225*O226/1000</f>
        <v>0</v>
      </c>
      <c r="P227" s="52">
        <f t="shared" ref="P227" si="272">P225*P226/1000</f>
        <v>0</v>
      </c>
      <c r="Q227" s="52">
        <f t="shared" ref="Q227" si="273">Q225*Q226/1000</f>
        <v>0</v>
      </c>
      <c r="R227" s="52">
        <f t="shared" ref="R227" si="274">R225*R226/1000</f>
        <v>423.31200000000001</v>
      </c>
      <c r="S227" s="52">
        <f>S225*S226/1000+0.001</f>
        <v>522.60299999999995</v>
      </c>
      <c r="T227" s="69">
        <f>SUM(N227:S227)</f>
        <v>945.91499999999996</v>
      </c>
      <c r="U227" s="69">
        <f>T227+L227</f>
        <v>2005.126</v>
      </c>
      <c r="V227" s="70">
        <f>V228+V229</f>
        <v>1845.5840000000001</v>
      </c>
      <c r="W227" s="53">
        <f>V227-U227</f>
        <v>-159.542</v>
      </c>
      <c r="X227" s="54">
        <f>2726951.723/1000</f>
        <v>2726.9520000000002</v>
      </c>
    </row>
    <row r="228" spans="1:24" s="55" customFormat="1" ht="18" customHeight="1">
      <c r="A228" s="610"/>
      <c r="B228" s="581"/>
      <c r="C228" s="581"/>
      <c r="D228" s="174" t="str">
        <f>серпень!D228</f>
        <v>дотація</v>
      </c>
      <c r="E228" s="56"/>
      <c r="F228" s="52"/>
      <c r="G228" s="52"/>
      <c r="H228" s="52"/>
      <c r="I228" s="52"/>
      <c r="J228" s="52"/>
      <c r="K228" s="52"/>
      <c r="L228" s="69">
        <f>SUM(F228:K228)</f>
        <v>0</v>
      </c>
      <c r="M228" s="69">
        <f>L228/6</f>
        <v>0</v>
      </c>
      <c r="N228" s="52"/>
      <c r="O228" s="52"/>
      <c r="P228" s="52"/>
      <c r="Q228" s="52"/>
      <c r="R228" s="52"/>
      <c r="S228" s="52"/>
      <c r="T228" s="69">
        <f>SUM(N228:S228)</f>
        <v>0</v>
      </c>
      <c r="U228" s="69">
        <f>T228+L228</f>
        <v>0</v>
      </c>
      <c r="V228" s="70">
        <v>0</v>
      </c>
      <c r="W228" s="53">
        <f>V228-U228</f>
        <v>0</v>
      </c>
      <c r="X228" s="58"/>
    </row>
    <row r="229" spans="1:24" s="55" customFormat="1" ht="18" customHeight="1">
      <c r="A229" s="610"/>
      <c r="B229" s="581"/>
      <c r="C229" s="581"/>
      <c r="D229" s="174" t="str">
        <f>серпень!D229</f>
        <v>місцевий (план), тис.грн</v>
      </c>
      <c r="E229" s="56"/>
      <c r="F229" s="52">
        <v>0</v>
      </c>
      <c r="G229" s="52">
        <f>428.368-114.46</f>
        <v>313.90800000000002</v>
      </c>
      <c r="H229" s="52">
        <f>272.835+229.564</f>
        <v>502.399</v>
      </c>
      <c r="I229" s="52">
        <f>387.956-172.6</f>
        <v>215.35599999999999</v>
      </c>
      <c r="J229" s="52">
        <v>0</v>
      </c>
      <c r="K229" s="52">
        <v>0</v>
      </c>
      <c r="L229" s="69">
        <f>SUM(F229:K229)</f>
        <v>1031.663</v>
      </c>
      <c r="M229" s="69">
        <f>L229/6</f>
        <v>171.94399999999999</v>
      </c>
      <c r="N229" s="52">
        <v>0</v>
      </c>
      <c r="O229" s="52">
        <v>0</v>
      </c>
      <c r="P229" s="52">
        <v>0</v>
      </c>
      <c r="Q229" s="52">
        <v>0</v>
      </c>
      <c r="R229" s="52">
        <v>0</v>
      </c>
      <c r="S229" s="52">
        <f>756.425+114.46-229.564+172.6</f>
        <v>813.92100000000005</v>
      </c>
      <c r="T229" s="69">
        <f>SUM(N229:S229)</f>
        <v>813.92100000000005</v>
      </c>
      <c r="U229" s="69">
        <f>T229+L229</f>
        <v>1845.5840000000001</v>
      </c>
      <c r="V229" s="70">
        <v>1845.5840000000001</v>
      </c>
      <c r="W229" s="53">
        <f>V229-U229</f>
        <v>0</v>
      </c>
      <c r="X229" s="58"/>
    </row>
    <row r="230" spans="1:24" s="48" customFormat="1" ht="18" customHeight="1">
      <c r="A230" s="610"/>
      <c r="B230" s="581"/>
      <c r="C230" s="581"/>
      <c r="D230" s="178" t="str">
        <f>серпень!D230</f>
        <v>касові нат.п-ки 2025</v>
      </c>
      <c r="E230" s="11"/>
      <c r="F230" s="535">
        <v>0</v>
      </c>
      <c r="G230" s="540">
        <v>96.07</v>
      </c>
      <c r="H230" s="540">
        <v>125.364</v>
      </c>
      <c r="I230" s="540">
        <v>62.253999999999998</v>
      </c>
      <c r="J230" s="540">
        <v>0</v>
      </c>
      <c r="K230" s="540"/>
      <c r="L230" s="530">
        <f>SUM(F230:K230)</f>
        <v>283.68799999999999</v>
      </c>
      <c r="M230" s="530">
        <f>L230/6</f>
        <v>47.280999999999999</v>
      </c>
      <c r="N230" s="537"/>
      <c r="O230" s="537"/>
      <c r="P230" s="537"/>
      <c r="Q230" s="537"/>
      <c r="R230" s="537"/>
      <c r="S230" s="537">
        <f>S225+R225</f>
        <v>231.5</v>
      </c>
      <c r="T230" s="530">
        <f>SUM(N230:S230)</f>
        <v>231.5</v>
      </c>
      <c r="U230" s="530">
        <f>T230+L230</f>
        <v>515.18799999999999</v>
      </c>
      <c r="V230" s="537">
        <f>V225</f>
        <v>564.83199999999999</v>
      </c>
      <c r="W230" s="538">
        <f>V230-U230</f>
        <v>49.643999999999998</v>
      </c>
      <c r="X230" s="47">
        <f>U225-U230</f>
        <v>0</v>
      </c>
    </row>
    <row r="231" spans="1:24" s="51" customFormat="1" ht="18" customHeight="1">
      <c r="A231" s="610"/>
      <c r="B231" s="581"/>
      <c r="C231" s="581"/>
      <c r="D231" s="187" t="str">
        <f>серпень!D231</f>
        <v>тариф, грн.</v>
      </c>
      <c r="E231" s="49" t="e">
        <f t="shared" ref="E231:K231" si="275">E232/E230*1000</f>
        <v>#DIV/0!</v>
      </c>
      <c r="F231" s="49" t="e">
        <f t="shared" si="275"/>
        <v>#DIV/0!</v>
      </c>
      <c r="G231" s="49">
        <f t="shared" si="275"/>
        <v>3267.4920000000002</v>
      </c>
      <c r="H231" s="49">
        <f t="shared" si="275"/>
        <v>3932.6439999999998</v>
      </c>
      <c r="I231" s="49">
        <f t="shared" si="275"/>
        <v>4052.607</v>
      </c>
      <c r="J231" s="49" t="e">
        <f t="shared" si="275"/>
        <v>#DIV/0!</v>
      </c>
      <c r="K231" s="49" t="e">
        <f t="shared" si="275"/>
        <v>#DIV/0!</v>
      </c>
      <c r="L231" s="49">
        <f>L232/L230*1000</f>
        <v>3733.7179999999998</v>
      </c>
      <c r="M231" s="49">
        <f>M232/M230*1000</f>
        <v>3733.741</v>
      </c>
      <c r="N231" s="49">
        <v>4086.02</v>
      </c>
      <c r="O231" s="49">
        <v>4086.02</v>
      </c>
      <c r="P231" s="49">
        <v>4086.02</v>
      </c>
      <c r="Q231" s="49">
        <v>4086.02</v>
      </c>
      <c r="R231" s="49">
        <v>4086.02</v>
      </c>
      <c r="S231" s="49">
        <v>4086.02</v>
      </c>
      <c r="T231" s="49">
        <f>T232/T230*1000</f>
        <v>4086.0259999999998</v>
      </c>
      <c r="U231" s="49">
        <f>U232/U230*1000</f>
        <v>3892.0279999999998</v>
      </c>
      <c r="V231" s="68">
        <f>V232/V230*1000</f>
        <v>3267.4920000000002</v>
      </c>
      <c r="W231" s="14">
        <f>W232/W230*1000</f>
        <v>-3213.7220000000002</v>
      </c>
      <c r="X231" s="59"/>
    </row>
    <row r="232" spans="1:24" s="63" customFormat="1" ht="18" customHeight="1">
      <c r="A232" s="610"/>
      <c r="B232" s="581"/>
      <c r="C232" s="581"/>
      <c r="D232" s="198" t="str">
        <f>серпень!D232</f>
        <v>касові видатки, тис.грн.</v>
      </c>
      <c r="E232" s="71"/>
      <c r="F232" s="61">
        <v>0</v>
      </c>
      <c r="G232" s="61">
        <v>313.90800000000002</v>
      </c>
      <c r="H232" s="61">
        <v>493.012</v>
      </c>
      <c r="I232" s="61">
        <v>252.291</v>
      </c>
      <c r="J232" s="61">
        <v>0</v>
      </c>
      <c r="K232" s="61">
        <v>0</v>
      </c>
      <c r="L232" s="61">
        <f>SUM(F232:K232)</f>
        <v>1059.211</v>
      </c>
      <c r="M232" s="61">
        <f>L232/6</f>
        <v>176.535</v>
      </c>
      <c r="N232" s="61">
        <f>N230*N231/1000</f>
        <v>0</v>
      </c>
      <c r="O232" s="61">
        <f t="shared" ref="O232" si="276">O230*O231/1000</f>
        <v>0</v>
      </c>
      <c r="P232" s="61">
        <f t="shared" ref="P232" si="277">P230*P231/1000</f>
        <v>0</v>
      </c>
      <c r="Q232" s="61">
        <f t="shared" ref="Q232" si="278">Q230*Q231/1000</f>
        <v>0</v>
      </c>
      <c r="R232" s="61">
        <f t="shared" ref="R232" si="279">R230*R231/1000</f>
        <v>0</v>
      </c>
      <c r="S232" s="61">
        <f>S230*S231/1000+0.001</f>
        <v>945.91499999999996</v>
      </c>
      <c r="T232" s="61">
        <f>SUM(N232:S232)</f>
        <v>945.91499999999996</v>
      </c>
      <c r="U232" s="61">
        <f>T232+L232</f>
        <v>2005.126</v>
      </c>
      <c r="V232" s="61">
        <f>V227</f>
        <v>1845.5840000000001</v>
      </c>
      <c r="W232" s="72">
        <f>V232-U232</f>
        <v>-159.542</v>
      </c>
      <c r="X232" s="63">
        <f>U227-U232</f>
        <v>0</v>
      </c>
    </row>
    <row r="233" spans="1:24" s="63" customFormat="1" ht="18" customHeight="1">
      <c r="A233" s="610"/>
      <c r="B233" s="581"/>
      <c r="C233" s="581"/>
      <c r="D233" s="201" t="str">
        <f>серпень!D233</f>
        <v>дотація</v>
      </c>
      <c r="E233" s="71"/>
      <c r="F233" s="61"/>
      <c r="G233" s="61"/>
      <c r="H233" s="61"/>
      <c r="I233" s="61"/>
      <c r="J233" s="61"/>
      <c r="K233" s="61"/>
      <c r="L233" s="61">
        <f>SUM(F233:K233)</f>
        <v>0</v>
      </c>
      <c r="M233" s="61">
        <f>L233/6</f>
        <v>0</v>
      </c>
      <c r="N233" s="61"/>
      <c r="O233" s="61"/>
      <c r="P233" s="61"/>
      <c r="Q233" s="61"/>
      <c r="R233" s="61"/>
      <c r="S233" s="61"/>
      <c r="T233" s="61">
        <f>SUM(N233:S233)</f>
        <v>0</v>
      </c>
      <c r="U233" s="61">
        <f>T233+L233</f>
        <v>0</v>
      </c>
      <c r="V233" s="61">
        <f>V228</f>
        <v>0</v>
      </c>
      <c r="W233" s="72">
        <f>V233-U233</f>
        <v>0</v>
      </c>
      <c r="X233" s="63">
        <f>U228-U233</f>
        <v>0</v>
      </c>
    </row>
    <row r="234" spans="1:24" s="63" customFormat="1" ht="18" customHeight="1">
      <c r="A234" s="610"/>
      <c r="B234" s="581"/>
      <c r="C234" s="581"/>
      <c r="D234" s="201" t="str">
        <f>серпень!D234</f>
        <v xml:space="preserve">місцевий </v>
      </c>
      <c r="E234" s="71"/>
      <c r="F234" s="61">
        <f t="shared" ref="F234:K234" si="280">F232-F233</f>
        <v>0</v>
      </c>
      <c r="G234" s="61">
        <f t="shared" si="280"/>
        <v>313.90800000000002</v>
      </c>
      <c r="H234" s="61">
        <f t="shared" si="280"/>
        <v>493.012</v>
      </c>
      <c r="I234" s="61">
        <f t="shared" si="280"/>
        <v>252.291</v>
      </c>
      <c r="J234" s="61">
        <f t="shared" si="280"/>
        <v>0</v>
      </c>
      <c r="K234" s="61">
        <f t="shared" si="280"/>
        <v>0</v>
      </c>
      <c r="L234" s="61">
        <f>SUM(F234:K234)</f>
        <v>1059.211</v>
      </c>
      <c r="M234" s="61">
        <f>L234/6</f>
        <v>176.535</v>
      </c>
      <c r="N234" s="61">
        <f t="shared" ref="N234:S234" si="281">N232-N233</f>
        <v>0</v>
      </c>
      <c r="O234" s="61">
        <f t="shared" si="281"/>
        <v>0</v>
      </c>
      <c r="P234" s="61">
        <f t="shared" si="281"/>
        <v>0</v>
      </c>
      <c r="Q234" s="61">
        <f t="shared" si="281"/>
        <v>0</v>
      </c>
      <c r="R234" s="61">
        <f t="shared" si="281"/>
        <v>0</v>
      </c>
      <c r="S234" s="61">
        <f t="shared" si="281"/>
        <v>945.91499999999996</v>
      </c>
      <c r="T234" s="61">
        <f>SUM(N234:S234)</f>
        <v>945.91499999999996</v>
      </c>
      <c r="U234" s="61">
        <f>T234+L234</f>
        <v>2005.126</v>
      </c>
      <c r="V234" s="61">
        <f>V229</f>
        <v>1845.5840000000001</v>
      </c>
      <c r="W234" s="72">
        <f>V234-U234</f>
        <v>-159.542</v>
      </c>
      <c r="X234" s="63">
        <f>U229-U234</f>
        <v>-159.542</v>
      </c>
    </row>
    <row r="235" spans="1:24" s="43" customFormat="1" ht="18" customHeight="1">
      <c r="A235" s="610"/>
      <c r="B235" s="581"/>
      <c r="C235" s="581"/>
      <c r="D235" s="202" t="str">
        <f>серпень!D235</f>
        <v>план</v>
      </c>
      <c r="E235" s="42"/>
      <c r="F235" s="42">
        <f t="shared" ref="F235:K235" si="282">F229</f>
        <v>0</v>
      </c>
      <c r="G235" s="42">
        <f t="shared" si="282"/>
        <v>313.90800000000002</v>
      </c>
      <c r="H235" s="42">
        <f t="shared" si="282"/>
        <v>502.399</v>
      </c>
      <c r="I235" s="42">
        <f t="shared" si="282"/>
        <v>215.35599999999999</v>
      </c>
      <c r="J235" s="42">
        <f t="shared" si="282"/>
        <v>0</v>
      </c>
      <c r="K235" s="42">
        <f t="shared" si="282"/>
        <v>0</v>
      </c>
      <c r="L235" s="42">
        <f>SUM(F235:K235)</f>
        <v>1031.663</v>
      </c>
      <c r="M235" s="42">
        <f>L235/6</f>
        <v>171.94399999999999</v>
      </c>
      <c r="N235" s="42">
        <f t="shared" ref="N235:S235" si="283">N229+N228</f>
        <v>0</v>
      </c>
      <c r="O235" s="42">
        <f t="shared" si="283"/>
        <v>0</v>
      </c>
      <c r="P235" s="42">
        <f t="shared" si="283"/>
        <v>0</v>
      </c>
      <c r="Q235" s="42">
        <f t="shared" si="283"/>
        <v>0</v>
      </c>
      <c r="R235" s="42">
        <f t="shared" si="283"/>
        <v>0</v>
      </c>
      <c r="S235" s="42">
        <f t="shared" si="283"/>
        <v>813.92100000000005</v>
      </c>
      <c r="T235" s="42">
        <f>SUM(N235:S235)</f>
        <v>813.92100000000005</v>
      </c>
      <c r="U235" s="42">
        <f>T235+L235</f>
        <v>1845.5840000000001</v>
      </c>
      <c r="V235" s="42">
        <f>V232</f>
        <v>1845.5840000000001</v>
      </c>
      <c r="W235" s="42">
        <f>V235-U235</f>
        <v>0</v>
      </c>
    </row>
    <row r="236" spans="1:24" s="43" customFormat="1" ht="18" customHeight="1">
      <c r="A236" s="610"/>
      <c r="B236" s="581"/>
      <c r="C236" s="581"/>
      <c r="D236" s="202" t="str">
        <f>серпень!D236</f>
        <v xml:space="preserve">відхилення </v>
      </c>
      <c r="E236" s="42"/>
      <c r="F236" s="42">
        <f t="shared" ref="F236:K236" si="284">F232-F235</f>
        <v>0</v>
      </c>
      <c r="G236" s="42">
        <f t="shared" si="284"/>
        <v>0</v>
      </c>
      <c r="H236" s="42">
        <f t="shared" si="284"/>
        <v>-9.3870000000000005</v>
      </c>
      <c r="I236" s="42">
        <f t="shared" si="284"/>
        <v>36.935000000000002</v>
      </c>
      <c r="J236" s="42">
        <f t="shared" si="284"/>
        <v>0</v>
      </c>
      <c r="K236" s="42">
        <f t="shared" si="284"/>
        <v>0</v>
      </c>
      <c r="L236" s="42"/>
      <c r="M236" s="42"/>
      <c r="N236" s="42">
        <f t="shared" ref="N236:S236" si="285">N232-N235</f>
        <v>0</v>
      </c>
      <c r="O236" s="42">
        <f t="shared" si="285"/>
        <v>0</v>
      </c>
      <c r="P236" s="42">
        <f t="shared" si="285"/>
        <v>0</v>
      </c>
      <c r="Q236" s="42">
        <f t="shared" si="285"/>
        <v>0</v>
      </c>
      <c r="R236" s="42">
        <f t="shared" si="285"/>
        <v>0</v>
      </c>
      <c r="S236" s="42">
        <f t="shared" si="285"/>
        <v>131.994</v>
      </c>
      <c r="T236" s="42"/>
      <c r="U236" s="42"/>
      <c r="V236" s="42"/>
      <c r="W236" s="42"/>
    </row>
    <row r="237" spans="1:24" s="43" customFormat="1" ht="18" customHeight="1">
      <c r="A237" s="610"/>
      <c r="B237" s="581"/>
      <c r="C237" s="581"/>
      <c r="D237" s="202" t="str">
        <f>серпень!D237</f>
        <v>відхилення з наростаючим</v>
      </c>
      <c r="E237" s="42"/>
      <c r="F237" s="42">
        <f>F236</f>
        <v>0</v>
      </c>
      <c r="G237" s="42">
        <f>G236+F237</f>
        <v>0</v>
      </c>
      <c r="H237" s="42">
        <f>H236+G237</f>
        <v>-9.3870000000000005</v>
      </c>
      <c r="I237" s="42">
        <f>I236+H237</f>
        <v>27.547999999999998</v>
      </c>
      <c r="J237" s="42">
        <f>J236+I237</f>
        <v>27.547999999999998</v>
      </c>
      <c r="K237" s="42">
        <f>K236+J237</f>
        <v>27.547999999999998</v>
      </c>
      <c r="L237" s="42"/>
      <c r="M237" s="42"/>
      <c r="N237" s="42">
        <f>N236+K237</f>
        <v>27.547999999999998</v>
      </c>
      <c r="O237" s="42">
        <f>O236+N237</f>
        <v>27.547999999999998</v>
      </c>
      <c r="P237" s="42">
        <f>P236+O237</f>
        <v>27.547999999999998</v>
      </c>
      <c r="Q237" s="42">
        <f>Q236+P237</f>
        <v>27.547999999999998</v>
      </c>
      <c r="R237" s="42">
        <f>R236+Q237</f>
        <v>27.547999999999998</v>
      </c>
      <c r="S237" s="42">
        <f>S236+R237</f>
        <v>159.542</v>
      </c>
      <c r="T237" s="42"/>
      <c r="U237" s="42"/>
      <c r="V237" s="42"/>
      <c r="W237" s="42"/>
    </row>
    <row r="238" spans="1:24" s="48" customFormat="1" ht="18" hidden="1" customHeight="1">
      <c r="A238" s="610"/>
      <c r="B238" s="576" t="s">
        <v>56</v>
      </c>
      <c r="C238" s="577"/>
      <c r="D238" s="178" t="str">
        <f>серпень!D238</f>
        <v>факт. нат.п-ки 2023</v>
      </c>
      <c r="E238" s="11"/>
      <c r="F238" s="12">
        <v>60.9</v>
      </c>
      <c r="G238" s="12">
        <v>40.4</v>
      </c>
      <c r="H238" s="12">
        <v>44.8</v>
      </c>
      <c r="I238" s="12">
        <v>12.1</v>
      </c>
      <c r="J238" s="12">
        <v>0</v>
      </c>
      <c r="K238" s="12">
        <v>0</v>
      </c>
      <c r="L238" s="65">
        <f>SUM(F238:K238)</f>
        <v>158.19999999999999</v>
      </c>
      <c r="M238" s="65">
        <f>L238/6</f>
        <v>26.4</v>
      </c>
      <c r="N238" s="12"/>
      <c r="O238" s="12"/>
      <c r="P238" s="12"/>
      <c r="Q238" s="12"/>
      <c r="R238" s="12"/>
      <c r="S238" s="12"/>
      <c r="T238" s="65">
        <f>SUM(N238:S238)</f>
        <v>0</v>
      </c>
      <c r="U238" s="66">
        <f>T238+L238</f>
        <v>158.19999999999999</v>
      </c>
      <c r="V238" s="46"/>
      <c r="W238" s="38"/>
      <c r="X238" s="47"/>
    </row>
    <row r="239" spans="1:24" s="48" customFormat="1" ht="18" hidden="1" customHeight="1">
      <c r="A239" s="610"/>
      <c r="B239" s="576"/>
      <c r="C239" s="577"/>
      <c r="D239" s="178" t="str">
        <f>серпень!D239</f>
        <v>факт. нат.п-ки 2024</v>
      </c>
      <c r="E239" s="11"/>
      <c r="F239" s="12"/>
      <c r="G239" s="12"/>
      <c r="H239" s="12"/>
      <c r="I239" s="12"/>
      <c r="J239" s="12"/>
      <c r="K239" s="12"/>
      <c r="L239" s="65">
        <f>SUM(F239:K239)</f>
        <v>0</v>
      </c>
      <c r="M239" s="65">
        <f>L239/6</f>
        <v>0</v>
      </c>
      <c r="N239" s="12"/>
      <c r="O239" s="12"/>
      <c r="P239" s="12"/>
      <c r="Q239" s="12"/>
      <c r="R239" s="12"/>
      <c r="S239" s="11"/>
      <c r="T239" s="65">
        <f>SUM(N239:S239)</f>
        <v>0</v>
      </c>
      <c r="U239" s="66">
        <f>T239+L239</f>
        <v>0</v>
      </c>
      <c r="V239" s="67"/>
      <c r="W239" s="38"/>
      <c r="X239" s="47"/>
    </row>
    <row r="240" spans="1:24" s="48" customFormat="1" ht="18" hidden="1" customHeight="1">
      <c r="A240" s="610"/>
      <c r="B240" s="576"/>
      <c r="C240" s="577"/>
      <c r="D240" s="178" t="str">
        <f>серпень!D240</f>
        <v>факт. нат.п-ки 2025</v>
      </c>
      <c r="E240" s="11"/>
      <c r="F240" s="12"/>
      <c r="G240" s="12"/>
      <c r="H240" s="12"/>
      <c r="I240" s="12"/>
      <c r="J240" s="12"/>
      <c r="K240" s="12"/>
      <c r="L240" s="65">
        <f>SUM(F240:K240)</f>
        <v>0</v>
      </c>
      <c r="M240" s="65">
        <f>L240/6</f>
        <v>0</v>
      </c>
      <c r="N240" s="12"/>
      <c r="O240" s="12"/>
      <c r="P240" s="12"/>
      <c r="Q240" s="12"/>
      <c r="R240" s="12"/>
      <c r="S240" s="11"/>
      <c r="T240" s="65">
        <f>SUM(N240:S240)</f>
        <v>0</v>
      </c>
      <c r="U240" s="66">
        <f>T240+L240</f>
        <v>0</v>
      </c>
      <c r="V240" s="11"/>
      <c r="W240" s="38">
        <f>V240-U240</f>
        <v>0</v>
      </c>
      <c r="X240" s="47"/>
    </row>
    <row r="241" spans="1:24" s="51" customFormat="1" ht="18" hidden="1" customHeight="1">
      <c r="A241" s="610"/>
      <c r="B241" s="576"/>
      <c r="C241" s="577"/>
      <c r="D241" s="187" t="str">
        <f>серпень!D241</f>
        <v>тариф, грн.</v>
      </c>
      <c r="E241" s="49" t="e">
        <f>E242/E240*1000</f>
        <v>#DIV/0!</v>
      </c>
      <c r="F241" s="49">
        <v>1655.08</v>
      </c>
      <c r="G241" s="49">
        <v>1655.08</v>
      </c>
      <c r="H241" s="49">
        <v>1655.08</v>
      </c>
      <c r="I241" s="49">
        <v>1655.08</v>
      </c>
      <c r="J241" s="49">
        <v>1655.08</v>
      </c>
      <c r="K241" s="49">
        <v>1655.08</v>
      </c>
      <c r="L241" s="49" t="e">
        <f>L242/L240*1000</f>
        <v>#DIV/0!</v>
      </c>
      <c r="M241" s="49" t="e">
        <f>M242/M240*1000</f>
        <v>#DIV/0!</v>
      </c>
      <c r="N241" s="49">
        <v>1655.08</v>
      </c>
      <c r="O241" s="49">
        <v>1655.08</v>
      </c>
      <c r="P241" s="49">
        <v>1655.08</v>
      </c>
      <c r="Q241" s="49">
        <v>1655.08</v>
      </c>
      <c r="R241" s="49">
        <v>1655.08</v>
      </c>
      <c r="S241" s="49">
        <v>1655.08</v>
      </c>
      <c r="T241" s="49" t="e">
        <f>T242/T240*1000</f>
        <v>#DIV/0!</v>
      </c>
      <c r="U241" s="49" t="e">
        <f>U242/U240*1000</f>
        <v>#DIV/0!</v>
      </c>
      <c r="V241" s="68" t="e">
        <f>V242/V240*1000</f>
        <v>#DIV/0!</v>
      </c>
      <c r="W241" s="14" t="e">
        <f>W242/W240*1000</f>
        <v>#DIV/0!</v>
      </c>
      <c r="X241" s="59"/>
    </row>
    <row r="242" spans="1:24" s="55" customFormat="1" ht="18" hidden="1" customHeight="1">
      <c r="A242" s="610"/>
      <c r="B242" s="576"/>
      <c r="C242" s="577"/>
      <c r="D242" s="191" t="str">
        <f>серпень!D242</f>
        <v>сума, тис.грн.</v>
      </c>
      <c r="E242" s="52"/>
      <c r="F242" s="52">
        <v>0</v>
      </c>
      <c r="G242" s="52">
        <v>0</v>
      </c>
      <c r="H242" s="52">
        <v>0</v>
      </c>
      <c r="I242" s="52">
        <v>0</v>
      </c>
      <c r="J242" s="52">
        <v>0</v>
      </c>
      <c r="K242" s="52">
        <v>0</v>
      </c>
      <c r="L242" s="69">
        <f>SUM(F242:K242)</f>
        <v>0</v>
      </c>
      <c r="M242" s="69">
        <f>L242/6</f>
        <v>0</v>
      </c>
      <c r="N242" s="52">
        <v>0</v>
      </c>
      <c r="O242" s="52">
        <f t="shared" ref="O242:Q242" si="286">O240*O241/1000</f>
        <v>0</v>
      </c>
      <c r="P242" s="52">
        <f t="shared" si="286"/>
        <v>0</v>
      </c>
      <c r="Q242" s="52">
        <f t="shared" si="286"/>
        <v>0</v>
      </c>
      <c r="R242" s="52">
        <f t="shared" ref="R242:S242" si="287">R240*R241/1000</f>
        <v>0</v>
      </c>
      <c r="S242" s="52">
        <f t="shared" si="287"/>
        <v>0</v>
      </c>
      <c r="T242" s="69">
        <f>SUM(N242:S242)</f>
        <v>0</v>
      </c>
      <c r="U242" s="69">
        <f>T242+L242</f>
        <v>0</v>
      </c>
      <c r="V242" s="70">
        <f>V243+V244</f>
        <v>0</v>
      </c>
      <c r="W242" s="53">
        <f>V242-U242</f>
        <v>0</v>
      </c>
      <c r="X242" s="54">
        <f>2726951.723/1000</f>
        <v>2726.9520000000002</v>
      </c>
    </row>
    <row r="243" spans="1:24" s="55" customFormat="1" ht="18" hidden="1" customHeight="1">
      <c r="A243" s="610"/>
      <c r="B243" s="576"/>
      <c r="C243" s="577"/>
      <c r="D243" s="174" t="str">
        <f>серпень!D243</f>
        <v>дотація</v>
      </c>
      <c r="E243" s="56"/>
      <c r="F243" s="52"/>
      <c r="G243" s="52"/>
      <c r="H243" s="52"/>
      <c r="I243" s="52"/>
      <c r="J243" s="52"/>
      <c r="K243" s="52"/>
      <c r="L243" s="69">
        <f>SUM(F243:K243)</f>
        <v>0</v>
      </c>
      <c r="M243" s="69">
        <f>L243/6</f>
        <v>0</v>
      </c>
      <c r="N243" s="52"/>
      <c r="O243" s="52"/>
      <c r="P243" s="52"/>
      <c r="Q243" s="52"/>
      <c r="R243" s="52"/>
      <c r="S243" s="52"/>
      <c r="T243" s="69">
        <f>SUM(N243:S243)</f>
        <v>0</v>
      </c>
      <c r="U243" s="69">
        <f>T243+L243</f>
        <v>0</v>
      </c>
      <c r="V243" s="70">
        <v>0</v>
      </c>
      <c r="W243" s="53">
        <f>V243-U243</f>
        <v>0</v>
      </c>
      <c r="X243" s="58"/>
    </row>
    <row r="244" spans="1:24" s="55" customFormat="1" ht="18" hidden="1" customHeight="1">
      <c r="A244" s="610"/>
      <c r="B244" s="576"/>
      <c r="C244" s="577"/>
      <c r="D244" s="174" t="str">
        <f>серпень!D244</f>
        <v>місцевий (план), тис.грн</v>
      </c>
      <c r="E244" s="56"/>
      <c r="F244" s="52"/>
      <c r="G244" s="52"/>
      <c r="H244" s="52"/>
      <c r="I244" s="52"/>
      <c r="J244" s="52"/>
      <c r="K244" s="52"/>
      <c r="L244" s="69">
        <f>SUM(F244:K244)</f>
        <v>0</v>
      </c>
      <c r="M244" s="69">
        <f>L244/6</f>
        <v>0</v>
      </c>
      <c r="N244" s="52"/>
      <c r="O244" s="52"/>
      <c r="P244" s="52"/>
      <c r="Q244" s="52"/>
      <c r="R244" s="52"/>
      <c r="S244" s="52"/>
      <c r="T244" s="69">
        <f>SUM(N244:S244)</f>
        <v>0</v>
      </c>
      <c r="U244" s="69">
        <f>T244+L244</f>
        <v>0</v>
      </c>
      <c r="V244" s="70"/>
      <c r="W244" s="53">
        <f>V244-U244</f>
        <v>0</v>
      </c>
      <c r="X244" s="58"/>
    </row>
    <row r="245" spans="1:24" s="48" customFormat="1" ht="18" hidden="1" customHeight="1">
      <c r="A245" s="610"/>
      <c r="B245" s="576"/>
      <c r="C245" s="577"/>
      <c r="D245" s="178" t="str">
        <f>серпень!D245</f>
        <v>касові нат.п-ки 2025</v>
      </c>
      <c r="E245" s="11"/>
      <c r="F245" s="11"/>
      <c r="G245" s="12"/>
      <c r="H245" s="12"/>
      <c r="I245" s="12"/>
      <c r="J245" s="12"/>
      <c r="K245" s="11"/>
      <c r="L245" s="65">
        <f>SUM(F245:K245)</f>
        <v>0</v>
      </c>
      <c r="M245" s="65">
        <f>L245/6</f>
        <v>0</v>
      </c>
      <c r="N245" s="11"/>
      <c r="O245" s="11"/>
      <c r="P245" s="11"/>
      <c r="Q245" s="11"/>
      <c r="R245" s="11"/>
      <c r="S245" s="11">
        <f>S240+R240</f>
        <v>0</v>
      </c>
      <c r="T245" s="65">
        <f>SUM(N245:S245)</f>
        <v>0</v>
      </c>
      <c r="U245" s="65">
        <f>T245+L245</f>
        <v>0</v>
      </c>
      <c r="V245" s="11">
        <f>V240</f>
        <v>0</v>
      </c>
      <c r="W245" s="38">
        <f>V245-U245</f>
        <v>0</v>
      </c>
      <c r="X245" s="47">
        <f>U240-U245</f>
        <v>0</v>
      </c>
    </row>
    <row r="246" spans="1:24" s="51" customFormat="1" ht="18" hidden="1" customHeight="1">
      <c r="A246" s="610"/>
      <c r="B246" s="576"/>
      <c r="C246" s="577"/>
      <c r="D246" s="187" t="str">
        <f>серпень!D246</f>
        <v>тариф, грн.</v>
      </c>
      <c r="E246" s="49" t="e">
        <f>E247/E245*1000</f>
        <v>#DIV/0!</v>
      </c>
      <c r="F246" s="49">
        <v>1655.08</v>
      </c>
      <c r="G246" s="49">
        <v>1655.08</v>
      </c>
      <c r="H246" s="49">
        <v>1655.08</v>
      </c>
      <c r="I246" s="49">
        <v>1655.08</v>
      </c>
      <c r="J246" s="49">
        <v>1655.08</v>
      </c>
      <c r="K246" s="49">
        <v>1655.08</v>
      </c>
      <c r="L246" s="49" t="e">
        <f>L247/L245*1000</f>
        <v>#DIV/0!</v>
      </c>
      <c r="M246" s="49" t="e">
        <f>M247/M245*1000</f>
        <v>#DIV/0!</v>
      </c>
      <c r="N246" s="49">
        <v>1655.08</v>
      </c>
      <c r="O246" s="49">
        <v>1655.08</v>
      </c>
      <c r="P246" s="49">
        <v>1655.08</v>
      </c>
      <c r="Q246" s="49">
        <v>1655.08</v>
      </c>
      <c r="R246" s="49">
        <v>1655.08</v>
      </c>
      <c r="S246" s="49">
        <v>1655.08</v>
      </c>
      <c r="T246" s="49" t="e">
        <f>T247/T245*1000</f>
        <v>#DIV/0!</v>
      </c>
      <c r="U246" s="49" t="e">
        <f>U247/U245*1000</f>
        <v>#DIV/0!</v>
      </c>
      <c r="V246" s="68" t="e">
        <f>V247/V245*1000</f>
        <v>#DIV/0!</v>
      </c>
      <c r="W246" s="14" t="e">
        <f>W247/W245*1000</f>
        <v>#DIV/0!</v>
      </c>
      <c r="X246" s="59"/>
    </row>
    <row r="247" spans="1:24" s="63" customFormat="1" ht="18" hidden="1" customHeight="1">
      <c r="A247" s="610"/>
      <c r="B247" s="576"/>
      <c r="C247" s="577"/>
      <c r="D247" s="198" t="str">
        <f>серпень!D247</f>
        <v>касові видатки, тис.грн.</v>
      </c>
      <c r="E247" s="71"/>
      <c r="F247" s="61">
        <v>0</v>
      </c>
      <c r="G247" s="61">
        <v>0</v>
      </c>
      <c r="H247" s="61">
        <v>0</v>
      </c>
      <c r="I247" s="61">
        <v>0</v>
      </c>
      <c r="J247" s="61">
        <v>0</v>
      </c>
      <c r="K247" s="61">
        <v>0</v>
      </c>
      <c r="L247" s="61">
        <f>SUM(F247:K247)</f>
        <v>0</v>
      </c>
      <c r="M247" s="61">
        <f>L247/6</f>
        <v>0</v>
      </c>
      <c r="N247" s="61">
        <v>0</v>
      </c>
      <c r="O247" s="61">
        <v>0</v>
      </c>
      <c r="P247" s="61">
        <f t="shared" ref="P247:Q247" si="288">P245*P246/1000</f>
        <v>0</v>
      </c>
      <c r="Q247" s="61">
        <f t="shared" si="288"/>
        <v>0</v>
      </c>
      <c r="R247" s="61">
        <f t="shared" ref="R247:S247" si="289">R245*R246/1000</f>
        <v>0</v>
      </c>
      <c r="S247" s="61">
        <f t="shared" si="289"/>
        <v>0</v>
      </c>
      <c r="T247" s="61">
        <f>SUM(N247:S247)</f>
        <v>0</v>
      </c>
      <c r="U247" s="61">
        <f>T247+L247</f>
        <v>0</v>
      </c>
      <c r="V247" s="61">
        <f>V242</f>
        <v>0</v>
      </c>
      <c r="W247" s="72">
        <f>V247-U247</f>
        <v>0</v>
      </c>
      <c r="X247" s="63">
        <f>U242-U247</f>
        <v>0</v>
      </c>
    </row>
    <row r="248" spans="1:24" s="63" customFormat="1" ht="18" hidden="1" customHeight="1">
      <c r="A248" s="610"/>
      <c r="B248" s="576"/>
      <c r="C248" s="577"/>
      <c r="D248" s="201" t="str">
        <f>серпень!D248</f>
        <v>дотація</v>
      </c>
      <c r="E248" s="71"/>
      <c r="F248" s="61"/>
      <c r="G248" s="61"/>
      <c r="H248" s="61"/>
      <c r="I248" s="61"/>
      <c r="J248" s="61"/>
      <c r="K248" s="61"/>
      <c r="L248" s="61">
        <f>SUM(F248:K248)</f>
        <v>0</v>
      </c>
      <c r="M248" s="61">
        <f>L248/6</f>
        <v>0</v>
      </c>
      <c r="N248" s="61"/>
      <c r="O248" s="61"/>
      <c r="P248" s="61"/>
      <c r="Q248" s="61"/>
      <c r="R248" s="61"/>
      <c r="S248" s="61"/>
      <c r="T248" s="61">
        <f>SUM(N248:S248)</f>
        <v>0</v>
      </c>
      <c r="U248" s="61">
        <f>T248+L248</f>
        <v>0</v>
      </c>
      <c r="V248" s="61">
        <f>V243</f>
        <v>0</v>
      </c>
      <c r="W248" s="72">
        <f>V248-U248</f>
        <v>0</v>
      </c>
      <c r="X248" s="63">
        <f>U243-U248</f>
        <v>0</v>
      </c>
    </row>
    <row r="249" spans="1:24" s="63" customFormat="1" ht="18" hidden="1" customHeight="1">
      <c r="A249" s="610"/>
      <c r="B249" s="576"/>
      <c r="C249" s="577"/>
      <c r="D249" s="201" t="str">
        <f>серпень!D249</f>
        <v xml:space="preserve">місцевий </v>
      </c>
      <c r="E249" s="71"/>
      <c r="F249" s="61">
        <f t="shared" ref="F249:K249" si="290">F247-F248</f>
        <v>0</v>
      </c>
      <c r="G249" s="61">
        <f t="shared" si="290"/>
        <v>0</v>
      </c>
      <c r="H249" s="61">
        <f t="shared" si="290"/>
        <v>0</v>
      </c>
      <c r="I249" s="61">
        <f t="shared" si="290"/>
        <v>0</v>
      </c>
      <c r="J249" s="61">
        <f t="shared" si="290"/>
        <v>0</v>
      </c>
      <c r="K249" s="61">
        <f t="shared" si="290"/>
        <v>0</v>
      </c>
      <c r="L249" s="61">
        <f>SUM(F249:K249)</f>
        <v>0</v>
      </c>
      <c r="M249" s="61">
        <f>L249/6</f>
        <v>0</v>
      </c>
      <c r="N249" s="61">
        <f t="shared" ref="N249:S249" si="291">N247-N248</f>
        <v>0</v>
      </c>
      <c r="O249" s="61">
        <f t="shared" si="291"/>
        <v>0</v>
      </c>
      <c r="P249" s="61">
        <f t="shared" si="291"/>
        <v>0</v>
      </c>
      <c r="Q249" s="61">
        <f t="shared" si="291"/>
        <v>0</v>
      </c>
      <c r="R249" s="61">
        <f t="shared" si="291"/>
        <v>0</v>
      </c>
      <c r="S249" s="61">
        <f t="shared" si="291"/>
        <v>0</v>
      </c>
      <c r="T249" s="61">
        <f>SUM(N249:S249)</f>
        <v>0</v>
      </c>
      <c r="U249" s="61">
        <f>T249+L249</f>
        <v>0</v>
      </c>
      <c r="V249" s="61">
        <f>V244</f>
        <v>0</v>
      </c>
      <c r="W249" s="72">
        <f>V249-U249</f>
        <v>0</v>
      </c>
      <c r="X249" s="63">
        <f>U244-U249</f>
        <v>0</v>
      </c>
    </row>
    <row r="250" spans="1:24" s="43" customFormat="1" ht="18" hidden="1" customHeight="1">
      <c r="A250" s="610"/>
      <c r="B250" s="576"/>
      <c r="C250" s="577"/>
      <c r="D250" s="202" t="str">
        <f>серпень!D250</f>
        <v>план</v>
      </c>
      <c r="E250" s="42"/>
      <c r="F250" s="42">
        <f t="shared" ref="F250:K250" si="292">F244</f>
        <v>0</v>
      </c>
      <c r="G250" s="42">
        <f t="shared" si="292"/>
        <v>0</v>
      </c>
      <c r="H250" s="42">
        <f t="shared" si="292"/>
        <v>0</v>
      </c>
      <c r="I250" s="42">
        <f t="shared" si="292"/>
        <v>0</v>
      </c>
      <c r="J250" s="42">
        <f t="shared" si="292"/>
        <v>0</v>
      </c>
      <c r="K250" s="42">
        <f t="shared" si="292"/>
        <v>0</v>
      </c>
      <c r="L250" s="42">
        <f>SUM(F250:K250)</f>
        <v>0</v>
      </c>
      <c r="M250" s="42">
        <f>L250/6</f>
        <v>0</v>
      </c>
      <c r="N250" s="42">
        <f t="shared" ref="N250:S250" si="293">N244+N243</f>
        <v>0</v>
      </c>
      <c r="O250" s="42">
        <f t="shared" si="293"/>
        <v>0</v>
      </c>
      <c r="P250" s="42">
        <f t="shared" si="293"/>
        <v>0</v>
      </c>
      <c r="Q250" s="42">
        <f t="shared" si="293"/>
        <v>0</v>
      </c>
      <c r="R250" s="42">
        <f t="shared" si="293"/>
        <v>0</v>
      </c>
      <c r="S250" s="42">
        <f t="shared" si="293"/>
        <v>0</v>
      </c>
      <c r="T250" s="42">
        <f>SUM(N250:S250)</f>
        <v>0</v>
      </c>
      <c r="U250" s="42">
        <f>T250+L250</f>
        <v>0</v>
      </c>
      <c r="V250" s="42">
        <f>V247</f>
        <v>0</v>
      </c>
      <c r="W250" s="42">
        <f>V250-U250</f>
        <v>0</v>
      </c>
    </row>
    <row r="251" spans="1:24" s="43" customFormat="1" ht="18" hidden="1" customHeight="1">
      <c r="A251" s="610"/>
      <c r="B251" s="576"/>
      <c r="C251" s="577"/>
      <c r="D251" s="202" t="str">
        <f>серпень!D251</f>
        <v xml:space="preserve">відхилення </v>
      </c>
      <c r="E251" s="42"/>
      <c r="F251" s="42">
        <f t="shared" ref="F251:K251" si="294">F247-F250</f>
        <v>0</v>
      </c>
      <c r="G251" s="42">
        <f t="shared" si="294"/>
        <v>0</v>
      </c>
      <c r="H251" s="42">
        <f t="shared" si="294"/>
        <v>0</v>
      </c>
      <c r="I251" s="42">
        <f t="shared" si="294"/>
        <v>0</v>
      </c>
      <c r="J251" s="42">
        <f t="shared" si="294"/>
        <v>0</v>
      </c>
      <c r="K251" s="42">
        <f t="shared" si="294"/>
        <v>0</v>
      </c>
      <c r="L251" s="42"/>
      <c r="M251" s="42"/>
      <c r="N251" s="42">
        <f t="shared" ref="N251:S251" si="295">N247-N250</f>
        <v>0</v>
      </c>
      <c r="O251" s="42">
        <f t="shared" si="295"/>
        <v>0</v>
      </c>
      <c r="P251" s="42">
        <f t="shared" si="295"/>
        <v>0</v>
      </c>
      <c r="Q251" s="42">
        <f t="shared" si="295"/>
        <v>0</v>
      </c>
      <c r="R251" s="42">
        <f t="shared" si="295"/>
        <v>0</v>
      </c>
      <c r="S251" s="42">
        <f t="shared" si="295"/>
        <v>0</v>
      </c>
      <c r="T251" s="42"/>
      <c r="U251" s="42"/>
      <c r="V251" s="42"/>
      <c r="W251" s="42"/>
    </row>
    <row r="252" spans="1:24" s="43" customFormat="1" ht="18" hidden="1" customHeight="1">
      <c r="A252" s="611"/>
      <c r="B252" s="578"/>
      <c r="C252" s="579"/>
      <c r="D252" s="202" t="str">
        <f>серпень!D252</f>
        <v>відхилення з наростаючим</v>
      </c>
      <c r="E252" s="42"/>
      <c r="F252" s="42">
        <f>F251</f>
        <v>0</v>
      </c>
      <c r="G252" s="42">
        <f>G251+F252</f>
        <v>0</v>
      </c>
      <c r="H252" s="42">
        <f>H251+G252</f>
        <v>0</v>
      </c>
      <c r="I252" s="42">
        <f>I251+H252</f>
        <v>0</v>
      </c>
      <c r="J252" s="42">
        <f>J251+I252</f>
        <v>0</v>
      </c>
      <c r="K252" s="42">
        <f>K251+J252</f>
        <v>0</v>
      </c>
      <c r="L252" s="42"/>
      <c r="M252" s="42"/>
      <c r="N252" s="42">
        <f>N251+K252</f>
        <v>0</v>
      </c>
      <c r="O252" s="42">
        <f>O251+N252</f>
        <v>0</v>
      </c>
      <c r="P252" s="42">
        <f>P251+O252</f>
        <v>0</v>
      </c>
      <c r="Q252" s="42">
        <f>Q251+P252</f>
        <v>0</v>
      </c>
      <c r="R252" s="42">
        <f>R251+Q252</f>
        <v>0</v>
      </c>
      <c r="S252" s="42">
        <f>S251+R252</f>
        <v>0</v>
      </c>
      <c r="T252" s="42"/>
      <c r="U252" s="42"/>
      <c r="V252" s="42"/>
      <c r="W252" s="42"/>
    </row>
    <row r="253" spans="1:24" s="186" customFormat="1" ht="18" hidden="1" customHeight="1">
      <c r="A253" s="609" t="s">
        <v>58</v>
      </c>
      <c r="B253" s="659" t="s">
        <v>62</v>
      </c>
      <c r="C253" s="660"/>
      <c r="D253" s="178" t="str">
        <f>серпень!D253</f>
        <v>факт. нат.п-ки 2023</v>
      </c>
      <c r="E253" s="179"/>
      <c r="F253" s="180">
        <f t="shared" ref="F253:K255" si="296">F270+F300</f>
        <v>0</v>
      </c>
      <c r="G253" s="180">
        <f t="shared" si="296"/>
        <v>0</v>
      </c>
      <c r="H253" s="180">
        <f t="shared" si="296"/>
        <v>0</v>
      </c>
      <c r="I253" s="180">
        <f t="shared" si="296"/>
        <v>0</v>
      </c>
      <c r="J253" s="180">
        <f t="shared" si="296"/>
        <v>0</v>
      </c>
      <c r="K253" s="180">
        <f t="shared" si="296"/>
        <v>0</v>
      </c>
      <c r="L253" s="207">
        <f>SUM(F253:K253)</f>
        <v>0</v>
      </c>
      <c r="M253" s="207">
        <f>L253/6</f>
        <v>0</v>
      </c>
      <c r="N253" s="180">
        <f t="shared" ref="N253:S255" si="297">N270+N300</f>
        <v>0</v>
      </c>
      <c r="O253" s="180">
        <f t="shared" si="297"/>
        <v>0</v>
      </c>
      <c r="P253" s="180">
        <f t="shared" si="297"/>
        <v>0</v>
      </c>
      <c r="Q253" s="180">
        <f t="shared" si="297"/>
        <v>0</v>
      </c>
      <c r="R253" s="180">
        <f t="shared" si="297"/>
        <v>0</v>
      </c>
      <c r="S253" s="180">
        <f t="shared" si="297"/>
        <v>0</v>
      </c>
      <c r="T253" s="207">
        <f>SUM(N253:S253)</f>
        <v>0</v>
      </c>
      <c r="U253" s="222">
        <f>T253+L253</f>
        <v>0</v>
      </c>
      <c r="V253" s="183">
        <f>V270+V300</f>
        <v>0</v>
      </c>
      <c r="W253" s="184"/>
      <c r="X253" s="185"/>
    </row>
    <row r="254" spans="1:24" s="186" customFormat="1" ht="18" hidden="1" customHeight="1">
      <c r="A254" s="610"/>
      <c r="B254" s="661"/>
      <c r="C254" s="662"/>
      <c r="D254" s="178" t="str">
        <f>серпень!D254</f>
        <v>факт. нат.п-ки 2024</v>
      </c>
      <c r="E254" s="179"/>
      <c r="F254" s="180">
        <f t="shared" si="296"/>
        <v>0</v>
      </c>
      <c r="G254" s="180">
        <f t="shared" si="296"/>
        <v>0</v>
      </c>
      <c r="H254" s="180">
        <f t="shared" si="296"/>
        <v>0</v>
      </c>
      <c r="I254" s="180">
        <f t="shared" si="296"/>
        <v>0</v>
      </c>
      <c r="J254" s="180">
        <f t="shared" si="296"/>
        <v>0</v>
      </c>
      <c r="K254" s="180">
        <f t="shared" si="296"/>
        <v>0</v>
      </c>
      <c r="L254" s="207">
        <f>SUM(F254:K254)</f>
        <v>0</v>
      </c>
      <c r="M254" s="207">
        <f>L254/6</f>
        <v>0</v>
      </c>
      <c r="N254" s="179">
        <f t="shared" si="297"/>
        <v>0</v>
      </c>
      <c r="O254" s="179">
        <f t="shared" si="297"/>
        <v>0</v>
      </c>
      <c r="P254" s="179">
        <f t="shared" si="297"/>
        <v>0</v>
      </c>
      <c r="Q254" s="179">
        <f t="shared" si="297"/>
        <v>0</v>
      </c>
      <c r="R254" s="179">
        <f t="shared" si="297"/>
        <v>0</v>
      </c>
      <c r="S254" s="179">
        <f t="shared" si="297"/>
        <v>0</v>
      </c>
      <c r="T254" s="207">
        <f>SUM(N254:S254)</f>
        <v>0</v>
      </c>
      <c r="U254" s="222">
        <f>T254+L254</f>
        <v>0</v>
      </c>
      <c r="V254" s="183">
        <f>V271+V301</f>
        <v>0</v>
      </c>
      <c r="W254" s="184"/>
      <c r="X254" s="185"/>
    </row>
    <row r="255" spans="1:24" s="186" customFormat="1" ht="18" hidden="1" customHeight="1">
      <c r="A255" s="610"/>
      <c r="B255" s="661"/>
      <c r="C255" s="662"/>
      <c r="D255" s="178" t="str">
        <f>серпень!D255</f>
        <v>факт. нат.п-ки 2025</v>
      </c>
      <c r="E255" s="179"/>
      <c r="F255" s="180">
        <f>F272+F302</f>
        <v>0</v>
      </c>
      <c r="G255" s="180">
        <f t="shared" si="296"/>
        <v>0</v>
      </c>
      <c r="H255" s="180">
        <f t="shared" si="296"/>
        <v>0</v>
      </c>
      <c r="I255" s="180">
        <f t="shared" si="296"/>
        <v>0</v>
      </c>
      <c r="J255" s="180">
        <f t="shared" si="296"/>
        <v>0</v>
      </c>
      <c r="K255" s="180">
        <f t="shared" si="296"/>
        <v>0</v>
      </c>
      <c r="L255" s="207">
        <f>SUM(F255:K255)</f>
        <v>0</v>
      </c>
      <c r="M255" s="207">
        <f>L255/6</f>
        <v>0</v>
      </c>
      <c r="N255" s="180">
        <f>N272+N302</f>
        <v>0</v>
      </c>
      <c r="O255" s="180">
        <f t="shared" si="297"/>
        <v>0</v>
      </c>
      <c r="P255" s="180">
        <f t="shared" si="297"/>
        <v>0</v>
      </c>
      <c r="Q255" s="180">
        <f t="shared" si="297"/>
        <v>0</v>
      </c>
      <c r="R255" s="180">
        <f t="shared" si="297"/>
        <v>0</v>
      </c>
      <c r="S255" s="180">
        <f t="shared" si="297"/>
        <v>0</v>
      </c>
      <c r="T255" s="207">
        <f>SUM(N255:S255)</f>
        <v>0</v>
      </c>
      <c r="U255" s="222">
        <f>T255+L255</f>
        <v>0</v>
      </c>
      <c r="V255" s="183">
        <f>V272+V287+V302+V317</f>
        <v>0</v>
      </c>
      <c r="W255" s="184">
        <f>V255-U255</f>
        <v>0</v>
      </c>
      <c r="X255" s="185"/>
    </row>
    <row r="256" spans="1:24" s="190" customFormat="1" ht="18" hidden="1" customHeight="1">
      <c r="A256" s="610"/>
      <c r="B256" s="661"/>
      <c r="C256" s="662"/>
      <c r="D256" s="187" t="str">
        <f>серпень!D256</f>
        <v>тариф, грн.</v>
      </c>
      <c r="E256" s="188"/>
      <c r="F256" s="188" t="e">
        <f>F257/F255*1000</f>
        <v>#DIV/0!</v>
      </c>
      <c r="G256" s="188" t="e">
        <f>G257/G255*1000</f>
        <v>#DIV/0!</v>
      </c>
      <c r="H256" s="188" t="e">
        <f>H257/H255*1000</f>
        <v>#DIV/0!</v>
      </c>
      <c r="I256" s="188" t="e">
        <f>I257/I255*1000</f>
        <v>#DIV/0!</v>
      </c>
      <c r="J256" s="188" t="e">
        <f>J257/J255*1000</f>
        <v>#DIV/0!</v>
      </c>
      <c r="K256" s="188" t="e">
        <f t="shared" ref="K256:S256" si="298">K257/K255*1000</f>
        <v>#DIV/0!</v>
      </c>
      <c r="L256" s="188" t="e">
        <f t="shared" si="298"/>
        <v>#DIV/0!</v>
      </c>
      <c r="M256" s="188" t="e">
        <f t="shared" si="298"/>
        <v>#DIV/0!</v>
      </c>
      <c r="N256" s="188" t="e">
        <f t="shared" si="298"/>
        <v>#DIV/0!</v>
      </c>
      <c r="O256" s="188" t="e">
        <f t="shared" si="298"/>
        <v>#DIV/0!</v>
      </c>
      <c r="P256" s="188" t="e">
        <f t="shared" si="298"/>
        <v>#DIV/0!</v>
      </c>
      <c r="Q256" s="188" t="e">
        <f t="shared" si="298"/>
        <v>#DIV/0!</v>
      </c>
      <c r="R256" s="188" t="e">
        <f t="shared" si="298"/>
        <v>#DIV/0!</v>
      </c>
      <c r="S256" s="188" t="e">
        <f t="shared" si="298"/>
        <v>#DIV/0!</v>
      </c>
      <c r="T256" s="188" t="e">
        <f>T257/T255*1000</f>
        <v>#DIV/0!</v>
      </c>
      <c r="U256" s="188" t="e">
        <f>U257/U255*1000</f>
        <v>#DIV/0!</v>
      </c>
      <c r="V256" s="188" t="e">
        <f>V257/V255*1000</f>
        <v>#DIV/0!</v>
      </c>
      <c r="W256" s="189" t="e">
        <f>W257/W255*1000</f>
        <v>#DIV/0!</v>
      </c>
      <c r="X256" s="225"/>
    </row>
    <row r="257" spans="1:28" s="228" customFormat="1" ht="18" hidden="1" customHeight="1">
      <c r="A257" s="610"/>
      <c r="B257" s="661"/>
      <c r="C257" s="662"/>
      <c r="D257" s="191" t="str">
        <f>серпень!D257</f>
        <v>сума, тис.грн.</v>
      </c>
      <c r="E257" s="192"/>
      <c r="F257" s="192">
        <f>F274+F304</f>
        <v>0</v>
      </c>
      <c r="G257" s="192">
        <f t="shared" ref="G257:K257" si="299">G274+G304</f>
        <v>0</v>
      </c>
      <c r="H257" s="192">
        <f t="shared" si="299"/>
        <v>0</v>
      </c>
      <c r="I257" s="192">
        <f t="shared" si="299"/>
        <v>0</v>
      </c>
      <c r="J257" s="192">
        <f t="shared" si="299"/>
        <v>0</v>
      </c>
      <c r="K257" s="192">
        <f t="shared" si="299"/>
        <v>0</v>
      </c>
      <c r="L257" s="192">
        <f t="shared" ref="L257:L262" si="300">SUM(F257:K257)</f>
        <v>0</v>
      </c>
      <c r="M257" s="192">
        <f t="shared" ref="M257:M262" si="301">L257/6</f>
        <v>0</v>
      </c>
      <c r="N257" s="192">
        <f>N274+N304</f>
        <v>0</v>
      </c>
      <c r="O257" s="192">
        <f t="shared" ref="O257:Q257" si="302">O274+O304</f>
        <v>0</v>
      </c>
      <c r="P257" s="192">
        <f t="shared" si="302"/>
        <v>0</v>
      </c>
      <c r="Q257" s="192">
        <f t="shared" si="302"/>
        <v>0</v>
      </c>
      <c r="R257" s="192">
        <f t="shared" ref="R257:S257" si="303">R274+R304</f>
        <v>0</v>
      </c>
      <c r="S257" s="192">
        <f t="shared" si="303"/>
        <v>0</v>
      </c>
      <c r="T257" s="192">
        <f t="shared" ref="T257:T262" si="304">SUM(N257:S257)</f>
        <v>0</v>
      </c>
      <c r="U257" s="192">
        <f t="shared" ref="U257:U262" si="305">T257+L257</f>
        <v>0</v>
      </c>
      <c r="V257" s="193">
        <f>V274+V289+V304+V319</f>
        <v>0</v>
      </c>
      <c r="W257" s="193">
        <f t="shared" ref="W257:W262" si="306">V257-U257</f>
        <v>0</v>
      </c>
      <c r="X257" s="209"/>
      <c r="Y257" s="209"/>
      <c r="Z257" s="209"/>
      <c r="AA257" s="209"/>
      <c r="AB257" s="209"/>
    </row>
    <row r="258" spans="1:28" s="228" customFormat="1" ht="18" hidden="1" customHeight="1">
      <c r="A258" s="610"/>
      <c r="B258" s="661"/>
      <c r="C258" s="662"/>
      <c r="D258" s="174" t="str">
        <f>серпень!D258</f>
        <v>абоненська плата, тис.грн.</v>
      </c>
      <c r="E258" s="192"/>
      <c r="F258" s="192">
        <f>F289+F319</f>
        <v>0</v>
      </c>
      <c r="G258" s="192">
        <f t="shared" ref="G258:K258" si="307">G289+G319</f>
        <v>0</v>
      </c>
      <c r="H258" s="192">
        <f t="shared" si="307"/>
        <v>0</v>
      </c>
      <c r="I258" s="192">
        <f t="shared" si="307"/>
        <v>0</v>
      </c>
      <c r="J258" s="192">
        <f t="shared" si="307"/>
        <v>0</v>
      </c>
      <c r="K258" s="192">
        <f t="shared" si="307"/>
        <v>0</v>
      </c>
      <c r="L258" s="192">
        <f t="shared" si="300"/>
        <v>0</v>
      </c>
      <c r="M258" s="192">
        <f t="shared" si="301"/>
        <v>0</v>
      </c>
      <c r="N258" s="192">
        <f>N289+N319</f>
        <v>0</v>
      </c>
      <c r="O258" s="192">
        <f t="shared" ref="O258:Q258" si="308">O289+O319</f>
        <v>0</v>
      </c>
      <c r="P258" s="192">
        <f t="shared" si="308"/>
        <v>0</v>
      </c>
      <c r="Q258" s="192">
        <f t="shared" si="308"/>
        <v>0</v>
      </c>
      <c r="R258" s="192">
        <f t="shared" ref="R258:S258" si="309">R289+R319</f>
        <v>0</v>
      </c>
      <c r="S258" s="192">
        <f t="shared" si="309"/>
        <v>0</v>
      </c>
      <c r="T258" s="192">
        <f t="shared" si="304"/>
        <v>0</v>
      </c>
      <c r="U258" s="192">
        <f t="shared" si="305"/>
        <v>0</v>
      </c>
      <c r="V258" s="193">
        <f>V289+V319</f>
        <v>0</v>
      </c>
      <c r="W258" s="193">
        <f t="shared" si="306"/>
        <v>0</v>
      </c>
      <c r="X258" s="209"/>
      <c r="Y258" s="209"/>
      <c r="Z258" s="209"/>
      <c r="AA258" s="209"/>
      <c r="AB258" s="209"/>
    </row>
    <row r="259" spans="1:28" s="228" customFormat="1" ht="18" hidden="1" customHeight="1">
      <c r="A259" s="610"/>
      <c r="B259" s="661"/>
      <c r="C259" s="662"/>
      <c r="D259" s="174" t="str">
        <f>серпень!D259</f>
        <v>разом сума тис. грн+абонплата</v>
      </c>
      <c r="E259" s="192"/>
      <c r="F259" s="192">
        <f>F257+F258</f>
        <v>0</v>
      </c>
      <c r="G259" s="192">
        <f t="shared" ref="G259:K259" si="310">G257+G258</f>
        <v>0</v>
      </c>
      <c r="H259" s="192">
        <f t="shared" si="310"/>
        <v>0</v>
      </c>
      <c r="I259" s="192">
        <f t="shared" si="310"/>
        <v>0</v>
      </c>
      <c r="J259" s="192">
        <f t="shared" si="310"/>
        <v>0</v>
      </c>
      <c r="K259" s="192">
        <f t="shared" si="310"/>
        <v>0</v>
      </c>
      <c r="L259" s="192">
        <f t="shared" si="300"/>
        <v>0</v>
      </c>
      <c r="M259" s="192">
        <f t="shared" si="301"/>
        <v>0</v>
      </c>
      <c r="N259" s="192">
        <f>N257+N258</f>
        <v>0</v>
      </c>
      <c r="O259" s="192">
        <f t="shared" ref="O259:Q259" si="311">O257+O258</f>
        <v>0</v>
      </c>
      <c r="P259" s="192">
        <f t="shared" si="311"/>
        <v>0</v>
      </c>
      <c r="Q259" s="192">
        <f t="shared" si="311"/>
        <v>0</v>
      </c>
      <c r="R259" s="192">
        <f t="shared" ref="R259:S259" si="312">R257+R258</f>
        <v>0</v>
      </c>
      <c r="S259" s="192">
        <f t="shared" si="312"/>
        <v>0</v>
      </c>
      <c r="T259" s="192">
        <f t="shared" si="304"/>
        <v>0</v>
      </c>
      <c r="U259" s="192">
        <f t="shared" si="305"/>
        <v>0</v>
      </c>
      <c r="V259" s="193">
        <f>V290+V320</f>
        <v>0</v>
      </c>
      <c r="W259" s="193">
        <f t="shared" si="306"/>
        <v>0</v>
      </c>
      <c r="X259" s="209"/>
      <c r="Y259" s="209"/>
      <c r="Z259" s="209"/>
      <c r="AA259" s="209"/>
      <c r="AB259" s="209"/>
    </row>
    <row r="260" spans="1:28" s="228" customFormat="1" ht="18" hidden="1" customHeight="1">
      <c r="A260" s="610"/>
      <c r="B260" s="661"/>
      <c r="C260" s="662"/>
      <c r="D260" s="174" t="str">
        <f>серпень!D260</f>
        <v>дотація</v>
      </c>
      <c r="E260" s="210"/>
      <c r="F260" s="192">
        <f t="shared" ref="F260:K261" si="313">F275+F290+F305+F320</f>
        <v>0</v>
      </c>
      <c r="G260" s="192">
        <f t="shared" si="313"/>
        <v>0</v>
      </c>
      <c r="H260" s="192">
        <f t="shared" si="313"/>
        <v>0</v>
      </c>
      <c r="I260" s="192">
        <f t="shared" si="313"/>
        <v>0</v>
      </c>
      <c r="J260" s="192">
        <f t="shared" si="313"/>
        <v>0</v>
      </c>
      <c r="K260" s="192">
        <f t="shared" si="313"/>
        <v>0</v>
      </c>
      <c r="L260" s="192">
        <f t="shared" si="300"/>
        <v>0</v>
      </c>
      <c r="M260" s="192">
        <f t="shared" si="301"/>
        <v>0</v>
      </c>
      <c r="N260" s="192">
        <f t="shared" ref="N260:S262" si="314">N275+N290+N305+N320</f>
        <v>0</v>
      </c>
      <c r="O260" s="192">
        <f t="shared" si="314"/>
        <v>0</v>
      </c>
      <c r="P260" s="192">
        <f t="shared" si="314"/>
        <v>0</v>
      </c>
      <c r="Q260" s="192">
        <f t="shared" si="314"/>
        <v>0</v>
      </c>
      <c r="R260" s="192">
        <f t="shared" si="314"/>
        <v>0</v>
      </c>
      <c r="S260" s="192">
        <f t="shared" si="314"/>
        <v>0</v>
      </c>
      <c r="T260" s="192">
        <f t="shared" si="304"/>
        <v>0</v>
      </c>
      <c r="U260" s="192">
        <f t="shared" si="305"/>
        <v>0</v>
      </c>
      <c r="V260" s="193">
        <f t="shared" ref="V260:V262" si="315">V275+V290+V305+V320</f>
        <v>0</v>
      </c>
      <c r="W260" s="211">
        <f t="shared" si="306"/>
        <v>0</v>
      </c>
      <c r="X260" s="209"/>
      <c r="Y260" s="209"/>
      <c r="Z260" s="209"/>
      <c r="AA260" s="209"/>
      <c r="AB260" s="209"/>
    </row>
    <row r="261" spans="1:28" s="228" customFormat="1" ht="18" hidden="1" customHeight="1">
      <c r="A261" s="610"/>
      <c r="B261" s="661"/>
      <c r="C261" s="662"/>
      <c r="D261" s="174" t="str">
        <f>серпень!D261</f>
        <v>місцевий (план), тис.грн</v>
      </c>
      <c r="E261" s="210"/>
      <c r="F261" s="192">
        <f t="shared" si="313"/>
        <v>0</v>
      </c>
      <c r="G261" s="192">
        <f t="shared" si="313"/>
        <v>0</v>
      </c>
      <c r="H261" s="192">
        <f t="shared" si="313"/>
        <v>0</v>
      </c>
      <c r="I261" s="192">
        <f t="shared" si="313"/>
        <v>0</v>
      </c>
      <c r="J261" s="192">
        <f t="shared" si="313"/>
        <v>0</v>
      </c>
      <c r="K261" s="192">
        <f t="shared" si="313"/>
        <v>0</v>
      </c>
      <c r="L261" s="192">
        <f t="shared" si="300"/>
        <v>0</v>
      </c>
      <c r="M261" s="192">
        <f t="shared" si="301"/>
        <v>0</v>
      </c>
      <c r="N261" s="192">
        <f t="shared" si="314"/>
        <v>0</v>
      </c>
      <c r="O261" s="192">
        <f t="shared" si="314"/>
        <v>0</v>
      </c>
      <c r="P261" s="192">
        <f t="shared" si="314"/>
        <v>0</v>
      </c>
      <c r="Q261" s="192">
        <f t="shared" si="314"/>
        <v>0</v>
      </c>
      <c r="R261" s="192">
        <f t="shared" si="314"/>
        <v>0</v>
      </c>
      <c r="S261" s="192">
        <f t="shared" si="314"/>
        <v>0</v>
      </c>
      <c r="T261" s="192">
        <f t="shared" si="304"/>
        <v>0</v>
      </c>
      <c r="U261" s="192">
        <f t="shared" si="305"/>
        <v>0</v>
      </c>
      <c r="V261" s="193">
        <f t="shared" si="315"/>
        <v>0</v>
      </c>
      <c r="W261" s="193">
        <f t="shared" si="306"/>
        <v>0</v>
      </c>
      <c r="X261" s="209"/>
      <c r="Y261" s="209"/>
      <c r="Z261" s="209"/>
      <c r="AA261" s="209"/>
      <c r="AB261" s="209"/>
    </row>
    <row r="262" spans="1:28" s="186" customFormat="1" ht="18" hidden="1" customHeight="1">
      <c r="A262" s="610"/>
      <c r="B262" s="661"/>
      <c r="C262" s="662"/>
      <c r="D262" s="178" t="str">
        <f>серпень!D262</f>
        <v>касові нат.п-ки 2025</v>
      </c>
      <c r="E262" s="179">
        <f>E277+E307</f>
        <v>0</v>
      </c>
      <c r="F262" s="179">
        <f>F277+F307</f>
        <v>0</v>
      </c>
      <c r="G262" s="179">
        <f t="shared" ref="G262:K262" si="316">G277+G307</f>
        <v>0</v>
      </c>
      <c r="H262" s="179">
        <f t="shared" si="316"/>
        <v>0</v>
      </c>
      <c r="I262" s="179">
        <f t="shared" si="316"/>
        <v>0</v>
      </c>
      <c r="J262" s="179">
        <f t="shared" si="316"/>
        <v>0</v>
      </c>
      <c r="K262" s="179">
        <f t="shared" si="316"/>
        <v>0</v>
      </c>
      <c r="L262" s="207">
        <f t="shared" si="300"/>
        <v>0</v>
      </c>
      <c r="M262" s="207">
        <f t="shared" si="301"/>
        <v>0</v>
      </c>
      <c r="N262" s="179">
        <f t="shared" si="314"/>
        <v>0</v>
      </c>
      <c r="O262" s="179">
        <f t="shared" si="314"/>
        <v>0</v>
      </c>
      <c r="P262" s="179">
        <f t="shared" si="314"/>
        <v>0</v>
      </c>
      <c r="Q262" s="179">
        <f t="shared" si="314"/>
        <v>0</v>
      </c>
      <c r="R262" s="179">
        <f t="shared" si="314"/>
        <v>0</v>
      </c>
      <c r="S262" s="179">
        <f t="shared" si="314"/>
        <v>0</v>
      </c>
      <c r="T262" s="207">
        <f t="shared" si="304"/>
        <v>0</v>
      </c>
      <c r="U262" s="207">
        <f t="shared" si="305"/>
        <v>0</v>
      </c>
      <c r="V262" s="184">
        <f t="shared" si="315"/>
        <v>0</v>
      </c>
      <c r="W262" s="184">
        <f t="shared" si="306"/>
        <v>0</v>
      </c>
      <c r="X262" s="185">
        <f>U255-U262</f>
        <v>0</v>
      </c>
    </row>
    <row r="263" spans="1:28" s="190" customFormat="1" ht="18" hidden="1" customHeight="1">
      <c r="A263" s="610"/>
      <c r="B263" s="661"/>
      <c r="C263" s="662"/>
      <c r="D263" s="187" t="str">
        <f>серпень!D263</f>
        <v>тариф, грн.</v>
      </c>
      <c r="E263" s="188" t="e">
        <f t="shared" ref="E263:S263" si="317">E264/E262*1000</f>
        <v>#DIV/0!</v>
      </c>
      <c r="F263" s="188" t="e">
        <f t="shared" si="317"/>
        <v>#DIV/0!</v>
      </c>
      <c r="G263" s="188" t="e">
        <f t="shared" si="317"/>
        <v>#DIV/0!</v>
      </c>
      <c r="H263" s="188" t="e">
        <f t="shared" si="317"/>
        <v>#DIV/0!</v>
      </c>
      <c r="I263" s="188" t="e">
        <f t="shared" si="317"/>
        <v>#DIV/0!</v>
      </c>
      <c r="J263" s="188" t="e">
        <f t="shared" si="317"/>
        <v>#DIV/0!</v>
      </c>
      <c r="K263" s="188" t="e">
        <f t="shared" si="317"/>
        <v>#DIV/0!</v>
      </c>
      <c r="L263" s="188" t="e">
        <f t="shared" si="317"/>
        <v>#DIV/0!</v>
      </c>
      <c r="M263" s="188" t="e">
        <f t="shared" si="317"/>
        <v>#DIV/0!</v>
      </c>
      <c r="N263" s="188" t="e">
        <f t="shared" si="317"/>
        <v>#DIV/0!</v>
      </c>
      <c r="O263" s="188" t="e">
        <f t="shared" si="317"/>
        <v>#DIV/0!</v>
      </c>
      <c r="P263" s="188" t="e">
        <f t="shared" si="317"/>
        <v>#DIV/0!</v>
      </c>
      <c r="Q263" s="188" t="e">
        <f t="shared" si="317"/>
        <v>#DIV/0!</v>
      </c>
      <c r="R263" s="188" t="e">
        <f t="shared" si="317"/>
        <v>#DIV/0!</v>
      </c>
      <c r="S263" s="188" t="e">
        <f t="shared" si="317"/>
        <v>#DIV/0!</v>
      </c>
      <c r="T263" s="188" t="e">
        <f>T264/T262*1000</f>
        <v>#DIV/0!</v>
      </c>
      <c r="U263" s="188" t="e">
        <f>U264/U262*1000</f>
        <v>#DIV/0!</v>
      </c>
      <c r="V263" s="188" t="e">
        <f>V264/V262*1000</f>
        <v>#DIV/0!</v>
      </c>
      <c r="W263" s="189" t="e">
        <f>W264/W262*1000</f>
        <v>#DIV/0!</v>
      </c>
      <c r="X263" s="225"/>
    </row>
    <row r="264" spans="1:28" s="213" customFormat="1" ht="18" hidden="1" customHeight="1">
      <c r="A264" s="610"/>
      <c r="B264" s="661"/>
      <c r="C264" s="662"/>
      <c r="D264" s="198" t="str">
        <f>серпень!D264</f>
        <v>касові видатки, тис.грн.</v>
      </c>
      <c r="E264" s="212">
        <f>E279+E309</f>
        <v>0</v>
      </c>
      <c r="F264" s="199">
        <f>F279+F294+F309+F324</f>
        <v>0</v>
      </c>
      <c r="G264" s="199">
        <f t="shared" ref="G264:K264" si="318">G279+G294+G309+G324</f>
        <v>0</v>
      </c>
      <c r="H264" s="199">
        <f t="shared" si="318"/>
        <v>0</v>
      </c>
      <c r="I264" s="199">
        <f t="shared" si="318"/>
        <v>0</v>
      </c>
      <c r="J264" s="199">
        <f t="shared" si="318"/>
        <v>0</v>
      </c>
      <c r="K264" s="199">
        <f t="shared" si="318"/>
        <v>0</v>
      </c>
      <c r="L264" s="199">
        <f>SUM(F264:K264)</f>
        <v>0</v>
      </c>
      <c r="M264" s="199">
        <f>L264/6</f>
        <v>0</v>
      </c>
      <c r="N264" s="199">
        <f t="shared" ref="N264:S266" si="319">N279+N294+N309+N324</f>
        <v>0</v>
      </c>
      <c r="O264" s="199">
        <f t="shared" si="319"/>
        <v>0</v>
      </c>
      <c r="P264" s="199">
        <f t="shared" si="319"/>
        <v>0</v>
      </c>
      <c r="Q264" s="199">
        <f t="shared" si="319"/>
        <v>0</v>
      </c>
      <c r="R264" s="199">
        <f t="shared" si="319"/>
        <v>0</v>
      </c>
      <c r="S264" s="199">
        <f t="shared" si="319"/>
        <v>0</v>
      </c>
      <c r="T264" s="199">
        <f>SUM(N264:S264)</f>
        <v>0</v>
      </c>
      <c r="U264" s="199">
        <f>T264+L264</f>
        <v>0</v>
      </c>
      <c r="V264" s="175">
        <f t="shared" ref="V264:V267" si="320">V279+V294+V309+V324</f>
        <v>0</v>
      </c>
      <c r="W264" s="175">
        <f>V264-U264</f>
        <v>0</v>
      </c>
      <c r="X264" s="176">
        <f>U259-U264</f>
        <v>0</v>
      </c>
    </row>
    <row r="265" spans="1:28" s="213" customFormat="1" ht="18" hidden="1" customHeight="1">
      <c r="A265" s="610"/>
      <c r="B265" s="661"/>
      <c r="C265" s="662"/>
      <c r="D265" s="201" t="str">
        <f>серпень!D265</f>
        <v>дотація</v>
      </c>
      <c r="E265" s="212"/>
      <c r="F265" s="199">
        <f t="shared" ref="F265:K266" si="321">F280+F295+F310+F325</f>
        <v>0</v>
      </c>
      <c r="G265" s="199">
        <f t="shared" si="321"/>
        <v>0</v>
      </c>
      <c r="H265" s="199">
        <f t="shared" si="321"/>
        <v>0</v>
      </c>
      <c r="I265" s="199">
        <f t="shared" si="321"/>
        <v>0</v>
      </c>
      <c r="J265" s="199">
        <f t="shared" si="321"/>
        <v>0</v>
      </c>
      <c r="K265" s="199">
        <f t="shared" si="321"/>
        <v>0</v>
      </c>
      <c r="L265" s="199">
        <f>SUM(F265:K265)</f>
        <v>0</v>
      </c>
      <c r="M265" s="199">
        <f>L265/6</f>
        <v>0</v>
      </c>
      <c r="N265" s="199">
        <f t="shared" si="319"/>
        <v>0</v>
      </c>
      <c r="O265" s="199">
        <f t="shared" si="319"/>
        <v>0</v>
      </c>
      <c r="P265" s="199">
        <f t="shared" si="319"/>
        <v>0</v>
      </c>
      <c r="Q265" s="199">
        <f t="shared" si="319"/>
        <v>0</v>
      </c>
      <c r="R265" s="199">
        <f t="shared" si="319"/>
        <v>0</v>
      </c>
      <c r="S265" s="199">
        <f t="shared" si="319"/>
        <v>0</v>
      </c>
      <c r="T265" s="199">
        <f>SUM(N265:S265)</f>
        <v>0</v>
      </c>
      <c r="U265" s="199">
        <f>T265+L265</f>
        <v>0</v>
      </c>
      <c r="V265" s="175">
        <f t="shared" si="320"/>
        <v>0</v>
      </c>
      <c r="W265" s="175">
        <f>V265-U265</f>
        <v>0</v>
      </c>
      <c r="X265" s="176">
        <f>U260-U265</f>
        <v>0</v>
      </c>
    </row>
    <row r="266" spans="1:28" s="213" customFormat="1" ht="18" hidden="1" customHeight="1">
      <c r="A266" s="610"/>
      <c r="B266" s="661"/>
      <c r="C266" s="662"/>
      <c r="D266" s="201" t="str">
        <f>серпень!D266</f>
        <v xml:space="preserve">місцевий </v>
      </c>
      <c r="E266" s="212"/>
      <c r="F266" s="199">
        <f t="shared" si="321"/>
        <v>0</v>
      </c>
      <c r="G266" s="199">
        <f t="shared" si="321"/>
        <v>0</v>
      </c>
      <c r="H266" s="199">
        <f t="shared" si="321"/>
        <v>0</v>
      </c>
      <c r="I266" s="199">
        <f t="shared" si="321"/>
        <v>0</v>
      </c>
      <c r="J266" s="199">
        <f t="shared" si="321"/>
        <v>0</v>
      </c>
      <c r="K266" s="199">
        <f t="shared" si="321"/>
        <v>0</v>
      </c>
      <c r="L266" s="199">
        <f>SUM(F266:K266)</f>
        <v>0</v>
      </c>
      <c r="M266" s="199">
        <f>L266/6</f>
        <v>0</v>
      </c>
      <c r="N266" s="199">
        <f t="shared" si="319"/>
        <v>0</v>
      </c>
      <c r="O266" s="199">
        <f t="shared" si="319"/>
        <v>0</v>
      </c>
      <c r="P266" s="199">
        <f t="shared" si="319"/>
        <v>0</v>
      </c>
      <c r="Q266" s="199">
        <f t="shared" si="319"/>
        <v>0</v>
      </c>
      <c r="R266" s="199">
        <f t="shared" si="319"/>
        <v>0</v>
      </c>
      <c r="S266" s="199">
        <f t="shared" si="319"/>
        <v>0</v>
      </c>
      <c r="T266" s="199">
        <f>SUM(N266:S266)</f>
        <v>0</v>
      </c>
      <c r="U266" s="199">
        <f>T266+L266</f>
        <v>0</v>
      </c>
      <c r="V266" s="175">
        <f t="shared" si="320"/>
        <v>0</v>
      </c>
      <c r="W266" s="175">
        <f>V266-U266</f>
        <v>0</v>
      </c>
      <c r="X266" s="176">
        <f>U261-U266</f>
        <v>0</v>
      </c>
    </row>
    <row r="267" spans="1:28" s="205" customFormat="1" ht="18" hidden="1" customHeight="1">
      <c r="A267" s="610"/>
      <c r="B267" s="661"/>
      <c r="C267" s="662"/>
      <c r="D267" s="202" t="str">
        <f>серпень!D267</f>
        <v>план</v>
      </c>
      <c r="E267" s="203"/>
      <c r="F267" s="203">
        <f>F261</f>
        <v>0</v>
      </c>
      <c r="G267" s="203">
        <f t="shared" ref="G267:K267" si="322">G261</f>
        <v>0</v>
      </c>
      <c r="H267" s="203">
        <f t="shared" si="322"/>
        <v>0</v>
      </c>
      <c r="I267" s="203">
        <f t="shared" si="322"/>
        <v>0</v>
      </c>
      <c r="J267" s="203">
        <f t="shared" si="322"/>
        <v>0</v>
      </c>
      <c r="K267" s="203">
        <f t="shared" si="322"/>
        <v>0</v>
      </c>
      <c r="L267" s="203">
        <f>SUM(F267:K267)</f>
        <v>0</v>
      </c>
      <c r="M267" s="203">
        <f>L267/6</f>
        <v>0</v>
      </c>
      <c r="N267" s="203">
        <f t="shared" ref="N267:S267" si="323">N261+N260</f>
        <v>0</v>
      </c>
      <c r="O267" s="203">
        <f t="shared" si="323"/>
        <v>0</v>
      </c>
      <c r="P267" s="203">
        <f t="shared" si="323"/>
        <v>0</v>
      </c>
      <c r="Q267" s="203">
        <f t="shared" si="323"/>
        <v>0</v>
      </c>
      <c r="R267" s="203">
        <f t="shared" si="323"/>
        <v>0</v>
      </c>
      <c r="S267" s="203">
        <f t="shared" si="323"/>
        <v>0</v>
      </c>
      <c r="T267" s="203">
        <f>SUM(N267:S267)</f>
        <v>0</v>
      </c>
      <c r="U267" s="203">
        <f>T267+L267</f>
        <v>0</v>
      </c>
      <c r="V267" s="204">
        <f t="shared" si="320"/>
        <v>0</v>
      </c>
      <c r="W267" s="204">
        <f>V267-U267</f>
        <v>0</v>
      </c>
    </row>
    <row r="268" spans="1:28" s="205" customFormat="1" ht="18" hidden="1" customHeight="1">
      <c r="A268" s="610"/>
      <c r="B268" s="661"/>
      <c r="C268" s="662"/>
      <c r="D268" s="202" t="str">
        <f>серпень!D268</f>
        <v xml:space="preserve">відхилення </v>
      </c>
      <c r="E268" s="203"/>
      <c r="F268" s="203">
        <f t="shared" ref="F268:K268" si="324">F264-F267</f>
        <v>0</v>
      </c>
      <c r="G268" s="203">
        <f t="shared" si="324"/>
        <v>0</v>
      </c>
      <c r="H268" s="203">
        <f t="shared" si="324"/>
        <v>0</v>
      </c>
      <c r="I268" s="203">
        <f t="shared" si="324"/>
        <v>0</v>
      </c>
      <c r="J268" s="203">
        <f t="shared" si="324"/>
        <v>0</v>
      </c>
      <c r="K268" s="203">
        <f t="shared" si="324"/>
        <v>0</v>
      </c>
      <c r="L268" s="203"/>
      <c r="M268" s="203"/>
      <c r="N268" s="203">
        <f t="shared" ref="N268:S268" si="325">N264-N267</f>
        <v>0</v>
      </c>
      <c r="O268" s="203">
        <f t="shared" si="325"/>
        <v>0</v>
      </c>
      <c r="P268" s="203">
        <f t="shared" si="325"/>
        <v>0</v>
      </c>
      <c r="Q268" s="203">
        <f t="shared" si="325"/>
        <v>0</v>
      </c>
      <c r="R268" s="203">
        <f t="shared" si="325"/>
        <v>0</v>
      </c>
      <c r="S268" s="203">
        <f t="shared" si="325"/>
        <v>0</v>
      </c>
      <c r="T268" s="203"/>
      <c r="U268" s="203"/>
      <c r="V268" s="203"/>
      <c r="W268" s="203"/>
    </row>
    <row r="269" spans="1:28" s="205" customFormat="1" ht="18" hidden="1" customHeight="1">
      <c r="A269" s="610"/>
      <c r="B269" s="663"/>
      <c r="C269" s="664"/>
      <c r="D269" s="202" t="str">
        <f>серпень!D269</f>
        <v>відхилення з наростаючим</v>
      </c>
      <c r="E269" s="203"/>
      <c r="F269" s="203">
        <f>F268</f>
        <v>0</v>
      </c>
      <c r="G269" s="203">
        <f>G268+F269</f>
        <v>0</v>
      </c>
      <c r="H269" s="203">
        <f>H268+G269</f>
        <v>0</v>
      </c>
      <c r="I269" s="203">
        <f>I268+H269</f>
        <v>0</v>
      </c>
      <c r="J269" s="203">
        <f>J268+I269</f>
        <v>0</v>
      </c>
      <c r="K269" s="203">
        <f>K268+J269</f>
        <v>0</v>
      </c>
      <c r="L269" s="203"/>
      <c r="M269" s="203"/>
      <c r="N269" s="203">
        <f>N268+K269</f>
        <v>0</v>
      </c>
      <c r="O269" s="203">
        <f>O268+N269</f>
        <v>0</v>
      </c>
      <c r="P269" s="203">
        <f>P268+O269</f>
        <v>0</v>
      </c>
      <c r="Q269" s="203">
        <f>Q268+P269</f>
        <v>0</v>
      </c>
      <c r="R269" s="203">
        <f>R268+Q269</f>
        <v>0</v>
      </c>
      <c r="S269" s="203">
        <f>S268+R269</f>
        <v>0</v>
      </c>
      <c r="T269" s="203"/>
      <c r="U269" s="203"/>
      <c r="V269" s="203"/>
      <c r="W269" s="203"/>
    </row>
    <row r="270" spans="1:28" s="48" customFormat="1" ht="18" hidden="1" customHeight="1">
      <c r="A270" s="610"/>
      <c r="B270" s="582" t="s">
        <v>60</v>
      </c>
      <c r="C270" s="582" t="s">
        <v>97</v>
      </c>
      <c r="D270" s="178" t="str">
        <f>серпень!D270</f>
        <v>факт. нат.п-ки 2023</v>
      </c>
      <c r="E270" s="11"/>
      <c r="F270" s="12"/>
      <c r="G270" s="12"/>
      <c r="H270" s="12"/>
      <c r="I270" s="12"/>
      <c r="J270" s="12"/>
      <c r="K270" s="12"/>
      <c r="L270" s="65">
        <f>SUM(F270:K270)</f>
        <v>0</v>
      </c>
      <c r="M270" s="65">
        <f>L270/6</f>
        <v>0</v>
      </c>
      <c r="N270" s="12"/>
      <c r="O270" s="12"/>
      <c r="P270" s="12"/>
      <c r="Q270" s="12"/>
      <c r="R270" s="12"/>
      <c r="S270" s="12"/>
      <c r="T270" s="65">
        <f>SUM(N270:S270)</f>
        <v>0</v>
      </c>
      <c r="U270" s="66">
        <f>T270+L270</f>
        <v>0</v>
      </c>
      <c r="V270" s="67"/>
      <c r="W270" s="38">
        <f>V270-U270</f>
        <v>0</v>
      </c>
      <c r="X270" s="47"/>
    </row>
    <row r="271" spans="1:28" s="48" customFormat="1" ht="18" hidden="1" customHeight="1">
      <c r="A271" s="610"/>
      <c r="B271" s="583"/>
      <c r="C271" s="583"/>
      <c r="D271" s="178" t="str">
        <f>серпень!D271</f>
        <v>факт. нат.п-ки 2024</v>
      </c>
      <c r="E271" s="11"/>
      <c r="F271" s="12"/>
      <c r="G271" s="12"/>
      <c r="H271" s="12"/>
      <c r="I271" s="12"/>
      <c r="J271" s="12"/>
      <c r="K271" s="12"/>
      <c r="L271" s="65">
        <f>SUM(F271:K271)</f>
        <v>0</v>
      </c>
      <c r="M271" s="65">
        <f>L271/6</f>
        <v>0</v>
      </c>
      <c r="N271" s="11"/>
      <c r="O271" s="11"/>
      <c r="P271" s="11"/>
      <c r="Q271" s="11"/>
      <c r="R271" s="11"/>
      <c r="S271" s="11"/>
      <c r="T271" s="65">
        <f>SUM(N271:S271)</f>
        <v>0</v>
      </c>
      <c r="U271" s="66">
        <f>T271+L271</f>
        <v>0</v>
      </c>
      <c r="V271" s="67"/>
      <c r="W271" s="38">
        <f>V271-U271</f>
        <v>0</v>
      </c>
      <c r="X271" s="47"/>
    </row>
    <row r="272" spans="1:28" s="48" customFormat="1" ht="18" hidden="1" customHeight="1">
      <c r="A272" s="610"/>
      <c r="B272" s="583"/>
      <c r="C272" s="583"/>
      <c r="D272" s="178" t="str">
        <f>серпень!D272</f>
        <v>факт. нат.п-ки 2025</v>
      </c>
      <c r="E272" s="11"/>
      <c r="F272" s="12"/>
      <c r="G272" s="12"/>
      <c r="H272" s="12"/>
      <c r="I272" s="12"/>
      <c r="J272" s="12"/>
      <c r="K272" s="12"/>
      <c r="L272" s="65">
        <f>SUM(F272:K272)</f>
        <v>0</v>
      </c>
      <c r="M272" s="65">
        <f>L272/6</f>
        <v>0</v>
      </c>
      <c r="N272" s="12"/>
      <c r="O272" s="12"/>
      <c r="P272" s="12"/>
      <c r="Q272" s="12"/>
      <c r="R272" s="12"/>
      <c r="S272" s="11"/>
      <c r="T272" s="65">
        <f>SUM(N272:S272)</f>
        <v>0</v>
      </c>
      <c r="U272" s="66">
        <f>T272+L272</f>
        <v>0</v>
      </c>
      <c r="V272" s="11"/>
      <c r="W272" s="38">
        <f>V272-U272</f>
        <v>0</v>
      </c>
      <c r="X272" s="47"/>
    </row>
    <row r="273" spans="1:24" s="51" customFormat="1" ht="18" hidden="1" customHeight="1">
      <c r="A273" s="610"/>
      <c r="B273" s="583"/>
      <c r="C273" s="583"/>
      <c r="D273" s="187" t="str">
        <f>серпень!D273</f>
        <v>тариф, грн.</v>
      </c>
      <c r="E273" s="49"/>
      <c r="F273" s="49"/>
      <c r="G273" s="49"/>
      <c r="H273" s="49"/>
      <c r="I273" s="49"/>
      <c r="J273" s="49"/>
      <c r="K273" s="49"/>
      <c r="L273" s="49" t="e">
        <f>L274/L272*1000</f>
        <v>#DIV/0!</v>
      </c>
      <c r="M273" s="49" t="e">
        <f>M274/M272*1000</f>
        <v>#DIV/0!</v>
      </c>
      <c r="N273" s="49"/>
      <c r="O273" s="49"/>
      <c r="P273" s="49"/>
      <c r="Q273" s="49"/>
      <c r="R273" s="49"/>
      <c r="S273" s="49"/>
      <c r="T273" s="49" t="e">
        <f>T274/T272*1000</f>
        <v>#DIV/0!</v>
      </c>
      <c r="U273" s="49" t="e">
        <f>U274/U272*1000</f>
        <v>#DIV/0!</v>
      </c>
      <c r="V273" s="68" t="e">
        <f>V274/V272*1000</f>
        <v>#DIV/0!</v>
      </c>
      <c r="W273" s="14" t="e">
        <f>W274/W272*1000</f>
        <v>#DIV/0!</v>
      </c>
      <c r="X273" s="50"/>
    </row>
    <row r="274" spans="1:24" s="55" customFormat="1" ht="18" hidden="1" customHeight="1">
      <c r="A274" s="610"/>
      <c r="B274" s="583"/>
      <c r="C274" s="583"/>
      <c r="D274" s="191" t="str">
        <f>серпень!D274</f>
        <v>сума, тис.грн.</v>
      </c>
      <c r="E274" s="52"/>
      <c r="F274" s="52">
        <f t="shared" ref="F274:K274" si="326">F272*F273/1000</f>
        <v>0</v>
      </c>
      <c r="G274" s="52">
        <f t="shared" si="326"/>
        <v>0</v>
      </c>
      <c r="H274" s="52">
        <f t="shared" si="326"/>
        <v>0</v>
      </c>
      <c r="I274" s="52">
        <f t="shared" si="326"/>
        <v>0</v>
      </c>
      <c r="J274" s="52">
        <f t="shared" si="326"/>
        <v>0</v>
      </c>
      <c r="K274" s="52">
        <f t="shared" si="326"/>
        <v>0</v>
      </c>
      <c r="L274" s="69">
        <f>SUM(F274:K274)</f>
        <v>0</v>
      </c>
      <c r="M274" s="69">
        <f>L274/6</f>
        <v>0</v>
      </c>
      <c r="N274" s="52">
        <f t="shared" ref="N274:S274" si="327">N272*N273/1000</f>
        <v>0</v>
      </c>
      <c r="O274" s="52">
        <f t="shared" si="327"/>
        <v>0</v>
      </c>
      <c r="P274" s="52">
        <f t="shared" si="327"/>
        <v>0</v>
      </c>
      <c r="Q274" s="52">
        <f t="shared" si="327"/>
        <v>0</v>
      </c>
      <c r="R274" s="52">
        <f t="shared" si="327"/>
        <v>0</v>
      </c>
      <c r="S274" s="52">
        <f t="shared" si="327"/>
        <v>0</v>
      </c>
      <c r="T274" s="69">
        <f>SUM(N274:S274)</f>
        <v>0</v>
      </c>
      <c r="U274" s="69">
        <f>T274+L274</f>
        <v>0</v>
      </c>
      <c r="V274" s="70">
        <f>V275+V276</f>
        <v>0</v>
      </c>
      <c r="W274" s="53">
        <f>V274-U274</f>
        <v>0</v>
      </c>
      <c r="X274" s="54">
        <f>9891253.845/1000</f>
        <v>9891.2540000000008</v>
      </c>
    </row>
    <row r="275" spans="1:24" s="55" customFormat="1" ht="18" hidden="1" customHeight="1">
      <c r="A275" s="610"/>
      <c r="B275" s="583"/>
      <c r="C275" s="583"/>
      <c r="D275" s="174" t="str">
        <f>серпень!D275</f>
        <v>абоненська плата, тис.грн.</v>
      </c>
      <c r="E275" s="56"/>
      <c r="F275" s="52"/>
      <c r="G275" s="52"/>
      <c r="H275" s="52"/>
      <c r="I275" s="52"/>
      <c r="J275" s="52"/>
      <c r="K275" s="52"/>
      <c r="L275" s="69">
        <f>SUM(F275:K275)</f>
        <v>0</v>
      </c>
      <c r="M275" s="69">
        <f>L275/6</f>
        <v>0</v>
      </c>
      <c r="N275" s="52"/>
      <c r="O275" s="52"/>
      <c r="P275" s="52"/>
      <c r="Q275" s="52"/>
      <c r="R275" s="52"/>
      <c r="S275" s="52"/>
      <c r="T275" s="69">
        <f>SUM(N275:S275)</f>
        <v>0</v>
      </c>
      <c r="U275" s="69">
        <f>T275+L275</f>
        <v>0</v>
      </c>
      <c r="V275" s="70"/>
      <c r="W275" s="53">
        <f>V275-U275</f>
        <v>0</v>
      </c>
      <c r="X275" s="58"/>
    </row>
    <row r="276" spans="1:24" s="55" customFormat="1" ht="18" hidden="1" customHeight="1">
      <c r="A276" s="610"/>
      <c r="B276" s="583"/>
      <c r="C276" s="583"/>
      <c r="D276" s="174" t="str">
        <f>серпень!D276</f>
        <v>разом сума тис. грн+абонплата</v>
      </c>
      <c r="E276" s="56"/>
      <c r="F276" s="52"/>
      <c r="G276" s="52"/>
      <c r="H276" s="52"/>
      <c r="I276" s="52"/>
      <c r="J276" s="52"/>
      <c r="K276" s="52"/>
      <c r="L276" s="69">
        <f>SUM(F276:K276)</f>
        <v>0</v>
      </c>
      <c r="M276" s="69">
        <f>L276/6</f>
        <v>0</v>
      </c>
      <c r="N276" s="52"/>
      <c r="O276" s="52"/>
      <c r="P276" s="52"/>
      <c r="Q276" s="52"/>
      <c r="R276" s="52"/>
      <c r="S276" s="52"/>
      <c r="T276" s="69">
        <f>SUM(N276:S276)</f>
        <v>0</v>
      </c>
      <c r="U276" s="69">
        <f>T276+L276</f>
        <v>0</v>
      </c>
      <c r="V276" s="70"/>
      <c r="W276" s="53">
        <f>V276-U276</f>
        <v>0</v>
      </c>
      <c r="X276" s="58"/>
    </row>
    <row r="277" spans="1:24" s="48" customFormat="1" ht="18" hidden="1" customHeight="1">
      <c r="A277" s="610"/>
      <c r="B277" s="583"/>
      <c r="C277" s="583"/>
      <c r="D277" s="178" t="str">
        <f>серпень!D277</f>
        <v>дотація</v>
      </c>
      <c r="E277" s="11"/>
      <c r="F277" s="11"/>
      <c r="G277" s="11"/>
      <c r="H277" s="11"/>
      <c r="I277" s="11"/>
      <c r="J277" s="11"/>
      <c r="K277" s="11"/>
      <c r="L277" s="65">
        <f>SUM(F277:K277)</f>
        <v>0</v>
      </c>
      <c r="M277" s="65">
        <f>L277/6</f>
        <v>0</v>
      </c>
      <c r="N277" s="11"/>
      <c r="O277" s="11"/>
      <c r="P277" s="11"/>
      <c r="Q277" s="11"/>
      <c r="R277" s="11"/>
      <c r="S277" s="11">
        <f>S272+R272</f>
        <v>0</v>
      </c>
      <c r="T277" s="65">
        <f>SUM(N277:S277)</f>
        <v>0</v>
      </c>
      <c r="U277" s="65">
        <f>T277+L277</f>
        <v>0</v>
      </c>
      <c r="V277" s="11">
        <f>V272</f>
        <v>0</v>
      </c>
      <c r="W277" s="38">
        <f>V277-U277</f>
        <v>0</v>
      </c>
      <c r="X277" s="47">
        <f>U272-U277</f>
        <v>0</v>
      </c>
    </row>
    <row r="278" spans="1:24" s="51" customFormat="1" ht="18" hidden="1" customHeight="1">
      <c r="A278" s="610"/>
      <c r="B278" s="583"/>
      <c r="C278" s="583"/>
      <c r="D278" s="187" t="str">
        <f>серпень!D278</f>
        <v>місцевий (план), тис.грн</v>
      </c>
      <c r="E278" s="49" t="e">
        <f>E279/E277*1000</f>
        <v>#DIV/0!</v>
      </c>
      <c r="F278" s="49"/>
      <c r="G278" s="49"/>
      <c r="H278" s="49"/>
      <c r="I278" s="49"/>
      <c r="J278" s="49"/>
      <c r="K278" s="49"/>
      <c r="L278" s="49" t="e">
        <f>L279/L277*1000</f>
        <v>#DIV/0!</v>
      </c>
      <c r="M278" s="49" t="e">
        <f>M279/M277*1000</f>
        <v>#DIV/0!</v>
      </c>
      <c r="N278" s="49"/>
      <c r="O278" s="49"/>
      <c r="P278" s="49"/>
      <c r="Q278" s="49"/>
      <c r="R278" s="49"/>
      <c r="S278" s="49"/>
      <c r="T278" s="49" t="e">
        <f>T279/T277*1000</f>
        <v>#DIV/0!</v>
      </c>
      <c r="U278" s="49" t="e">
        <f>U279/U277*1000</f>
        <v>#DIV/0!</v>
      </c>
      <c r="V278" s="68" t="e">
        <f>V279/V277*1000</f>
        <v>#DIV/0!</v>
      </c>
      <c r="W278" s="14" t="e">
        <f>W279/W277*1000</f>
        <v>#DIV/0!</v>
      </c>
      <c r="X278" s="59"/>
    </row>
    <row r="279" spans="1:24" s="63" customFormat="1" ht="18" hidden="1" customHeight="1">
      <c r="A279" s="610"/>
      <c r="B279" s="583"/>
      <c r="C279" s="583"/>
      <c r="D279" s="198" t="str">
        <f>серпень!D279</f>
        <v>касові нат.п-ки 2025</v>
      </c>
      <c r="E279" s="71"/>
      <c r="F279" s="61">
        <f t="shared" ref="F279:K279" si="328">F277*F278/1000</f>
        <v>0</v>
      </c>
      <c r="G279" s="61">
        <f t="shared" si="328"/>
        <v>0</v>
      </c>
      <c r="H279" s="61">
        <f t="shared" si="328"/>
        <v>0</v>
      </c>
      <c r="I279" s="61">
        <f t="shared" si="328"/>
        <v>0</v>
      </c>
      <c r="J279" s="61">
        <f t="shared" si="328"/>
        <v>0</v>
      </c>
      <c r="K279" s="61">
        <f t="shared" si="328"/>
        <v>0</v>
      </c>
      <c r="L279" s="61">
        <f>SUM(F279:K279)</f>
        <v>0</v>
      </c>
      <c r="M279" s="61">
        <f>L279/6</f>
        <v>0</v>
      </c>
      <c r="N279" s="61">
        <f t="shared" ref="N279:S279" si="329">N277*N278/1000</f>
        <v>0</v>
      </c>
      <c r="O279" s="61">
        <f t="shared" si="329"/>
        <v>0</v>
      </c>
      <c r="P279" s="61">
        <f t="shared" si="329"/>
        <v>0</v>
      </c>
      <c r="Q279" s="61">
        <f t="shared" si="329"/>
        <v>0</v>
      </c>
      <c r="R279" s="61">
        <f t="shared" si="329"/>
        <v>0</v>
      </c>
      <c r="S279" s="61">
        <f t="shared" si="329"/>
        <v>0</v>
      </c>
      <c r="T279" s="61">
        <f>SUM(N279:S279)</f>
        <v>0</v>
      </c>
      <c r="U279" s="61">
        <f>T279+L279</f>
        <v>0</v>
      </c>
      <c r="V279" s="61">
        <f>V274</f>
        <v>0</v>
      </c>
      <c r="W279" s="72">
        <f>V279-U279</f>
        <v>0</v>
      </c>
      <c r="X279" s="63">
        <f>U274-U279</f>
        <v>0</v>
      </c>
    </row>
    <row r="280" spans="1:24" s="63" customFormat="1" ht="18" hidden="1" customHeight="1">
      <c r="A280" s="610"/>
      <c r="B280" s="583"/>
      <c r="C280" s="583"/>
      <c r="D280" s="201" t="str">
        <f>серпень!D280</f>
        <v>тариф, грн.</v>
      </c>
      <c r="E280" s="71"/>
      <c r="F280" s="61"/>
      <c r="G280" s="61"/>
      <c r="H280" s="61"/>
      <c r="I280" s="61"/>
      <c r="J280" s="61"/>
      <c r="K280" s="61"/>
      <c r="L280" s="61">
        <f>SUM(F280:K280)</f>
        <v>0</v>
      </c>
      <c r="M280" s="61">
        <f>L280/6</f>
        <v>0</v>
      </c>
      <c r="N280" s="61"/>
      <c r="O280" s="61"/>
      <c r="P280" s="61"/>
      <c r="Q280" s="61"/>
      <c r="R280" s="61"/>
      <c r="S280" s="61"/>
      <c r="T280" s="61">
        <f>SUM(N280:S280)</f>
        <v>0</v>
      </c>
      <c r="U280" s="61">
        <f>T280+L280</f>
        <v>0</v>
      </c>
      <c r="V280" s="61">
        <f>V275</f>
        <v>0</v>
      </c>
      <c r="W280" s="72">
        <f>V280-U280</f>
        <v>0</v>
      </c>
      <c r="X280" s="63">
        <f>U275-U280</f>
        <v>0</v>
      </c>
    </row>
    <row r="281" spans="1:24" s="63" customFormat="1" ht="18" hidden="1" customHeight="1">
      <c r="A281" s="610"/>
      <c r="B281" s="583"/>
      <c r="C281" s="583"/>
      <c r="D281" s="201" t="str">
        <f>серпень!D281</f>
        <v>касові видатки, тис.грн.</v>
      </c>
      <c r="E281" s="71"/>
      <c r="F281" s="61">
        <f t="shared" ref="F281:K281" si="330">F279-F280</f>
        <v>0</v>
      </c>
      <c r="G281" s="61">
        <f t="shared" si="330"/>
        <v>0</v>
      </c>
      <c r="H281" s="61">
        <f t="shared" si="330"/>
        <v>0</v>
      </c>
      <c r="I281" s="61">
        <f t="shared" si="330"/>
        <v>0</v>
      </c>
      <c r="J281" s="61">
        <f t="shared" si="330"/>
        <v>0</v>
      </c>
      <c r="K281" s="61">
        <f t="shared" si="330"/>
        <v>0</v>
      </c>
      <c r="L281" s="61">
        <f>SUM(F281:K281)</f>
        <v>0</v>
      </c>
      <c r="M281" s="61">
        <f>L281/6</f>
        <v>0</v>
      </c>
      <c r="N281" s="61">
        <f t="shared" ref="N281:S281" si="331">N279-N280</f>
        <v>0</v>
      </c>
      <c r="O281" s="61">
        <f t="shared" si="331"/>
        <v>0</v>
      </c>
      <c r="P281" s="61">
        <f t="shared" si="331"/>
        <v>0</v>
      </c>
      <c r="Q281" s="61">
        <f t="shared" si="331"/>
        <v>0</v>
      </c>
      <c r="R281" s="61">
        <f t="shared" si="331"/>
        <v>0</v>
      </c>
      <c r="S281" s="61">
        <f t="shared" si="331"/>
        <v>0</v>
      </c>
      <c r="T281" s="61">
        <f>SUM(N281:S281)</f>
        <v>0</v>
      </c>
      <c r="U281" s="61">
        <f>T281+L281</f>
        <v>0</v>
      </c>
      <c r="V281" s="61">
        <f>V276</f>
        <v>0</v>
      </c>
      <c r="W281" s="72">
        <f>V281-U281</f>
        <v>0</v>
      </c>
      <c r="X281" s="63">
        <f>U276-U281</f>
        <v>0</v>
      </c>
    </row>
    <row r="282" spans="1:24" s="43" customFormat="1" ht="18" hidden="1" customHeight="1">
      <c r="A282" s="610"/>
      <c r="B282" s="583"/>
      <c r="C282" s="583"/>
      <c r="D282" s="202" t="str">
        <f>серпень!D282</f>
        <v>дотація</v>
      </c>
      <c r="E282" s="42"/>
      <c r="F282" s="42">
        <f t="shared" ref="F282:K282" si="332">F276</f>
        <v>0</v>
      </c>
      <c r="G282" s="42">
        <f t="shared" si="332"/>
        <v>0</v>
      </c>
      <c r="H282" s="42">
        <f t="shared" si="332"/>
        <v>0</v>
      </c>
      <c r="I282" s="42">
        <f t="shared" si="332"/>
        <v>0</v>
      </c>
      <c r="J282" s="42">
        <f t="shared" si="332"/>
        <v>0</v>
      </c>
      <c r="K282" s="42">
        <f t="shared" si="332"/>
        <v>0</v>
      </c>
      <c r="L282" s="42">
        <f>SUM(F282:K282)</f>
        <v>0</v>
      </c>
      <c r="M282" s="42">
        <f>L282/6</f>
        <v>0</v>
      </c>
      <c r="N282" s="42">
        <f t="shared" ref="N282:S282" si="333">N276+N275</f>
        <v>0</v>
      </c>
      <c r="O282" s="42">
        <f t="shared" si="333"/>
        <v>0</v>
      </c>
      <c r="P282" s="42">
        <f t="shared" si="333"/>
        <v>0</v>
      </c>
      <c r="Q282" s="42">
        <f t="shared" si="333"/>
        <v>0</v>
      </c>
      <c r="R282" s="42">
        <f t="shared" si="333"/>
        <v>0</v>
      </c>
      <c r="S282" s="42">
        <f t="shared" si="333"/>
        <v>0</v>
      </c>
      <c r="T282" s="42">
        <f>SUM(N282:S282)</f>
        <v>0</v>
      </c>
      <c r="U282" s="42">
        <f>T282+L282</f>
        <v>0</v>
      </c>
      <c r="V282" s="42">
        <f>V279</f>
        <v>0</v>
      </c>
      <c r="W282" s="42">
        <f>V282-U282</f>
        <v>0</v>
      </c>
    </row>
    <row r="283" spans="1:24" s="43" customFormat="1" ht="18" hidden="1" customHeight="1">
      <c r="A283" s="610"/>
      <c r="B283" s="583"/>
      <c r="C283" s="583"/>
      <c r="D283" s="202" t="str">
        <f>серпень!D283</f>
        <v xml:space="preserve">місцевий </v>
      </c>
      <c r="E283" s="42"/>
      <c r="F283" s="42">
        <f t="shared" ref="F283:K283" si="334">F279-F282</f>
        <v>0</v>
      </c>
      <c r="G283" s="42">
        <f t="shared" si="334"/>
        <v>0</v>
      </c>
      <c r="H283" s="42">
        <f t="shared" si="334"/>
        <v>0</v>
      </c>
      <c r="I283" s="42">
        <f t="shared" si="334"/>
        <v>0</v>
      </c>
      <c r="J283" s="42">
        <f t="shared" si="334"/>
        <v>0</v>
      </c>
      <c r="K283" s="42">
        <f t="shared" si="334"/>
        <v>0</v>
      </c>
      <c r="L283" s="42"/>
      <c r="M283" s="42"/>
      <c r="N283" s="42">
        <f t="shared" ref="N283:S283" si="335">N279-N282</f>
        <v>0</v>
      </c>
      <c r="O283" s="42">
        <f t="shared" si="335"/>
        <v>0</v>
      </c>
      <c r="P283" s="42">
        <f t="shared" si="335"/>
        <v>0</v>
      </c>
      <c r="Q283" s="42">
        <f t="shared" si="335"/>
        <v>0</v>
      </c>
      <c r="R283" s="42">
        <f t="shared" si="335"/>
        <v>0</v>
      </c>
      <c r="S283" s="42">
        <f t="shared" si="335"/>
        <v>0</v>
      </c>
      <c r="T283" s="42"/>
      <c r="U283" s="42"/>
      <c r="V283" s="42"/>
      <c r="W283" s="42"/>
    </row>
    <row r="284" spans="1:24" s="43" customFormat="1" ht="18" hidden="1" customHeight="1">
      <c r="A284" s="610"/>
      <c r="B284" s="583"/>
      <c r="C284" s="584"/>
      <c r="D284" s="202" t="str">
        <f>серпень!D284</f>
        <v>план</v>
      </c>
      <c r="E284" s="42"/>
      <c r="F284" s="42">
        <f>F283</f>
        <v>0</v>
      </c>
      <c r="G284" s="42">
        <f>G283+F284</f>
        <v>0</v>
      </c>
      <c r="H284" s="42">
        <f>H283+G284</f>
        <v>0</v>
      </c>
      <c r="I284" s="42">
        <f>I283+H284</f>
        <v>0</v>
      </c>
      <c r="J284" s="42">
        <f>J283+I284</f>
        <v>0</v>
      </c>
      <c r="K284" s="42">
        <f>K283+J284</f>
        <v>0</v>
      </c>
      <c r="L284" s="42"/>
      <c r="M284" s="42"/>
      <c r="N284" s="42">
        <f>N283+K284</f>
        <v>0</v>
      </c>
      <c r="O284" s="42">
        <f>O283+N284</f>
        <v>0</v>
      </c>
      <c r="P284" s="42">
        <f>P283+O284</f>
        <v>0</v>
      </c>
      <c r="Q284" s="42">
        <f>Q283+P284</f>
        <v>0</v>
      </c>
      <c r="R284" s="42">
        <f>R283+Q284</f>
        <v>0</v>
      </c>
      <c r="S284" s="42">
        <f>S283+R284</f>
        <v>0</v>
      </c>
      <c r="T284" s="42"/>
      <c r="U284" s="42"/>
      <c r="V284" s="42"/>
      <c r="W284" s="42"/>
    </row>
    <row r="285" spans="1:24" s="48" customFormat="1" ht="18" hidden="1" customHeight="1">
      <c r="A285" s="610"/>
      <c r="B285" s="583"/>
      <c r="C285" s="582" t="s">
        <v>96</v>
      </c>
      <c r="D285" s="178" t="s">
        <v>93</v>
      </c>
      <c r="E285" s="11"/>
      <c r="F285" s="12"/>
      <c r="G285" s="12"/>
      <c r="H285" s="12"/>
      <c r="I285" s="12"/>
      <c r="J285" s="12"/>
      <c r="K285" s="12"/>
      <c r="L285" s="65">
        <f>SUM(F285:K285)</f>
        <v>0</v>
      </c>
      <c r="M285" s="65">
        <f>L285/6</f>
        <v>0</v>
      </c>
      <c r="N285" s="12"/>
      <c r="O285" s="12"/>
      <c r="P285" s="12"/>
      <c r="Q285" s="12"/>
      <c r="R285" s="12"/>
      <c r="S285" s="12"/>
      <c r="T285" s="65">
        <f>SUM(N285:S285)</f>
        <v>0</v>
      </c>
      <c r="U285" s="66">
        <f>T285+L285</f>
        <v>0</v>
      </c>
      <c r="V285" s="67"/>
      <c r="W285" s="38">
        <f>V285-U285</f>
        <v>0</v>
      </c>
      <c r="X285" s="47"/>
    </row>
    <row r="286" spans="1:24" s="48" customFormat="1" ht="18" hidden="1" customHeight="1">
      <c r="A286" s="610"/>
      <c r="B286" s="583"/>
      <c r="C286" s="583"/>
      <c r="D286" s="178" t="s">
        <v>95</v>
      </c>
      <c r="E286" s="11"/>
      <c r="F286" s="12"/>
      <c r="G286" s="12"/>
      <c r="H286" s="12"/>
      <c r="I286" s="12"/>
      <c r="J286" s="12"/>
      <c r="K286" s="12"/>
      <c r="L286" s="65">
        <f>SUM(F286:K286)</f>
        <v>0</v>
      </c>
      <c r="M286" s="65">
        <f>L286/6</f>
        <v>0</v>
      </c>
      <c r="N286" s="11"/>
      <c r="O286" s="11"/>
      <c r="P286" s="11"/>
      <c r="Q286" s="11"/>
      <c r="R286" s="11"/>
      <c r="S286" s="11"/>
      <c r="T286" s="65">
        <f>SUM(N286:S286)</f>
        <v>0</v>
      </c>
      <c r="U286" s="66">
        <f>T286+L286</f>
        <v>0</v>
      </c>
      <c r="V286" s="67"/>
      <c r="W286" s="38">
        <f>V286-U286</f>
        <v>0</v>
      </c>
      <c r="X286" s="47"/>
    </row>
    <row r="287" spans="1:24" s="48" customFormat="1" ht="18" hidden="1" customHeight="1">
      <c r="A287" s="610"/>
      <c r="B287" s="583"/>
      <c r="C287" s="583"/>
      <c r="D287" s="178" t="s">
        <v>105</v>
      </c>
      <c r="E287" s="11"/>
      <c r="F287" s="12"/>
      <c r="G287" s="12"/>
      <c r="H287" s="12"/>
      <c r="I287" s="12"/>
      <c r="J287" s="12"/>
      <c r="K287" s="12"/>
      <c r="L287" s="65">
        <f>SUM(F287:K287)</f>
        <v>0</v>
      </c>
      <c r="M287" s="65">
        <f>L287/6</f>
        <v>0</v>
      </c>
      <c r="N287" s="12"/>
      <c r="O287" s="12"/>
      <c r="P287" s="12"/>
      <c r="Q287" s="12"/>
      <c r="R287" s="12"/>
      <c r="S287" s="11"/>
      <c r="T287" s="65">
        <f>SUM(N287:S287)</f>
        <v>0</v>
      </c>
      <c r="U287" s="66">
        <f>T287+L287</f>
        <v>0</v>
      </c>
      <c r="V287" s="11"/>
      <c r="W287" s="38">
        <f>V287-U287</f>
        <v>0</v>
      </c>
      <c r="X287" s="47"/>
    </row>
    <row r="288" spans="1:24" s="51" customFormat="1" ht="18" hidden="1" customHeight="1">
      <c r="A288" s="610"/>
      <c r="B288" s="583"/>
      <c r="C288" s="583"/>
      <c r="D288" s="187" t="s">
        <v>27</v>
      </c>
      <c r="E288" s="49"/>
      <c r="F288" s="49">
        <v>173.45</v>
      </c>
      <c r="G288" s="49">
        <v>173.45</v>
      </c>
      <c r="H288" s="49">
        <v>173.45</v>
      </c>
      <c r="I288" s="49">
        <v>173.45</v>
      </c>
      <c r="J288" s="49">
        <v>173.45</v>
      </c>
      <c r="K288" s="49">
        <v>173.45</v>
      </c>
      <c r="L288" s="49" t="e">
        <f>L289/L287*1000</f>
        <v>#DIV/0!</v>
      </c>
      <c r="M288" s="49" t="e">
        <f>M289/M287*1000</f>
        <v>#DIV/0!</v>
      </c>
      <c r="N288" s="49">
        <v>173.45</v>
      </c>
      <c r="O288" s="49">
        <v>173.45</v>
      </c>
      <c r="P288" s="49">
        <v>173.45</v>
      </c>
      <c r="Q288" s="49">
        <v>173.45</v>
      </c>
      <c r="R288" s="49">
        <v>173.45</v>
      </c>
      <c r="S288" s="49">
        <v>173.45</v>
      </c>
      <c r="T288" s="49" t="e">
        <f>T289/T287*1000</f>
        <v>#DIV/0!</v>
      </c>
      <c r="U288" s="49" t="e">
        <f>U289/U287*1000</f>
        <v>#DIV/0!</v>
      </c>
      <c r="V288" s="68" t="e">
        <f>V289/V287*1000</f>
        <v>#DIV/0!</v>
      </c>
      <c r="W288" s="14" t="e">
        <f>W289/W287*1000</f>
        <v>#DIV/0!</v>
      </c>
      <c r="X288" s="50"/>
    </row>
    <row r="289" spans="1:24" s="55" customFormat="1" ht="18" hidden="1" customHeight="1">
      <c r="A289" s="610"/>
      <c r="B289" s="583"/>
      <c r="C289" s="583"/>
      <c r="D289" s="191" t="s">
        <v>0</v>
      </c>
      <c r="E289" s="52"/>
      <c r="F289" s="52">
        <f t="shared" ref="F289:K289" si="336">F287*F288/1000</f>
        <v>0</v>
      </c>
      <c r="G289" s="52">
        <f t="shared" si="336"/>
        <v>0</v>
      </c>
      <c r="H289" s="52">
        <f t="shared" si="336"/>
        <v>0</v>
      </c>
      <c r="I289" s="52">
        <f t="shared" si="336"/>
        <v>0</v>
      </c>
      <c r="J289" s="52">
        <f t="shared" si="336"/>
        <v>0</v>
      </c>
      <c r="K289" s="52">
        <f t="shared" si="336"/>
        <v>0</v>
      </c>
      <c r="L289" s="69">
        <f>SUM(F289:K289)</f>
        <v>0</v>
      </c>
      <c r="M289" s="69">
        <f>L289/6</f>
        <v>0</v>
      </c>
      <c r="N289" s="52">
        <f t="shared" ref="N289:S289" si="337">N287*N288/1000</f>
        <v>0</v>
      </c>
      <c r="O289" s="52">
        <f t="shared" si="337"/>
        <v>0</v>
      </c>
      <c r="P289" s="52">
        <f t="shared" si="337"/>
        <v>0</v>
      </c>
      <c r="Q289" s="52">
        <f t="shared" si="337"/>
        <v>0</v>
      </c>
      <c r="R289" s="52">
        <f t="shared" si="337"/>
        <v>0</v>
      </c>
      <c r="S289" s="52">
        <f t="shared" si="337"/>
        <v>0</v>
      </c>
      <c r="T289" s="69">
        <f>SUM(N289:S289)</f>
        <v>0</v>
      </c>
      <c r="U289" s="69">
        <f>T289+L289</f>
        <v>0</v>
      </c>
      <c r="V289" s="70">
        <f>V290+V291</f>
        <v>0</v>
      </c>
      <c r="W289" s="53">
        <f>V289-U289</f>
        <v>0</v>
      </c>
      <c r="X289" s="54">
        <f>9891253.845/1000</f>
        <v>9891.2540000000008</v>
      </c>
    </row>
    <row r="290" spans="1:24" s="55" customFormat="1" ht="18" hidden="1" customHeight="1">
      <c r="A290" s="610"/>
      <c r="B290" s="583"/>
      <c r="C290" s="583"/>
      <c r="D290" s="174" t="s">
        <v>55</v>
      </c>
      <c r="E290" s="56"/>
      <c r="F290" s="52"/>
      <c r="G290" s="52"/>
      <c r="H290" s="52"/>
      <c r="I290" s="52"/>
      <c r="J290" s="52"/>
      <c r="K290" s="52"/>
      <c r="L290" s="69">
        <f>SUM(F290:K290)</f>
        <v>0</v>
      </c>
      <c r="M290" s="69">
        <f>L290/6</f>
        <v>0</v>
      </c>
      <c r="N290" s="52"/>
      <c r="O290" s="52"/>
      <c r="P290" s="52"/>
      <c r="Q290" s="52"/>
      <c r="R290" s="52"/>
      <c r="S290" s="52"/>
      <c r="T290" s="69">
        <f>SUM(N290:S290)</f>
        <v>0</v>
      </c>
      <c r="U290" s="69">
        <f>T290+L290</f>
        <v>0</v>
      </c>
      <c r="V290" s="70"/>
      <c r="W290" s="53">
        <f>V290-U290</f>
        <v>0</v>
      </c>
      <c r="X290" s="58"/>
    </row>
    <row r="291" spans="1:24" s="55" customFormat="1" ht="18" hidden="1" customHeight="1">
      <c r="A291" s="610"/>
      <c r="B291" s="583"/>
      <c r="C291" s="583"/>
      <c r="D291" s="174" t="s">
        <v>28</v>
      </c>
      <c r="E291" s="56"/>
      <c r="F291" s="52"/>
      <c r="G291" s="52"/>
      <c r="H291" s="52"/>
      <c r="I291" s="52"/>
      <c r="J291" s="52"/>
      <c r="K291" s="52"/>
      <c r="L291" s="69">
        <f>SUM(F291:K291)</f>
        <v>0</v>
      </c>
      <c r="M291" s="69">
        <f>L291/6</f>
        <v>0</v>
      </c>
      <c r="N291" s="52"/>
      <c r="O291" s="52"/>
      <c r="P291" s="52"/>
      <c r="Q291" s="52"/>
      <c r="R291" s="52"/>
      <c r="S291" s="52"/>
      <c r="T291" s="69">
        <f>SUM(N291:S291)</f>
        <v>0</v>
      </c>
      <c r="U291" s="69">
        <f>T291+L291</f>
        <v>0</v>
      </c>
      <c r="V291" s="70"/>
      <c r="W291" s="53">
        <f>V291-U291</f>
        <v>0</v>
      </c>
      <c r="X291" s="58"/>
    </row>
    <row r="292" spans="1:24" s="48" customFormat="1" ht="18" hidden="1" customHeight="1">
      <c r="A292" s="610"/>
      <c r="B292" s="583"/>
      <c r="C292" s="583"/>
      <c r="D292" s="178" t="s">
        <v>106</v>
      </c>
      <c r="E292" s="11"/>
      <c r="F292" s="11"/>
      <c r="G292" s="11"/>
      <c r="H292" s="11"/>
      <c r="I292" s="11"/>
      <c r="J292" s="11"/>
      <c r="K292" s="11"/>
      <c r="L292" s="65">
        <f>SUM(F292:K292)</f>
        <v>0</v>
      </c>
      <c r="M292" s="65">
        <f>L292/6</f>
        <v>0</v>
      </c>
      <c r="N292" s="11"/>
      <c r="O292" s="11"/>
      <c r="P292" s="11"/>
      <c r="Q292" s="11"/>
      <c r="R292" s="11"/>
      <c r="S292" s="11">
        <f>S287+R287</f>
        <v>0</v>
      </c>
      <c r="T292" s="65">
        <f>SUM(N292:S292)</f>
        <v>0</v>
      </c>
      <c r="U292" s="65">
        <f>T292+L292</f>
        <v>0</v>
      </c>
      <c r="V292" s="11">
        <f>V287</f>
        <v>0</v>
      </c>
      <c r="W292" s="38">
        <f>V292-U292</f>
        <v>0</v>
      </c>
      <c r="X292" s="47">
        <f>U287-U292</f>
        <v>0</v>
      </c>
    </row>
    <row r="293" spans="1:24" s="51" customFormat="1" ht="18" hidden="1" customHeight="1">
      <c r="A293" s="610"/>
      <c r="B293" s="583"/>
      <c r="C293" s="583"/>
      <c r="D293" s="187" t="s">
        <v>27</v>
      </c>
      <c r="E293" s="49" t="e">
        <f>E294/E292*1000</f>
        <v>#DIV/0!</v>
      </c>
      <c r="F293" s="49">
        <v>173.45</v>
      </c>
      <c r="G293" s="49">
        <v>173.45</v>
      </c>
      <c r="H293" s="49">
        <v>173.45</v>
      </c>
      <c r="I293" s="49">
        <v>173.45</v>
      </c>
      <c r="J293" s="49">
        <v>173.45</v>
      </c>
      <c r="K293" s="49">
        <v>173.45</v>
      </c>
      <c r="L293" s="49" t="e">
        <f>L294/L292*1000</f>
        <v>#DIV/0!</v>
      </c>
      <c r="M293" s="49" t="e">
        <f>M294/M292*1000</f>
        <v>#DIV/0!</v>
      </c>
      <c r="N293" s="49">
        <v>173.45</v>
      </c>
      <c r="O293" s="49">
        <v>173.45</v>
      </c>
      <c r="P293" s="49">
        <v>173.45</v>
      </c>
      <c r="Q293" s="49">
        <v>173.45</v>
      </c>
      <c r="R293" s="49">
        <v>173.45</v>
      </c>
      <c r="S293" s="49">
        <v>173.45</v>
      </c>
      <c r="T293" s="49" t="e">
        <f>T294/T292*1000</f>
        <v>#DIV/0!</v>
      </c>
      <c r="U293" s="49" t="e">
        <f>U294/U292*1000</f>
        <v>#DIV/0!</v>
      </c>
      <c r="V293" s="68" t="e">
        <f>V294/V292*1000</f>
        <v>#DIV/0!</v>
      </c>
      <c r="W293" s="14" t="e">
        <f>W294/W292*1000</f>
        <v>#DIV/0!</v>
      </c>
      <c r="X293" s="59"/>
    </row>
    <row r="294" spans="1:24" s="63" customFormat="1" ht="17.7" hidden="1" customHeight="1">
      <c r="A294" s="610"/>
      <c r="B294" s="583"/>
      <c r="C294" s="583"/>
      <c r="D294" s="198" t="s">
        <v>25</v>
      </c>
      <c r="E294" s="71"/>
      <c r="F294" s="61">
        <f t="shared" ref="F294:K294" si="338">F292*F293/1000</f>
        <v>0</v>
      </c>
      <c r="G294" s="61">
        <f t="shared" si="338"/>
        <v>0</v>
      </c>
      <c r="H294" s="61">
        <f t="shared" si="338"/>
        <v>0</v>
      </c>
      <c r="I294" s="61">
        <f t="shared" si="338"/>
        <v>0</v>
      </c>
      <c r="J294" s="61">
        <f t="shared" si="338"/>
        <v>0</v>
      </c>
      <c r="K294" s="61">
        <f t="shared" si="338"/>
        <v>0</v>
      </c>
      <c r="L294" s="61">
        <f>SUM(F294:K294)</f>
        <v>0</v>
      </c>
      <c r="M294" s="61">
        <f>L294/6</f>
        <v>0</v>
      </c>
      <c r="N294" s="61">
        <f t="shared" ref="N294:S294" si="339">N292*N293/1000</f>
        <v>0</v>
      </c>
      <c r="O294" s="61">
        <f t="shared" si="339"/>
        <v>0</v>
      </c>
      <c r="P294" s="61">
        <f t="shared" si="339"/>
        <v>0</v>
      </c>
      <c r="Q294" s="61">
        <f t="shared" si="339"/>
        <v>0</v>
      </c>
      <c r="R294" s="61">
        <f t="shared" si="339"/>
        <v>0</v>
      </c>
      <c r="S294" s="61">
        <f t="shared" si="339"/>
        <v>0</v>
      </c>
      <c r="T294" s="61">
        <f>SUM(N294:S294)</f>
        <v>0</v>
      </c>
      <c r="U294" s="61">
        <f>T294+L294</f>
        <v>0</v>
      </c>
      <c r="V294" s="61">
        <f>V289</f>
        <v>0</v>
      </c>
      <c r="W294" s="72">
        <f>V294-U294</f>
        <v>0</v>
      </c>
      <c r="X294" s="63">
        <f>U289-U294</f>
        <v>0</v>
      </c>
    </row>
    <row r="295" spans="1:24" s="63" customFormat="1" ht="18" hidden="1" customHeight="1">
      <c r="A295" s="610"/>
      <c r="B295" s="583"/>
      <c r="C295" s="583"/>
      <c r="D295" s="201" t="s">
        <v>55</v>
      </c>
      <c r="E295" s="71"/>
      <c r="F295" s="61"/>
      <c r="G295" s="61"/>
      <c r="H295" s="61"/>
      <c r="I295" s="61"/>
      <c r="J295" s="61"/>
      <c r="K295" s="61"/>
      <c r="L295" s="61">
        <f>SUM(F295:K295)</f>
        <v>0</v>
      </c>
      <c r="M295" s="61">
        <f>L295/6</f>
        <v>0</v>
      </c>
      <c r="N295" s="61"/>
      <c r="O295" s="61"/>
      <c r="P295" s="61"/>
      <c r="Q295" s="61"/>
      <c r="R295" s="61"/>
      <c r="S295" s="61"/>
      <c r="T295" s="61">
        <f>SUM(N295:S295)</f>
        <v>0</v>
      </c>
      <c r="U295" s="61">
        <f>T295+L295</f>
        <v>0</v>
      </c>
      <c r="V295" s="61">
        <f>V290</f>
        <v>0</v>
      </c>
      <c r="W295" s="72">
        <f>V295-U295</f>
        <v>0</v>
      </c>
      <c r="X295" s="63">
        <f>U290-U295</f>
        <v>0</v>
      </c>
    </row>
    <row r="296" spans="1:24" s="63" customFormat="1" ht="18" hidden="1" customHeight="1">
      <c r="A296" s="610"/>
      <c r="B296" s="583"/>
      <c r="C296" s="583"/>
      <c r="D296" s="201" t="s">
        <v>24</v>
      </c>
      <c r="E296" s="71"/>
      <c r="F296" s="61">
        <f t="shared" ref="F296:K296" si="340">F294-F295</f>
        <v>0</v>
      </c>
      <c r="G296" s="61">
        <f t="shared" si="340"/>
        <v>0</v>
      </c>
      <c r="H296" s="61">
        <f t="shared" si="340"/>
        <v>0</v>
      </c>
      <c r="I296" s="61">
        <f t="shared" si="340"/>
        <v>0</v>
      </c>
      <c r="J296" s="61">
        <f t="shared" si="340"/>
        <v>0</v>
      </c>
      <c r="K296" s="61">
        <f t="shared" si="340"/>
        <v>0</v>
      </c>
      <c r="L296" s="61">
        <f>SUM(F296:K296)</f>
        <v>0</v>
      </c>
      <c r="M296" s="61">
        <f>L296/6</f>
        <v>0</v>
      </c>
      <c r="N296" s="61">
        <f t="shared" ref="N296:S296" si="341">N294-N295</f>
        <v>0</v>
      </c>
      <c r="O296" s="61">
        <f t="shared" si="341"/>
        <v>0</v>
      </c>
      <c r="P296" s="61">
        <f t="shared" si="341"/>
        <v>0</v>
      </c>
      <c r="Q296" s="61">
        <f t="shared" si="341"/>
        <v>0</v>
      </c>
      <c r="R296" s="61">
        <f t="shared" si="341"/>
        <v>0</v>
      </c>
      <c r="S296" s="61">
        <f t="shared" si="341"/>
        <v>0</v>
      </c>
      <c r="T296" s="61">
        <f>SUM(N296:S296)</f>
        <v>0</v>
      </c>
      <c r="U296" s="61">
        <f>T296+L296</f>
        <v>0</v>
      </c>
      <c r="V296" s="61">
        <f>V291</f>
        <v>0</v>
      </c>
      <c r="W296" s="72">
        <f>V296-U296</f>
        <v>0</v>
      </c>
      <c r="X296" s="63">
        <f>U291-U296</f>
        <v>0</v>
      </c>
    </row>
    <row r="297" spans="1:24" s="43" customFormat="1" ht="18" hidden="1" customHeight="1">
      <c r="A297" s="610"/>
      <c r="B297" s="583"/>
      <c r="C297" s="583"/>
      <c r="D297" s="202" t="s">
        <v>29</v>
      </c>
      <c r="E297" s="42"/>
      <c r="F297" s="42">
        <f t="shared" ref="F297:K297" si="342">F291</f>
        <v>0</v>
      </c>
      <c r="G297" s="42">
        <f t="shared" si="342"/>
        <v>0</v>
      </c>
      <c r="H297" s="42">
        <f t="shared" si="342"/>
        <v>0</v>
      </c>
      <c r="I297" s="42">
        <f t="shared" si="342"/>
        <v>0</v>
      </c>
      <c r="J297" s="42">
        <f t="shared" si="342"/>
        <v>0</v>
      </c>
      <c r="K297" s="42">
        <f t="shared" si="342"/>
        <v>0</v>
      </c>
      <c r="L297" s="42">
        <f>SUM(F297:K297)</f>
        <v>0</v>
      </c>
      <c r="M297" s="42">
        <f>L297/6</f>
        <v>0</v>
      </c>
      <c r="N297" s="42">
        <f t="shared" ref="N297:S297" si="343">N291+N290</f>
        <v>0</v>
      </c>
      <c r="O297" s="42">
        <f t="shared" si="343"/>
        <v>0</v>
      </c>
      <c r="P297" s="42">
        <f t="shared" si="343"/>
        <v>0</v>
      </c>
      <c r="Q297" s="42">
        <f t="shared" si="343"/>
        <v>0</v>
      </c>
      <c r="R297" s="42">
        <f t="shared" si="343"/>
        <v>0</v>
      </c>
      <c r="S297" s="42">
        <f t="shared" si="343"/>
        <v>0</v>
      </c>
      <c r="T297" s="42">
        <f>SUM(N297:S297)</f>
        <v>0</v>
      </c>
      <c r="U297" s="42">
        <f>T297+L297</f>
        <v>0</v>
      </c>
      <c r="V297" s="42">
        <f>V294</f>
        <v>0</v>
      </c>
      <c r="W297" s="42">
        <f>V297-U297</f>
        <v>0</v>
      </c>
    </row>
    <row r="298" spans="1:24" s="43" customFormat="1" ht="18" hidden="1" customHeight="1">
      <c r="A298" s="610"/>
      <c r="B298" s="583"/>
      <c r="C298" s="583"/>
      <c r="D298" s="202" t="s">
        <v>30</v>
      </c>
      <c r="E298" s="42"/>
      <c r="F298" s="42">
        <f t="shared" ref="F298:K298" si="344">F294-F297</f>
        <v>0</v>
      </c>
      <c r="G298" s="42">
        <f t="shared" si="344"/>
        <v>0</v>
      </c>
      <c r="H298" s="42">
        <f t="shared" si="344"/>
        <v>0</v>
      </c>
      <c r="I298" s="42">
        <f t="shared" si="344"/>
        <v>0</v>
      </c>
      <c r="J298" s="42">
        <f t="shared" si="344"/>
        <v>0</v>
      </c>
      <c r="K298" s="42">
        <f t="shared" si="344"/>
        <v>0</v>
      </c>
      <c r="L298" s="42"/>
      <c r="M298" s="42"/>
      <c r="N298" s="42">
        <f t="shared" ref="N298:S298" si="345">N294-N297</f>
        <v>0</v>
      </c>
      <c r="O298" s="42">
        <f t="shared" si="345"/>
        <v>0</v>
      </c>
      <c r="P298" s="42">
        <f t="shared" si="345"/>
        <v>0</v>
      </c>
      <c r="Q298" s="42">
        <f t="shared" si="345"/>
        <v>0</v>
      </c>
      <c r="R298" s="42">
        <f t="shared" si="345"/>
        <v>0</v>
      </c>
      <c r="S298" s="42">
        <f t="shared" si="345"/>
        <v>0</v>
      </c>
      <c r="T298" s="42"/>
      <c r="U298" s="42"/>
      <c r="V298" s="42"/>
      <c r="W298" s="42"/>
    </row>
    <row r="299" spans="1:24" s="43" customFormat="1" ht="18" hidden="1" customHeight="1">
      <c r="A299" s="610"/>
      <c r="B299" s="583"/>
      <c r="C299" s="584"/>
      <c r="D299" s="202" t="s">
        <v>31</v>
      </c>
      <c r="E299" s="42"/>
      <c r="F299" s="42">
        <f>F298</f>
        <v>0</v>
      </c>
      <c r="G299" s="42">
        <f>G298+F299</f>
        <v>0</v>
      </c>
      <c r="H299" s="42">
        <f>H298+G299</f>
        <v>0</v>
      </c>
      <c r="I299" s="42">
        <f>I298+H299</f>
        <v>0</v>
      </c>
      <c r="J299" s="42">
        <f>J298+I299</f>
        <v>0</v>
      </c>
      <c r="K299" s="42">
        <f>K298+J299</f>
        <v>0</v>
      </c>
      <c r="L299" s="42"/>
      <c r="M299" s="42"/>
      <c r="N299" s="42">
        <f>N298+K299</f>
        <v>0</v>
      </c>
      <c r="O299" s="42">
        <f>O298+N299</f>
        <v>0</v>
      </c>
      <c r="P299" s="42">
        <f>P298+O299</f>
        <v>0</v>
      </c>
      <c r="Q299" s="42">
        <f>Q298+P299</f>
        <v>0</v>
      </c>
      <c r="R299" s="42">
        <f>R298+Q299</f>
        <v>0</v>
      </c>
      <c r="S299" s="42">
        <f>S298+R299</f>
        <v>0</v>
      </c>
      <c r="T299" s="42"/>
      <c r="U299" s="42"/>
      <c r="V299" s="42"/>
      <c r="W299" s="42"/>
    </row>
    <row r="300" spans="1:24" s="47" customFormat="1" ht="18" hidden="1" customHeight="1">
      <c r="A300" s="610"/>
      <c r="B300" s="581" t="s">
        <v>59</v>
      </c>
      <c r="C300" s="582" t="s">
        <v>97</v>
      </c>
      <c r="D300" s="178" t="s">
        <v>93</v>
      </c>
      <c r="E300" s="11"/>
      <c r="F300" s="12"/>
      <c r="G300" s="12"/>
      <c r="H300" s="12"/>
      <c r="I300" s="12"/>
      <c r="J300" s="12"/>
      <c r="K300" s="12"/>
      <c r="L300" s="65">
        <f>SUM(F300:K300)</f>
        <v>0</v>
      </c>
      <c r="M300" s="65">
        <f>L300/6</f>
        <v>0</v>
      </c>
      <c r="N300" s="12"/>
      <c r="O300" s="12"/>
      <c r="P300" s="12"/>
      <c r="Q300" s="12"/>
      <c r="R300" s="12"/>
      <c r="S300" s="12"/>
      <c r="T300" s="65">
        <f>SUM(N300:S300)</f>
        <v>0</v>
      </c>
      <c r="U300" s="66">
        <f>T300+L300</f>
        <v>0</v>
      </c>
      <c r="V300" s="67"/>
      <c r="W300" s="38">
        <f>V300-U300</f>
        <v>0</v>
      </c>
    </row>
    <row r="301" spans="1:24" s="47" customFormat="1" ht="18" hidden="1" customHeight="1">
      <c r="A301" s="610"/>
      <c r="B301" s="581"/>
      <c r="C301" s="583"/>
      <c r="D301" s="178" t="s">
        <v>95</v>
      </c>
      <c r="E301" s="11"/>
      <c r="F301" s="12"/>
      <c r="G301" s="12"/>
      <c r="H301" s="12"/>
      <c r="I301" s="12"/>
      <c r="J301" s="12"/>
      <c r="K301" s="12"/>
      <c r="L301" s="65">
        <f>SUM(F301:K301)</f>
        <v>0</v>
      </c>
      <c r="M301" s="65">
        <f>L301/6</f>
        <v>0</v>
      </c>
      <c r="N301" s="11"/>
      <c r="O301" s="11"/>
      <c r="P301" s="11"/>
      <c r="Q301" s="11"/>
      <c r="R301" s="11"/>
      <c r="S301" s="11"/>
      <c r="T301" s="65">
        <f>SUM(N301:S301)</f>
        <v>0</v>
      </c>
      <c r="U301" s="66">
        <f>T301+L301</f>
        <v>0</v>
      </c>
      <c r="V301" s="67"/>
      <c r="W301" s="38">
        <f>V301-U301</f>
        <v>0</v>
      </c>
    </row>
    <row r="302" spans="1:24" s="47" customFormat="1" ht="18" hidden="1" customHeight="1">
      <c r="A302" s="610"/>
      <c r="B302" s="581"/>
      <c r="C302" s="583"/>
      <c r="D302" s="178" t="s">
        <v>105</v>
      </c>
      <c r="E302" s="11"/>
      <c r="F302" s="12"/>
      <c r="G302" s="12"/>
      <c r="H302" s="12"/>
      <c r="I302" s="12"/>
      <c r="J302" s="12"/>
      <c r="K302" s="12"/>
      <c r="L302" s="65">
        <f>SUM(F302:K302)</f>
        <v>0</v>
      </c>
      <c r="M302" s="65">
        <f>L302/6</f>
        <v>0</v>
      </c>
      <c r="N302" s="12"/>
      <c r="O302" s="12"/>
      <c r="P302" s="12"/>
      <c r="Q302" s="12"/>
      <c r="R302" s="12"/>
      <c r="S302" s="11"/>
      <c r="T302" s="65">
        <f>SUM(N302:S302)</f>
        <v>0</v>
      </c>
      <c r="U302" s="66">
        <f>T302+L302</f>
        <v>0</v>
      </c>
      <c r="V302" s="11"/>
      <c r="W302" s="38">
        <f>V302-U302</f>
        <v>0</v>
      </c>
    </row>
    <row r="303" spans="1:24" s="47" customFormat="1" ht="18" hidden="1" customHeight="1">
      <c r="A303" s="610"/>
      <c r="B303" s="581"/>
      <c r="C303" s="583"/>
      <c r="D303" s="187" t="s">
        <v>27</v>
      </c>
      <c r="E303" s="49"/>
      <c r="F303" s="49"/>
      <c r="G303" s="49"/>
      <c r="H303" s="49"/>
      <c r="I303" s="49"/>
      <c r="J303" s="49"/>
      <c r="K303" s="49"/>
      <c r="L303" s="49" t="e">
        <f>L304/L302*1000</f>
        <v>#DIV/0!</v>
      </c>
      <c r="M303" s="49" t="e">
        <f>M304/M302*1000</f>
        <v>#DIV/0!</v>
      </c>
      <c r="N303" s="49"/>
      <c r="O303" s="49"/>
      <c r="P303" s="49"/>
      <c r="Q303" s="49"/>
      <c r="R303" s="49"/>
      <c r="S303" s="49"/>
      <c r="T303" s="49" t="e">
        <f>T304/T302*1000</f>
        <v>#DIV/0!</v>
      </c>
      <c r="U303" s="49" t="e">
        <f>U304/U302*1000</f>
        <v>#DIV/0!</v>
      </c>
      <c r="V303" s="68" t="e">
        <f>V304/V302*1000</f>
        <v>#DIV/0!</v>
      </c>
      <c r="W303" s="14" t="e">
        <f>W304/W302*1000</f>
        <v>#DIV/0!</v>
      </c>
    </row>
    <row r="304" spans="1:24" s="47" customFormat="1" ht="18" hidden="1" customHeight="1">
      <c r="A304" s="610"/>
      <c r="B304" s="581"/>
      <c r="C304" s="583"/>
      <c r="D304" s="191" t="s">
        <v>0</v>
      </c>
      <c r="E304" s="52"/>
      <c r="F304" s="52">
        <f t="shared" ref="F304:K304" si="346">F302*F303/1000</f>
        <v>0</v>
      </c>
      <c r="G304" s="52">
        <f t="shared" si="346"/>
        <v>0</v>
      </c>
      <c r="H304" s="52">
        <f t="shared" si="346"/>
        <v>0</v>
      </c>
      <c r="I304" s="52">
        <f t="shared" si="346"/>
        <v>0</v>
      </c>
      <c r="J304" s="52">
        <f t="shared" si="346"/>
        <v>0</v>
      </c>
      <c r="K304" s="52">
        <f t="shared" si="346"/>
        <v>0</v>
      </c>
      <c r="L304" s="69">
        <f>SUM(F304:K304)</f>
        <v>0</v>
      </c>
      <c r="M304" s="69">
        <f>L304/6</f>
        <v>0</v>
      </c>
      <c r="N304" s="52">
        <f t="shared" ref="N304:S304" si="347">N302*N303/1000</f>
        <v>0</v>
      </c>
      <c r="O304" s="52">
        <f t="shared" si="347"/>
        <v>0</v>
      </c>
      <c r="P304" s="52">
        <f t="shared" si="347"/>
        <v>0</v>
      </c>
      <c r="Q304" s="52">
        <f t="shared" si="347"/>
        <v>0</v>
      </c>
      <c r="R304" s="52">
        <f t="shared" si="347"/>
        <v>0</v>
      </c>
      <c r="S304" s="52">
        <f t="shared" si="347"/>
        <v>0</v>
      </c>
      <c r="T304" s="69">
        <f>SUM(N304:S304)</f>
        <v>0</v>
      </c>
      <c r="U304" s="69">
        <f>T304+L304</f>
        <v>0</v>
      </c>
      <c r="V304" s="70">
        <f>V305+V306</f>
        <v>0</v>
      </c>
      <c r="W304" s="53">
        <f>V304-U304</f>
        <v>0</v>
      </c>
    </row>
    <row r="305" spans="1:24" s="47" customFormat="1" ht="18" hidden="1" customHeight="1">
      <c r="A305" s="610"/>
      <c r="B305" s="581"/>
      <c r="C305" s="583"/>
      <c r="D305" s="174" t="s">
        <v>55</v>
      </c>
      <c r="E305" s="56"/>
      <c r="F305" s="52"/>
      <c r="G305" s="52"/>
      <c r="H305" s="52"/>
      <c r="I305" s="52"/>
      <c r="J305" s="52"/>
      <c r="K305" s="52"/>
      <c r="L305" s="69">
        <f>SUM(F305:K305)</f>
        <v>0</v>
      </c>
      <c r="M305" s="69">
        <f>L305/6</f>
        <v>0</v>
      </c>
      <c r="N305" s="52"/>
      <c r="O305" s="52"/>
      <c r="P305" s="52"/>
      <c r="Q305" s="52"/>
      <c r="R305" s="52"/>
      <c r="S305" s="52"/>
      <c r="T305" s="69">
        <f>SUM(N305:S305)</f>
        <v>0</v>
      </c>
      <c r="U305" s="69">
        <f>T305+L305</f>
        <v>0</v>
      </c>
      <c r="V305" s="70"/>
      <c r="W305" s="53">
        <f>V305-U305</f>
        <v>0</v>
      </c>
    </row>
    <row r="306" spans="1:24" s="47" customFormat="1" ht="18" hidden="1" customHeight="1">
      <c r="A306" s="610"/>
      <c r="B306" s="581"/>
      <c r="C306" s="583"/>
      <c r="D306" s="174" t="s">
        <v>28</v>
      </c>
      <c r="E306" s="56"/>
      <c r="F306" s="52"/>
      <c r="G306" s="52"/>
      <c r="H306" s="52"/>
      <c r="I306" s="52"/>
      <c r="J306" s="52"/>
      <c r="K306" s="52"/>
      <c r="L306" s="69">
        <f>SUM(F306:K306)</f>
        <v>0</v>
      </c>
      <c r="M306" s="69">
        <f>L306/6</f>
        <v>0</v>
      </c>
      <c r="N306" s="52"/>
      <c r="O306" s="52"/>
      <c r="P306" s="52"/>
      <c r="Q306" s="52"/>
      <c r="R306" s="52"/>
      <c r="S306" s="52"/>
      <c r="T306" s="69">
        <f>SUM(N306:S306)</f>
        <v>0</v>
      </c>
      <c r="U306" s="69">
        <f>T306+L306</f>
        <v>0</v>
      </c>
      <c r="V306" s="70"/>
      <c r="W306" s="53">
        <f>V306-U306</f>
        <v>0</v>
      </c>
    </row>
    <row r="307" spans="1:24" s="47" customFormat="1" ht="18" hidden="1" customHeight="1">
      <c r="A307" s="610"/>
      <c r="B307" s="581"/>
      <c r="C307" s="583"/>
      <c r="D307" s="178" t="s">
        <v>106</v>
      </c>
      <c r="E307" s="11"/>
      <c r="F307" s="11"/>
      <c r="G307" s="11"/>
      <c r="H307" s="11"/>
      <c r="I307" s="11"/>
      <c r="J307" s="11"/>
      <c r="K307" s="11"/>
      <c r="L307" s="65">
        <f>SUM(F307:K307)</f>
        <v>0</v>
      </c>
      <c r="M307" s="65">
        <f>L307/6</f>
        <v>0</v>
      </c>
      <c r="N307" s="11"/>
      <c r="O307" s="11"/>
      <c r="P307" s="11"/>
      <c r="Q307" s="11"/>
      <c r="R307" s="11"/>
      <c r="S307" s="11">
        <f>S302+R302</f>
        <v>0</v>
      </c>
      <c r="T307" s="65">
        <f>SUM(N307:S307)</f>
        <v>0</v>
      </c>
      <c r="U307" s="65">
        <f>T307+L307</f>
        <v>0</v>
      </c>
      <c r="V307" s="11">
        <f>V302</f>
        <v>0</v>
      </c>
      <c r="W307" s="38">
        <f>V307-U307</f>
        <v>0</v>
      </c>
      <c r="X307" s="47">
        <f>U302-U307</f>
        <v>0</v>
      </c>
    </row>
    <row r="308" spans="1:24" s="47" customFormat="1" ht="18" hidden="1" customHeight="1">
      <c r="A308" s="610"/>
      <c r="B308" s="581"/>
      <c r="C308" s="583"/>
      <c r="D308" s="187" t="s">
        <v>27</v>
      </c>
      <c r="E308" s="49" t="e">
        <f>E309/E307*1000</f>
        <v>#DIV/0!</v>
      </c>
      <c r="F308" s="49"/>
      <c r="G308" s="49"/>
      <c r="H308" s="49"/>
      <c r="I308" s="49"/>
      <c r="J308" s="49"/>
      <c r="K308" s="49"/>
      <c r="L308" s="49" t="e">
        <f>L309/L307*1000</f>
        <v>#DIV/0!</v>
      </c>
      <c r="M308" s="49" t="e">
        <f>M309/M307*1000</f>
        <v>#DIV/0!</v>
      </c>
      <c r="N308" s="49"/>
      <c r="O308" s="49"/>
      <c r="P308" s="49"/>
      <c r="Q308" s="49"/>
      <c r="R308" s="49"/>
      <c r="S308" s="49"/>
      <c r="T308" s="49" t="e">
        <f>T309/T307*1000</f>
        <v>#DIV/0!</v>
      </c>
      <c r="U308" s="49" t="e">
        <f>U309/U307*1000</f>
        <v>#DIV/0!</v>
      </c>
      <c r="V308" s="68" t="e">
        <f>V309/V307*1000</f>
        <v>#DIV/0!</v>
      </c>
      <c r="W308" s="14" t="e">
        <f>W309/W307*1000</f>
        <v>#DIV/0!</v>
      </c>
    </row>
    <row r="309" spans="1:24" s="63" customFormat="1" ht="18" hidden="1" customHeight="1">
      <c r="A309" s="610"/>
      <c r="B309" s="581"/>
      <c r="C309" s="583"/>
      <c r="D309" s="198" t="s">
        <v>25</v>
      </c>
      <c r="E309" s="71"/>
      <c r="F309" s="61">
        <f t="shared" ref="F309:K309" si="348">F307*F308/1000</f>
        <v>0</v>
      </c>
      <c r="G309" s="61">
        <f t="shared" si="348"/>
        <v>0</v>
      </c>
      <c r="H309" s="61">
        <f t="shared" si="348"/>
        <v>0</v>
      </c>
      <c r="I309" s="61">
        <f t="shared" si="348"/>
        <v>0</v>
      </c>
      <c r="J309" s="61">
        <f t="shared" si="348"/>
        <v>0</v>
      </c>
      <c r="K309" s="61">
        <f t="shared" si="348"/>
        <v>0</v>
      </c>
      <c r="L309" s="61">
        <f>SUM(F309:K309)</f>
        <v>0</v>
      </c>
      <c r="M309" s="61">
        <f>L309/6</f>
        <v>0</v>
      </c>
      <c r="N309" s="61">
        <f t="shared" ref="N309:S309" si="349">N307*N308/1000</f>
        <v>0</v>
      </c>
      <c r="O309" s="61">
        <f t="shared" si="349"/>
        <v>0</v>
      </c>
      <c r="P309" s="61">
        <f t="shared" si="349"/>
        <v>0</v>
      </c>
      <c r="Q309" s="61">
        <f t="shared" si="349"/>
        <v>0</v>
      </c>
      <c r="R309" s="61">
        <f t="shared" si="349"/>
        <v>0</v>
      </c>
      <c r="S309" s="61">
        <f t="shared" si="349"/>
        <v>0</v>
      </c>
      <c r="T309" s="61">
        <f>SUM(N309:S309)</f>
        <v>0</v>
      </c>
      <c r="U309" s="61">
        <f>T309+L309</f>
        <v>0</v>
      </c>
      <c r="V309" s="61">
        <f>V304</f>
        <v>0</v>
      </c>
      <c r="W309" s="72">
        <f>V309-U309</f>
        <v>0</v>
      </c>
      <c r="X309" s="63">
        <f>U304-U309</f>
        <v>0</v>
      </c>
    </row>
    <row r="310" spans="1:24" s="63" customFormat="1" ht="18" hidden="1" customHeight="1">
      <c r="A310" s="610"/>
      <c r="B310" s="581"/>
      <c r="C310" s="583"/>
      <c r="D310" s="201" t="s">
        <v>55</v>
      </c>
      <c r="E310" s="71"/>
      <c r="F310" s="61"/>
      <c r="G310" s="61"/>
      <c r="H310" s="61"/>
      <c r="I310" s="61"/>
      <c r="J310" s="61"/>
      <c r="K310" s="61"/>
      <c r="L310" s="61">
        <f>SUM(F310:K310)</f>
        <v>0</v>
      </c>
      <c r="M310" s="61">
        <f>L310/6</f>
        <v>0</v>
      </c>
      <c r="N310" s="61"/>
      <c r="O310" s="61"/>
      <c r="P310" s="61"/>
      <c r="Q310" s="61"/>
      <c r="R310" s="61"/>
      <c r="S310" s="61"/>
      <c r="T310" s="61">
        <f>SUM(N310:S310)</f>
        <v>0</v>
      </c>
      <c r="U310" s="61">
        <f>T310+L310</f>
        <v>0</v>
      </c>
      <c r="V310" s="61">
        <f>V305</f>
        <v>0</v>
      </c>
      <c r="W310" s="72">
        <f>V310-U310</f>
        <v>0</v>
      </c>
      <c r="X310" s="63">
        <f>U305-U310</f>
        <v>0</v>
      </c>
    </row>
    <row r="311" spans="1:24" s="63" customFormat="1" ht="18" hidden="1" customHeight="1">
      <c r="A311" s="610"/>
      <c r="B311" s="581"/>
      <c r="C311" s="583"/>
      <c r="D311" s="201" t="s">
        <v>24</v>
      </c>
      <c r="E311" s="71"/>
      <c r="F311" s="61">
        <f t="shared" ref="F311:K311" si="350">F309-F310</f>
        <v>0</v>
      </c>
      <c r="G311" s="61">
        <f t="shared" si="350"/>
        <v>0</v>
      </c>
      <c r="H311" s="61">
        <f t="shared" si="350"/>
        <v>0</v>
      </c>
      <c r="I311" s="61">
        <f t="shared" si="350"/>
        <v>0</v>
      </c>
      <c r="J311" s="61">
        <f t="shared" si="350"/>
        <v>0</v>
      </c>
      <c r="K311" s="61">
        <f t="shared" si="350"/>
        <v>0</v>
      </c>
      <c r="L311" s="61">
        <f>SUM(F311:K311)</f>
        <v>0</v>
      </c>
      <c r="M311" s="61">
        <f>L311/6</f>
        <v>0</v>
      </c>
      <c r="N311" s="61">
        <f t="shared" ref="N311:S311" si="351">N309-N310</f>
        <v>0</v>
      </c>
      <c r="O311" s="61">
        <f t="shared" si="351"/>
        <v>0</v>
      </c>
      <c r="P311" s="61">
        <f t="shared" si="351"/>
        <v>0</v>
      </c>
      <c r="Q311" s="61">
        <f t="shared" si="351"/>
        <v>0</v>
      </c>
      <c r="R311" s="61">
        <f t="shared" si="351"/>
        <v>0</v>
      </c>
      <c r="S311" s="61">
        <f t="shared" si="351"/>
        <v>0</v>
      </c>
      <c r="T311" s="61">
        <f>SUM(N311:S311)</f>
        <v>0</v>
      </c>
      <c r="U311" s="61">
        <f>T311+L311</f>
        <v>0</v>
      </c>
      <c r="V311" s="61">
        <f>V306</f>
        <v>0</v>
      </c>
      <c r="W311" s="72">
        <f>V311-U311</f>
        <v>0</v>
      </c>
      <c r="X311" s="63">
        <f>U306-U311</f>
        <v>0</v>
      </c>
    </row>
    <row r="312" spans="1:24" s="43" customFormat="1" ht="18" hidden="1" customHeight="1">
      <c r="A312" s="610"/>
      <c r="B312" s="581"/>
      <c r="C312" s="583"/>
      <c r="D312" s="202" t="s">
        <v>29</v>
      </c>
      <c r="E312" s="42"/>
      <c r="F312" s="42">
        <f t="shared" ref="F312:K312" si="352">F306</f>
        <v>0</v>
      </c>
      <c r="G312" s="42">
        <f t="shared" si="352"/>
        <v>0</v>
      </c>
      <c r="H312" s="42">
        <f t="shared" si="352"/>
        <v>0</v>
      </c>
      <c r="I312" s="42">
        <f t="shared" si="352"/>
        <v>0</v>
      </c>
      <c r="J312" s="42">
        <f t="shared" si="352"/>
        <v>0</v>
      </c>
      <c r="K312" s="42">
        <f t="shared" si="352"/>
        <v>0</v>
      </c>
      <c r="L312" s="42">
        <f>SUM(F312:K312)</f>
        <v>0</v>
      </c>
      <c r="M312" s="42">
        <f>L312/6</f>
        <v>0</v>
      </c>
      <c r="N312" s="42">
        <f t="shared" ref="N312:S312" si="353">N306+N305</f>
        <v>0</v>
      </c>
      <c r="O312" s="42">
        <f t="shared" si="353"/>
        <v>0</v>
      </c>
      <c r="P312" s="42">
        <f t="shared" si="353"/>
        <v>0</v>
      </c>
      <c r="Q312" s="42">
        <f t="shared" si="353"/>
        <v>0</v>
      </c>
      <c r="R312" s="42">
        <f t="shared" si="353"/>
        <v>0</v>
      </c>
      <c r="S312" s="42">
        <f t="shared" si="353"/>
        <v>0</v>
      </c>
      <c r="T312" s="42">
        <f>SUM(N312:S312)</f>
        <v>0</v>
      </c>
      <c r="U312" s="42">
        <f>T312+L312</f>
        <v>0</v>
      </c>
      <c r="V312" s="42">
        <f>V309</f>
        <v>0</v>
      </c>
      <c r="W312" s="42">
        <f>V312-U312</f>
        <v>0</v>
      </c>
    </row>
    <row r="313" spans="1:24" s="43" customFormat="1" ht="18" hidden="1" customHeight="1">
      <c r="A313" s="610"/>
      <c r="B313" s="581"/>
      <c r="C313" s="583"/>
      <c r="D313" s="202" t="s">
        <v>30</v>
      </c>
      <c r="E313" s="42"/>
      <c r="F313" s="42">
        <f t="shared" ref="F313:K313" si="354">F309-F312</f>
        <v>0</v>
      </c>
      <c r="G313" s="42">
        <f t="shared" si="354"/>
        <v>0</v>
      </c>
      <c r="H313" s="42">
        <f t="shared" si="354"/>
        <v>0</v>
      </c>
      <c r="I313" s="42">
        <f t="shared" si="354"/>
        <v>0</v>
      </c>
      <c r="J313" s="42">
        <f t="shared" si="354"/>
        <v>0</v>
      </c>
      <c r="K313" s="42">
        <f t="shared" si="354"/>
        <v>0</v>
      </c>
      <c r="L313" s="42"/>
      <c r="M313" s="42"/>
      <c r="N313" s="42">
        <f t="shared" ref="N313:S313" si="355">N309-N312</f>
        <v>0</v>
      </c>
      <c r="O313" s="42">
        <f t="shared" si="355"/>
        <v>0</v>
      </c>
      <c r="P313" s="42">
        <f t="shared" si="355"/>
        <v>0</v>
      </c>
      <c r="Q313" s="42">
        <f t="shared" si="355"/>
        <v>0</v>
      </c>
      <c r="R313" s="42">
        <f t="shared" si="355"/>
        <v>0</v>
      </c>
      <c r="S313" s="42">
        <f t="shared" si="355"/>
        <v>0</v>
      </c>
      <c r="T313" s="42"/>
      <c r="U313" s="42"/>
      <c r="V313" s="42"/>
      <c r="W313" s="42"/>
    </row>
    <row r="314" spans="1:24" s="43" customFormat="1" ht="18" hidden="1" customHeight="1">
      <c r="A314" s="610"/>
      <c r="B314" s="581"/>
      <c r="C314" s="584"/>
      <c r="D314" s="202" t="s">
        <v>31</v>
      </c>
      <c r="E314" s="42"/>
      <c r="F314" s="42">
        <f>F313</f>
        <v>0</v>
      </c>
      <c r="G314" s="42">
        <f>G313+F314</f>
        <v>0</v>
      </c>
      <c r="H314" s="42">
        <f>H313+G314</f>
        <v>0</v>
      </c>
      <c r="I314" s="42">
        <f>I313+H314</f>
        <v>0</v>
      </c>
      <c r="J314" s="42">
        <f>J313+I314</f>
        <v>0</v>
      </c>
      <c r="K314" s="42">
        <f>K313+J314</f>
        <v>0</v>
      </c>
      <c r="L314" s="42"/>
      <c r="M314" s="42"/>
      <c r="N314" s="42">
        <f>N313+K314</f>
        <v>0</v>
      </c>
      <c r="O314" s="42">
        <f>O313+N314</f>
        <v>0</v>
      </c>
      <c r="P314" s="42">
        <f>P313+O314</f>
        <v>0</v>
      </c>
      <c r="Q314" s="42">
        <f>Q313+P314</f>
        <v>0</v>
      </c>
      <c r="R314" s="42">
        <f>R313+Q314</f>
        <v>0</v>
      </c>
      <c r="S314" s="42">
        <f>S313+R314</f>
        <v>0</v>
      </c>
      <c r="T314" s="42"/>
      <c r="U314" s="42"/>
      <c r="V314" s="42"/>
      <c r="W314" s="42"/>
    </row>
    <row r="315" spans="1:24" s="48" customFormat="1" ht="18" hidden="1" customHeight="1">
      <c r="A315" s="610"/>
      <c r="B315" s="581"/>
      <c r="C315" s="582" t="s">
        <v>96</v>
      </c>
      <c r="D315" s="178" t="s">
        <v>93</v>
      </c>
      <c r="E315" s="11"/>
      <c r="F315" s="12"/>
      <c r="G315" s="12"/>
      <c r="H315" s="12"/>
      <c r="I315" s="12"/>
      <c r="J315" s="12"/>
      <c r="K315" s="12"/>
      <c r="L315" s="65">
        <f>SUM(F315:K315)</f>
        <v>0</v>
      </c>
      <c r="M315" s="65">
        <f>L315/6</f>
        <v>0</v>
      </c>
      <c r="N315" s="12"/>
      <c r="O315" s="12"/>
      <c r="P315" s="12"/>
      <c r="Q315" s="12"/>
      <c r="R315" s="12"/>
      <c r="S315" s="12"/>
      <c r="T315" s="65">
        <f>SUM(N315:S315)</f>
        <v>0</v>
      </c>
      <c r="U315" s="66">
        <f>T315+L315</f>
        <v>0</v>
      </c>
      <c r="V315" s="67"/>
      <c r="W315" s="38">
        <f>V315-U315</f>
        <v>0</v>
      </c>
      <c r="X315" s="47"/>
    </row>
    <row r="316" spans="1:24" s="48" customFormat="1" ht="18" hidden="1" customHeight="1">
      <c r="A316" s="610"/>
      <c r="B316" s="581"/>
      <c r="C316" s="583"/>
      <c r="D316" s="178" t="s">
        <v>95</v>
      </c>
      <c r="E316" s="11"/>
      <c r="F316" s="12"/>
      <c r="G316" s="12"/>
      <c r="H316" s="12"/>
      <c r="I316" s="12"/>
      <c r="J316" s="12"/>
      <c r="K316" s="12"/>
      <c r="L316" s="65">
        <f>SUM(F316:K316)</f>
        <v>0</v>
      </c>
      <c r="M316" s="65">
        <f>L316/6</f>
        <v>0</v>
      </c>
      <c r="N316" s="11"/>
      <c r="O316" s="11"/>
      <c r="P316" s="11"/>
      <c r="Q316" s="11"/>
      <c r="R316" s="11"/>
      <c r="S316" s="11"/>
      <c r="T316" s="65">
        <f>SUM(N316:S316)</f>
        <v>0</v>
      </c>
      <c r="U316" s="66">
        <f>T316+L316</f>
        <v>0</v>
      </c>
      <c r="V316" s="67"/>
      <c r="W316" s="38">
        <f>V316-U316</f>
        <v>0</v>
      </c>
      <c r="X316" s="47"/>
    </row>
    <row r="317" spans="1:24" s="48" customFormat="1" ht="18" hidden="1" customHeight="1">
      <c r="A317" s="610"/>
      <c r="B317" s="581"/>
      <c r="C317" s="583"/>
      <c r="D317" s="178" t="s">
        <v>105</v>
      </c>
      <c r="E317" s="11"/>
      <c r="F317" s="12"/>
      <c r="G317" s="12"/>
      <c r="H317" s="12"/>
      <c r="I317" s="12"/>
      <c r="J317" s="12"/>
      <c r="K317" s="12"/>
      <c r="L317" s="65">
        <f>SUM(F317:K317)</f>
        <v>0</v>
      </c>
      <c r="M317" s="65">
        <f>L317/6</f>
        <v>0</v>
      </c>
      <c r="N317" s="12"/>
      <c r="O317" s="12"/>
      <c r="P317" s="12"/>
      <c r="Q317" s="12"/>
      <c r="R317" s="12"/>
      <c r="S317" s="11"/>
      <c r="T317" s="65">
        <f>SUM(N317:S317)</f>
        <v>0</v>
      </c>
      <c r="U317" s="66">
        <f>T317+L317</f>
        <v>0</v>
      </c>
      <c r="V317" s="11"/>
      <c r="W317" s="38">
        <f>V317-U317</f>
        <v>0</v>
      </c>
      <c r="X317" s="47"/>
    </row>
    <row r="318" spans="1:24" s="51" customFormat="1" ht="18" hidden="1" customHeight="1">
      <c r="A318" s="610"/>
      <c r="B318" s="581"/>
      <c r="C318" s="583"/>
      <c r="D318" s="187" t="s">
        <v>27</v>
      </c>
      <c r="E318" s="49"/>
      <c r="F318" s="49">
        <v>173.45</v>
      </c>
      <c r="G318" s="49">
        <v>173.45</v>
      </c>
      <c r="H318" s="49">
        <v>173.45</v>
      </c>
      <c r="I318" s="49">
        <v>173.45</v>
      </c>
      <c r="J318" s="49">
        <v>173.45</v>
      </c>
      <c r="K318" s="49">
        <v>173.45</v>
      </c>
      <c r="L318" s="49" t="e">
        <f>L319/L317*1000</f>
        <v>#DIV/0!</v>
      </c>
      <c r="M318" s="49" t="e">
        <f>M319/M317*1000</f>
        <v>#DIV/0!</v>
      </c>
      <c r="N318" s="49">
        <v>173.45</v>
      </c>
      <c r="O318" s="49">
        <v>173.45</v>
      </c>
      <c r="P318" s="49">
        <v>173.45</v>
      </c>
      <c r="Q318" s="49">
        <v>173.45</v>
      </c>
      <c r="R318" s="49">
        <v>173.45</v>
      </c>
      <c r="S318" s="49">
        <v>173.45</v>
      </c>
      <c r="T318" s="49" t="e">
        <f>T319/T317*1000</f>
        <v>#DIV/0!</v>
      </c>
      <c r="U318" s="49" t="e">
        <f>U319/U317*1000</f>
        <v>#DIV/0!</v>
      </c>
      <c r="V318" s="68" t="e">
        <f>V319/V317*1000</f>
        <v>#DIV/0!</v>
      </c>
      <c r="W318" s="14" t="e">
        <f>W319/W317*1000</f>
        <v>#DIV/0!</v>
      </c>
      <c r="X318" s="50"/>
    </row>
    <row r="319" spans="1:24" s="55" customFormat="1" ht="18" hidden="1" customHeight="1">
      <c r="A319" s="610"/>
      <c r="B319" s="581"/>
      <c r="C319" s="583"/>
      <c r="D319" s="191" t="s">
        <v>0</v>
      </c>
      <c r="E319" s="52"/>
      <c r="F319" s="52">
        <f t="shared" ref="F319:K319" si="356">F317*F318/1000</f>
        <v>0</v>
      </c>
      <c r="G319" s="52">
        <f t="shared" si="356"/>
        <v>0</v>
      </c>
      <c r="H319" s="52">
        <f t="shared" si="356"/>
        <v>0</v>
      </c>
      <c r="I319" s="52">
        <f t="shared" si="356"/>
        <v>0</v>
      </c>
      <c r="J319" s="52">
        <f t="shared" si="356"/>
        <v>0</v>
      </c>
      <c r="K319" s="52">
        <f t="shared" si="356"/>
        <v>0</v>
      </c>
      <c r="L319" s="69">
        <f>SUM(F319:K319)</f>
        <v>0</v>
      </c>
      <c r="M319" s="69">
        <f>L319/6</f>
        <v>0</v>
      </c>
      <c r="N319" s="52">
        <f t="shared" ref="N319:S319" si="357">N317*N318/1000</f>
        <v>0</v>
      </c>
      <c r="O319" s="52">
        <f t="shared" si="357"/>
        <v>0</v>
      </c>
      <c r="P319" s="52">
        <f t="shared" si="357"/>
        <v>0</v>
      </c>
      <c r="Q319" s="52">
        <f t="shared" si="357"/>
        <v>0</v>
      </c>
      <c r="R319" s="52">
        <f t="shared" si="357"/>
        <v>0</v>
      </c>
      <c r="S319" s="52">
        <f t="shared" si="357"/>
        <v>0</v>
      </c>
      <c r="T319" s="69">
        <f>SUM(N319:S319)</f>
        <v>0</v>
      </c>
      <c r="U319" s="69">
        <f>T319+L319</f>
        <v>0</v>
      </c>
      <c r="V319" s="70">
        <f>V320+V321</f>
        <v>0</v>
      </c>
      <c r="W319" s="53">
        <f>V319-U319</f>
        <v>0</v>
      </c>
      <c r="X319" s="54">
        <f>9891253.845/1000</f>
        <v>9891.2540000000008</v>
      </c>
    </row>
    <row r="320" spans="1:24" s="55" customFormat="1" ht="18" hidden="1" customHeight="1">
      <c r="A320" s="610"/>
      <c r="B320" s="581"/>
      <c r="C320" s="583"/>
      <c r="D320" s="174" t="s">
        <v>55</v>
      </c>
      <c r="E320" s="56"/>
      <c r="F320" s="52"/>
      <c r="G320" s="52"/>
      <c r="H320" s="52"/>
      <c r="I320" s="52"/>
      <c r="J320" s="52"/>
      <c r="K320" s="52"/>
      <c r="L320" s="69">
        <f>SUM(F320:K320)</f>
        <v>0</v>
      </c>
      <c r="M320" s="69">
        <f>L320/6</f>
        <v>0</v>
      </c>
      <c r="N320" s="52"/>
      <c r="O320" s="52"/>
      <c r="P320" s="52"/>
      <c r="Q320" s="52"/>
      <c r="R320" s="52"/>
      <c r="S320" s="52"/>
      <c r="T320" s="69">
        <f>SUM(N320:S320)</f>
        <v>0</v>
      </c>
      <c r="U320" s="69">
        <f>T320+L320</f>
        <v>0</v>
      </c>
      <c r="V320" s="70"/>
      <c r="W320" s="53">
        <f>V320-U320</f>
        <v>0</v>
      </c>
      <c r="X320" s="58"/>
    </row>
    <row r="321" spans="1:24" s="55" customFormat="1" ht="18" hidden="1" customHeight="1">
      <c r="A321" s="610"/>
      <c r="B321" s="581"/>
      <c r="C321" s="583"/>
      <c r="D321" s="174" t="s">
        <v>28</v>
      </c>
      <c r="E321" s="56"/>
      <c r="F321" s="52"/>
      <c r="G321" s="52"/>
      <c r="H321" s="52"/>
      <c r="I321" s="52"/>
      <c r="J321" s="52"/>
      <c r="K321" s="52"/>
      <c r="L321" s="69">
        <f>SUM(F321:K321)</f>
        <v>0</v>
      </c>
      <c r="M321" s="69">
        <f>L321/6</f>
        <v>0</v>
      </c>
      <c r="N321" s="52"/>
      <c r="O321" s="52"/>
      <c r="P321" s="52"/>
      <c r="Q321" s="52"/>
      <c r="R321" s="52"/>
      <c r="S321" s="52"/>
      <c r="T321" s="69">
        <f>SUM(N321:S321)</f>
        <v>0</v>
      </c>
      <c r="U321" s="69">
        <f>T321+L321</f>
        <v>0</v>
      </c>
      <c r="V321" s="70"/>
      <c r="W321" s="53">
        <f>V321-U321</f>
        <v>0</v>
      </c>
      <c r="X321" s="58"/>
    </row>
    <row r="322" spans="1:24" s="48" customFormat="1" ht="18" hidden="1" customHeight="1">
      <c r="A322" s="610"/>
      <c r="B322" s="581"/>
      <c r="C322" s="583"/>
      <c r="D322" s="178" t="s">
        <v>106</v>
      </c>
      <c r="E322" s="11"/>
      <c r="F322" s="11"/>
      <c r="G322" s="11"/>
      <c r="H322" s="11"/>
      <c r="I322" s="11"/>
      <c r="J322" s="11"/>
      <c r="K322" s="11"/>
      <c r="L322" s="65">
        <f>SUM(F322:K322)</f>
        <v>0</v>
      </c>
      <c r="M322" s="65">
        <f>L322/6</f>
        <v>0</v>
      </c>
      <c r="N322" s="11"/>
      <c r="O322" s="11"/>
      <c r="P322" s="11"/>
      <c r="Q322" s="11"/>
      <c r="R322" s="11"/>
      <c r="S322" s="11">
        <f>S317+R317</f>
        <v>0</v>
      </c>
      <c r="T322" s="65">
        <f>SUM(N322:S322)</f>
        <v>0</v>
      </c>
      <c r="U322" s="65">
        <f>T322+L322</f>
        <v>0</v>
      </c>
      <c r="V322" s="11">
        <f>V317</f>
        <v>0</v>
      </c>
      <c r="W322" s="38">
        <f>V322-U322</f>
        <v>0</v>
      </c>
      <c r="X322" s="47">
        <f>U317-U322</f>
        <v>0</v>
      </c>
    </row>
    <row r="323" spans="1:24" s="51" customFormat="1" ht="18" hidden="1" customHeight="1">
      <c r="A323" s="610"/>
      <c r="B323" s="581"/>
      <c r="C323" s="583"/>
      <c r="D323" s="187" t="s">
        <v>27</v>
      </c>
      <c r="E323" s="49" t="e">
        <f>E324/E322*1000</f>
        <v>#DIV/0!</v>
      </c>
      <c r="F323" s="49">
        <v>173.45</v>
      </c>
      <c r="G323" s="49">
        <v>173.45</v>
      </c>
      <c r="H323" s="49">
        <v>173.45</v>
      </c>
      <c r="I323" s="49">
        <v>173.45</v>
      </c>
      <c r="J323" s="49">
        <v>173.45</v>
      </c>
      <c r="K323" s="49">
        <v>173.45</v>
      </c>
      <c r="L323" s="49" t="e">
        <f>L324/L322*1000</f>
        <v>#DIV/0!</v>
      </c>
      <c r="M323" s="49" t="e">
        <f>M324/M322*1000</f>
        <v>#DIV/0!</v>
      </c>
      <c r="N323" s="49">
        <v>173.45</v>
      </c>
      <c r="O323" s="49">
        <v>173.45</v>
      </c>
      <c r="P323" s="49">
        <v>173.45</v>
      </c>
      <c r="Q323" s="49">
        <v>173.45</v>
      </c>
      <c r="R323" s="49">
        <v>173.45</v>
      </c>
      <c r="S323" s="49">
        <v>173.45</v>
      </c>
      <c r="T323" s="49" t="e">
        <f>T324/T322*1000</f>
        <v>#DIV/0!</v>
      </c>
      <c r="U323" s="49" t="e">
        <f>U324/U322*1000</f>
        <v>#DIV/0!</v>
      </c>
      <c r="V323" s="68" t="e">
        <f>V324/V322*1000</f>
        <v>#DIV/0!</v>
      </c>
      <c r="W323" s="14" t="e">
        <f>W324/W322*1000</f>
        <v>#DIV/0!</v>
      </c>
      <c r="X323" s="59"/>
    </row>
    <row r="324" spans="1:24" s="63" customFormat="1" ht="17.7" hidden="1" customHeight="1">
      <c r="A324" s="610"/>
      <c r="B324" s="581"/>
      <c r="C324" s="583"/>
      <c r="D324" s="198" t="s">
        <v>25</v>
      </c>
      <c r="E324" s="71"/>
      <c r="F324" s="61">
        <f t="shared" ref="F324:K324" si="358">F322*F323/1000</f>
        <v>0</v>
      </c>
      <c r="G324" s="61">
        <f t="shared" si="358"/>
        <v>0</v>
      </c>
      <c r="H324" s="61">
        <f t="shared" si="358"/>
        <v>0</v>
      </c>
      <c r="I324" s="61">
        <f t="shared" si="358"/>
        <v>0</v>
      </c>
      <c r="J324" s="61">
        <f t="shared" si="358"/>
        <v>0</v>
      </c>
      <c r="K324" s="61">
        <f t="shared" si="358"/>
        <v>0</v>
      </c>
      <c r="L324" s="61">
        <f>SUM(F324:K324)</f>
        <v>0</v>
      </c>
      <c r="M324" s="61">
        <f>L324/6</f>
        <v>0</v>
      </c>
      <c r="N324" s="61">
        <f t="shared" ref="N324:S324" si="359">N322*N323/1000</f>
        <v>0</v>
      </c>
      <c r="O324" s="61">
        <f t="shared" si="359"/>
        <v>0</v>
      </c>
      <c r="P324" s="61">
        <f t="shared" si="359"/>
        <v>0</v>
      </c>
      <c r="Q324" s="61">
        <f t="shared" si="359"/>
        <v>0</v>
      </c>
      <c r="R324" s="61">
        <f t="shared" si="359"/>
        <v>0</v>
      </c>
      <c r="S324" s="61">
        <f t="shared" si="359"/>
        <v>0</v>
      </c>
      <c r="T324" s="61">
        <f>SUM(N324:S324)</f>
        <v>0</v>
      </c>
      <c r="U324" s="61">
        <f>T324+L324</f>
        <v>0</v>
      </c>
      <c r="V324" s="61">
        <f>V319</f>
        <v>0</v>
      </c>
      <c r="W324" s="72">
        <f>V324-U324</f>
        <v>0</v>
      </c>
      <c r="X324" s="63">
        <f>U319-U324</f>
        <v>0</v>
      </c>
    </row>
    <row r="325" spans="1:24" s="63" customFormat="1" ht="18" hidden="1" customHeight="1">
      <c r="A325" s="610"/>
      <c r="B325" s="581"/>
      <c r="C325" s="583"/>
      <c r="D325" s="201" t="s">
        <v>55</v>
      </c>
      <c r="E325" s="71"/>
      <c r="F325" s="61"/>
      <c r="G325" s="61"/>
      <c r="H325" s="61"/>
      <c r="I325" s="61"/>
      <c r="J325" s="61"/>
      <c r="K325" s="61"/>
      <c r="L325" s="61">
        <f>SUM(F325:K325)</f>
        <v>0</v>
      </c>
      <c r="M325" s="61">
        <f>L325/6</f>
        <v>0</v>
      </c>
      <c r="N325" s="61"/>
      <c r="O325" s="61"/>
      <c r="P325" s="61"/>
      <c r="Q325" s="61"/>
      <c r="R325" s="61"/>
      <c r="S325" s="61"/>
      <c r="T325" s="61">
        <f>SUM(N325:S325)</f>
        <v>0</v>
      </c>
      <c r="U325" s="61">
        <f>T325+L325</f>
        <v>0</v>
      </c>
      <c r="V325" s="61">
        <f>V320</f>
        <v>0</v>
      </c>
      <c r="W325" s="72">
        <f>V325-U325</f>
        <v>0</v>
      </c>
      <c r="X325" s="63">
        <f>U320-U325</f>
        <v>0</v>
      </c>
    </row>
    <row r="326" spans="1:24" s="63" customFormat="1" ht="18" hidden="1" customHeight="1">
      <c r="A326" s="610"/>
      <c r="B326" s="581"/>
      <c r="C326" s="583"/>
      <c r="D326" s="201" t="s">
        <v>24</v>
      </c>
      <c r="E326" s="71"/>
      <c r="F326" s="61">
        <f t="shared" ref="F326:K326" si="360">F324-F325</f>
        <v>0</v>
      </c>
      <c r="G326" s="61">
        <f t="shared" si="360"/>
        <v>0</v>
      </c>
      <c r="H326" s="61">
        <f t="shared" si="360"/>
        <v>0</v>
      </c>
      <c r="I326" s="61">
        <f t="shared" si="360"/>
        <v>0</v>
      </c>
      <c r="J326" s="61">
        <f t="shared" si="360"/>
        <v>0</v>
      </c>
      <c r="K326" s="61">
        <f t="shared" si="360"/>
        <v>0</v>
      </c>
      <c r="L326" s="61">
        <f>SUM(F326:K326)</f>
        <v>0</v>
      </c>
      <c r="M326" s="61">
        <f>L326/6</f>
        <v>0</v>
      </c>
      <c r="N326" s="61">
        <f t="shared" ref="N326:S326" si="361">N324-N325</f>
        <v>0</v>
      </c>
      <c r="O326" s="61">
        <f t="shared" si="361"/>
        <v>0</v>
      </c>
      <c r="P326" s="61">
        <f t="shared" si="361"/>
        <v>0</v>
      </c>
      <c r="Q326" s="61">
        <f t="shared" si="361"/>
        <v>0</v>
      </c>
      <c r="R326" s="61">
        <f t="shared" si="361"/>
        <v>0</v>
      </c>
      <c r="S326" s="61">
        <f t="shared" si="361"/>
        <v>0</v>
      </c>
      <c r="T326" s="61">
        <f>SUM(N326:S326)</f>
        <v>0</v>
      </c>
      <c r="U326" s="61">
        <f>T326+L326</f>
        <v>0</v>
      </c>
      <c r="V326" s="61">
        <f>V321</f>
        <v>0</v>
      </c>
      <c r="W326" s="72">
        <f>V326-U326</f>
        <v>0</v>
      </c>
      <c r="X326" s="63">
        <f>U321-U326</f>
        <v>0</v>
      </c>
    </row>
    <row r="327" spans="1:24" s="43" customFormat="1" ht="18" hidden="1" customHeight="1">
      <c r="A327" s="610"/>
      <c r="B327" s="581"/>
      <c r="C327" s="583"/>
      <c r="D327" s="202" t="s">
        <v>29</v>
      </c>
      <c r="E327" s="42"/>
      <c r="F327" s="42">
        <f t="shared" ref="F327:K327" si="362">F321</f>
        <v>0</v>
      </c>
      <c r="G327" s="42">
        <f t="shared" si="362"/>
        <v>0</v>
      </c>
      <c r="H327" s="42">
        <f t="shared" si="362"/>
        <v>0</v>
      </c>
      <c r="I327" s="42">
        <f t="shared" si="362"/>
        <v>0</v>
      </c>
      <c r="J327" s="42">
        <f t="shared" si="362"/>
        <v>0</v>
      </c>
      <c r="K327" s="42">
        <f t="shared" si="362"/>
        <v>0</v>
      </c>
      <c r="L327" s="42">
        <f>SUM(F327:K327)</f>
        <v>0</v>
      </c>
      <c r="M327" s="42">
        <f>L327/6</f>
        <v>0</v>
      </c>
      <c r="N327" s="42">
        <f t="shared" ref="N327:S327" si="363">N321+N320</f>
        <v>0</v>
      </c>
      <c r="O327" s="42">
        <f t="shared" si="363"/>
        <v>0</v>
      </c>
      <c r="P327" s="42">
        <f t="shared" si="363"/>
        <v>0</v>
      </c>
      <c r="Q327" s="42">
        <f t="shared" si="363"/>
        <v>0</v>
      </c>
      <c r="R327" s="42">
        <f t="shared" si="363"/>
        <v>0</v>
      </c>
      <c r="S327" s="42">
        <f t="shared" si="363"/>
        <v>0</v>
      </c>
      <c r="T327" s="42">
        <f>SUM(N327:S327)</f>
        <v>0</v>
      </c>
      <c r="U327" s="42">
        <f>T327+L327</f>
        <v>0</v>
      </c>
      <c r="V327" s="42">
        <f>V324</f>
        <v>0</v>
      </c>
      <c r="W327" s="42">
        <f>V327-U327</f>
        <v>0</v>
      </c>
    </row>
    <row r="328" spans="1:24" s="43" customFormat="1" ht="18" hidden="1" customHeight="1">
      <c r="A328" s="610"/>
      <c r="B328" s="581"/>
      <c r="C328" s="583"/>
      <c r="D328" s="202" t="s">
        <v>30</v>
      </c>
      <c r="E328" s="42"/>
      <c r="F328" s="42">
        <f t="shared" ref="F328:K328" si="364">F324-F327</f>
        <v>0</v>
      </c>
      <c r="G328" s="42">
        <f t="shared" si="364"/>
        <v>0</v>
      </c>
      <c r="H328" s="42">
        <f t="shared" si="364"/>
        <v>0</v>
      </c>
      <c r="I328" s="42">
        <f t="shared" si="364"/>
        <v>0</v>
      </c>
      <c r="J328" s="42">
        <f t="shared" si="364"/>
        <v>0</v>
      </c>
      <c r="K328" s="42">
        <f t="shared" si="364"/>
        <v>0</v>
      </c>
      <c r="L328" s="42"/>
      <c r="M328" s="42"/>
      <c r="N328" s="42">
        <f t="shared" ref="N328:S328" si="365">N324-N327</f>
        <v>0</v>
      </c>
      <c r="O328" s="42">
        <f t="shared" si="365"/>
        <v>0</v>
      </c>
      <c r="P328" s="42">
        <f t="shared" si="365"/>
        <v>0</v>
      </c>
      <c r="Q328" s="42">
        <f t="shared" si="365"/>
        <v>0</v>
      </c>
      <c r="R328" s="42">
        <f t="shared" si="365"/>
        <v>0</v>
      </c>
      <c r="S328" s="42">
        <f t="shared" si="365"/>
        <v>0</v>
      </c>
      <c r="T328" s="42"/>
      <c r="U328" s="42"/>
      <c r="V328" s="42"/>
      <c r="W328" s="42"/>
    </row>
    <row r="329" spans="1:24" s="43" customFormat="1" ht="18" hidden="1" customHeight="1">
      <c r="A329" s="611"/>
      <c r="B329" s="581"/>
      <c r="C329" s="584"/>
      <c r="D329" s="202" t="s">
        <v>31</v>
      </c>
      <c r="E329" s="42"/>
      <c r="F329" s="42">
        <f>F328</f>
        <v>0</v>
      </c>
      <c r="G329" s="42">
        <f>G328+F329</f>
        <v>0</v>
      </c>
      <c r="H329" s="42">
        <f>H328+G329</f>
        <v>0</v>
      </c>
      <c r="I329" s="42">
        <f>I328+H329</f>
        <v>0</v>
      </c>
      <c r="J329" s="42">
        <f>J328+I329</f>
        <v>0</v>
      </c>
      <c r="K329" s="42">
        <f>K328+J329</f>
        <v>0</v>
      </c>
      <c r="L329" s="42"/>
      <c r="M329" s="42"/>
      <c r="N329" s="42">
        <f>N328+K329</f>
        <v>0</v>
      </c>
      <c r="O329" s="42">
        <f>O328+N329</f>
        <v>0</v>
      </c>
      <c r="P329" s="42">
        <f>P328+O329</f>
        <v>0</v>
      </c>
      <c r="Q329" s="42">
        <f>Q328+P329</f>
        <v>0</v>
      </c>
      <c r="R329" s="42">
        <f>R328+Q329</f>
        <v>0</v>
      </c>
      <c r="S329" s="42">
        <f>S328+R329</f>
        <v>0</v>
      </c>
      <c r="T329" s="42"/>
      <c r="U329" s="42"/>
      <c r="V329" s="42"/>
      <c r="W329" s="42"/>
    </row>
    <row r="330" spans="1:24" s="48" customFormat="1" ht="16.3" customHeight="1">
      <c r="A330" s="591">
        <v>2272</v>
      </c>
      <c r="B330" s="659" t="s">
        <v>34</v>
      </c>
      <c r="C330" s="660"/>
      <c r="D330" s="178" t="str">
        <f>серпень!D253</f>
        <v>факт. нат.п-ки 2023</v>
      </c>
      <c r="E330" s="11"/>
      <c r="F330" s="12">
        <f t="shared" ref="F330:K332" si="366">F347+F409</f>
        <v>695.1</v>
      </c>
      <c r="G330" s="12">
        <f t="shared" si="366"/>
        <v>666</v>
      </c>
      <c r="H330" s="12">
        <f t="shared" si="366"/>
        <v>1042</v>
      </c>
      <c r="I330" s="12">
        <f t="shared" si="366"/>
        <v>794</v>
      </c>
      <c r="J330" s="12">
        <f t="shared" si="366"/>
        <v>436</v>
      </c>
      <c r="K330" s="12">
        <f t="shared" si="366"/>
        <v>1010</v>
      </c>
      <c r="L330" s="65">
        <f>SUM(F330:K330)</f>
        <v>4643.1000000000004</v>
      </c>
      <c r="M330" s="65">
        <f>L330/6</f>
        <v>773.9</v>
      </c>
      <c r="N330" s="151">
        <f t="shared" ref="N330:S332" si="367">N347+N409</f>
        <v>1430</v>
      </c>
      <c r="O330" s="151">
        <f t="shared" si="367"/>
        <v>1219</v>
      </c>
      <c r="P330" s="83">
        <f t="shared" si="367"/>
        <v>1012</v>
      </c>
      <c r="Q330" s="151">
        <f t="shared" si="367"/>
        <v>956</v>
      </c>
      <c r="R330" s="151">
        <f t="shared" si="367"/>
        <v>987</v>
      </c>
      <c r="S330" s="151">
        <f t="shared" si="367"/>
        <v>2414.1</v>
      </c>
      <c r="T330" s="65">
        <f>SUM(N330:S330)</f>
        <v>8018.1</v>
      </c>
      <c r="U330" s="65">
        <f>T330+L330</f>
        <v>12661.2</v>
      </c>
      <c r="V330" s="75">
        <f>V347+V409</f>
        <v>12661.2</v>
      </c>
      <c r="W330" s="38"/>
      <c r="X330" s="47"/>
    </row>
    <row r="331" spans="1:24" s="48" customFormat="1" ht="16.3" customHeight="1">
      <c r="A331" s="592"/>
      <c r="B331" s="661"/>
      <c r="C331" s="662"/>
      <c r="D331" s="178" t="str">
        <f>серпень!D254</f>
        <v>факт. нат.п-ки 2024</v>
      </c>
      <c r="E331" s="11"/>
      <c r="F331" s="12">
        <f t="shared" si="366"/>
        <v>786</v>
      </c>
      <c r="G331" s="12">
        <f t="shared" si="366"/>
        <v>812</v>
      </c>
      <c r="H331" s="12">
        <f t="shared" si="366"/>
        <v>929</v>
      </c>
      <c r="I331" s="12">
        <f t="shared" si="366"/>
        <v>928</v>
      </c>
      <c r="J331" s="12">
        <f t="shared" si="366"/>
        <v>1165.5</v>
      </c>
      <c r="K331" s="12">
        <f t="shared" si="366"/>
        <v>907.5</v>
      </c>
      <c r="L331" s="65">
        <f>SUM(F331:K331)</f>
        <v>5528</v>
      </c>
      <c r="M331" s="65">
        <f>L331/6</f>
        <v>921.3</v>
      </c>
      <c r="N331" s="151">
        <f t="shared" si="367"/>
        <v>1136</v>
      </c>
      <c r="O331" s="151">
        <f t="shared" si="367"/>
        <v>1168</v>
      </c>
      <c r="P331" s="83">
        <f t="shared" si="367"/>
        <v>940</v>
      </c>
      <c r="Q331" s="151">
        <f t="shared" si="367"/>
        <v>1034.5</v>
      </c>
      <c r="R331" s="151">
        <f t="shared" si="367"/>
        <v>597</v>
      </c>
      <c r="S331" s="151">
        <f t="shared" si="367"/>
        <v>446.3</v>
      </c>
      <c r="T331" s="65">
        <f>SUM(N331:S331)</f>
        <v>5321.8</v>
      </c>
      <c r="U331" s="65">
        <f>T331+L331</f>
        <v>10849.8</v>
      </c>
      <c r="V331" s="75">
        <f>V348+V410</f>
        <v>10849.8</v>
      </c>
      <c r="W331" s="38"/>
      <c r="X331" s="47"/>
    </row>
    <row r="332" spans="1:24" s="48" customFormat="1" ht="16.3" customHeight="1">
      <c r="A332" s="592"/>
      <c r="B332" s="661"/>
      <c r="C332" s="662"/>
      <c r="D332" s="178" t="str">
        <f>серпень!D255</f>
        <v>факт. нат.п-ки 2025</v>
      </c>
      <c r="E332" s="11"/>
      <c r="F332" s="12">
        <f t="shared" si="366"/>
        <v>684</v>
      </c>
      <c r="G332" s="12">
        <f t="shared" si="366"/>
        <v>866</v>
      </c>
      <c r="H332" s="12">
        <f t="shared" si="366"/>
        <v>865.9</v>
      </c>
      <c r="I332" s="12">
        <f t="shared" si="366"/>
        <v>1015.3</v>
      </c>
      <c r="J332" s="12">
        <f t="shared" si="366"/>
        <v>1083.4000000000001</v>
      </c>
      <c r="K332" s="12">
        <f t="shared" si="366"/>
        <v>992.1</v>
      </c>
      <c r="L332" s="122">
        <f>SUM(F332:K332)</f>
        <v>5506.7</v>
      </c>
      <c r="M332" s="65">
        <f>L332/6</f>
        <v>917.8</v>
      </c>
      <c r="N332" s="151">
        <f t="shared" si="367"/>
        <v>0</v>
      </c>
      <c r="O332" s="151">
        <f t="shared" si="367"/>
        <v>782.5</v>
      </c>
      <c r="P332" s="151">
        <f t="shared" si="367"/>
        <v>940</v>
      </c>
      <c r="Q332" s="151">
        <f t="shared" si="367"/>
        <v>1050.5</v>
      </c>
      <c r="R332" s="151">
        <f t="shared" si="367"/>
        <v>787</v>
      </c>
      <c r="S332" s="151">
        <f t="shared" si="367"/>
        <v>361.2</v>
      </c>
      <c r="T332" s="65">
        <f>SUM(N332:S332)</f>
        <v>3921.2</v>
      </c>
      <c r="U332" s="118">
        <f>T332+L332</f>
        <v>9427.9</v>
      </c>
      <c r="V332" s="75">
        <f>V349+V411</f>
        <v>9856.9</v>
      </c>
      <c r="W332" s="38">
        <f>V332-U332</f>
        <v>429</v>
      </c>
      <c r="X332" s="47"/>
    </row>
    <row r="333" spans="1:24" s="51" customFormat="1" ht="23.35" customHeight="1">
      <c r="A333" s="592"/>
      <c r="B333" s="661"/>
      <c r="C333" s="662"/>
      <c r="D333" s="187" t="str">
        <f>серпень!D256</f>
        <v>тариф, грн.</v>
      </c>
      <c r="E333" s="49"/>
      <c r="F333" s="49">
        <f t="shared" ref="F333:S333" si="368">F334/F332*1000</f>
        <v>16.355</v>
      </c>
      <c r="G333" s="49">
        <f t="shared" si="368"/>
        <v>15.843</v>
      </c>
      <c r="H333" s="49">
        <f t="shared" si="368"/>
        <v>15.839</v>
      </c>
      <c r="I333" s="49">
        <f t="shared" si="368"/>
        <v>15.426</v>
      </c>
      <c r="J333" s="49">
        <f t="shared" si="368"/>
        <v>15.86</v>
      </c>
      <c r="K333" s="49">
        <f t="shared" si="368"/>
        <v>17.436</v>
      </c>
      <c r="L333" s="49">
        <f t="shared" si="368"/>
        <v>16.119</v>
      </c>
      <c r="M333" s="49">
        <f t="shared" si="368"/>
        <v>16.119</v>
      </c>
      <c r="N333" s="49" t="e">
        <f t="shared" si="368"/>
        <v>#DIV/0!</v>
      </c>
      <c r="O333" s="49">
        <f t="shared" si="368"/>
        <v>19.509</v>
      </c>
      <c r="P333" s="49">
        <f t="shared" si="368"/>
        <v>17.777000000000001</v>
      </c>
      <c r="Q333" s="49">
        <f t="shared" si="368"/>
        <v>15.962999999999999</v>
      </c>
      <c r="R333" s="49">
        <f t="shared" si="368"/>
        <v>18.779</v>
      </c>
      <c r="S333" s="49">
        <f t="shared" si="368"/>
        <v>20.902999999999999</v>
      </c>
      <c r="T333" s="49">
        <f>T334/T332*1000</f>
        <v>18.126000000000001</v>
      </c>
      <c r="U333" s="49">
        <f>U334/U332*1000</f>
        <v>16.954000000000001</v>
      </c>
      <c r="V333" s="49">
        <f>V334/V332*1000</f>
        <v>16.305</v>
      </c>
      <c r="W333" s="14">
        <f>W334/W332*1000</f>
        <v>2.0470000000000002</v>
      </c>
      <c r="X333" s="59"/>
    </row>
    <row r="334" spans="1:24" s="113" customFormat="1" ht="18" customHeight="1">
      <c r="A334" s="670"/>
      <c r="B334" s="661"/>
      <c r="C334" s="662"/>
      <c r="D334" s="191" t="str">
        <f>серпень!D257</f>
        <v>сума, тис.грн.</v>
      </c>
      <c r="E334" s="52"/>
      <c r="F334" s="52">
        <f t="shared" ref="F334:K335" si="369">F351+F413</f>
        <v>11.186999999999999</v>
      </c>
      <c r="G334" s="52">
        <f t="shared" si="369"/>
        <v>13.72</v>
      </c>
      <c r="H334" s="52">
        <f t="shared" si="369"/>
        <v>13.715</v>
      </c>
      <c r="I334" s="52">
        <f t="shared" si="369"/>
        <v>15.662000000000001</v>
      </c>
      <c r="J334" s="52">
        <f t="shared" si="369"/>
        <v>17.183</v>
      </c>
      <c r="K334" s="52">
        <f t="shared" si="369"/>
        <v>17.297999999999998</v>
      </c>
      <c r="L334" s="69">
        <f>SUM(F334:K334)</f>
        <v>88.765000000000001</v>
      </c>
      <c r="M334" s="69">
        <f>L334/6</f>
        <v>14.794</v>
      </c>
      <c r="N334" s="52">
        <f t="shared" ref="N334:S335" si="370">N351+N413</f>
        <v>0</v>
      </c>
      <c r="O334" s="52">
        <f t="shared" si="370"/>
        <v>15.266</v>
      </c>
      <c r="P334" s="52">
        <f t="shared" si="370"/>
        <v>16.71</v>
      </c>
      <c r="Q334" s="52">
        <f t="shared" si="370"/>
        <v>16.768999999999998</v>
      </c>
      <c r="R334" s="52">
        <f t="shared" si="370"/>
        <v>14.779</v>
      </c>
      <c r="S334" s="52">
        <f t="shared" si="370"/>
        <v>7.55</v>
      </c>
      <c r="T334" s="69">
        <f t="shared" ref="T334:T339" si="371">SUM(N334:S334)</f>
        <v>71.073999999999998</v>
      </c>
      <c r="U334" s="69">
        <f t="shared" ref="U334:U339" si="372">T334+L334</f>
        <v>159.839</v>
      </c>
      <c r="V334" s="69">
        <f>V351+V413</f>
        <v>160.71700000000001</v>
      </c>
      <c r="W334" s="52">
        <f>V334-U334</f>
        <v>0.878</v>
      </c>
    </row>
    <row r="335" spans="1:24" s="113" customFormat="1" ht="18" customHeight="1">
      <c r="A335" s="670"/>
      <c r="B335" s="661"/>
      <c r="C335" s="662"/>
      <c r="D335" s="174" t="str">
        <f>серпень!D258</f>
        <v>абоненська плата, тис.грн.</v>
      </c>
      <c r="E335" s="52"/>
      <c r="F335" s="52">
        <f>F352+F414</f>
        <v>0</v>
      </c>
      <c r="G335" s="52">
        <f t="shared" si="369"/>
        <v>0</v>
      </c>
      <c r="H335" s="52">
        <f t="shared" si="369"/>
        <v>0</v>
      </c>
      <c r="I335" s="52">
        <f t="shared" si="369"/>
        <v>0</v>
      </c>
      <c r="J335" s="52">
        <f t="shared" si="369"/>
        <v>0</v>
      </c>
      <c r="K335" s="52">
        <f t="shared" si="369"/>
        <v>0</v>
      </c>
      <c r="L335" s="69">
        <f t="shared" ref="L335:L337" si="373">SUM(F335:K335)</f>
        <v>0</v>
      </c>
      <c r="M335" s="69">
        <f t="shared" ref="M335:M337" si="374">L335/6</f>
        <v>0</v>
      </c>
      <c r="N335" s="52">
        <f t="shared" si="370"/>
        <v>0</v>
      </c>
      <c r="O335" s="52">
        <f t="shared" si="370"/>
        <v>0</v>
      </c>
      <c r="P335" s="52">
        <f t="shared" si="370"/>
        <v>0</v>
      </c>
      <c r="Q335" s="52">
        <f t="shared" si="370"/>
        <v>0</v>
      </c>
      <c r="R335" s="52">
        <f t="shared" si="370"/>
        <v>0</v>
      </c>
      <c r="S335" s="52">
        <f t="shared" si="370"/>
        <v>0</v>
      </c>
      <c r="T335" s="69">
        <f t="shared" si="371"/>
        <v>0</v>
      </c>
      <c r="U335" s="69">
        <f t="shared" si="372"/>
        <v>0</v>
      </c>
      <c r="V335" s="69">
        <f t="shared" ref="V335:V337" si="375">V352+V414</f>
        <v>0</v>
      </c>
      <c r="W335" s="52">
        <f t="shared" ref="W335:W337" si="376">V335-U335</f>
        <v>0</v>
      </c>
    </row>
    <row r="336" spans="1:24" s="113" customFormat="1" ht="18" customHeight="1">
      <c r="A336" s="670"/>
      <c r="B336" s="661"/>
      <c r="C336" s="662"/>
      <c r="D336" s="174" t="str">
        <f>серпень!D259</f>
        <v>разом сума тис. грн+абонплата</v>
      </c>
      <c r="E336" s="52"/>
      <c r="F336" s="52">
        <f>F334+F335</f>
        <v>11.186999999999999</v>
      </c>
      <c r="G336" s="52">
        <f t="shared" ref="G336:K336" si="377">G334+G335</f>
        <v>13.72</v>
      </c>
      <c r="H336" s="52">
        <f t="shared" si="377"/>
        <v>13.715</v>
      </c>
      <c r="I336" s="52">
        <f t="shared" si="377"/>
        <v>15.662000000000001</v>
      </c>
      <c r="J336" s="52">
        <f t="shared" si="377"/>
        <v>17.183</v>
      </c>
      <c r="K336" s="52">
        <f t="shared" si="377"/>
        <v>17.297999999999998</v>
      </c>
      <c r="L336" s="69">
        <f t="shared" si="373"/>
        <v>88.765000000000001</v>
      </c>
      <c r="M336" s="69">
        <f t="shared" si="374"/>
        <v>14.794</v>
      </c>
      <c r="N336" s="52">
        <f>N334+N335</f>
        <v>0</v>
      </c>
      <c r="O336" s="52">
        <f t="shared" ref="O336:S336" si="378">O334+O335</f>
        <v>15.266</v>
      </c>
      <c r="P336" s="52">
        <f t="shared" si="378"/>
        <v>16.71</v>
      </c>
      <c r="Q336" s="52">
        <f t="shared" si="378"/>
        <v>16.768999999999998</v>
      </c>
      <c r="R336" s="52">
        <f t="shared" si="378"/>
        <v>14.779</v>
      </c>
      <c r="S336" s="52">
        <f t="shared" si="378"/>
        <v>7.55</v>
      </c>
      <c r="T336" s="69">
        <f t="shared" si="371"/>
        <v>71.073999999999998</v>
      </c>
      <c r="U336" s="69">
        <f t="shared" si="372"/>
        <v>159.839</v>
      </c>
      <c r="V336" s="69">
        <f t="shared" si="375"/>
        <v>160.71700000000001</v>
      </c>
      <c r="W336" s="52">
        <f t="shared" si="376"/>
        <v>0.878</v>
      </c>
    </row>
    <row r="337" spans="1:24" s="113" customFormat="1" ht="18" customHeight="1">
      <c r="A337" s="670"/>
      <c r="B337" s="661"/>
      <c r="C337" s="662"/>
      <c r="D337" s="174" t="str">
        <f>серпень!D260</f>
        <v>дотація</v>
      </c>
      <c r="E337" s="52"/>
      <c r="F337" s="52">
        <f t="shared" ref="F337:K339" si="379">F354+F416</f>
        <v>0</v>
      </c>
      <c r="G337" s="52">
        <f t="shared" si="379"/>
        <v>0</v>
      </c>
      <c r="H337" s="52">
        <f t="shared" si="379"/>
        <v>0</v>
      </c>
      <c r="I337" s="52">
        <f t="shared" si="379"/>
        <v>0</v>
      </c>
      <c r="J337" s="52">
        <f t="shared" si="379"/>
        <v>0</v>
      </c>
      <c r="K337" s="52">
        <f t="shared" si="379"/>
        <v>0</v>
      </c>
      <c r="L337" s="69">
        <f t="shared" si="373"/>
        <v>0</v>
      </c>
      <c r="M337" s="69">
        <f t="shared" si="374"/>
        <v>0</v>
      </c>
      <c r="N337" s="52">
        <f t="shared" ref="N337:S339" si="380">N354+N416</f>
        <v>0</v>
      </c>
      <c r="O337" s="52">
        <f t="shared" si="380"/>
        <v>0</v>
      </c>
      <c r="P337" s="52">
        <f t="shared" si="380"/>
        <v>0</v>
      </c>
      <c r="Q337" s="52">
        <f t="shared" si="380"/>
        <v>0</v>
      </c>
      <c r="R337" s="52">
        <f t="shared" si="380"/>
        <v>0</v>
      </c>
      <c r="S337" s="52">
        <f t="shared" si="380"/>
        <v>0</v>
      </c>
      <c r="T337" s="69">
        <f t="shared" si="371"/>
        <v>0</v>
      </c>
      <c r="U337" s="69">
        <f t="shared" si="372"/>
        <v>0</v>
      </c>
      <c r="V337" s="69">
        <f t="shared" si="375"/>
        <v>0</v>
      </c>
      <c r="W337" s="52">
        <f t="shared" si="376"/>
        <v>0</v>
      </c>
    </row>
    <row r="338" spans="1:24" s="113" customFormat="1" ht="18" customHeight="1">
      <c r="A338" s="670"/>
      <c r="B338" s="661"/>
      <c r="C338" s="662"/>
      <c r="D338" s="174" t="str">
        <f>серпень!D261</f>
        <v>місцевий (план), тис.грн</v>
      </c>
      <c r="E338" s="52"/>
      <c r="F338" s="52">
        <f t="shared" si="379"/>
        <v>0</v>
      </c>
      <c r="G338" s="52">
        <f t="shared" si="379"/>
        <v>24.920999999999999</v>
      </c>
      <c r="H338" s="52">
        <f t="shared" si="379"/>
        <v>14.824999999999999</v>
      </c>
      <c r="I338" s="52">
        <f t="shared" si="379"/>
        <v>14.565</v>
      </c>
      <c r="J338" s="52">
        <f t="shared" si="379"/>
        <v>19.544</v>
      </c>
      <c r="K338" s="52">
        <f t="shared" si="379"/>
        <v>15.018000000000001</v>
      </c>
      <c r="L338" s="69">
        <f>SUM(F338:K338)</f>
        <v>88.873000000000005</v>
      </c>
      <c r="M338" s="69">
        <f>L338/6</f>
        <v>14.811999999999999</v>
      </c>
      <c r="N338" s="52">
        <f t="shared" si="380"/>
        <v>8.4000000000000005E-2</v>
      </c>
      <c r="O338" s="52">
        <f t="shared" si="380"/>
        <v>15.119</v>
      </c>
      <c r="P338" s="52">
        <f t="shared" si="380"/>
        <v>20.771999999999998</v>
      </c>
      <c r="Q338" s="52">
        <f t="shared" si="380"/>
        <v>14.801</v>
      </c>
      <c r="R338" s="52">
        <f t="shared" si="380"/>
        <v>14.023999999999999</v>
      </c>
      <c r="S338" s="52">
        <f t="shared" si="380"/>
        <v>7.0439999999999996</v>
      </c>
      <c r="T338" s="69">
        <f t="shared" si="371"/>
        <v>71.843999999999994</v>
      </c>
      <c r="U338" s="69">
        <f t="shared" si="372"/>
        <v>160.71700000000001</v>
      </c>
      <c r="V338" s="69">
        <f>V355+V417</f>
        <v>160.71700000000001</v>
      </c>
      <c r="W338" s="52">
        <f>V338-U338</f>
        <v>0</v>
      </c>
    </row>
    <row r="339" spans="1:24" s="48" customFormat="1" ht="14.6" customHeight="1">
      <c r="A339" s="592"/>
      <c r="B339" s="661"/>
      <c r="C339" s="662"/>
      <c r="D339" s="178" t="str">
        <f>серпень!D262</f>
        <v>касові нат.п-ки 2025</v>
      </c>
      <c r="E339" s="11">
        <f>E371</f>
        <v>0</v>
      </c>
      <c r="F339" s="11">
        <f t="shared" si="379"/>
        <v>0</v>
      </c>
      <c r="G339" s="11">
        <f t="shared" si="379"/>
        <v>1550</v>
      </c>
      <c r="H339" s="11">
        <f t="shared" si="379"/>
        <v>865.9</v>
      </c>
      <c r="I339" s="11">
        <f t="shared" si="379"/>
        <v>1016</v>
      </c>
      <c r="J339" s="11">
        <f t="shared" si="379"/>
        <v>1083.4000000000001</v>
      </c>
      <c r="K339" s="11">
        <f t="shared" si="379"/>
        <v>993</v>
      </c>
      <c r="L339" s="123">
        <f>SUM(F339:K339)</f>
        <v>5508.3</v>
      </c>
      <c r="M339" s="65">
        <f>L339/6</f>
        <v>918.1</v>
      </c>
      <c r="N339" s="11">
        <f t="shared" si="380"/>
        <v>-1.6</v>
      </c>
      <c r="O339" s="11">
        <f t="shared" si="380"/>
        <v>782.5</v>
      </c>
      <c r="P339" s="11">
        <f t="shared" si="380"/>
        <v>940</v>
      </c>
      <c r="Q339" s="11">
        <f t="shared" si="380"/>
        <v>1050.5</v>
      </c>
      <c r="R339" s="11">
        <f t="shared" si="380"/>
        <v>787</v>
      </c>
      <c r="S339" s="11">
        <f t="shared" si="380"/>
        <v>361.2</v>
      </c>
      <c r="T339" s="65">
        <f t="shared" si="371"/>
        <v>3919.6</v>
      </c>
      <c r="U339" s="65">
        <f t="shared" si="372"/>
        <v>9427.9</v>
      </c>
      <c r="V339" s="124">
        <f>V356+V418</f>
        <v>9856.9</v>
      </c>
      <c r="W339" s="124">
        <f>V339-U339</f>
        <v>429</v>
      </c>
      <c r="X339" s="47">
        <f>U332-U339</f>
        <v>0</v>
      </c>
    </row>
    <row r="340" spans="1:24" s="51" customFormat="1" ht="15.05" customHeight="1">
      <c r="A340" s="592"/>
      <c r="B340" s="661"/>
      <c r="C340" s="662"/>
      <c r="D340" s="187" t="str">
        <f>серпень!D263</f>
        <v>тариф, грн.</v>
      </c>
      <c r="E340" s="49" t="e">
        <f t="shared" ref="E340:S340" si="381">E341/E339*1000</f>
        <v>#DIV/0!</v>
      </c>
      <c r="F340" s="49" t="e">
        <f t="shared" si="381"/>
        <v>#DIV/0!</v>
      </c>
      <c r="G340" s="49">
        <f t="shared" si="381"/>
        <v>16.068999999999999</v>
      </c>
      <c r="H340" s="49">
        <f t="shared" si="381"/>
        <v>15.839</v>
      </c>
      <c r="I340" s="49">
        <f t="shared" si="381"/>
        <v>15.414</v>
      </c>
      <c r="J340" s="49">
        <f t="shared" si="381"/>
        <v>15.86</v>
      </c>
      <c r="K340" s="49">
        <f t="shared" si="381"/>
        <v>17.460999999999999</v>
      </c>
      <c r="L340" s="49">
        <f t="shared" si="381"/>
        <v>16.122</v>
      </c>
      <c r="M340" s="49">
        <f t="shared" si="381"/>
        <v>16.120999999999999</v>
      </c>
      <c r="N340" s="49">
        <f t="shared" si="381"/>
        <v>25</v>
      </c>
      <c r="O340" s="49">
        <f t="shared" si="381"/>
        <v>19.509</v>
      </c>
      <c r="P340" s="49">
        <f t="shared" si="381"/>
        <v>17.777000000000001</v>
      </c>
      <c r="Q340" s="49">
        <f t="shared" si="381"/>
        <v>15.962999999999999</v>
      </c>
      <c r="R340" s="49">
        <f t="shared" si="381"/>
        <v>18.779</v>
      </c>
      <c r="S340" s="49">
        <f t="shared" si="381"/>
        <v>20.902999999999999</v>
      </c>
      <c r="T340" s="49">
        <f>T341/T339*1000</f>
        <v>18.123000000000001</v>
      </c>
      <c r="U340" s="49">
        <f>U341/U339*1000</f>
        <v>16.954000000000001</v>
      </c>
      <c r="V340" s="49">
        <f>V341/V339*1000</f>
        <v>16.305</v>
      </c>
      <c r="W340" s="14">
        <f>W341/W339*1000</f>
        <v>2.0470000000000002</v>
      </c>
      <c r="X340" s="47"/>
    </row>
    <row r="341" spans="1:24" s="74" customFormat="1" ht="15.85" customHeight="1">
      <c r="A341" s="592"/>
      <c r="B341" s="661"/>
      <c r="C341" s="662"/>
      <c r="D341" s="198" t="str">
        <f>серпень!D264</f>
        <v>касові видатки, тис.грн.</v>
      </c>
      <c r="E341" s="71">
        <f t="shared" ref="E341:K343" si="382">E358+E420</f>
        <v>0</v>
      </c>
      <c r="F341" s="61">
        <f t="shared" si="382"/>
        <v>0</v>
      </c>
      <c r="G341" s="61">
        <f t="shared" si="382"/>
        <v>24.907</v>
      </c>
      <c r="H341" s="61">
        <f t="shared" si="382"/>
        <v>13.715</v>
      </c>
      <c r="I341" s="61">
        <f t="shared" si="382"/>
        <v>15.661</v>
      </c>
      <c r="J341" s="61">
        <f t="shared" si="382"/>
        <v>17.183</v>
      </c>
      <c r="K341" s="61">
        <f t="shared" si="382"/>
        <v>17.338999999999999</v>
      </c>
      <c r="L341" s="61">
        <f>SUM(F341:K341)</f>
        <v>88.805000000000007</v>
      </c>
      <c r="M341" s="61">
        <f>L341/6</f>
        <v>14.801</v>
      </c>
      <c r="N341" s="61">
        <f t="shared" ref="N341:S343" si="383">N358+N420</f>
        <v>-0.04</v>
      </c>
      <c r="O341" s="61">
        <f t="shared" si="383"/>
        <v>15.266</v>
      </c>
      <c r="P341" s="61">
        <f t="shared" si="383"/>
        <v>16.71</v>
      </c>
      <c r="Q341" s="61">
        <f t="shared" si="383"/>
        <v>16.768999999999998</v>
      </c>
      <c r="R341" s="61">
        <f t="shared" si="383"/>
        <v>14.779</v>
      </c>
      <c r="S341" s="61">
        <f t="shared" si="383"/>
        <v>7.55</v>
      </c>
      <c r="T341" s="61">
        <f>SUM(N341:S341)</f>
        <v>71.034000000000006</v>
      </c>
      <c r="U341" s="61">
        <f>T341+L341</f>
        <v>159.839</v>
      </c>
      <c r="V341" s="61">
        <f>V358+V420</f>
        <v>160.71700000000001</v>
      </c>
      <c r="W341" s="72">
        <f>V341-U341</f>
        <v>0.878</v>
      </c>
      <c r="X341" s="63">
        <f>U334-U341</f>
        <v>0</v>
      </c>
    </row>
    <row r="342" spans="1:24" s="74" customFormat="1" ht="15.85" customHeight="1">
      <c r="A342" s="592"/>
      <c r="B342" s="661"/>
      <c r="C342" s="662"/>
      <c r="D342" s="201" t="str">
        <f>серпень!D265</f>
        <v>дотація</v>
      </c>
      <c r="E342" s="71"/>
      <c r="F342" s="61">
        <f t="shared" si="382"/>
        <v>0</v>
      </c>
      <c r="G342" s="61">
        <f t="shared" si="382"/>
        <v>0</v>
      </c>
      <c r="H342" s="61">
        <f t="shared" si="382"/>
        <v>0</v>
      </c>
      <c r="I342" s="61">
        <f t="shared" si="382"/>
        <v>0</v>
      </c>
      <c r="J342" s="61">
        <f t="shared" si="382"/>
        <v>0</v>
      </c>
      <c r="K342" s="61">
        <f t="shared" si="382"/>
        <v>0</v>
      </c>
      <c r="L342" s="61">
        <f>SUM(F342:K342)</f>
        <v>0</v>
      </c>
      <c r="M342" s="61">
        <f>L342/6</f>
        <v>0</v>
      </c>
      <c r="N342" s="61">
        <f t="shared" si="383"/>
        <v>0</v>
      </c>
      <c r="O342" s="61">
        <f t="shared" si="383"/>
        <v>0</v>
      </c>
      <c r="P342" s="61">
        <f t="shared" si="383"/>
        <v>0</v>
      </c>
      <c r="Q342" s="61">
        <f t="shared" si="383"/>
        <v>0</v>
      </c>
      <c r="R342" s="61">
        <f t="shared" si="383"/>
        <v>0</v>
      </c>
      <c r="S342" s="61">
        <f t="shared" si="383"/>
        <v>0</v>
      </c>
      <c r="T342" s="61">
        <f>SUM(N342:S342)</f>
        <v>0</v>
      </c>
      <c r="U342" s="61">
        <f>T342+L342</f>
        <v>0</v>
      </c>
      <c r="V342" s="61">
        <f>V359+V421</f>
        <v>0</v>
      </c>
      <c r="W342" s="72">
        <f>V342-U342</f>
        <v>0</v>
      </c>
      <c r="X342" s="63">
        <f>U337-U342</f>
        <v>0</v>
      </c>
    </row>
    <row r="343" spans="1:24" s="74" customFormat="1" ht="15.85" customHeight="1">
      <c r="A343" s="592"/>
      <c r="B343" s="661"/>
      <c r="C343" s="662"/>
      <c r="D343" s="201" t="str">
        <f>серпень!D266</f>
        <v xml:space="preserve">місцевий </v>
      </c>
      <c r="E343" s="61"/>
      <c r="F343" s="61">
        <f t="shared" si="382"/>
        <v>0</v>
      </c>
      <c r="G343" s="61">
        <f t="shared" si="382"/>
        <v>24.907</v>
      </c>
      <c r="H343" s="61">
        <f t="shared" si="382"/>
        <v>13.715</v>
      </c>
      <c r="I343" s="61">
        <f t="shared" si="382"/>
        <v>15.661</v>
      </c>
      <c r="J343" s="61">
        <f t="shared" si="382"/>
        <v>17.183</v>
      </c>
      <c r="K343" s="61">
        <f t="shared" si="382"/>
        <v>17.338999999999999</v>
      </c>
      <c r="L343" s="61">
        <f>SUM(F343:K343)</f>
        <v>88.805000000000007</v>
      </c>
      <c r="M343" s="61">
        <f>L343/6</f>
        <v>14.801</v>
      </c>
      <c r="N343" s="61">
        <f t="shared" si="383"/>
        <v>-0.04</v>
      </c>
      <c r="O343" s="61">
        <f t="shared" si="383"/>
        <v>15.266</v>
      </c>
      <c r="P343" s="61">
        <f t="shared" si="383"/>
        <v>16.71</v>
      </c>
      <c r="Q343" s="61">
        <f t="shared" si="383"/>
        <v>16.768999999999998</v>
      </c>
      <c r="R343" s="61">
        <f t="shared" si="383"/>
        <v>14.779</v>
      </c>
      <c r="S343" s="61">
        <f t="shared" si="383"/>
        <v>7.55</v>
      </c>
      <c r="T343" s="61">
        <f>SUM(N343:S343)</f>
        <v>71.034000000000006</v>
      </c>
      <c r="U343" s="61">
        <f>T343+L343</f>
        <v>159.839</v>
      </c>
      <c r="V343" s="61">
        <f>V360+V422</f>
        <v>160.71700000000001</v>
      </c>
      <c r="W343" s="72">
        <f>V343-U343</f>
        <v>0.878</v>
      </c>
      <c r="X343" s="63">
        <f>U338-U343</f>
        <v>0.878</v>
      </c>
    </row>
    <row r="344" spans="1:24" s="43" customFormat="1" ht="15.85" customHeight="1">
      <c r="A344" s="592"/>
      <c r="B344" s="661"/>
      <c r="C344" s="662"/>
      <c r="D344" s="202" t="str">
        <f>серпень!D267</f>
        <v>план</v>
      </c>
      <c r="E344" s="42"/>
      <c r="F344" s="42">
        <f>F338+F337</f>
        <v>0</v>
      </c>
      <c r="G344" s="42">
        <f t="shared" ref="G344:K344" si="384">G338+G337</f>
        <v>24.920999999999999</v>
      </c>
      <c r="H344" s="42">
        <f t="shared" si="384"/>
        <v>14.824999999999999</v>
      </c>
      <c r="I344" s="42">
        <f>I338+I337</f>
        <v>14.565</v>
      </c>
      <c r="J344" s="42">
        <f t="shared" si="384"/>
        <v>19.544</v>
      </c>
      <c r="K344" s="42">
        <f t="shared" si="384"/>
        <v>15.018000000000001</v>
      </c>
      <c r="L344" s="42">
        <f>SUM(F344:K344)</f>
        <v>88.873000000000005</v>
      </c>
      <c r="M344" s="42">
        <f>L344/6</f>
        <v>14.811999999999999</v>
      </c>
      <c r="N344" s="42">
        <f>N338+N337</f>
        <v>8.4000000000000005E-2</v>
      </c>
      <c r="O344" s="42">
        <f t="shared" ref="O344:S344" si="385">O338+O337</f>
        <v>15.119</v>
      </c>
      <c r="P344" s="42">
        <f t="shared" si="385"/>
        <v>20.771999999999998</v>
      </c>
      <c r="Q344" s="42">
        <f t="shared" si="385"/>
        <v>14.801</v>
      </c>
      <c r="R344" s="42">
        <f t="shared" si="385"/>
        <v>14.023999999999999</v>
      </c>
      <c r="S344" s="42">
        <f t="shared" si="385"/>
        <v>7.0439999999999996</v>
      </c>
      <c r="T344" s="42">
        <f>SUM(N344:S344)</f>
        <v>71.843999999999994</v>
      </c>
      <c r="U344" s="42">
        <f>T344+L344</f>
        <v>160.71700000000001</v>
      </c>
      <c r="V344" s="42">
        <f>V338+V337</f>
        <v>160.71700000000001</v>
      </c>
      <c r="W344" s="42">
        <f>V344-U344</f>
        <v>0</v>
      </c>
    </row>
    <row r="345" spans="1:24" s="43" customFormat="1" ht="15.85" customHeight="1">
      <c r="A345" s="592"/>
      <c r="B345" s="661"/>
      <c r="C345" s="662"/>
      <c r="D345" s="202" t="str">
        <f>серпень!D268</f>
        <v xml:space="preserve">відхилення </v>
      </c>
      <c r="E345" s="42"/>
      <c r="F345" s="42">
        <f t="shared" ref="F345:K345" si="386">F341-F344</f>
        <v>0</v>
      </c>
      <c r="G345" s="42">
        <f t="shared" si="386"/>
        <v>-1.4E-2</v>
      </c>
      <c r="H345" s="42">
        <f t="shared" si="386"/>
        <v>-1.1100000000000001</v>
      </c>
      <c r="I345" s="42">
        <f t="shared" si="386"/>
        <v>1.0960000000000001</v>
      </c>
      <c r="J345" s="42">
        <f t="shared" si="386"/>
        <v>-2.3610000000000002</v>
      </c>
      <c r="K345" s="42">
        <f t="shared" si="386"/>
        <v>2.3210000000000002</v>
      </c>
      <c r="L345" s="42"/>
      <c r="M345" s="42"/>
      <c r="N345" s="42">
        <f t="shared" ref="N345:S345" si="387">N341-N344</f>
        <v>-0.124</v>
      </c>
      <c r="O345" s="42">
        <f t="shared" si="387"/>
        <v>0.14699999999999999</v>
      </c>
      <c r="P345" s="42">
        <f t="shared" si="387"/>
        <v>-4.0620000000000003</v>
      </c>
      <c r="Q345" s="42">
        <f t="shared" si="387"/>
        <v>1.968</v>
      </c>
      <c r="R345" s="42">
        <f t="shared" si="387"/>
        <v>0.755</v>
      </c>
      <c r="S345" s="42">
        <f t="shared" si="387"/>
        <v>0.50600000000000001</v>
      </c>
      <c r="T345" s="42"/>
      <c r="U345" s="42"/>
      <c r="V345" s="42"/>
      <c r="W345" s="42"/>
    </row>
    <row r="346" spans="1:24" s="43" customFormat="1" ht="15.85" customHeight="1">
      <c r="A346" s="593"/>
      <c r="B346" s="663"/>
      <c r="C346" s="664"/>
      <c r="D346" s="202" t="str">
        <f>серпень!D269</f>
        <v>відхилення з наростаючим</v>
      </c>
      <c r="E346" s="42"/>
      <c r="F346" s="42">
        <f>F345</f>
        <v>0</v>
      </c>
      <c r="G346" s="42">
        <f>G345+F346</f>
        <v>-1.4E-2</v>
      </c>
      <c r="H346" s="42">
        <f>H345+G346</f>
        <v>-1.1240000000000001</v>
      </c>
      <c r="I346" s="42">
        <f>I345+H346</f>
        <v>-2.8000000000000001E-2</v>
      </c>
      <c r="J346" s="42">
        <f>J345+I346</f>
        <v>-2.3889999999999998</v>
      </c>
      <c r="K346" s="42">
        <f>K345+J346</f>
        <v>-6.8000000000000005E-2</v>
      </c>
      <c r="L346" s="42"/>
      <c r="M346" s="42"/>
      <c r="N346" s="42">
        <f>N345+K346</f>
        <v>-0.192</v>
      </c>
      <c r="O346" s="42">
        <f>O345+N346</f>
        <v>-4.4999999999999998E-2</v>
      </c>
      <c r="P346" s="42">
        <f>P345+O346</f>
        <v>-4.1070000000000002</v>
      </c>
      <c r="Q346" s="42">
        <f>Q345+P346</f>
        <v>-2.1389999999999998</v>
      </c>
      <c r="R346" s="42">
        <f>R345+Q346</f>
        <v>-1.3839999999999999</v>
      </c>
      <c r="S346" s="42">
        <f>S345+R346</f>
        <v>-0.878</v>
      </c>
      <c r="T346" s="42"/>
      <c r="U346" s="42"/>
      <c r="V346" s="42"/>
      <c r="W346" s="42"/>
    </row>
    <row r="347" spans="1:24" s="186" customFormat="1" ht="18" customHeight="1">
      <c r="A347" s="595" t="s">
        <v>35</v>
      </c>
      <c r="B347" s="655" t="s">
        <v>36</v>
      </c>
      <c r="C347" s="656"/>
      <c r="D347" s="178" t="str">
        <f>серпень!D270</f>
        <v>факт. нат.п-ки 2023</v>
      </c>
      <c r="E347" s="179"/>
      <c r="F347" s="180">
        <f t="shared" ref="F347:K349" si="388">F364+F379+F394</f>
        <v>186</v>
      </c>
      <c r="G347" s="180">
        <f t="shared" si="388"/>
        <v>282</v>
      </c>
      <c r="H347" s="180">
        <f t="shared" si="388"/>
        <v>114</v>
      </c>
      <c r="I347" s="180">
        <f t="shared" si="388"/>
        <v>160</v>
      </c>
      <c r="J347" s="180">
        <f t="shared" si="388"/>
        <v>98</v>
      </c>
      <c r="K347" s="180">
        <f t="shared" si="388"/>
        <v>134</v>
      </c>
      <c r="L347" s="215">
        <f>SUM(F347:K347)</f>
        <v>974</v>
      </c>
      <c r="M347" s="215">
        <f>L347/6</f>
        <v>162.30000000000001</v>
      </c>
      <c r="N347" s="180">
        <f t="shared" ref="N347:S349" si="389">N364+N379+N394</f>
        <v>166</v>
      </c>
      <c r="O347" s="180">
        <f t="shared" si="389"/>
        <v>470</v>
      </c>
      <c r="P347" s="180">
        <f t="shared" si="389"/>
        <v>160</v>
      </c>
      <c r="Q347" s="180">
        <f t="shared" si="389"/>
        <v>156</v>
      </c>
      <c r="R347" s="180">
        <f t="shared" si="389"/>
        <v>302</v>
      </c>
      <c r="S347" s="180">
        <f t="shared" si="389"/>
        <v>1225.5999999999999</v>
      </c>
      <c r="T347" s="215">
        <f>SUM(N347:S347)</f>
        <v>2479.6</v>
      </c>
      <c r="U347" s="215">
        <f>T347+L347</f>
        <v>3453.6</v>
      </c>
      <c r="V347" s="233">
        <f>V364+V394</f>
        <v>3453.6</v>
      </c>
      <c r="W347" s="184"/>
      <c r="X347" s="185"/>
    </row>
    <row r="348" spans="1:24" s="186" customFormat="1" ht="18" customHeight="1">
      <c r="A348" s="595"/>
      <c r="B348" s="657"/>
      <c r="C348" s="658"/>
      <c r="D348" s="178" t="str">
        <f>серпень!D271</f>
        <v>факт. нат.п-ки 2024</v>
      </c>
      <c r="E348" s="179"/>
      <c r="F348" s="180">
        <f t="shared" si="388"/>
        <v>84</v>
      </c>
      <c r="G348" s="180">
        <f t="shared" si="388"/>
        <v>154</v>
      </c>
      <c r="H348" s="180">
        <f t="shared" si="388"/>
        <v>174</v>
      </c>
      <c r="I348" s="180">
        <f t="shared" si="388"/>
        <v>148</v>
      </c>
      <c r="J348" s="180">
        <f t="shared" si="388"/>
        <v>318</v>
      </c>
      <c r="K348" s="180">
        <f t="shared" si="388"/>
        <v>60</v>
      </c>
      <c r="L348" s="215">
        <f>SUM(F348:K348)</f>
        <v>938</v>
      </c>
      <c r="M348" s="215">
        <f>L348/6</f>
        <v>156.30000000000001</v>
      </c>
      <c r="N348" s="180">
        <f t="shared" si="389"/>
        <v>136</v>
      </c>
      <c r="O348" s="180">
        <f t="shared" si="389"/>
        <v>178</v>
      </c>
      <c r="P348" s="180">
        <f t="shared" si="389"/>
        <v>282</v>
      </c>
      <c r="Q348" s="180">
        <f t="shared" si="389"/>
        <v>140</v>
      </c>
      <c r="R348" s="180">
        <f t="shared" si="389"/>
        <v>112</v>
      </c>
      <c r="S348" s="180">
        <f t="shared" si="389"/>
        <v>202</v>
      </c>
      <c r="T348" s="215">
        <f>SUM(N348:S348)</f>
        <v>1050</v>
      </c>
      <c r="U348" s="215">
        <f>T348+L348</f>
        <v>1988</v>
      </c>
      <c r="V348" s="233">
        <f>V365+V395</f>
        <v>1988</v>
      </c>
      <c r="W348" s="184"/>
      <c r="X348" s="185"/>
    </row>
    <row r="349" spans="1:24" s="186" customFormat="1" ht="18" customHeight="1">
      <c r="A349" s="595"/>
      <c r="B349" s="657"/>
      <c r="C349" s="658"/>
      <c r="D349" s="178" t="str">
        <f>серпень!D272</f>
        <v>факт. нат.п-ки 2025</v>
      </c>
      <c r="E349" s="179"/>
      <c r="F349" s="180">
        <f>F366+F381+F396</f>
        <v>138</v>
      </c>
      <c r="G349" s="180">
        <f t="shared" si="388"/>
        <v>120</v>
      </c>
      <c r="H349" s="180">
        <f t="shared" si="388"/>
        <v>119.9</v>
      </c>
      <c r="I349" s="180">
        <f t="shared" si="388"/>
        <v>105.3</v>
      </c>
      <c r="J349" s="180">
        <f t="shared" si="388"/>
        <v>151.4</v>
      </c>
      <c r="K349" s="180">
        <f t="shared" si="388"/>
        <v>272.10000000000002</v>
      </c>
      <c r="L349" s="234">
        <f>SUM(F349:K349)</f>
        <v>906.7</v>
      </c>
      <c r="M349" s="215">
        <f>L349/6</f>
        <v>151.1</v>
      </c>
      <c r="N349" s="180">
        <f t="shared" si="389"/>
        <v>0</v>
      </c>
      <c r="O349" s="180">
        <f t="shared" si="389"/>
        <v>348</v>
      </c>
      <c r="P349" s="180">
        <f t="shared" si="389"/>
        <v>282</v>
      </c>
      <c r="Q349" s="180">
        <f t="shared" si="389"/>
        <v>156</v>
      </c>
      <c r="R349" s="180">
        <f t="shared" si="389"/>
        <v>302</v>
      </c>
      <c r="S349" s="180">
        <f t="shared" si="389"/>
        <v>202</v>
      </c>
      <c r="T349" s="215">
        <f>SUM(N349:S349)</f>
        <v>1290</v>
      </c>
      <c r="U349" s="215">
        <f>T349+L349</f>
        <v>2196.6999999999998</v>
      </c>
      <c r="V349" s="233">
        <f>V366+V381+V396</f>
        <v>2206</v>
      </c>
      <c r="W349" s="184">
        <f>V349-U349</f>
        <v>9.3000000000000007</v>
      </c>
      <c r="X349" s="185"/>
    </row>
    <row r="350" spans="1:24" s="190" customFormat="1" ht="18" customHeight="1">
      <c r="A350" s="595"/>
      <c r="B350" s="657"/>
      <c r="C350" s="658"/>
      <c r="D350" s="187" t="str">
        <f>серпень!D273</f>
        <v>тариф, грн.</v>
      </c>
      <c r="E350" s="188"/>
      <c r="F350" s="188">
        <f t="shared" ref="F350:S350" si="390">F351/F349*1000</f>
        <v>24.949000000000002</v>
      </c>
      <c r="G350" s="188">
        <f t="shared" si="390"/>
        <v>26.158000000000001</v>
      </c>
      <c r="H350" s="188">
        <f t="shared" si="390"/>
        <v>26.138000000000002</v>
      </c>
      <c r="I350" s="188">
        <f t="shared" si="390"/>
        <v>26.163</v>
      </c>
      <c r="J350" s="188">
        <f t="shared" si="390"/>
        <v>26.175999999999998</v>
      </c>
      <c r="K350" s="188">
        <f t="shared" si="390"/>
        <v>26.042000000000002</v>
      </c>
      <c r="L350" s="188">
        <f t="shared" si="390"/>
        <v>25.94</v>
      </c>
      <c r="M350" s="188">
        <f t="shared" si="390"/>
        <v>25.943000000000001</v>
      </c>
      <c r="N350" s="188" t="e">
        <f t="shared" si="390"/>
        <v>#DIV/0!</v>
      </c>
      <c r="O350" s="188">
        <f t="shared" si="390"/>
        <v>26.161000000000001</v>
      </c>
      <c r="P350" s="188">
        <f t="shared" si="390"/>
        <v>26.16</v>
      </c>
      <c r="Q350" s="188">
        <f t="shared" si="390"/>
        <v>26.16</v>
      </c>
      <c r="R350" s="188">
        <f t="shared" si="390"/>
        <v>26.158999999999999</v>
      </c>
      <c r="S350" s="188">
        <f t="shared" si="390"/>
        <v>26.202999999999999</v>
      </c>
      <c r="T350" s="188">
        <f>T351/T349*1000</f>
        <v>26.167000000000002</v>
      </c>
      <c r="U350" s="188">
        <f>U351/U349*1000</f>
        <v>26.073</v>
      </c>
      <c r="V350" s="188">
        <f>V351/V349*1000</f>
        <v>23.661000000000001</v>
      </c>
      <c r="W350" s="189">
        <f>W351/W349*1000</f>
        <v>-546.02200000000005</v>
      </c>
      <c r="X350" s="225"/>
    </row>
    <row r="351" spans="1:24" s="172" customFormat="1" ht="18" customHeight="1">
      <c r="A351" s="671"/>
      <c r="B351" s="657"/>
      <c r="C351" s="658"/>
      <c r="D351" s="191" t="str">
        <f>серпень!D274</f>
        <v>сума, тис.грн.</v>
      </c>
      <c r="E351" s="192"/>
      <c r="F351" s="192">
        <f t="shared" ref="F351:K351" si="391">F368+F383+F398</f>
        <v>3.4430000000000001</v>
      </c>
      <c r="G351" s="192">
        <f t="shared" si="391"/>
        <v>3.1389999999999998</v>
      </c>
      <c r="H351" s="192">
        <f t="shared" si="391"/>
        <v>3.1339999999999999</v>
      </c>
      <c r="I351" s="192">
        <f t="shared" si="391"/>
        <v>2.7549999999999999</v>
      </c>
      <c r="J351" s="192">
        <f t="shared" si="391"/>
        <v>3.9630000000000001</v>
      </c>
      <c r="K351" s="192">
        <f t="shared" si="391"/>
        <v>7.0860000000000003</v>
      </c>
      <c r="L351" s="194">
        <f t="shared" ref="L351:L356" si="392">SUM(F351:K351)</f>
        <v>23.52</v>
      </c>
      <c r="M351" s="194">
        <f t="shared" ref="M351:M356" si="393">L351/6</f>
        <v>3.92</v>
      </c>
      <c r="N351" s="192">
        <f t="shared" ref="N351:S351" si="394">N368+N383+N398</f>
        <v>0</v>
      </c>
      <c r="O351" s="192">
        <f t="shared" si="394"/>
        <v>9.1039999999999992</v>
      </c>
      <c r="P351" s="192">
        <f t="shared" si="394"/>
        <v>7.3769999999999998</v>
      </c>
      <c r="Q351" s="192">
        <f t="shared" si="394"/>
        <v>4.0810000000000004</v>
      </c>
      <c r="R351" s="192">
        <f t="shared" si="394"/>
        <v>7.9</v>
      </c>
      <c r="S351" s="192">
        <f t="shared" si="394"/>
        <v>5.2930000000000001</v>
      </c>
      <c r="T351" s="194">
        <f t="shared" ref="T351:T356" si="395">SUM(N351:S351)</f>
        <v>33.755000000000003</v>
      </c>
      <c r="U351" s="194">
        <f t="shared" ref="U351:U356" si="396">T351+L351</f>
        <v>57.274999999999999</v>
      </c>
      <c r="V351" s="192">
        <f t="shared" ref="V351" si="397">V368+V383+V398</f>
        <v>52.197000000000003</v>
      </c>
      <c r="W351" s="192">
        <f>V351-U351</f>
        <v>-5.0780000000000003</v>
      </c>
    </row>
    <row r="352" spans="1:24" s="172" customFormat="1" ht="18" customHeight="1">
      <c r="A352" s="671"/>
      <c r="B352" s="657"/>
      <c r="C352" s="658"/>
      <c r="D352" s="174" t="str">
        <f>серпень!D275</f>
        <v>абоненська плата, тис.грн.</v>
      </c>
      <c r="E352" s="192"/>
      <c r="F352" s="192">
        <f>F383</f>
        <v>0</v>
      </c>
      <c r="G352" s="192">
        <f t="shared" ref="G352:K352" si="398">G383</f>
        <v>0</v>
      </c>
      <c r="H352" s="192">
        <f t="shared" si="398"/>
        <v>0</v>
      </c>
      <c r="I352" s="192">
        <f t="shared" si="398"/>
        <v>0</v>
      </c>
      <c r="J352" s="192">
        <f t="shared" si="398"/>
        <v>0</v>
      </c>
      <c r="K352" s="192">
        <f t="shared" si="398"/>
        <v>0</v>
      </c>
      <c r="L352" s="194">
        <f t="shared" si="392"/>
        <v>0</v>
      </c>
      <c r="M352" s="194">
        <f t="shared" si="393"/>
        <v>0</v>
      </c>
      <c r="N352" s="192">
        <f>N383</f>
        <v>0</v>
      </c>
      <c r="O352" s="192">
        <f t="shared" ref="O352:S352" si="399">O383</f>
        <v>0</v>
      </c>
      <c r="P352" s="192">
        <f t="shared" si="399"/>
        <v>0</v>
      </c>
      <c r="Q352" s="192">
        <f t="shared" si="399"/>
        <v>0</v>
      </c>
      <c r="R352" s="192">
        <f t="shared" si="399"/>
        <v>0</v>
      </c>
      <c r="S352" s="192">
        <f t="shared" si="399"/>
        <v>0</v>
      </c>
      <c r="T352" s="194">
        <f t="shared" si="395"/>
        <v>0</v>
      </c>
      <c r="U352" s="194">
        <f t="shared" si="396"/>
        <v>0</v>
      </c>
      <c r="V352" s="192">
        <f t="shared" ref="V352" si="400">V383</f>
        <v>0</v>
      </c>
      <c r="W352" s="192">
        <f t="shared" ref="W352:W353" si="401">V352-U352</f>
        <v>0</v>
      </c>
    </row>
    <row r="353" spans="1:28" s="172" customFormat="1" ht="18" customHeight="1">
      <c r="A353" s="671"/>
      <c r="B353" s="657"/>
      <c r="C353" s="658"/>
      <c r="D353" s="174" t="str">
        <f>серпень!D276</f>
        <v>разом сума тис. грн+абонплата</v>
      </c>
      <c r="E353" s="192"/>
      <c r="F353" s="192">
        <f>F351+F352</f>
        <v>3.4430000000000001</v>
      </c>
      <c r="G353" s="192">
        <f t="shared" ref="G353:K353" si="402">G351+G352</f>
        <v>3.1389999999999998</v>
      </c>
      <c r="H353" s="192">
        <f t="shared" si="402"/>
        <v>3.1339999999999999</v>
      </c>
      <c r="I353" s="192">
        <f t="shared" si="402"/>
        <v>2.7549999999999999</v>
      </c>
      <c r="J353" s="192">
        <f t="shared" si="402"/>
        <v>3.9630000000000001</v>
      </c>
      <c r="K353" s="192">
        <f t="shared" si="402"/>
        <v>7.0860000000000003</v>
      </c>
      <c r="L353" s="194">
        <f t="shared" si="392"/>
        <v>23.52</v>
      </c>
      <c r="M353" s="194">
        <f t="shared" si="393"/>
        <v>3.92</v>
      </c>
      <c r="N353" s="192">
        <f>N351+N352</f>
        <v>0</v>
      </c>
      <c r="O353" s="192">
        <f t="shared" ref="O353:S353" si="403">O351+O352</f>
        <v>9.1039999999999992</v>
      </c>
      <c r="P353" s="192">
        <f t="shared" si="403"/>
        <v>7.3769999999999998</v>
      </c>
      <c r="Q353" s="192">
        <f t="shared" si="403"/>
        <v>4.0810000000000004</v>
      </c>
      <c r="R353" s="192">
        <f t="shared" si="403"/>
        <v>7.9</v>
      </c>
      <c r="S353" s="192">
        <f t="shared" si="403"/>
        <v>5.2930000000000001</v>
      </c>
      <c r="T353" s="194">
        <f t="shared" si="395"/>
        <v>33.755000000000003</v>
      </c>
      <c r="U353" s="194">
        <f t="shared" si="396"/>
        <v>57.274999999999999</v>
      </c>
      <c r="V353" s="192">
        <f t="shared" ref="V353" si="404">V351+V352</f>
        <v>52.197000000000003</v>
      </c>
      <c r="W353" s="192">
        <f t="shared" si="401"/>
        <v>-5.0780000000000003</v>
      </c>
    </row>
    <row r="354" spans="1:28" s="172" customFormat="1" ht="18" customHeight="1">
      <c r="A354" s="671"/>
      <c r="B354" s="657"/>
      <c r="C354" s="658"/>
      <c r="D354" s="174" t="str">
        <f>серпень!D277</f>
        <v>дотація</v>
      </c>
      <c r="E354" s="192"/>
      <c r="F354" s="192">
        <f t="shared" ref="F354:K356" si="405">F369+F384+F399</f>
        <v>0</v>
      </c>
      <c r="G354" s="192">
        <f t="shared" si="405"/>
        <v>0</v>
      </c>
      <c r="H354" s="192">
        <f t="shared" si="405"/>
        <v>0</v>
      </c>
      <c r="I354" s="192">
        <f t="shared" si="405"/>
        <v>0</v>
      </c>
      <c r="J354" s="192">
        <f t="shared" si="405"/>
        <v>0</v>
      </c>
      <c r="K354" s="192">
        <f t="shared" si="405"/>
        <v>0</v>
      </c>
      <c r="L354" s="194">
        <f t="shared" si="392"/>
        <v>0</v>
      </c>
      <c r="M354" s="194">
        <f t="shared" si="393"/>
        <v>0</v>
      </c>
      <c r="N354" s="192">
        <f t="shared" ref="N354:S356" si="406">N369+N384+N399</f>
        <v>0</v>
      </c>
      <c r="O354" s="192">
        <f t="shared" si="406"/>
        <v>0</v>
      </c>
      <c r="P354" s="192">
        <f t="shared" si="406"/>
        <v>0</v>
      </c>
      <c r="Q354" s="192">
        <f t="shared" si="406"/>
        <v>0</v>
      </c>
      <c r="R354" s="192">
        <f t="shared" si="406"/>
        <v>0</v>
      </c>
      <c r="S354" s="192">
        <f t="shared" si="406"/>
        <v>0</v>
      </c>
      <c r="T354" s="194">
        <f t="shared" si="395"/>
        <v>0</v>
      </c>
      <c r="U354" s="194">
        <f t="shared" si="396"/>
        <v>0</v>
      </c>
      <c r="V354" s="192">
        <f t="shared" ref="V354:V355" si="407">V369+V384+V399</f>
        <v>0</v>
      </c>
      <c r="W354" s="192">
        <f>V354-U354</f>
        <v>0</v>
      </c>
    </row>
    <row r="355" spans="1:28" s="172" customFormat="1" ht="18" customHeight="1">
      <c r="A355" s="671"/>
      <c r="B355" s="657"/>
      <c r="C355" s="658"/>
      <c r="D355" s="174" t="str">
        <f>серпень!D278</f>
        <v>місцевий (план), тис.грн</v>
      </c>
      <c r="E355" s="192"/>
      <c r="F355" s="192">
        <f t="shared" si="405"/>
        <v>0</v>
      </c>
      <c r="G355" s="192">
        <f t="shared" si="405"/>
        <v>5.6310000000000002</v>
      </c>
      <c r="H355" s="192">
        <f t="shared" si="405"/>
        <v>4.1159999999999997</v>
      </c>
      <c r="I355" s="192">
        <f t="shared" si="405"/>
        <v>3.5009999999999999</v>
      </c>
      <c r="J355" s="192">
        <f t="shared" si="405"/>
        <v>7.5229999999999997</v>
      </c>
      <c r="K355" s="192">
        <f t="shared" si="405"/>
        <v>2.9969999999999999</v>
      </c>
      <c r="L355" s="194">
        <f t="shared" si="392"/>
        <v>23.768000000000001</v>
      </c>
      <c r="M355" s="194">
        <f t="shared" si="393"/>
        <v>3.9609999999999999</v>
      </c>
      <c r="N355" s="192">
        <f t="shared" si="406"/>
        <v>0</v>
      </c>
      <c r="O355" s="192">
        <f t="shared" si="406"/>
        <v>4.4950000000000001</v>
      </c>
      <c r="P355" s="192">
        <f t="shared" si="406"/>
        <v>9.8889999999999993</v>
      </c>
      <c r="Q355" s="192">
        <f t="shared" si="406"/>
        <v>2.113</v>
      </c>
      <c r="R355" s="192">
        <f t="shared" si="406"/>
        <v>7.1449999999999996</v>
      </c>
      <c r="S355" s="192">
        <f t="shared" si="406"/>
        <v>4.7869999999999999</v>
      </c>
      <c r="T355" s="194">
        <f t="shared" si="395"/>
        <v>28.428999999999998</v>
      </c>
      <c r="U355" s="194">
        <f t="shared" si="396"/>
        <v>52.197000000000003</v>
      </c>
      <c r="V355" s="192">
        <f t="shared" si="407"/>
        <v>52.197000000000003</v>
      </c>
      <c r="W355" s="192">
        <f>V355-U355</f>
        <v>0</v>
      </c>
    </row>
    <row r="356" spans="1:28" s="186" customFormat="1" ht="18" customHeight="1">
      <c r="A356" s="595"/>
      <c r="B356" s="657"/>
      <c r="C356" s="658"/>
      <c r="D356" s="178" t="str">
        <f>серпень!D279</f>
        <v>касові нат.п-ки 2025</v>
      </c>
      <c r="E356" s="179">
        <f>E371</f>
        <v>0</v>
      </c>
      <c r="F356" s="179">
        <f t="shared" si="405"/>
        <v>0</v>
      </c>
      <c r="G356" s="179">
        <f t="shared" si="405"/>
        <v>258</v>
      </c>
      <c r="H356" s="179">
        <f t="shared" si="405"/>
        <v>119.9</v>
      </c>
      <c r="I356" s="179">
        <f t="shared" si="405"/>
        <v>106</v>
      </c>
      <c r="J356" s="179">
        <f t="shared" si="405"/>
        <v>151.4</v>
      </c>
      <c r="K356" s="179">
        <f t="shared" si="405"/>
        <v>273</v>
      </c>
      <c r="L356" s="215">
        <f t="shared" si="392"/>
        <v>908.3</v>
      </c>
      <c r="M356" s="215">
        <f t="shared" si="393"/>
        <v>151.4</v>
      </c>
      <c r="N356" s="179">
        <f t="shared" si="406"/>
        <v>-1.6</v>
      </c>
      <c r="O356" s="179">
        <f t="shared" si="406"/>
        <v>348</v>
      </c>
      <c r="P356" s="179">
        <f t="shared" si="406"/>
        <v>282</v>
      </c>
      <c r="Q356" s="179">
        <f t="shared" si="406"/>
        <v>156</v>
      </c>
      <c r="R356" s="179">
        <f t="shared" si="406"/>
        <v>302</v>
      </c>
      <c r="S356" s="179">
        <f t="shared" si="406"/>
        <v>202</v>
      </c>
      <c r="T356" s="215">
        <f t="shared" si="395"/>
        <v>1288.4000000000001</v>
      </c>
      <c r="U356" s="215">
        <f t="shared" si="396"/>
        <v>2196.6999999999998</v>
      </c>
      <c r="V356" s="179">
        <f>V371+V401</f>
        <v>2206</v>
      </c>
      <c r="W356" s="184">
        <f>V356-U356</f>
        <v>9.3000000000000007</v>
      </c>
      <c r="X356" s="185">
        <f>U349-U356</f>
        <v>0</v>
      </c>
    </row>
    <row r="357" spans="1:28" s="190" customFormat="1" ht="18" customHeight="1">
      <c r="A357" s="595"/>
      <c r="B357" s="657"/>
      <c r="C357" s="658"/>
      <c r="D357" s="187" t="str">
        <f>серпень!D280</f>
        <v>тариф, грн.</v>
      </c>
      <c r="E357" s="188" t="e">
        <f t="shared" ref="E357:S357" si="408">E358/E356*1000</f>
        <v>#DIV/0!</v>
      </c>
      <c r="F357" s="188" t="e">
        <f t="shared" si="408"/>
        <v>#DIV/0!</v>
      </c>
      <c r="G357" s="188">
        <f t="shared" si="408"/>
        <v>25.512</v>
      </c>
      <c r="H357" s="188">
        <f t="shared" si="408"/>
        <v>26.138000000000002</v>
      </c>
      <c r="I357" s="188">
        <f t="shared" si="408"/>
        <v>25.981000000000002</v>
      </c>
      <c r="J357" s="188">
        <f t="shared" si="408"/>
        <v>26.175999999999998</v>
      </c>
      <c r="K357" s="188">
        <f t="shared" si="408"/>
        <v>26.106000000000002</v>
      </c>
      <c r="L357" s="188">
        <f t="shared" si="408"/>
        <v>25.939</v>
      </c>
      <c r="M357" s="188">
        <f t="shared" si="408"/>
        <v>25.937999999999999</v>
      </c>
      <c r="N357" s="188">
        <f t="shared" si="408"/>
        <v>25</v>
      </c>
      <c r="O357" s="188">
        <f t="shared" si="408"/>
        <v>26.161000000000001</v>
      </c>
      <c r="P357" s="188">
        <f t="shared" si="408"/>
        <v>26.16</v>
      </c>
      <c r="Q357" s="188">
        <f t="shared" si="408"/>
        <v>26.16</v>
      </c>
      <c r="R357" s="188">
        <f t="shared" si="408"/>
        <v>26.158999999999999</v>
      </c>
      <c r="S357" s="188">
        <f t="shared" si="408"/>
        <v>26.202999999999999</v>
      </c>
      <c r="T357" s="188">
        <f>T358/T356*1000</f>
        <v>26.167999999999999</v>
      </c>
      <c r="U357" s="188">
        <f>U358/U356*1000</f>
        <v>26.073</v>
      </c>
      <c r="V357" s="188">
        <f>V358/V356*1000</f>
        <v>23.661000000000001</v>
      </c>
      <c r="W357" s="189">
        <f>W358/W356*1000</f>
        <v>-546.02200000000005</v>
      </c>
      <c r="X357" s="225"/>
    </row>
    <row r="358" spans="1:28" s="213" customFormat="1" ht="18" customHeight="1">
      <c r="A358" s="595"/>
      <c r="B358" s="657"/>
      <c r="C358" s="658"/>
      <c r="D358" s="198" t="str">
        <f>серпень!D281</f>
        <v>касові видатки, тис.грн.</v>
      </c>
      <c r="E358" s="220">
        <f>E373+E403</f>
        <v>0</v>
      </c>
      <c r="F358" s="199">
        <f t="shared" ref="F358:K360" si="409">F373+F388+F403</f>
        <v>0</v>
      </c>
      <c r="G358" s="199">
        <f t="shared" si="409"/>
        <v>6.5819999999999999</v>
      </c>
      <c r="H358" s="199">
        <f t="shared" si="409"/>
        <v>3.1339999999999999</v>
      </c>
      <c r="I358" s="199">
        <f t="shared" si="409"/>
        <v>2.754</v>
      </c>
      <c r="J358" s="199">
        <f t="shared" si="409"/>
        <v>3.9630000000000001</v>
      </c>
      <c r="K358" s="199">
        <f t="shared" si="409"/>
        <v>7.1269999999999998</v>
      </c>
      <c r="L358" s="199">
        <f>SUM(F358:K358)</f>
        <v>23.56</v>
      </c>
      <c r="M358" s="199">
        <f>L358/6</f>
        <v>3.927</v>
      </c>
      <c r="N358" s="199">
        <f t="shared" ref="N358:S360" si="410">N373+N388+N403</f>
        <v>-0.04</v>
      </c>
      <c r="O358" s="199">
        <f t="shared" si="410"/>
        <v>9.1039999999999992</v>
      </c>
      <c r="P358" s="199">
        <f t="shared" si="410"/>
        <v>7.3769999999999998</v>
      </c>
      <c r="Q358" s="199">
        <f t="shared" si="410"/>
        <v>4.0810000000000004</v>
      </c>
      <c r="R358" s="199">
        <f t="shared" si="410"/>
        <v>7.9</v>
      </c>
      <c r="S358" s="199">
        <f t="shared" si="410"/>
        <v>5.2930000000000001</v>
      </c>
      <c r="T358" s="199">
        <f>SUM(N358:S358)</f>
        <v>33.715000000000003</v>
      </c>
      <c r="U358" s="199">
        <f>T358+L358</f>
        <v>57.274999999999999</v>
      </c>
      <c r="V358" s="199">
        <f>V373+V403</f>
        <v>52.197000000000003</v>
      </c>
      <c r="W358" s="221">
        <f>V358-U358</f>
        <v>-5.0780000000000003</v>
      </c>
      <c r="X358" s="176">
        <f>U351-U358</f>
        <v>0</v>
      </c>
    </row>
    <row r="359" spans="1:28" s="213" customFormat="1" ht="18" customHeight="1">
      <c r="A359" s="595"/>
      <c r="B359" s="657"/>
      <c r="C359" s="658"/>
      <c r="D359" s="201" t="str">
        <f>серпень!D282</f>
        <v>дотація</v>
      </c>
      <c r="E359" s="220"/>
      <c r="F359" s="199">
        <f t="shared" si="409"/>
        <v>0</v>
      </c>
      <c r="G359" s="199">
        <f t="shared" si="409"/>
        <v>0</v>
      </c>
      <c r="H359" s="199">
        <f t="shared" si="409"/>
        <v>0</v>
      </c>
      <c r="I359" s="199">
        <f t="shared" si="409"/>
        <v>0</v>
      </c>
      <c r="J359" s="199">
        <f t="shared" si="409"/>
        <v>0</v>
      </c>
      <c r="K359" s="199">
        <f t="shared" si="409"/>
        <v>0</v>
      </c>
      <c r="L359" s="199">
        <f>SUM(F359:K359)</f>
        <v>0</v>
      </c>
      <c r="M359" s="199">
        <f>L359/6</f>
        <v>0</v>
      </c>
      <c r="N359" s="199">
        <f t="shared" si="410"/>
        <v>0</v>
      </c>
      <c r="O359" s="199">
        <f t="shared" si="410"/>
        <v>0</v>
      </c>
      <c r="P359" s="199">
        <f t="shared" si="410"/>
        <v>0</v>
      </c>
      <c r="Q359" s="199">
        <f t="shared" si="410"/>
        <v>0</v>
      </c>
      <c r="R359" s="199">
        <f t="shared" si="410"/>
        <v>0</v>
      </c>
      <c r="S359" s="199">
        <f t="shared" si="410"/>
        <v>0</v>
      </c>
      <c r="T359" s="199">
        <f>SUM(N359:S359)</f>
        <v>0</v>
      </c>
      <c r="U359" s="199">
        <f>T359+L359</f>
        <v>0</v>
      </c>
      <c r="V359" s="199">
        <f>V374+V404</f>
        <v>0</v>
      </c>
      <c r="W359" s="221">
        <f>V359-U359</f>
        <v>0</v>
      </c>
      <c r="X359" s="176">
        <f>U354-U359</f>
        <v>0</v>
      </c>
    </row>
    <row r="360" spans="1:28" s="213" customFormat="1" ht="18" customHeight="1">
      <c r="A360" s="595"/>
      <c r="B360" s="657"/>
      <c r="C360" s="658"/>
      <c r="D360" s="201" t="str">
        <f>серпень!D283</f>
        <v xml:space="preserve">місцевий </v>
      </c>
      <c r="E360" s="220"/>
      <c r="F360" s="199">
        <f t="shared" si="409"/>
        <v>0</v>
      </c>
      <c r="G360" s="199">
        <f t="shared" si="409"/>
        <v>6.5819999999999999</v>
      </c>
      <c r="H360" s="199">
        <f t="shared" si="409"/>
        <v>3.1339999999999999</v>
      </c>
      <c r="I360" s="199">
        <f t="shared" si="409"/>
        <v>2.754</v>
      </c>
      <c r="J360" s="199">
        <f t="shared" si="409"/>
        <v>3.9630000000000001</v>
      </c>
      <c r="K360" s="199">
        <f t="shared" si="409"/>
        <v>7.1269999999999998</v>
      </c>
      <c r="L360" s="199">
        <f>SUM(F360:K360)</f>
        <v>23.56</v>
      </c>
      <c r="M360" s="199">
        <f>L360/6</f>
        <v>3.927</v>
      </c>
      <c r="N360" s="199">
        <f t="shared" si="410"/>
        <v>-0.04</v>
      </c>
      <c r="O360" s="199">
        <f t="shared" si="410"/>
        <v>9.1039999999999992</v>
      </c>
      <c r="P360" s="199">
        <f t="shared" si="410"/>
        <v>7.3769999999999998</v>
      </c>
      <c r="Q360" s="199">
        <f t="shared" si="410"/>
        <v>4.0810000000000004</v>
      </c>
      <c r="R360" s="199">
        <f t="shared" si="410"/>
        <v>7.9</v>
      </c>
      <c r="S360" s="199">
        <f t="shared" si="410"/>
        <v>5.2930000000000001</v>
      </c>
      <c r="T360" s="199">
        <f>SUM(N360:S360)</f>
        <v>33.715000000000003</v>
      </c>
      <c r="U360" s="199">
        <f>T360+L360</f>
        <v>57.274999999999999</v>
      </c>
      <c r="V360" s="199">
        <f>V375+V405</f>
        <v>52.197000000000003</v>
      </c>
      <c r="W360" s="221">
        <f>V360-U360</f>
        <v>-5.0780000000000003</v>
      </c>
      <c r="X360" s="176">
        <f>U355-U360</f>
        <v>-5.0780000000000003</v>
      </c>
    </row>
    <row r="361" spans="1:28" s="205" customFormat="1" ht="18" customHeight="1">
      <c r="A361" s="595"/>
      <c r="B361" s="657"/>
      <c r="C361" s="658"/>
      <c r="D361" s="202" t="str">
        <f>серпень!D284</f>
        <v>план</v>
      </c>
      <c r="E361" s="203"/>
      <c r="F361" s="203">
        <f>F355+F354</f>
        <v>0</v>
      </c>
      <c r="G361" s="203">
        <f t="shared" ref="G361:K361" si="411">G355+G354</f>
        <v>5.6310000000000002</v>
      </c>
      <c r="H361" s="203">
        <f t="shared" si="411"/>
        <v>4.1159999999999997</v>
      </c>
      <c r="I361" s="203">
        <f t="shared" si="411"/>
        <v>3.5009999999999999</v>
      </c>
      <c r="J361" s="203">
        <f t="shared" si="411"/>
        <v>7.5229999999999997</v>
      </c>
      <c r="K361" s="203">
        <f t="shared" si="411"/>
        <v>2.9969999999999999</v>
      </c>
      <c r="L361" s="203">
        <f>SUM(F361:K361)</f>
        <v>23.768000000000001</v>
      </c>
      <c r="M361" s="203">
        <f>L361/6</f>
        <v>3.9609999999999999</v>
      </c>
      <c r="N361" s="203">
        <f>N355+N354</f>
        <v>0</v>
      </c>
      <c r="O361" s="203">
        <f t="shared" ref="O361:S361" si="412">O355+O354</f>
        <v>4.4950000000000001</v>
      </c>
      <c r="P361" s="203">
        <f t="shared" si="412"/>
        <v>9.8889999999999993</v>
      </c>
      <c r="Q361" s="203">
        <f t="shared" si="412"/>
        <v>2.113</v>
      </c>
      <c r="R361" s="203">
        <f t="shared" si="412"/>
        <v>7.1449999999999996</v>
      </c>
      <c r="S361" s="203">
        <f t="shared" si="412"/>
        <v>4.7869999999999999</v>
      </c>
      <c r="T361" s="203">
        <f>SUM(N361:S361)</f>
        <v>28.428999999999998</v>
      </c>
      <c r="U361" s="203">
        <f>T361+L361</f>
        <v>52.197000000000003</v>
      </c>
      <c r="V361" s="203">
        <f>V355+V354</f>
        <v>52.197000000000003</v>
      </c>
      <c r="W361" s="203">
        <f>V361-U361</f>
        <v>0</v>
      </c>
    </row>
    <row r="362" spans="1:28" s="205" customFormat="1" ht="18" customHeight="1">
      <c r="A362" s="595"/>
      <c r="B362" s="657"/>
      <c r="C362" s="658"/>
      <c r="D362" s="202" t="str">
        <f>серпень!D285</f>
        <v xml:space="preserve">відхилення </v>
      </c>
      <c r="E362" s="203"/>
      <c r="F362" s="203">
        <f t="shared" ref="F362:K362" si="413">F358-F361</f>
        <v>0</v>
      </c>
      <c r="G362" s="203">
        <f t="shared" si="413"/>
        <v>0.95099999999999996</v>
      </c>
      <c r="H362" s="203">
        <f t="shared" si="413"/>
        <v>-0.98199999999999998</v>
      </c>
      <c r="I362" s="203">
        <f t="shared" si="413"/>
        <v>-0.747</v>
      </c>
      <c r="J362" s="203">
        <f t="shared" si="413"/>
        <v>-3.56</v>
      </c>
      <c r="K362" s="203">
        <f t="shared" si="413"/>
        <v>4.13</v>
      </c>
      <c r="L362" s="203"/>
      <c r="M362" s="203"/>
      <c r="N362" s="203">
        <f t="shared" ref="N362:S362" si="414">N358-N361</f>
        <v>-0.04</v>
      </c>
      <c r="O362" s="203">
        <f t="shared" si="414"/>
        <v>4.609</v>
      </c>
      <c r="P362" s="203">
        <f t="shared" si="414"/>
        <v>-2.512</v>
      </c>
      <c r="Q362" s="203">
        <f t="shared" si="414"/>
        <v>1.968</v>
      </c>
      <c r="R362" s="203">
        <f t="shared" si="414"/>
        <v>0.755</v>
      </c>
      <c r="S362" s="203">
        <f t="shared" si="414"/>
        <v>0.50600000000000001</v>
      </c>
      <c r="T362" s="203"/>
      <c r="U362" s="203"/>
      <c r="V362" s="203"/>
      <c r="W362" s="203"/>
    </row>
    <row r="363" spans="1:28" s="205" customFormat="1" ht="23.5" customHeight="1">
      <c r="A363" s="595"/>
      <c r="B363" s="690"/>
      <c r="C363" s="691"/>
      <c r="D363" s="202" t="str">
        <f>серпень!D286</f>
        <v>відхилення з наростаючим</v>
      </c>
      <c r="E363" s="203"/>
      <c r="F363" s="203">
        <f>F362</f>
        <v>0</v>
      </c>
      <c r="G363" s="203">
        <f>G362+F363</f>
        <v>0.95099999999999996</v>
      </c>
      <c r="H363" s="203">
        <f>H362+G363</f>
        <v>-3.1E-2</v>
      </c>
      <c r="I363" s="203">
        <f>I362+H363</f>
        <v>-0.77800000000000002</v>
      </c>
      <c r="J363" s="203">
        <f>J362+I363</f>
        <v>-4.3380000000000001</v>
      </c>
      <c r="K363" s="203">
        <f>K362+J363</f>
        <v>-0.20799999999999999</v>
      </c>
      <c r="L363" s="203"/>
      <c r="M363" s="203"/>
      <c r="N363" s="203">
        <f>N362+K363</f>
        <v>-0.248</v>
      </c>
      <c r="O363" s="203">
        <f>O362+N363</f>
        <v>4.3609999999999998</v>
      </c>
      <c r="P363" s="203">
        <f>P362+O363</f>
        <v>1.849</v>
      </c>
      <c r="Q363" s="203">
        <f>Q362+P363</f>
        <v>3.8170000000000002</v>
      </c>
      <c r="R363" s="203">
        <f>R362+Q363</f>
        <v>4.5720000000000001</v>
      </c>
      <c r="S363" s="203">
        <f>S362+R363</f>
        <v>5.0780000000000003</v>
      </c>
      <c r="T363" s="203"/>
      <c r="U363" s="203"/>
      <c r="V363" s="203"/>
      <c r="W363" s="203"/>
    </row>
    <row r="364" spans="1:28" s="10" customFormat="1" ht="18" customHeight="1">
      <c r="A364" s="595"/>
      <c r="B364" s="580" t="s">
        <v>37</v>
      </c>
      <c r="C364" s="575"/>
      <c r="D364" s="178" t="str">
        <f>серпень!D287</f>
        <v>факт. нат.п-ки 2023</v>
      </c>
      <c r="E364" s="11"/>
      <c r="F364" s="82">
        <v>186</v>
      </c>
      <c r="G364" s="82">
        <v>282</v>
      </c>
      <c r="H364" s="82">
        <v>114</v>
      </c>
      <c r="I364" s="82">
        <v>160</v>
      </c>
      <c r="J364" s="82">
        <v>98</v>
      </c>
      <c r="K364" s="82">
        <v>134</v>
      </c>
      <c r="L364" s="125">
        <f>SUM(F364:K364)</f>
        <v>974</v>
      </c>
      <c r="M364" s="125">
        <f>L364/6</f>
        <v>162.333</v>
      </c>
      <c r="N364" s="82">
        <v>166</v>
      </c>
      <c r="O364" s="82">
        <v>470</v>
      </c>
      <c r="P364" s="82">
        <v>160</v>
      </c>
      <c r="Q364" s="82">
        <v>156</v>
      </c>
      <c r="R364" s="82">
        <v>302</v>
      </c>
      <c r="S364" s="509">
        <v>1225.5999999999999</v>
      </c>
      <c r="T364" s="125">
        <f>SUM(N364:S364)</f>
        <v>2479.6</v>
      </c>
      <c r="U364" s="125">
        <f>T364+L364</f>
        <v>3453.6</v>
      </c>
      <c r="V364" s="505">
        <v>3453.6</v>
      </c>
      <c r="W364" s="505"/>
      <c r="X364" s="36"/>
    </row>
    <row r="365" spans="1:28" s="48" customFormat="1" ht="18" customHeight="1">
      <c r="A365" s="595"/>
      <c r="B365" s="576"/>
      <c r="C365" s="577"/>
      <c r="D365" s="178" t="str">
        <f>серпень!D288</f>
        <v>факт. нат.п-ки 2024</v>
      </c>
      <c r="E365" s="11"/>
      <c r="F365" s="82">
        <v>84</v>
      </c>
      <c r="G365" s="82">
        <v>154</v>
      </c>
      <c r="H365" s="82">
        <v>174</v>
      </c>
      <c r="I365" s="82">
        <v>148</v>
      </c>
      <c r="J365" s="82">
        <v>318</v>
      </c>
      <c r="K365" s="82">
        <v>60</v>
      </c>
      <c r="L365" s="125">
        <f>SUM(F365:K365)</f>
        <v>938</v>
      </c>
      <c r="M365" s="125">
        <f>L365/6</f>
        <v>156.333</v>
      </c>
      <c r="N365" s="82">
        <v>136</v>
      </c>
      <c r="O365" s="82">
        <v>178</v>
      </c>
      <c r="P365" s="82">
        <v>282</v>
      </c>
      <c r="Q365" s="82">
        <v>140</v>
      </c>
      <c r="R365" s="82">
        <v>112</v>
      </c>
      <c r="S365" s="509">
        <v>202</v>
      </c>
      <c r="T365" s="125">
        <f>SUM(N365:S365)</f>
        <v>1050</v>
      </c>
      <c r="U365" s="125">
        <f>T365+L365</f>
        <v>1988</v>
      </c>
      <c r="V365" s="349">
        <v>1988</v>
      </c>
      <c r="W365" s="505"/>
      <c r="X365" s="47"/>
    </row>
    <row r="366" spans="1:28" s="10" customFormat="1" ht="18" customHeight="1">
      <c r="A366" s="595"/>
      <c r="B366" s="576"/>
      <c r="C366" s="577"/>
      <c r="D366" s="178" t="str">
        <f>серпень!D289</f>
        <v>факт. нат.п-ки 2025</v>
      </c>
      <c r="E366" s="11"/>
      <c r="F366" s="82">
        <v>138</v>
      </c>
      <c r="G366" s="82">
        <v>120</v>
      </c>
      <c r="H366" s="82">
        <v>119.88</v>
      </c>
      <c r="I366" s="82">
        <v>105.315</v>
      </c>
      <c r="J366" s="82">
        <v>151.376</v>
      </c>
      <c r="K366" s="82">
        <f>273-0.856</f>
        <v>272.14400000000001</v>
      </c>
      <c r="L366" s="125">
        <f>SUM(F366:K366)</f>
        <v>906.71500000000003</v>
      </c>
      <c r="M366" s="125">
        <f>L366/6</f>
        <v>151.119</v>
      </c>
      <c r="N366" s="82"/>
      <c r="O366" s="82">
        <v>348</v>
      </c>
      <c r="P366" s="82">
        <v>282</v>
      </c>
      <c r="Q366" s="82">
        <v>156</v>
      </c>
      <c r="R366" s="82">
        <v>302</v>
      </c>
      <c r="S366" s="509">
        <v>202</v>
      </c>
      <c r="T366" s="125">
        <f>SUM(N366:S366)</f>
        <v>1290</v>
      </c>
      <c r="U366" s="125">
        <f>T366+L366</f>
        <v>2196.7150000000001</v>
      </c>
      <c r="V366" s="349">
        <v>2206</v>
      </c>
      <c r="W366" s="505">
        <f>V366-U366</f>
        <v>9.2850000000000001</v>
      </c>
      <c r="X366" s="36"/>
      <c r="Y366" s="3"/>
      <c r="Z366" s="3"/>
      <c r="AA366" s="3"/>
      <c r="AB366" s="3"/>
    </row>
    <row r="367" spans="1:28" s="114" customFormat="1" ht="18" customHeight="1">
      <c r="A367" s="595"/>
      <c r="B367" s="576"/>
      <c r="C367" s="577"/>
      <c r="D367" s="187" t="str">
        <f>серпень!D290</f>
        <v>тариф, грн.</v>
      </c>
      <c r="E367" s="49" t="e">
        <f>E368/E366*1000</f>
        <v>#DIV/0!</v>
      </c>
      <c r="F367" s="49">
        <f t="shared" ref="F367:K367" si="415">F368/F366*1000</f>
        <v>24.949000000000002</v>
      </c>
      <c r="G367" s="49">
        <f t="shared" si="415"/>
        <v>26.158000000000001</v>
      </c>
      <c r="H367" s="49">
        <f t="shared" si="415"/>
        <v>26.143000000000001</v>
      </c>
      <c r="I367" s="49">
        <f t="shared" si="415"/>
        <v>26.16</v>
      </c>
      <c r="J367" s="49">
        <f t="shared" si="415"/>
        <v>26.18</v>
      </c>
      <c r="K367" s="49">
        <f t="shared" si="415"/>
        <v>26.038</v>
      </c>
      <c r="L367" s="68">
        <f>L368/L366*1000</f>
        <v>25.94</v>
      </c>
      <c r="M367" s="68">
        <f>M368/M366*1000</f>
        <v>25.94</v>
      </c>
      <c r="N367" s="68" t="e">
        <f t="shared" ref="N367:O367" si="416">N368/N366*1000</f>
        <v>#DIV/0!</v>
      </c>
      <c r="O367" s="68">
        <f t="shared" si="416"/>
        <v>26.161000000000001</v>
      </c>
      <c r="P367" s="68">
        <v>26.16</v>
      </c>
      <c r="Q367" s="68">
        <v>26.16</v>
      </c>
      <c r="R367" s="49">
        <v>26.16</v>
      </c>
      <c r="S367" s="49">
        <v>26.16</v>
      </c>
      <c r="T367" s="68">
        <f>T368/T366*1000</f>
        <v>26.167000000000002</v>
      </c>
      <c r="U367" s="68">
        <f>U368/U366*1000</f>
        <v>26.073</v>
      </c>
      <c r="V367" s="68">
        <f>V368/V366*1000</f>
        <v>23.661000000000001</v>
      </c>
      <c r="W367" s="14">
        <f>W368/W366*1000</f>
        <v>-546.904</v>
      </c>
      <c r="X367" s="36"/>
      <c r="Y367" s="3"/>
      <c r="Z367" s="3"/>
      <c r="AA367" s="3"/>
      <c r="AB367" s="3"/>
    </row>
    <row r="368" spans="1:28" s="114" customFormat="1" ht="18" customHeight="1">
      <c r="A368" s="595"/>
      <c r="B368" s="576"/>
      <c r="C368" s="577"/>
      <c r="D368" s="191" t="str">
        <f>серпень!D291</f>
        <v>сума, тис.грн.</v>
      </c>
      <c r="E368" s="52"/>
      <c r="F368" s="52">
        <v>3.4430000000000001</v>
      </c>
      <c r="G368" s="52">
        <v>3.1389999999999998</v>
      </c>
      <c r="H368" s="52">
        <v>3.1339999999999999</v>
      </c>
      <c r="I368" s="52">
        <v>2.7549999999999999</v>
      </c>
      <c r="J368" s="52">
        <f>3.96+0.003</f>
        <v>3.9630000000000001</v>
      </c>
      <c r="K368" s="52">
        <f>7.127-0.042+0.001</f>
        <v>7.0860000000000003</v>
      </c>
      <c r="L368" s="69">
        <f>SUM(F368:K368)</f>
        <v>23.52</v>
      </c>
      <c r="M368" s="69">
        <f>L368/6</f>
        <v>3.92</v>
      </c>
      <c r="N368" s="52">
        <v>0</v>
      </c>
      <c r="O368" s="52">
        <v>9.1039999999999992</v>
      </c>
      <c r="P368" s="52">
        <f t="shared" ref="P368" si="417">P366*P367/1000</f>
        <v>7.3769999999999998</v>
      </c>
      <c r="Q368" s="52">
        <f t="shared" ref="Q368" si="418">Q366*Q367/1000</f>
        <v>4.0810000000000004</v>
      </c>
      <c r="R368" s="52">
        <f t="shared" ref="R368" si="419">R366*R367/1000</f>
        <v>7.9</v>
      </c>
      <c r="S368" s="52">
        <f>S366*S367/1000+0.009</f>
        <v>5.2930000000000001</v>
      </c>
      <c r="T368" s="69">
        <f>SUM(N368:S368)</f>
        <v>33.755000000000003</v>
      </c>
      <c r="U368" s="69">
        <f>T368+L368</f>
        <v>57.274999999999999</v>
      </c>
      <c r="V368" s="70">
        <f>V370+V369</f>
        <v>52.197000000000003</v>
      </c>
      <c r="W368" s="53">
        <f>V368-U368</f>
        <v>-5.0780000000000003</v>
      </c>
      <c r="X368" s="113"/>
    </row>
    <row r="369" spans="1:28" s="114" customFormat="1" ht="18" customHeight="1">
      <c r="A369" s="595"/>
      <c r="B369" s="576"/>
      <c r="C369" s="577"/>
      <c r="D369" s="174" t="str">
        <f>серпень!D292</f>
        <v>дотація</v>
      </c>
      <c r="E369" s="56"/>
      <c r="F369" s="52"/>
      <c r="G369" s="52"/>
      <c r="H369" s="52"/>
      <c r="I369" s="52"/>
      <c r="J369" s="52"/>
      <c r="K369" s="52"/>
      <c r="L369" s="69">
        <f>SUM(F369:K369)</f>
        <v>0</v>
      </c>
      <c r="M369" s="69">
        <f>L369/6</f>
        <v>0</v>
      </c>
      <c r="N369" s="52"/>
      <c r="O369" s="52"/>
      <c r="P369" s="52"/>
      <c r="Q369" s="52"/>
      <c r="R369" s="52"/>
      <c r="S369" s="52"/>
      <c r="T369" s="69">
        <f>SUM(N369:S369)</f>
        <v>0</v>
      </c>
      <c r="U369" s="69">
        <f>T369+L369</f>
        <v>0</v>
      </c>
      <c r="V369" s="70"/>
      <c r="W369" s="53">
        <f>V369-U369</f>
        <v>0</v>
      </c>
      <c r="X369" s="113"/>
    </row>
    <row r="370" spans="1:28" s="114" customFormat="1" ht="18" customHeight="1">
      <c r="A370" s="595"/>
      <c r="B370" s="576"/>
      <c r="C370" s="577"/>
      <c r="D370" s="174" t="str">
        <f>серпень!D293</f>
        <v>місцевий (план), тис.грн</v>
      </c>
      <c r="E370" s="56"/>
      <c r="F370" s="52">
        <f>2.968-2.968</f>
        <v>0</v>
      </c>
      <c r="G370" s="52">
        <f>1.987+3.643+0.001</f>
        <v>5.6310000000000002</v>
      </c>
      <c r="H370" s="52">
        <v>4.1159999999999997</v>
      </c>
      <c r="I370" s="52">
        <v>3.5009999999999999</v>
      </c>
      <c r="J370" s="52">
        <v>7.5229999999999997</v>
      </c>
      <c r="K370" s="52">
        <f>1.419+1.578</f>
        <v>2.9969999999999999</v>
      </c>
      <c r="L370" s="69">
        <f>SUM(F370:K370)</f>
        <v>23.768000000000001</v>
      </c>
      <c r="M370" s="69">
        <f>L370/6</f>
        <v>3.9609999999999999</v>
      </c>
      <c r="N370" s="52">
        <f>3.217-3.217</f>
        <v>0</v>
      </c>
      <c r="O370" s="52">
        <v>4.4950000000000001</v>
      </c>
      <c r="P370" s="52">
        <f>6.672+3.217</f>
        <v>9.8889999999999993</v>
      </c>
      <c r="Q370" s="52">
        <f>3.691-1.578</f>
        <v>2.113</v>
      </c>
      <c r="R370" s="52">
        <v>7.1449999999999996</v>
      </c>
      <c r="S370" s="52">
        <v>4.7869999999999999</v>
      </c>
      <c r="T370" s="69">
        <f>SUM(N370:S370)</f>
        <v>28.428999999999998</v>
      </c>
      <c r="U370" s="69">
        <f>T370+L370</f>
        <v>52.197000000000003</v>
      </c>
      <c r="V370" s="70">
        <v>52.197000000000003</v>
      </c>
      <c r="W370" s="53">
        <f>V370-U370</f>
        <v>0</v>
      </c>
      <c r="X370" s="113"/>
    </row>
    <row r="371" spans="1:28" s="3" customFormat="1" ht="18" customHeight="1">
      <c r="A371" s="595"/>
      <c r="B371" s="576"/>
      <c r="C371" s="577"/>
      <c r="D371" s="178" t="str">
        <f>серпень!D294</f>
        <v>касові нат.п-ки 2025</v>
      </c>
      <c r="E371" s="11"/>
      <c r="F371" s="12">
        <v>0</v>
      </c>
      <c r="G371" s="82">
        <f>138+120</f>
        <v>258</v>
      </c>
      <c r="H371" s="82">
        <v>119.88</v>
      </c>
      <c r="I371" s="82">
        <v>106</v>
      </c>
      <c r="J371" s="82">
        <v>151.4</v>
      </c>
      <c r="K371" s="82">
        <v>273</v>
      </c>
      <c r="L371" s="465">
        <f>SUM(F371:K371)</f>
        <v>908.28</v>
      </c>
      <c r="M371" s="465">
        <f>L371/6</f>
        <v>151.38</v>
      </c>
      <c r="N371" s="82">
        <f>-40.95/26.16</f>
        <v>-1.5649999999999999</v>
      </c>
      <c r="O371" s="82">
        <v>348</v>
      </c>
      <c r="P371" s="82">
        <v>282</v>
      </c>
      <c r="Q371" s="82">
        <v>156</v>
      </c>
      <c r="R371" s="82">
        <v>302</v>
      </c>
      <c r="S371" s="349">
        <v>202</v>
      </c>
      <c r="T371" s="465">
        <f>SUM(N371:S371)</f>
        <v>1288.4349999999999</v>
      </c>
      <c r="U371" s="465">
        <f>T371+L371</f>
        <v>2196.7150000000001</v>
      </c>
      <c r="V371" s="11">
        <f>V366</f>
        <v>2206</v>
      </c>
      <c r="W371" s="38">
        <f>V371-U371</f>
        <v>9.3000000000000007</v>
      </c>
      <c r="X371" s="47">
        <f>U366-U371</f>
        <v>0</v>
      </c>
    </row>
    <row r="372" spans="1:28" s="73" customFormat="1" ht="18" customHeight="1">
      <c r="A372" s="595"/>
      <c r="B372" s="576"/>
      <c r="C372" s="577"/>
      <c r="D372" s="187" t="str">
        <f>серпень!D295</f>
        <v>тариф, грн.</v>
      </c>
      <c r="E372" s="49" t="e">
        <f t="shared" ref="E372:I372" si="420">E373/E371*1000</f>
        <v>#DIV/0!</v>
      </c>
      <c r="F372" s="49" t="e">
        <f t="shared" si="420"/>
        <v>#DIV/0!</v>
      </c>
      <c r="G372" s="49">
        <f t="shared" si="420"/>
        <v>25.512</v>
      </c>
      <c r="H372" s="49">
        <f t="shared" si="420"/>
        <v>26.143000000000001</v>
      </c>
      <c r="I372" s="49">
        <f t="shared" si="420"/>
        <v>25.981000000000002</v>
      </c>
      <c r="J372" s="49">
        <v>26.16</v>
      </c>
      <c r="K372" s="49">
        <v>26.16</v>
      </c>
      <c r="L372" s="68">
        <f>L373/L371*1000</f>
        <v>25.939</v>
      </c>
      <c r="M372" s="68">
        <f>M373/M371*1000</f>
        <v>25.940999999999999</v>
      </c>
      <c r="N372" s="49">
        <v>26.16</v>
      </c>
      <c r="O372" s="49">
        <v>26.16</v>
      </c>
      <c r="P372" s="49">
        <v>26.16</v>
      </c>
      <c r="Q372" s="49">
        <v>26.16</v>
      </c>
      <c r="R372" s="49">
        <v>26.16</v>
      </c>
      <c r="S372" s="49">
        <v>26.16</v>
      </c>
      <c r="T372" s="68">
        <f>T373/T371*1000</f>
        <v>26.167000000000002</v>
      </c>
      <c r="U372" s="68">
        <f>U373/U371*1000</f>
        <v>26.073</v>
      </c>
      <c r="V372" s="68">
        <f>V373/V371*1000</f>
        <v>23.661000000000001</v>
      </c>
      <c r="W372" s="14">
        <f>W373/W371*1000</f>
        <v>-546.02200000000005</v>
      </c>
      <c r="X372" s="59"/>
      <c r="Y372" s="36"/>
      <c r="Z372" s="36"/>
      <c r="AA372" s="36"/>
      <c r="AB372" s="36"/>
    </row>
    <row r="373" spans="1:28" s="126" customFormat="1" ht="18" customHeight="1">
      <c r="A373" s="595"/>
      <c r="B373" s="576"/>
      <c r="C373" s="577"/>
      <c r="D373" s="198" t="str">
        <f>серпень!D296</f>
        <v>касові видатки, тис.грн.</v>
      </c>
      <c r="E373" s="71"/>
      <c r="F373" s="61">
        <v>0</v>
      </c>
      <c r="G373" s="61">
        <v>6.5819999999999999</v>
      </c>
      <c r="H373" s="61">
        <v>3.1339999999999999</v>
      </c>
      <c r="I373" s="61">
        <f>2.773-0.019</f>
        <v>2.754</v>
      </c>
      <c r="J373" s="61">
        <f>3.96+0.003</f>
        <v>3.9630000000000001</v>
      </c>
      <c r="K373" s="61">
        <v>7.1269999999999998</v>
      </c>
      <c r="L373" s="61">
        <f>SUM(F373:K373)</f>
        <v>23.56</v>
      </c>
      <c r="M373" s="61">
        <f>L373/6</f>
        <v>3.927</v>
      </c>
      <c r="N373" s="61">
        <v>-0.04</v>
      </c>
      <c r="O373" s="61">
        <v>9.1039999999999992</v>
      </c>
      <c r="P373" s="61">
        <v>7.3769999999999998</v>
      </c>
      <c r="Q373" s="61">
        <f t="shared" ref="Q373" si="421">Q371*Q372/1000</f>
        <v>4.0810000000000004</v>
      </c>
      <c r="R373" s="61">
        <f t="shared" ref="R373" si="422">R371*R372/1000</f>
        <v>7.9</v>
      </c>
      <c r="S373" s="61">
        <f>S371*S372/1000+0.009</f>
        <v>5.2930000000000001</v>
      </c>
      <c r="T373" s="61">
        <f>SUM(N373:S373)</f>
        <v>33.715000000000003</v>
      </c>
      <c r="U373" s="61">
        <f>T373+L373</f>
        <v>57.274999999999999</v>
      </c>
      <c r="V373" s="61">
        <f>V368</f>
        <v>52.197000000000003</v>
      </c>
      <c r="W373" s="72">
        <f>V373-U373</f>
        <v>-5.0780000000000003</v>
      </c>
      <c r="X373" s="63">
        <f>U368-U373</f>
        <v>0</v>
      </c>
    </row>
    <row r="374" spans="1:28" s="126" customFormat="1" ht="18" customHeight="1">
      <c r="A374" s="595"/>
      <c r="B374" s="576"/>
      <c r="C374" s="577"/>
      <c r="D374" s="201" t="str">
        <f>серпень!D297</f>
        <v>дотація</v>
      </c>
      <c r="E374" s="71"/>
      <c r="F374" s="61"/>
      <c r="G374" s="61"/>
      <c r="H374" s="61"/>
      <c r="I374" s="61"/>
      <c r="J374" s="61"/>
      <c r="K374" s="61"/>
      <c r="L374" s="61">
        <f>SUM(F374:K374)</f>
        <v>0</v>
      </c>
      <c r="M374" s="61">
        <f>L374/6</f>
        <v>0</v>
      </c>
      <c r="N374" s="61"/>
      <c r="O374" s="61"/>
      <c r="P374" s="61"/>
      <c r="Q374" s="61"/>
      <c r="R374" s="61"/>
      <c r="S374" s="61"/>
      <c r="T374" s="61">
        <f>SUM(N374:S374)</f>
        <v>0</v>
      </c>
      <c r="U374" s="61">
        <f>T374+L374</f>
        <v>0</v>
      </c>
      <c r="V374" s="61">
        <f>V369</f>
        <v>0</v>
      </c>
      <c r="W374" s="72">
        <f>V374-U374</f>
        <v>0</v>
      </c>
      <c r="X374" s="63">
        <f>U369-U374</f>
        <v>0</v>
      </c>
    </row>
    <row r="375" spans="1:28" s="126" customFormat="1" ht="18" customHeight="1">
      <c r="A375" s="595"/>
      <c r="B375" s="576"/>
      <c r="C375" s="577"/>
      <c r="D375" s="201" t="str">
        <f>серпень!D298</f>
        <v xml:space="preserve">місцевий </v>
      </c>
      <c r="E375" s="71"/>
      <c r="F375" s="61">
        <f t="shared" ref="F375:K375" si="423">F373-F374</f>
        <v>0</v>
      </c>
      <c r="G375" s="61">
        <f t="shared" si="423"/>
        <v>6.5819999999999999</v>
      </c>
      <c r="H375" s="61">
        <f t="shared" si="423"/>
        <v>3.1339999999999999</v>
      </c>
      <c r="I375" s="61">
        <f t="shared" si="423"/>
        <v>2.754</v>
      </c>
      <c r="J375" s="61">
        <f t="shared" si="423"/>
        <v>3.9630000000000001</v>
      </c>
      <c r="K375" s="61">
        <f t="shared" si="423"/>
        <v>7.1269999999999998</v>
      </c>
      <c r="L375" s="61">
        <f>SUM(F375:K375)</f>
        <v>23.56</v>
      </c>
      <c r="M375" s="61">
        <f>L375/6</f>
        <v>3.927</v>
      </c>
      <c r="N375" s="61">
        <f>N373-N374</f>
        <v>-0.04</v>
      </c>
      <c r="O375" s="61">
        <f t="shared" ref="O375:S375" si="424">O373-O374</f>
        <v>9.1039999999999992</v>
      </c>
      <c r="P375" s="61">
        <f t="shared" si="424"/>
        <v>7.3769999999999998</v>
      </c>
      <c r="Q375" s="61">
        <f t="shared" si="424"/>
        <v>4.0810000000000004</v>
      </c>
      <c r="R375" s="61">
        <f t="shared" si="424"/>
        <v>7.9</v>
      </c>
      <c r="S375" s="61">
        <f t="shared" si="424"/>
        <v>5.2930000000000001</v>
      </c>
      <c r="T375" s="61">
        <f>SUM(N375:S375)</f>
        <v>33.715000000000003</v>
      </c>
      <c r="U375" s="61">
        <f>T375+L375</f>
        <v>57.274999999999999</v>
      </c>
      <c r="V375" s="61">
        <f>V370</f>
        <v>52.197000000000003</v>
      </c>
      <c r="W375" s="72">
        <f>V375-U375</f>
        <v>-5.0780000000000003</v>
      </c>
      <c r="X375" s="63">
        <f>U370-U375</f>
        <v>-5.0780000000000003</v>
      </c>
    </row>
    <row r="376" spans="1:28" s="43" customFormat="1" ht="18" customHeight="1">
      <c r="A376" s="595"/>
      <c r="B376" s="576"/>
      <c r="C376" s="577"/>
      <c r="D376" s="202" t="str">
        <f>серпень!D299</f>
        <v>план</v>
      </c>
      <c r="E376" s="42"/>
      <c r="F376" s="42">
        <f t="shared" ref="F376:K376" si="425">F369+F370</f>
        <v>0</v>
      </c>
      <c r="G376" s="42">
        <f t="shared" si="425"/>
        <v>5.6310000000000002</v>
      </c>
      <c r="H376" s="42">
        <f t="shared" si="425"/>
        <v>4.1159999999999997</v>
      </c>
      <c r="I376" s="42">
        <f t="shared" si="425"/>
        <v>3.5009999999999999</v>
      </c>
      <c r="J376" s="42">
        <f t="shared" si="425"/>
        <v>7.5229999999999997</v>
      </c>
      <c r="K376" s="42">
        <f t="shared" si="425"/>
        <v>2.9969999999999999</v>
      </c>
      <c r="L376" s="42">
        <f>SUM(F376:K376)</f>
        <v>23.768000000000001</v>
      </c>
      <c r="M376" s="42">
        <f>L376/6</f>
        <v>3.9609999999999999</v>
      </c>
      <c r="N376" s="42">
        <f t="shared" ref="N376:S376" si="426">N370+N369</f>
        <v>0</v>
      </c>
      <c r="O376" s="42">
        <f t="shared" si="426"/>
        <v>4.4950000000000001</v>
      </c>
      <c r="P376" s="42">
        <f t="shared" si="426"/>
        <v>9.8889999999999993</v>
      </c>
      <c r="Q376" s="42">
        <f t="shared" si="426"/>
        <v>2.113</v>
      </c>
      <c r="R376" s="42">
        <f t="shared" si="426"/>
        <v>7.1449999999999996</v>
      </c>
      <c r="S376" s="42">
        <f t="shared" si="426"/>
        <v>4.7869999999999999</v>
      </c>
      <c r="T376" s="42">
        <f>SUM(N376:S376)</f>
        <v>28.428999999999998</v>
      </c>
      <c r="U376" s="42">
        <f>T376+L376</f>
        <v>52.197000000000003</v>
      </c>
      <c r="V376" s="42">
        <f>V373</f>
        <v>52.197000000000003</v>
      </c>
      <c r="W376" s="42">
        <f>V376-U376</f>
        <v>0</v>
      </c>
    </row>
    <row r="377" spans="1:28" s="43" customFormat="1" ht="18" customHeight="1">
      <c r="A377" s="595"/>
      <c r="B377" s="576"/>
      <c r="C377" s="577"/>
      <c r="D377" s="202" t="str">
        <f>серпень!D300</f>
        <v xml:space="preserve">відхилення </v>
      </c>
      <c r="E377" s="42"/>
      <c r="F377" s="42">
        <f t="shared" ref="F377:K377" si="427">F373-F376</f>
        <v>0</v>
      </c>
      <c r="G377" s="42">
        <f t="shared" si="427"/>
        <v>0.95099999999999996</v>
      </c>
      <c r="H377" s="42">
        <f t="shared" si="427"/>
        <v>-0.98199999999999998</v>
      </c>
      <c r="I377" s="42">
        <f t="shared" si="427"/>
        <v>-0.747</v>
      </c>
      <c r="J377" s="42">
        <f t="shared" si="427"/>
        <v>-3.56</v>
      </c>
      <c r="K377" s="42">
        <f t="shared" si="427"/>
        <v>4.13</v>
      </c>
      <c r="L377" s="42"/>
      <c r="M377" s="42"/>
      <c r="N377" s="42">
        <f t="shared" ref="N377:S377" si="428">N373-N376</f>
        <v>-0.04</v>
      </c>
      <c r="O377" s="42">
        <f t="shared" si="428"/>
        <v>4.609</v>
      </c>
      <c r="P377" s="42">
        <f t="shared" si="428"/>
        <v>-2.512</v>
      </c>
      <c r="Q377" s="42">
        <f t="shared" si="428"/>
        <v>1.968</v>
      </c>
      <c r="R377" s="42">
        <f t="shared" si="428"/>
        <v>0.755</v>
      </c>
      <c r="S377" s="42">
        <f t="shared" si="428"/>
        <v>0.50600000000000001</v>
      </c>
      <c r="T377" s="42"/>
      <c r="U377" s="42"/>
      <c r="V377" s="42"/>
      <c r="W377" s="42"/>
    </row>
    <row r="378" spans="1:28" s="43" customFormat="1" ht="18" customHeight="1">
      <c r="A378" s="595"/>
      <c r="B378" s="578"/>
      <c r="C378" s="579"/>
      <c r="D378" s="202" t="str">
        <f>серпень!D301</f>
        <v>відхилення з наростаючим</v>
      </c>
      <c r="E378" s="42"/>
      <c r="F378" s="42">
        <f>F377</f>
        <v>0</v>
      </c>
      <c r="G378" s="42">
        <f>G377+F378</f>
        <v>0.95099999999999996</v>
      </c>
      <c r="H378" s="42">
        <f>H377+G378</f>
        <v>-3.1E-2</v>
      </c>
      <c r="I378" s="42">
        <f>I377+H378</f>
        <v>-0.77800000000000002</v>
      </c>
      <c r="J378" s="42">
        <f>J377+I378</f>
        <v>-4.3380000000000001</v>
      </c>
      <c r="K378" s="42">
        <f>K377+J378</f>
        <v>-0.20799999999999999</v>
      </c>
      <c r="L378" s="42"/>
      <c r="M378" s="42"/>
      <c r="N378" s="42">
        <f>N377+K378</f>
        <v>-0.248</v>
      </c>
      <c r="O378" s="42">
        <f>O377+N378</f>
        <v>4.3609999999999998</v>
      </c>
      <c r="P378" s="42">
        <f>P377+O378</f>
        <v>1.849</v>
      </c>
      <c r="Q378" s="42">
        <f>Q377+P378</f>
        <v>3.8170000000000002</v>
      </c>
      <c r="R378" s="42">
        <f>R377+Q378</f>
        <v>4.5720000000000001</v>
      </c>
      <c r="S378" s="42">
        <f>S377+R378</f>
        <v>5.0780000000000003</v>
      </c>
      <c r="T378" s="42"/>
      <c r="U378" s="42"/>
      <c r="V378" s="42"/>
      <c r="W378" s="42"/>
    </row>
    <row r="379" spans="1:28" s="48" customFormat="1" ht="18" hidden="1" customHeight="1">
      <c r="A379" s="595"/>
      <c r="B379" s="580" t="s">
        <v>96</v>
      </c>
      <c r="C379" s="575"/>
      <c r="D379" s="178" t="str">
        <f>серпень!D302</f>
        <v>факт. нат.п-ки 2023</v>
      </c>
      <c r="E379" s="11"/>
      <c r="F379" s="12"/>
      <c r="G379" s="12"/>
      <c r="H379" s="12"/>
      <c r="I379" s="12"/>
      <c r="J379" s="12"/>
      <c r="K379" s="12"/>
      <c r="L379" s="65">
        <f>SUM(F379:K379)</f>
        <v>0</v>
      </c>
      <c r="M379" s="65">
        <f>L379/6</f>
        <v>0</v>
      </c>
      <c r="N379" s="12"/>
      <c r="O379" s="12"/>
      <c r="P379" s="12"/>
      <c r="Q379" s="12"/>
      <c r="R379" s="12"/>
      <c r="S379" s="12"/>
      <c r="T379" s="65">
        <f>SUM(N379:S379)</f>
        <v>0</v>
      </c>
      <c r="U379" s="66">
        <f>T379+L379</f>
        <v>0</v>
      </c>
      <c r="V379" s="67"/>
      <c r="W379" s="38">
        <f>V379-U379</f>
        <v>0</v>
      </c>
      <c r="X379" s="47"/>
    </row>
    <row r="380" spans="1:28" s="48" customFormat="1" ht="18" hidden="1" customHeight="1">
      <c r="A380" s="595"/>
      <c r="B380" s="576"/>
      <c r="C380" s="577"/>
      <c r="D380" s="178" t="str">
        <f>серпень!D303</f>
        <v>факт. нат.п-ки 2024</v>
      </c>
      <c r="E380" s="11"/>
      <c r="F380" s="12"/>
      <c r="G380" s="12"/>
      <c r="H380" s="12"/>
      <c r="I380" s="12"/>
      <c r="J380" s="12"/>
      <c r="K380" s="12"/>
      <c r="L380" s="65">
        <f>SUM(F380:K380)</f>
        <v>0</v>
      </c>
      <c r="M380" s="65">
        <f>L380/6</f>
        <v>0</v>
      </c>
      <c r="N380" s="11"/>
      <c r="O380" s="11"/>
      <c r="P380" s="11"/>
      <c r="Q380" s="11"/>
      <c r="R380" s="11"/>
      <c r="S380" s="11"/>
      <c r="T380" s="65">
        <f>SUM(N380:S380)</f>
        <v>0</v>
      </c>
      <c r="U380" s="66">
        <f>T380+L380</f>
        <v>0</v>
      </c>
      <c r="V380" s="67"/>
      <c r="W380" s="38">
        <f>V380-U380</f>
        <v>0</v>
      </c>
      <c r="X380" s="47"/>
    </row>
    <row r="381" spans="1:28" s="48" customFormat="1" ht="18" hidden="1" customHeight="1">
      <c r="A381" s="595"/>
      <c r="B381" s="576"/>
      <c r="C381" s="577"/>
      <c r="D381" s="178" t="str">
        <f>серпень!D304</f>
        <v>факт. нат.п-ки 2025</v>
      </c>
      <c r="E381" s="11"/>
      <c r="F381" s="12"/>
      <c r="G381" s="12"/>
      <c r="H381" s="12"/>
      <c r="I381" s="12"/>
      <c r="J381" s="12"/>
      <c r="K381" s="12"/>
      <c r="L381" s="65">
        <f>SUM(F381:K381)</f>
        <v>0</v>
      </c>
      <c r="M381" s="65">
        <f>L381/6</f>
        <v>0</v>
      </c>
      <c r="N381" s="12"/>
      <c r="O381" s="12"/>
      <c r="P381" s="12"/>
      <c r="Q381" s="12"/>
      <c r="R381" s="12"/>
      <c r="S381" s="11"/>
      <c r="T381" s="65">
        <f>SUM(N381:S381)</f>
        <v>0</v>
      </c>
      <c r="U381" s="66">
        <f>T381+L381</f>
        <v>0</v>
      </c>
      <c r="V381" s="11"/>
      <c r="W381" s="38">
        <f>V381-U381</f>
        <v>0</v>
      </c>
      <c r="X381" s="47"/>
    </row>
    <row r="382" spans="1:28" s="51" customFormat="1" ht="18" hidden="1" customHeight="1">
      <c r="A382" s="595"/>
      <c r="B382" s="576"/>
      <c r="C382" s="577"/>
      <c r="D382" s="187" t="str">
        <f>серпень!D305</f>
        <v>тариф, грн.</v>
      </c>
      <c r="E382" s="49"/>
      <c r="F382" s="49"/>
      <c r="G382" s="49"/>
      <c r="H382" s="49"/>
      <c r="I382" s="49"/>
      <c r="J382" s="49"/>
      <c r="K382" s="49"/>
      <c r="L382" s="49" t="e">
        <f>L383/L381*1000</f>
        <v>#DIV/0!</v>
      </c>
      <c r="M382" s="49" t="e">
        <f>M383/M381*1000</f>
        <v>#DIV/0!</v>
      </c>
      <c r="N382" s="49"/>
      <c r="O382" s="49"/>
      <c r="P382" s="49"/>
      <c r="Q382" s="49"/>
      <c r="R382" s="49"/>
      <c r="S382" s="49"/>
      <c r="T382" s="49" t="e">
        <f>T383/T381*1000</f>
        <v>#DIV/0!</v>
      </c>
      <c r="U382" s="49" t="e">
        <f>U383/U381*1000</f>
        <v>#DIV/0!</v>
      </c>
      <c r="V382" s="68" t="e">
        <f>V383/V381*1000</f>
        <v>#DIV/0!</v>
      </c>
      <c r="W382" s="14" t="e">
        <f>W383/W381*1000</f>
        <v>#DIV/0!</v>
      </c>
      <c r="X382" s="50"/>
    </row>
    <row r="383" spans="1:28" s="55" customFormat="1" ht="18" hidden="1" customHeight="1">
      <c r="A383" s="595"/>
      <c r="B383" s="576"/>
      <c r="C383" s="577"/>
      <c r="D383" s="191" t="str">
        <f>серпень!D306</f>
        <v>сума, тис.грн.</v>
      </c>
      <c r="E383" s="52"/>
      <c r="F383" s="52">
        <f t="shared" ref="F383:K383" si="429">F381*F382/1000</f>
        <v>0</v>
      </c>
      <c r="G383" s="52">
        <f t="shared" si="429"/>
        <v>0</v>
      </c>
      <c r="H383" s="52">
        <f t="shared" si="429"/>
        <v>0</v>
      </c>
      <c r="I383" s="52">
        <f t="shared" si="429"/>
        <v>0</v>
      </c>
      <c r="J383" s="52">
        <f t="shared" si="429"/>
        <v>0</v>
      </c>
      <c r="K383" s="52">
        <f t="shared" si="429"/>
        <v>0</v>
      </c>
      <c r="L383" s="69">
        <f>SUM(F383:K383)</f>
        <v>0</v>
      </c>
      <c r="M383" s="69">
        <f>L383/6</f>
        <v>0</v>
      </c>
      <c r="N383" s="52">
        <f t="shared" ref="N383:S383" si="430">N381*N382/1000</f>
        <v>0</v>
      </c>
      <c r="O383" s="52">
        <f t="shared" si="430"/>
        <v>0</v>
      </c>
      <c r="P383" s="52">
        <f t="shared" si="430"/>
        <v>0</v>
      </c>
      <c r="Q383" s="52">
        <f t="shared" si="430"/>
        <v>0</v>
      </c>
      <c r="R383" s="52">
        <f t="shared" si="430"/>
        <v>0</v>
      </c>
      <c r="S383" s="52">
        <f t="shared" si="430"/>
        <v>0</v>
      </c>
      <c r="T383" s="69">
        <f>SUM(N383:S383)</f>
        <v>0</v>
      </c>
      <c r="U383" s="69">
        <f>T383+L383</f>
        <v>0</v>
      </c>
      <c r="V383" s="70">
        <f>V384+V385</f>
        <v>0</v>
      </c>
      <c r="W383" s="53">
        <f>V383-U383</f>
        <v>0</v>
      </c>
      <c r="X383" s="54">
        <f>9891253.845/1000</f>
        <v>9891.2540000000008</v>
      </c>
    </row>
    <row r="384" spans="1:28" s="55" customFormat="1" ht="18" hidden="1" customHeight="1">
      <c r="A384" s="595"/>
      <c r="B384" s="576"/>
      <c r="C384" s="577"/>
      <c r="D384" s="174" t="str">
        <f>серпень!D307</f>
        <v>дотація</v>
      </c>
      <c r="E384" s="56"/>
      <c r="F384" s="52"/>
      <c r="G384" s="52"/>
      <c r="H384" s="52"/>
      <c r="I384" s="52"/>
      <c r="J384" s="52"/>
      <c r="K384" s="52"/>
      <c r="L384" s="69">
        <f>SUM(F384:K384)</f>
        <v>0</v>
      </c>
      <c r="M384" s="69">
        <f>L384/6</f>
        <v>0</v>
      </c>
      <c r="N384" s="52"/>
      <c r="O384" s="52"/>
      <c r="P384" s="52"/>
      <c r="Q384" s="52"/>
      <c r="R384" s="52"/>
      <c r="S384" s="52"/>
      <c r="T384" s="69">
        <f>SUM(N384:S384)</f>
        <v>0</v>
      </c>
      <c r="U384" s="69">
        <f>T384+L384</f>
        <v>0</v>
      </c>
      <c r="V384" s="70"/>
      <c r="W384" s="53">
        <f>V384-U384</f>
        <v>0</v>
      </c>
      <c r="X384" s="58"/>
    </row>
    <row r="385" spans="1:28" s="55" customFormat="1" ht="18" hidden="1" customHeight="1">
      <c r="A385" s="595"/>
      <c r="B385" s="576"/>
      <c r="C385" s="577"/>
      <c r="D385" s="174" t="str">
        <f>серпень!D308</f>
        <v>місцевий (план), тис.грн</v>
      </c>
      <c r="E385" s="56"/>
      <c r="F385" s="52"/>
      <c r="G385" s="52"/>
      <c r="H385" s="52"/>
      <c r="I385" s="52"/>
      <c r="J385" s="52"/>
      <c r="K385" s="52"/>
      <c r="L385" s="69">
        <f>SUM(F385:K385)</f>
        <v>0</v>
      </c>
      <c r="M385" s="69">
        <f>L385/6</f>
        <v>0</v>
      </c>
      <c r="N385" s="52"/>
      <c r="O385" s="52"/>
      <c r="P385" s="52"/>
      <c r="Q385" s="52"/>
      <c r="R385" s="52"/>
      <c r="S385" s="52"/>
      <c r="T385" s="69">
        <f>SUM(N385:S385)</f>
        <v>0</v>
      </c>
      <c r="U385" s="69">
        <f>T385+L385</f>
        <v>0</v>
      </c>
      <c r="V385" s="70"/>
      <c r="W385" s="53">
        <f>V385-U385</f>
        <v>0</v>
      </c>
      <c r="X385" s="58"/>
    </row>
    <row r="386" spans="1:28" s="48" customFormat="1" ht="18" hidden="1" customHeight="1">
      <c r="A386" s="595"/>
      <c r="B386" s="576"/>
      <c r="C386" s="577"/>
      <c r="D386" s="178" t="str">
        <f>серпень!D309</f>
        <v>касові нат.п-ки 2025</v>
      </c>
      <c r="E386" s="11"/>
      <c r="F386" s="11"/>
      <c r="G386" s="11"/>
      <c r="H386" s="11"/>
      <c r="I386" s="11"/>
      <c r="J386" s="11"/>
      <c r="K386" s="11"/>
      <c r="L386" s="65">
        <f>SUM(F386:K386)</f>
        <v>0</v>
      </c>
      <c r="M386" s="65">
        <f>L386/6</f>
        <v>0</v>
      </c>
      <c r="N386" s="11"/>
      <c r="O386" s="11"/>
      <c r="P386" s="11"/>
      <c r="Q386" s="11"/>
      <c r="R386" s="11"/>
      <c r="S386" s="11"/>
      <c r="T386" s="65">
        <f>SUM(N386:S386)</f>
        <v>0</v>
      </c>
      <c r="U386" s="65">
        <f>T386+L386</f>
        <v>0</v>
      </c>
      <c r="V386" s="11">
        <f>V381</f>
        <v>0</v>
      </c>
      <c r="W386" s="38">
        <f>V386-U386</f>
        <v>0</v>
      </c>
      <c r="X386" s="47">
        <f>U381-U386</f>
        <v>0</v>
      </c>
    </row>
    <row r="387" spans="1:28" s="51" customFormat="1" ht="18" hidden="1" customHeight="1">
      <c r="A387" s="595"/>
      <c r="B387" s="576"/>
      <c r="C387" s="577"/>
      <c r="D387" s="187" t="str">
        <f>серпень!D310</f>
        <v>тариф, грн.</v>
      </c>
      <c r="E387" s="49" t="e">
        <f>E388/E386*1000</f>
        <v>#DIV/0!</v>
      </c>
      <c r="F387" s="49"/>
      <c r="G387" s="49"/>
      <c r="H387" s="49"/>
      <c r="I387" s="49"/>
      <c r="J387" s="49"/>
      <c r="K387" s="49"/>
      <c r="L387" s="49" t="e">
        <f>L388/L386*1000</f>
        <v>#DIV/0!</v>
      </c>
      <c r="M387" s="49" t="e">
        <f>M388/M386*1000</f>
        <v>#DIV/0!</v>
      </c>
      <c r="N387" s="49"/>
      <c r="O387" s="49"/>
      <c r="P387" s="49"/>
      <c r="Q387" s="49"/>
      <c r="R387" s="49"/>
      <c r="S387" s="49"/>
      <c r="T387" s="49" t="e">
        <f>T388/T386*1000</f>
        <v>#DIV/0!</v>
      </c>
      <c r="U387" s="49" t="e">
        <f>U388/U386*1000</f>
        <v>#DIV/0!</v>
      </c>
      <c r="V387" s="68" t="e">
        <f>V388/V386*1000</f>
        <v>#DIV/0!</v>
      </c>
      <c r="W387" s="14" t="e">
        <f>W388/W386*1000</f>
        <v>#DIV/0!</v>
      </c>
      <c r="X387" s="59"/>
    </row>
    <row r="388" spans="1:28" s="63" customFormat="1" ht="17.7" hidden="1" customHeight="1">
      <c r="A388" s="595"/>
      <c r="B388" s="576"/>
      <c r="C388" s="577"/>
      <c r="D388" s="198" t="str">
        <f>серпень!D311</f>
        <v>касові видатки, тис.грн.</v>
      </c>
      <c r="E388" s="71"/>
      <c r="F388" s="61">
        <f t="shared" ref="F388:K388" si="431">F386*F387/1000</f>
        <v>0</v>
      </c>
      <c r="G388" s="61">
        <f t="shared" si="431"/>
        <v>0</v>
      </c>
      <c r="H388" s="61">
        <f t="shared" si="431"/>
        <v>0</v>
      </c>
      <c r="I388" s="61">
        <f t="shared" si="431"/>
        <v>0</v>
      </c>
      <c r="J388" s="61">
        <f t="shared" si="431"/>
        <v>0</v>
      </c>
      <c r="K388" s="61">
        <f t="shared" si="431"/>
        <v>0</v>
      </c>
      <c r="L388" s="61">
        <f>SUM(F388:K388)</f>
        <v>0</v>
      </c>
      <c r="M388" s="61">
        <f>L388/6</f>
        <v>0</v>
      </c>
      <c r="N388" s="61">
        <f t="shared" ref="N388:S388" si="432">N386*N387/1000</f>
        <v>0</v>
      </c>
      <c r="O388" s="61">
        <f t="shared" si="432"/>
        <v>0</v>
      </c>
      <c r="P388" s="61">
        <f t="shared" si="432"/>
        <v>0</v>
      </c>
      <c r="Q388" s="61">
        <f t="shared" si="432"/>
        <v>0</v>
      </c>
      <c r="R388" s="61">
        <f t="shared" si="432"/>
        <v>0</v>
      </c>
      <c r="S388" s="61">
        <f t="shared" si="432"/>
        <v>0</v>
      </c>
      <c r="T388" s="61">
        <f>SUM(N388:S388)</f>
        <v>0</v>
      </c>
      <c r="U388" s="61">
        <f>T388+L388</f>
        <v>0</v>
      </c>
      <c r="V388" s="61">
        <f>V383</f>
        <v>0</v>
      </c>
      <c r="W388" s="72">
        <f>V388-U388</f>
        <v>0</v>
      </c>
      <c r="X388" s="63">
        <f>U383-U388</f>
        <v>0</v>
      </c>
    </row>
    <row r="389" spans="1:28" s="63" customFormat="1" ht="18" hidden="1" customHeight="1">
      <c r="A389" s="595"/>
      <c r="B389" s="576"/>
      <c r="C389" s="577"/>
      <c r="D389" s="201" t="str">
        <f>серпень!D312</f>
        <v>дотація</v>
      </c>
      <c r="E389" s="71"/>
      <c r="F389" s="61"/>
      <c r="G389" s="61"/>
      <c r="H389" s="61"/>
      <c r="I389" s="61"/>
      <c r="J389" s="61"/>
      <c r="K389" s="61"/>
      <c r="L389" s="61">
        <f>SUM(F389:K389)</f>
        <v>0</v>
      </c>
      <c r="M389" s="61">
        <f>L389/6</f>
        <v>0</v>
      </c>
      <c r="N389" s="61"/>
      <c r="O389" s="61"/>
      <c r="P389" s="61"/>
      <c r="Q389" s="61"/>
      <c r="R389" s="61"/>
      <c r="S389" s="61"/>
      <c r="T389" s="61">
        <f>SUM(N389:S389)</f>
        <v>0</v>
      </c>
      <c r="U389" s="61">
        <f>T389+L389</f>
        <v>0</v>
      </c>
      <c r="V389" s="61">
        <f>V384</f>
        <v>0</v>
      </c>
      <c r="W389" s="72">
        <f>V389-U389</f>
        <v>0</v>
      </c>
      <c r="X389" s="63">
        <f>U384-U389</f>
        <v>0</v>
      </c>
    </row>
    <row r="390" spans="1:28" s="63" customFormat="1" ht="18" hidden="1" customHeight="1">
      <c r="A390" s="595"/>
      <c r="B390" s="576"/>
      <c r="C390" s="577"/>
      <c r="D390" s="201" t="str">
        <f>серпень!D313</f>
        <v xml:space="preserve">місцевий </v>
      </c>
      <c r="E390" s="71"/>
      <c r="F390" s="61">
        <f t="shared" ref="F390:K390" si="433">F388-F389</f>
        <v>0</v>
      </c>
      <c r="G390" s="61">
        <f t="shared" si="433"/>
        <v>0</v>
      </c>
      <c r="H390" s="61">
        <f t="shared" si="433"/>
        <v>0</v>
      </c>
      <c r="I390" s="61">
        <f t="shared" si="433"/>
        <v>0</v>
      </c>
      <c r="J390" s="61">
        <f t="shared" si="433"/>
        <v>0</v>
      </c>
      <c r="K390" s="61">
        <f t="shared" si="433"/>
        <v>0</v>
      </c>
      <c r="L390" s="61">
        <f>SUM(F390:K390)</f>
        <v>0</v>
      </c>
      <c r="M390" s="61">
        <f>L390/6</f>
        <v>0</v>
      </c>
      <c r="N390" s="61">
        <f t="shared" ref="N390:S390" si="434">N388-N389</f>
        <v>0</v>
      </c>
      <c r="O390" s="61">
        <f t="shared" si="434"/>
        <v>0</v>
      </c>
      <c r="P390" s="61">
        <f t="shared" si="434"/>
        <v>0</v>
      </c>
      <c r="Q390" s="61">
        <f t="shared" si="434"/>
        <v>0</v>
      </c>
      <c r="R390" s="61">
        <f t="shared" si="434"/>
        <v>0</v>
      </c>
      <c r="S390" s="61">
        <f t="shared" si="434"/>
        <v>0</v>
      </c>
      <c r="T390" s="61">
        <f>SUM(N390:S390)</f>
        <v>0</v>
      </c>
      <c r="U390" s="61">
        <f>T390+L390</f>
        <v>0</v>
      </c>
      <c r="V390" s="61">
        <f>V385</f>
        <v>0</v>
      </c>
      <c r="W390" s="72">
        <f>V390-U390</f>
        <v>0</v>
      </c>
      <c r="X390" s="63">
        <f>U385-U390</f>
        <v>0</v>
      </c>
    </row>
    <row r="391" spans="1:28" s="43" customFormat="1" ht="18" hidden="1" customHeight="1">
      <c r="A391" s="595"/>
      <c r="B391" s="576"/>
      <c r="C391" s="577"/>
      <c r="D391" s="202" t="str">
        <f>серпень!D314</f>
        <v>план</v>
      </c>
      <c r="E391" s="42"/>
      <c r="F391" s="42">
        <f t="shared" ref="F391:K391" si="435">F385</f>
        <v>0</v>
      </c>
      <c r="G391" s="42">
        <f t="shared" si="435"/>
        <v>0</v>
      </c>
      <c r="H391" s="42">
        <f t="shared" si="435"/>
        <v>0</v>
      </c>
      <c r="I391" s="42">
        <f t="shared" si="435"/>
        <v>0</v>
      </c>
      <c r="J391" s="42">
        <f t="shared" si="435"/>
        <v>0</v>
      </c>
      <c r="K391" s="42">
        <f t="shared" si="435"/>
        <v>0</v>
      </c>
      <c r="L391" s="42">
        <f>SUM(F391:K391)</f>
        <v>0</v>
      </c>
      <c r="M391" s="42">
        <f>L391/6</f>
        <v>0</v>
      </c>
      <c r="N391" s="42">
        <f t="shared" ref="N391:S391" si="436">N385+N384</f>
        <v>0</v>
      </c>
      <c r="O391" s="42">
        <f t="shared" si="436"/>
        <v>0</v>
      </c>
      <c r="P391" s="42">
        <f t="shared" si="436"/>
        <v>0</v>
      </c>
      <c r="Q391" s="42">
        <f t="shared" si="436"/>
        <v>0</v>
      </c>
      <c r="R391" s="42">
        <f t="shared" si="436"/>
        <v>0</v>
      </c>
      <c r="S391" s="42">
        <f t="shared" si="436"/>
        <v>0</v>
      </c>
      <c r="T391" s="42">
        <f>SUM(N391:S391)</f>
        <v>0</v>
      </c>
      <c r="U391" s="42">
        <f>T391+L391</f>
        <v>0</v>
      </c>
      <c r="V391" s="42">
        <f>V388</f>
        <v>0</v>
      </c>
      <c r="W391" s="42">
        <f>V391-U391</f>
        <v>0</v>
      </c>
    </row>
    <row r="392" spans="1:28" s="43" customFormat="1" ht="18" hidden="1" customHeight="1">
      <c r="A392" s="595"/>
      <c r="B392" s="576"/>
      <c r="C392" s="577"/>
      <c r="D392" s="202" t="str">
        <f>серпень!D315</f>
        <v xml:space="preserve">відхилення </v>
      </c>
      <c r="E392" s="42"/>
      <c r="F392" s="42">
        <f t="shared" ref="F392:K392" si="437">F388-F391</f>
        <v>0</v>
      </c>
      <c r="G392" s="42">
        <f t="shared" si="437"/>
        <v>0</v>
      </c>
      <c r="H392" s="42">
        <f t="shared" si="437"/>
        <v>0</v>
      </c>
      <c r="I392" s="42">
        <f t="shared" si="437"/>
        <v>0</v>
      </c>
      <c r="J392" s="42">
        <f t="shared" si="437"/>
        <v>0</v>
      </c>
      <c r="K392" s="42">
        <f t="shared" si="437"/>
        <v>0</v>
      </c>
      <c r="L392" s="42"/>
      <c r="M392" s="42"/>
      <c r="N392" s="42">
        <f t="shared" ref="N392:S392" si="438">N388-N391</f>
        <v>0</v>
      </c>
      <c r="O392" s="42">
        <f t="shared" si="438"/>
        <v>0</v>
      </c>
      <c r="P392" s="42">
        <f t="shared" si="438"/>
        <v>0</v>
      </c>
      <c r="Q392" s="42">
        <f t="shared" si="438"/>
        <v>0</v>
      </c>
      <c r="R392" s="42">
        <f t="shared" si="438"/>
        <v>0</v>
      </c>
      <c r="S392" s="42">
        <f t="shared" si="438"/>
        <v>0</v>
      </c>
      <c r="T392" s="42"/>
      <c r="U392" s="42"/>
      <c r="V392" s="42"/>
      <c r="W392" s="42"/>
    </row>
    <row r="393" spans="1:28" s="43" customFormat="1" ht="18" hidden="1" customHeight="1">
      <c r="A393" s="595"/>
      <c r="B393" s="578"/>
      <c r="C393" s="579"/>
      <c r="D393" s="202" t="str">
        <f>серпень!D316</f>
        <v>відхилення з наростаючим</v>
      </c>
      <c r="E393" s="42"/>
      <c r="F393" s="42">
        <f>F392</f>
        <v>0</v>
      </c>
      <c r="G393" s="42">
        <f>G392+F393</f>
        <v>0</v>
      </c>
      <c r="H393" s="42">
        <f>H392+G393</f>
        <v>0</v>
      </c>
      <c r="I393" s="42">
        <f>I392+H393</f>
        <v>0</v>
      </c>
      <c r="J393" s="42">
        <f>J392+I393</f>
        <v>0</v>
      </c>
      <c r="K393" s="42">
        <f>K392+J393</f>
        <v>0</v>
      </c>
      <c r="L393" s="42"/>
      <c r="M393" s="42"/>
      <c r="N393" s="42">
        <f>N392+K393</f>
        <v>0</v>
      </c>
      <c r="O393" s="42">
        <f>O392+N393</f>
        <v>0</v>
      </c>
      <c r="P393" s="42">
        <f>P392+O393</f>
        <v>0</v>
      </c>
      <c r="Q393" s="42">
        <f>Q392+P393</f>
        <v>0</v>
      </c>
      <c r="R393" s="42">
        <f>R392+Q393</f>
        <v>0</v>
      </c>
      <c r="S393" s="42">
        <f>S392+R393</f>
        <v>0</v>
      </c>
      <c r="T393" s="42"/>
      <c r="U393" s="42"/>
      <c r="V393" s="42"/>
      <c r="W393" s="42"/>
    </row>
    <row r="394" spans="1:28" s="10" customFormat="1" ht="18" hidden="1" customHeight="1">
      <c r="A394" s="595"/>
      <c r="B394" s="580" t="s">
        <v>38</v>
      </c>
      <c r="C394" s="575"/>
      <c r="D394" s="178" t="str">
        <f>серпень!D317</f>
        <v>факт. нат.п-ки 2023</v>
      </c>
      <c r="E394" s="11"/>
      <c r="F394" s="12"/>
      <c r="G394" s="12"/>
      <c r="H394" s="12"/>
      <c r="I394" s="12"/>
      <c r="J394" s="12"/>
      <c r="K394" s="12"/>
      <c r="L394" s="65">
        <f>SUM(F394:K394)</f>
        <v>0</v>
      </c>
      <c r="M394" s="65">
        <f>L394/6</f>
        <v>0</v>
      </c>
      <c r="N394" s="12"/>
      <c r="O394" s="12"/>
      <c r="P394" s="12"/>
      <c r="Q394" s="12"/>
      <c r="R394" s="12"/>
      <c r="S394" s="12"/>
      <c r="T394" s="65">
        <f>SUM(N394:S394)</f>
        <v>0</v>
      </c>
      <c r="U394" s="118">
        <f>T394+L394</f>
        <v>0</v>
      </c>
      <c r="V394" s="67"/>
      <c r="W394" s="38">
        <f>V394-U394</f>
        <v>0</v>
      </c>
      <c r="X394" s="36"/>
      <c r="Y394" s="3"/>
      <c r="Z394" s="3"/>
      <c r="AA394" s="3"/>
      <c r="AB394" s="3"/>
    </row>
    <row r="395" spans="1:28" s="48" customFormat="1" ht="18" hidden="1" customHeight="1">
      <c r="A395" s="595"/>
      <c r="B395" s="576"/>
      <c r="C395" s="577"/>
      <c r="D395" s="178" t="str">
        <f>серпень!D318</f>
        <v>факт. нат.п-ки 2024</v>
      </c>
      <c r="E395" s="11"/>
      <c r="F395" s="12"/>
      <c r="G395" s="12"/>
      <c r="H395" s="12"/>
      <c r="I395" s="12"/>
      <c r="J395" s="12"/>
      <c r="K395" s="12"/>
      <c r="L395" s="65">
        <f>SUM(F395:K395)</f>
        <v>0</v>
      </c>
      <c r="M395" s="65">
        <f>L395/6</f>
        <v>0</v>
      </c>
      <c r="N395" s="11"/>
      <c r="O395" s="11"/>
      <c r="P395" s="11"/>
      <c r="Q395" s="11"/>
      <c r="R395" s="11"/>
      <c r="S395" s="11"/>
      <c r="T395" s="65">
        <f>SUM(N395:S395)</f>
        <v>0</v>
      </c>
      <c r="U395" s="118">
        <f>T395+L395</f>
        <v>0</v>
      </c>
      <c r="V395" s="67"/>
      <c r="W395" s="38">
        <f>V395-U395</f>
        <v>0</v>
      </c>
      <c r="X395" s="47"/>
    </row>
    <row r="396" spans="1:28" s="10" customFormat="1" ht="18" hidden="1" customHeight="1">
      <c r="A396" s="595"/>
      <c r="B396" s="576"/>
      <c r="C396" s="577"/>
      <c r="D396" s="178" t="str">
        <f>серпень!D319</f>
        <v>факт. нат.п-ки 2025</v>
      </c>
      <c r="E396" s="11"/>
      <c r="F396" s="12"/>
      <c r="G396" s="12"/>
      <c r="H396" s="12"/>
      <c r="I396" s="12"/>
      <c r="J396" s="12"/>
      <c r="K396" s="12"/>
      <c r="L396" s="65">
        <f>SUM(F396:K396)</f>
        <v>0</v>
      </c>
      <c r="M396" s="65">
        <f>L396/6</f>
        <v>0</v>
      </c>
      <c r="N396" s="12"/>
      <c r="O396" s="12"/>
      <c r="P396" s="12"/>
      <c r="Q396" s="12"/>
      <c r="R396" s="12"/>
      <c r="S396" s="11"/>
      <c r="T396" s="65">
        <f>SUM(N396:S396)</f>
        <v>0</v>
      </c>
      <c r="U396" s="118">
        <f>T396+L396</f>
        <v>0</v>
      </c>
      <c r="V396" s="11"/>
      <c r="W396" s="38">
        <f>V396-U396</f>
        <v>0</v>
      </c>
      <c r="X396" s="36"/>
      <c r="Y396" s="3"/>
      <c r="Z396" s="3"/>
      <c r="AA396" s="3"/>
      <c r="AB396" s="3"/>
    </row>
    <row r="397" spans="1:28" s="114" customFormat="1" ht="18" hidden="1" customHeight="1">
      <c r="A397" s="595"/>
      <c r="B397" s="576"/>
      <c r="C397" s="577"/>
      <c r="D397" s="187" t="str">
        <f>серпень!D320</f>
        <v>тариф, грн.</v>
      </c>
      <c r="E397" s="49"/>
      <c r="F397" s="49">
        <v>10.56</v>
      </c>
      <c r="G397" s="49">
        <v>10.56</v>
      </c>
      <c r="H397" s="49">
        <v>10.56</v>
      </c>
      <c r="I397" s="49">
        <v>10.56</v>
      </c>
      <c r="J397" s="49">
        <v>10.56</v>
      </c>
      <c r="K397" s="49">
        <v>10.56</v>
      </c>
      <c r="L397" s="49" t="e">
        <f>L398/L396*1000</f>
        <v>#DIV/0!</v>
      </c>
      <c r="M397" s="49" t="e">
        <f>M398/M396*1000</f>
        <v>#DIV/0!</v>
      </c>
      <c r="N397" s="49">
        <v>10.56</v>
      </c>
      <c r="O397" s="49">
        <v>10.56</v>
      </c>
      <c r="P397" s="49">
        <v>10.56</v>
      </c>
      <c r="Q397" s="49">
        <v>10.56</v>
      </c>
      <c r="R397" s="49">
        <v>10.56</v>
      </c>
      <c r="S397" s="49">
        <v>10.56</v>
      </c>
      <c r="T397" s="49" t="e">
        <f>T398/T396*1000</f>
        <v>#DIV/0!</v>
      </c>
      <c r="U397" s="49" t="e">
        <f>U398/U396*1000</f>
        <v>#DIV/0!</v>
      </c>
      <c r="V397" s="68" t="e">
        <f>V398/V396*1000</f>
        <v>#DIV/0!</v>
      </c>
      <c r="W397" s="14" t="e">
        <f>W398/W396*1000</f>
        <v>#DIV/0!</v>
      </c>
      <c r="X397" s="47"/>
      <c r="Y397" s="3"/>
      <c r="Z397" s="3"/>
      <c r="AA397" s="3"/>
      <c r="AB397" s="3"/>
    </row>
    <row r="398" spans="1:28" s="114" customFormat="1" ht="18" hidden="1" customHeight="1">
      <c r="A398" s="595"/>
      <c r="B398" s="576"/>
      <c r="C398" s="577"/>
      <c r="D398" s="191" t="str">
        <f>серпень!D321</f>
        <v>сума, тис.грн.</v>
      </c>
      <c r="E398" s="52"/>
      <c r="F398" s="52">
        <f t="shared" ref="F398:K398" si="439">F396*F397/1000</f>
        <v>0</v>
      </c>
      <c r="G398" s="52">
        <f t="shared" si="439"/>
        <v>0</v>
      </c>
      <c r="H398" s="52">
        <f t="shared" si="439"/>
        <v>0</v>
      </c>
      <c r="I398" s="52">
        <f t="shared" si="439"/>
        <v>0</v>
      </c>
      <c r="J398" s="52">
        <f t="shared" si="439"/>
        <v>0</v>
      </c>
      <c r="K398" s="52">
        <f t="shared" si="439"/>
        <v>0</v>
      </c>
      <c r="L398" s="69">
        <f>SUM(F398:K398)</f>
        <v>0</v>
      </c>
      <c r="M398" s="69">
        <f>L398/6</f>
        <v>0</v>
      </c>
      <c r="N398" s="52">
        <f t="shared" ref="N398:S398" si="440">N396*N397/1000</f>
        <v>0</v>
      </c>
      <c r="O398" s="52">
        <f t="shared" si="440"/>
        <v>0</v>
      </c>
      <c r="P398" s="52">
        <f t="shared" si="440"/>
        <v>0</v>
      </c>
      <c r="Q398" s="52">
        <f t="shared" si="440"/>
        <v>0</v>
      </c>
      <c r="R398" s="52">
        <f t="shared" si="440"/>
        <v>0</v>
      </c>
      <c r="S398" s="52">
        <f t="shared" si="440"/>
        <v>0</v>
      </c>
      <c r="T398" s="69">
        <f>SUM(N398:S398)</f>
        <v>0</v>
      </c>
      <c r="U398" s="69">
        <f>T398+L398</f>
        <v>0</v>
      </c>
      <c r="V398" s="70">
        <f>V399+V400</f>
        <v>0</v>
      </c>
      <c r="W398" s="53">
        <f>V398-U398</f>
        <v>0</v>
      </c>
      <c r="X398" s="113"/>
    </row>
    <row r="399" spans="1:28" s="114" customFormat="1" ht="18" hidden="1" customHeight="1">
      <c r="A399" s="595"/>
      <c r="B399" s="576"/>
      <c r="C399" s="577"/>
      <c r="D399" s="174" t="str">
        <f>серпень!D322</f>
        <v>дотація</v>
      </c>
      <c r="E399" s="56"/>
      <c r="F399" s="52"/>
      <c r="G399" s="52"/>
      <c r="H399" s="52"/>
      <c r="I399" s="52"/>
      <c r="J399" s="52"/>
      <c r="K399" s="52"/>
      <c r="L399" s="69">
        <f>SUM(F399:K399)</f>
        <v>0</v>
      </c>
      <c r="M399" s="69">
        <f>L399/6</f>
        <v>0</v>
      </c>
      <c r="N399" s="52"/>
      <c r="O399" s="52"/>
      <c r="P399" s="52"/>
      <c r="Q399" s="52"/>
      <c r="R399" s="52"/>
      <c r="S399" s="52"/>
      <c r="T399" s="69">
        <f>SUM(N399:S399)</f>
        <v>0</v>
      </c>
      <c r="U399" s="69">
        <f>T399+L399</f>
        <v>0</v>
      </c>
      <c r="V399" s="70">
        <v>0</v>
      </c>
      <c r="W399" s="53">
        <f>V399-U399</f>
        <v>0</v>
      </c>
      <c r="X399" s="113"/>
    </row>
    <row r="400" spans="1:28" s="114" customFormat="1" ht="18" hidden="1" customHeight="1">
      <c r="A400" s="595"/>
      <c r="B400" s="576"/>
      <c r="C400" s="577"/>
      <c r="D400" s="174" t="str">
        <f>серпень!D323</f>
        <v>місцевий (план), тис.грн</v>
      </c>
      <c r="E400" s="56"/>
      <c r="F400" s="52"/>
      <c r="G400" s="52"/>
      <c r="H400" s="52"/>
      <c r="I400" s="52"/>
      <c r="J400" s="52"/>
      <c r="K400" s="52"/>
      <c r="L400" s="69">
        <f>SUM(F400:K400)</f>
        <v>0</v>
      </c>
      <c r="M400" s="69">
        <f>L400/6</f>
        <v>0</v>
      </c>
      <c r="N400" s="52"/>
      <c r="O400" s="52"/>
      <c r="P400" s="52"/>
      <c r="Q400" s="52"/>
      <c r="R400" s="52"/>
      <c r="S400" s="52"/>
      <c r="T400" s="69">
        <f>SUM(N400:S400)</f>
        <v>0</v>
      </c>
      <c r="U400" s="69">
        <f>T400+L400</f>
        <v>0</v>
      </c>
      <c r="V400" s="70"/>
      <c r="W400" s="53">
        <f>V400-U400</f>
        <v>0</v>
      </c>
      <c r="X400" s="113"/>
    </row>
    <row r="401" spans="1:28" s="3" customFormat="1" ht="18" hidden="1" customHeight="1">
      <c r="A401" s="595"/>
      <c r="B401" s="576"/>
      <c r="C401" s="577"/>
      <c r="D401" s="178" t="str">
        <f>серпень!D324</f>
        <v>касові нат.п-ки 2025</v>
      </c>
      <c r="E401" s="11"/>
      <c r="F401" s="11"/>
      <c r="G401" s="11"/>
      <c r="H401" s="11"/>
      <c r="I401" s="11"/>
      <c r="J401" s="11"/>
      <c r="K401" s="11"/>
      <c r="L401" s="65">
        <f>SUM(F401:K401)</f>
        <v>0</v>
      </c>
      <c r="M401" s="65">
        <f>L401/6</f>
        <v>0</v>
      </c>
      <c r="N401" s="11"/>
      <c r="O401" s="11"/>
      <c r="P401" s="11"/>
      <c r="Q401" s="11"/>
      <c r="R401" s="11"/>
      <c r="S401" s="11">
        <f>S396+R396</f>
        <v>0</v>
      </c>
      <c r="T401" s="65">
        <f>SUM(N401:S401)</f>
        <v>0</v>
      </c>
      <c r="U401" s="65">
        <f>T401+L401</f>
        <v>0</v>
      </c>
      <c r="V401" s="11">
        <f>V396</f>
        <v>0</v>
      </c>
      <c r="W401" s="38">
        <f>V401-U401</f>
        <v>0</v>
      </c>
      <c r="X401" s="47">
        <f>U396-U401</f>
        <v>0</v>
      </c>
    </row>
    <row r="402" spans="1:28" s="73" customFormat="1" ht="18" hidden="1" customHeight="1">
      <c r="A402" s="595"/>
      <c r="B402" s="576"/>
      <c r="C402" s="577"/>
      <c r="D402" s="187" t="str">
        <f>серпень!D325</f>
        <v>тариф, грн.</v>
      </c>
      <c r="E402" s="49" t="e">
        <f>E403/E401*1000</f>
        <v>#DIV/0!</v>
      </c>
      <c r="F402" s="49">
        <v>10.56</v>
      </c>
      <c r="G402" s="49">
        <v>10.56</v>
      </c>
      <c r="H402" s="49">
        <v>10.56</v>
      </c>
      <c r="I402" s="49">
        <v>10.56</v>
      </c>
      <c r="J402" s="49">
        <v>10.56</v>
      </c>
      <c r="K402" s="49">
        <v>10.56</v>
      </c>
      <c r="L402" s="49" t="e">
        <f>L403/L401*1000</f>
        <v>#DIV/0!</v>
      </c>
      <c r="M402" s="49" t="e">
        <f>M403/M401*1000</f>
        <v>#DIV/0!</v>
      </c>
      <c r="N402" s="49">
        <v>10.56</v>
      </c>
      <c r="O402" s="49">
        <v>10.56</v>
      </c>
      <c r="P402" s="49">
        <v>10.56</v>
      </c>
      <c r="Q402" s="49">
        <v>10.56</v>
      </c>
      <c r="R402" s="49">
        <v>10.56</v>
      </c>
      <c r="S402" s="49">
        <v>10.56</v>
      </c>
      <c r="T402" s="49" t="e">
        <f>T403/T401*1000</f>
        <v>#DIV/0!</v>
      </c>
      <c r="U402" s="49" t="e">
        <f>U403/U401*1000</f>
        <v>#DIV/0!</v>
      </c>
      <c r="V402" s="68" t="e">
        <f>V403/V401*1000</f>
        <v>#DIV/0!</v>
      </c>
      <c r="W402" s="14" t="e">
        <f>W403/W401*1000</f>
        <v>#DIV/0!</v>
      </c>
      <c r="X402" s="59"/>
      <c r="Y402" s="36"/>
      <c r="Z402" s="36"/>
      <c r="AA402" s="36"/>
      <c r="AB402" s="36"/>
    </row>
    <row r="403" spans="1:28" s="126" customFormat="1" ht="18" hidden="1" customHeight="1">
      <c r="A403" s="595"/>
      <c r="B403" s="576"/>
      <c r="C403" s="577"/>
      <c r="D403" s="198" t="str">
        <f>серпень!D326</f>
        <v>касові видатки, тис.грн.</v>
      </c>
      <c r="E403" s="71"/>
      <c r="F403" s="61">
        <f t="shared" ref="F403:K403" si="441">F401*F402/1000</f>
        <v>0</v>
      </c>
      <c r="G403" s="61">
        <f t="shared" si="441"/>
        <v>0</v>
      </c>
      <c r="H403" s="61">
        <f t="shared" si="441"/>
        <v>0</v>
      </c>
      <c r="I403" s="61">
        <f t="shared" si="441"/>
        <v>0</v>
      </c>
      <c r="J403" s="61">
        <f t="shared" si="441"/>
        <v>0</v>
      </c>
      <c r="K403" s="61">
        <f t="shared" si="441"/>
        <v>0</v>
      </c>
      <c r="L403" s="61">
        <f>SUM(F403:K403)</f>
        <v>0</v>
      </c>
      <c r="M403" s="61">
        <f>L403/6</f>
        <v>0</v>
      </c>
      <c r="N403" s="61">
        <f t="shared" ref="N403:S403" si="442">N401*N402/1000</f>
        <v>0</v>
      </c>
      <c r="O403" s="61">
        <f t="shared" si="442"/>
        <v>0</v>
      </c>
      <c r="P403" s="61">
        <f t="shared" si="442"/>
        <v>0</v>
      </c>
      <c r="Q403" s="61">
        <f t="shared" si="442"/>
        <v>0</v>
      </c>
      <c r="R403" s="61">
        <f t="shared" si="442"/>
        <v>0</v>
      </c>
      <c r="S403" s="61">
        <f t="shared" si="442"/>
        <v>0</v>
      </c>
      <c r="T403" s="61">
        <f>SUM(N403:S403)</f>
        <v>0</v>
      </c>
      <c r="U403" s="61">
        <f>T403+L403</f>
        <v>0</v>
      </c>
      <c r="V403" s="61">
        <f>V398</f>
        <v>0</v>
      </c>
      <c r="W403" s="72">
        <f>V403-U403</f>
        <v>0</v>
      </c>
      <c r="X403" s="63">
        <f>U398-U403</f>
        <v>0</v>
      </c>
    </row>
    <row r="404" spans="1:28" s="126" customFormat="1" ht="18" hidden="1" customHeight="1">
      <c r="A404" s="595"/>
      <c r="B404" s="576"/>
      <c r="C404" s="577"/>
      <c r="D404" s="201" t="str">
        <f>серпень!D327</f>
        <v>дотація</v>
      </c>
      <c r="E404" s="71"/>
      <c r="F404" s="61"/>
      <c r="G404" s="61"/>
      <c r="H404" s="61"/>
      <c r="I404" s="61"/>
      <c r="J404" s="61"/>
      <c r="K404" s="61"/>
      <c r="L404" s="61">
        <f>SUM(F404:K404)</f>
        <v>0</v>
      </c>
      <c r="M404" s="61">
        <f>L404/6</f>
        <v>0</v>
      </c>
      <c r="N404" s="61"/>
      <c r="O404" s="61"/>
      <c r="P404" s="61"/>
      <c r="Q404" s="61"/>
      <c r="R404" s="61"/>
      <c r="S404" s="61"/>
      <c r="T404" s="61">
        <f>SUM(N404:S404)</f>
        <v>0</v>
      </c>
      <c r="U404" s="61">
        <f>T404+L404</f>
        <v>0</v>
      </c>
      <c r="V404" s="61">
        <f>V399</f>
        <v>0</v>
      </c>
      <c r="W404" s="72">
        <f>V404-U404</f>
        <v>0</v>
      </c>
      <c r="X404" s="63">
        <f>U399-U404</f>
        <v>0</v>
      </c>
    </row>
    <row r="405" spans="1:28" s="126" customFormat="1" ht="18" hidden="1" customHeight="1">
      <c r="A405" s="595"/>
      <c r="B405" s="576"/>
      <c r="C405" s="577"/>
      <c r="D405" s="201" t="str">
        <f>серпень!D328</f>
        <v xml:space="preserve">місцевий </v>
      </c>
      <c r="E405" s="71"/>
      <c r="F405" s="61">
        <f t="shared" ref="F405:K405" si="443">F403-F404</f>
        <v>0</v>
      </c>
      <c r="G405" s="61">
        <f t="shared" si="443"/>
        <v>0</v>
      </c>
      <c r="H405" s="61">
        <f t="shared" si="443"/>
        <v>0</v>
      </c>
      <c r="I405" s="61">
        <f t="shared" si="443"/>
        <v>0</v>
      </c>
      <c r="J405" s="61">
        <f t="shared" si="443"/>
        <v>0</v>
      </c>
      <c r="K405" s="61">
        <f t="shared" si="443"/>
        <v>0</v>
      </c>
      <c r="L405" s="61">
        <f>SUM(F405:K405)</f>
        <v>0</v>
      </c>
      <c r="M405" s="61">
        <f>L405/6</f>
        <v>0</v>
      </c>
      <c r="N405" s="61">
        <f t="shared" ref="N405:S405" si="444">N403-N404</f>
        <v>0</v>
      </c>
      <c r="O405" s="61">
        <f t="shared" si="444"/>
        <v>0</v>
      </c>
      <c r="P405" s="61">
        <f t="shared" si="444"/>
        <v>0</v>
      </c>
      <c r="Q405" s="61">
        <f t="shared" si="444"/>
        <v>0</v>
      </c>
      <c r="R405" s="61">
        <f t="shared" si="444"/>
        <v>0</v>
      </c>
      <c r="S405" s="61">
        <f t="shared" si="444"/>
        <v>0</v>
      </c>
      <c r="T405" s="61">
        <f>SUM(N405:S405)</f>
        <v>0</v>
      </c>
      <c r="U405" s="61">
        <f>T405+L405</f>
        <v>0</v>
      </c>
      <c r="V405" s="61">
        <f>V400</f>
        <v>0</v>
      </c>
      <c r="W405" s="72">
        <f>V405-U405</f>
        <v>0</v>
      </c>
      <c r="X405" s="63">
        <f>U400-U405</f>
        <v>0</v>
      </c>
    </row>
    <row r="406" spans="1:28" s="43" customFormat="1" ht="18" hidden="1" customHeight="1">
      <c r="A406" s="595"/>
      <c r="B406" s="576"/>
      <c r="C406" s="577"/>
      <c r="D406" s="202" t="str">
        <f>серпень!D329</f>
        <v>план</v>
      </c>
      <c r="E406" s="42"/>
      <c r="F406" s="42">
        <f t="shared" ref="F406:K406" si="445">F400</f>
        <v>0</v>
      </c>
      <c r="G406" s="42">
        <f t="shared" si="445"/>
        <v>0</v>
      </c>
      <c r="H406" s="42">
        <f t="shared" si="445"/>
        <v>0</v>
      </c>
      <c r="I406" s="42">
        <f t="shared" si="445"/>
        <v>0</v>
      </c>
      <c r="J406" s="42">
        <f t="shared" si="445"/>
        <v>0</v>
      </c>
      <c r="K406" s="42">
        <f t="shared" si="445"/>
        <v>0</v>
      </c>
      <c r="L406" s="42">
        <f>SUM(F406:K406)</f>
        <v>0</v>
      </c>
      <c r="M406" s="42">
        <f>L406/6</f>
        <v>0</v>
      </c>
      <c r="N406" s="42">
        <f t="shared" ref="N406:S406" si="446">N400+N399</f>
        <v>0</v>
      </c>
      <c r="O406" s="42">
        <f t="shared" si="446"/>
        <v>0</v>
      </c>
      <c r="P406" s="42">
        <f t="shared" si="446"/>
        <v>0</v>
      </c>
      <c r="Q406" s="42">
        <f t="shared" si="446"/>
        <v>0</v>
      </c>
      <c r="R406" s="42">
        <f t="shared" si="446"/>
        <v>0</v>
      </c>
      <c r="S406" s="42">
        <f t="shared" si="446"/>
        <v>0</v>
      </c>
      <c r="T406" s="42">
        <f>SUM(N406:S406)</f>
        <v>0</v>
      </c>
      <c r="U406" s="42">
        <f>T406+L406</f>
        <v>0</v>
      </c>
      <c r="V406" s="42">
        <f>V403</f>
        <v>0</v>
      </c>
      <c r="W406" s="42">
        <f>V406-U406</f>
        <v>0</v>
      </c>
    </row>
    <row r="407" spans="1:28" s="43" customFormat="1" ht="18" hidden="1" customHeight="1">
      <c r="A407" s="595"/>
      <c r="B407" s="576"/>
      <c r="C407" s="577"/>
      <c r="D407" s="202" t="str">
        <f>серпень!D330</f>
        <v xml:space="preserve">відхилення </v>
      </c>
      <c r="E407" s="42"/>
      <c r="F407" s="42">
        <f t="shared" ref="F407:K407" si="447">F403-F406</f>
        <v>0</v>
      </c>
      <c r="G407" s="42">
        <f t="shared" si="447"/>
        <v>0</v>
      </c>
      <c r="H407" s="42">
        <f t="shared" si="447"/>
        <v>0</v>
      </c>
      <c r="I407" s="42">
        <f t="shared" si="447"/>
        <v>0</v>
      </c>
      <c r="J407" s="42">
        <f t="shared" si="447"/>
        <v>0</v>
      </c>
      <c r="K407" s="42">
        <f t="shared" si="447"/>
        <v>0</v>
      </c>
      <c r="L407" s="42"/>
      <c r="M407" s="42"/>
      <c r="N407" s="42">
        <f t="shared" ref="N407:S407" si="448">N403-N406</f>
        <v>0</v>
      </c>
      <c r="O407" s="42">
        <f t="shared" si="448"/>
        <v>0</v>
      </c>
      <c r="P407" s="42">
        <f t="shared" si="448"/>
        <v>0</v>
      </c>
      <c r="Q407" s="42">
        <f t="shared" si="448"/>
        <v>0</v>
      </c>
      <c r="R407" s="42">
        <f t="shared" si="448"/>
        <v>0</v>
      </c>
      <c r="S407" s="42">
        <f t="shared" si="448"/>
        <v>0</v>
      </c>
      <c r="T407" s="42"/>
      <c r="U407" s="42"/>
      <c r="V407" s="42"/>
      <c r="W407" s="42"/>
    </row>
    <row r="408" spans="1:28" s="43" customFormat="1" ht="18" hidden="1" customHeight="1">
      <c r="A408" s="596"/>
      <c r="B408" s="578"/>
      <c r="C408" s="579"/>
      <c r="D408" s="202" t="str">
        <f>серпень!D331</f>
        <v>відхилення з наростаючим</v>
      </c>
      <c r="E408" s="42"/>
      <c r="F408" s="42">
        <f>F407</f>
        <v>0</v>
      </c>
      <c r="G408" s="42">
        <f>G407+F408</f>
        <v>0</v>
      </c>
      <c r="H408" s="42">
        <f>H407+G408</f>
        <v>0</v>
      </c>
      <c r="I408" s="42">
        <f>I407+H408</f>
        <v>0</v>
      </c>
      <c r="J408" s="42">
        <f>J407+I408</f>
        <v>0</v>
      </c>
      <c r="K408" s="42">
        <f>K407+J408</f>
        <v>0</v>
      </c>
      <c r="L408" s="42"/>
      <c r="M408" s="42"/>
      <c r="N408" s="42">
        <f>N407+K408</f>
        <v>0</v>
      </c>
      <c r="O408" s="42">
        <f>O407+N408</f>
        <v>0</v>
      </c>
      <c r="P408" s="42">
        <f>P407+O408</f>
        <v>0</v>
      </c>
      <c r="Q408" s="42">
        <f>Q407+P408</f>
        <v>0</v>
      </c>
      <c r="R408" s="42">
        <f>R407+Q408</f>
        <v>0</v>
      </c>
      <c r="S408" s="42">
        <f>S407+R408</f>
        <v>0</v>
      </c>
      <c r="T408" s="42"/>
      <c r="U408" s="42"/>
      <c r="V408" s="42"/>
      <c r="W408" s="42"/>
    </row>
    <row r="409" spans="1:28" s="157" customFormat="1" ht="18" customHeight="1">
      <c r="A409" s="582" t="s">
        <v>39</v>
      </c>
      <c r="B409" s="655" t="s">
        <v>40</v>
      </c>
      <c r="C409" s="656"/>
      <c r="D409" s="178" t="str">
        <f>серпень!D332</f>
        <v>факт. нат.п-ки 2023</v>
      </c>
      <c r="E409" s="179"/>
      <c r="F409" s="180">
        <f t="shared" ref="F409:K411" si="449">F426+F441+F456</f>
        <v>509.1</v>
      </c>
      <c r="G409" s="180">
        <f t="shared" si="449"/>
        <v>384</v>
      </c>
      <c r="H409" s="180">
        <f t="shared" si="449"/>
        <v>928</v>
      </c>
      <c r="I409" s="180">
        <f t="shared" si="449"/>
        <v>634</v>
      </c>
      <c r="J409" s="180">
        <f t="shared" si="449"/>
        <v>338</v>
      </c>
      <c r="K409" s="180">
        <f t="shared" si="449"/>
        <v>876</v>
      </c>
      <c r="L409" s="215">
        <f>SUM(F409:K409)</f>
        <v>3669.1</v>
      </c>
      <c r="M409" s="215">
        <f>L409/6</f>
        <v>611.5</v>
      </c>
      <c r="N409" s="180">
        <f t="shared" ref="N409:S411" si="450">N426+N441+N456</f>
        <v>1264</v>
      </c>
      <c r="O409" s="180">
        <f t="shared" si="450"/>
        <v>749</v>
      </c>
      <c r="P409" s="180">
        <f t="shared" si="450"/>
        <v>852</v>
      </c>
      <c r="Q409" s="180">
        <f t="shared" si="450"/>
        <v>800</v>
      </c>
      <c r="R409" s="180">
        <f t="shared" si="450"/>
        <v>685</v>
      </c>
      <c r="S409" s="180">
        <f t="shared" si="450"/>
        <v>1188.5</v>
      </c>
      <c r="T409" s="215">
        <f>SUM(N409:S409)</f>
        <v>5538.5</v>
      </c>
      <c r="U409" s="215">
        <f>T409+L409</f>
        <v>9207.6</v>
      </c>
      <c r="V409" s="233">
        <f>V426+V456</f>
        <v>9207.6</v>
      </c>
      <c r="W409" s="184"/>
      <c r="X409" s="209"/>
    </row>
    <row r="410" spans="1:28" s="157" customFormat="1" ht="18" customHeight="1">
      <c r="A410" s="583"/>
      <c r="B410" s="657"/>
      <c r="C410" s="658"/>
      <c r="D410" s="178" t="str">
        <f>серпень!D333</f>
        <v>факт. нат.п-ки 2024</v>
      </c>
      <c r="E410" s="179"/>
      <c r="F410" s="180">
        <f t="shared" si="449"/>
        <v>702</v>
      </c>
      <c r="G410" s="180">
        <f t="shared" si="449"/>
        <v>658</v>
      </c>
      <c r="H410" s="180">
        <f t="shared" si="449"/>
        <v>755</v>
      </c>
      <c r="I410" s="180">
        <f t="shared" si="449"/>
        <v>780</v>
      </c>
      <c r="J410" s="180">
        <f t="shared" si="449"/>
        <v>847.5</v>
      </c>
      <c r="K410" s="180">
        <f t="shared" si="449"/>
        <v>847.5</v>
      </c>
      <c r="L410" s="215">
        <f>SUM(F410:K410)</f>
        <v>4590</v>
      </c>
      <c r="M410" s="215">
        <f>L410/6</f>
        <v>765</v>
      </c>
      <c r="N410" s="180">
        <f t="shared" si="450"/>
        <v>1000</v>
      </c>
      <c r="O410" s="180">
        <f t="shared" si="450"/>
        <v>990</v>
      </c>
      <c r="P410" s="180">
        <f t="shared" si="450"/>
        <v>658</v>
      </c>
      <c r="Q410" s="180">
        <f t="shared" si="450"/>
        <v>894.5</v>
      </c>
      <c r="R410" s="180">
        <f t="shared" si="450"/>
        <v>485</v>
      </c>
      <c r="S410" s="180">
        <f t="shared" si="450"/>
        <v>244.3</v>
      </c>
      <c r="T410" s="215">
        <f>SUM(N410:S410)</f>
        <v>4271.8</v>
      </c>
      <c r="U410" s="215">
        <f>T410+L410</f>
        <v>8861.7999999999993</v>
      </c>
      <c r="V410" s="233">
        <f>V427+V457</f>
        <v>8861.7999999999993</v>
      </c>
      <c r="W410" s="184"/>
      <c r="X410" s="209"/>
    </row>
    <row r="411" spans="1:28" s="157" customFormat="1" ht="18" customHeight="1">
      <c r="A411" s="583"/>
      <c r="B411" s="657"/>
      <c r="C411" s="658"/>
      <c r="D411" s="178" t="str">
        <f>серпень!D334</f>
        <v>факт. нат.п-ки 2025</v>
      </c>
      <c r="E411" s="179"/>
      <c r="F411" s="180">
        <f>F428+F443+F458</f>
        <v>546</v>
      </c>
      <c r="G411" s="180">
        <f t="shared" si="449"/>
        <v>746</v>
      </c>
      <c r="H411" s="180">
        <f t="shared" si="449"/>
        <v>746</v>
      </c>
      <c r="I411" s="180">
        <f t="shared" si="449"/>
        <v>910</v>
      </c>
      <c r="J411" s="180">
        <f t="shared" si="449"/>
        <v>932</v>
      </c>
      <c r="K411" s="180">
        <f t="shared" si="449"/>
        <v>720</v>
      </c>
      <c r="L411" s="234">
        <f>SUM(F411:K411)</f>
        <v>4600</v>
      </c>
      <c r="M411" s="215">
        <f>L411/6</f>
        <v>766.7</v>
      </c>
      <c r="N411" s="180">
        <f t="shared" si="450"/>
        <v>0</v>
      </c>
      <c r="O411" s="180">
        <f t="shared" si="450"/>
        <v>434.5</v>
      </c>
      <c r="P411" s="180">
        <f t="shared" si="450"/>
        <v>658</v>
      </c>
      <c r="Q411" s="180">
        <f t="shared" si="450"/>
        <v>894.5</v>
      </c>
      <c r="R411" s="180">
        <f t="shared" si="450"/>
        <v>485</v>
      </c>
      <c r="S411" s="180">
        <f t="shared" si="450"/>
        <v>159.19999999999999</v>
      </c>
      <c r="T411" s="215">
        <f>SUM(N411:S411)</f>
        <v>2631.2</v>
      </c>
      <c r="U411" s="215">
        <f>T411+L411</f>
        <v>7231.2</v>
      </c>
      <c r="V411" s="233">
        <f>V428+V443+V458</f>
        <v>7650.9</v>
      </c>
      <c r="W411" s="184">
        <f>V411-U411</f>
        <v>419.7</v>
      </c>
      <c r="X411" s="209"/>
    </row>
    <row r="412" spans="1:28" s="241" customFormat="1" ht="18" customHeight="1">
      <c r="A412" s="583"/>
      <c r="B412" s="657"/>
      <c r="C412" s="658"/>
      <c r="D412" s="187" t="str">
        <f>серпень!D335</f>
        <v>тариф, грн.</v>
      </c>
      <c r="E412" s="188"/>
      <c r="F412" s="188">
        <f t="shared" ref="F412:S412" si="451">F413/F411*1000</f>
        <v>14.183</v>
      </c>
      <c r="G412" s="188">
        <f t="shared" si="451"/>
        <v>14.183999999999999</v>
      </c>
      <c r="H412" s="188">
        <f t="shared" si="451"/>
        <v>14.183999999999999</v>
      </c>
      <c r="I412" s="188">
        <f t="shared" si="451"/>
        <v>14.183999999999999</v>
      </c>
      <c r="J412" s="188">
        <f t="shared" si="451"/>
        <v>14.185</v>
      </c>
      <c r="K412" s="188">
        <f t="shared" si="451"/>
        <v>14.183</v>
      </c>
      <c r="L412" s="188">
        <f t="shared" si="451"/>
        <v>14.183999999999999</v>
      </c>
      <c r="M412" s="188">
        <f t="shared" si="451"/>
        <v>14.183</v>
      </c>
      <c r="N412" s="188" t="e">
        <f t="shared" si="451"/>
        <v>#DIV/0!</v>
      </c>
      <c r="O412" s="188">
        <f t="shared" si="451"/>
        <v>14.182</v>
      </c>
      <c r="P412" s="188">
        <f t="shared" si="451"/>
        <v>14.183999999999999</v>
      </c>
      <c r="Q412" s="188">
        <f t="shared" si="451"/>
        <v>14.183999999999999</v>
      </c>
      <c r="R412" s="188">
        <f t="shared" si="451"/>
        <v>14.183999999999999</v>
      </c>
      <c r="S412" s="188">
        <f t="shared" si="451"/>
        <v>14.177</v>
      </c>
      <c r="T412" s="188">
        <f>T413/T411*1000</f>
        <v>14.183</v>
      </c>
      <c r="U412" s="188">
        <f>U413/U411*1000</f>
        <v>14.183999999999999</v>
      </c>
      <c r="V412" s="188">
        <f>V413/V411*1000</f>
        <v>14.183999999999999</v>
      </c>
      <c r="W412" s="189">
        <f>W413/W411*1000</f>
        <v>14.191000000000001</v>
      </c>
      <c r="X412" s="240"/>
    </row>
    <row r="413" spans="1:28" s="172" customFormat="1" ht="18" customHeight="1">
      <c r="A413" s="583"/>
      <c r="B413" s="657"/>
      <c r="C413" s="658"/>
      <c r="D413" s="191" t="str">
        <f>серпень!D336</f>
        <v>сума, тис.грн.</v>
      </c>
      <c r="E413" s="192"/>
      <c r="F413" s="192">
        <f t="shared" ref="F413:K413" si="452">F430+F445+F460</f>
        <v>7.7439999999999998</v>
      </c>
      <c r="G413" s="192">
        <f t="shared" si="452"/>
        <v>10.581</v>
      </c>
      <c r="H413" s="192">
        <f t="shared" si="452"/>
        <v>10.581</v>
      </c>
      <c r="I413" s="192">
        <f t="shared" si="452"/>
        <v>12.907</v>
      </c>
      <c r="J413" s="192">
        <f t="shared" si="452"/>
        <v>13.22</v>
      </c>
      <c r="K413" s="192">
        <f t="shared" si="452"/>
        <v>10.212</v>
      </c>
      <c r="L413" s="194">
        <f t="shared" ref="L413:L418" si="453">SUM(F413:K413)</f>
        <v>65.245000000000005</v>
      </c>
      <c r="M413" s="194">
        <f t="shared" ref="M413:M418" si="454">L413/6</f>
        <v>10.874000000000001</v>
      </c>
      <c r="N413" s="192">
        <f t="shared" ref="N413:S413" si="455">N430+N445+N460</f>
        <v>0</v>
      </c>
      <c r="O413" s="192">
        <f t="shared" si="455"/>
        <v>6.1619999999999999</v>
      </c>
      <c r="P413" s="192">
        <f t="shared" si="455"/>
        <v>9.3330000000000002</v>
      </c>
      <c r="Q413" s="192">
        <f t="shared" si="455"/>
        <v>12.688000000000001</v>
      </c>
      <c r="R413" s="192">
        <f t="shared" si="455"/>
        <v>6.8789999999999996</v>
      </c>
      <c r="S413" s="192">
        <f t="shared" si="455"/>
        <v>2.2570000000000001</v>
      </c>
      <c r="T413" s="194">
        <f t="shared" ref="T413:T418" si="456">SUM(N413:S413)</f>
        <v>37.319000000000003</v>
      </c>
      <c r="U413" s="194">
        <f t="shared" ref="U413:U418" si="457">T413+L413</f>
        <v>102.56399999999999</v>
      </c>
      <c r="V413" s="192">
        <f t="shared" ref="V413" si="458">V430+V445+V460</f>
        <v>108.52</v>
      </c>
      <c r="W413" s="192">
        <f>V413-U413</f>
        <v>5.9560000000000004</v>
      </c>
    </row>
    <row r="414" spans="1:28" s="172" customFormat="1" ht="18" customHeight="1">
      <c r="A414" s="583"/>
      <c r="B414" s="657"/>
      <c r="C414" s="658"/>
      <c r="D414" s="174" t="str">
        <f>серпень!D337</f>
        <v>абоненська плата, тис.грн.</v>
      </c>
      <c r="E414" s="192"/>
      <c r="F414" s="192">
        <f>F445</f>
        <v>0</v>
      </c>
      <c r="G414" s="192">
        <f t="shared" ref="G414:K414" si="459">G445</f>
        <v>0</v>
      </c>
      <c r="H414" s="192">
        <f t="shared" si="459"/>
        <v>0</v>
      </c>
      <c r="I414" s="192">
        <f t="shared" si="459"/>
        <v>0</v>
      </c>
      <c r="J414" s="192">
        <f t="shared" si="459"/>
        <v>0</v>
      </c>
      <c r="K414" s="192">
        <f t="shared" si="459"/>
        <v>0</v>
      </c>
      <c r="L414" s="194">
        <f t="shared" si="453"/>
        <v>0</v>
      </c>
      <c r="M414" s="194">
        <f t="shared" si="454"/>
        <v>0</v>
      </c>
      <c r="N414" s="192">
        <f>N445</f>
        <v>0</v>
      </c>
      <c r="O414" s="192">
        <f t="shared" ref="O414:S414" si="460">O445</f>
        <v>0</v>
      </c>
      <c r="P414" s="192">
        <f t="shared" si="460"/>
        <v>0</v>
      </c>
      <c r="Q414" s="192">
        <f t="shared" si="460"/>
        <v>0</v>
      </c>
      <c r="R414" s="192">
        <f t="shared" si="460"/>
        <v>0</v>
      </c>
      <c r="S414" s="192">
        <f t="shared" si="460"/>
        <v>0</v>
      </c>
      <c r="T414" s="194">
        <f t="shared" si="456"/>
        <v>0</v>
      </c>
      <c r="U414" s="194">
        <f t="shared" si="457"/>
        <v>0</v>
      </c>
      <c r="V414" s="192">
        <f t="shared" ref="V414" si="461">V445</f>
        <v>0</v>
      </c>
      <c r="W414" s="192">
        <f t="shared" ref="W414:W415" si="462">V414-U414</f>
        <v>0</v>
      </c>
    </row>
    <row r="415" spans="1:28" s="172" customFormat="1" ht="18" customHeight="1">
      <c r="A415" s="583"/>
      <c r="B415" s="657"/>
      <c r="C415" s="658"/>
      <c r="D415" s="174" t="str">
        <f>серпень!D338</f>
        <v>разом сума тис. грн+абонплата</v>
      </c>
      <c r="E415" s="192"/>
      <c r="F415" s="192">
        <f>F413+F414</f>
        <v>7.7439999999999998</v>
      </c>
      <c r="G415" s="192">
        <f t="shared" ref="G415:K415" si="463">G413+G414</f>
        <v>10.581</v>
      </c>
      <c r="H415" s="192">
        <f t="shared" si="463"/>
        <v>10.581</v>
      </c>
      <c r="I415" s="192">
        <f t="shared" si="463"/>
        <v>12.907</v>
      </c>
      <c r="J415" s="192">
        <f t="shared" si="463"/>
        <v>13.22</v>
      </c>
      <c r="K415" s="192">
        <f t="shared" si="463"/>
        <v>10.212</v>
      </c>
      <c r="L415" s="194">
        <f t="shared" si="453"/>
        <v>65.245000000000005</v>
      </c>
      <c r="M415" s="194">
        <f t="shared" si="454"/>
        <v>10.874000000000001</v>
      </c>
      <c r="N415" s="192">
        <f>N413+N414</f>
        <v>0</v>
      </c>
      <c r="O415" s="192">
        <f t="shared" ref="O415:S415" si="464">O413+O414</f>
        <v>6.1619999999999999</v>
      </c>
      <c r="P415" s="192">
        <f t="shared" si="464"/>
        <v>9.3330000000000002</v>
      </c>
      <c r="Q415" s="192">
        <f t="shared" si="464"/>
        <v>12.688000000000001</v>
      </c>
      <c r="R415" s="192">
        <f t="shared" si="464"/>
        <v>6.8789999999999996</v>
      </c>
      <c r="S415" s="192">
        <f t="shared" si="464"/>
        <v>2.2570000000000001</v>
      </c>
      <c r="T415" s="194">
        <f t="shared" si="456"/>
        <v>37.319000000000003</v>
      </c>
      <c r="U415" s="194">
        <f t="shared" si="457"/>
        <v>102.56399999999999</v>
      </c>
      <c r="V415" s="192">
        <f t="shared" ref="V415" si="465">V413+V414</f>
        <v>108.52</v>
      </c>
      <c r="W415" s="192">
        <f t="shared" si="462"/>
        <v>5.9560000000000004</v>
      </c>
    </row>
    <row r="416" spans="1:28" s="172" customFormat="1" ht="18" customHeight="1">
      <c r="A416" s="583"/>
      <c r="B416" s="657"/>
      <c r="C416" s="658"/>
      <c r="D416" s="174" t="str">
        <f>серпень!D339</f>
        <v>дотація</v>
      </c>
      <c r="E416" s="192"/>
      <c r="F416" s="192">
        <f t="shared" ref="F416:K418" si="466">F431+F446+F461</f>
        <v>0</v>
      </c>
      <c r="G416" s="192">
        <f t="shared" si="466"/>
        <v>0</v>
      </c>
      <c r="H416" s="192">
        <f t="shared" si="466"/>
        <v>0</v>
      </c>
      <c r="I416" s="192">
        <f t="shared" si="466"/>
        <v>0</v>
      </c>
      <c r="J416" s="192">
        <f t="shared" si="466"/>
        <v>0</v>
      </c>
      <c r="K416" s="192">
        <f t="shared" si="466"/>
        <v>0</v>
      </c>
      <c r="L416" s="194">
        <f t="shared" si="453"/>
        <v>0</v>
      </c>
      <c r="M416" s="194">
        <f t="shared" si="454"/>
        <v>0</v>
      </c>
      <c r="N416" s="192">
        <f t="shared" ref="N416:S418" si="467">N431+N446+N461</f>
        <v>0</v>
      </c>
      <c r="O416" s="192">
        <f t="shared" si="467"/>
        <v>0</v>
      </c>
      <c r="P416" s="192">
        <f t="shared" si="467"/>
        <v>0</v>
      </c>
      <c r="Q416" s="192">
        <f t="shared" si="467"/>
        <v>0</v>
      </c>
      <c r="R416" s="192">
        <f t="shared" si="467"/>
        <v>0</v>
      </c>
      <c r="S416" s="192">
        <f t="shared" si="467"/>
        <v>0</v>
      </c>
      <c r="T416" s="194">
        <f t="shared" si="456"/>
        <v>0</v>
      </c>
      <c r="U416" s="194">
        <f t="shared" si="457"/>
        <v>0</v>
      </c>
      <c r="V416" s="192">
        <f t="shared" ref="V416:V417" si="468">V431+V446+V461</f>
        <v>0</v>
      </c>
      <c r="W416" s="192">
        <f>V416-U416</f>
        <v>0</v>
      </c>
    </row>
    <row r="417" spans="1:28" s="172" customFormat="1" ht="18" customHeight="1">
      <c r="A417" s="583"/>
      <c r="B417" s="657"/>
      <c r="C417" s="658"/>
      <c r="D417" s="174" t="str">
        <f>серпень!D340</f>
        <v>місцевий (план), тис.грн</v>
      </c>
      <c r="E417" s="192"/>
      <c r="F417" s="192">
        <f t="shared" si="466"/>
        <v>0</v>
      </c>
      <c r="G417" s="192">
        <f t="shared" si="466"/>
        <v>19.29</v>
      </c>
      <c r="H417" s="192">
        <f t="shared" si="466"/>
        <v>10.709</v>
      </c>
      <c r="I417" s="192">
        <f t="shared" si="466"/>
        <v>11.064</v>
      </c>
      <c r="J417" s="192">
        <f t="shared" si="466"/>
        <v>12.021000000000001</v>
      </c>
      <c r="K417" s="192">
        <f t="shared" si="466"/>
        <v>12.021000000000001</v>
      </c>
      <c r="L417" s="194">
        <f t="shared" si="453"/>
        <v>65.105000000000004</v>
      </c>
      <c r="M417" s="194">
        <f t="shared" si="454"/>
        <v>10.851000000000001</v>
      </c>
      <c r="N417" s="192">
        <f t="shared" si="467"/>
        <v>8.4000000000000005E-2</v>
      </c>
      <c r="O417" s="192">
        <f t="shared" si="467"/>
        <v>10.624000000000001</v>
      </c>
      <c r="P417" s="192">
        <f t="shared" si="467"/>
        <v>10.882999999999999</v>
      </c>
      <c r="Q417" s="192">
        <f t="shared" si="467"/>
        <v>12.688000000000001</v>
      </c>
      <c r="R417" s="192">
        <f t="shared" si="467"/>
        <v>6.8789999999999996</v>
      </c>
      <c r="S417" s="192">
        <f t="shared" si="467"/>
        <v>2.2570000000000001</v>
      </c>
      <c r="T417" s="194">
        <f t="shared" si="456"/>
        <v>43.414999999999999</v>
      </c>
      <c r="U417" s="194">
        <f t="shared" si="457"/>
        <v>108.52</v>
      </c>
      <c r="V417" s="192">
        <f t="shared" si="468"/>
        <v>108.52</v>
      </c>
      <c r="W417" s="192">
        <f>V417-U417</f>
        <v>0</v>
      </c>
    </row>
    <row r="418" spans="1:28" s="157" customFormat="1" ht="18" customHeight="1">
      <c r="A418" s="583"/>
      <c r="B418" s="657"/>
      <c r="C418" s="658"/>
      <c r="D418" s="178" t="str">
        <f>серпень!D341</f>
        <v>касові нат.п-ки 2025</v>
      </c>
      <c r="E418" s="179">
        <f>E433</f>
        <v>0</v>
      </c>
      <c r="F418" s="179">
        <f t="shared" si="466"/>
        <v>0</v>
      </c>
      <c r="G418" s="179">
        <f t="shared" si="466"/>
        <v>1292</v>
      </c>
      <c r="H418" s="179">
        <f t="shared" si="466"/>
        <v>746</v>
      </c>
      <c r="I418" s="179">
        <f t="shared" si="466"/>
        <v>910</v>
      </c>
      <c r="J418" s="179">
        <f t="shared" si="466"/>
        <v>932</v>
      </c>
      <c r="K418" s="179">
        <f t="shared" si="466"/>
        <v>720</v>
      </c>
      <c r="L418" s="215">
        <f t="shared" si="453"/>
        <v>4600</v>
      </c>
      <c r="M418" s="215">
        <f t="shared" si="454"/>
        <v>766.7</v>
      </c>
      <c r="N418" s="179">
        <f t="shared" si="467"/>
        <v>0</v>
      </c>
      <c r="O418" s="179">
        <f t="shared" si="467"/>
        <v>434.5</v>
      </c>
      <c r="P418" s="179">
        <f t="shared" si="467"/>
        <v>658</v>
      </c>
      <c r="Q418" s="179">
        <f t="shared" si="467"/>
        <v>894.5</v>
      </c>
      <c r="R418" s="179">
        <f t="shared" si="467"/>
        <v>485</v>
      </c>
      <c r="S418" s="179">
        <f t="shared" si="467"/>
        <v>159.19999999999999</v>
      </c>
      <c r="T418" s="215">
        <f t="shared" si="456"/>
        <v>2631.2</v>
      </c>
      <c r="U418" s="215">
        <f t="shared" si="457"/>
        <v>7231.2</v>
      </c>
      <c r="V418" s="179">
        <f>V433+V463</f>
        <v>7650.9</v>
      </c>
      <c r="W418" s="184">
        <f>V418-U418</f>
        <v>419.7</v>
      </c>
      <c r="X418" s="209">
        <f>U411-U418</f>
        <v>0</v>
      </c>
    </row>
    <row r="419" spans="1:28" s="241" customFormat="1" ht="18" customHeight="1">
      <c r="A419" s="583"/>
      <c r="B419" s="657"/>
      <c r="C419" s="658"/>
      <c r="D419" s="187" t="str">
        <f>серпень!D342</f>
        <v>тариф, грн.</v>
      </c>
      <c r="E419" s="188" t="e">
        <f t="shared" ref="E419:S419" si="469">E420/E418*1000</f>
        <v>#DIV/0!</v>
      </c>
      <c r="F419" s="188" t="e">
        <f t="shared" si="469"/>
        <v>#DIV/0!</v>
      </c>
      <c r="G419" s="188">
        <f t="shared" si="469"/>
        <v>14.183</v>
      </c>
      <c r="H419" s="188">
        <f t="shared" si="469"/>
        <v>14.183999999999999</v>
      </c>
      <c r="I419" s="188">
        <f t="shared" si="469"/>
        <v>14.183999999999999</v>
      </c>
      <c r="J419" s="188">
        <f t="shared" si="469"/>
        <v>14.185</v>
      </c>
      <c r="K419" s="188">
        <f t="shared" si="469"/>
        <v>14.183</v>
      </c>
      <c r="L419" s="188">
        <f t="shared" si="469"/>
        <v>14.183999999999999</v>
      </c>
      <c r="M419" s="188">
        <f t="shared" si="469"/>
        <v>14.183</v>
      </c>
      <c r="N419" s="188" t="e">
        <f t="shared" si="469"/>
        <v>#DIV/0!</v>
      </c>
      <c r="O419" s="188">
        <f t="shared" si="469"/>
        <v>14.182</v>
      </c>
      <c r="P419" s="188">
        <f t="shared" si="469"/>
        <v>14.183999999999999</v>
      </c>
      <c r="Q419" s="188">
        <f t="shared" si="469"/>
        <v>14.183999999999999</v>
      </c>
      <c r="R419" s="188">
        <f t="shared" si="469"/>
        <v>14.183999999999999</v>
      </c>
      <c r="S419" s="188">
        <f t="shared" si="469"/>
        <v>14.177</v>
      </c>
      <c r="T419" s="188">
        <f>T420/T418*1000</f>
        <v>14.183</v>
      </c>
      <c r="U419" s="188">
        <f>U420/U418*1000</f>
        <v>14.183999999999999</v>
      </c>
      <c r="V419" s="188">
        <f>V420/V418*1000</f>
        <v>14.183999999999999</v>
      </c>
      <c r="W419" s="189">
        <f>W420/W418*1000</f>
        <v>14.191000000000001</v>
      </c>
      <c r="X419" s="240"/>
    </row>
    <row r="420" spans="1:28" s="213" customFormat="1" ht="18" customHeight="1">
      <c r="A420" s="583"/>
      <c r="B420" s="657"/>
      <c r="C420" s="658"/>
      <c r="D420" s="198" t="str">
        <f>серпень!D343</f>
        <v>касові видатки, тис.грн.</v>
      </c>
      <c r="E420" s="220">
        <f>E435+E465</f>
        <v>0</v>
      </c>
      <c r="F420" s="199">
        <f t="shared" ref="F420:K422" si="470">F435+F450+F465</f>
        <v>0</v>
      </c>
      <c r="G420" s="199">
        <f t="shared" si="470"/>
        <v>18.324999999999999</v>
      </c>
      <c r="H420" s="199">
        <f t="shared" si="470"/>
        <v>10.581</v>
      </c>
      <c r="I420" s="199">
        <f t="shared" si="470"/>
        <v>12.907</v>
      </c>
      <c r="J420" s="199">
        <f t="shared" si="470"/>
        <v>13.22</v>
      </c>
      <c r="K420" s="199">
        <f t="shared" si="470"/>
        <v>10.212</v>
      </c>
      <c r="L420" s="199">
        <f>SUM(F420:K420)</f>
        <v>65.245000000000005</v>
      </c>
      <c r="M420" s="199">
        <f>L420/6</f>
        <v>10.874000000000001</v>
      </c>
      <c r="N420" s="199">
        <f t="shared" ref="N420:S422" si="471">N435+N450+N465</f>
        <v>0</v>
      </c>
      <c r="O420" s="199">
        <f t="shared" si="471"/>
        <v>6.1619999999999999</v>
      </c>
      <c r="P420" s="199">
        <f t="shared" si="471"/>
        <v>9.3330000000000002</v>
      </c>
      <c r="Q420" s="199">
        <f t="shared" si="471"/>
        <v>12.688000000000001</v>
      </c>
      <c r="R420" s="199">
        <f t="shared" si="471"/>
        <v>6.8789999999999996</v>
      </c>
      <c r="S420" s="199">
        <f t="shared" si="471"/>
        <v>2.2570000000000001</v>
      </c>
      <c r="T420" s="199">
        <f>SUM(N420:S420)</f>
        <v>37.319000000000003</v>
      </c>
      <c r="U420" s="199">
        <f>T420+L420</f>
        <v>102.56399999999999</v>
      </c>
      <c r="V420" s="199">
        <f>V435+V465</f>
        <v>108.52</v>
      </c>
      <c r="W420" s="221">
        <f>V420-U420</f>
        <v>5.9560000000000004</v>
      </c>
      <c r="X420" s="213">
        <f>U413-U420</f>
        <v>0</v>
      </c>
    </row>
    <row r="421" spans="1:28" s="213" customFormat="1" ht="18" customHeight="1">
      <c r="A421" s="583"/>
      <c r="B421" s="657"/>
      <c r="C421" s="658"/>
      <c r="D421" s="201" t="str">
        <f>серпень!D344</f>
        <v>дотація</v>
      </c>
      <c r="E421" s="220"/>
      <c r="F421" s="199">
        <f t="shared" si="470"/>
        <v>0</v>
      </c>
      <c r="G421" s="199">
        <f t="shared" si="470"/>
        <v>0</v>
      </c>
      <c r="H421" s="199">
        <f t="shared" si="470"/>
        <v>0</v>
      </c>
      <c r="I421" s="199">
        <f t="shared" si="470"/>
        <v>0</v>
      </c>
      <c r="J421" s="199">
        <f t="shared" si="470"/>
        <v>0</v>
      </c>
      <c r="K421" s="199">
        <f t="shared" si="470"/>
        <v>0</v>
      </c>
      <c r="L421" s="199">
        <f>SUM(F421:K421)</f>
        <v>0</v>
      </c>
      <c r="M421" s="199">
        <f>L421/6</f>
        <v>0</v>
      </c>
      <c r="N421" s="199">
        <f t="shared" si="471"/>
        <v>0</v>
      </c>
      <c r="O421" s="199">
        <f t="shared" si="471"/>
        <v>0</v>
      </c>
      <c r="P421" s="199">
        <f t="shared" si="471"/>
        <v>0</v>
      </c>
      <c r="Q421" s="199">
        <f t="shared" si="471"/>
        <v>0</v>
      </c>
      <c r="R421" s="199">
        <f t="shared" si="471"/>
        <v>0</v>
      </c>
      <c r="S421" s="199">
        <f t="shared" si="471"/>
        <v>0</v>
      </c>
      <c r="T421" s="199">
        <f>SUM(N421:S421)</f>
        <v>0</v>
      </c>
      <c r="U421" s="199">
        <f>T421+L421</f>
        <v>0</v>
      </c>
      <c r="V421" s="199">
        <f>V436+V466</f>
        <v>0</v>
      </c>
      <c r="W421" s="221">
        <f>V421-U421</f>
        <v>0</v>
      </c>
      <c r="X421" s="213">
        <f>U416-U421</f>
        <v>0</v>
      </c>
    </row>
    <row r="422" spans="1:28" s="213" customFormat="1" ht="18" customHeight="1">
      <c r="A422" s="583"/>
      <c r="B422" s="657"/>
      <c r="C422" s="658"/>
      <c r="D422" s="201" t="str">
        <f>серпень!D345</f>
        <v xml:space="preserve">місцевий </v>
      </c>
      <c r="E422" s="220"/>
      <c r="F422" s="199">
        <f t="shared" si="470"/>
        <v>0</v>
      </c>
      <c r="G422" s="199">
        <f t="shared" si="470"/>
        <v>18.324999999999999</v>
      </c>
      <c r="H422" s="199">
        <f t="shared" si="470"/>
        <v>10.581</v>
      </c>
      <c r="I422" s="199">
        <f t="shared" si="470"/>
        <v>12.907</v>
      </c>
      <c r="J422" s="199">
        <f t="shared" si="470"/>
        <v>13.22</v>
      </c>
      <c r="K422" s="199">
        <f t="shared" si="470"/>
        <v>10.212</v>
      </c>
      <c r="L422" s="199">
        <f>SUM(F422:K422)</f>
        <v>65.245000000000005</v>
      </c>
      <c r="M422" s="199">
        <f>L422/6</f>
        <v>10.874000000000001</v>
      </c>
      <c r="N422" s="199">
        <f t="shared" si="471"/>
        <v>0</v>
      </c>
      <c r="O422" s="199">
        <f t="shared" si="471"/>
        <v>6.1619999999999999</v>
      </c>
      <c r="P422" s="199">
        <f t="shared" si="471"/>
        <v>9.3330000000000002</v>
      </c>
      <c r="Q422" s="199">
        <f t="shared" si="471"/>
        <v>12.688000000000001</v>
      </c>
      <c r="R422" s="199">
        <f t="shared" si="471"/>
        <v>6.8789999999999996</v>
      </c>
      <c r="S422" s="199">
        <f t="shared" si="471"/>
        <v>2.2570000000000001</v>
      </c>
      <c r="T422" s="199">
        <f>SUM(N422:S422)</f>
        <v>37.319000000000003</v>
      </c>
      <c r="U422" s="199">
        <f>T422+L422</f>
        <v>102.56399999999999</v>
      </c>
      <c r="V422" s="199">
        <f>V437+V467</f>
        <v>108.52</v>
      </c>
      <c r="W422" s="221">
        <f>V422-U422</f>
        <v>5.9560000000000004</v>
      </c>
      <c r="X422" s="213">
        <f>U417-U422</f>
        <v>5.9560000000000004</v>
      </c>
    </row>
    <row r="423" spans="1:28" s="214" customFormat="1" ht="18" customHeight="1">
      <c r="A423" s="583"/>
      <c r="B423" s="657"/>
      <c r="C423" s="658"/>
      <c r="D423" s="202" t="str">
        <f>серпень!D346</f>
        <v>план</v>
      </c>
      <c r="E423" s="203"/>
      <c r="F423" s="203">
        <f>F417+F416</f>
        <v>0</v>
      </c>
      <c r="G423" s="203">
        <f t="shared" ref="G423:K423" si="472">G417+G416</f>
        <v>19.29</v>
      </c>
      <c r="H423" s="203">
        <f t="shared" si="472"/>
        <v>10.709</v>
      </c>
      <c r="I423" s="203">
        <f t="shared" si="472"/>
        <v>11.064</v>
      </c>
      <c r="J423" s="203">
        <f t="shared" si="472"/>
        <v>12.021000000000001</v>
      </c>
      <c r="K423" s="203">
        <f t="shared" si="472"/>
        <v>12.021000000000001</v>
      </c>
      <c r="L423" s="203">
        <f>SUM(F423:K423)</f>
        <v>65.105000000000004</v>
      </c>
      <c r="M423" s="203">
        <f>L423/6</f>
        <v>10.851000000000001</v>
      </c>
      <c r="N423" s="203">
        <f>N417+N416</f>
        <v>8.4000000000000005E-2</v>
      </c>
      <c r="O423" s="203">
        <f t="shared" ref="O423:S423" si="473">O417+O416</f>
        <v>10.624000000000001</v>
      </c>
      <c r="P423" s="203">
        <f t="shared" si="473"/>
        <v>10.882999999999999</v>
      </c>
      <c r="Q423" s="203">
        <f t="shared" si="473"/>
        <v>12.688000000000001</v>
      </c>
      <c r="R423" s="203">
        <f t="shared" si="473"/>
        <v>6.8789999999999996</v>
      </c>
      <c r="S423" s="203">
        <f t="shared" si="473"/>
        <v>2.2570000000000001</v>
      </c>
      <c r="T423" s="203">
        <f>SUM(N423:S423)</f>
        <v>43.414999999999999</v>
      </c>
      <c r="U423" s="203">
        <f>T423+L423</f>
        <v>108.52</v>
      </c>
      <c r="V423" s="203">
        <f>V417+V416</f>
        <v>108.52</v>
      </c>
      <c r="W423" s="203">
        <f>V423-U423</f>
        <v>0</v>
      </c>
    </row>
    <row r="424" spans="1:28" s="214" customFormat="1" ht="18" customHeight="1">
      <c r="A424" s="583"/>
      <c r="B424" s="657"/>
      <c r="C424" s="658"/>
      <c r="D424" s="202" t="str">
        <f>серпень!D347</f>
        <v xml:space="preserve">відхилення </v>
      </c>
      <c r="E424" s="203"/>
      <c r="F424" s="203">
        <f t="shared" ref="F424:K424" si="474">F420-F423</f>
        <v>0</v>
      </c>
      <c r="G424" s="203">
        <f t="shared" si="474"/>
        <v>-0.96499999999999997</v>
      </c>
      <c r="H424" s="203">
        <f t="shared" si="474"/>
        <v>-0.128</v>
      </c>
      <c r="I424" s="203">
        <f t="shared" si="474"/>
        <v>1.843</v>
      </c>
      <c r="J424" s="203">
        <f t="shared" si="474"/>
        <v>1.1990000000000001</v>
      </c>
      <c r="K424" s="203">
        <f t="shared" si="474"/>
        <v>-1.8089999999999999</v>
      </c>
      <c r="L424" s="203"/>
      <c r="M424" s="203"/>
      <c r="N424" s="203">
        <f t="shared" ref="N424:S424" si="475">N420-N423</f>
        <v>-8.4000000000000005E-2</v>
      </c>
      <c r="O424" s="203">
        <f t="shared" si="475"/>
        <v>-4.4619999999999997</v>
      </c>
      <c r="P424" s="203">
        <f t="shared" si="475"/>
        <v>-1.55</v>
      </c>
      <c r="Q424" s="203">
        <f t="shared" si="475"/>
        <v>0</v>
      </c>
      <c r="R424" s="203">
        <f t="shared" si="475"/>
        <v>0</v>
      </c>
      <c r="S424" s="203">
        <f t="shared" si="475"/>
        <v>0</v>
      </c>
      <c r="T424" s="203"/>
      <c r="U424" s="203"/>
      <c r="V424" s="203"/>
      <c r="W424" s="203"/>
    </row>
    <row r="425" spans="1:28" s="214" customFormat="1" ht="18" customHeight="1">
      <c r="A425" s="583"/>
      <c r="B425" s="657"/>
      <c r="C425" s="658"/>
      <c r="D425" s="202" t="str">
        <f>серпень!D348</f>
        <v>відхилення з наростаючим</v>
      </c>
      <c r="E425" s="203"/>
      <c r="F425" s="203">
        <f>F424</f>
        <v>0</v>
      </c>
      <c r="G425" s="203">
        <f>G424+F425</f>
        <v>-0.96499999999999997</v>
      </c>
      <c r="H425" s="203">
        <f>H424+G425</f>
        <v>-1.093</v>
      </c>
      <c r="I425" s="203">
        <f>I424+H425</f>
        <v>0.75</v>
      </c>
      <c r="J425" s="203">
        <f>J424+I425</f>
        <v>1.9490000000000001</v>
      </c>
      <c r="K425" s="203">
        <f>K424+J425</f>
        <v>0.14000000000000001</v>
      </c>
      <c r="L425" s="203"/>
      <c r="M425" s="203"/>
      <c r="N425" s="203">
        <f>N424+K425</f>
        <v>5.6000000000000001E-2</v>
      </c>
      <c r="O425" s="203">
        <f>O424+N425</f>
        <v>-4.4059999999999997</v>
      </c>
      <c r="P425" s="203">
        <f>P424+O425</f>
        <v>-5.9560000000000004</v>
      </c>
      <c r="Q425" s="203">
        <f>Q424+P425</f>
        <v>-5.9560000000000004</v>
      </c>
      <c r="R425" s="203">
        <f>R424+Q425</f>
        <v>-5.9560000000000004</v>
      </c>
      <c r="S425" s="203">
        <f>S424+R425</f>
        <v>-5.9560000000000004</v>
      </c>
      <c r="T425" s="203"/>
      <c r="U425" s="203"/>
      <c r="V425" s="203"/>
      <c r="W425" s="203"/>
    </row>
    <row r="426" spans="1:28" s="10" customFormat="1" ht="18" customHeight="1">
      <c r="A426" s="583"/>
      <c r="B426" s="581" t="s">
        <v>37</v>
      </c>
      <c r="C426" s="581"/>
      <c r="D426" s="178" t="str">
        <f>серпень!D349</f>
        <v>факт. нат.п-ки 2023</v>
      </c>
      <c r="E426" s="11"/>
      <c r="F426" s="12">
        <v>509.1</v>
      </c>
      <c r="G426" s="12">
        <v>384</v>
      </c>
      <c r="H426" s="12">
        <v>928</v>
      </c>
      <c r="I426" s="12">
        <v>634</v>
      </c>
      <c r="J426" s="12">
        <v>338</v>
      </c>
      <c r="K426" s="12">
        <v>876</v>
      </c>
      <c r="L426" s="65">
        <f>SUM(F426:K426)</f>
        <v>3669.1</v>
      </c>
      <c r="M426" s="65">
        <f>L426/6</f>
        <v>611.5</v>
      </c>
      <c r="N426" s="83">
        <v>1264</v>
      </c>
      <c r="O426" s="83">
        <v>749</v>
      </c>
      <c r="P426" s="83">
        <v>852</v>
      </c>
      <c r="Q426" s="83">
        <v>800</v>
      </c>
      <c r="R426" s="83">
        <v>685</v>
      </c>
      <c r="S426" s="83">
        <v>1188.5</v>
      </c>
      <c r="T426" s="65">
        <f>SUM(N426:S426)</f>
        <v>5538.5</v>
      </c>
      <c r="U426" s="65">
        <f>T426+L426</f>
        <v>9207.6</v>
      </c>
      <c r="V426" s="46">
        <v>9207.6</v>
      </c>
      <c r="W426" s="38"/>
      <c r="X426" s="36"/>
    </row>
    <row r="427" spans="1:28" s="48" customFormat="1" ht="18" customHeight="1">
      <c r="A427" s="583"/>
      <c r="B427" s="581"/>
      <c r="C427" s="581"/>
      <c r="D427" s="178" t="str">
        <f>серпень!D350</f>
        <v>факт. нат.п-ки 2024</v>
      </c>
      <c r="E427" s="11"/>
      <c r="F427" s="12">
        <v>702</v>
      </c>
      <c r="G427" s="12">
        <v>658</v>
      </c>
      <c r="H427" s="12">
        <v>755</v>
      </c>
      <c r="I427" s="12">
        <v>780</v>
      </c>
      <c r="J427" s="12">
        <v>847.5</v>
      </c>
      <c r="K427" s="12">
        <v>847.5</v>
      </c>
      <c r="L427" s="65">
        <f>SUM(F427:K427)</f>
        <v>4590</v>
      </c>
      <c r="M427" s="65">
        <f>L427/6</f>
        <v>765</v>
      </c>
      <c r="N427" s="12">
        <v>1000</v>
      </c>
      <c r="O427" s="12">
        <v>990</v>
      </c>
      <c r="P427" s="12">
        <v>658</v>
      </c>
      <c r="Q427" s="12">
        <v>894.5</v>
      </c>
      <c r="R427" s="12">
        <v>485</v>
      </c>
      <c r="S427" s="83">
        <v>244.3</v>
      </c>
      <c r="T427" s="65">
        <f>SUM(N427:S427)</f>
        <v>4271.8</v>
      </c>
      <c r="U427" s="65">
        <f>T427+L427</f>
        <v>8861.7999999999993</v>
      </c>
      <c r="V427" s="11">
        <v>8861.7999999999993</v>
      </c>
      <c r="W427" s="38"/>
      <c r="X427" s="47"/>
    </row>
    <row r="428" spans="1:28" s="10" customFormat="1" ht="18" customHeight="1">
      <c r="A428" s="583"/>
      <c r="B428" s="581"/>
      <c r="C428" s="581"/>
      <c r="D428" s="178" t="str">
        <f>серпень!D351</f>
        <v>факт. нат.п-ки 2025</v>
      </c>
      <c r="E428" s="11"/>
      <c r="F428" s="12">
        <v>546</v>
      </c>
      <c r="G428" s="12">
        <v>746</v>
      </c>
      <c r="H428" s="12">
        <v>746</v>
      </c>
      <c r="I428" s="12">
        <v>910</v>
      </c>
      <c r="J428" s="12">
        <v>932</v>
      </c>
      <c r="K428" s="12">
        <v>720</v>
      </c>
      <c r="L428" s="153">
        <f>SUM(F428:K428)</f>
        <v>4600</v>
      </c>
      <c r="M428" s="153">
        <f>L428/6</f>
        <v>766.7</v>
      </c>
      <c r="N428" s="12">
        <v>0</v>
      </c>
      <c r="O428" s="12">
        <v>434.47</v>
      </c>
      <c r="P428" s="12">
        <v>658</v>
      </c>
      <c r="Q428" s="12">
        <v>894.5</v>
      </c>
      <c r="R428" s="12">
        <v>485</v>
      </c>
      <c r="S428" s="83">
        <v>159.19999999999999</v>
      </c>
      <c r="T428" s="65">
        <f>SUM(N428:S428)</f>
        <v>2631.2</v>
      </c>
      <c r="U428" s="65">
        <f>T428+L428</f>
        <v>7231.2</v>
      </c>
      <c r="V428" s="11">
        <v>7650.9</v>
      </c>
      <c r="W428" s="38">
        <f>V428-U428</f>
        <v>419.7</v>
      </c>
      <c r="X428" s="36"/>
      <c r="Y428" s="3"/>
      <c r="Z428" s="3"/>
      <c r="AA428" s="3"/>
      <c r="AB428" s="3"/>
    </row>
    <row r="429" spans="1:28" s="114" customFormat="1" ht="18" customHeight="1">
      <c r="A429" s="583"/>
      <c r="B429" s="581"/>
      <c r="C429" s="581"/>
      <c r="D429" s="187" t="str">
        <f>серпень!D352</f>
        <v>тариф, грн.</v>
      </c>
      <c r="E429" s="49" t="e">
        <f>E430/E428*1000</f>
        <v>#DIV/0!</v>
      </c>
      <c r="F429" s="49">
        <f t="shared" ref="F429:K429" si="476">F430/F428*1000</f>
        <v>14.183</v>
      </c>
      <c r="G429" s="49">
        <f t="shared" si="476"/>
        <v>14.183999999999999</v>
      </c>
      <c r="H429" s="49">
        <f t="shared" si="476"/>
        <v>14.183999999999999</v>
      </c>
      <c r="I429" s="49">
        <f t="shared" si="476"/>
        <v>14.183999999999999</v>
      </c>
      <c r="J429" s="49">
        <f t="shared" si="476"/>
        <v>14.185</v>
      </c>
      <c r="K429" s="49">
        <f t="shared" si="476"/>
        <v>14.183</v>
      </c>
      <c r="L429" s="68">
        <f>L430/L428*1000</f>
        <v>14.183999999999999</v>
      </c>
      <c r="M429" s="68">
        <f>M430/M428*1000</f>
        <v>14.183</v>
      </c>
      <c r="N429" s="68" t="e">
        <f t="shared" ref="N429:O429" si="477">N430/N428*1000</f>
        <v>#DIV/0!</v>
      </c>
      <c r="O429" s="68">
        <f t="shared" si="477"/>
        <v>14.183</v>
      </c>
      <c r="P429" s="68">
        <v>14.183999999999999</v>
      </c>
      <c r="Q429" s="68">
        <v>14.183999999999999</v>
      </c>
      <c r="R429" s="68">
        <v>14.183999999999999</v>
      </c>
      <c r="S429" s="68">
        <v>14.183999999999999</v>
      </c>
      <c r="T429" s="68">
        <f>T430/T428*1000</f>
        <v>14.183</v>
      </c>
      <c r="U429" s="68">
        <f>U430/U428*1000</f>
        <v>14.183999999999999</v>
      </c>
      <c r="V429" s="68">
        <f>V430/V428*1000</f>
        <v>14.183999999999999</v>
      </c>
      <c r="W429" s="14">
        <f>W430/W428*1000</f>
        <v>14.191000000000001</v>
      </c>
      <c r="X429" s="36"/>
      <c r="Y429" s="3"/>
      <c r="Z429" s="3"/>
      <c r="AA429" s="3"/>
      <c r="AB429" s="3"/>
    </row>
    <row r="430" spans="1:28" s="114" customFormat="1" ht="18" customHeight="1">
      <c r="A430" s="583"/>
      <c r="B430" s="581"/>
      <c r="C430" s="581"/>
      <c r="D430" s="191" t="str">
        <f>серпень!D353</f>
        <v>сума, тис.грн.</v>
      </c>
      <c r="E430" s="52"/>
      <c r="F430" s="52">
        <v>7.7439999999999998</v>
      </c>
      <c r="G430" s="52">
        <v>10.581</v>
      </c>
      <c r="H430" s="52">
        <v>10.581</v>
      </c>
      <c r="I430" s="52">
        <v>12.907</v>
      </c>
      <c r="J430" s="52">
        <v>13.22</v>
      </c>
      <c r="K430" s="52">
        <v>10.212</v>
      </c>
      <c r="L430" s="69">
        <f>SUM(F430:K430)</f>
        <v>65.245000000000005</v>
      </c>
      <c r="M430" s="69">
        <f>L430/6</f>
        <v>10.874000000000001</v>
      </c>
      <c r="N430" s="52">
        <v>0</v>
      </c>
      <c r="O430" s="52">
        <v>6.1619999999999999</v>
      </c>
      <c r="P430" s="52">
        <f t="shared" ref="P430" si="478">P428*P429/1000</f>
        <v>9.3330000000000002</v>
      </c>
      <c r="Q430" s="52">
        <f t="shared" ref="Q430" si="479">Q428*Q429/1000</f>
        <v>12.688000000000001</v>
      </c>
      <c r="R430" s="52">
        <f t="shared" ref="R430" si="480">R428*R429/1000</f>
        <v>6.8789999999999996</v>
      </c>
      <c r="S430" s="52">
        <f>S428*S429/1000-0.001</f>
        <v>2.2570000000000001</v>
      </c>
      <c r="T430" s="69">
        <f>SUM(N430:S430)</f>
        <v>37.319000000000003</v>
      </c>
      <c r="U430" s="69">
        <f>T430+L430</f>
        <v>102.56399999999999</v>
      </c>
      <c r="V430" s="70">
        <f>V432+V431</f>
        <v>108.52</v>
      </c>
      <c r="W430" s="53">
        <f>V430-U430</f>
        <v>5.9560000000000004</v>
      </c>
      <c r="X430" s="113"/>
    </row>
    <row r="431" spans="1:28" s="114" customFormat="1" ht="18" customHeight="1">
      <c r="A431" s="583"/>
      <c r="B431" s="581"/>
      <c r="C431" s="581"/>
      <c r="D431" s="174" t="str">
        <f>серпень!D354</f>
        <v>дотація</v>
      </c>
      <c r="E431" s="56"/>
      <c r="F431" s="52"/>
      <c r="G431" s="52"/>
      <c r="H431" s="52"/>
      <c r="I431" s="52"/>
      <c r="J431" s="52"/>
      <c r="K431" s="52"/>
      <c r="L431" s="69">
        <f>SUM(F431:K431)</f>
        <v>0</v>
      </c>
      <c r="M431" s="69">
        <f>L431/6</f>
        <v>0</v>
      </c>
      <c r="N431" s="52"/>
      <c r="O431" s="52"/>
      <c r="P431" s="52"/>
      <c r="Q431" s="52"/>
      <c r="R431" s="52"/>
      <c r="S431" s="52"/>
      <c r="T431" s="69">
        <f>SUM(N431:S431)</f>
        <v>0</v>
      </c>
      <c r="U431" s="69">
        <f>T431+L431</f>
        <v>0</v>
      </c>
      <c r="V431" s="70"/>
      <c r="W431" s="53">
        <f>V431-U431</f>
        <v>0</v>
      </c>
      <c r="X431" s="113"/>
    </row>
    <row r="432" spans="1:28" s="114" customFormat="1" ht="18" customHeight="1">
      <c r="A432" s="583"/>
      <c r="B432" s="581"/>
      <c r="C432" s="581"/>
      <c r="D432" s="174" t="str">
        <f>серпень!D355</f>
        <v>місцевий (план), тис.грн</v>
      </c>
      <c r="E432" s="56"/>
      <c r="F432" s="52">
        <f>8.124-8.124</f>
        <v>0</v>
      </c>
      <c r="G432" s="52">
        <f>9.957+9.333</f>
        <v>19.29</v>
      </c>
      <c r="H432" s="52">
        <v>10.709</v>
      </c>
      <c r="I432" s="52">
        <v>11.064</v>
      </c>
      <c r="J432" s="52">
        <v>12.021000000000001</v>
      </c>
      <c r="K432" s="52">
        <v>12.021000000000001</v>
      </c>
      <c r="L432" s="69">
        <f>SUM(F432:K432)</f>
        <v>65.105000000000004</v>
      </c>
      <c r="M432" s="69">
        <f>L432/6</f>
        <v>10.851000000000001</v>
      </c>
      <c r="N432" s="52">
        <f>1.634-1.55</f>
        <v>8.4000000000000005E-2</v>
      </c>
      <c r="O432" s="52">
        <v>10.624000000000001</v>
      </c>
      <c r="P432" s="52">
        <f>9.333+1.55</f>
        <v>10.882999999999999</v>
      </c>
      <c r="Q432" s="52">
        <v>12.688000000000001</v>
      </c>
      <c r="R432" s="52">
        <v>6.8789999999999996</v>
      </c>
      <c r="S432" s="52">
        <v>2.2570000000000001</v>
      </c>
      <c r="T432" s="69">
        <f>SUM(N432:S432)</f>
        <v>43.414999999999999</v>
      </c>
      <c r="U432" s="69">
        <f>T432+L432</f>
        <v>108.52</v>
      </c>
      <c r="V432" s="70">
        <v>108.52</v>
      </c>
      <c r="W432" s="53">
        <f>V432-U432</f>
        <v>0</v>
      </c>
      <c r="X432" s="113"/>
    </row>
    <row r="433" spans="1:28" s="3" customFormat="1" ht="18" customHeight="1">
      <c r="A433" s="583"/>
      <c r="B433" s="581"/>
      <c r="C433" s="581"/>
      <c r="D433" s="178" t="str">
        <f>серпень!D356</f>
        <v>касові нат.п-ки 2025</v>
      </c>
      <c r="E433" s="11"/>
      <c r="F433" s="12">
        <v>0</v>
      </c>
      <c r="G433" s="12">
        <v>1292</v>
      </c>
      <c r="H433" s="12">
        <v>746</v>
      </c>
      <c r="I433" s="12">
        <v>910</v>
      </c>
      <c r="J433" s="12">
        <v>932</v>
      </c>
      <c r="K433" s="12">
        <v>720</v>
      </c>
      <c r="L433" s="65">
        <f>SUM(F433:K433)</f>
        <v>4600</v>
      </c>
      <c r="M433" s="65">
        <f>L433/6</f>
        <v>766.7</v>
      </c>
      <c r="N433" s="83">
        <v>0</v>
      </c>
      <c r="O433" s="83">
        <v>434.47</v>
      </c>
      <c r="P433" s="83">
        <v>658</v>
      </c>
      <c r="Q433" s="83">
        <v>894.5</v>
      </c>
      <c r="R433" s="83">
        <v>485</v>
      </c>
      <c r="S433" s="83">
        <v>159.19999999999999</v>
      </c>
      <c r="T433" s="65">
        <f>SUM(N433:S433)</f>
        <v>2631.2</v>
      </c>
      <c r="U433" s="65">
        <f>T433+L433</f>
        <v>7231.2</v>
      </c>
      <c r="V433" s="11">
        <f>V428</f>
        <v>7650.9</v>
      </c>
      <c r="W433" s="38">
        <f>V433-U433</f>
        <v>419.7</v>
      </c>
      <c r="X433" s="47">
        <f>U428-U433</f>
        <v>0</v>
      </c>
    </row>
    <row r="434" spans="1:28" s="73" customFormat="1" ht="18" customHeight="1">
      <c r="A434" s="583"/>
      <c r="B434" s="581"/>
      <c r="C434" s="581"/>
      <c r="D434" s="187" t="str">
        <f>серпень!D357</f>
        <v>тариф, грн.</v>
      </c>
      <c r="E434" s="49" t="e">
        <f>E435/E433*1000</f>
        <v>#DIV/0!</v>
      </c>
      <c r="F434" s="49" t="e">
        <f t="shared" ref="F434:K434" si="481">F435/F433*1000</f>
        <v>#DIV/0!</v>
      </c>
      <c r="G434" s="49">
        <f t="shared" si="481"/>
        <v>14.183</v>
      </c>
      <c r="H434" s="49">
        <f t="shared" si="481"/>
        <v>14.183999999999999</v>
      </c>
      <c r="I434" s="49">
        <f t="shared" si="481"/>
        <v>14.183999999999999</v>
      </c>
      <c r="J434" s="49">
        <f t="shared" si="481"/>
        <v>14.185</v>
      </c>
      <c r="K434" s="49">
        <f t="shared" si="481"/>
        <v>14.183</v>
      </c>
      <c r="L434" s="68">
        <f>L435/L433*1000</f>
        <v>14.183999999999999</v>
      </c>
      <c r="M434" s="68">
        <f>M435/M433*1000</f>
        <v>14.183</v>
      </c>
      <c r="N434" s="68" t="e">
        <f>N435/N433*1000</f>
        <v>#DIV/0!</v>
      </c>
      <c r="O434" s="68">
        <f t="shared" ref="O434:P434" si="482">O435/O433*1000</f>
        <v>14.183</v>
      </c>
      <c r="P434" s="68">
        <f t="shared" si="482"/>
        <v>14.183999999999999</v>
      </c>
      <c r="Q434" s="68">
        <v>14.183999999999999</v>
      </c>
      <c r="R434" s="68">
        <v>14.183999999999999</v>
      </c>
      <c r="S434" s="68">
        <v>14.183999999999999</v>
      </c>
      <c r="T434" s="68">
        <f>T435/T433*1000</f>
        <v>14.183</v>
      </c>
      <c r="U434" s="68">
        <f>U435/U433*1000</f>
        <v>14.183999999999999</v>
      </c>
      <c r="V434" s="68">
        <f>V435/V433*1000</f>
        <v>14.183999999999999</v>
      </c>
      <c r="W434" s="14">
        <f>W435/W433*1000</f>
        <v>14.191000000000001</v>
      </c>
      <c r="X434" s="59"/>
      <c r="Y434" s="36"/>
      <c r="Z434" s="36"/>
      <c r="AA434" s="36"/>
      <c r="AB434" s="36"/>
    </row>
    <row r="435" spans="1:28" s="126" customFormat="1" ht="18" customHeight="1">
      <c r="A435" s="583"/>
      <c r="B435" s="581"/>
      <c r="C435" s="581"/>
      <c r="D435" s="198" t="str">
        <f>серпень!D358</f>
        <v>касові видатки, тис.грн.</v>
      </c>
      <c r="E435" s="71"/>
      <c r="F435" s="61">
        <v>0</v>
      </c>
      <c r="G435" s="61">
        <v>18.324999999999999</v>
      </c>
      <c r="H435" s="61">
        <v>10.581</v>
      </c>
      <c r="I435" s="61">
        <v>12.907</v>
      </c>
      <c r="J435" s="61">
        <v>13.22</v>
      </c>
      <c r="K435" s="61">
        <v>10.212</v>
      </c>
      <c r="L435" s="61">
        <f>SUM(F435:K435)</f>
        <v>65.245000000000005</v>
      </c>
      <c r="M435" s="61">
        <f>L435/6</f>
        <v>10.874000000000001</v>
      </c>
      <c r="N435" s="61">
        <v>0</v>
      </c>
      <c r="O435" s="61">
        <v>6.1619999999999999</v>
      </c>
      <c r="P435" s="61">
        <v>9.3330000000000002</v>
      </c>
      <c r="Q435" s="61">
        <f t="shared" ref="Q435" si="483">Q433*Q434/1000</f>
        <v>12.688000000000001</v>
      </c>
      <c r="R435" s="61">
        <f t="shared" ref="R435" si="484">R433*R434/1000</f>
        <v>6.8789999999999996</v>
      </c>
      <c r="S435" s="61">
        <f>S433*S434/1000-0.001</f>
        <v>2.2570000000000001</v>
      </c>
      <c r="T435" s="61">
        <f>SUM(N435:S435)</f>
        <v>37.319000000000003</v>
      </c>
      <c r="U435" s="61">
        <f>T435+L435</f>
        <v>102.56399999999999</v>
      </c>
      <c r="V435" s="61">
        <f>V430</f>
        <v>108.52</v>
      </c>
      <c r="W435" s="72">
        <f>V435-U435</f>
        <v>5.9560000000000004</v>
      </c>
      <c r="X435" s="63">
        <f>U430-U435</f>
        <v>0</v>
      </c>
    </row>
    <row r="436" spans="1:28" s="126" customFormat="1" ht="18" customHeight="1">
      <c r="A436" s="583"/>
      <c r="B436" s="581"/>
      <c r="C436" s="581"/>
      <c r="D436" s="201" t="str">
        <f>серпень!D359</f>
        <v>дотація</v>
      </c>
      <c r="E436" s="71"/>
      <c r="F436" s="61"/>
      <c r="G436" s="61"/>
      <c r="H436" s="61"/>
      <c r="I436" s="61"/>
      <c r="J436" s="61"/>
      <c r="K436" s="61"/>
      <c r="L436" s="61">
        <f>SUM(F436:K436)</f>
        <v>0</v>
      </c>
      <c r="M436" s="61">
        <f>L436/6</f>
        <v>0</v>
      </c>
      <c r="N436" s="61"/>
      <c r="O436" s="61"/>
      <c r="P436" s="61"/>
      <c r="Q436" s="61"/>
      <c r="R436" s="61"/>
      <c r="S436" s="61"/>
      <c r="T436" s="61">
        <f>SUM(N436:S436)</f>
        <v>0</v>
      </c>
      <c r="U436" s="61">
        <f>T436+L436</f>
        <v>0</v>
      </c>
      <c r="V436" s="61">
        <f>V431</f>
        <v>0</v>
      </c>
      <c r="W436" s="72">
        <f>V436-U436</f>
        <v>0</v>
      </c>
      <c r="X436" s="63">
        <f>U431-U436</f>
        <v>0</v>
      </c>
    </row>
    <row r="437" spans="1:28" s="126" customFormat="1" ht="18" customHeight="1">
      <c r="A437" s="583"/>
      <c r="B437" s="581"/>
      <c r="C437" s="581"/>
      <c r="D437" s="201" t="str">
        <f>серпень!D360</f>
        <v xml:space="preserve">місцевий </v>
      </c>
      <c r="E437" s="71"/>
      <c r="F437" s="61">
        <f t="shared" ref="F437:K437" si="485">F435-F436</f>
        <v>0</v>
      </c>
      <c r="G437" s="61">
        <f t="shared" si="485"/>
        <v>18.324999999999999</v>
      </c>
      <c r="H437" s="61">
        <f t="shared" si="485"/>
        <v>10.581</v>
      </c>
      <c r="I437" s="61">
        <f t="shared" si="485"/>
        <v>12.907</v>
      </c>
      <c r="J437" s="61">
        <f t="shared" si="485"/>
        <v>13.22</v>
      </c>
      <c r="K437" s="61">
        <f t="shared" si="485"/>
        <v>10.212</v>
      </c>
      <c r="L437" s="61">
        <f>SUM(F437:K437)</f>
        <v>65.245000000000005</v>
      </c>
      <c r="M437" s="61">
        <f>L437/6</f>
        <v>10.874000000000001</v>
      </c>
      <c r="N437" s="61">
        <f>N435-N436</f>
        <v>0</v>
      </c>
      <c r="O437" s="61">
        <f t="shared" ref="O437:S437" si="486">O435-O436</f>
        <v>6.1619999999999999</v>
      </c>
      <c r="P437" s="61">
        <f t="shared" si="486"/>
        <v>9.3330000000000002</v>
      </c>
      <c r="Q437" s="61">
        <f t="shared" si="486"/>
        <v>12.688000000000001</v>
      </c>
      <c r="R437" s="61">
        <f t="shared" si="486"/>
        <v>6.8789999999999996</v>
      </c>
      <c r="S437" s="61">
        <f t="shared" si="486"/>
        <v>2.2570000000000001</v>
      </c>
      <c r="T437" s="61">
        <f>SUM(N437:S437)</f>
        <v>37.319000000000003</v>
      </c>
      <c r="U437" s="61">
        <f>T437+L437</f>
        <v>102.56399999999999</v>
      </c>
      <c r="V437" s="61">
        <f>V432</f>
        <v>108.52</v>
      </c>
      <c r="W437" s="72">
        <f>V437-U437</f>
        <v>5.9560000000000004</v>
      </c>
      <c r="X437" s="63">
        <f>U432-U437</f>
        <v>5.9560000000000004</v>
      </c>
    </row>
    <row r="438" spans="1:28" s="43" customFormat="1" ht="18" customHeight="1">
      <c r="A438" s="583"/>
      <c r="B438" s="581"/>
      <c r="C438" s="581"/>
      <c r="D438" s="202" t="str">
        <f>серпень!D361</f>
        <v>план</v>
      </c>
      <c r="E438" s="42"/>
      <c r="F438" s="42">
        <f t="shared" ref="F438:K438" si="487">F431+F432</f>
        <v>0</v>
      </c>
      <c r="G438" s="42">
        <f t="shared" si="487"/>
        <v>19.29</v>
      </c>
      <c r="H438" s="42">
        <f t="shared" si="487"/>
        <v>10.709</v>
      </c>
      <c r="I438" s="42">
        <f t="shared" si="487"/>
        <v>11.064</v>
      </c>
      <c r="J438" s="42">
        <f t="shared" si="487"/>
        <v>12.021000000000001</v>
      </c>
      <c r="K438" s="42">
        <f t="shared" si="487"/>
        <v>12.021000000000001</v>
      </c>
      <c r="L438" s="42">
        <f>SUM(F438:K438)</f>
        <v>65.105000000000004</v>
      </c>
      <c r="M438" s="42">
        <f>L438/6</f>
        <v>10.851000000000001</v>
      </c>
      <c r="N438" s="42">
        <f t="shared" ref="N438:S438" si="488">N432+N431</f>
        <v>8.4000000000000005E-2</v>
      </c>
      <c r="O438" s="42">
        <f t="shared" si="488"/>
        <v>10.624000000000001</v>
      </c>
      <c r="P438" s="42">
        <f t="shared" si="488"/>
        <v>10.882999999999999</v>
      </c>
      <c r="Q438" s="42">
        <f t="shared" si="488"/>
        <v>12.688000000000001</v>
      </c>
      <c r="R438" s="42">
        <f t="shared" si="488"/>
        <v>6.8789999999999996</v>
      </c>
      <c r="S438" s="42">
        <f t="shared" si="488"/>
        <v>2.2570000000000001</v>
      </c>
      <c r="T438" s="42">
        <f>SUM(N438:S438)</f>
        <v>43.414999999999999</v>
      </c>
      <c r="U438" s="42">
        <f>T438+L438</f>
        <v>108.52</v>
      </c>
      <c r="V438" s="42">
        <f>V435</f>
        <v>108.52</v>
      </c>
      <c r="W438" s="42">
        <f>V438-U438</f>
        <v>0</v>
      </c>
    </row>
    <row r="439" spans="1:28" s="43" customFormat="1" ht="18" customHeight="1">
      <c r="A439" s="583"/>
      <c r="B439" s="581"/>
      <c r="C439" s="581"/>
      <c r="D439" s="202" t="str">
        <f>серпень!D362</f>
        <v xml:space="preserve">відхилення </v>
      </c>
      <c r="E439" s="42"/>
      <c r="F439" s="42">
        <f t="shared" ref="F439:K439" si="489">F435-F438</f>
        <v>0</v>
      </c>
      <c r="G439" s="42">
        <f t="shared" si="489"/>
        <v>-0.96499999999999997</v>
      </c>
      <c r="H439" s="42">
        <f t="shared" si="489"/>
        <v>-0.128</v>
      </c>
      <c r="I439" s="42">
        <f t="shared" si="489"/>
        <v>1.843</v>
      </c>
      <c r="J439" s="42">
        <f t="shared" si="489"/>
        <v>1.1990000000000001</v>
      </c>
      <c r="K439" s="42">
        <f t="shared" si="489"/>
        <v>-1.8089999999999999</v>
      </c>
      <c r="L439" s="42"/>
      <c r="M439" s="42"/>
      <c r="N439" s="42">
        <f t="shared" ref="N439:S439" si="490">N435-N438</f>
        <v>-8.4000000000000005E-2</v>
      </c>
      <c r="O439" s="42">
        <f t="shared" si="490"/>
        <v>-4.4619999999999997</v>
      </c>
      <c r="P439" s="42">
        <f t="shared" si="490"/>
        <v>-1.55</v>
      </c>
      <c r="Q439" s="42">
        <f t="shared" si="490"/>
        <v>0</v>
      </c>
      <c r="R439" s="42">
        <f t="shared" si="490"/>
        <v>0</v>
      </c>
      <c r="S439" s="42">
        <f t="shared" si="490"/>
        <v>0</v>
      </c>
      <c r="T439" s="42"/>
      <c r="U439" s="42"/>
      <c r="V439" s="42"/>
      <c r="W439" s="42"/>
    </row>
    <row r="440" spans="1:28" s="43" customFormat="1" ht="18" customHeight="1">
      <c r="A440" s="583"/>
      <c r="B440" s="581"/>
      <c r="C440" s="581"/>
      <c r="D440" s="202" t="str">
        <f>серпень!D363</f>
        <v>відхилення з наростаючим</v>
      </c>
      <c r="E440" s="42"/>
      <c r="F440" s="42">
        <f>F439</f>
        <v>0</v>
      </c>
      <c r="G440" s="42">
        <f>G439+F440</f>
        <v>-0.96499999999999997</v>
      </c>
      <c r="H440" s="42">
        <f>H439+G440</f>
        <v>-1.093</v>
      </c>
      <c r="I440" s="42">
        <f>I439+H440</f>
        <v>0.75</v>
      </c>
      <c r="J440" s="42">
        <f>J439+I440</f>
        <v>1.9490000000000001</v>
      </c>
      <c r="K440" s="42">
        <f>K439+J440</f>
        <v>0.14000000000000001</v>
      </c>
      <c r="L440" s="42"/>
      <c r="M440" s="42"/>
      <c r="N440" s="42">
        <f>N439+K440</f>
        <v>5.6000000000000001E-2</v>
      </c>
      <c r="O440" s="42">
        <f>O439+N440</f>
        <v>-4.4059999999999997</v>
      </c>
      <c r="P440" s="42">
        <f>P439+O440</f>
        <v>-5.9560000000000004</v>
      </c>
      <c r="Q440" s="42">
        <f>Q439+P440</f>
        <v>-5.9560000000000004</v>
      </c>
      <c r="R440" s="42">
        <f>R439+Q440</f>
        <v>-5.9560000000000004</v>
      </c>
      <c r="S440" s="42">
        <f>S439+R440</f>
        <v>-5.9560000000000004</v>
      </c>
      <c r="T440" s="42"/>
      <c r="U440" s="42"/>
      <c r="V440" s="42"/>
      <c r="W440" s="42"/>
    </row>
    <row r="441" spans="1:28" s="48" customFormat="1" ht="18" hidden="1" customHeight="1">
      <c r="A441" s="583"/>
      <c r="B441" s="580" t="s">
        <v>96</v>
      </c>
      <c r="C441" s="575"/>
      <c r="D441" s="178" t="str">
        <f>серпень!D364</f>
        <v>факт. нат.п-ки 2023</v>
      </c>
      <c r="E441" s="11"/>
      <c r="F441" s="12"/>
      <c r="G441" s="12"/>
      <c r="H441" s="12"/>
      <c r="I441" s="12"/>
      <c r="J441" s="12"/>
      <c r="K441" s="12"/>
      <c r="L441" s="65">
        <f>SUM(F441:K441)</f>
        <v>0</v>
      </c>
      <c r="M441" s="65">
        <f>L441/6</f>
        <v>0</v>
      </c>
      <c r="N441" s="12"/>
      <c r="O441" s="12"/>
      <c r="P441" s="12"/>
      <c r="Q441" s="12"/>
      <c r="R441" s="12"/>
      <c r="S441" s="12"/>
      <c r="T441" s="65">
        <f>SUM(N441:S441)</f>
        <v>0</v>
      </c>
      <c r="U441" s="66">
        <f>T441+L441</f>
        <v>0</v>
      </c>
      <c r="V441" s="67"/>
      <c r="W441" s="38">
        <f>V441-U441</f>
        <v>0</v>
      </c>
      <c r="X441" s="47"/>
    </row>
    <row r="442" spans="1:28" s="48" customFormat="1" ht="18" hidden="1" customHeight="1">
      <c r="A442" s="583"/>
      <c r="B442" s="576"/>
      <c r="C442" s="577"/>
      <c r="D442" s="178" t="str">
        <f>серпень!D365</f>
        <v>факт. нат.п-ки 2024</v>
      </c>
      <c r="E442" s="11"/>
      <c r="F442" s="12"/>
      <c r="G442" s="12"/>
      <c r="H442" s="12"/>
      <c r="I442" s="12"/>
      <c r="J442" s="12"/>
      <c r="K442" s="12"/>
      <c r="L442" s="65">
        <f>SUM(F442:K442)</f>
        <v>0</v>
      </c>
      <c r="M442" s="65">
        <f>L442/6</f>
        <v>0</v>
      </c>
      <c r="N442" s="11"/>
      <c r="O442" s="11"/>
      <c r="P442" s="11"/>
      <c r="Q442" s="11"/>
      <c r="R442" s="11"/>
      <c r="S442" s="11"/>
      <c r="T442" s="65">
        <f>SUM(N442:S442)</f>
        <v>0</v>
      </c>
      <c r="U442" s="66">
        <f>T442+L442</f>
        <v>0</v>
      </c>
      <c r="V442" s="67"/>
      <c r="W442" s="38">
        <f>V442-U442</f>
        <v>0</v>
      </c>
      <c r="X442" s="47"/>
    </row>
    <row r="443" spans="1:28" s="48" customFormat="1" ht="18" hidden="1" customHeight="1">
      <c r="A443" s="583"/>
      <c r="B443" s="576"/>
      <c r="C443" s="577"/>
      <c r="D443" s="178" t="str">
        <f>серпень!D366</f>
        <v>факт. нат.п-ки 2025</v>
      </c>
      <c r="E443" s="11"/>
      <c r="F443" s="12"/>
      <c r="G443" s="12"/>
      <c r="H443" s="12"/>
      <c r="I443" s="12"/>
      <c r="J443" s="12"/>
      <c r="K443" s="12"/>
      <c r="L443" s="65">
        <f>SUM(F443:K443)</f>
        <v>0</v>
      </c>
      <c r="M443" s="65">
        <f>L443/6</f>
        <v>0</v>
      </c>
      <c r="N443" s="12"/>
      <c r="O443" s="12"/>
      <c r="P443" s="12"/>
      <c r="Q443" s="12"/>
      <c r="R443" s="12"/>
      <c r="S443" s="11"/>
      <c r="T443" s="65">
        <f>SUM(N443:S443)</f>
        <v>0</v>
      </c>
      <c r="U443" s="66">
        <f>T443+L443</f>
        <v>0</v>
      </c>
      <c r="V443" s="11"/>
      <c r="W443" s="38">
        <f>V443-U443</f>
        <v>0</v>
      </c>
      <c r="X443" s="47"/>
    </row>
    <row r="444" spans="1:28" s="51" customFormat="1" ht="18" hidden="1" customHeight="1">
      <c r="A444" s="583"/>
      <c r="B444" s="576"/>
      <c r="C444" s="577"/>
      <c r="D444" s="187" t="str">
        <f>серпень!D367</f>
        <v>тариф, грн.</v>
      </c>
      <c r="E444" s="49"/>
      <c r="F444" s="49"/>
      <c r="G444" s="49"/>
      <c r="H444" s="49"/>
      <c r="I444" s="49"/>
      <c r="J444" s="49"/>
      <c r="K444" s="49"/>
      <c r="L444" s="49" t="e">
        <f>L445/L443*1000</f>
        <v>#DIV/0!</v>
      </c>
      <c r="M444" s="49" t="e">
        <f>M445/M443*1000</f>
        <v>#DIV/0!</v>
      </c>
      <c r="N444" s="49"/>
      <c r="O444" s="49"/>
      <c r="P444" s="49"/>
      <c r="Q444" s="49"/>
      <c r="R444" s="49"/>
      <c r="S444" s="49"/>
      <c r="T444" s="49" t="e">
        <f>T445/T443*1000</f>
        <v>#DIV/0!</v>
      </c>
      <c r="U444" s="49" t="e">
        <f>U445/U443*1000</f>
        <v>#DIV/0!</v>
      </c>
      <c r="V444" s="68" t="e">
        <f>V445/V443*1000</f>
        <v>#DIV/0!</v>
      </c>
      <c r="W444" s="14" t="e">
        <f>W445/W443*1000</f>
        <v>#DIV/0!</v>
      </c>
      <c r="X444" s="50"/>
    </row>
    <row r="445" spans="1:28" s="55" customFormat="1" ht="18" hidden="1" customHeight="1">
      <c r="A445" s="583"/>
      <c r="B445" s="576"/>
      <c r="C445" s="577"/>
      <c r="D445" s="191" t="str">
        <f>серпень!D368</f>
        <v>сума, тис.грн.</v>
      </c>
      <c r="E445" s="52"/>
      <c r="F445" s="52">
        <f t="shared" ref="F445:K445" si="491">F443*F444/1000</f>
        <v>0</v>
      </c>
      <c r="G445" s="52">
        <f t="shared" si="491"/>
        <v>0</v>
      </c>
      <c r="H445" s="52">
        <f t="shared" si="491"/>
        <v>0</v>
      </c>
      <c r="I445" s="52">
        <f t="shared" si="491"/>
        <v>0</v>
      </c>
      <c r="J445" s="52">
        <f t="shared" si="491"/>
        <v>0</v>
      </c>
      <c r="K445" s="52">
        <f t="shared" si="491"/>
        <v>0</v>
      </c>
      <c r="L445" s="69">
        <f>SUM(F445:K445)</f>
        <v>0</v>
      </c>
      <c r="M445" s="69">
        <f>L445/6</f>
        <v>0</v>
      </c>
      <c r="N445" s="52">
        <f t="shared" ref="N445:S445" si="492">N443*N444/1000</f>
        <v>0</v>
      </c>
      <c r="O445" s="52">
        <f t="shared" si="492"/>
        <v>0</v>
      </c>
      <c r="P445" s="52">
        <f t="shared" si="492"/>
        <v>0</v>
      </c>
      <c r="Q445" s="52">
        <f t="shared" si="492"/>
        <v>0</v>
      </c>
      <c r="R445" s="52">
        <f t="shared" si="492"/>
        <v>0</v>
      </c>
      <c r="S445" s="52">
        <f t="shared" si="492"/>
        <v>0</v>
      </c>
      <c r="T445" s="69">
        <f>SUM(N445:S445)</f>
        <v>0</v>
      </c>
      <c r="U445" s="69">
        <f>T445+L445</f>
        <v>0</v>
      </c>
      <c r="V445" s="70">
        <f>V446+V447</f>
        <v>0</v>
      </c>
      <c r="W445" s="53">
        <f>V445-U445</f>
        <v>0</v>
      </c>
      <c r="X445" s="54">
        <f>9891253.845/1000</f>
        <v>9891.2540000000008</v>
      </c>
    </row>
    <row r="446" spans="1:28" s="55" customFormat="1" ht="18" hidden="1" customHeight="1">
      <c r="A446" s="583"/>
      <c r="B446" s="576"/>
      <c r="C446" s="577"/>
      <c r="D446" s="174" t="str">
        <f>серпень!D369</f>
        <v>дотація</v>
      </c>
      <c r="E446" s="56"/>
      <c r="F446" s="52"/>
      <c r="G446" s="52"/>
      <c r="H446" s="52"/>
      <c r="I446" s="52"/>
      <c r="J446" s="52"/>
      <c r="K446" s="52"/>
      <c r="L446" s="69">
        <f>SUM(F446:K446)</f>
        <v>0</v>
      </c>
      <c r="M446" s="69">
        <f>L446/6</f>
        <v>0</v>
      </c>
      <c r="N446" s="52"/>
      <c r="O446" s="52"/>
      <c r="P446" s="52"/>
      <c r="Q446" s="52"/>
      <c r="R446" s="52"/>
      <c r="S446" s="52"/>
      <c r="T446" s="69">
        <f>SUM(N446:S446)</f>
        <v>0</v>
      </c>
      <c r="U446" s="69">
        <f>T446+L446</f>
        <v>0</v>
      </c>
      <c r="V446" s="70"/>
      <c r="W446" s="53">
        <f>V446-U446</f>
        <v>0</v>
      </c>
      <c r="X446" s="58"/>
    </row>
    <row r="447" spans="1:28" s="55" customFormat="1" ht="18" hidden="1" customHeight="1">
      <c r="A447" s="583"/>
      <c r="B447" s="576"/>
      <c r="C447" s="577"/>
      <c r="D447" s="174" t="str">
        <f>серпень!D370</f>
        <v>місцевий (план), тис.грн</v>
      </c>
      <c r="E447" s="56"/>
      <c r="F447" s="52"/>
      <c r="G447" s="52"/>
      <c r="H447" s="52"/>
      <c r="I447" s="52"/>
      <c r="J447" s="52"/>
      <c r="K447" s="52"/>
      <c r="L447" s="69">
        <f>SUM(F447:K447)</f>
        <v>0</v>
      </c>
      <c r="M447" s="69">
        <f>L447/6</f>
        <v>0</v>
      </c>
      <c r="N447" s="52"/>
      <c r="O447" s="52"/>
      <c r="P447" s="52"/>
      <c r="Q447" s="52"/>
      <c r="R447" s="52"/>
      <c r="S447" s="52"/>
      <c r="T447" s="69">
        <f>SUM(N447:S447)</f>
        <v>0</v>
      </c>
      <c r="U447" s="69">
        <f>T447+L447</f>
        <v>0</v>
      </c>
      <c r="V447" s="70"/>
      <c r="W447" s="53">
        <f>V447-U447</f>
        <v>0</v>
      </c>
      <c r="X447" s="58"/>
    </row>
    <row r="448" spans="1:28" s="48" customFormat="1" ht="18" hidden="1" customHeight="1">
      <c r="A448" s="583"/>
      <c r="B448" s="576"/>
      <c r="C448" s="577"/>
      <c r="D448" s="178" t="str">
        <f>серпень!D371</f>
        <v>касові нат.п-ки 2025</v>
      </c>
      <c r="E448" s="11"/>
      <c r="F448" s="11"/>
      <c r="G448" s="11"/>
      <c r="H448" s="11"/>
      <c r="I448" s="11"/>
      <c r="J448" s="11"/>
      <c r="K448" s="11"/>
      <c r="L448" s="65">
        <f>SUM(F448:K448)</f>
        <v>0</v>
      </c>
      <c r="M448" s="65">
        <f>L448/6</f>
        <v>0</v>
      </c>
      <c r="N448" s="11"/>
      <c r="O448" s="11"/>
      <c r="P448" s="11"/>
      <c r="Q448" s="11"/>
      <c r="R448" s="11"/>
      <c r="S448" s="11"/>
      <c r="T448" s="65">
        <f>SUM(N448:S448)</f>
        <v>0</v>
      </c>
      <c r="U448" s="65">
        <f>T448+L448</f>
        <v>0</v>
      </c>
      <c r="V448" s="11">
        <f>V443</f>
        <v>0</v>
      </c>
      <c r="W448" s="38">
        <f>V448-U448</f>
        <v>0</v>
      </c>
      <c r="X448" s="47">
        <f>U443-U448</f>
        <v>0</v>
      </c>
    </row>
    <row r="449" spans="1:28" s="51" customFormat="1" ht="18" hidden="1" customHeight="1">
      <c r="A449" s="583"/>
      <c r="B449" s="576"/>
      <c r="C449" s="577"/>
      <c r="D449" s="187" t="str">
        <f>серпень!D372</f>
        <v>тариф, грн.</v>
      </c>
      <c r="E449" s="49" t="e">
        <f>E450/E448*1000</f>
        <v>#DIV/0!</v>
      </c>
      <c r="F449" s="49"/>
      <c r="G449" s="49"/>
      <c r="H449" s="49"/>
      <c r="I449" s="49"/>
      <c r="J449" s="49"/>
      <c r="K449" s="49"/>
      <c r="L449" s="49" t="e">
        <f>L450/L448*1000</f>
        <v>#DIV/0!</v>
      </c>
      <c r="M449" s="49" t="e">
        <f>M450/M448*1000</f>
        <v>#DIV/0!</v>
      </c>
      <c r="N449" s="49"/>
      <c r="O449" s="49"/>
      <c r="P449" s="49"/>
      <c r="Q449" s="49"/>
      <c r="R449" s="49"/>
      <c r="S449" s="49"/>
      <c r="T449" s="49" t="e">
        <f>T450/T448*1000</f>
        <v>#DIV/0!</v>
      </c>
      <c r="U449" s="49" t="e">
        <f>U450/U448*1000</f>
        <v>#DIV/0!</v>
      </c>
      <c r="V449" s="68" t="e">
        <f>V450/V448*1000</f>
        <v>#DIV/0!</v>
      </c>
      <c r="W449" s="14" t="e">
        <f>W450/W448*1000</f>
        <v>#DIV/0!</v>
      </c>
      <c r="X449" s="59"/>
    </row>
    <row r="450" spans="1:28" s="63" customFormat="1" ht="17.7" hidden="1" customHeight="1">
      <c r="A450" s="583"/>
      <c r="B450" s="576"/>
      <c r="C450" s="577"/>
      <c r="D450" s="198" t="str">
        <f>серпень!D373</f>
        <v>касові видатки, тис.грн.</v>
      </c>
      <c r="E450" s="71"/>
      <c r="F450" s="61">
        <f t="shared" ref="F450:K450" si="493">F448*F449/1000</f>
        <v>0</v>
      </c>
      <c r="G450" s="61">
        <f t="shared" si="493"/>
        <v>0</v>
      </c>
      <c r="H450" s="61">
        <f t="shared" si="493"/>
        <v>0</v>
      </c>
      <c r="I450" s="61">
        <f t="shared" si="493"/>
        <v>0</v>
      </c>
      <c r="J450" s="61">
        <f t="shared" si="493"/>
        <v>0</v>
      </c>
      <c r="K450" s="61">
        <f t="shared" si="493"/>
        <v>0</v>
      </c>
      <c r="L450" s="61">
        <f>SUM(F450:K450)</f>
        <v>0</v>
      </c>
      <c r="M450" s="61">
        <f>L450/6</f>
        <v>0</v>
      </c>
      <c r="N450" s="61">
        <f t="shared" ref="N450:S450" si="494">N448*N449/1000</f>
        <v>0</v>
      </c>
      <c r="O450" s="61">
        <f t="shared" si="494"/>
        <v>0</v>
      </c>
      <c r="P450" s="61">
        <f t="shared" si="494"/>
        <v>0</v>
      </c>
      <c r="Q450" s="61">
        <f t="shared" si="494"/>
        <v>0</v>
      </c>
      <c r="R450" s="61">
        <f t="shared" si="494"/>
        <v>0</v>
      </c>
      <c r="S450" s="61">
        <f t="shared" si="494"/>
        <v>0</v>
      </c>
      <c r="T450" s="61">
        <f>SUM(N450:S450)</f>
        <v>0</v>
      </c>
      <c r="U450" s="61">
        <f>T450+L450</f>
        <v>0</v>
      </c>
      <c r="V450" s="61">
        <f>V445</f>
        <v>0</v>
      </c>
      <c r="W450" s="72">
        <f>V450-U450</f>
        <v>0</v>
      </c>
      <c r="X450" s="63">
        <f>U445-U450</f>
        <v>0</v>
      </c>
    </row>
    <row r="451" spans="1:28" s="63" customFormat="1" ht="18" hidden="1" customHeight="1">
      <c r="A451" s="583"/>
      <c r="B451" s="576"/>
      <c r="C451" s="577"/>
      <c r="D451" s="201" t="str">
        <f>серпень!D374</f>
        <v>дотація</v>
      </c>
      <c r="E451" s="71"/>
      <c r="F451" s="61"/>
      <c r="G451" s="61"/>
      <c r="H451" s="61"/>
      <c r="I451" s="61"/>
      <c r="J451" s="61"/>
      <c r="K451" s="61"/>
      <c r="L451" s="61">
        <f>SUM(F451:K451)</f>
        <v>0</v>
      </c>
      <c r="M451" s="61">
        <f>L451/6</f>
        <v>0</v>
      </c>
      <c r="N451" s="61"/>
      <c r="O451" s="61"/>
      <c r="P451" s="61"/>
      <c r="Q451" s="61"/>
      <c r="R451" s="61"/>
      <c r="S451" s="61"/>
      <c r="T451" s="61">
        <f>SUM(N451:S451)</f>
        <v>0</v>
      </c>
      <c r="U451" s="61">
        <f>T451+L451</f>
        <v>0</v>
      </c>
      <c r="V451" s="61">
        <f>V446</f>
        <v>0</v>
      </c>
      <c r="W451" s="72">
        <f>V451-U451</f>
        <v>0</v>
      </c>
      <c r="X451" s="63">
        <f>U446-U451</f>
        <v>0</v>
      </c>
    </row>
    <row r="452" spans="1:28" s="63" customFormat="1" ht="18" hidden="1" customHeight="1">
      <c r="A452" s="583"/>
      <c r="B452" s="576"/>
      <c r="C452" s="577"/>
      <c r="D452" s="201" t="str">
        <f>серпень!D375</f>
        <v xml:space="preserve">місцевий </v>
      </c>
      <c r="E452" s="71"/>
      <c r="F452" s="61">
        <f t="shared" ref="F452:K452" si="495">F450-F451</f>
        <v>0</v>
      </c>
      <c r="G452" s="61">
        <f t="shared" si="495"/>
        <v>0</v>
      </c>
      <c r="H452" s="61">
        <f t="shared" si="495"/>
        <v>0</v>
      </c>
      <c r="I452" s="61">
        <f t="shared" si="495"/>
        <v>0</v>
      </c>
      <c r="J452" s="61">
        <f t="shared" si="495"/>
        <v>0</v>
      </c>
      <c r="K452" s="61">
        <f t="shared" si="495"/>
        <v>0</v>
      </c>
      <c r="L452" s="61">
        <f>SUM(F452:K452)</f>
        <v>0</v>
      </c>
      <c r="M452" s="61">
        <f>L452/6</f>
        <v>0</v>
      </c>
      <c r="N452" s="61">
        <f t="shared" ref="N452:S452" si="496">N450-N451</f>
        <v>0</v>
      </c>
      <c r="O452" s="61">
        <f t="shared" si="496"/>
        <v>0</v>
      </c>
      <c r="P452" s="61">
        <f t="shared" si="496"/>
        <v>0</v>
      </c>
      <c r="Q452" s="61">
        <f t="shared" si="496"/>
        <v>0</v>
      </c>
      <c r="R452" s="61">
        <f t="shared" si="496"/>
        <v>0</v>
      </c>
      <c r="S452" s="61">
        <f t="shared" si="496"/>
        <v>0</v>
      </c>
      <c r="T452" s="61">
        <f>SUM(N452:S452)</f>
        <v>0</v>
      </c>
      <c r="U452" s="61">
        <f>T452+L452</f>
        <v>0</v>
      </c>
      <c r="V452" s="61">
        <f>V447</f>
        <v>0</v>
      </c>
      <c r="W452" s="72">
        <f>V452-U452</f>
        <v>0</v>
      </c>
      <c r="X452" s="63">
        <f>U447-U452</f>
        <v>0</v>
      </c>
    </row>
    <row r="453" spans="1:28" s="43" customFormat="1" ht="18" hidden="1" customHeight="1">
      <c r="A453" s="583"/>
      <c r="B453" s="576"/>
      <c r="C453" s="577"/>
      <c r="D453" s="202" t="str">
        <f>серпень!D376</f>
        <v>план</v>
      </c>
      <c r="E453" s="42"/>
      <c r="F453" s="42">
        <f t="shared" ref="F453:K453" si="497">F447</f>
        <v>0</v>
      </c>
      <c r="G453" s="42">
        <f t="shared" si="497"/>
        <v>0</v>
      </c>
      <c r="H453" s="42">
        <f t="shared" si="497"/>
        <v>0</v>
      </c>
      <c r="I453" s="42">
        <f t="shared" si="497"/>
        <v>0</v>
      </c>
      <c r="J453" s="42">
        <f t="shared" si="497"/>
        <v>0</v>
      </c>
      <c r="K453" s="42">
        <f t="shared" si="497"/>
        <v>0</v>
      </c>
      <c r="L453" s="42">
        <f>SUM(F453:K453)</f>
        <v>0</v>
      </c>
      <c r="M453" s="42">
        <f>L453/6</f>
        <v>0</v>
      </c>
      <c r="N453" s="42">
        <f t="shared" ref="N453:S453" si="498">N447+N446</f>
        <v>0</v>
      </c>
      <c r="O453" s="42">
        <f t="shared" si="498"/>
        <v>0</v>
      </c>
      <c r="P453" s="42">
        <f t="shared" si="498"/>
        <v>0</v>
      </c>
      <c r="Q453" s="42">
        <f t="shared" si="498"/>
        <v>0</v>
      </c>
      <c r="R453" s="42">
        <f t="shared" si="498"/>
        <v>0</v>
      </c>
      <c r="S453" s="42">
        <f t="shared" si="498"/>
        <v>0</v>
      </c>
      <c r="T453" s="42">
        <f>SUM(N453:S453)</f>
        <v>0</v>
      </c>
      <c r="U453" s="42">
        <f>T453+L453</f>
        <v>0</v>
      </c>
      <c r="V453" s="42">
        <f>V450</f>
        <v>0</v>
      </c>
      <c r="W453" s="42">
        <f>V453-U453</f>
        <v>0</v>
      </c>
    </row>
    <row r="454" spans="1:28" s="43" customFormat="1" ht="18" hidden="1" customHeight="1">
      <c r="A454" s="583"/>
      <c r="B454" s="576"/>
      <c r="C454" s="577"/>
      <c r="D454" s="202" t="str">
        <f>серпень!D377</f>
        <v xml:space="preserve">відхилення </v>
      </c>
      <c r="E454" s="42"/>
      <c r="F454" s="42">
        <f t="shared" ref="F454:K454" si="499">F450-F453</f>
        <v>0</v>
      </c>
      <c r="G454" s="42">
        <f t="shared" si="499"/>
        <v>0</v>
      </c>
      <c r="H454" s="42">
        <f t="shared" si="499"/>
        <v>0</v>
      </c>
      <c r="I454" s="42">
        <f t="shared" si="499"/>
        <v>0</v>
      </c>
      <c r="J454" s="42">
        <f t="shared" si="499"/>
        <v>0</v>
      </c>
      <c r="K454" s="42">
        <f t="shared" si="499"/>
        <v>0</v>
      </c>
      <c r="L454" s="42"/>
      <c r="M454" s="42"/>
      <c r="N454" s="42">
        <f t="shared" ref="N454:S454" si="500">N450-N453</f>
        <v>0</v>
      </c>
      <c r="O454" s="42">
        <f t="shared" si="500"/>
        <v>0</v>
      </c>
      <c r="P454" s="42">
        <f t="shared" si="500"/>
        <v>0</v>
      </c>
      <c r="Q454" s="42">
        <f t="shared" si="500"/>
        <v>0</v>
      </c>
      <c r="R454" s="42">
        <f t="shared" si="500"/>
        <v>0</v>
      </c>
      <c r="S454" s="42">
        <f t="shared" si="500"/>
        <v>0</v>
      </c>
      <c r="T454" s="42"/>
      <c r="U454" s="42"/>
      <c r="V454" s="42"/>
      <c r="W454" s="42"/>
    </row>
    <row r="455" spans="1:28" s="43" customFormat="1" ht="18" hidden="1" customHeight="1">
      <c r="A455" s="583"/>
      <c r="B455" s="578"/>
      <c r="C455" s="579"/>
      <c r="D455" s="202" t="str">
        <f>серпень!D378</f>
        <v>відхилення з наростаючим</v>
      </c>
      <c r="E455" s="42"/>
      <c r="F455" s="42">
        <f>F454</f>
        <v>0</v>
      </c>
      <c r="G455" s="42">
        <f>G454+F455</f>
        <v>0</v>
      </c>
      <c r="H455" s="42">
        <f>H454+G455</f>
        <v>0</v>
      </c>
      <c r="I455" s="42">
        <f>I454+H455</f>
        <v>0</v>
      </c>
      <c r="J455" s="42">
        <f>J454+I455</f>
        <v>0</v>
      </c>
      <c r="K455" s="42">
        <f>K454+J455</f>
        <v>0</v>
      </c>
      <c r="L455" s="42"/>
      <c r="M455" s="42"/>
      <c r="N455" s="42">
        <f>N454+K455</f>
        <v>0</v>
      </c>
      <c r="O455" s="42">
        <f>O454+N455</f>
        <v>0</v>
      </c>
      <c r="P455" s="42">
        <f>P454+O455</f>
        <v>0</v>
      </c>
      <c r="Q455" s="42">
        <f>Q454+P455</f>
        <v>0</v>
      </c>
      <c r="R455" s="42">
        <f>R454+Q455</f>
        <v>0</v>
      </c>
      <c r="S455" s="42">
        <f>S454+R455</f>
        <v>0</v>
      </c>
      <c r="T455" s="42"/>
      <c r="U455" s="42"/>
      <c r="V455" s="42"/>
      <c r="W455" s="42"/>
    </row>
    <row r="456" spans="1:28" s="10" customFormat="1" ht="18" hidden="1" customHeight="1">
      <c r="A456" s="583"/>
      <c r="B456" s="580" t="s">
        <v>38</v>
      </c>
      <c r="C456" s="575"/>
      <c r="D456" s="178" t="str">
        <f>серпень!D379</f>
        <v>факт. нат.п-ки 2023</v>
      </c>
      <c r="E456" s="11"/>
      <c r="F456" s="12"/>
      <c r="G456" s="12"/>
      <c r="H456" s="12"/>
      <c r="I456" s="12"/>
      <c r="J456" s="12"/>
      <c r="K456" s="12"/>
      <c r="L456" s="65">
        <f>SUM(F456:K456)</f>
        <v>0</v>
      </c>
      <c r="M456" s="65">
        <f>L456/6</f>
        <v>0</v>
      </c>
      <c r="N456" s="12"/>
      <c r="O456" s="12"/>
      <c r="P456" s="12"/>
      <c r="Q456" s="12"/>
      <c r="R456" s="12"/>
      <c r="S456" s="12"/>
      <c r="T456" s="65">
        <f>SUM(N456:S456)</f>
        <v>0</v>
      </c>
      <c r="U456" s="66">
        <f>T456+L456</f>
        <v>0</v>
      </c>
      <c r="V456" s="67"/>
      <c r="W456" s="38">
        <f>V456-U456</f>
        <v>0</v>
      </c>
      <c r="X456" s="36"/>
      <c r="Y456" s="3"/>
      <c r="Z456" s="3"/>
      <c r="AA456" s="3"/>
      <c r="AB456" s="3"/>
    </row>
    <row r="457" spans="1:28" s="48" customFormat="1" ht="18" hidden="1" customHeight="1">
      <c r="A457" s="583"/>
      <c r="B457" s="576"/>
      <c r="C457" s="577"/>
      <c r="D457" s="178" t="str">
        <f>серпень!D380</f>
        <v>факт. нат.п-ки 2024</v>
      </c>
      <c r="E457" s="11"/>
      <c r="F457" s="12"/>
      <c r="G457" s="12"/>
      <c r="H457" s="12"/>
      <c r="I457" s="12"/>
      <c r="J457" s="12"/>
      <c r="K457" s="12"/>
      <c r="L457" s="65">
        <f>SUM(F457:K457)</f>
        <v>0</v>
      </c>
      <c r="M457" s="65">
        <f>L457/6</f>
        <v>0</v>
      </c>
      <c r="N457" s="11"/>
      <c r="O457" s="11"/>
      <c r="P457" s="11"/>
      <c r="Q457" s="11"/>
      <c r="R457" s="11"/>
      <c r="S457" s="11"/>
      <c r="T457" s="65">
        <f>SUM(N457:S457)</f>
        <v>0</v>
      </c>
      <c r="U457" s="66">
        <f>T457+L457</f>
        <v>0</v>
      </c>
      <c r="V457" s="67"/>
      <c r="W457" s="38">
        <f>V457-U457</f>
        <v>0</v>
      </c>
      <c r="X457" s="47"/>
    </row>
    <row r="458" spans="1:28" s="10" customFormat="1" ht="18" hidden="1" customHeight="1">
      <c r="A458" s="583"/>
      <c r="B458" s="576"/>
      <c r="C458" s="577"/>
      <c r="D458" s="178" t="str">
        <f>серпень!D381</f>
        <v>факт. нат.п-ки 2025</v>
      </c>
      <c r="E458" s="11"/>
      <c r="F458" s="12"/>
      <c r="G458" s="12"/>
      <c r="H458" s="12"/>
      <c r="I458" s="12"/>
      <c r="J458" s="12"/>
      <c r="K458" s="12"/>
      <c r="L458" s="65">
        <f>SUM(F458:K458)</f>
        <v>0</v>
      </c>
      <c r="M458" s="65">
        <f>L458/6</f>
        <v>0</v>
      </c>
      <c r="N458" s="12"/>
      <c r="O458" s="12"/>
      <c r="P458" s="12"/>
      <c r="Q458" s="12"/>
      <c r="R458" s="12"/>
      <c r="S458" s="11"/>
      <c r="T458" s="65">
        <f>SUM(N458:S458)</f>
        <v>0</v>
      </c>
      <c r="U458" s="66">
        <f>T458+L458</f>
        <v>0</v>
      </c>
      <c r="V458" s="11"/>
      <c r="W458" s="38">
        <f>V458-U458</f>
        <v>0</v>
      </c>
      <c r="X458" s="36"/>
      <c r="Y458" s="3"/>
      <c r="Z458" s="3"/>
      <c r="AA458" s="3"/>
      <c r="AB458" s="3"/>
    </row>
    <row r="459" spans="1:28" s="114" customFormat="1" ht="18" hidden="1" customHeight="1">
      <c r="A459" s="583"/>
      <c r="B459" s="576"/>
      <c r="C459" s="577"/>
      <c r="D459" s="187" t="str">
        <f>серпень!D382</f>
        <v>тариф, грн.</v>
      </c>
      <c r="E459" s="49"/>
      <c r="F459" s="49">
        <v>10.56</v>
      </c>
      <c r="G459" s="49">
        <v>10.56</v>
      </c>
      <c r="H459" s="49">
        <v>10.56</v>
      </c>
      <c r="I459" s="49">
        <v>10.56</v>
      </c>
      <c r="J459" s="49">
        <v>10.56</v>
      </c>
      <c r="K459" s="49">
        <v>10.56</v>
      </c>
      <c r="L459" s="49" t="e">
        <f>L460/L458*1000</f>
        <v>#DIV/0!</v>
      </c>
      <c r="M459" s="49" t="e">
        <f>M460/M458*1000</f>
        <v>#DIV/0!</v>
      </c>
      <c r="N459" s="49">
        <v>10.56</v>
      </c>
      <c r="O459" s="49">
        <v>10.56</v>
      </c>
      <c r="P459" s="49">
        <v>10.56</v>
      </c>
      <c r="Q459" s="49">
        <v>10.56</v>
      </c>
      <c r="R459" s="49">
        <v>10.56</v>
      </c>
      <c r="S459" s="49">
        <v>10.56</v>
      </c>
      <c r="T459" s="49" t="e">
        <f>T460/T458*1000</f>
        <v>#DIV/0!</v>
      </c>
      <c r="U459" s="49" t="e">
        <f>U460/U458*1000</f>
        <v>#DIV/0!</v>
      </c>
      <c r="V459" s="68" t="e">
        <f>V460/V458*1000</f>
        <v>#DIV/0!</v>
      </c>
      <c r="W459" s="14" t="e">
        <f>W460/W458*1000</f>
        <v>#DIV/0!</v>
      </c>
      <c r="X459" s="36"/>
      <c r="Y459" s="3"/>
      <c r="Z459" s="3"/>
      <c r="AA459" s="3"/>
      <c r="AB459" s="3"/>
    </row>
    <row r="460" spans="1:28" s="114" customFormat="1" ht="18" hidden="1" customHeight="1">
      <c r="A460" s="583"/>
      <c r="B460" s="576"/>
      <c r="C460" s="577"/>
      <c r="D460" s="191" t="str">
        <f>серпень!D383</f>
        <v>сума, тис.грн.</v>
      </c>
      <c r="E460" s="52"/>
      <c r="F460" s="52">
        <f t="shared" ref="F460:K460" si="501">F458*F459/1000</f>
        <v>0</v>
      </c>
      <c r="G460" s="52">
        <f t="shared" si="501"/>
        <v>0</v>
      </c>
      <c r="H460" s="52">
        <f t="shared" si="501"/>
        <v>0</v>
      </c>
      <c r="I460" s="52">
        <f t="shared" si="501"/>
        <v>0</v>
      </c>
      <c r="J460" s="52">
        <f t="shared" si="501"/>
        <v>0</v>
      </c>
      <c r="K460" s="52">
        <f t="shared" si="501"/>
        <v>0</v>
      </c>
      <c r="L460" s="69">
        <f>SUM(F460:K460)</f>
        <v>0</v>
      </c>
      <c r="M460" s="69">
        <f>L460/6</f>
        <v>0</v>
      </c>
      <c r="N460" s="52">
        <f t="shared" ref="N460:S460" si="502">N458*N459/1000</f>
        <v>0</v>
      </c>
      <c r="O460" s="52">
        <f t="shared" si="502"/>
        <v>0</v>
      </c>
      <c r="P460" s="52">
        <f t="shared" si="502"/>
        <v>0</v>
      </c>
      <c r="Q460" s="52">
        <f t="shared" si="502"/>
        <v>0</v>
      </c>
      <c r="R460" s="52">
        <f t="shared" si="502"/>
        <v>0</v>
      </c>
      <c r="S460" s="52">
        <f t="shared" si="502"/>
        <v>0</v>
      </c>
      <c r="T460" s="69">
        <f>SUM(N460:S460)</f>
        <v>0</v>
      </c>
      <c r="U460" s="69">
        <f>T460+L460</f>
        <v>0</v>
      </c>
      <c r="V460" s="70">
        <f>V461+V462</f>
        <v>0</v>
      </c>
      <c r="W460" s="53">
        <f>V460-U460</f>
        <v>0</v>
      </c>
      <c r="X460" s="113"/>
    </row>
    <row r="461" spans="1:28" s="114" customFormat="1" ht="18" hidden="1" customHeight="1">
      <c r="A461" s="583"/>
      <c r="B461" s="576"/>
      <c r="C461" s="577"/>
      <c r="D461" s="174" t="str">
        <f>серпень!D384</f>
        <v>дотація</v>
      </c>
      <c r="E461" s="56"/>
      <c r="F461" s="52"/>
      <c r="G461" s="52"/>
      <c r="H461" s="52"/>
      <c r="I461" s="52"/>
      <c r="J461" s="52"/>
      <c r="K461" s="52"/>
      <c r="L461" s="69">
        <f>SUM(F461:K461)</f>
        <v>0</v>
      </c>
      <c r="M461" s="69">
        <f>L461/6</f>
        <v>0</v>
      </c>
      <c r="N461" s="52"/>
      <c r="O461" s="52"/>
      <c r="P461" s="52"/>
      <c r="Q461" s="52"/>
      <c r="R461" s="52"/>
      <c r="S461" s="52"/>
      <c r="T461" s="69">
        <f>SUM(N461:S461)</f>
        <v>0</v>
      </c>
      <c r="U461" s="69">
        <f>T461+L461</f>
        <v>0</v>
      </c>
      <c r="V461" s="70">
        <v>0</v>
      </c>
      <c r="W461" s="53">
        <f>V461-U461</f>
        <v>0</v>
      </c>
      <c r="X461" s="113"/>
    </row>
    <row r="462" spans="1:28" s="114" customFormat="1" ht="18" hidden="1" customHeight="1">
      <c r="A462" s="583"/>
      <c r="B462" s="576"/>
      <c r="C462" s="577"/>
      <c r="D462" s="174" t="str">
        <f>серпень!D385</f>
        <v>місцевий (план), тис.грн</v>
      </c>
      <c r="E462" s="56"/>
      <c r="F462" s="52"/>
      <c r="G462" s="52"/>
      <c r="H462" s="52"/>
      <c r="I462" s="52"/>
      <c r="J462" s="52"/>
      <c r="K462" s="52"/>
      <c r="L462" s="69">
        <f>SUM(F462:K462)</f>
        <v>0</v>
      </c>
      <c r="M462" s="69">
        <f>L462/6</f>
        <v>0</v>
      </c>
      <c r="N462" s="52"/>
      <c r="O462" s="52"/>
      <c r="P462" s="52"/>
      <c r="Q462" s="52"/>
      <c r="R462" s="52"/>
      <c r="S462" s="52"/>
      <c r="T462" s="69">
        <f>SUM(N462:S462)</f>
        <v>0</v>
      </c>
      <c r="U462" s="69">
        <f>T462+L462</f>
        <v>0</v>
      </c>
      <c r="V462" s="70"/>
      <c r="W462" s="53">
        <f>V462-U462</f>
        <v>0</v>
      </c>
      <c r="X462" s="113"/>
    </row>
    <row r="463" spans="1:28" s="3" customFormat="1" ht="18" hidden="1" customHeight="1">
      <c r="A463" s="583"/>
      <c r="B463" s="576"/>
      <c r="C463" s="577"/>
      <c r="D463" s="178" t="str">
        <f>серпень!D386</f>
        <v>касові нат.п-ки 2025</v>
      </c>
      <c r="E463" s="11"/>
      <c r="F463" s="11"/>
      <c r="G463" s="11"/>
      <c r="H463" s="11"/>
      <c r="I463" s="11"/>
      <c r="J463" s="11"/>
      <c r="K463" s="11"/>
      <c r="L463" s="65">
        <f>SUM(F463:K463)</f>
        <v>0</v>
      </c>
      <c r="M463" s="65">
        <f>L463/6</f>
        <v>0</v>
      </c>
      <c r="N463" s="11"/>
      <c r="O463" s="11"/>
      <c r="P463" s="11"/>
      <c r="Q463" s="11"/>
      <c r="R463" s="11"/>
      <c r="S463" s="11"/>
      <c r="T463" s="65">
        <f>SUM(N463:S463)</f>
        <v>0</v>
      </c>
      <c r="U463" s="65">
        <f>T463+L463</f>
        <v>0</v>
      </c>
      <c r="V463" s="11">
        <f>V458</f>
        <v>0</v>
      </c>
      <c r="W463" s="38">
        <f>V463-U463</f>
        <v>0</v>
      </c>
      <c r="X463" s="47">
        <f>U458-U463</f>
        <v>0</v>
      </c>
    </row>
    <row r="464" spans="1:28" s="73" customFormat="1" ht="18" hidden="1" customHeight="1">
      <c r="A464" s="583"/>
      <c r="B464" s="576"/>
      <c r="C464" s="577"/>
      <c r="D464" s="187" t="str">
        <f>серпень!D387</f>
        <v>тариф, грн.</v>
      </c>
      <c r="E464" s="49" t="e">
        <f>E465/E463*1000</f>
        <v>#DIV/0!</v>
      </c>
      <c r="F464" s="49">
        <v>10.56</v>
      </c>
      <c r="G464" s="49">
        <v>10.56</v>
      </c>
      <c r="H464" s="49">
        <v>10.56</v>
      </c>
      <c r="I464" s="49">
        <v>10.56</v>
      </c>
      <c r="J464" s="49">
        <v>10.56</v>
      </c>
      <c r="K464" s="49">
        <v>10.56</v>
      </c>
      <c r="L464" s="49" t="e">
        <f>L465/L463*1000</f>
        <v>#DIV/0!</v>
      </c>
      <c r="M464" s="49" t="e">
        <f>M465/M463*1000</f>
        <v>#DIV/0!</v>
      </c>
      <c r="N464" s="49">
        <v>10.56</v>
      </c>
      <c r="O464" s="49">
        <v>10.56</v>
      </c>
      <c r="P464" s="49">
        <v>10.56</v>
      </c>
      <c r="Q464" s="49">
        <v>10.56</v>
      </c>
      <c r="R464" s="49">
        <v>10.56</v>
      </c>
      <c r="S464" s="49">
        <v>10.56</v>
      </c>
      <c r="T464" s="49" t="e">
        <f>T465/T463*1000</f>
        <v>#DIV/0!</v>
      </c>
      <c r="U464" s="49" t="e">
        <f>U465/U463*1000</f>
        <v>#DIV/0!</v>
      </c>
      <c r="V464" s="68" t="e">
        <f>V465/V463*1000</f>
        <v>#DIV/0!</v>
      </c>
      <c r="W464" s="14" t="e">
        <f>W465/W463*1000</f>
        <v>#DIV/0!</v>
      </c>
      <c r="X464" s="59"/>
      <c r="Y464" s="36"/>
      <c r="Z464" s="36"/>
      <c r="AA464" s="36"/>
      <c r="AB464" s="36"/>
    </row>
    <row r="465" spans="1:24" s="126" customFormat="1" ht="18" hidden="1" customHeight="1">
      <c r="A465" s="583"/>
      <c r="B465" s="576"/>
      <c r="C465" s="577"/>
      <c r="D465" s="198" t="str">
        <f>серпень!D388</f>
        <v>касові видатки, тис.грн.</v>
      </c>
      <c r="E465" s="71"/>
      <c r="F465" s="61">
        <f t="shared" ref="F465:K465" si="503">F463*F464/1000</f>
        <v>0</v>
      </c>
      <c r="G465" s="61">
        <f t="shared" si="503"/>
        <v>0</v>
      </c>
      <c r="H465" s="61">
        <f t="shared" si="503"/>
        <v>0</v>
      </c>
      <c r="I465" s="61">
        <f t="shared" si="503"/>
        <v>0</v>
      </c>
      <c r="J465" s="61">
        <f t="shared" si="503"/>
        <v>0</v>
      </c>
      <c r="K465" s="61">
        <f t="shared" si="503"/>
        <v>0</v>
      </c>
      <c r="L465" s="61">
        <f>SUM(F465:K465)</f>
        <v>0</v>
      </c>
      <c r="M465" s="61">
        <f>L465/6</f>
        <v>0</v>
      </c>
      <c r="N465" s="61">
        <f t="shared" ref="N465:S465" si="504">N463*N464/1000</f>
        <v>0</v>
      </c>
      <c r="O465" s="61">
        <f t="shared" si="504"/>
        <v>0</v>
      </c>
      <c r="P465" s="61">
        <f t="shared" si="504"/>
        <v>0</v>
      </c>
      <c r="Q465" s="61">
        <f t="shared" si="504"/>
        <v>0</v>
      </c>
      <c r="R465" s="61">
        <f t="shared" si="504"/>
        <v>0</v>
      </c>
      <c r="S465" s="61">
        <f t="shared" si="504"/>
        <v>0</v>
      </c>
      <c r="T465" s="61">
        <f>SUM(N465:S465)</f>
        <v>0</v>
      </c>
      <c r="U465" s="61">
        <f>T465+L465</f>
        <v>0</v>
      </c>
      <c r="V465" s="61">
        <f>V460</f>
        <v>0</v>
      </c>
      <c r="W465" s="72">
        <f>V465-U465</f>
        <v>0</v>
      </c>
      <c r="X465" s="63">
        <f>U460-U465</f>
        <v>0</v>
      </c>
    </row>
    <row r="466" spans="1:24" s="126" customFormat="1" ht="18" hidden="1" customHeight="1">
      <c r="A466" s="583"/>
      <c r="B466" s="576"/>
      <c r="C466" s="577"/>
      <c r="D466" s="201" t="str">
        <f>серпень!D389</f>
        <v>дотація</v>
      </c>
      <c r="E466" s="71"/>
      <c r="F466" s="61"/>
      <c r="G466" s="61"/>
      <c r="H466" s="61"/>
      <c r="I466" s="61"/>
      <c r="J466" s="61"/>
      <c r="K466" s="61"/>
      <c r="L466" s="61">
        <f>SUM(F466:K466)</f>
        <v>0</v>
      </c>
      <c r="M466" s="61">
        <f>L466/6</f>
        <v>0</v>
      </c>
      <c r="N466" s="61"/>
      <c r="O466" s="61"/>
      <c r="P466" s="61"/>
      <c r="Q466" s="61"/>
      <c r="R466" s="61"/>
      <c r="S466" s="61"/>
      <c r="T466" s="61">
        <f>SUM(N466:S466)</f>
        <v>0</v>
      </c>
      <c r="U466" s="61">
        <f>T466+L466</f>
        <v>0</v>
      </c>
      <c r="V466" s="61">
        <f>V461</f>
        <v>0</v>
      </c>
      <c r="W466" s="72">
        <f>V466-U466</f>
        <v>0</v>
      </c>
      <c r="X466" s="63">
        <f>U461-U466</f>
        <v>0</v>
      </c>
    </row>
    <row r="467" spans="1:24" s="126" customFormat="1" ht="18" hidden="1" customHeight="1">
      <c r="A467" s="583"/>
      <c r="B467" s="576"/>
      <c r="C467" s="577"/>
      <c r="D467" s="201" t="str">
        <f>серпень!D390</f>
        <v xml:space="preserve">місцевий </v>
      </c>
      <c r="E467" s="71"/>
      <c r="F467" s="61">
        <f t="shared" ref="F467:K467" si="505">F465-F466</f>
        <v>0</v>
      </c>
      <c r="G467" s="61">
        <f t="shared" si="505"/>
        <v>0</v>
      </c>
      <c r="H467" s="61">
        <f t="shared" si="505"/>
        <v>0</v>
      </c>
      <c r="I467" s="61">
        <f t="shared" si="505"/>
        <v>0</v>
      </c>
      <c r="J467" s="61">
        <f t="shared" si="505"/>
        <v>0</v>
      </c>
      <c r="K467" s="61">
        <f t="shared" si="505"/>
        <v>0</v>
      </c>
      <c r="L467" s="61">
        <f>SUM(F467:K467)</f>
        <v>0</v>
      </c>
      <c r="M467" s="61">
        <f>L467/6</f>
        <v>0</v>
      </c>
      <c r="N467" s="61">
        <f t="shared" ref="N467:S467" si="506">N465-N466</f>
        <v>0</v>
      </c>
      <c r="O467" s="61">
        <f t="shared" si="506"/>
        <v>0</v>
      </c>
      <c r="P467" s="61">
        <f t="shared" si="506"/>
        <v>0</v>
      </c>
      <c r="Q467" s="61">
        <f t="shared" si="506"/>
        <v>0</v>
      </c>
      <c r="R467" s="61">
        <f t="shared" si="506"/>
        <v>0</v>
      </c>
      <c r="S467" s="61">
        <f t="shared" si="506"/>
        <v>0</v>
      </c>
      <c r="T467" s="61">
        <f>SUM(N467:S467)</f>
        <v>0</v>
      </c>
      <c r="U467" s="61">
        <f>T467+L467</f>
        <v>0</v>
      </c>
      <c r="V467" s="61">
        <f>V462</f>
        <v>0</v>
      </c>
      <c r="W467" s="72">
        <f>V467-U467</f>
        <v>0</v>
      </c>
      <c r="X467" s="63">
        <f>U462-U467</f>
        <v>0</v>
      </c>
    </row>
    <row r="468" spans="1:24" s="43" customFormat="1" ht="18" hidden="1" customHeight="1">
      <c r="A468" s="583"/>
      <c r="B468" s="576"/>
      <c r="C468" s="577"/>
      <c r="D468" s="202" t="str">
        <f>серпень!D391</f>
        <v>план</v>
      </c>
      <c r="E468" s="42"/>
      <c r="F468" s="42">
        <f t="shared" ref="F468:K468" si="507">F462</f>
        <v>0</v>
      </c>
      <c r="G468" s="42">
        <f t="shared" si="507"/>
        <v>0</v>
      </c>
      <c r="H468" s="42">
        <f t="shared" si="507"/>
        <v>0</v>
      </c>
      <c r="I468" s="42">
        <f t="shared" si="507"/>
        <v>0</v>
      </c>
      <c r="J468" s="42">
        <f t="shared" si="507"/>
        <v>0</v>
      </c>
      <c r="K468" s="42">
        <f t="shared" si="507"/>
        <v>0</v>
      </c>
      <c r="L468" s="42">
        <f>SUM(F468:K468)</f>
        <v>0</v>
      </c>
      <c r="M468" s="42">
        <f>L468/6</f>
        <v>0</v>
      </c>
      <c r="N468" s="42">
        <f t="shared" ref="N468:S468" si="508">N462+N461</f>
        <v>0</v>
      </c>
      <c r="O468" s="42">
        <f t="shared" si="508"/>
        <v>0</v>
      </c>
      <c r="P468" s="42">
        <f t="shared" si="508"/>
        <v>0</v>
      </c>
      <c r="Q468" s="42">
        <f t="shared" si="508"/>
        <v>0</v>
      </c>
      <c r="R468" s="42">
        <f t="shared" si="508"/>
        <v>0</v>
      </c>
      <c r="S468" s="42">
        <f t="shared" si="508"/>
        <v>0</v>
      </c>
      <c r="T468" s="42">
        <f>SUM(N468:S468)</f>
        <v>0</v>
      </c>
      <c r="U468" s="42">
        <f>T468+L468</f>
        <v>0</v>
      </c>
      <c r="V468" s="42">
        <f>V465</f>
        <v>0</v>
      </c>
      <c r="W468" s="42">
        <f>V468-U468</f>
        <v>0</v>
      </c>
    </row>
    <row r="469" spans="1:24" s="43" customFormat="1" ht="18" hidden="1" customHeight="1">
      <c r="A469" s="583"/>
      <c r="B469" s="576"/>
      <c r="C469" s="577"/>
      <c r="D469" s="202" t="str">
        <f>серпень!D392</f>
        <v xml:space="preserve">відхилення </v>
      </c>
      <c r="E469" s="42"/>
      <c r="F469" s="42">
        <f t="shared" ref="F469:K469" si="509">F465-F468</f>
        <v>0</v>
      </c>
      <c r="G469" s="42">
        <f t="shared" si="509"/>
        <v>0</v>
      </c>
      <c r="H469" s="42">
        <f t="shared" si="509"/>
        <v>0</v>
      </c>
      <c r="I469" s="42">
        <f t="shared" si="509"/>
        <v>0</v>
      </c>
      <c r="J469" s="42">
        <f t="shared" si="509"/>
        <v>0</v>
      </c>
      <c r="K469" s="42">
        <f t="shared" si="509"/>
        <v>0</v>
      </c>
      <c r="L469" s="42"/>
      <c r="M469" s="42"/>
      <c r="N469" s="42">
        <f t="shared" ref="N469:S469" si="510">N465-N468</f>
        <v>0</v>
      </c>
      <c r="O469" s="42">
        <f t="shared" si="510"/>
        <v>0</v>
      </c>
      <c r="P469" s="42">
        <f t="shared" si="510"/>
        <v>0</v>
      </c>
      <c r="Q469" s="42">
        <f t="shared" si="510"/>
        <v>0</v>
      </c>
      <c r="R469" s="42">
        <f t="shared" si="510"/>
        <v>0</v>
      </c>
      <c r="S469" s="42">
        <f t="shared" si="510"/>
        <v>0</v>
      </c>
      <c r="T469" s="42"/>
      <c r="U469" s="42"/>
      <c r="V469" s="42"/>
      <c r="W469" s="42"/>
    </row>
    <row r="470" spans="1:24" s="43" customFormat="1" ht="18" hidden="1" customHeight="1">
      <c r="A470" s="584"/>
      <c r="B470" s="578"/>
      <c r="C470" s="579"/>
      <c r="D470" s="202" t="str">
        <f>серпень!D393</f>
        <v>відхилення з наростаючим</v>
      </c>
      <c r="E470" s="42"/>
      <c r="F470" s="42">
        <f>F469</f>
        <v>0</v>
      </c>
      <c r="G470" s="42">
        <f>G469+F470</f>
        <v>0</v>
      </c>
      <c r="H470" s="42">
        <f>H469+G470</f>
        <v>0</v>
      </c>
      <c r="I470" s="42">
        <f>I469+H470</f>
        <v>0</v>
      </c>
      <c r="J470" s="42">
        <f>J469+I470</f>
        <v>0</v>
      </c>
      <c r="K470" s="42">
        <f>K469+J470</f>
        <v>0</v>
      </c>
      <c r="L470" s="42"/>
      <c r="M470" s="42"/>
      <c r="N470" s="42">
        <f>N469+K470</f>
        <v>0</v>
      </c>
      <c r="O470" s="42">
        <f>O469+N470</f>
        <v>0</v>
      </c>
      <c r="P470" s="42">
        <f>P469+O470</f>
        <v>0</v>
      </c>
      <c r="Q470" s="42">
        <f>Q469+P470</f>
        <v>0</v>
      </c>
      <c r="R470" s="42">
        <f>R469+Q470</f>
        <v>0</v>
      </c>
      <c r="S470" s="42">
        <f>S469+R470</f>
        <v>0</v>
      </c>
      <c r="T470" s="42"/>
      <c r="U470" s="42"/>
      <c r="V470" s="42"/>
      <c r="W470" s="42"/>
    </row>
    <row r="471" spans="1:24" s="55" customFormat="1" ht="18" customHeight="1">
      <c r="A471" s="591">
        <v>2273</v>
      </c>
      <c r="B471" s="580" t="s">
        <v>26</v>
      </c>
      <c r="C471" s="575"/>
      <c r="D471" s="178" t="str">
        <f>серпень!D394</f>
        <v>факт. нат.п-ки 2023</v>
      </c>
      <c r="E471" s="11"/>
      <c r="F471" s="12">
        <f t="shared" ref="F471:K473" si="511">F486+F501</f>
        <v>10880</v>
      </c>
      <c r="G471" s="12">
        <f t="shared" si="511"/>
        <v>27613</v>
      </c>
      <c r="H471" s="12">
        <f t="shared" si="511"/>
        <v>14795</v>
      </c>
      <c r="I471" s="12">
        <f t="shared" si="511"/>
        <v>19121</v>
      </c>
      <c r="J471" s="12">
        <f t="shared" si="511"/>
        <v>12705</v>
      </c>
      <c r="K471" s="12">
        <f t="shared" si="511"/>
        <v>10375</v>
      </c>
      <c r="L471" s="65">
        <f>SUM(F471:K471)</f>
        <v>95489</v>
      </c>
      <c r="M471" s="65">
        <f>L471/6</f>
        <v>15914.8</v>
      </c>
      <c r="N471" s="12">
        <f t="shared" ref="N471:S473" si="512">N486+N501</f>
        <v>5939</v>
      </c>
      <c r="O471" s="12">
        <f t="shared" si="512"/>
        <v>7890</v>
      </c>
      <c r="P471" s="12">
        <f t="shared" si="512"/>
        <v>5855</v>
      </c>
      <c r="Q471" s="12">
        <f t="shared" si="512"/>
        <v>15624</v>
      </c>
      <c r="R471" s="12">
        <f t="shared" si="512"/>
        <v>15665</v>
      </c>
      <c r="S471" s="12">
        <f t="shared" si="512"/>
        <v>37017</v>
      </c>
      <c r="T471" s="65">
        <f>SUM(N471:S471)</f>
        <v>87990</v>
      </c>
      <c r="U471" s="65">
        <f>T471+L471</f>
        <v>183479</v>
      </c>
      <c r="V471" s="76">
        <f>V486+V501</f>
        <v>0</v>
      </c>
      <c r="W471" s="38"/>
      <c r="X471" s="47"/>
    </row>
    <row r="472" spans="1:24" s="48" customFormat="1" ht="18" customHeight="1">
      <c r="A472" s="592"/>
      <c r="B472" s="576"/>
      <c r="C472" s="577"/>
      <c r="D472" s="178" t="str">
        <f>серпень!D395</f>
        <v>факт. нат.п-ки 2024</v>
      </c>
      <c r="E472" s="11"/>
      <c r="F472" s="12">
        <f t="shared" si="511"/>
        <v>27297</v>
      </c>
      <c r="G472" s="12">
        <f t="shared" si="511"/>
        <v>20931</v>
      </c>
      <c r="H472" s="12">
        <f t="shared" si="511"/>
        <v>18609</v>
      </c>
      <c r="I472" s="12">
        <f t="shared" si="511"/>
        <v>12430</v>
      </c>
      <c r="J472" s="12">
        <f>J487+J502</f>
        <v>11792</v>
      </c>
      <c r="K472" s="12">
        <f t="shared" si="511"/>
        <v>7755</v>
      </c>
      <c r="L472" s="65">
        <f>SUM(F472:K472)</f>
        <v>98814</v>
      </c>
      <c r="M472" s="65">
        <f>L472/6</f>
        <v>16469</v>
      </c>
      <c r="N472" s="12">
        <f t="shared" si="512"/>
        <v>10148</v>
      </c>
      <c r="O472" s="12">
        <f t="shared" si="512"/>
        <v>4918</v>
      </c>
      <c r="P472" s="12">
        <f t="shared" si="512"/>
        <v>6374</v>
      </c>
      <c r="Q472" s="12">
        <f t="shared" si="512"/>
        <v>17071</v>
      </c>
      <c r="R472" s="12">
        <f t="shared" si="512"/>
        <v>12665</v>
      </c>
      <c r="S472" s="12">
        <f t="shared" si="512"/>
        <v>33537.800000000003</v>
      </c>
      <c r="T472" s="65">
        <f>SUM(N472:S472)</f>
        <v>84713.8</v>
      </c>
      <c r="U472" s="65">
        <f>T472+L472</f>
        <v>183527.8</v>
      </c>
      <c r="V472" s="76">
        <f>V487+V502</f>
        <v>167999.8</v>
      </c>
      <c r="W472" s="38"/>
      <c r="X472" s="47"/>
    </row>
    <row r="473" spans="1:24" s="48" customFormat="1" ht="18" customHeight="1">
      <c r="A473" s="592"/>
      <c r="B473" s="576"/>
      <c r="C473" s="577"/>
      <c r="D473" s="178" t="str">
        <f>серпень!D396</f>
        <v>факт. нат.п-ки 2025</v>
      </c>
      <c r="E473" s="11"/>
      <c r="F473" s="12">
        <f t="shared" si="511"/>
        <v>27869</v>
      </c>
      <c r="G473" s="12">
        <f t="shared" si="511"/>
        <v>21727</v>
      </c>
      <c r="H473" s="12">
        <f t="shared" si="511"/>
        <v>17127.400000000001</v>
      </c>
      <c r="I473" s="12">
        <f t="shared" si="511"/>
        <v>20252.2</v>
      </c>
      <c r="J473" s="12">
        <f>J488+J503</f>
        <v>11924</v>
      </c>
      <c r="K473" s="12">
        <f t="shared" si="511"/>
        <v>547.9</v>
      </c>
      <c r="L473" s="125">
        <f>SUM(F473:K473)</f>
        <v>99447.5</v>
      </c>
      <c r="M473" s="65">
        <f>L473/6</f>
        <v>16574.599999999999</v>
      </c>
      <c r="N473" s="12">
        <f t="shared" si="512"/>
        <v>119.4</v>
      </c>
      <c r="O473" s="12">
        <f t="shared" si="512"/>
        <v>4918</v>
      </c>
      <c r="P473" s="12">
        <f t="shared" si="512"/>
        <v>6374</v>
      </c>
      <c r="Q473" s="12">
        <f t="shared" si="512"/>
        <v>17071</v>
      </c>
      <c r="R473" s="12">
        <f t="shared" si="512"/>
        <v>12665</v>
      </c>
      <c r="S473" s="12">
        <f t="shared" si="512"/>
        <v>26316.400000000001</v>
      </c>
      <c r="T473" s="65">
        <f>SUM(N473:S473)</f>
        <v>67463.8</v>
      </c>
      <c r="U473" s="65">
        <f>T473+L473</f>
        <v>166911.29999999999</v>
      </c>
      <c r="V473" s="76">
        <f>V488+V503</f>
        <v>179401.4</v>
      </c>
      <c r="W473" s="38">
        <f>V473-U473</f>
        <v>12490.1</v>
      </c>
      <c r="X473" s="47"/>
    </row>
    <row r="474" spans="1:24" s="51" customFormat="1" ht="18" customHeight="1">
      <c r="A474" s="592"/>
      <c r="B474" s="576"/>
      <c r="C474" s="577"/>
      <c r="D474" s="187" t="str">
        <f>серпень!D397</f>
        <v>тариф, грн.</v>
      </c>
      <c r="E474" s="49" t="e">
        <f>E475/E473*1000</f>
        <v>#DIV/0!</v>
      </c>
      <c r="F474" s="131">
        <f t="shared" ref="F474:S474" si="513">F475/F473*1000</f>
        <v>5.4999099999999999</v>
      </c>
      <c r="G474" s="131">
        <f t="shared" si="513"/>
        <v>5.8315919999999997</v>
      </c>
      <c r="H474" s="131">
        <f t="shared" si="513"/>
        <v>6.1316949999999997</v>
      </c>
      <c r="I474" s="131">
        <f t="shared" si="513"/>
        <v>5.2050150000000004</v>
      </c>
      <c r="J474" s="131">
        <f t="shared" si="513"/>
        <v>5.557531</v>
      </c>
      <c r="K474" s="131">
        <f t="shared" si="513"/>
        <v>9.0764739999999993</v>
      </c>
      <c r="L474" s="129">
        <f t="shared" si="513"/>
        <v>5.6477399999999998</v>
      </c>
      <c r="M474" s="129">
        <f t="shared" si="513"/>
        <v>5.6477399999999998</v>
      </c>
      <c r="N474" s="131">
        <f t="shared" si="513"/>
        <v>9.8073700000000006</v>
      </c>
      <c r="O474" s="131">
        <f t="shared" si="513"/>
        <v>5.207808</v>
      </c>
      <c r="P474" s="131">
        <f t="shared" si="513"/>
        <v>5.9049259999999997</v>
      </c>
      <c r="Q474" s="131">
        <f t="shared" si="513"/>
        <v>5.5172509999999999</v>
      </c>
      <c r="R474" s="131">
        <f t="shared" si="513"/>
        <v>6.2728780000000004</v>
      </c>
      <c r="S474" s="131">
        <f t="shared" si="513"/>
        <v>8.1052499999999998</v>
      </c>
      <c r="T474" s="129">
        <f>T475/T473*1000</f>
        <v>6.6902999999999997</v>
      </c>
      <c r="U474" s="129">
        <f>U475/U473*1000</f>
        <v>6.0691300000000004</v>
      </c>
      <c r="V474" s="49">
        <f>V475/V473*1000</f>
        <v>7.173</v>
      </c>
      <c r="W474" s="14">
        <f>W475/W473*1000</f>
        <v>21.920999999999999</v>
      </c>
      <c r="X474" s="59"/>
    </row>
    <row r="475" spans="1:24" s="130" customFormat="1" ht="18" customHeight="1">
      <c r="A475" s="592"/>
      <c r="B475" s="576"/>
      <c r="C475" s="577"/>
      <c r="D475" s="191" t="str">
        <f>серпень!D398</f>
        <v>сума, тис.грн.</v>
      </c>
      <c r="E475" s="52"/>
      <c r="F475" s="52">
        <f t="shared" ref="F475:K478" si="514">F490+F505</f>
        <v>153.27699999999999</v>
      </c>
      <c r="G475" s="52">
        <f t="shared" si="514"/>
        <v>126.703</v>
      </c>
      <c r="H475" s="52">
        <f t="shared" si="514"/>
        <v>105.02</v>
      </c>
      <c r="I475" s="52">
        <f t="shared" si="514"/>
        <v>105.413</v>
      </c>
      <c r="J475" s="52">
        <f t="shared" si="514"/>
        <v>66.268000000000001</v>
      </c>
      <c r="K475" s="52">
        <f t="shared" si="514"/>
        <v>4.9729999999999999</v>
      </c>
      <c r="L475" s="69">
        <f>SUM(F475:K475)</f>
        <v>561.654</v>
      </c>
      <c r="M475" s="69">
        <f>L475/6</f>
        <v>93.608999999999995</v>
      </c>
      <c r="N475" s="52">
        <f t="shared" ref="N475:S478" si="515">N490+N505</f>
        <v>1.171</v>
      </c>
      <c r="O475" s="52">
        <f t="shared" si="515"/>
        <v>25.611999999999998</v>
      </c>
      <c r="P475" s="52">
        <f t="shared" si="515"/>
        <v>37.637999999999998</v>
      </c>
      <c r="Q475" s="52">
        <f t="shared" si="515"/>
        <v>94.185000000000002</v>
      </c>
      <c r="R475" s="52">
        <f t="shared" si="515"/>
        <v>79.445999999999998</v>
      </c>
      <c r="S475" s="52">
        <f t="shared" si="515"/>
        <v>213.30099999999999</v>
      </c>
      <c r="T475" s="69">
        <f>SUM(N475:S475)</f>
        <v>451.35300000000001</v>
      </c>
      <c r="U475" s="69">
        <f>T475+L475</f>
        <v>1013.0069999999999</v>
      </c>
      <c r="V475" s="52">
        <f>V490+V505</f>
        <v>1286.8030000000001</v>
      </c>
      <c r="W475" s="52">
        <f>V475-U475</f>
        <v>273.79599999999999</v>
      </c>
    </row>
    <row r="476" spans="1:24" s="130" customFormat="1" ht="18" customHeight="1">
      <c r="A476" s="592"/>
      <c r="B476" s="576"/>
      <c r="C476" s="577"/>
      <c r="D476" s="174" t="str">
        <f>серпень!D399</f>
        <v>дотація</v>
      </c>
      <c r="E476" s="52"/>
      <c r="F476" s="52">
        <f>F491+F506</f>
        <v>0</v>
      </c>
      <c r="G476" s="52">
        <f t="shared" si="514"/>
        <v>0</v>
      </c>
      <c r="H476" s="52">
        <f t="shared" si="514"/>
        <v>65.298000000000002</v>
      </c>
      <c r="I476" s="52">
        <f t="shared" si="514"/>
        <v>46.006</v>
      </c>
      <c r="J476" s="52">
        <f>J491+J506</f>
        <v>48.345999999999997</v>
      </c>
      <c r="K476" s="52">
        <f t="shared" si="514"/>
        <v>0</v>
      </c>
      <c r="L476" s="69">
        <f>SUM(F476:K476)</f>
        <v>159.65</v>
      </c>
      <c r="M476" s="69">
        <f>L476/6</f>
        <v>26.608000000000001</v>
      </c>
      <c r="N476" s="52">
        <f t="shared" si="515"/>
        <v>0</v>
      </c>
      <c r="O476" s="52">
        <f t="shared" si="515"/>
        <v>0</v>
      </c>
      <c r="P476" s="52">
        <f t="shared" si="515"/>
        <v>0</v>
      </c>
      <c r="Q476" s="52">
        <f t="shared" si="515"/>
        <v>0</v>
      </c>
      <c r="R476" s="52">
        <f t="shared" si="515"/>
        <v>0</v>
      </c>
      <c r="S476" s="52">
        <f t="shared" si="515"/>
        <v>0</v>
      </c>
      <c r="T476" s="69">
        <f>SUM(N476:S476)</f>
        <v>0</v>
      </c>
      <c r="U476" s="69">
        <f>T476+L476</f>
        <v>159.65</v>
      </c>
      <c r="V476" s="52">
        <f>V491+V506</f>
        <v>159.65</v>
      </c>
      <c r="W476" s="52">
        <f>V476-U476</f>
        <v>0</v>
      </c>
    </row>
    <row r="477" spans="1:24" s="130" customFormat="1" ht="18" customHeight="1">
      <c r="A477" s="592"/>
      <c r="B477" s="576"/>
      <c r="C477" s="577"/>
      <c r="D477" s="174" t="str">
        <f>серпень!D400</f>
        <v>місцевий (план), тис.грн</v>
      </c>
      <c r="E477" s="52"/>
      <c r="F477" s="52">
        <f t="shared" si="514"/>
        <v>0</v>
      </c>
      <c r="G477" s="52">
        <f>G492+G507</f>
        <v>154.02500000000001</v>
      </c>
      <c r="H477" s="52">
        <f t="shared" si="514"/>
        <v>87.927000000000007</v>
      </c>
      <c r="I477" s="52">
        <f t="shared" si="514"/>
        <v>78.242000000000004</v>
      </c>
      <c r="J477" s="52">
        <f>J492+J507</f>
        <v>63.841000000000001</v>
      </c>
      <c r="K477" s="52">
        <f t="shared" si="514"/>
        <v>13.364000000000001</v>
      </c>
      <c r="L477" s="69">
        <f>SUM(F477:K477)</f>
        <v>397.399</v>
      </c>
      <c r="M477" s="69">
        <f>L477/6</f>
        <v>66.233000000000004</v>
      </c>
      <c r="N477" s="52">
        <f t="shared" si="515"/>
        <v>4.819</v>
      </c>
      <c r="O477" s="52">
        <f t="shared" si="515"/>
        <v>1.1779999999999999</v>
      </c>
      <c r="P477" s="52">
        <f t="shared" si="515"/>
        <v>30.401</v>
      </c>
      <c r="Q477" s="52">
        <f t="shared" si="515"/>
        <v>136.196</v>
      </c>
      <c r="R477" s="52">
        <f t="shared" si="515"/>
        <v>214.98500000000001</v>
      </c>
      <c r="S477" s="52">
        <f t="shared" si="515"/>
        <v>342.17500000000001</v>
      </c>
      <c r="T477" s="69">
        <f>SUM(N477:S477)</f>
        <v>729.75400000000002</v>
      </c>
      <c r="U477" s="69">
        <f>T477+L477</f>
        <v>1127.153</v>
      </c>
      <c r="V477" s="52">
        <f>V492+V507</f>
        <v>1127.153</v>
      </c>
      <c r="W477" s="52">
        <f>V477-U477</f>
        <v>0</v>
      </c>
    </row>
    <row r="478" spans="1:24" s="48" customFormat="1" ht="18" customHeight="1">
      <c r="A478" s="592"/>
      <c r="B478" s="576"/>
      <c r="C478" s="577"/>
      <c r="D478" s="178" t="str">
        <f>серпень!D401</f>
        <v>касові нат.п-ки 2025</v>
      </c>
      <c r="E478" s="11">
        <f>E493</f>
        <v>0</v>
      </c>
      <c r="F478" s="11">
        <f t="shared" si="514"/>
        <v>0</v>
      </c>
      <c r="G478" s="11">
        <f t="shared" si="514"/>
        <v>27869</v>
      </c>
      <c r="H478" s="11">
        <f t="shared" si="514"/>
        <v>21727</v>
      </c>
      <c r="I478" s="11">
        <f t="shared" si="514"/>
        <v>17172</v>
      </c>
      <c r="J478" s="11">
        <f>J493+J508</f>
        <v>20252.2</v>
      </c>
      <c r="K478" s="11">
        <f t="shared" si="514"/>
        <v>11924</v>
      </c>
      <c r="L478" s="65">
        <f>SUM(F478:K478)</f>
        <v>98944.2</v>
      </c>
      <c r="M478" s="65">
        <f>L478/6</f>
        <v>16490.7</v>
      </c>
      <c r="N478" s="11">
        <f t="shared" si="515"/>
        <v>547.9</v>
      </c>
      <c r="O478" s="11">
        <f t="shared" si="515"/>
        <v>119.4</v>
      </c>
      <c r="P478" s="11">
        <f t="shared" si="515"/>
        <v>4918</v>
      </c>
      <c r="Q478" s="11">
        <f t="shared" si="515"/>
        <v>6374</v>
      </c>
      <c r="R478" s="11">
        <f t="shared" si="515"/>
        <v>17071</v>
      </c>
      <c r="S478" s="11">
        <f t="shared" si="515"/>
        <v>38936.800000000003</v>
      </c>
      <c r="T478" s="65">
        <f>SUM(N478:S478)</f>
        <v>67967.100000000006</v>
      </c>
      <c r="U478" s="65">
        <f>T478+L478</f>
        <v>166911.29999999999</v>
      </c>
      <c r="V478" s="11">
        <f>V493+V508</f>
        <v>179401.4</v>
      </c>
      <c r="W478" s="38">
        <f>V478-U478</f>
        <v>12490.1</v>
      </c>
      <c r="X478" s="47">
        <f>U473-U478</f>
        <v>0</v>
      </c>
    </row>
    <row r="479" spans="1:24" s="51" customFormat="1" ht="18" customHeight="1">
      <c r="A479" s="592"/>
      <c r="B479" s="576"/>
      <c r="C479" s="577"/>
      <c r="D479" s="187" t="str">
        <f>серпень!D402</f>
        <v>тариф, грн.</v>
      </c>
      <c r="E479" s="49" t="e">
        <f t="shared" ref="E479:S479" si="516">E480/E478*1000</f>
        <v>#DIV/0!</v>
      </c>
      <c r="F479" s="49" t="e">
        <f t="shared" si="516"/>
        <v>#DIV/0!</v>
      </c>
      <c r="G479" s="131">
        <f t="shared" si="516"/>
        <v>5.4999099999999999</v>
      </c>
      <c r="H479" s="131">
        <f t="shared" si="516"/>
        <v>5.8315919999999997</v>
      </c>
      <c r="I479" s="131">
        <f t="shared" si="516"/>
        <v>6.1157700000000004</v>
      </c>
      <c r="J479" s="131">
        <f t="shared" si="516"/>
        <v>5.2050150000000004</v>
      </c>
      <c r="K479" s="131">
        <f t="shared" si="516"/>
        <v>5.557531</v>
      </c>
      <c r="L479" s="129">
        <f t="shared" si="516"/>
        <v>5.6262100000000004</v>
      </c>
      <c r="M479" s="129">
        <f t="shared" si="516"/>
        <v>5.6261999999999999</v>
      </c>
      <c r="N479" s="131">
        <f t="shared" si="516"/>
        <v>9.0764739999999993</v>
      </c>
      <c r="O479" s="131">
        <f t="shared" si="516"/>
        <v>9.8073700000000006</v>
      </c>
      <c r="P479" s="131">
        <f t="shared" si="516"/>
        <v>5.207808</v>
      </c>
      <c r="Q479" s="131">
        <f t="shared" si="516"/>
        <v>5.9049259999999997</v>
      </c>
      <c r="R479" s="131">
        <f t="shared" si="516"/>
        <v>5.5172509999999999</v>
      </c>
      <c r="S479" s="131">
        <f t="shared" si="516"/>
        <v>7.5185170000000001</v>
      </c>
      <c r="T479" s="129">
        <f>T480/T478*1000</f>
        <v>6.7139199999999999</v>
      </c>
      <c r="U479" s="129">
        <f>U480/U478*1000</f>
        <v>6.0691300000000004</v>
      </c>
      <c r="V479" s="49">
        <f>V480/V478*1000</f>
        <v>7.173</v>
      </c>
      <c r="W479" s="14">
        <f>W480/W478*1000</f>
        <v>21.920999999999999</v>
      </c>
      <c r="X479" s="59"/>
    </row>
    <row r="480" spans="1:24" s="126" customFormat="1" ht="18" customHeight="1">
      <c r="A480" s="592"/>
      <c r="B480" s="576"/>
      <c r="C480" s="577"/>
      <c r="D480" s="198" t="str">
        <f>серпень!D403</f>
        <v>касові видатки, тис.грн.</v>
      </c>
      <c r="E480" s="71">
        <f t="shared" ref="E480:K482" si="517">E495+E510</f>
        <v>0</v>
      </c>
      <c r="F480" s="61">
        <f t="shared" si="517"/>
        <v>0</v>
      </c>
      <c r="G480" s="61">
        <f t="shared" si="517"/>
        <v>153.27699999999999</v>
      </c>
      <c r="H480" s="61">
        <f t="shared" si="517"/>
        <v>126.703</v>
      </c>
      <c r="I480" s="61">
        <f t="shared" si="517"/>
        <v>105.02</v>
      </c>
      <c r="J480" s="61">
        <f t="shared" si="517"/>
        <v>105.413</v>
      </c>
      <c r="K480" s="61">
        <f t="shared" si="517"/>
        <v>66.268000000000001</v>
      </c>
      <c r="L480" s="61">
        <f>SUM(F480:K480)</f>
        <v>556.68100000000004</v>
      </c>
      <c r="M480" s="61">
        <f>L480/6</f>
        <v>92.78</v>
      </c>
      <c r="N480" s="61">
        <f t="shared" ref="N480:S482" si="518">N495+N510</f>
        <v>4.9729999999999999</v>
      </c>
      <c r="O480" s="61">
        <f t="shared" si="518"/>
        <v>1.171</v>
      </c>
      <c r="P480" s="61">
        <f t="shared" si="518"/>
        <v>25.611999999999998</v>
      </c>
      <c r="Q480" s="61">
        <f t="shared" si="518"/>
        <v>37.637999999999998</v>
      </c>
      <c r="R480" s="61">
        <f t="shared" si="518"/>
        <v>94.185000000000002</v>
      </c>
      <c r="S480" s="61">
        <f t="shared" si="518"/>
        <v>292.74700000000001</v>
      </c>
      <c r="T480" s="61">
        <f>SUM(N480:S480)</f>
        <v>456.32600000000002</v>
      </c>
      <c r="U480" s="61">
        <f>T480+L480</f>
        <v>1013.0069999999999</v>
      </c>
      <c r="V480" s="61">
        <f>V495+V510</f>
        <v>1286.8030000000001</v>
      </c>
      <c r="W480" s="72">
        <f>V480-U480</f>
        <v>273.79599999999999</v>
      </c>
      <c r="X480" s="63">
        <f>U475-U480</f>
        <v>0</v>
      </c>
    </row>
    <row r="481" spans="1:24" s="126" customFormat="1" ht="18" customHeight="1">
      <c r="A481" s="592"/>
      <c r="B481" s="576"/>
      <c r="C481" s="577"/>
      <c r="D481" s="201" t="str">
        <f>серпень!D404</f>
        <v>дотація</v>
      </c>
      <c r="E481" s="71"/>
      <c r="F481" s="61">
        <f t="shared" si="517"/>
        <v>0</v>
      </c>
      <c r="G481" s="61">
        <f t="shared" si="517"/>
        <v>0</v>
      </c>
      <c r="H481" s="61">
        <f t="shared" si="517"/>
        <v>45.415999999999997</v>
      </c>
      <c r="I481" s="61">
        <f t="shared" si="517"/>
        <v>19.882000000000001</v>
      </c>
      <c r="J481" s="61">
        <f>J496+J511</f>
        <v>46.006</v>
      </c>
      <c r="K481" s="61">
        <f t="shared" si="517"/>
        <v>48.345999999999997</v>
      </c>
      <c r="L481" s="61">
        <f>SUM(F481:K481)</f>
        <v>159.65</v>
      </c>
      <c r="M481" s="61">
        <f>L481/6</f>
        <v>26.608000000000001</v>
      </c>
      <c r="N481" s="61">
        <f t="shared" si="518"/>
        <v>0</v>
      </c>
      <c r="O481" s="61">
        <f t="shared" si="518"/>
        <v>0</v>
      </c>
      <c r="P481" s="61">
        <f t="shared" si="518"/>
        <v>0</v>
      </c>
      <c r="Q481" s="61">
        <f t="shared" si="518"/>
        <v>0</v>
      </c>
      <c r="R481" s="61">
        <f t="shared" si="518"/>
        <v>0</v>
      </c>
      <c r="S481" s="61">
        <f t="shared" si="518"/>
        <v>0</v>
      </c>
      <c r="T481" s="61">
        <f>SUM(N481:S481)</f>
        <v>0</v>
      </c>
      <c r="U481" s="61">
        <f>T481+L481</f>
        <v>159.65</v>
      </c>
      <c r="V481" s="61">
        <f>V496+V511</f>
        <v>159.65</v>
      </c>
      <c r="W481" s="72">
        <f>V481-U481</f>
        <v>0</v>
      </c>
      <c r="X481" s="63">
        <f>U476-U481</f>
        <v>0</v>
      </c>
    </row>
    <row r="482" spans="1:24" s="126" customFormat="1" ht="18" customHeight="1">
      <c r="A482" s="592"/>
      <c r="B482" s="576"/>
      <c r="C482" s="577"/>
      <c r="D482" s="201" t="str">
        <f>серпень!D405</f>
        <v xml:space="preserve">місцевий </v>
      </c>
      <c r="E482" s="71"/>
      <c r="F482" s="61">
        <f t="shared" si="517"/>
        <v>0</v>
      </c>
      <c r="G482" s="61">
        <f t="shared" si="517"/>
        <v>153.27699999999999</v>
      </c>
      <c r="H482" s="61">
        <f t="shared" si="517"/>
        <v>81.287000000000006</v>
      </c>
      <c r="I482" s="61">
        <f t="shared" si="517"/>
        <v>85.138000000000005</v>
      </c>
      <c r="J482" s="61">
        <f>J497+J512</f>
        <v>59.406999999999996</v>
      </c>
      <c r="K482" s="61">
        <f t="shared" si="517"/>
        <v>17.922000000000001</v>
      </c>
      <c r="L482" s="61">
        <f>SUM(F482:K482)</f>
        <v>397.03100000000001</v>
      </c>
      <c r="M482" s="61">
        <f>L482/6</f>
        <v>66.171999999999997</v>
      </c>
      <c r="N482" s="61">
        <f t="shared" si="518"/>
        <v>4.9729999999999999</v>
      </c>
      <c r="O482" s="61">
        <f t="shared" si="518"/>
        <v>1.171</v>
      </c>
      <c r="P482" s="61">
        <f t="shared" si="518"/>
        <v>25.611999999999998</v>
      </c>
      <c r="Q482" s="61">
        <f t="shared" si="518"/>
        <v>37.637999999999998</v>
      </c>
      <c r="R482" s="61">
        <f t="shared" si="518"/>
        <v>94.185000000000002</v>
      </c>
      <c r="S482" s="61">
        <f t="shared" si="518"/>
        <v>292.74700000000001</v>
      </c>
      <c r="T482" s="61">
        <f>SUM(N482:S482)</f>
        <v>456.32600000000002</v>
      </c>
      <c r="U482" s="61">
        <f>T482+L482</f>
        <v>853.35699999999997</v>
      </c>
      <c r="V482" s="61">
        <f>V497+V512</f>
        <v>1127.153</v>
      </c>
      <c r="W482" s="72">
        <f>V482-U482</f>
        <v>273.79599999999999</v>
      </c>
      <c r="X482" s="63">
        <f>U477-U482</f>
        <v>273.79599999999999</v>
      </c>
    </row>
    <row r="483" spans="1:24" s="43" customFormat="1" ht="18" customHeight="1">
      <c r="A483" s="592"/>
      <c r="B483" s="576"/>
      <c r="C483" s="577"/>
      <c r="D483" s="202" t="str">
        <f>серпень!D406</f>
        <v>план</v>
      </c>
      <c r="E483" s="42"/>
      <c r="F483" s="42">
        <f>F477+F476</f>
        <v>0</v>
      </c>
      <c r="G483" s="42">
        <f>G477+G476</f>
        <v>154.02500000000001</v>
      </c>
      <c r="H483" s="42">
        <f t="shared" ref="H483:K483" si="519">H477+H476</f>
        <v>153.22499999999999</v>
      </c>
      <c r="I483" s="42">
        <f t="shared" si="519"/>
        <v>124.248</v>
      </c>
      <c r="J483" s="42">
        <f t="shared" si="519"/>
        <v>112.187</v>
      </c>
      <c r="K483" s="42">
        <f t="shared" si="519"/>
        <v>13.364000000000001</v>
      </c>
      <c r="L483" s="42">
        <f>SUM(F483:K483)</f>
        <v>557.04899999999998</v>
      </c>
      <c r="M483" s="42">
        <f>L483/6</f>
        <v>92.841999999999999</v>
      </c>
      <c r="N483" s="42">
        <f>N477+N476</f>
        <v>4.819</v>
      </c>
      <c r="O483" s="42">
        <f t="shared" ref="O483:S483" si="520">O477+O476</f>
        <v>1.1779999999999999</v>
      </c>
      <c r="P483" s="42">
        <f t="shared" si="520"/>
        <v>30.401</v>
      </c>
      <c r="Q483" s="42">
        <f t="shared" si="520"/>
        <v>136.196</v>
      </c>
      <c r="R483" s="42">
        <f t="shared" si="520"/>
        <v>214.98500000000001</v>
      </c>
      <c r="S483" s="42">
        <f t="shared" si="520"/>
        <v>342.17500000000001</v>
      </c>
      <c r="T483" s="42">
        <f>SUM(N483:S483)</f>
        <v>729.75400000000002</v>
      </c>
      <c r="U483" s="42">
        <f>T483+L483</f>
        <v>1286.8030000000001</v>
      </c>
      <c r="V483" s="42">
        <f>V477+V476</f>
        <v>1286.8030000000001</v>
      </c>
      <c r="W483" s="42">
        <f>V483-U483</f>
        <v>0</v>
      </c>
    </row>
    <row r="484" spans="1:24" s="43" customFormat="1" ht="18" customHeight="1">
      <c r="A484" s="592"/>
      <c r="B484" s="576"/>
      <c r="C484" s="577"/>
      <c r="D484" s="202" t="str">
        <f>серпень!D407</f>
        <v xml:space="preserve">відхилення </v>
      </c>
      <c r="E484" s="42"/>
      <c r="F484" s="42">
        <f t="shared" ref="F484:K484" si="521">F480-F483</f>
        <v>0</v>
      </c>
      <c r="G484" s="42">
        <f t="shared" si="521"/>
        <v>-0.748</v>
      </c>
      <c r="H484" s="42">
        <f t="shared" si="521"/>
        <v>-26.521999999999998</v>
      </c>
      <c r="I484" s="42">
        <f t="shared" si="521"/>
        <v>-19.228000000000002</v>
      </c>
      <c r="J484" s="42">
        <f t="shared" si="521"/>
        <v>-6.774</v>
      </c>
      <c r="K484" s="42">
        <f t="shared" si="521"/>
        <v>52.904000000000003</v>
      </c>
      <c r="L484" s="42"/>
      <c r="M484" s="42"/>
      <c r="N484" s="42">
        <f t="shared" ref="N484:S484" si="522">N480-N483</f>
        <v>0.154</v>
      </c>
      <c r="O484" s="42">
        <f t="shared" si="522"/>
        <v>-7.0000000000000001E-3</v>
      </c>
      <c r="P484" s="42">
        <f t="shared" si="522"/>
        <v>-4.7889999999999997</v>
      </c>
      <c r="Q484" s="42">
        <f t="shared" si="522"/>
        <v>-98.558000000000007</v>
      </c>
      <c r="R484" s="42">
        <f t="shared" si="522"/>
        <v>-120.8</v>
      </c>
      <c r="S484" s="42">
        <f t="shared" si="522"/>
        <v>-49.427999999999997</v>
      </c>
      <c r="T484" s="42"/>
      <c r="U484" s="42"/>
      <c r="V484" s="42"/>
      <c r="W484" s="42"/>
    </row>
    <row r="485" spans="1:24" s="43" customFormat="1" ht="18" customHeight="1">
      <c r="A485" s="592"/>
      <c r="B485" s="576"/>
      <c r="C485" s="577"/>
      <c r="D485" s="202" t="str">
        <f>серпень!D408</f>
        <v>відхилення з наростаючим</v>
      </c>
      <c r="E485" s="42"/>
      <c r="F485" s="42">
        <f>F484</f>
        <v>0</v>
      </c>
      <c r="G485" s="42">
        <f>G484+F485</f>
        <v>-0.748</v>
      </c>
      <c r="H485" s="42">
        <f>H484+G485</f>
        <v>-27.27</v>
      </c>
      <c r="I485" s="42">
        <f>I484+H485</f>
        <v>-46.497999999999998</v>
      </c>
      <c r="J485" s="42">
        <f>J484+I485</f>
        <v>-53.271999999999998</v>
      </c>
      <c r="K485" s="42">
        <f>K484+J485</f>
        <v>-0.36799999999999999</v>
      </c>
      <c r="L485" s="42"/>
      <c r="M485" s="42"/>
      <c r="N485" s="42">
        <f>N484+K485</f>
        <v>-0.214</v>
      </c>
      <c r="O485" s="42">
        <f>O484+N485</f>
        <v>-0.221</v>
      </c>
      <c r="P485" s="42">
        <f>P484+O485</f>
        <v>-5.01</v>
      </c>
      <c r="Q485" s="42">
        <f>Q484+P485</f>
        <v>-103.568</v>
      </c>
      <c r="R485" s="42">
        <f>R484+Q485</f>
        <v>-224.36799999999999</v>
      </c>
      <c r="S485" s="42">
        <f>S484+R485</f>
        <v>-273.79599999999999</v>
      </c>
      <c r="T485" s="42"/>
      <c r="U485" s="42"/>
      <c r="V485" s="42"/>
      <c r="W485" s="42"/>
    </row>
    <row r="486" spans="1:24" s="55" customFormat="1" ht="18" customHeight="1">
      <c r="A486" s="592"/>
      <c r="B486" s="581" t="s">
        <v>32</v>
      </c>
      <c r="C486" s="581"/>
      <c r="D486" s="178" t="str">
        <f>серпень!D409</f>
        <v>факт. нат.п-ки 2023</v>
      </c>
      <c r="E486" s="11"/>
      <c r="F486" s="12">
        <v>4780</v>
      </c>
      <c r="G486" s="12">
        <v>4323</v>
      </c>
      <c r="H486" s="12">
        <v>4045</v>
      </c>
      <c r="I486" s="12">
        <v>5141</v>
      </c>
      <c r="J486" s="12">
        <v>3965</v>
      </c>
      <c r="K486" s="12">
        <v>3095</v>
      </c>
      <c r="L486" s="65">
        <f>SUM(F486:K486)</f>
        <v>25349</v>
      </c>
      <c r="M486" s="65">
        <f>L486/6</f>
        <v>4224.8</v>
      </c>
      <c r="N486" s="151">
        <v>1469</v>
      </c>
      <c r="O486" s="151">
        <v>2460</v>
      </c>
      <c r="P486" s="151">
        <v>1525</v>
      </c>
      <c r="Q486" s="151">
        <v>5159</v>
      </c>
      <c r="R486" s="151">
        <v>5200</v>
      </c>
      <c r="S486" s="151">
        <v>26552</v>
      </c>
      <c r="T486" s="65">
        <f>SUM(N486:S486)</f>
        <v>42365</v>
      </c>
      <c r="U486" s="65">
        <f>T486+L486</f>
        <v>67714</v>
      </c>
      <c r="V486" s="75"/>
      <c r="W486" s="38"/>
      <c r="X486" s="47"/>
    </row>
    <row r="487" spans="1:24" s="48" customFormat="1" ht="18" customHeight="1">
      <c r="A487" s="592"/>
      <c r="B487" s="581"/>
      <c r="C487" s="581"/>
      <c r="D487" s="178" t="str">
        <f>серпень!D410</f>
        <v>факт. нат.п-ки 2024</v>
      </c>
      <c r="E487" s="11"/>
      <c r="F487" s="12">
        <v>6895</v>
      </c>
      <c r="G487" s="12">
        <v>6275</v>
      </c>
      <c r="H487" s="12">
        <v>5837</v>
      </c>
      <c r="I487" s="12">
        <v>4191</v>
      </c>
      <c r="J487" s="12">
        <v>4416</v>
      </c>
      <c r="K487" s="12">
        <v>0</v>
      </c>
      <c r="L487" s="65">
        <f>SUM(F487:K487)</f>
        <v>27614</v>
      </c>
      <c r="M487" s="65">
        <f>L487/6</f>
        <v>4602.3</v>
      </c>
      <c r="N487" s="83">
        <v>3788</v>
      </c>
      <c r="O487" s="83">
        <v>918</v>
      </c>
      <c r="P487" s="83">
        <v>2124</v>
      </c>
      <c r="Q487" s="83">
        <v>4297</v>
      </c>
      <c r="R487" s="83">
        <v>5200</v>
      </c>
      <c r="S487" s="83">
        <v>24821</v>
      </c>
      <c r="T487" s="65">
        <f>SUM(N487:S487)</f>
        <v>41148</v>
      </c>
      <c r="U487" s="65">
        <f>T487+L487</f>
        <v>68762</v>
      </c>
      <c r="V487" s="11">
        <v>65983</v>
      </c>
      <c r="W487" s="38"/>
      <c r="X487" s="47"/>
    </row>
    <row r="488" spans="1:24" s="48" customFormat="1" ht="18" customHeight="1">
      <c r="A488" s="592"/>
      <c r="B488" s="581"/>
      <c r="C488" s="581"/>
      <c r="D488" s="178" t="str">
        <f>серпень!D411</f>
        <v>факт. нат.п-ки 2025</v>
      </c>
      <c r="E488" s="11"/>
      <c r="F488" s="12">
        <v>5411</v>
      </c>
      <c r="G488" s="12">
        <v>5099</v>
      </c>
      <c r="H488" s="12">
        <v>5388.4</v>
      </c>
      <c r="I488" s="12">
        <v>3794.2</v>
      </c>
      <c r="J488" s="12">
        <v>3102</v>
      </c>
      <c r="K488" s="12">
        <v>547.9</v>
      </c>
      <c r="L488" s="65">
        <f>SUM(F488:K488)</f>
        <v>23342.5</v>
      </c>
      <c r="M488" s="65">
        <f>L488/6</f>
        <v>3890.4</v>
      </c>
      <c r="N488" s="83">
        <v>119.4</v>
      </c>
      <c r="O488" s="83">
        <v>918</v>
      </c>
      <c r="P488" s="83">
        <v>2124</v>
      </c>
      <c r="Q488" s="83">
        <v>4297</v>
      </c>
      <c r="R488" s="83">
        <v>5200</v>
      </c>
      <c r="S488" s="83">
        <f>24821-781.5-3095</f>
        <v>20944.5</v>
      </c>
      <c r="T488" s="65">
        <f>SUM(N488:S488)</f>
        <v>33602.9</v>
      </c>
      <c r="U488" s="65">
        <f>T488+L488</f>
        <v>56945.4</v>
      </c>
      <c r="V488" s="75">
        <v>67980.5</v>
      </c>
      <c r="W488" s="38">
        <f>V488-U488</f>
        <v>11035.1</v>
      </c>
      <c r="X488" s="47"/>
    </row>
    <row r="489" spans="1:24" s="51" customFormat="1" ht="18" customHeight="1">
      <c r="A489" s="592"/>
      <c r="B489" s="581"/>
      <c r="C489" s="581"/>
      <c r="D489" s="187" t="str">
        <f>серпень!D412</f>
        <v>тариф, грн.</v>
      </c>
      <c r="E489" s="129" t="e">
        <f>E490/E488*1000</f>
        <v>#DIV/0!</v>
      </c>
      <c r="F489" s="129">
        <f t="shared" ref="F489:K489" si="523">F490/F488*1000</f>
        <v>10.39697</v>
      </c>
      <c r="G489" s="129">
        <f t="shared" si="523"/>
        <v>10.76093</v>
      </c>
      <c r="H489" s="129">
        <f t="shared" si="523"/>
        <v>10.07869</v>
      </c>
      <c r="I489" s="129">
        <f t="shared" si="523"/>
        <v>9.0437999999999992</v>
      </c>
      <c r="J489" s="129">
        <f t="shared" si="523"/>
        <v>9.0763999999999996</v>
      </c>
      <c r="K489" s="129">
        <f t="shared" si="523"/>
        <v>9.0764700000000005</v>
      </c>
      <c r="L489" s="132">
        <f>L490/L488*1000</f>
        <v>9.9765700000000006</v>
      </c>
      <c r="M489" s="132">
        <f>M490/M488*1000</f>
        <v>9.9766100000000009</v>
      </c>
      <c r="N489" s="132">
        <f t="shared" ref="N489:O489" si="524">N490/N488*1000</f>
        <v>9.8073700000000006</v>
      </c>
      <c r="O489" s="132">
        <f t="shared" si="524"/>
        <v>9.0762499999999999</v>
      </c>
      <c r="P489" s="132">
        <v>9.0762499999999999</v>
      </c>
      <c r="Q489" s="132">
        <v>9.0762499999999999</v>
      </c>
      <c r="R489" s="132">
        <v>9.0762499999999999</v>
      </c>
      <c r="S489" s="132">
        <v>9.0762499999999999</v>
      </c>
      <c r="T489" s="132">
        <f>T490/T488*1000</f>
        <v>9.0787999999999993</v>
      </c>
      <c r="U489" s="132">
        <f>U490/U488*1000</f>
        <v>9.4467999999999996</v>
      </c>
      <c r="V489" s="132">
        <f>V490/V488*1000</f>
        <v>9.8003800000000005</v>
      </c>
      <c r="W489" s="40">
        <f>W490/W488*1000</f>
        <v>11.625</v>
      </c>
      <c r="X489" s="59"/>
    </row>
    <row r="490" spans="1:24" s="130" customFormat="1" ht="17.7" customHeight="1">
      <c r="A490" s="592"/>
      <c r="B490" s="581"/>
      <c r="C490" s="581"/>
      <c r="D490" s="191" t="str">
        <f>серпень!D413</f>
        <v>сума, тис.грн.</v>
      </c>
      <c r="E490" s="52"/>
      <c r="F490" s="52">
        <v>56.258000000000003</v>
      </c>
      <c r="G490" s="52">
        <v>54.87</v>
      </c>
      <c r="H490" s="52">
        <v>54.308</v>
      </c>
      <c r="I490" s="52">
        <v>34.314</v>
      </c>
      <c r="J490" s="52">
        <v>28.155000000000001</v>
      </c>
      <c r="K490" s="52">
        <v>4.9729999999999999</v>
      </c>
      <c r="L490" s="69">
        <f>SUM(F490:K490)</f>
        <v>232.87799999999999</v>
      </c>
      <c r="M490" s="69">
        <f>L490/6</f>
        <v>38.813000000000002</v>
      </c>
      <c r="N490" s="52">
        <v>1.171</v>
      </c>
      <c r="O490" s="52">
        <v>8.3320000000000007</v>
      </c>
      <c r="P490" s="52">
        <f t="shared" ref="P490" si="525">P488*P489/1000</f>
        <v>19.277999999999999</v>
      </c>
      <c r="Q490" s="52">
        <f t="shared" ref="Q490" si="526">Q488*Q489/1000</f>
        <v>39.000999999999998</v>
      </c>
      <c r="R490" s="52">
        <f t="shared" ref="R490" si="527">R488*R489/1000</f>
        <v>47.197000000000003</v>
      </c>
      <c r="S490" s="52">
        <f>S488*S489/1000-0.003</f>
        <v>190.095</v>
      </c>
      <c r="T490" s="69">
        <f>SUM(N490:S490)</f>
        <v>305.07400000000001</v>
      </c>
      <c r="U490" s="69">
        <f>T490+L490</f>
        <v>537.952</v>
      </c>
      <c r="V490" s="70">
        <f>V491+V492</f>
        <v>666.23500000000001</v>
      </c>
      <c r="W490" s="53">
        <f>V490-U490</f>
        <v>128.28299999999999</v>
      </c>
      <c r="X490" s="133"/>
    </row>
    <row r="491" spans="1:24" s="130" customFormat="1" ht="18" customHeight="1">
      <c r="A491" s="592"/>
      <c r="B491" s="581"/>
      <c r="C491" s="581"/>
      <c r="D491" s="174" t="str">
        <f>серпень!D414</f>
        <v>дотація</v>
      </c>
      <c r="E491" s="56"/>
      <c r="F491" s="52"/>
      <c r="G491" s="52"/>
      <c r="H491" s="52"/>
      <c r="I491" s="52">
        <v>10.414</v>
      </c>
      <c r="J491" s="52">
        <v>10.006</v>
      </c>
      <c r="K491" s="52"/>
      <c r="L491" s="69">
        <f>SUM(F491:K491)</f>
        <v>20.420000000000002</v>
      </c>
      <c r="M491" s="69">
        <f>L491/6</f>
        <v>3.403</v>
      </c>
      <c r="N491" s="52"/>
      <c r="O491" s="52"/>
      <c r="P491" s="52"/>
      <c r="Q491" s="52"/>
      <c r="R491" s="52"/>
      <c r="S491" s="52"/>
      <c r="T491" s="69">
        <f>SUM(N491:S491)</f>
        <v>0</v>
      </c>
      <c r="U491" s="69">
        <f>T491+L491</f>
        <v>20.420000000000002</v>
      </c>
      <c r="V491" s="70">
        <f>10.414+10.006</f>
        <v>20.420000000000002</v>
      </c>
      <c r="W491" s="53">
        <f>V491-U491</f>
        <v>0</v>
      </c>
    </row>
    <row r="492" spans="1:24" s="130" customFormat="1" ht="18" customHeight="1">
      <c r="A492" s="592"/>
      <c r="B492" s="581"/>
      <c r="C492" s="581"/>
      <c r="D492" s="174" t="str">
        <f>серпень!D415</f>
        <v>місцевий (план), тис.грн</v>
      </c>
      <c r="E492" s="56"/>
      <c r="F492" s="52">
        <f>12.045-12.045</f>
        <v>0</v>
      </c>
      <c r="G492" s="52">
        <v>65.503</v>
      </c>
      <c r="H492" s="52">
        <f>59.613-35</f>
        <v>24.613</v>
      </c>
      <c r="I492" s="52">
        <f>55.452-32</f>
        <v>23.452000000000002</v>
      </c>
      <c r="J492" s="52">
        <f>39.815+15+10.434-37</f>
        <v>28.248999999999999</v>
      </c>
      <c r="K492" s="52">
        <f>41.952+20+10.5+17-89.452</f>
        <v>0</v>
      </c>
      <c r="L492" s="69">
        <f>SUM(F492:K492)</f>
        <v>141.81700000000001</v>
      </c>
      <c r="M492" s="69">
        <f>L492/6</f>
        <v>23.635999999999999</v>
      </c>
      <c r="N492" s="52">
        <f>29.403+10+12.4-46.984</f>
        <v>4.819</v>
      </c>
      <c r="O492" s="52">
        <f>35.986+10+10.517-56.503</f>
        <v>0</v>
      </c>
      <c r="P492" s="52">
        <f>8.721+4.4</f>
        <v>13.121</v>
      </c>
      <c r="Q492" s="52">
        <f>20.178+23.058+8.5+23.7+42.4</f>
        <v>117.836</v>
      </c>
      <c r="R492" s="52">
        <f>40.822+45.494+8.367+14.103</f>
        <v>108.786</v>
      </c>
      <c r="S492" s="52">
        <f>248.37+11.066</f>
        <v>259.43599999999998</v>
      </c>
      <c r="T492" s="69">
        <f>SUM(N492:S492)</f>
        <v>503.99799999999999</v>
      </c>
      <c r="U492" s="69">
        <f>T492+L492</f>
        <v>645.81500000000005</v>
      </c>
      <c r="V492" s="70">
        <v>645.81500000000005</v>
      </c>
      <c r="W492" s="53">
        <f>V492-U492</f>
        <v>0</v>
      </c>
    </row>
    <row r="493" spans="1:24" s="48" customFormat="1" ht="18" customHeight="1">
      <c r="A493" s="592"/>
      <c r="B493" s="581"/>
      <c r="C493" s="581"/>
      <c r="D493" s="178" t="str">
        <f>серпень!D416</f>
        <v>касові нат.п-ки 2025</v>
      </c>
      <c r="E493" s="11"/>
      <c r="F493" s="83">
        <v>0</v>
      </c>
      <c r="G493" s="83">
        <v>5411</v>
      </c>
      <c r="H493" s="83">
        <v>5099</v>
      </c>
      <c r="I493" s="83">
        <v>5433</v>
      </c>
      <c r="J493" s="151">
        <f>3794.2</f>
        <v>3794.2</v>
      </c>
      <c r="K493" s="151">
        <v>3102</v>
      </c>
      <c r="L493" s="65">
        <f>SUM(F493:K493)</f>
        <v>22839.200000000001</v>
      </c>
      <c r="M493" s="65">
        <f>L493/6</f>
        <v>3806.5</v>
      </c>
      <c r="N493" s="83">
        <f>4973/9.07625</f>
        <v>547.9</v>
      </c>
      <c r="O493" s="83">
        <v>119.4</v>
      </c>
      <c r="P493" s="83">
        <v>918</v>
      </c>
      <c r="Q493" s="83">
        <v>2124</v>
      </c>
      <c r="R493" s="83">
        <v>4297</v>
      </c>
      <c r="S493" s="83">
        <f>R488+S488-44.6</f>
        <v>26099.9</v>
      </c>
      <c r="T493" s="65">
        <f>SUM(N493:S493)</f>
        <v>34106.199999999997</v>
      </c>
      <c r="U493" s="65">
        <f>T493+L493</f>
        <v>56945.4</v>
      </c>
      <c r="V493" s="11">
        <f>V488</f>
        <v>67980.5</v>
      </c>
      <c r="W493" s="38">
        <f>V493-U493</f>
        <v>11035.1</v>
      </c>
      <c r="X493" s="47">
        <f>U488-U493</f>
        <v>0</v>
      </c>
    </row>
    <row r="494" spans="1:24" s="51" customFormat="1" ht="18" customHeight="1">
      <c r="A494" s="592"/>
      <c r="B494" s="581"/>
      <c r="C494" s="581"/>
      <c r="D494" s="187" t="str">
        <f>серпень!D417</f>
        <v>тариф, грн.</v>
      </c>
      <c r="E494" s="129" t="e">
        <f>E495/E493*1000</f>
        <v>#DIV/0!</v>
      </c>
      <c r="F494" s="129" t="e">
        <f t="shared" ref="F494:K494" si="528">F495/F493*1000</f>
        <v>#DIV/0!</v>
      </c>
      <c r="G494" s="129">
        <f t="shared" si="528"/>
        <v>10.39697</v>
      </c>
      <c r="H494" s="129">
        <f t="shared" si="528"/>
        <v>10.76093</v>
      </c>
      <c r="I494" s="129">
        <f t="shared" si="528"/>
        <v>9.9959500000000006</v>
      </c>
      <c r="J494" s="129">
        <f t="shared" si="528"/>
        <v>9.0437999999999992</v>
      </c>
      <c r="K494" s="129">
        <f t="shared" si="528"/>
        <v>9.0763999999999996</v>
      </c>
      <c r="L494" s="132">
        <f>L495/L493*1000</f>
        <v>9.9786800000000007</v>
      </c>
      <c r="M494" s="132">
        <f>M495/M493*1000</f>
        <v>9.9787199999999991</v>
      </c>
      <c r="N494" s="132">
        <v>9.0763999999999996</v>
      </c>
      <c r="O494" s="132">
        <v>9.0763999999999996</v>
      </c>
      <c r="P494" s="132">
        <v>9.0763999999999996</v>
      </c>
      <c r="Q494" s="132">
        <v>9.0762499999999999</v>
      </c>
      <c r="R494" s="132">
        <v>9.0762499999999999</v>
      </c>
      <c r="S494" s="132">
        <v>9.0762499999999999</v>
      </c>
      <c r="T494" s="132">
        <f>T495/T493*1000</f>
        <v>9.0906300000000009</v>
      </c>
      <c r="U494" s="132">
        <f>U495/U493*1000</f>
        <v>9.4467999999999996</v>
      </c>
      <c r="V494" s="132">
        <f>V495/V493*1000</f>
        <v>9.8003800000000005</v>
      </c>
      <c r="W494" s="14">
        <f>W495/W493*1000</f>
        <v>11.625</v>
      </c>
      <c r="X494" s="59"/>
    </row>
    <row r="495" spans="1:24" s="126" customFormat="1" ht="18" customHeight="1">
      <c r="A495" s="592"/>
      <c r="B495" s="581"/>
      <c r="C495" s="581"/>
      <c r="D495" s="198" t="str">
        <f>серпень!D418</f>
        <v>касові видатки, тис.грн.</v>
      </c>
      <c r="E495" s="71"/>
      <c r="F495" s="61">
        <v>0</v>
      </c>
      <c r="G495" s="61">
        <v>56.258000000000003</v>
      </c>
      <c r="H495" s="61">
        <v>54.87</v>
      </c>
      <c r="I495" s="61">
        <f>54.757-0.449</f>
        <v>54.308</v>
      </c>
      <c r="J495" s="61">
        <v>34.314</v>
      </c>
      <c r="K495" s="61">
        <v>28.155000000000001</v>
      </c>
      <c r="L495" s="61">
        <f>SUM(F495:K495)</f>
        <v>227.905</v>
      </c>
      <c r="M495" s="61">
        <f>L495/6</f>
        <v>37.984000000000002</v>
      </c>
      <c r="N495" s="61">
        <v>4.9729999999999999</v>
      </c>
      <c r="O495" s="61">
        <v>1.171</v>
      </c>
      <c r="P495" s="61">
        <v>8.3320000000000007</v>
      </c>
      <c r="Q495" s="61">
        <f t="shared" ref="Q495" si="529">Q493*Q494/1000</f>
        <v>19.277999999999999</v>
      </c>
      <c r="R495" s="61">
        <f t="shared" ref="R495" si="530">R493*R494/1000</f>
        <v>39.000999999999998</v>
      </c>
      <c r="S495" s="61">
        <f>S493*S494/1000-0.003+0.424-0.018</f>
        <v>237.292</v>
      </c>
      <c r="T495" s="61">
        <f>SUM(N495:S495)</f>
        <v>310.04700000000003</v>
      </c>
      <c r="U495" s="61">
        <f>T495+L495</f>
        <v>537.952</v>
      </c>
      <c r="V495" s="61">
        <f>V490</f>
        <v>666.23500000000001</v>
      </c>
      <c r="W495" s="72">
        <f>V495-U495</f>
        <v>128.28299999999999</v>
      </c>
      <c r="X495" s="63">
        <f>U490-U495</f>
        <v>0</v>
      </c>
    </row>
    <row r="496" spans="1:24" s="126" customFormat="1" ht="18" customHeight="1">
      <c r="A496" s="592"/>
      <c r="B496" s="581"/>
      <c r="C496" s="581"/>
      <c r="D496" s="201" t="str">
        <f>серпень!D419</f>
        <v>дотація</v>
      </c>
      <c r="E496" s="71"/>
      <c r="F496" s="61"/>
      <c r="G496" s="61"/>
      <c r="H496" s="61"/>
      <c r="I496" s="61"/>
      <c r="J496" s="61">
        <v>10.414</v>
      </c>
      <c r="K496" s="61">
        <v>10.006</v>
      </c>
      <c r="L496" s="61">
        <f>SUM(F496:K496)</f>
        <v>20.420000000000002</v>
      </c>
      <c r="M496" s="61">
        <f>L496/6</f>
        <v>3.403</v>
      </c>
      <c r="N496" s="61"/>
      <c r="O496" s="61"/>
      <c r="P496" s="61"/>
      <c r="Q496" s="61"/>
      <c r="R496" s="61"/>
      <c r="S496" s="61"/>
      <c r="T496" s="61">
        <f>SUM(N496:S496)</f>
        <v>0</v>
      </c>
      <c r="U496" s="61">
        <f>T496+L496</f>
        <v>20.420000000000002</v>
      </c>
      <c r="V496" s="61">
        <f>V491</f>
        <v>20.420000000000002</v>
      </c>
      <c r="W496" s="72">
        <f>V496-U496</f>
        <v>0</v>
      </c>
      <c r="X496" s="63">
        <f>U491-U496</f>
        <v>0</v>
      </c>
    </row>
    <row r="497" spans="1:24" s="126" customFormat="1" ht="18" customHeight="1">
      <c r="A497" s="592"/>
      <c r="B497" s="581"/>
      <c r="C497" s="581"/>
      <c r="D497" s="201" t="str">
        <f>серпень!D420</f>
        <v xml:space="preserve">місцевий </v>
      </c>
      <c r="E497" s="71"/>
      <c r="F497" s="61">
        <f t="shared" ref="F497:K497" si="531">F495-F496</f>
        <v>0</v>
      </c>
      <c r="G497" s="61">
        <f t="shared" si="531"/>
        <v>56.258000000000003</v>
      </c>
      <c r="H497" s="61">
        <f t="shared" si="531"/>
        <v>54.87</v>
      </c>
      <c r="I497" s="61">
        <f t="shared" si="531"/>
        <v>54.308</v>
      </c>
      <c r="J497" s="61">
        <f t="shared" si="531"/>
        <v>23.9</v>
      </c>
      <c r="K497" s="61">
        <f t="shared" si="531"/>
        <v>18.149000000000001</v>
      </c>
      <c r="L497" s="61">
        <f>SUM(F497:K497)</f>
        <v>207.48500000000001</v>
      </c>
      <c r="M497" s="61">
        <f>L497/6</f>
        <v>34.581000000000003</v>
      </c>
      <c r="N497" s="61">
        <f t="shared" ref="N497:S497" si="532">N495-N496</f>
        <v>4.9729999999999999</v>
      </c>
      <c r="O497" s="61">
        <f t="shared" si="532"/>
        <v>1.171</v>
      </c>
      <c r="P497" s="61">
        <f t="shared" si="532"/>
        <v>8.3320000000000007</v>
      </c>
      <c r="Q497" s="61">
        <f t="shared" si="532"/>
        <v>19.277999999999999</v>
      </c>
      <c r="R497" s="61">
        <f t="shared" si="532"/>
        <v>39.000999999999998</v>
      </c>
      <c r="S497" s="61">
        <f t="shared" si="532"/>
        <v>237.292</v>
      </c>
      <c r="T497" s="61">
        <f>SUM(N497:S497)</f>
        <v>310.04700000000003</v>
      </c>
      <c r="U497" s="61">
        <f>T497+L497</f>
        <v>517.53200000000004</v>
      </c>
      <c r="V497" s="61">
        <f>V492</f>
        <v>645.81500000000005</v>
      </c>
      <c r="W497" s="72">
        <f>V497-U497</f>
        <v>128.28299999999999</v>
      </c>
      <c r="X497" s="63">
        <f>U492-U497</f>
        <v>128.28299999999999</v>
      </c>
    </row>
    <row r="498" spans="1:24" s="43" customFormat="1" ht="18" customHeight="1">
      <c r="A498" s="592"/>
      <c r="B498" s="581"/>
      <c r="C498" s="581"/>
      <c r="D498" s="202" t="str">
        <f>серпень!D421</f>
        <v>план</v>
      </c>
      <c r="E498" s="42"/>
      <c r="F498" s="42">
        <f>F492+F491</f>
        <v>0</v>
      </c>
      <c r="G498" s="42">
        <f t="shared" ref="G498:K498" si="533">G492+G491</f>
        <v>65.503</v>
      </c>
      <c r="H498" s="42">
        <f t="shared" si="533"/>
        <v>24.613</v>
      </c>
      <c r="I498" s="42">
        <f t="shared" si="533"/>
        <v>33.866</v>
      </c>
      <c r="J498" s="42">
        <f t="shared" si="533"/>
        <v>38.255000000000003</v>
      </c>
      <c r="K498" s="42">
        <f t="shared" si="533"/>
        <v>0</v>
      </c>
      <c r="L498" s="42">
        <f>SUM(F498:K498)</f>
        <v>162.23699999999999</v>
      </c>
      <c r="M498" s="42">
        <f>L498/6</f>
        <v>27.04</v>
      </c>
      <c r="N498" s="42">
        <f>N492+N491</f>
        <v>4.819</v>
      </c>
      <c r="O498" s="42">
        <f t="shared" ref="O498:S498" si="534">O492+O491</f>
        <v>0</v>
      </c>
      <c r="P498" s="42">
        <f t="shared" si="534"/>
        <v>13.121</v>
      </c>
      <c r="Q498" s="42">
        <f t="shared" si="534"/>
        <v>117.836</v>
      </c>
      <c r="R498" s="42">
        <f t="shared" si="534"/>
        <v>108.786</v>
      </c>
      <c r="S498" s="42">
        <f t="shared" si="534"/>
        <v>259.43599999999998</v>
      </c>
      <c r="T498" s="42">
        <f>SUM(N498:S498)</f>
        <v>503.99799999999999</v>
      </c>
      <c r="U498" s="42">
        <f>T498+L498</f>
        <v>666.23500000000001</v>
      </c>
      <c r="V498" s="42">
        <f>V495</f>
        <v>666.23500000000001</v>
      </c>
      <c r="W498" s="42">
        <f>V498-U498</f>
        <v>0</v>
      </c>
    </row>
    <row r="499" spans="1:24" s="43" customFormat="1" ht="18" customHeight="1">
      <c r="A499" s="592"/>
      <c r="B499" s="581"/>
      <c r="C499" s="581"/>
      <c r="D499" s="202" t="str">
        <f>серпень!D422</f>
        <v xml:space="preserve">відхилення </v>
      </c>
      <c r="E499" s="42"/>
      <c r="F499" s="42">
        <f t="shared" ref="F499:K499" si="535">F495-F498</f>
        <v>0</v>
      </c>
      <c r="G499" s="42">
        <f t="shared" si="535"/>
        <v>-9.2449999999999992</v>
      </c>
      <c r="H499" s="42">
        <f t="shared" si="535"/>
        <v>30.257000000000001</v>
      </c>
      <c r="I499" s="42">
        <f t="shared" si="535"/>
        <v>20.442</v>
      </c>
      <c r="J499" s="42">
        <f t="shared" si="535"/>
        <v>-3.9409999999999998</v>
      </c>
      <c r="K499" s="42">
        <f t="shared" si="535"/>
        <v>28.155000000000001</v>
      </c>
      <c r="L499" s="42"/>
      <c r="M499" s="42"/>
      <c r="N499" s="42">
        <f t="shared" ref="N499:S499" si="536">N495-N498</f>
        <v>0.154</v>
      </c>
      <c r="O499" s="42">
        <f t="shared" si="536"/>
        <v>1.171</v>
      </c>
      <c r="P499" s="42">
        <f t="shared" si="536"/>
        <v>-4.7889999999999997</v>
      </c>
      <c r="Q499" s="42">
        <f t="shared" si="536"/>
        <v>-98.558000000000007</v>
      </c>
      <c r="R499" s="42">
        <f t="shared" si="536"/>
        <v>-69.784999999999997</v>
      </c>
      <c r="S499" s="42">
        <f t="shared" si="536"/>
        <v>-22.143999999999998</v>
      </c>
      <c r="T499" s="42"/>
      <c r="U499" s="42"/>
      <c r="V499" s="42"/>
      <c r="W499" s="42"/>
    </row>
    <row r="500" spans="1:24" s="43" customFormat="1" ht="23.8" customHeight="1">
      <c r="A500" s="592"/>
      <c r="B500" s="581"/>
      <c r="C500" s="581"/>
      <c r="D500" s="202" t="str">
        <f>серпень!D423</f>
        <v>відхилення з наростаючим</v>
      </c>
      <c r="E500" s="42"/>
      <c r="F500" s="42">
        <f>F499</f>
        <v>0</v>
      </c>
      <c r="G500" s="42">
        <f>G499+F500</f>
        <v>-9.2449999999999992</v>
      </c>
      <c r="H500" s="42">
        <f>H499+G500</f>
        <v>21.012</v>
      </c>
      <c r="I500" s="42">
        <f>I499+H500</f>
        <v>41.454000000000001</v>
      </c>
      <c r="J500" s="42">
        <f>J499+I500</f>
        <v>37.512999999999998</v>
      </c>
      <c r="K500" s="42">
        <f>K499+J500</f>
        <v>65.668000000000006</v>
      </c>
      <c r="L500" s="42"/>
      <c r="M500" s="42"/>
      <c r="N500" s="42">
        <f>N499+K500</f>
        <v>65.822000000000003</v>
      </c>
      <c r="O500" s="42">
        <f>O499+N500</f>
        <v>66.992999999999995</v>
      </c>
      <c r="P500" s="42">
        <f>P499+O500</f>
        <v>62.204000000000001</v>
      </c>
      <c r="Q500" s="42">
        <f>Q499+P500</f>
        <v>-36.353999999999999</v>
      </c>
      <c r="R500" s="42">
        <f>R499+Q500</f>
        <v>-106.139</v>
      </c>
      <c r="S500" s="42">
        <f>S499+R500</f>
        <v>-128.28299999999999</v>
      </c>
      <c r="T500" s="42"/>
      <c r="U500" s="42"/>
      <c r="V500" s="42"/>
      <c r="W500" s="42"/>
    </row>
    <row r="501" spans="1:24" s="55" customFormat="1" ht="18" customHeight="1">
      <c r="A501" s="592"/>
      <c r="B501" s="576" t="s">
        <v>33</v>
      </c>
      <c r="C501" s="577"/>
      <c r="D501" s="178" t="str">
        <f>серпень!D424</f>
        <v>факт. нат.п-ки 2023</v>
      </c>
      <c r="E501" s="11"/>
      <c r="F501" s="12">
        <v>6100</v>
      </c>
      <c r="G501" s="12">
        <v>23290</v>
      </c>
      <c r="H501" s="12">
        <v>10750</v>
      </c>
      <c r="I501" s="12">
        <v>13980</v>
      </c>
      <c r="J501" s="12">
        <v>8740</v>
      </c>
      <c r="K501" s="12">
        <v>7280</v>
      </c>
      <c r="L501" s="65">
        <f>SUM(F501:K501)</f>
        <v>70140</v>
      </c>
      <c r="M501" s="65">
        <v>5959.6</v>
      </c>
      <c r="N501" s="12">
        <v>4470</v>
      </c>
      <c r="O501" s="12">
        <v>5430</v>
      </c>
      <c r="P501" s="12">
        <v>4330</v>
      </c>
      <c r="Q501" s="12">
        <v>10465</v>
      </c>
      <c r="R501" s="12">
        <v>10465</v>
      </c>
      <c r="S501" s="12">
        <v>10465</v>
      </c>
      <c r="T501" s="65">
        <f>SUM(N501:S501)</f>
        <v>45625</v>
      </c>
      <c r="U501" s="65">
        <f>T501+L501</f>
        <v>115765</v>
      </c>
      <c r="V501" s="11"/>
      <c r="W501" s="38"/>
      <c r="X501" s="47"/>
    </row>
    <row r="502" spans="1:24" s="48" customFormat="1" ht="18" customHeight="1">
      <c r="A502" s="592"/>
      <c r="B502" s="576"/>
      <c r="C502" s="577"/>
      <c r="D502" s="178" t="str">
        <f>серпень!D425</f>
        <v>факт. нат.п-ки 2024</v>
      </c>
      <c r="E502" s="11"/>
      <c r="F502" s="76">
        <v>20402</v>
      </c>
      <c r="G502" s="76">
        <v>14656</v>
      </c>
      <c r="H502" s="76">
        <v>12772</v>
      </c>
      <c r="I502" s="76">
        <v>8239</v>
      </c>
      <c r="J502" s="76">
        <v>7376</v>
      </c>
      <c r="K502" s="76">
        <v>7755</v>
      </c>
      <c r="L502" s="65">
        <f>SUM(F502:K502)</f>
        <v>71200</v>
      </c>
      <c r="M502" s="65">
        <v>5959.6</v>
      </c>
      <c r="N502" s="11">
        <v>6360</v>
      </c>
      <c r="O502" s="11">
        <v>4000</v>
      </c>
      <c r="P502" s="11">
        <v>4250</v>
      </c>
      <c r="Q502" s="11">
        <v>12774</v>
      </c>
      <c r="R502" s="11">
        <v>7465</v>
      </c>
      <c r="S502" s="11">
        <v>8716.7999999999993</v>
      </c>
      <c r="T502" s="65">
        <f>SUM(N502:S502)</f>
        <v>43565.8</v>
      </c>
      <c r="U502" s="65">
        <f>T502+L502</f>
        <v>114765.8</v>
      </c>
      <c r="V502" s="11">
        <v>102016.8</v>
      </c>
      <c r="W502" s="38"/>
      <c r="X502" s="47"/>
    </row>
    <row r="503" spans="1:24" s="48" customFormat="1" ht="18" customHeight="1">
      <c r="A503" s="592"/>
      <c r="B503" s="576"/>
      <c r="C503" s="577"/>
      <c r="D503" s="178" t="str">
        <f>серпень!D426</f>
        <v>факт. нат.п-ки 2025</v>
      </c>
      <c r="E503" s="11"/>
      <c r="F503" s="76">
        <v>22458</v>
      </c>
      <c r="G503" s="76">
        <v>16628</v>
      </c>
      <c r="H503" s="76">
        <v>11739</v>
      </c>
      <c r="I503" s="76">
        <v>16458</v>
      </c>
      <c r="J503" s="76">
        <v>8822</v>
      </c>
      <c r="K503" s="76">
        <v>0</v>
      </c>
      <c r="L503" s="65">
        <f>SUM(F503:K503)</f>
        <v>76105</v>
      </c>
      <c r="M503" s="65">
        <v>5959.6</v>
      </c>
      <c r="N503" s="11">
        <v>0</v>
      </c>
      <c r="O503" s="11">
        <v>4000</v>
      </c>
      <c r="P503" s="11">
        <v>4250</v>
      </c>
      <c r="Q503" s="11">
        <v>12774</v>
      </c>
      <c r="R503" s="11">
        <v>7465</v>
      </c>
      <c r="S503" s="11">
        <v>5371.9</v>
      </c>
      <c r="T503" s="65">
        <f>SUM(N503:S503)</f>
        <v>33860.9</v>
      </c>
      <c r="U503" s="65">
        <f>T503+L503</f>
        <v>109965.9</v>
      </c>
      <c r="V503" s="11">
        <v>111420.9</v>
      </c>
      <c r="W503" s="38">
        <f>V503-U503</f>
        <v>1455</v>
      </c>
      <c r="X503" s="47"/>
    </row>
    <row r="504" spans="1:24" s="51" customFormat="1" ht="18" customHeight="1">
      <c r="A504" s="592"/>
      <c r="B504" s="576"/>
      <c r="C504" s="577"/>
      <c r="D504" s="187" t="str">
        <f>серпень!D427</f>
        <v>тариф, грн.</v>
      </c>
      <c r="E504" s="131" t="e">
        <f>E505/E503*1000</f>
        <v>#DIV/0!</v>
      </c>
      <c r="F504" s="131">
        <f t="shared" ref="F504:K504" si="537">F505/F503*1000</f>
        <v>4.3200200000000004</v>
      </c>
      <c r="G504" s="131">
        <f t="shared" si="537"/>
        <v>4.3200019999999997</v>
      </c>
      <c r="H504" s="131">
        <f t="shared" si="537"/>
        <v>4.3199589999999999</v>
      </c>
      <c r="I504" s="131">
        <f t="shared" si="537"/>
        <v>4.3200269999999996</v>
      </c>
      <c r="J504" s="131">
        <f t="shared" si="537"/>
        <v>4.3202220000000002</v>
      </c>
      <c r="K504" s="131" t="e">
        <f t="shared" si="537"/>
        <v>#DIV/0!</v>
      </c>
      <c r="L504" s="132">
        <f>L505/L503*1000</f>
        <v>4.32003</v>
      </c>
      <c r="M504" s="132">
        <f>M505/M503*1000</f>
        <v>9.1945800000000002</v>
      </c>
      <c r="N504" s="132" t="e">
        <f t="shared" ref="N504:O504" si="538">N505/N503*1000</f>
        <v>#DIV/0!</v>
      </c>
      <c r="O504" s="132">
        <f t="shared" si="538"/>
        <v>4.32</v>
      </c>
      <c r="P504" s="132">
        <v>4.32</v>
      </c>
      <c r="Q504" s="132">
        <v>4.32</v>
      </c>
      <c r="R504" s="132">
        <v>4.32</v>
      </c>
      <c r="S504" s="132">
        <v>4.32</v>
      </c>
      <c r="T504" s="132">
        <f>T505/T503*1000</f>
        <v>4.32</v>
      </c>
      <c r="U504" s="132">
        <f>U505/U503*1000</f>
        <v>4.3200200000000004</v>
      </c>
      <c r="V504" s="132">
        <f>V505/V503*1000</f>
        <v>5.5695800000000002</v>
      </c>
      <c r="W504" s="40">
        <f>W505/W503*1000</f>
        <v>100.00893000000001</v>
      </c>
      <c r="X504" s="59"/>
    </row>
    <row r="505" spans="1:24" s="130" customFormat="1" ht="18" customHeight="1">
      <c r="A505" s="592"/>
      <c r="B505" s="576"/>
      <c r="C505" s="577"/>
      <c r="D505" s="191" t="str">
        <f>серпень!D428</f>
        <v>сума, тис.грн.</v>
      </c>
      <c r="E505" s="52"/>
      <c r="F505" s="52">
        <v>97.019000000000005</v>
      </c>
      <c r="G505" s="52">
        <v>71.832999999999998</v>
      </c>
      <c r="H505" s="52">
        <v>50.712000000000003</v>
      </c>
      <c r="I505" s="52">
        <v>71.099000000000004</v>
      </c>
      <c r="J505" s="52">
        <v>38.113</v>
      </c>
      <c r="K505" s="52">
        <v>0</v>
      </c>
      <c r="L505" s="69">
        <f>SUM(F505:K505)</f>
        <v>328.77600000000001</v>
      </c>
      <c r="M505" s="69">
        <f>L505/6</f>
        <v>54.795999999999999</v>
      </c>
      <c r="N505" s="52">
        <v>0</v>
      </c>
      <c r="O505" s="52">
        <v>17.28</v>
      </c>
      <c r="P505" s="52">
        <f t="shared" ref="P505" si="539">P503*P504/1000</f>
        <v>18.36</v>
      </c>
      <c r="Q505" s="52">
        <f t="shared" ref="Q505" si="540">Q503*Q504/1000</f>
        <v>55.183999999999997</v>
      </c>
      <c r="R505" s="52">
        <f t="shared" ref="R505" si="541">R503*R504/1000</f>
        <v>32.249000000000002</v>
      </c>
      <c r="S505" s="52">
        <f>S503*S504/1000-0.001</f>
        <v>23.206</v>
      </c>
      <c r="T505" s="69">
        <f>SUM(N505:S505)</f>
        <v>146.279</v>
      </c>
      <c r="U505" s="69">
        <f>T505+L505</f>
        <v>475.05500000000001</v>
      </c>
      <c r="V505" s="70">
        <f>V506+V507</f>
        <v>620.56799999999998</v>
      </c>
      <c r="W505" s="53">
        <f>V505-U505</f>
        <v>145.51300000000001</v>
      </c>
      <c r="X505" s="133"/>
    </row>
    <row r="506" spans="1:24" s="130" customFormat="1" ht="18" customHeight="1">
      <c r="A506" s="592"/>
      <c r="B506" s="576"/>
      <c r="C506" s="577"/>
      <c r="D506" s="174" t="str">
        <f>серпень!D429</f>
        <v>дотація</v>
      </c>
      <c r="E506" s="56"/>
      <c r="F506" s="52"/>
      <c r="G506" s="52"/>
      <c r="H506" s="52">
        <v>65.298000000000002</v>
      </c>
      <c r="I506" s="52">
        <f>46.006-10.414</f>
        <v>35.591999999999999</v>
      </c>
      <c r="J506" s="52">
        <f>48.346-10.006</f>
        <v>38.340000000000003</v>
      </c>
      <c r="K506" s="52"/>
      <c r="L506" s="69">
        <f>SUM(F506:K506)</f>
        <v>139.22999999999999</v>
      </c>
      <c r="M506" s="69">
        <f>L506/6</f>
        <v>23.204999999999998</v>
      </c>
      <c r="N506" s="52"/>
      <c r="O506" s="52"/>
      <c r="P506" s="52"/>
      <c r="Q506" s="52"/>
      <c r="R506" s="52"/>
      <c r="S506" s="52"/>
      <c r="T506" s="69">
        <f>SUM(N506:S506)</f>
        <v>0</v>
      </c>
      <c r="U506" s="69">
        <f>T506+L506</f>
        <v>139.22999999999999</v>
      </c>
      <c r="V506" s="70">
        <f>45.416+19.882+46.006-10.414+48.346-10.006</f>
        <v>139.22999999999999</v>
      </c>
      <c r="W506" s="53">
        <f>V506-U506</f>
        <v>0</v>
      </c>
    </row>
    <row r="507" spans="1:24" s="130" customFormat="1" ht="18" customHeight="1">
      <c r="A507" s="592"/>
      <c r="B507" s="576"/>
      <c r="C507" s="577"/>
      <c r="D507" s="174" t="str">
        <f>серпень!D430</f>
        <v>місцевий (план), тис.грн</v>
      </c>
      <c r="E507" s="56"/>
      <c r="F507" s="52">
        <f>4.831-4.831</f>
        <v>0</v>
      </c>
      <c r="G507" s="52">
        <f>88.137+0.385</f>
        <v>88.522000000000006</v>
      </c>
      <c r="H507" s="52">
        <v>63.314</v>
      </c>
      <c r="I507" s="52">
        <f>55.175-0.385</f>
        <v>54.79</v>
      </c>
      <c r="J507" s="52">
        <v>35.591999999999999</v>
      </c>
      <c r="K507" s="52">
        <f>31.864-18.5</f>
        <v>13.364000000000001</v>
      </c>
      <c r="L507" s="69">
        <f>SUM(F507:K507)</f>
        <v>255.58199999999999</v>
      </c>
      <c r="M507" s="69">
        <f>L507/6</f>
        <v>42.597000000000001</v>
      </c>
      <c r="N507" s="52">
        <f>33.502-33.502</f>
        <v>0</v>
      </c>
      <c r="O507" s="52">
        <f>27.475+10-36.297</f>
        <v>1.1779999999999999</v>
      </c>
      <c r="P507" s="52">
        <v>17.28</v>
      </c>
      <c r="Q507" s="52">
        <v>18.36</v>
      </c>
      <c r="R507" s="52">
        <f>55.184+8.5+31.418+11.097</f>
        <v>106.199</v>
      </c>
      <c r="S507" s="52">
        <f>55.455+2.084+25.2</f>
        <v>82.739000000000004</v>
      </c>
      <c r="T507" s="69">
        <f>SUM(N507:S507)</f>
        <v>225.756</v>
      </c>
      <c r="U507" s="69">
        <f>T507+L507</f>
        <v>481.33800000000002</v>
      </c>
      <c r="V507" s="70">
        <v>481.33800000000002</v>
      </c>
      <c r="W507" s="53">
        <f>V507-U507</f>
        <v>0</v>
      </c>
    </row>
    <row r="508" spans="1:24" s="48" customFormat="1" ht="18" customHeight="1">
      <c r="A508" s="592"/>
      <c r="B508" s="576"/>
      <c r="C508" s="577"/>
      <c r="D508" s="178" t="str">
        <f>серпень!D431</f>
        <v>касові нат.п-ки 2025</v>
      </c>
      <c r="E508" s="11"/>
      <c r="F508" s="11">
        <v>0</v>
      </c>
      <c r="G508" s="76">
        <v>22458</v>
      </c>
      <c r="H508" s="76">
        <v>16628</v>
      </c>
      <c r="I508" s="76">
        <v>11739</v>
      </c>
      <c r="J508" s="76">
        <v>16458</v>
      </c>
      <c r="K508" s="76">
        <v>8822</v>
      </c>
      <c r="L508" s="65">
        <f>SUM(F508:K508)</f>
        <v>76105</v>
      </c>
      <c r="M508" s="65">
        <f>L508/6</f>
        <v>12684.2</v>
      </c>
      <c r="N508" s="76">
        <v>0</v>
      </c>
      <c r="O508" s="11">
        <v>0</v>
      </c>
      <c r="P508" s="11">
        <v>4000</v>
      </c>
      <c r="Q508" s="11">
        <v>4250</v>
      </c>
      <c r="R508" s="11">
        <v>12774</v>
      </c>
      <c r="S508" s="11">
        <f>R503+S503</f>
        <v>12836.9</v>
      </c>
      <c r="T508" s="65">
        <f>SUM(N508:S508)</f>
        <v>33860.9</v>
      </c>
      <c r="U508" s="65">
        <f>T508+L508</f>
        <v>109965.9</v>
      </c>
      <c r="V508" s="11">
        <f>V503</f>
        <v>111420.9</v>
      </c>
      <c r="W508" s="38">
        <f>V508-U508</f>
        <v>1455</v>
      </c>
      <c r="X508" s="47">
        <f>U503-U508</f>
        <v>0</v>
      </c>
    </row>
    <row r="509" spans="1:24" s="51" customFormat="1" ht="18" customHeight="1">
      <c r="A509" s="592"/>
      <c r="B509" s="576"/>
      <c r="C509" s="577"/>
      <c r="D509" s="187" t="str">
        <f>серпень!D432</f>
        <v>тариф, грн.</v>
      </c>
      <c r="E509" s="129" t="e">
        <f>E510/E508*1000</f>
        <v>#DIV/0!</v>
      </c>
      <c r="F509" s="129" t="e">
        <f t="shared" ref="F509:K509" si="542">F510/F508*1000</f>
        <v>#DIV/0!</v>
      </c>
      <c r="G509" s="129">
        <f t="shared" si="542"/>
        <v>4.3200200000000004</v>
      </c>
      <c r="H509" s="129">
        <f t="shared" si="542"/>
        <v>4.32</v>
      </c>
      <c r="I509" s="129">
        <f t="shared" si="542"/>
        <v>4.31996</v>
      </c>
      <c r="J509" s="129">
        <f t="shared" si="542"/>
        <v>4.32003</v>
      </c>
      <c r="K509" s="129">
        <f t="shared" si="542"/>
        <v>4.3202199999999999</v>
      </c>
      <c r="L509" s="132">
        <f>L510/L508*1000</f>
        <v>4.32003</v>
      </c>
      <c r="M509" s="132">
        <f>M510/M508*1000</f>
        <v>4.3200200000000004</v>
      </c>
      <c r="N509" s="132" t="e">
        <f t="shared" ref="N509:P509" si="543">N510/N508*1000</f>
        <v>#DIV/0!</v>
      </c>
      <c r="O509" s="132" t="e">
        <f t="shared" si="543"/>
        <v>#DIV/0!</v>
      </c>
      <c r="P509" s="132">
        <f t="shared" si="543"/>
        <v>4.32</v>
      </c>
      <c r="Q509" s="132">
        <v>4.32</v>
      </c>
      <c r="R509" s="132">
        <v>4.32</v>
      </c>
      <c r="S509" s="132">
        <v>4.32</v>
      </c>
      <c r="T509" s="132">
        <f>T510/T508*1000</f>
        <v>4.32</v>
      </c>
      <c r="U509" s="132">
        <f>U510/U508*1000</f>
        <v>4.3200200000000004</v>
      </c>
      <c r="V509" s="132">
        <f>V510/V508*1000</f>
        <v>5.5695800000000002</v>
      </c>
      <c r="W509" s="40">
        <f>W510/W508*1000</f>
        <v>100.00893000000001</v>
      </c>
      <c r="X509" s="59"/>
    </row>
    <row r="510" spans="1:24" s="126" customFormat="1" ht="18" customHeight="1">
      <c r="A510" s="592"/>
      <c r="B510" s="576"/>
      <c r="C510" s="577"/>
      <c r="D510" s="198" t="str">
        <f>серпень!D433</f>
        <v>касові видатки, тис.грн.</v>
      </c>
      <c r="E510" s="71"/>
      <c r="F510" s="61">
        <v>0</v>
      </c>
      <c r="G510" s="61">
        <v>97.019000000000005</v>
      </c>
      <c r="H510" s="61">
        <v>71.832999999999998</v>
      </c>
      <c r="I510" s="61">
        <v>50.712000000000003</v>
      </c>
      <c r="J510" s="61">
        <v>71.099000000000004</v>
      </c>
      <c r="K510" s="61">
        <v>38.113</v>
      </c>
      <c r="L510" s="61">
        <f>SUM(F510:K510)</f>
        <v>328.77600000000001</v>
      </c>
      <c r="M510" s="61">
        <f>L510/6</f>
        <v>54.795999999999999</v>
      </c>
      <c r="N510" s="61">
        <v>0</v>
      </c>
      <c r="O510" s="61">
        <v>0</v>
      </c>
      <c r="P510" s="61">
        <v>17.28</v>
      </c>
      <c r="Q510" s="61">
        <f t="shared" ref="Q510" si="544">Q508*Q509/1000</f>
        <v>18.36</v>
      </c>
      <c r="R510" s="61">
        <f t="shared" ref="R510" si="545">R508*R509/1000</f>
        <v>55.183999999999997</v>
      </c>
      <c r="S510" s="61">
        <f t="shared" ref="S510" si="546">S508*S509/1000</f>
        <v>55.454999999999998</v>
      </c>
      <c r="T510" s="61">
        <f>SUM(N510:S510)</f>
        <v>146.279</v>
      </c>
      <c r="U510" s="61">
        <f>T510+L510</f>
        <v>475.05500000000001</v>
      </c>
      <c r="V510" s="61">
        <f>V505</f>
        <v>620.56799999999998</v>
      </c>
      <c r="W510" s="72">
        <f>V510-U510</f>
        <v>145.51300000000001</v>
      </c>
      <c r="X510" s="63">
        <f>U505-U510</f>
        <v>0</v>
      </c>
    </row>
    <row r="511" spans="1:24" s="126" customFormat="1" ht="18" customHeight="1">
      <c r="A511" s="592"/>
      <c r="B511" s="576"/>
      <c r="C511" s="577"/>
      <c r="D511" s="201" t="str">
        <f>серпень!D434</f>
        <v>дотація</v>
      </c>
      <c r="E511" s="71"/>
      <c r="F511" s="61"/>
      <c r="G511" s="61"/>
      <c r="H511" s="61">
        <v>45.415999999999997</v>
      </c>
      <c r="I511" s="61">
        <v>19.882000000000001</v>
      </c>
      <c r="J511" s="61">
        <v>35.591999999999999</v>
      </c>
      <c r="K511" s="61">
        <v>38.340000000000003</v>
      </c>
      <c r="L511" s="61">
        <f>SUM(F511:K511)</f>
        <v>139.22999999999999</v>
      </c>
      <c r="M511" s="61">
        <f>L511/6</f>
        <v>23.204999999999998</v>
      </c>
      <c r="N511" s="61"/>
      <c r="O511" s="61"/>
      <c r="P511" s="61"/>
      <c r="Q511" s="61"/>
      <c r="R511" s="61"/>
      <c r="S511" s="61"/>
      <c r="T511" s="61">
        <f>SUM(N511:S511)</f>
        <v>0</v>
      </c>
      <c r="U511" s="61">
        <f>T511+L511</f>
        <v>139.22999999999999</v>
      </c>
      <c r="V511" s="61">
        <f>V506</f>
        <v>139.22999999999999</v>
      </c>
      <c r="W511" s="72">
        <f>V511-U511</f>
        <v>0</v>
      </c>
      <c r="X511" s="63">
        <f>U506-U511</f>
        <v>0</v>
      </c>
    </row>
    <row r="512" spans="1:24" s="126" customFormat="1" ht="18" customHeight="1">
      <c r="A512" s="592"/>
      <c r="B512" s="576"/>
      <c r="C512" s="577"/>
      <c r="D512" s="201" t="str">
        <f>серпень!D435</f>
        <v xml:space="preserve">місцевий </v>
      </c>
      <c r="E512" s="71"/>
      <c r="F512" s="61">
        <f t="shared" ref="F512:K512" si="547">F510-F511</f>
        <v>0</v>
      </c>
      <c r="G512" s="61">
        <f t="shared" si="547"/>
        <v>97.019000000000005</v>
      </c>
      <c r="H512" s="61">
        <f t="shared" si="547"/>
        <v>26.417000000000002</v>
      </c>
      <c r="I512" s="61">
        <f t="shared" si="547"/>
        <v>30.83</v>
      </c>
      <c r="J512" s="61">
        <f t="shared" si="547"/>
        <v>35.506999999999998</v>
      </c>
      <c r="K512" s="61">
        <f t="shared" si="547"/>
        <v>-0.22700000000000001</v>
      </c>
      <c r="L512" s="61">
        <f>SUM(F512:K512)</f>
        <v>189.54599999999999</v>
      </c>
      <c r="M512" s="61">
        <f>L512/6</f>
        <v>31.591000000000001</v>
      </c>
      <c r="N512" s="61">
        <f t="shared" ref="N512:S512" si="548">N510-N511</f>
        <v>0</v>
      </c>
      <c r="O512" s="61">
        <f t="shared" si="548"/>
        <v>0</v>
      </c>
      <c r="P512" s="61">
        <f t="shared" si="548"/>
        <v>17.28</v>
      </c>
      <c r="Q512" s="61">
        <f t="shared" si="548"/>
        <v>18.36</v>
      </c>
      <c r="R512" s="61">
        <f t="shared" si="548"/>
        <v>55.183999999999997</v>
      </c>
      <c r="S512" s="61">
        <f t="shared" si="548"/>
        <v>55.454999999999998</v>
      </c>
      <c r="T512" s="61">
        <f>SUM(N512:S512)</f>
        <v>146.279</v>
      </c>
      <c r="U512" s="61">
        <f>T512+L512</f>
        <v>335.82499999999999</v>
      </c>
      <c r="V512" s="61">
        <f>V507</f>
        <v>481.33800000000002</v>
      </c>
      <c r="W512" s="72">
        <f>V512-U512</f>
        <v>145.51300000000001</v>
      </c>
      <c r="X512" s="63">
        <f>U507-U512</f>
        <v>145.51300000000001</v>
      </c>
    </row>
    <row r="513" spans="1:28" s="43" customFormat="1" ht="18" customHeight="1">
      <c r="A513" s="592"/>
      <c r="B513" s="576"/>
      <c r="C513" s="577"/>
      <c r="D513" s="202" t="str">
        <f>серпень!D436</f>
        <v>план</v>
      </c>
      <c r="E513" s="42"/>
      <c r="F513" s="42">
        <f>F507+F506</f>
        <v>0</v>
      </c>
      <c r="G513" s="42">
        <f t="shared" ref="G513:K513" si="549">G507+G506</f>
        <v>88.522000000000006</v>
      </c>
      <c r="H513" s="42">
        <f t="shared" si="549"/>
        <v>128.61199999999999</v>
      </c>
      <c r="I513" s="42">
        <f>I507+I506</f>
        <v>90.382000000000005</v>
      </c>
      <c r="J513" s="42">
        <f t="shared" si="549"/>
        <v>73.932000000000002</v>
      </c>
      <c r="K513" s="42">
        <f t="shared" si="549"/>
        <v>13.364000000000001</v>
      </c>
      <c r="L513" s="42">
        <f>SUM(F513:K513)</f>
        <v>394.81200000000001</v>
      </c>
      <c r="M513" s="42">
        <f>L513/6</f>
        <v>65.802000000000007</v>
      </c>
      <c r="N513" s="42">
        <f>N507+N506</f>
        <v>0</v>
      </c>
      <c r="O513" s="42">
        <f t="shared" ref="O513:S513" si="550">O507+O506</f>
        <v>1.1779999999999999</v>
      </c>
      <c r="P513" s="42">
        <f t="shared" si="550"/>
        <v>17.28</v>
      </c>
      <c r="Q513" s="42">
        <f t="shared" si="550"/>
        <v>18.36</v>
      </c>
      <c r="R513" s="42">
        <f t="shared" si="550"/>
        <v>106.199</v>
      </c>
      <c r="S513" s="42">
        <f t="shared" si="550"/>
        <v>82.739000000000004</v>
      </c>
      <c r="T513" s="42">
        <f>SUM(N513:S513)</f>
        <v>225.756</v>
      </c>
      <c r="U513" s="42">
        <f>T513+L513</f>
        <v>620.56799999999998</v>
      </c>
      <c r="V513" s="42">
        <f>V510</f>
        <v>620.56799999999998</v>
      </c>
      <c r="W513" s="42">
        <f>V513-U513</f>
        <v>0</v>
      </c>
    </row>
    <row r="514" spans="1:28" s="43" customFormat="1" ht="18" customHeight="1">
      <c r="A514" s="592"/>
      <c r="B514" s="576"/>
      <c r="C514" s="577"/>
      <c r="D514" s="202" t="str">
        <f>серпень!D437</f>
        <v xml:space="preserve">відхилення </v>
      </c>
      <c r="E514" s="42"/>
      <c r="F514" s="42">
        <f t="shared" ref="F514:K514" si="551">F510-F513</f>
        <v>0</v>
      </c>
      <c r="G514" s="42">
        <f t="shared" si="551"/>
        <v>8.4969999999999999</v>
      </c>
      <c r="H514" s="42">
        <f t="shared" si="551"/>
        <v>-56.779000000000003</v>
      </c>
      <c r="I514" s="42">
        <f t="shared" si="551"/>
        <v>-39.67</v>
      </c>
      <c r="J514" s="42">
        <f t="shared" si="551"/>
        <v>-2.8330000000000002</v>
      </c>
      <c r="K514" s="42">
        <f t="shared" si="551"/>
        <v>24.748999999999999</v>
      </c>
      <c r="L514" s="42"/>
      <c r="M514" s="42"/>
      <c r="N514" s="42">
        <f t="shared" ref="N514:S514" si="552">N510-N513</f>
        <v>0</v>
      </c>
      <c r="O514" s="42">
        <f t="shared" si="552"/>
        <v>-1.1779999999999999</v>
      </c>
      <c r="P514" s="42">
        <f t="shared" si="552"/>
        <v>0</v>
      </c>
      <c r="Q514" s="42">
        <f t="shared" si="552"/>
        <v>0</v>
      </c>
      <c r="R514" s="42">
        <f t="shared" si="552"/>
        <v>-51.015000000000001</v>
      </c>
      <c r="S514" s="42">
        <f t="shared" si="552"/>
        <v>-27.283999999999999</v>
      </c>
      <c r="T514" s="42"/>
      <c r="U514" s="42"/>
      <c r="V514" s="42"/>
      <c r="W514" s="42"/>
    </row>
    <row r="515" spans="1:28" s="43" customFormat="1" ht="18" customHeight="1">
      <c r="A515" s="593"/>
      <c r="B515" s="578"/>
      <c r="C515" s="579"/>
      <c r="D515" s="202" t="str">
        <f>серпень!D438</f>
        <v>відхилення з наростаючим</v>
      </c>
      <c r="E515" s="42"/>
      <c r="F515" s="42">
        <f>F514</f>
        <v>0</v>
      </c>
      <c r="G515" s="42">
        <f>G514+F515</f>
        <v>8.4969999999999999</v>
      </c>
      <c r="H515" s="42">
        <f>H514+G515</f>
        <v>-48.281999999999996</v>
      </c>
      <c r="I515" s="42">
        <f>I514+H515</f>
        <v>-87.951999999999998</v>
      </c>
      <c r="J515" s="42">
        <f>J514+I515</f>
        <v>-90.784999999999997</v>
      </c>
      <c r="K515" s="42">
        <f>K514+J515</f>
        <v>-66.036000000000001</v>
      </c>
      <c r="L515" s="42"/>
      <c r="M515" s="42"/>
      <c r="N515" s="42">
        <f>N514+K515</f>
        <v>-66.036000000000001</v>
      </c>
      <c r="O515" s="42">
        <f>O514+N515</f>
        <v>-67.213999999999999</v>
      </c>
      <c r="P515" s="42">
        <f>P514+O515</f>
        <v>-67.213999999999999</v>
      </c>
      <c r="Q515" s="42">
        <f>Q514+P515</f>
        <v>-67.213999999999999</v>
      </c>
      <c r="R515" s="42">
        <f>R514+Q515</f>
        <v>-118.229</v>
      </c>
      <c r="S515" s="42">
        <f>S514+R515</f>
        <v>-145.51300000000001</v>
      </c>
      <c r="T515" s="42"/>
      <c r="U515" s="42"/>
      <c r="V515" s="42"/>
      <c r="W515" s="42"/>
      <c r="AB515" s="58">
        <f>Z515-Z520</f>
        <v>0</v>
      </c>
    </row>
    <row r="516" spans="1:28" s="47" customFormat="1" ht="18" customHeight="1">
      <c r="A516" s="673">
        <v>2275</v>
      </c>
      <c r="B516" s="581" t="s">
        <v>70</v>
      </c>
      <c r="C516" s="581"/>
      <c r="D516" s="178" t="str">
        <f>серпень!D439</f>
        <v>факт. нат.п-ки 2023</v>
      </c>
      <c r="E516" s="11"/>
      <c r="F516" s="12">
        <f t="shared" ref="F516:K518" si="553">F533+F704</f>
        <v>8.5</v>
      </c>
      <c r="G516" s="12">
        <f t="shared" si="553"/>
        <v>8.1999999999999993</v>
      </c>
      <c r="H516" s="12">
        <f t="shared" si="553"/>
        <v>8</v>
      </c>
      <c r="I516" s="12">
        <f t="shared" si="553"/>
        <v>8.8000000000000007</v>
      </c>
      <c r="J516" s="12">
        <f t="shared" si="553"/>
        <v>6.9</v>
      </c>
      <c r="K516" s="12">
        <f t="shared" si="553"/>
        <v>8.8000000000000007</v>
      </c>
      <c r="L516" s="117">
        <f>SUM(F516:K516)</f>
        <v>49.2</v>
      </c>
      <c r="M516" s="117">
        <f>L516/6</f>
        <v>8.1999999999999993</v>
      </c>
      <c r="N516" s="12">
        <f t="shared" ref="N516:S518" si="554">N533+N704</f>
        <v>8.8000000000000007</v>
      </c>
      <c r="O516" s="12">
        <f t="shared" si="554"/>
        <v>11</v>
      </c>
      <c r="P516" s="12">
        <f t="shared" si="554"/>
        <v>8.5</v>
      </c>
      <c r="Q516" s="12">
        <f t="shared" si="554"/>
        <v>8.5</v>
      </c>
      <c r="R516" s="12">
        <f t="shared" si="554"/>
        <v>9.1999999999999993</v>
      </c>
      <c r="S516" s="12">
        <f t="shared" si="554"/>
        <v>7.2</v>
      </c>
      <c r="T516" s="117">
        <f>SUM(N516:S516)</f>
        <v>53.2</v>
      </c>
      <c r="U516" s="117">
        <f>T516+L516</f>
        <v>102.4</v>
      </c>
      <c r="V516" s="76"/>
      <c r="W516" s="38"/>
    </row>
    <row r="517" spans="1:28" s="47" customFormat="1" ht="18" customHeight="1">
      <c r="A517" s="673"/>
      <c r="B517" s="581"/>
      <c r="C517" s="581"/>
      <c r="D517" s="178" t="str">
        <f>серпень!D440</f>
        <v>факт. нат.п-ки 2024</v>
      </c>
      <c r="E517" s="11"/>
      <c r="F517" s="12">
        <f t="shared" si="553"/>
        <v>8.8000000000000007</v>
      </c>
      <c r="G517" s="12">
        <f t="shared" si="553"/>
        <v>8</v>
      </c>
      <c r="H517" s="12">
        <f t="shared" si="553"/>
        <v>6.6</v>
      </c>
      <c r="I517" s="12">
        <f t="shared" si="553"/>
        <v>8.8000000000000007</v>
      </c>
      <c r="J517" s="12">
        <f t="shared" si="553"/>
        <v>11</v>
      </c>
      <c r="K517" s="12">
        <f t="shared" si="553"/>
        <v>8.8000000000000007</v>
      </c>
      <c r="L517" s="117">
        <f>SUM(F517:K517)</f>
        <v>52</v>
      </c>
      <c r="M517" s="117">
        <f>L517/6</f>
        <v>8.6999999999999993</v>
      </c>
      <c r="N517" s="12">
        <f t="shared" si="554"/>
        <v>8.8000000000000007</v>
      </c>
      <c r="O517" s="12">
        <f t="shared" si="554"/>
        <v>11</v>
      </c>
      <c r="P517" s="12">
        <f t="shared" si="554"/>
        <v>8.8000000000000007</v>
      </c>
      <c r="Q517" s="12">
        <f t="shared" si="554"/>
        <v>10.5</v>
      </c>
      <c r="R517" s="12">
        <f t="shared" si="554"/>
        <v>7.3</v>
      </c>
      <c r="S517" s="12">
        <f t="shared" si="554"/>
        <v>3.9</v>
      </c>
      <c r="T517" s="117">
        <f>SUM(N517:S517)</f>
        <v>50.3</v>
      </c>
      <c r="U517" s="117">
        <f>T517+L517</f>
        <v>102.3</v>
      </c>
      <c r="V517" s="76"/>
      <c r="W517" s="38"/>
    </row>
    <row r="518" spans="1:28" s="47" customFormat="1" ht="18" customHeight="1">
      <c r="A518" s="673"/>
      <c r="B518" s="581"/>
      <c r="C518" s="581"/>
      <c r="D518" s="178" t="str">
        <f>серпень!D441</f>
        <v>факт. нат.п-ки 2025</v>
      </c>
      <c r="E518" s="11"/>
      <c r="F518" s="12">
        <f t="shared" si="553"/>
        <v>11</v>
      </c>
      <c r="G518" s="12">
        <f t="shared" si="553"/>
        <v>6.8</v>
      </c>
      <c r="H518" s="12">
        <f t="shared" si="553"/>
        <v>7</v>
      </c>
      <c r="I518" s="12">
        <f t="shared" si="553"/>
        <v>8.8000000000000007</v>
      </c>
      <c r="J518" s="12">
        <f t="shared" si="553"/>
        <v>6.6</v>
      </c>
      <c r="K518" s="12">
        <f t="shared" si="553"/>
        <v>4.4000000000000004</v>
      </c>
      <c r="L518" s="117">
        <f>SUM(F518:K518)</f>
        <v>44.6</v>
      </c>
      <c r="M518" s="117">
        <f>L518/6</f>
        <v>7.4</v>
      </c>
      <c r="N518" s="12">
        <f t="shared" si="554"/>
        <v>11</v>
      </c>
      <c r="O518" s="12">
        <f t="shared" si="554"/>
        <v>9.9</v>
      </c>
      <c r="P518" s="12">
        <f t="shared" si="554"/>
        <v>8.8000000000000007</v>
      </c>
      <c r="Q518" s="12">
        <f t="shared" si="554"/>
        <v>9.1</v>
      </c>
      <c r="R518" s="12">
        <f t="shared" si="554"/>
        <v>8.8000000000000007</v>
      </c>
      <c r="S518" s="12">
        <f t="shared" si="554"/>
        <v>5.6</v>
      </c>
      <c r="T518" s="117">
        <f>SUM(N518:S518)</f>
        <v>53.2</v>
      </c>
      <c r="U518" s="117">
        <f>T518+L518</f>
        <v>97.8</v>
      </c>
      <c r="V518" s="76">
        <f>V535+V706</f>
        <v>101.9</v>
      </c>
      <c r="W518" s="38">
        <f>V518-U518</f>
        <v>4.0999999999999996</v>
      </c>
    </row>
    <row r="519" spans="1:28" s="47" customFormat="1" ht="18" customHeight="1">
      <c r="A519" s="673"/>
      <c r="B519" s="581"/>
      <c r="C519" s="581"/>
      <c r="D519" s="187" t="str">
        <f>серпень!D442</f>
        <v>тариф, грн.</v>
      </c>
      <c r="E519" s="49" t="e">
        <f t="shared" ref="E519:W519" si="555">E520/E518*1000</f>
        <v>#DIV/0!</v>
      </c>
      <c r="F519" s="49">
        <f t="shared" si="555"/>
        <v>185.18199999999999</v>
      </c>
      <c r="G519" s="49">
        <f t="shared" si="555"/>
        <v>180.14699999999999</v>
      </c>
      <c r="H519" s="49">
        <f t="shared" si="555"/>
        <v>181.714</v>
      </c>
      <c r="I519" s="49">
        <f t="shared" si="555"/>
        <v>184.43199999999999</v>
      </c>
      <c r="J519" s="49">
        <f t="shared" si="555"/>
        <v>193.18199999999999</v>
      </c>
      <c r="K519" s="49">
        <f t="shared" si="555"/>
        <v>169.31800000000001</v>
      </c>
      <c r="L519" s="49">
        <f t="shared" si="555"/>
        <v>183.34100000000001</v>
      </c>
      <c r="M519" s="49">
        <f t="shared" si="555"/>
        <v>184.18899999999999</v>
      </c>
      <c r="N519" s="49">
        <f t="shared" si="555"/>
        <v>184.727</v>
      </c>
      <c r="O519" s="49">
        <f t="shared" si="555"/>
        <v>194.94900000000001</v>
      </c>
      <c r="P519" s="49">
        <f t="shared" si="555"/>
        <v>198.06800000000001</v>
      </c>
      <c r="Q519" s="49">
        <f t="shared" si="555"/>
        <v>195.27500000000001</v>
      </c>
      <c r="R519" s="49">
        <f t="shared" si="555"/>
        <v>189.31800000000001</v>
      </c>
      <c r="S519" s="49">
        <f t="shared" si="555"/>
        <v>181.964</v>
      </c>
      <c r="T519" s="49">
        <f t="shared" si="555"/>
        <v>191.10900000000001</v>
      </c>
      <c r="U519" s="49">
        <f t="shared" si="555"/>
        <v>187.566</v>
      </c>
      <c r="V519" s="49">
        <f t="shared" si="555"/>
        <v>195.28</v>
      </c>
      <c r="W519" s="49">
        <f t="shared" si="555"/>
        <v>379.26799999999997</v>
      </c>
    </row>
    <row r="520" spans="1:28" s="130" customFormat="1" ht="18" customHeight="1">
      <c r="A520" s="673"/>
      <c r="B520" s="581"/>
      <c r="C520" s="581"/>
      <c r="D520" s="191" t="str">
        <f>серпень!D443</f>
        <v>сума, тис.грн.</v>
      </c>
      <c r="E520" s="52"/>
      <c r="F520" s="52">
        <f t="shared" ref="F520:K520" si="556">F537+F708</f>
        <v>2.0369999999999999</v>
      </c>
      <c r="G520" s="52">
        <f t="shared" si="556"/>
        <v>1.2250000000000001</v>
      </c>
      <c r="H520" s="52">
        <f t="shared" si="556"/>
        <v>1.272</v>
      </c>
      <c r="I520" s="52">
        <f t="shared" si="556"/>
        <v>1.623</v>
      </c>
      <c r="J520" s="52">
        <f t="shared" si="556"/>
        <v>1.2749999999999999</v>
      </c>
      <c r="K520" s="52">
        <f t="shared" si="556"/>
        <v>0.745</v>
      </c>
      <c r="L520" s="69">
        <f>SUM(F520:K520)</f>
        <v>8.1769999999999996</v>
      </c>
      <c r="M520" s="69">
        <f>L520/6</f>
        <v>1.363</v>
      </c>
      <c r="N520" s="52">
        <f t="shared" ref="N520:S520" si="557">N537+N708</f>
        <v>2.032</v>
      </c>
      <c r="O520" s="52">
        <f t="shared" si="557"/>
        <v>1.93</v>
      </c>
      <c r="P520" s="52">
        <f t="shared" si="557"/>
        <v>1.7430000000000001</v>
      </c>
      <c r="Q520" s="52">
        <f t="shared" si="557"/>
        <v>1.7769999999999999</v>
      </c>
      <c r="R520" s="52">
        <f t="shared" si="557"/>
        <v>1.6659999999999999</v>
      </c>
      <c r="S520" s="52">
        <f t="shared" si="557"/>
        <v>1.0189999999999999</v>
      </c>
      <c r="T520" s="69">
        <f>SUM(N520:S520)</f>
        <v>10.167</v>
      </c>
      <c r="U520" s="69">
        <f>T520+L520</f>
        <v>18.344000000000001</v>
      </c>
      <c r="V520" s="69">
        <f>V537+V708</f>
        <v>19.899000000000001</v>
      </c>
      <c r="W520" s="52">
        <f>V520-U520</f>
        <v>1.5549999999999999</v>
      </c>
    </row>
    <row r="521" spans="1:28" s="130" customFormat="1" ht="18" customHeight="1">
      <c r="A521" s="673"/>
      <c r="B521" s="581"/>
      <c r="C521" s="581"/>
      <c r="D521" s="174" t="str">
        <f>серпень!D444</f>
        <v>абоненська плата, тис.грн.</v>
      </c>
      <c r="E521" s="52"/>
      <c r="F521" s="52">
        <f>F538</f>
        <v>6.0000000000000001E-3</v>
      </c>
      <c r="G521" s="52">
        <f t="shared" ref="G521:K521" si="558">G538</f>
        <v>4.0000000000000001E-3</v>
      </c>
      <c r="H521" s="52">
        <f t="shared" si="558"/>
        <v>4.0000000000000001E-3</v>
      </c>
      <c r="I521" s="52">
        <f t="shared" si="558"/>
        <v>4.0000000000000001E-3</v>
      </c>
      <c r="J521" s="52">
        <f t="shared" si="558"/>
        <v>4.0000000000000001E-3</v>
      </c>
      <c r="K521" s="52">
        <f t="shared" si="558"/>
        <v>2E-3</v>
      </c>
      <c r="L521" s="69">
        <f t="shared" ref="L521:L522" si="559">SUM(F521:K521)</f>
        <v>2.4E-2</v>
      </c>
      <c r="M521" s="69">
        <f t="shared" ref="M521:M522" si="560">L521/6</f>
        <v>4.0000000000000001E-3</v>
      </c>
      <c r="N521" s="52">
        <f>N538</f>
        <v>4.0000000000000001E-3</v>
      </c>
      <c r="O521" s="52">
        <f t="shared" ref="O521:S521" si="561">O538</f>
        <v>4.0000000000000001E-3</v>
      </c>
      <c r="P521" s="52">
        <f t="shared" si="561"/>
        <v>4.0000000000000001E-3</v>
      </c>
      <c r="Q521" s="52">
        <f t="shared" si="561"/>
        <v>4.0000000000000001E-3</v>
      </c>
      <c r="R521" s="52">
        <f t="shared" si="561"/>
        <v>4.0000000000000001E-3</v>
      </c>
      <c r="S521" s="52">
        <f t="shared" si="561"/>
        <v>4.0000000000000001E-3</v>
      </c>
      <c r="T521" s="69">
        <f t="shared" ref="T521:T522" si="562">SUM(N521:S521)</f>
        <v>2.4E-2</v>
      </c>
      <c r="U521" s="69">
        <f t="shared" ref="U521:U522" si="563">T521+L521</f>
        <v>4.8000000000000001E-2</v>
      </c>
      <c r="V521" s="69">
        <f t="shared" ref="V521" si="564">V538</f>
        <v>0.05</v>
      </c>
      <c r="W521" s="52">
        <f t="shared" ref="W521:W523" si="565">V521-U521</f>
        <v>2E-3</v>
      </c>
    </row>
    <row r="522" spans="1:28" s="130" customFormat="1" ht="18" customHeight="1">
      <c r="A522" s="673"/>
      <c r="B522" s="581"/>
      <c r="C522" s="581"/>
      <c r="D522" s="174" t="str">
        <f>серпень!D445</f>
        <v>разом сума тис. грн+абонплата</v>
      </c>
      <c r="E522" s="52"/>
      <c r="F522" s="52">
        <f>F520+F521</f>
        <v>2.0430000000000001</v>
      </c>
      <c r="G522" s="52">
        <f t="shared" ref="G522:K522" si="566">G520+G521</f>
        <v>1.2290000000000001</v>
      </c>
      <c r="H522" s="52">
        <f t="shared" si="566"/>
        <v>1.276</v>
      </c>
      <c r="I522" s="52">
        <f t="shared" si="566"/>
        <v>1.627</v>
      </c>
      <c r="J522" s="52">
        <f t="shared" si="566"/>
        <v>1.2789999999999999</v>
      </c>
      <c r="K522" s="52">
        <f t="shared" si="566"/>
        <v>0.747</v>
      </c>
      <c r="L522" s="69">
        <f t="shared" si="559"/>
        <v>8.2010000000000005</v>
      </c>
      <c r="M522" s="69">
        <f t="shared" si="560"/>
        <v>1.367</v>
      </c>
      <c r="N522" s="52">
        <f>N520+N521</f>
        <v>2.036</v>
      </c>
      <c r="O522" s="52">
        <f t="shared" ref="O522" si="567">O520+O521</f>
        <v>1.9339999999999999</v>
      </c>
      <c r="P522" s="52">
        <f t="shared" ref="P522" si="568">P520+P521</f>
        <v>1.7470000000000001</v>
      </c>
      <c r="Q522" s="52">
        <f t="shared" ref="Q522" si="569">Q520+Q521</f>
        <v>1.7809999999999999</v>
      </c>
      <c r="R522" s="52">
        <f t="shared" ref="R522" si="570">R520+R521</f>
        <v>1.67</v>
      </c>
      <c r="S522" s="52">
        <f t="shared" ref="S522" si="571">S520+S521</f>
        <v>1.0229999999999999</v>
      </c>
      <c r="T522" s="69">
        <f t="shared" si="562"/>
        <v>10.191000000000001</v>
      </c>
      <c r="U522" s="69">
        <f t="shared" si="563"/>
        <v>18.391999999999999</v>
      </c>
      <c r="V522" s="69">
        <f t="shared" ref="V522" si="572">V520+V521</f>
        <v>19.949000000000002</v>
      </c>
      <c r="W522" s="52">
        <f t="shared" si="565"/>
        <v>1.5569999999999999</v>
      </c>
    </row>
    <row r="523" spans="1:28" s="130" customFormat="1" ht="18" customHeight="1">
      <c r="A523" s="673"/>
      <c r="B523" s="581"/>
      <c r="C523" s="581"/>
      <c r="D523" s="174" t="str">
        <f>серпень!D446</f>
        <v>дотація</v>
      </c>
      <c r="E523" s="56"/>
      <c r="F523" s="52">
        <f t="shared" ref="F523:K525" si="573">F540+F709</f>
        <v>0</v>
      </c>
      <c r="G523" s="52">
        <f t="shared" si="573"/>
        <v>0</v>
      </c>
      <c r="H523" s="52">
        <f t="shared" si="573"/>
        <v>0</v>
      </c>
      <c r="I523" s="52">
        <f t="shared" si="573"/>
        <v>0</v>
      </c>
      <c r="J523" s="52">
        <f t="shared" si="573"/>
        <v>0</v>
      </c>
      <c r="K523" s="52">
        <f t="shared" si="573"/>
        <v>0</v>
      </c>
      <c r="L523" s="69">
        <f>SUM(F523:K523)</f>
        <v>0</v>
      </c>
      <c r="M523" s="69">
        <f>L523/6</f>
        <v>0</v>
      </c>
      <c r="N523" s="52">
        <f t="shared" ref="N523:S525" si="574">N540+N709</f>
        <v>0</v>
      </c>
      <c r="O523" s="52">
        <f t="shared" si="574"/>
        <v>0</v>
      </c>
      <c r="P523" s="52">
        <f t="shared" si="574"/>
        <v>0</v>
      </c>
      <c r="Q523" s="52">
        <f t="shared" si="574"/>
        <v>0</v>
      </c>
      <c r="R523" s="52">
        <f t="shared" si="574"/>
        <v>0</v>
      </c>
      <c r="S523" s="52">
        <f t="shared" si="574"/>
        <v>0</v>
      </c>
      <c r="T523" s="69">
        <f>SUM(N523:S523)</f>
        <v>0</v>
      </c>
      <c r="U523" s="69">
        <f>T523+L523</f>
        <v>0</v>
      </c>
      <c r="V523" s="69">
        <f>V540+V709</f>
        <v>0</v>
      </c>
      <c r="W523" s="52">
        <f t="shared" si="565"/>
        <v>0</v>
      </c>
      <c r="X523" s="134"/>
    </row>
    <row r="524" spans="1:28" s="130" customFormat="1" ht="18" customHeight="1">
      <c r="A524" s="673"/>
      <c r="B524" s="581"/>
      <c r="C524" s="581"/>
      <c r="D524" s="174" t="str">
        <f>серпень!D447</f>
        <v>місцевий (план), тис.грн</v>
      </c>
      <c r="E524" s="56"/>
      <c r="F524" s="52">
        <f t="shared" si="573"/>
        <v>0</v>
      </c>
      <c r="G524" s="52">
        <f t="shared" si="573"/>
        <v>2.04</v>
      </c>
      <c r="H524" s="52">
        <f t="shared" si="573"/>
        <v>1.56</v>
      </c>
      <c r="I524" s="52">
        <f t="shared" si="573"/>
        <v>1.3109999999999999</v>
      </c>
      <c r="J524" s="52">
        <f t="shared" si="573"/>
        <v>1.7470000000000001</v>
      </c>
      <c r="K524" s="52">
        <f t="shared" si="573"/>
        <v>1.9330000000000001</v>
      </c>
      <c r="L524" s="69">
        <f>SUM(F524:K524)</f>
        <v>8.5909999999999993</v>
      </c>
      <c r="M524" s="69">
        <f>L524/6</f>
        <v>1.4319999999999999</v>
      </c>
      <c r="N524" s="52">
        <f t="shared" si="574"/>
        <v>3.0000000000000001E-3</v>
      </c>
      <c r="O524" s="52">
        <f t="shared" si="574"/>
        <v>1.7470000000000001</v>
      </c>
      <c r="P524" s="52">
        <f t="shared" si="574"/>
        <v>3.6779999999999999</v>
      </c>
      <c r="Q524" s="52">
        <f t="shared" si="574"/>
        <v>1.7470000000000001</v>
      </c>
      <c r="R524" s="52">
        <f t="shared" si="574"/>
        <v>1.7809999999999999</v>
      </c>
      <c r="S524" s="52">
        <f t="shared" si="574"/>
        <v>2.4020000000000001</v>
      </c>
      <c r="T524" s="69">
        <f>SUM(N524:S524)</f>
        <v>11.358000000000001</v>
      </c>
      <c r="U524" s="69">
        <f>T524+L524</f>
        <v>19.949000000000002</v>
      </c>
      <c r="V524" s="69">
        <f>V541+V710</f>
        <v>19.949000000000002</v>
      </c>
      <c r="W524" s="52">
        <f>V524-U524</f>
        <v>0</v>
      </c>
    </row>
    <row r="525" spans="1:28" s="47" customFormat="1" ht="18" customHeight="1">
      <c r="A525" s="673"/>
      <c r="B525" s="581"/>
      <c r="C525" s="581"/>
      <c r="D525" s="178" t="str">
        <f>серпень!D448</f>
        <v>касові нат.п-ки 2025</v>
      </c>
      <c r="E525" s="12">
        <f>E542+E711</f>
        <v>0</v>
      </c>
      <c r="F525" s="12">
        <f t="shared" si="573"/>
        <v>0</v>
      </c>
      <c r="G525" s="12">
        <f t="shared" si="573"/>
        <v>0</v>
      </c>
      <c r="H525" s="12">
        <f t="shared" si="573"/>
        <v>17.8</v>
      </c>
      <c r="I525" s="12">
        <f t="shared" si="573"/>
        <v>7</v>
      </c>
      <c r="J525" s="12">
        <f t="shared" si="573"/>
        <v>8.8000000000000007</v>
      </c>
      <c r="K525" s="12">
        <f t="shared" si="573"/>
        <v>11</v>
      </c>
      <c r="L525" s="117">
        <f>SUM(F525:K525)</f>
        <v>44.6</v>
      </c>
      <c r="M525" s="117">
        <f>L525/6</f>
        <v>7.4</v>
      </c>
      <c r="N525" s="12">
        <f t="shared" si="574"/>
        <v>0</v>
      </c>
      <c r="O525" s="12">
        <f t="shared" si="574"/>
        <v>11</v>
      </c>
      <c r="P525" s="12">
        <f t="shared" si="574"/>
        <v>10</v>
      </c>
      <c r="Q525" s="12">
        <f t="shared" si="574"/>
        <v>8.8000000000000007</v>
      </c>
      <c r="R525" s="12">
        <f t="shared" si="574"/>
        <v>9.1</v>
      </c>
      <c r="S525" s="12">
        <f t="shared" si="574"/>
        <v>14.4</v>
      </c>
      <c r="T525" s="117">
        <f>SUM(N525:S525)</f>
        <v>53.3</v>
      </c>
      <c r="U525" s="117">
        <f>T525+L525</f>
        <v>97.9</v>
      </c>
      <c r="V525" s="76">
        <f>V542+V711</f>
        <v>101.9</v>
      </c>
      <c r="W525" s="38">
        <f>V525-U525</f>
        <v>4</v>
      </c>
      <c r="X525" s="47">
        <f>U518-U525</f>
        <v>-0.1</v>
      </c>
    </row>
    <row r="526" spans="1:28" s="47" customFormat="1" ht="18" customHeight="1">
      <c r="A526" s="673"/>
      <c r="B526" s="581"/>
      <c r="C526" s="581"/>
      <c r="D526" s="187" t="str">
        <f>серпень!D449</f>
        <v>тариф, грн.</v>
      </c>
      <c r="E526" s="49" t="e">
        <f>E527/E525*1000</f>
        <v>#DIV/0!</v>
      </c>
      <c r="F526" s="49" t="e">
        <f t="shared" ref="F526:S526" si="575">F527/F525*1000</f>
        <v>#DIV/0!</v>
      </c>
      <c r="G526" s="49" t="e">
        <f t="shared" si="575"/>
        <v>#DIV/0!</v>
      </c>
      <c r="H526" s="49">
        <f t="shared" si="575"/>
        <v>183.65199999999999</v>
      </c>
      <c r="I526" s="49">
        <f t="shared" si="575"/>
        <v>182.143</v>
      </c>
      <c r="J526" s="49">
        <f t="shared" si="575"/>
        <v>184.886</v>
      </c>
      <c r="K526" s="49">
        <f t="shared" si="575"/>
        <v>184.727</v>
      </c>
      <c r="L526" s="49">
        <f t="shared" si="575"/>
        <v>183.92400000000001</v>
      </c>
      <c r="M526" s="49">
        <f t="shared" si="575"/>
        <v>184.73</v>
      </c>
      <c r="N526" s="49" t="e">
        <f t="shared" si="575"/>
        <v>#DIV/0!</v>
      </c>
      <c r="O526" s="49">
        <f t="shared" si="575"/>
        <v>184.90899999999999</v>
      </c>
      <c r="P526" s="49">
        <f t="shared" si="575"/>
        <v>193.4</v>
      </c>
      <c r="Q526" s="49">
        <f t="shared" si="575"/>
        <v>198.523</v>
      </c>
      <c r="R526" s="49">
        <f t="shared" si="575"/>
        <v>195.714</v>
      </c>
      <c r="S526" s="49">
        <f t="shared" si="575"/>
        <v>187.43100000000001</v>
      </c>
      <c r="T526" s="49">
        <f>T527/T525*1000</f>
        <v>191.16300000000001</v>
      </c>
      <c r="U526" s="49">
        <f>U527/U525*1000</f>
        <v>187.86500000000001</v>
      </c>
      <c r="V526" s="49">
        <f>V527/V525*1000</f>
        <v>195.77</v>
      </c>
      <c r="W526" s="49">
        <f>W527/W525*1000</f>
        <v>389.25</v>
      </c>
      <c r="X526" s="59"/>
    </row>
    <row r="527" spans="1:28" s="63" customFormat="1" ht="18" customHeight="1">
      <c r="A527" s="673"/>
      <c r="B527" s="581"/>
      <c r="C527" s="581"/>
      <c r="D527" s="198" t="str">
        <f>серпень!D450</f>
        <v>касові видатки, тис.грн.</v>
      </c>
      <c r="E527" s="72">
        <f t="shared" ref="E527:K527" si="576">E544+E713</f>
        <v>0</v>
      </c>
      <c r="F527" s="61">
        <f t="shared" si="576"/>
        <v>0</v>
      </c>
      <c r="G527" s="61">
        <f t="shared" si="576"/>
        <v>0</v>
      </c>
      <c r="H527" s="61">
        <f t="shared" si="576"/>
        <v>3.2690000000000001</v>
      </c>
      <c r="I527" s="61">
        <f t="shared" si="576"/>
        <v>1.2749999999999999</v>
      </c>
      <c r="J527" s="61">
        <f t="shared" si="576"/>
        <v>1.627</v>
      </c>
      <c r="K527" s="61">
        <f t="shared" si="576"/>
        <v>2.032</v>
      </c>
      <c r="L527" s="61">
        <f>SUM(F527:K527)</f>
        <v>8.2029999999999994</v>
      </c>
      <c r="M527" s="61">
        <f>L527/6</f>
        <v>1.367</v>
      </c>
      <c r="N527" s="61">
        <f t="shared" ref="N527:S529" si="577">N544+N713</f>
        <v>-6.0000000000000001E-3</v>
      </c>
      <c r="O527" s="61">
        <f t="shared" si="577"/>
        <v>2.0339999999999998</v>
      </c>
      <c r="P527" s="61">
        <f t="shared" si="577"/>
        <v>1.9339999999999999</v>
      </c>
      <c r="Q527" s="61">
        <f t="shared" si="577"/>
        <v>1.7470000000000001</v>
      </c>
      <c r="R527" s="61">
        <f t="shared" si="577"/>
        <v>1.7809999999999999</v>
      </c>
      <c r="S527" s="61">
        <f t="shared" si="577"/>
        <v>2.6989999999999998</v>
      </c>
      <c r="T527" s="61">
        <f>SUM(N527:S527)</f>
        <v>10.189</v>
      </c>
      <c r="U527" s="61">
        <f>T527+L527</f>
        <v>18.391999999999999</v>
      </c>
      <c r="V527" s="61">
        <f>V544+V713</f>
        <v>19.949000000000002</v>
      </c>
      <c r="W527" s="72">
        <f>V527-U527</f>
        <v>1.5569999999999999</v>
      </c>
      <c r="X527" s="63">
        <f>U522-U527</f>
        <v>0</v>
      </c>
    </row>
    <row r="528" spans="1:28" s="63" customFormat="1" ht="18" customHeight="1">
      <c r="A528" s="673"/>
      <c r="B528" s="581"/>
      <c r="C528" s="581"/>
      <c r="D528" s="201" t="str">
        <f>серпень!D451</f>
        <v>дотація</v>
      </c>
      <c r="E528" s="71"/>
      <c r="F528" s="61">
        <f t="shared" ref="F528:K529" si="578">F545+F714</f>
        <v>0</v>
      </c>
      <c r="G528" s="61">
        <f t="shared" si="578"/>
        <v>0</v>
      </c>
      <c r="H528" s="61">
        <f t="shared" si="578"/>
        <v>0</v>
      </c>
      <c r="I528" s="61">
        <f t="shared" si="578"/>
        <v>0</v>
      </c>
      <c r="J528" s="61">
        <f t="shared" si="578"/>
        <v>0</v>
      </c>
      <c r="K528" s="61">
        <f t="shared" si="578"/>
        <v>0</v>
      </c>
      <c r="L528" s="61">
        <f>SUM(F528:K528)</f>
        <v>0</v>
      </c>
      <c r="M528" s="61">
        <f>L528/6</f>
        <v>0</v>
      </c>
      <c r="N528" s="61">
        <f t="shared" si="577"/>
        <v>0</v>
      </c>
      <c r="O528" s="61">
        <f t="shared" si="577"/>
        <v>0</v>
      </c>
      <c r="P528" s="61">
        <f t="shared" si="577"/>
        <v>0</v>
      </c>
      <c r="Q528" s="61">
        <f t="shared" si="577"/>
        <v>0</v>
      </c>
      <c r="R528" s="61">
        <f t="shared" si="577"/>
        <v>0</v>
      </c>
      <c r="S528" s="61">
        <f t="shared" si="577"/>
        <v>0</v>
      </c>
      <c r="T528" s="61">
        <f>SUM(N528:S528)</f>
        <v>0</v>
      </c>
      <c r="U528" s="61">
        <f>T528+L528</f>
        <v>0</v>
      </c>
      <c r="V528" s="61">
        <f>V545+V714</f>
        <v>0</v>
      </c>
      <c r="W528" s="72">
        <f>V528-U528</f>
        <v>0</v>
      </c>
      <c r="X528" s="63">
        <f>U523-U528</f>
        <v>0</v>
      </c>
    </row>
    <row r="529" spans="1:24" s="63" customFormat="1" ht="18" customHeight="1">
      <c r="A529" s="673"/>
      <c r="B529" s="581"/>
      <c r="C529" s="581"/>
      <c r="D529" s="201" t="str">
        <f>серпень!D452</f>
        <v xml:space="preserve">місцевий </v>
      </c>
      <c r="E529" s="71"/>
      <c r="F529" s="61">
        <f t="shared" si="578"/>
        <v>0</v>
      </c>
      <c r="G529" s="61">
        <f t="shared" si="578"/>
        <v>0</v>
      </c>
      <c r="H529" s="61">
        <f t="shared" si="578"/>
        <v>3.2690000000000001</v>
      </c>
      <c r="I529" s="61">
        <f t="shared" si="578"/>
        <v>1.2749999999999999</v>
      </c>
      <c r="J529" s="61">
        <f t="shared" si="578"/>
        <v>1.627</v>
      </c>
      <c r="K529" s="61">
        <f t="shared" si="578"/>
        <v>2.032</v>
      </c>
      <c r="L529" s="61">
        <f>SUM(F529:K529)</f>
        <v>8.2029999999999994</v>
      </c>
      <c r="M529" s="61">
        <f>L529/6</f>
        <v>1.367</v>
      </c>
      <c r="N529" s="61">
        <f t="shared" si="577"/>
        <v>-6.0000000000000001E-3</v>
      </c>
      <c r="O529" s="61">
        <f t="shared" si="577"/>
        <v>2.0339999999999998</v>
      </c>
      <c r="P529" s="61">
        <f t="shared" si="577"/>
        <v>1.9339999999999999</v>
      </c>
      <c r="Q529" s="61">
        <f t="shared" si="577"/>
        <v>1.7470000000000001</v>
      </c>
      <c r="R529" s="61">
        <f t="shared" si="577"/>
        <v>1.7809999999999999</v>
      </c>
      <c r="S529" s="61">
        <f t="shared" si="577"/>
        <v>2.6989999999999998</v>
      </c>
      <c r="T529" s="61">
        <f>SUM(N529:S529)</f>
        <v>10.189</v>
      </c>
      <c r="U529" s="61">
        <f>T529+L529</f>
        <v>18.391999999999999</v>
      </c>
      <c r="V529" s="61">
        <f>V546+V715</f>
        <v>19.949000000000002</v>
      </c>
      <c r="W529" s="72">
        <f>V529-U529</f>
        <v>1.5569999999999999</v>
      </c>
      <c r="X529" s="63">
        <f>U524-U529</f>
        <v>1.5569999999999999</v>
      </c>
    </row>
    <row r="530" spans="1:24" s="43" customFormat="1" ht="18" customHeight="1">
      <c r="A530" s="673"/>
      <c r="B530" s="581"/>
      <c r="C530" s="581"/>
      <c r="D530" s="202" t="str">
        <f>серпень!D453</f>
        <v>план</v>
      </c>
      <c r="E530" s="42"/>
      <c r="F530" s="42">
        <f>F524+F523</f>
        <v>0</v>
      </c>
      <c r="G530" s="42">
        <f t="shared" ref="G530:K530" si="579">G524+G523</f>
        <v>2.04</v>
      </c>
      <c r="H530" s="42">
        <f t="shared" si="579"/>
        <v>1.56</v>
      </c>
      <c r="I530" s="42">
        <f t="shared" si="579"/>
        <v>1.3109999999999999</v>
      </c>
      <c r="J530" s="42">
        <f t="shared" si="579"/>
        <v>1.7470000000000001</v>
      </c>
      <c r="K530" s="42">
        <f t="shared" si="579"/>
        <v>1.9330000000000001</v>
      </c>
      <c r="L530" s="42">
        <f>SUM(F530:K530)</f>
        <v>8.5909999999999993</v>
      </c>
      <c r="M530" s="42">
        <f>L530/6</f>
        <v>1.4319999999999999</v>
      </c>
      <c r="N530" s="42">
        <f>N524+N523</f>
        <v>3.0000000000000001E-3</v>
      </c>
      <c r="O530" s="42">
        <f t="shared" ref="O530:S530" si="580">O524+O523</f>
        <v>1.7470000000000001</v>
      </c>
      <c r="P530" s="42">
        <f t="shared" si="580"/>
        <v>3.6779999999999999</v>
      </c>
      <c r="Q530" s="42">
        <f t="shared" si="580"/>
        <v>1.7470000000000001</v>
      </c>
      <c r="R530" s="42">
        <f t="shared" si="580"/>
        <v>1.7809999999999999</v>
      </c>
      <c r="S530" s="42">
        <f t="shared" si="580"/>
        <v>2.4020000000000001</v>
      </c>
      <c r="T530" s="42">
        <f>SUM(N530:S530)</f>
        <v>11.358000000000001</v>
      </c>
      <c r="U530" s="42">
        <f>T530+L530</f>
        <v>19.949000000000002</v>
      </c>
      <c r="V530" s="42">
        <f t="shared" ref="V530" si="581">V524+V523</f>
        <v>19.949000000000002</v>
      </c>
      <c r="W530" s="42">
        <f>V530-U530</f>
        <v>0</v>
      </c>
    </row>
    <row r="531" spans="1:24" s="43" customFormat="1" ht="18" customHeight="1">
      <c r="A531" s="673"/>
      <c r="B531" s="581"/>
      <c r="C531" s="581"/>
      <c r="D531" s="202" t="str">
        <f>серпень!D454</f>
        <v xml:space="preserve">відхилення </v>
      </c>
      <c r="E531" s="42"/>
      <c r="F531" s="42">
        <f t="shared" ref="F531:K531" si="582">F527-F530</f>
        <v>0</v>
      </c>
      <c r="G531" s="42">
        <f t="shared" si="582"/>
        <v>-2.04</v>
      </c>
      <c r="H531" s="42">
        <f t="shared" si="582"/>
        <v>1.7090000000000001</v>
      </c>
      <c r="I531" s="42">
        <f t="shared" si="582"/>
        <v>-3.5999999999999997E-2</v>
      </c>
      <c r="J531" s="42">
        <f t="shared" si="582"/>
        <v>-0.12</v>
      </c>
      <c r="K531" s="42">
        <f t="shared" si="582"/>
        <v>9.9000000000000005E-2</v>
      </c>
      <c r="L531" s="42"/>
      <c r="M531" s="42"/>
      <c r="N531" s="42">
        <f t="shared" ref="N531:S531" si="583">N527-N530</f>
        <v>-8.9999999999999993E-3</v>
      </c>
      <c r="O531" s="42">
        <f t="shared" si="583"/>
        <v>0.28699999999999998</v>
      </c>
      <c r="P531" s="42">
        <f t="shared" si="583"/>
        <v>-1.744</v>
      </c>
      <c r="Q531" s="42">
        <f t="shared" si="583"/>
        <v>0</v>
      </c>
      <c r="R531" s="42">
        <f t="shared" si="583"/>
        <v>0</v>
      </c>
      <c r="S531" s="42">
        <f t="shared" si="583"/>
        <v>0.29699999999999999</v>
      </c>
      <c r="T531" s="42"/>
      <c r="U531" s="42"/>
      <c r="V531" s="42"/>
      <c r="W531" s="42"/>
    </row>
    <row r="532" spans="1:24" s="43" customFormat="1" ht="18" customHeight="1">
      <c r="A532" s="673"/>
      <c r="B532" s="581"/>
      <c r="C532" s="581"/>
      <c r="D532" s="202" t="str">
        <f>серпень!D455</f>
        <v>відхилення з наростаючим</v>
      </c>
      <c r="E532" s="42"/>
      <c r="F532" s="42">
        <f>F531</f>
        <v>0</v>
      </c>
      <c r="G532" s="42">
        <f>G531+F532</f>
        <v>-2.04</v>
      </c>
      <c r="H532" s="42">
        <f>H531+G532</f>
        <v>-0.33100000000000002</v>
      </c>
      <c r="I532" s="42">
        <f>I531+H532</f>
        <v>-0.36699999999999999</v>
      </c>
      <c r="J532" s="42">
        <f>J531+I532</f>
        <v>-0.48699999999999999</v>
      </c>
      <c r="K532" s="42">
        <f>K531+J532</f>
        <v>-0.38800000000000001</v>
      </c>
      <c r="L532" s="42"/>
      <c r="M532" s="42"/>
      <c r="N532" s="42">
        <f>N531+K532</f>
        <v>-0.39700000000000002</v>
      </c>
      <c r="O532" s="42">
        <f>O531+N532</f>
        <v>-0.11</v>
      </c>
      <c r="P532" s="42">
        <f>P531+O532</f>
        <v>-1.8540000000000001</v>
      </c>
      <c r="Q532" s="42">
        <f>Q531+P532</f>
        <v>-1.8540000000000001</v>
      </c>
      <c r="R532" s="42">
        <f>R531+Q532</f>
        <v>-1.8540000000000001</v>
      </c>
      <c r="S532" s="42">
        <f>S531+R532</f>
        <v>-1.5569999999999999</v>
      </c>
      <c r="T532" s="42"/>
      <c r="U532" s="42"/>
      <c r="V532" s="42"/>
      <c r="W532" s="42"/>
    </row>
    <row r="533" spans="1:24" s="47" customFormat="1" ht="18" customHeight="1">
      <c r="A533" s="673"/>
      <c r="B533" s="576" t="s">
        <v>90</v>
      </c>
      <c r="C533" s="577"/>
      <c r="D533" s="178" t="str">
        <f>серпень!D456</f>
        <v>факт. нат.п-ки 2023</v>
      </c>
      <c r="E533" s="11"/>
      <c r="F533" s="12">
        <f t="shared" ref="F533:K535" si="584">F550+F627</f>
        <v>8.5</v>
      </c>
      <c r="G533" s="12">
        <f t="shared" si="584"/>
        <v>8.1999999999999993</v>
      </c>
      <c r="H533" s="12">
        <f t="shared" si="584"/>
        <v>8</v>
      </c>
      <c r="I533" s="12">
        <f t="shared" si="584"/>
        <v>8.8000000000000007</v>
      </c>
      <c r="J533" s="12">
        <f t="shared" si="584"/>
        <v>6.9</v>
      </c>
      <c r="K533" s="12">
        <f t="shared" si="584"/>
        <v>8.8000000000000007</v>
      </c>
      <c r="L533" s="117">
        <f>SUM(F533:K533)</f>
        <v>49.2</v>
      </c>
      <c r="M533" s="117">
        <f>L533/6</f>
        <v>8.1999999999999993</v>
      </c>
      <c r="N533" s="12">
        <f t="shared" ref="N533:S535" si="585">N550+N627</f>
        <v>8.8000000000000007</v>
      </c>
      <c r="O533" s="12">
        <f t="shared" si="585"/>
        <v>11</v>
      </c>
      <c r="P533" s="12">
        <f t="shared" si="585"/>
        <v>8.5</v>
      </c>
      <c r="Q533" s="12">
        <f t="shared" si="585"/>
        <v>8.5</v>
      </c>
      <c r="R533" s="12">
        <f t="shared" si="585"/>
        <v>9.1999999999999993</v>
      </c>
      <c r="S533" s="12">
        <f t="shared" si="585"/>
        <v>7.2</v>
      </c>
      <c r="T533" s="117">
        <f>SUM(N533:S533)</f>
        <v>53.2</v>
      </c>
      <c r="U533" s="117">
        <f>T533+L533</f>
        <v>102.4</v>
      </c>
      <c r="V533" s="76"/>
      <c r="W533" s="38"/>
    </row>
    <row r="534" spans="1:24" s="47" customFormat="1" ht="18" customHeight="1">
      <c r="A534" s="673"/>
      <c r="B534" s="576"/>
      <c r="C534" s="577"/>
      <c r="D534" s="178" t="str">
        <f>серпень!D457</f>
        <v>факт. нат.п-ки 2024</v>
      </c>
      <c r="E534" s="11"/>
      <c r="F534" s="12">
        <f t="shared" si="584"/>
        <v>8.8000000000000007</v>
      </c>
      <c r="G534" s="12">
        <f t="shared" si="584"/>
        <v>8</v>
      </c>
      <c r="H534" s="12">
        <f t="shared" si="584"/>
        <v>6.6</v>
      </c>
      <c r="I534" s="12">
        <f t="shared" si="584"/>
        <v>8.8000000000000007</v>
      </c>
      <c r="J534" s="12">
        <f t="shared" si="584"/>
        <v>11</v>
      </c>
      <c r="K534" s="12">
        <f t="shared" si="584"/>
        <v>8.8000000000000007</v>
      </c>
      <c r="L534" s="117">
        <f>SUM(F534:K534)</f>
        <v>52</v>
      </c>
      <c r="M534" s="117">
        <f>L534/6</f>
        <v>8.6999999999999993</v>
      </c>
      <c r="N534" s="12">
        <f t="shared" si="585"/>
        <v>8.8000000000000007</v>
      </c>
      <c r="O534" s="12">
        <f t="shared" si="585"/>
        <v>11</v>
      </c>
      <c r="P534" s="12">
        <f t="shared" si="585"/>
        <v>8.8000000000000007</v>
      </c>
      <c r="Q534" s="12">
        <f t="shared" si="585"/>
        <v>10.5</v>
      </c>
      <c r="R534" s="12">
        <f t="shared" si="585"/>
        <v>7.3</v>
      </c>
      <c r="S534" s="12">
        <f t="shared" si="585"/>
        <v>3.9</v>
      </c>
      <c r="T534" s="117">
        <f>SUM(N534:S534)</f>
        <v>50.3</v>
      </c>
      <c r="U534" s="117">
        <f>T534+L534</f>
        <v>102.3</v>
      </c>
      <c r="V534" s="76"/>
      <c r="W534" s="38"/>
    </row>
    <row r="535" spans="1:24" s="47" customFormat="1" ht="18" customHeight="1">
      <c r="A535" s="673"/>
      <c r="B535" s="576"/>
      <c r="C535" s="577"/>
      <c r="D535" s="178" t="str">
        <f>серпень!D458</f>
        <v>факт. нат.п-ки 2025</v>
      </c>
      <c r="E535" s="11"/>
      <c r="F535" s="12">
        <f t="shared" si="584"/>
        <v>11</v>
      </c>
      <c r="G535" s="12">
        <f t="shared" si="584"/>
        <v>6.8</v>
      </c>
      <c r="H535" s="12">
        <f t="shared" si="584"/>
        <v>7</v>
      </c>
      <c r="I535" s="12">
        <f t="shared" si="584"/>
        <v>8.8000000000000007</v>
      </c>
      <c r="J535" s="12">
        <f t="shared" si="584"/>
        <v>6.6</v>
      </c>
      <c r="K535" s="12">
        <f t="shared" si="584"/>
        <v>4.4000000000000004</v>
      </c>
      <c r="L535" s="117">
        <f>SUM(F535:K535)</f>
        <v>44.6</v>
      </c>
      <c r="M535" s="117">
        <f>L535/6</f>
        <v>7.4</v>
      </c>
      <c r="N535" s="12">
        <f t="shared" si="585"/>
        <v>11</v>
      </c>
      <c r="O535" s="12">
        <f t="shared" si="585"/>
        <v>9.9</v>
      </c>
      <c r="P535" s="12">
        <f t="shared" si="585"/>
        <v>8.8000000000000007</v>
      </c>
      <c r="Q535" s="12">
        <f t="shared" si="585"/>
        <v>9.1</v>
      </c>
      <c r="R535" s="12">
        <f t="shared" si="585"/>
        <v>8.8000000000000007</v>
      </c>
      <c r="S535" s="12">
        <f t="shared" si="585"/>
        <v>5.6</v>
      </c>
      <c r="T535" s="117">
        <f>SUM(N535:S535)</f>
        <v>53.2</v>
      </c>
      <c r="U535" s="117">
        <f>T535+L535</f>
        <v>97.8</v>
      </c>
      <c r="V535" s="76">
        <f>V552+V629</f>
        <v>101.9</v>
      </c>
      <c r="W535" s="38">
        <f>V535-U535</f>
        <v>4.0999999999999996</v>
      </c>
    </row>
    <row r="536" spans="1:24" s="47" customFormat="1" ht="18" customHeight="1">
      <c r="A536" s="673"/>
      <c r="B536" s="576"/>
      <c r="C536" s="577"/>
      <c r="D536" s="187" t="str">
        <f>серпень!D459</f>
        <v>тариф, грн.</v>
      </c>
      <c r="E536" s="49" t="e">
        <f>E537/E535*1000</f>
        <v>#DIV/0!</v>
      </c>
      <c r="F536" s="49">
        <f t="shared" ref="F536:S536" si="586">F537/F535*1000</f>
        <v>185.18199999999999</v>
      </c>
      <c r="G536" s="49">
        <f t="shared" si="586"/>
        <v>180.14699999999999</v>
      </c>
      <c r="H536" s="49">
        <f t="shared" si="586"/>
        <v>181.714</v>
      </c>
      <c r="I536" s="49">
        <f t="shared" si="586"/>
        <v>184.43199999999999</v>
      </c>
      <c r="J536" s="49">
        <f t="shared" si="586"/>
        <v>193.18199999999999</v>
      </c>
      <c r="K536" s="49">
        <f t="shared" si="586"/>
        <v>169.31800000000001</v>
      </c>
      <c r="L536" s="49">
        <f t="shared" si="586"/>
        <v>183.34100000000001</v>
      </c>
      <c r="M536" s="49">
        <f t="shared" si="586"/>
        <v>184.18899999999999</v>
      </c>
      <c r="N536" s="49">
        <f t="shared" si="586"/>
        <v>184.727</v>
      </c>
      <c r="O536" s="49">
        <f t="shared" si="586"/>
        <v>194.94900000000001</v>
      </c>
      <c r="P536" s="49">
        <f t="shared" si="586"/>
        <v>198.06800000000001</v>
      </c>
      <c r="Q536" s="49">
        <f t="shared" si="586"/>
        <v>195.27500000000001</v>
      </c>
      <c r="R536" s="49">
        <f t="shared" si="586"/>
        <v>189.31800000000001</v>
      </c>
      <c r="S536" s="49">
        <f t="shared" si="586"/>
        <v>181.964</v>
      </c>
      <c r="T536" s="49">
        <f>T537/T535*1000</f>
        <v>191.10900000000001</v>
      </c>
      <c r="U536" s="49">
        <f>U537/U535*1000</f>
        <v>187.566</v>
      </c>
      <c r="V536" s="49">
        <f>V537/V535*1000</f>
        <v>195.28</v>
      </c>
      <c r="W536" s="49">
        <f>W537/W535*1000</f>
        <v>379.26799999999997</v>
      </c>
    </row>
    <row r="537" spans="1:24" s="130" customFormat="1" ht="18" customHeight="1">
      <c r="A537" s="673"/>
      <c r="B537" s="576"/>
      <c r="C537" s="577"/>
      <c r="D537" s="191" t="str">
        <f>серпень!D460</f>
        <v>сума, тис.грн.</v>
      </c>
      <c r="E537" s="52"/>
      <c r="F537" s="52">
        <f t="shared" ref="F537:K537" si="587">F554+F631</f>
        <v>2.0369999999999999</v>
      </c>
      <c r="G537" s="52">
        <f t="shared" si="587"/>
        <v>1.2250000000000001</v>
      </c>
      <c r="H537" s="52">
        <f t="shared" si="587"/>
        <v>1.272</v>
      </c>
      <c r="I537" s="52">
        <f t="shared" si="587"/>
        <v>1.623</v>
      </c>
      <c r="J537" s="52">
        <f t="shared" si="587"/>
        <v>1.2749999999999999</v>
      </c>
      <c r="K537" s="52">
        <f t="shared" si="587"/>
        <v>0.745</v>
      </c>
      <c r="L537" s="69">
        <f t="shared" ref="L537:L542" si="588">SUM(F537:K537)</f>
        <v>8.1769999999999996</v>
      </c>
      <c r="M537" s="69">
        <f t="shared" ref="M537:M542" si="589">L537/6</f>
        <v>1.363</v>
      </c>
      <c r="N537" s="52">
        <f t="shared" ref="N537:S537" si="590">N554+N631</f>
        <v>2.032</v>
      </c>
      <c r="O537" s="52">
        <f t="shared" si="590"/>
        <v>1.93</v>
      </c>
      <c r="P537" s="52">
        <f t="shared" si="590"/>
        <v>1.7430000000000001</v>
      </c>
      <c r="Q537" s="52">
        <f t="shared" si="590"/>
        <v>1.7769999999999999</v>
      </c>
      <c r="R537" s="52">
        <f t="shared" si="590"/>
        <v>1.6659999999999999</v>
      </c>
      <c r="S537" s="52">
        <f t="shared" si="590"/>
        <v>1.0189999999999999</v>
      </c>
      <c r="T537" s="69">
        <f>SUM(N537:S537)</f>
        <v>10.167</v>
      </c>
      <c r="U537" s="69">
        <f>T537+L537</f>
        <v>18.344000000000001</v>
      </c>
      <c r="V537" s="69">
        <f>V554+V631</f>
        <v>19.899000000000001</v>
      </c>
      <c r="W537" s="52">
        <f>V537-U537</f>
        <v>1.5549999999999999</v>
      </c>
    </row>
    <row r="538" spans="1:24" s="130" customFormat="1" ht="18" customHeight="1">
      <c r="A538" s="673"/>
      <c r="B538" s="576"/>
      <c r="C538" s="577"/>
      <c r="D538" s="174" t="str">
        <f>серпень!D461</f>
        <v>абоненська плата, тис.грн.</v>
      </c>
      <c r="E538" s="52"/>
      <c r="F538" s="52">
        <f>F555</f>
        <v>6.0000000000000001E-3</v>
      </c>
      <c r="G538" s="52">
        <f t="shared" ref="G538:K538" si="591">G555</f>
        <v>4.0000000000000001E-3</v>
      </c>
      <c r="H538" s="52">
        <f t="shared" si="591"/>
        <v>4.0000000000000001E-3</v>
      </c>
      <c r="I538" s="52">
        <f t="shared" si="591"/>
        <v>4.0000000000000001E-3</v>
      </c>
      <c r="J538" s="52">
        <f t="shared" si="591"/>
        <v>4.0000000000000001E-3</v>
      </c>
      <c r="K538" s="52">
        <f t="shared" si="591"/>
        <v>2E-3</v>
      </c>
      <c r="L538" s="69">
        <f t="shared" si="588"/>
        <v>2.4E-2</v>
      </c>
      <c r="M538" s="69">
        <f t="shared" si="589"/>
        <v>4.0000000000000001E-3</v>
      </c>
      <c r="N538" s="52">
        <f>N555</f>
        <v>4.0000000000000001E-3</v>
      </c>
      <c r="O538" s="52">
        <f t="shared" ref="O538:S538" si="592">O555</f>
        <v>4.0000000000000001E-3</v>
      </c>
      <c r="P538" s="52">
        <f t="shared" si="592"/>
        <v>4.0000000000000001E-3</v>
      </c>
      <c r="Q538" s="52">
        <f t="shared" si="592"/>
        <v>4.0000000000000001E-3</v>
      </c>
      <c r="R538" s="52">
        <f t="shared" si="592"/>
        <v>4.0000000000000001E-3</v>
      </c>
      <c r="S538" s="52">
        <f t="shared" si="592"/>
        <v>4.0000000000000001E-3</v>
      </c>
      <c r="T538" s="69">
        <f t="shared" ref="T538:T539" si="593">SUM(N538:S538)</f>
        <v>2.4E-2</v>
      </c>
      <c r="U538" s="69">
        <f t="shared" ref="U538:U539" si="594">T538+L538</f>
        <v>4.8000000000000001E-2</v>
      </c>
      <c r="V538" s="69">
        <f t="shared" ref="V538" si="595">V555</f>
        <v>0.05</v>
      </c>
      <c r="W538" s="52">
        <f t="shared" ref="W538:W540" si="596">V538-U538</f>
        <v>2E-3</v>
      </c>
    </row>
    <row r="539" spans="1:24" s="130" customFormat="1" ht="18" customHeight="1">
      <c r="A539" s="673"/>
      <c r="B539" s="576"/>
      <c r="C539" s="577"/>
      <c r="D539" s="174" t="str">
        <f>серпень!D462</f>
        <v>разом сума тис. грн+абонплата</v>
      </c>
      <c r="E539" s="52"/>
      <c r="F539" s="52">
        <f>F537+F538</f>
        <v>2.0430000000000001</v>
      </c>
      <c r="G539" s="52">
        <f t="shared" ref="G539:K539" si="597">G537+G538</f>
        <v>1.2290000000000001</v>
      </c>
      <c r="H539" s="52">
        <f t="shared" si="597"/>
        <v>1.276</v>
      </c>
      <c r="I539" s="52">
        <f t="shared" si="597"/>
        <v>1.627</v>
      </c>
      <c r="J539" s="52">
        <f t="shared" si="597"/>
        <v>1.2789999999999999</v>
      </c>
      <c r="K539" s="52">
        <f t="shared" si="597"/>
        <v>0.747</v>
      </c>
      <c r="L539" s="69">
        <f t="shared" si="588"/>
        <v>8.2010000000000005</v>
      </c>
      <c r="M539" s="69">
        <f t="shared" si="589"/>
        <v>1.367</v>
      </c>
      <c r="N539" s="52">
        <f>N537+N538</f>
        <v>2.036</v>
      </c>
      <c r="O539" s="52">
        <f t="shared" ref="O539" si="598">O537+O538</f>
        <v>1.9339999999999999</v>
      </c>
      <c r="P539" s="52">
        <f t="shared" ref="P539" si="599">P537+P538</f>
        <v>1.7470000000000001</v>
      </c>
      <c r="Q539" s="52">
        <f t="shared" ref="Q539" si="600">Q537+Q538</f>
        <v>1.7809999999999999</v>
      </c>
      <c r="R539" s="52">
        <f t="shared" ref="R539" si="601">R537+R538</f>
        <v>1.67</v>
      </c>
      <c r="S539" s="52">
        <f t="shared" ref="S539" si="602">S537+S538</f>
        <v>1.0229999999999999</v>
      </c>
      <c r="T539" s="69">
        <f t="shared" si="593"/>
        <v>10.191000000000001</v>
      </c>
      <c r="U539" s="69">
        <f t="shared" si="594"/>
        <v>18.391999999999999</v>
      </c>
      <c r="V539" s="69">
        <f t="shared" ref="V539" si="603">V537+V538</f>
        <v>19.949000000000002</v>
      </c>
      <c r="W539" s="52">
        <f t="shared" si="596"/>
        <v>1.5569999999999999</v>
      </c>
    </row>
    <row r="540" spans="1:24" s="130" customFormat="1" ht="18" customHeight="1">
      <c r="A540" s="673"/>
      <c r="B540" s="576"/>
      <c r="C540" s="577"/>
      <c r="D540" s="174" t="str">
        <f>серпень!D463</f>
        <v>дотація</v>
      </c>
      <c r="E540" s="56"/>
      <c r="F540" s="52">
        <f t="shared" ref="F540:K542" si="604">F557+F634</f>
        <v>0</v>
      </c>
      <c r="G540" s="52">
        <f t="shared" si="604"/>
        <v>0</v>
      </c>
      <c r="H540" s="52">
        <f t="shared" si="604"/>
        <v>0</v>
      </c>
      <c r="I540" s="52">
        <f t="shared" si="604"/>
        <v>0</v>
      </c>
      <c r="J540" s="52">
        <f t="shared" si="604"/>
        <v>0</v>
      </c>
      <c r="K540" s="52">
        <f t="shared" si="604"/>
        <v>0</v>
      </c>
      <c r="L540" s="69">
        <f t="shared" si="588"/>
        <v>0</v>
      </c>
      <c r="M540" s="69">
        <f t="shared" si="589"/>
        <v>0</v>
      </c>
      <c r="N540" s="52">
        <f t="shared" ref="N540:S542" si="605">N557+N634</f>
        <v>0</v>
      </c>
      <c r="O540" s="52">
        <f t="shared" si="605"/>
        <v>0</v>
      </c>
      <c r="P540" s="52">
        <f t="shared" si="605"/>
        <v>0</v>
      </c>
      <c r="Q540" s="52">
        <f t="shared" si="605"/>
        <v>0</v>
      </c>
      <c r="R540" s="52">
        <f t="shared" si="605"/>
        <v>0</v>
      </c>
      <c r="S540" s="52">
        <f t="shared" si="605"/>
        <v>0</v>
      </c>
      <c r="T540" s="69">
        <f>SUM(N540:S540)</f>
        <v>0</v>
      </c>
      <c r="U540" s="69">
        <f>T540+L540</f>
        <v>0</v>
      </c>
      <c r="V540" s="69">
        <f>V557+V634</f>
        <v>0</v>
      </c>
      <c r="W540" s="52">
        <f t="shared" si="596"/>
        <v>0</v>
      </c>
      <c r="X540" s="134"/>
    </row>
    <row r="541" spans="1:24" s="130" customFormat="1" ht="18" customHeight="1">
      <c r="A541" s="673"/>
      <c r="B541" s="576"/>
      <c r="C541" s="577"/>
      <c r="D541" s="174" t="str">
        <f>серпень!D464</f>
        <v>місцевий (план), тис.грн</v>
      </c>
      <c r="E541" s="56"/>
      <c r="F541" s="52">
        <f t="shared" si="604"/>
        <v>0</v>
      </c>
      <c r="G541" s="52">
        <f t="shared" si="604"/>
        <v>2.04</v>
      </c>
      <c r="H541" s="52">
        <f t="shared" si="604"/>
        <v>1.56</v>
      </c>
      <c r="I541" s="52">
        <f t="shared" si="604"/>
        <v>1.3109999999999999</v>
      </c>
      <c r="J541" s="52">
        <f t="shared" si="604"/>
        <v>1.7470000000000001</v>
      </c>
      <c r="K541" s="52">
        <f t="shared" si="604"/>
        <v>1.9330000000000001</v>
      </c>
      <c r="L541" s="69">
        <f t="shared" si="588"/>
        <v>8.5909999999999993</v>
      </c>
      <c r="M541" s="69">
        <f t="shared" si="589"/>
        <v>1.4319999999999999</v>
      </c>
      <c r="N541" s="52">
        <f t="shared" si="605"/>
        <v>3.0000000000000001E-3</v>
      </c>
      <c r="O541" s="52">
        <f t="shared" si="605"/>
        <v>1.7470000000000001</v>
      </c>
      <c r="P541" s="52">
        <f t="shared" si="605"/>
        <v>3.6779999999999999</v>
      </c>
      <c r="Q541" s="52">
        <f t="shared" si="605"/>
        <v>1.7470000000000001</v>
      </c>
      <c r="R541" s="52">
        <f t="shared" si="605"/>
        <v>1.7809999999999999</v>
      </c>
      <c r="S541" s="52">
        <f t="shared" si="605"/>
        <v>2.4020000000000001</v>
      </c>
      <c r="T541" s="69">
        <f>SUM(N541:S541)</f>
        <v>11.358000000000001</v>
      </c>
      <c r="U541" s="69">
        <f>T541+L541</f>
        <v>19.949000000000002</v>
      </c>
      <c r="V541" s="69">
        <f>V558+V635</f>
        <v>19.949000000000002</v>
      </c>
      <c r="W541" s="52">
        <f>V541-U541</f>
        <v>0</v>
      </c>
    </row>
    <row r="542" spans="1:24" s="47" customFormat="1" ht="18" customHeight="1">
      <c r="A542" s="673"/>
      <c r="B542" s="576"/>
      <c r="C542" s="577"/>
      <c r="D542" s="178" t="str">
        <f>серпень!D465</f>
        <v>касові нат.п-ки 2025</v>
      </c>
      <c r="E542" s="12">
        <f>E559+E636</f>
        <v>0</v>
      </c>
      <c r="F542" s="12">
        <f t="shared" si="604"/>
        <v>0</v>
      </c>
      <c r="G542" s="12">
        <f t="shared" si="604"/>
        <v>0</v>
      </c>
      <c r="H542" s="12">
        <f t="shared" si="604"/>
        <v>17.8</v>
      </c>
      <c r="I542" s="12">
        <f t="shared" si="604"/>
        <v>7</v>
      </c>
      <c r="J542" s="12">
        <f t="shared" si="604"/>
        <v>8.8000000000000007</v>
      </c>
      <c r="K542" s="12">
        <f t="shared" si="604"/>
        <v>11</v>
      </c>
      <c r="L542" s="117">
        <f t="shared" si="588"/>
        <v>44.6</v>
      </c>
      <c r="M542" s="117">
        <f t="shared" si="589"/>
        <v>7.4</v>
      </c>
      <c r="N542" s="12">
        <f t="shared" si="605"/>
        <v>0</v>
      </c>
      <c r="O542" s="12">
        <f t="shared" si="605"/>
        <v>11</v>
      </c>
      <c r="P542" s="12">
        <f t="shared" si="605"/>
        <v>10</v>
      </c>
      <c r="Q542" s="12">
        <f t="shared" si="605"/>
        <v>8.8000000000000007</v>
      </c>
      <c r="R542" s="12">
        <f t="shared" si="605"/>
        <v>9.1</v>
      </c>
      <c r="S542" s="12">
        <f t="shared" si="605"/>
        <v>14.4</v>
      </c>
      <c r="T542" s="117">
        <f>SUM(N542:S542)</f>
        <v>53.3</v>
      </c>
      <c r="U542" s="117">
        <f>T542+L542</f>
        <v>97.9</v>
      </c>
      <c r="V542" s="76">
        <f>V559+V636</f>
        <v>101.9</v>
      </c>
      <c r="W542" s="38">
        <f>V542-U542</f>
        <v>4</v>
      </c>
      <c r="X542" s="47">
        <f>U535-U542</f>
        <v>-0.1</v>
      </c>
    </row>
    <row r="543" spans="1:24" s="47" customFormat="1" ht="18" customHeight="1">
      <c r="A543" s="673"/>
      <c r="B543" s="576"/>
      <c r="C543" s="577"/>
      <c r="D543" s="187" t="str">
        <f>серпень!D466</f>
        <v>тариф, грн.</v>
      </c>
      <c r="E543" s="49" t="e">
        <f>E544/E542*1000</f>
        <v>#DIV/0!</v>
      </c>
      <c r="F543" s="49" t="e">
        <f t="shared" ref="F543:S543" si="606">F544/F542*1000</f>
        <v>#DIV/0!</v>
      </c>
      <c r="G543" s="49" t="e">
        <f t="shared" si="606"/>
        <v>#DIV/0!</v>
      </c>
      <c r="H543" s="49">
        <f t="shared" si="606"/>
        <v>183.65199999999999</v>
      </c>
      <c r="I543" s="49">
        <f t="shared" si="606"/>
        <v>182.143</v>
      </c>
      <c r="J543" s="49">
        <f t="shared" si="606"/>
        <v>184.886</v>
      </c>
      <c r="K543" s="49">
        <f t="shared" si="606"/>
        <v>184.727</v>
      </c>
      <c r="L543" s="49">
        <f t="shared" si="606"/>
        <v>183.92400000000001</v>
      </c>
      <c r="M543" s="49">
        <f t="shared" si="606"/>
        <v>184.73</v>
      </c>
      <c r="N543" s="49" t="e">
        <f t="shared" si="606"/>
        <v>#DIV/0!</v>
      </c>
      <c r="O543" s="49">
        <f t="shared" si="606"/>
        <v>184.90899999999999</v>
      </c>
      <c r="P543" s="49">
        <f t="shared" si="606"/>
        <v>193.4</v>
      </c>
      <c r="Q543" s="49">
        <f t="shared" si="606"/>
        <v>198.523</v>
      </c>
      <c r="R543" s="49">
        <f t="shared" si="606"/>
        <v>195.714</v>
      </c>
      <c r="S543" s="49">
        <f t="shared" si="606"/>
        <v>187.43100000000001</v>
      </c>
      <c r="T543" s="49">
        <f>T544/T542*1000</f>
        <v>191.16300000000001</v>
      </c>
      <c r="U543" s="49">
        <f>U544/U542*1000</f>
        <v>187.86500000000001</v>
      </c>
      <c r="V543" s="49">
        <f>V544/V542*1000</f>
        <v>195.77</v>
      </c>
      <c r="W543" s="49">
        <f>W544/W542*1000</f>
        <v>389.25</v>
      </c>
      <c r="X543" s="59"/>
    </row>
    <row r="544" spans="1:24" s="63" customFormat="1" ht="18" customHeight="1">
      <c r="A544" s="673"/>
      <c r="B544" s="576"/>
      <c r="C544" s="577"/>
      <c r="D544" s="198" t="str">
        <f>серпень!D467</f>
        <v>касові видатки, тис.грн.</v>
      </c>
      <c r="E544" s="72">
        <f t="shared" ref="E544:K544" si="607">E561+E638</f>
        <v>0</v>
      </c>
      <c r="F544" s="61">
        <f t="shared" si="607"/>
        <v>0</v>
      </c>
      <c r="G544" s="61">
        <f t="shared" si="607"/>
        <v>0</v>
      </c>
      <c r="H544" s="61">
        <f t="shared" si="607"/>
        <v>3.2690000000000001</v>
      </c>
      <c r="I544" s="61">
        <f t="shared" si="607"/>
        <v>1.2749999999999999</v>
      </c>
      <c r="J544" s="61">
        <f t="shared" si="607"/>
        <v>1.627</v>
      </c>
      <c r="K544" s="61">
        <f t="shared" si="607"/>
        <v>2.032</v>
      </c>
      <c r="L544" s="61">
        <f>SUM(F544:K544)</f>
        <v>8.2029999999999994</v>
      </c>
      <c r="M544" s="61">
        <f>L544/6</f>
        <v>1.367</v>
      </c>
      <c r="N544" s="61">
        <f t="shared" ref="N544:S546" si="608">N561+N638</f>
        <v>-6.0000000000000001E-3</v>
      </c>
      <c r="O544" s="61">
        <f t="shared" si="608"/>
        <v>2.0339999999999998</v>
      </c>
      <c r="P544" s="61">
        <f t="shared" si="608"/>
        <v>1.9339999999999999</v>
      </c>
      <c r="Q544" s="61">
        <f t="shared" si="608"/>
        <v>1.7470000000000001</v>
      </c>
      <c r="R544" s="61">
        <f t="shared" si="608"/>
        <v>1.7809999999999999</v>
      </c>
      <c r="S544" s="61">
        <f t="shared" si="608"/>
        <v>2.6989999999999998</v>
      </c>
      <c r="T544" s="61">
        <f>SUM(N544:S544)</f>
        <v>10.189</v>
      </c>
      <c r="U544" s="61">
        <f>T544+L544</f>
        <v>18.391999999999999</v>
      </c>
      <c r="V544" s="61">
        <f>V561+V638</f>
        <v>19.949000000000002</v>
      </c>
      <c r="W544" s="72">
        <f>V544-U544</f>
        <v>1.5569999999999999</v>
      </c>
      <c r="X544" s="63">
        <f>U539-U544</f>
        <v>0</v>
      </c>
    </row>
    <row r="545" spans="1:28" s="63" customFormat="1" ht="18" customHeight="1">
      <c r="A545" s="673"/>
      <c r="B545" s="576"/>
      <c r="C545" s="577"/>
      <c r="D545" s="201" t="str">
        <f>серпень!D468</f>
        <v>дотація</v>
      </c>
      <c r="E545" s="71"/>
      <c r="F545" s="61">
        <f t="shared" ref="F545:K546" si="609">F562+F639</f>
        <v>0</v>
      </c>
      <c r="G545" s="61">
        <f t="shared" si="609"/>
        <v>0</v>
      </c>
      <c r="H545" s="61">
        <f t="shared" si="609"/>
        <v>0</v>
      </c>
      <c r="I545" s="61">
        <f t="shared" si="609"/>
        <v>0</v>
      </c>
      <c r="J545" s="61">
        <f t="shared" si="609"/>
        <v>0</v>
      </c>
      <c r="K545" s="61">
        <f t="shared" si="609"/>
        <v>0</v>
      </c>
      <c r="L545" s="61">
        <f>SUM(F545:K545)</f>
        <v>0</v>
      </c>
      <c r="M545" s="61">
        <f>L545/6</f>
        <v>0</v>
      </c>
      <c r="N545" s="61">
        <f t="shared" si="608"/>
        <v>0</v>
      </c>
      <c r="O545" s="61">
        <f t="shared" si="608"/>
        <v>0</v>
      </c>
      <c r="P545" s="61">
        <f t="shared" si="608"/>
        <v>0</v>
      </c>
      <c r="Q545" s="61">
        <f t="shared" si="608"/>
        <v>0</v>
      </c>
      <c r="R545" s="61">
        <f t="shared" si="608"/>
        <v>0</v>
      </c>
      <c r="S545" s="61">
        <f t="shared" si="608"/>
        <v>0</v>
      </c>
      <c r="T545" s="61">
        <f>SUM(N545:S545)</f>
        <v>0</v>
      </c>
      <c r="U545" s="61">
        <f>T545+L545</f>
        <v>0</v>
      </c>
      <c r="V545" s="61">
        <f>V562+V639</f>
        <v>0</v>
      </c>
      <c r="W545" s="72">
        <f>V545-U545</f>
        <v>0</v>
      </c>
      <c r="X545" s="63">
        <f>U540-U545</f>
        <v>0</v>
      </c>
    </row>
    <row r="546" spans="1:28" s="63" customFormat="1" ht="18" customHeight="1">
      <c r="A546" s="673"/>
      <c r="B546" s="576"/>
      <c r="C546" s="577"/>
      <c r="D546" s="201" t="str">
        <f>серпень!D469</f>
        <v xml:space="preserve">місцевий </v>
      </c>
      <c r="E546" s="71"/>
      <c r="F546" s="61">
        <f t="shared" si="609"/>
        <v>0</v>
      </c>
      <c r="G546" s="61">
        <f t="shared" si="609"/>
        <v>0</v>
      </c>
      <c r="H546" s="61">
        <f t="shared" si="609"/>
        <v>3.2690000000000001</v>
      </c>
      <c r="I546" s="61">
        <f t="shared" si="609"/>
        <v>1.2749999999999999</v>
      </c>
      <c r="J546" s="61">
        <f t="shared" si="609"/>
        <v>1.627</v>
      </c>
      <c r="K546" s="61">
        <f t="shared" si="609"/>
        <v>2.032</v>
      </c>
      <c r="L546" s="61">
        <f>SUM(F546:K546)</f>
        <v>8.2029999999999994</v>
      </c>
      <c r="M546" s="61">
        <f>L546/6</f>
        <v>1.367</v>
      </c>
      <c r="N546" s="61">
        <f t="shared" si="608"/>
        <v>-6.0000000000000001E-3</v>
      </c>
      <c r="O546" s="61">
        <f t="shared" si="608"/>
        <v>2.0339999999999998</v>
      </c>
      <c r="P546" s="61">
        <f t="shared" si="608"/>
        <v>1.9339999999999999</v>
      </c>
      <c r="Q546" s="61">
        <f t="shared" si="608"/>
        <v>1.7470000000000001</v>
      </c>
      <c r="R546" s="61">
        <f t="shared" si="608"/>
        <v>1.7809999999999999</v>
      </c>
      <c r="S546" s="61">
        <f t="shared" si="608"/>
        <v>2.6989999999999998</v>
      </c>
      <c r="T546" s="61">
        <f>SUM(N546:S546)</f>
        <v>10.189</v>
      </c>
      <c r="U546" s="61">
        <f>T546+L546</f>
        <v>18.391999999999999</v>
      </c>
      <c r="V546" s="61">
        <f>V563+V640</f>
        <v>19.949000000000002</v>
      </c>
      <c r="W546" s="72">
        <f>V546-U546</f>
        <v>1.5569999999999999</v>
      </c>
      <c r="X546" s="63">
        <f>U541-U546</f>
        <v>1.5569999999999999</v>
      </c>
    </row>
    <row r="547" spans="1:28" s="43" customFormat="1" ht="18" customHeight="1">
      <c r="A547" s="673"/>
      <c r="B547" s="576"/>
      <c r="C547" s="577"/>
      <c r="D547" s="202" t="str">
        <f>серпень!D470</f>
        <v>план</v>
      </c>
      <c r="E547" s="42"/>
      <c r="F547" s="42">
        <f>F541+F540</f>
        <v>0</v>
      </c>
      <c r="G547" s="42">
        <f t="shared" ref="G547:K547" si="610">G541+G540</f>
        <v>2.04</v>
      </c>
      <c r="H547" s="42">
        <f t="shared" si="610"/>
        <v>1.56</v>
      </c>
      <c r="I547" s="42">
        <f t="shared" si="610"/>
        <v>1.3109999999999999</v>
      </c>
      <c r="J547" s="42">
        <f t="shared" si="610"/>
        <v>1.7470000000000001</v>
      </c>
      <c r="K547" s="42">
        <f t="shared" si="610"/>
        <v>1.9330000000000001</v>
      </c>
      <c r="L547" s="42">
        <f>SUM(F547:K547)</f>
        <v>8.5909999999999993</v>
      </c>
      <c r="M547" s="42">
        <f>L547/6</f>
        <v>1.4319999999999999</v>
      </c>
      <c r="N547" s="42">
        <f>N541+N540</f>
        <v>3.0000000000000001E-3</v>
      </c>
      <c r="O547" s="42">
        <f t="shared" ref="O547:S547" si="611">O541+O540</f>
        <v>1.7470000000000001</v>
      </c>
      <c r="P547" s="42">
        <f t="shared" si="611"/>
        <v>3.6779999999999999</v>
      </c>
      <c r="Q547" s="42">
        <f t="shared" si="611"/>
        <v>1.7470000000000001</v>
      </c>
      <c r="R547" s="42">
        <f t="shared" si="611"/>
        <v>1.7809999999999999</v>
      </c>
      <c r="S547" s="42">
        <f t="shared" si="611"/>
        <v>2.4020000000000001</v>
      </c>
      <c r="T547" s="42">
        <f>SUM(N547:S547)</f>
        <v>11.358000000000001</v>
      </c>
      <c r="U547" s="42">
        <f>T547+L547</f>
        <v>19.949000000000002</v>
      </c>
      <c r="V547" s="42">
        <f t="shared" ref="V547" si="612">V541+V540</f>
        <v>19.949000000000002</v>
      </c>
      <c r="W547" s="42">
        <f>V547-U547</f>
        <v>0</v>
      </c>
    </row>
    <row r="548" spans="1:28" s="43" customFormat="1" ht="18" customHeight="1">
      <c r="A548" s="673"/>
      <c r="B548" s="576"/>
      <c r="C548" s="577"/>
      <c r="D548" s="202" t="str">
        <f>серпень!D471</f>
        <v xml:space="preserve">відхилення </v>
      </c>
      <c r="E548" s="42"/>
      <c r="F548" s="42">
        <f t="shared" ref="F548:K548" si="613">F544-F547</f>
        <v>0</v>
      </c>
      <c r="G548" s="42">
        <f t="shared" si="613"/>
        <v>-2.04</v>
      </c>
      <c r="H548" s="42">
        <f t="shared" si="613"/>
        <v>1.7090000000000001</v>
      </c>
      <c r="I548" s="42">
        <f t="shared" si="613"/>
        <v>-3.5999999999999997E-2</v>
      </c>
      <c r="J548" s="42">
        <f t="shared" si="613"/>
        <v>-0.12</v>
      </c>
      <c r="K548" s="42">
        <f t="shared" si="613"/>
        <v>9.9000000000000005E-2</v>
      </c>
      <c r="L548" s="42"/>
      <c r="M548" s="42"/>
      <c r="N548" s="42">
        <f t="shared" ref="N548:S548" si="614">N544-N547</f>
        <v>-8.9999999999999993E-3</v>
      </c>
      <c r="O548" s="42">
        <f t="shared" si="614"/>
        <v>0.28699999999999998</v>
      </c>
      <c r="P548" s="42">
        <f t="shared" si="614"/>
        <v>-1.744</v>
      </c>
      <c r="Q548" s="42">
        <f t="shared" si="614"/>
        <v>0</v>
      </c>
      <c r="R548" s="42">
        <f t="shared" si="614"/>
        <v>0</v>
      </c>
      <c r="S548" s="42">
        <f t="shared" si="614"/>
        <v>0.29699999999999999</v>
      </c>
      <c r="T548" s="42"/>
      <c r="U548" s="42"/>
      <c r="V548" s="42"/>
      <c r="W548" s="42"/>
    </row>
    <row r="549" spans="1:28" s="43" customFormat="1" ht="18" customHeight="1">
      <c r="A549" s="673"/>
      <c r="B549" s="576"/>
      <c r="C549" s="577"/>
      <c r="D549" s="202" t="str">
        <f>серпень!D472</f>
        <v>відхилення з наростаючим</v>
      </c>
      <c r="E549" s="42"/>
      <c r="F549" s="42">
        <f>F548</f>
        <v>0</v>
      </c>
      <c r="G549" s="42">
        <f>G548+F549</f>
        <v>-2.04</v>
      </c>
      <c r="H549" s="42">
        <f>H548+G549</f>
        <v>-0.33100000000000002</v>
      </c>
      <c r="I549" s="42">
        <f>I548+H549</f>
        <v>-0.36699999999999999</v>
      </c>
      <c r="J549" s="42">
        <f>J548+I549</f>
        <v>-0.48699999999999999</v>
      </c>
      <c r="K549" s="42">
        <f>K548+J549</f>
        <v>-0.38800000000000001</v>
      </c>
      <c r="L549" s="42"/>
      <c r="M549" s="42"/>
      <c r="N549" s="42">
        <f>N548+K549</f>
        <v>-0.39700000000000002</v>
      </c>
      <c r="O549" s="42">
        <f>O548+N549</f>
        <v>-0.11</v>
      </c>
      <c r="P549" s="42">
        <f>P548+O549</f>
        <v>-1.8540000000000001</v>
      </c>
      <c r="Q549" s="42">
        <f>Q548+P549</f>
        <v>-1.8540000000000001</v>
      </c>
      <c r="R549" s="42">
        <f>R548+Q549</f>
        <v>-1.8540000000000001</v>
      </c>
      <c r="S549" s="42">
        <f>S548+R549</f>
        <v>-1.5569999999999999</v>
      </c>
      <c r="T549" s="42"/>
      <c r="U549" s="42"/>
      <c r="V549" s="42"/>
      <c r="W549" s="42"/>
    </row>
    <row r="550" spans="1:28" s="55" customFormat="1" ht="18" customHeight="1">
      <c r="A550" s="673"/>
      <c r="B550" s="581" t="s">
        <v>65</v>
      </c>
      <c r="C550" s="581"/>
      <c r="D550" s="178" t="str">
        <f>серпень!D473</f>
        <v>факт. нат.п-ки 2023</v>
      </c>
      <c r="E550" s="11"/>
      <c r="F550" s="12">
        <f t="shared" ref="F550:K552" si="615">F567+F597</f>
        <v>8.5</v>
      </c>
      <c r="G550" s="12">
        <f t="shared" si="615"/>
        <v>8.1999999999999993</v>
      </c>
      <c r="H550" s="12">
        <f t="shared" si="615"/>
        <v>8</v>
      </c>
      <c r="I550" s="12">
        <f t="shared" si="615"/>
        <v>8.8000000000000007</v>
      </c>
      <c r="J550" s="12">
        <f t="shared" si="615"/>
        <v>6.9</v>
      </c>
      <c r="K550" s="12">
        <f t="shared" si="615"/>
        <v>8.8000000000000007</v>
      </c>
      <c r="L550" s="65">
        <f>SUM(F550:K550)</f>
        <v>49.2</v>
      </c>
      <c r="M550" s="65">
        <f>L550/6</f>
        <v>8.1999999999999993</v>
      </c>
      <c r="N550" s="12">
        <f t="shared" ref="N550:S552" si="616">N567+N597</f>
        <v>8.8000000000000007</v>
      </c>
      <c r="O550" s="12">
        <f t="shared" si="616"/>
        <v>11</v>
      </c>
      <c r="P550" s="12">
        <f t="shared" si="616"/>
        <v>8.5</v>
      </c>
      <c r="Q550" s="12">
        <f t="shared" si="616"/>
        <v>8.5</v>
      </c>
      <c r="R550" s="12">
        <f t="shared" si="616"/>
        <v>9.1999999999999993</v>
      </c>
      <c r="S550" s="12">
        <f t="shared" si="616"/>
        <v>7.2</v>
      </c>
      <c r="T550" s="65">
        <f>SUM(N550:S550)</f>
        <v>53.2</v>
      </c>
      <c r="U550" s="65">
        <f>T550+L550</f>
        <v>102.4</v>
      </c>
      <c r="V550" s="75"/>
      <c r="W550" s="38"/>
      <c r="X550" s="47"/>
      <c r="Y550" s="48"/>
      <c r="Z550" s="48"/>
      <c r="AA550" s="48"/>
      <c r="AB550" s="48"/>
    </row>
    <row r="551" spans="1:28" s="48" customFormat="1" ht="18" customHeight="1">
      <c r="A551" s="673"/>
      <c r="B551" s="581"/>
      <c r="C551" s="581"/>
      <c r="D551" s="178" t="str">
        <f>серпень!D474</f>
        <v>факт. нат.п-ки 2024</v>
      </c>
      <c r="E551" s="11"/>
      <c r="F551" s="12">
        <f t="shared" si="615"/>
        <v>8.8000000000000007</v>
      </c>
      <c r="G551" s="12">
        <f t="shared" si="615"/>
        <v>8</v>
      </c>
      <c r="H551" s="12">
        <f t="shared" si="615"/>
        <v>6.6</v>
      </c>
      <c r="I551" s="12">
        <f t="shared" si="615"/>
        <v>8.8000000000000007</v>
      </c>
      <c r="J551" s="12">
        <f t="shared" si="615"/>
        <v>11</v>
      </c>
      <c r="K551" s="12">
        <f t="shared" si="615"/>
        <v>8.8000000000000007</v>
      </c>
      <c r="L551" s="65">
        <f>SUM(F551:K551)</f>
        <v>52</v>
      </c>
      <c r="M551" s="65">
        <f>L551/6</f>
        <v>8.6999999999999993</v>
      </c>
      <c r="N551" s="12">
        <f t="shared" si="616"/>
        <v>8.8000000000000007</v>
      </c>
      <c r="O551" s="12">
        <f t="shared" si="616"/>
        <v>11</v>
      </c>
      <c r="P551" s="12">
        <f t="shared" si="616"/>
        <v>8.8000000000000007</v>
      </c>
      <c r="Q551" s="12">
        <f t="shared" si="616"/>
        <v>10.5</v>
      </c>
      <c r="R551" s="12">
        <f t="shared" si="616"/>
        <v>7.3</v>
      </c>
      <c r="S551" s="12">
        <f t="shared" si="616"/>
        <v>3.9</v>
      </c>
      <c r="T551" s="65">
        <f>SUM(N551:S551)</f>
        <v>50.3</v>
      </c>
      <c r="U551" s="65">
        <f>T551+L551</f>
        <v>102.3</v>
      </c>
      <c r="V551" s="75"/>
      <c r="W551" s="38"/>
      <c r="X551" s="47"/>
    </row>
    <row r="552" spans="1:28" s="48" customFormat="1" ht="18" customHeight="1">
      <c r="A552" s="673"/>
      <c r="B552" s="581"/>
      <c r="C552" s="581"/>
      <c r="D552" s="178" t="str">
        <f>серпень!D475</f>
        <v>факт. нат.п-ки 2025</v>
      </c>
      <c r="E552" s="11"/>
      <c r="F552" s="12">
        <f t="shared" si="615"/>
        <v>11</v>
      </c>
      <c r="G552" s="12">
        <f t="shared" si="615"/>
        <v>6.8</v>
      </c>
      <c r="H552" s="12">
        <f t="shared" si="615"/>
        <v>7</v>
      </c>
      <c r="I552" s="12">
        <f t="shared" si="615"/>
        <v>8.8000000000000007</v>
      </c>
      <c r="J552" s="12">
        <f t="shared" si="615"/>
        <v>6.6</v>
      </c>
      <c r="K552" s="12">
        <f t="shared" si="615"/>
        <v>4.4000000000000004</v>
      </c>
      <c r="L552" s="65">
        <f>SUM(F552:K552)</f>
        <v>44.6</v>
      </c>
      <c r="M552" s="65">
        <f>L552/6</f>
        <v>7.4</v>
      </c>
      <c r="N552" s="12">
        <f t="shared" si="616"/>
        <v>11</v>
      </c>
      <c r="O552" s="12">
        <f t="shared" si="616"/>
        <v>9.9</v>
      </c>
      <c r="P552" s="12">
        <f t="shared" si="616"/>
        <v>8.8000000000000007</v>
      </c>
      <c r="Q552" s="12">
        <f t="shared" si="616"/>
        <v>9.1</v>
      </c>
      <c r="R552" s="12">
        <f t="shared" si="616"/>
        <v>8.8000000000000007</v>
      </c>
      <c r="S552" s="12">
        <f t="shared" si="616"/>
        <v>5.6</v>
      </c>
      <c r="T552" s="65">
        <f>SUM(N552:S552)</f>
        <v>53.2</v>
      </c>
      <c r="U552" s="65">
        <f>T552+L552</f>
        <v>97.8</v>
      </c>
      <c r="V552" s="75">
        <f>V569+V599</f>
        <v>101.9</v>
      </c>
      <c r="W552" s="38">
        <f>V552-U552</f>
        <v>4.0999999999999996</v>
      </c>
      <c r="X552" s="47"/>
    </row>
    <row r="553" spans="1:28" s="51" customFormat="1" ht="18" customHeight="1">
      <c r="A553" s="673"/>
      <c r="B553" s="581"/>
      <c r="C553" s="581"/>
      <c r="D553" s="187" t="str">
        <f>серпень!D476</f>
        <v>тариф, грн.</v>
      </c>
      <c r="E553" s="49" t="e">
        <f>E554/E552*1000</f>
        <v>#DIV/0!</v>
      </c>
      <c r="F553" s="49">
        <f t="shared" ref="F553:W553" si="617">F554/F552*1000</f>
        <v>185.18199999999999</v>
      </c>
      <c r="G553" s="49">
        <f t="shared" si="617"/>
        <v>180.14699999999999</v>
      </c>
      <c r="H553" s="49">
        <f t="shared" si="617"/>
        <v>181.714</v>
      </c>
      <c r="I553" s="49">
        <f t="shared" si="617"/>
        <v>184.43199999999999</v>
      </c>
      <c r="J553" s="49">
        <f t="shared" si="617"/>
        <v>193.18199999999999</v>
      </c>
      <c r="K553" s="49">
        <f t="shared" si="617"/>
        <v>169.31800000000001</v>
      </c>
      <c r="L553" s="49">
        <f t="shared" si="617"/>
        <v>183.34100000000001</v>
      </c>
      <c r="M553" s="49">
        <f t="shared" si="617"/>
        <v>184.18899999999999</v>
      </c>
      <c r="N553" s="49">
        <f t="shared" si="617"/>
        <v>184.727</v>
      </c>
      <c r="O553" s="49">
        <f t="shared" si="617"/>
        <v>194.94900000000001</v>
      </c>
      <c r="P553" s="49">
        <f t="shared" si="617"/>
        <v>198.06800000000001</v>
      </c>
      <c r="Q553" s="49">
        <f t="shared" si="617"/>
        <v>195.27500000000001</v>
      </c>
      <c r="R553" s="49">
        <f t="shared" si="617"/>
        <v>189.31800000000001</v>
      </c>
      <c r="S553" s="49">
        <f t="shared" si="617"/>
        <v>181.964</v>
      </c>
      <c r="T553" s="49">
        <f t="shared" si="617"/>
        <v>191.10900000000001</v>
      </c>
      <c r="U553" s="49">
        <f t="shared" si="617"/>
        <v>187.566</v>
      </c>
      <c r="V553" s="49">
        <f t="shared" si="617"/>
        <v>195.28</v>
      </c>
      <c r="W553" s="49">
        <f t="shared" si="617"/>
        <v>379.26799999999997</v>
      </c>
      <c r="X553" s="59"/>
    </row>
    <row r="554" spans="1:28" s="130" customFormat="1" ht="18" customHeight="1">
      <c r="A554" s="673"/>
      <c r="B554" s="581"/>
      <c r="C554" s="581"/>
      <c r="D554" s="191" t="str">
        <f>серпень!D477</f>
        <v>сума, тис.грн.</v>
      </c>
      <c r="E554" s="52"/>
      <c r="F554" s="52">
        <f>F571+F601</f>
        <v>2.0369999999999999</v>
      </c>
      <c r="G554" s="52">
        <f t="shared" ref="G554:K554" si="618">G571+G601</f>
        <v>1.2250000000000001</v>
      </c>
      <c r="H554" s="52">
        <f t="shared" si="618"/>
        <v>1.272</v>
      </c>
      <c r="I554" s="52">
        <f t="shared" si="618"/>
        <v>1.623</v>
      </c>
      <c r="J554" s="52">
        <f t="shared" si="618"/>
        <v>1.2749999999999999</v>
      </c>
      <c r="K554" s="52">
        <f t="shared" si="618"/>
        <v>0.745</v>
      </c>
      <c r="L554" s="69">
        <f>SUM(F554:K554)</f>
        <v>8.1769999999999996</v>
      </c>
      <c r="M554" s="69">
        <f>L554/6</f>
        <v>1.363</v>
      </c>
      <c r="N554" s="52">
        <f>N571+N601</f>
        <v>2.032</v>
      </c>
      <c r="O554" s="52">
        <f t="shared" ref="O554:S554" si="619">O571+O601</f>
        <v>1.93</v>
      </c>
      <c r="P554" s="52">
        <f t="shared" si="619"/>
        <v>1.7430000000000001</v>
      </c>
      <c r="Q554" s="52">
        <f t="shared" si="619"/>
        <v>1.7769999999999999</v>
      </c>
      <c r="R554" s="52">
        <f t="shared" si="619"/>
        <v>1.6659999999999999</v>
      </c>
      <c r="S554" s="52">
        <f t="shared" si="619"/>
        <v>1.0189999999999999</v>
      </c>
      <c r="T554" s="69">
        <f>SUM(N554:S554)</f>
        <v>10.167</v>
      </c>
      <c r="U554" s="69">
        <f>T554+L554</f>
        <v>18.344000000000001</v>
      </c>
      <c r="V554" s="69">
        <f t="shared" ref="V554" si="620">V571+V601</f>
        <v>19.899000000000001</v>
      </c>
      <c r="W554" s="52">
        <f>V554-U554</f>
        <v>1.5549999999999999</v>
      </c>
    </row>
    <row r="555" spans="1:28" s="130" customFormat="1" ht="18" customHeight="1">
      <c r="A555" s="673"/>
      <c r="B555" s="581"/>
      <c r="C555" s="581"/>
      <c r="D555" s="174" t="str">
        <f>серпень!D478</f>
        <v>абоненська плата, тис.грн.</v>
      </c>
      <c r="E555" s="52"/>
      <c r="F555" s="52">
        <f>F586+F616</f>
        <v>6.0000000000000001E-3</v>
      </c>
      <c r="G555" s="52">
        <f t="shared" ref="G555:K555" si="621">G586+G616</f>
        <v>4.0000000000000001E-3</v>
      </c>
      <c r="H555" s="52">
        <f t="shared" si="621"/>
        <v>4.0000000000000001E-3</v>
      </c>
      <c r="I555" s="52">
        <f t="shared" si="621"/>
        <v>4.0000000000000001E-3</v>
      </c>
      <c r="J555" s="52">
        <f t="shared" si="621"/>
        <v>4.0000000000000001E-3</v>
      </c>
      <c r="K555" s="52">
        <f t="shared" si="621"/>
        <v>2E-3</v>
      </c>
      <c r="L555" s="69">
        <f t="shared" ref="L555:L556" si="622">SUM(F555:K555)</f>
        <v>2.4E-2</v>
      </c>
      <c r="M555" s="69">
        <f t="shared" ref="M555:M556" si="623">L555/6</f>
        <v>4.0000000000000001E-3</v>
      </c>
      <c r="N555" s="52">
        <f>N586+N616</f>
        <v>4.0000000000000001E-3</v>
      </c>
      <c r="O555" s="52">
        <f t="shared" ref="O555:S555" si="624">O586+O616</f>
        <v>4.0000000000000001E-3</v>
      </c>
      <c r="P555" s="52">
        <f t="shared" si="624"/>
        <v>4.0000000000000001E-3</v>
      </c>
      <c r="Q555" s="52">
        <f t="shared" si="624"/>
        <v>4.0000000000000001E-3</v>
      </c>
      <c r="R555" s="52">
        <f t="shared" si="624"/>
        <v>4.0000000000000001E-3</v>
      </c>
      <c r="S555" s="52">
        <f t="shared" si="624"/>
        <v>4.0000000000000001E-3</v>
      </c>
      <c r="T555" s="69">
        <f t="shared" ref="T555:T557" si="625">SUM(N555:S555)</f>
        <v>2.4E-2</v>
      </c>
      <c r="U555" s="69">
        <f t="shared" ref="U555:U557" si="626">T555+L555</f>
        <v>4.8000000000000001E-2</v>
      </c>
      <c r="V555" s="69">
        <f t="shared" ref="V555" si="627">V586+V616</f>
        <v>0.05</v>
      </c>
      <c r="W555" s="52">
        <f t="shared" ref="W555:W556" si="628">V555-U555</f>
        <v>2E-3</v>
      </c>
    </row>
    <row r="556" spans="1:28" s="130" customFormat="1" ht="18" customHeight="1">
      <c r="A556" s="673"/>
      <c r="B556" s="581"/>
      <c r="C556" s="581"/>
      <c r="D556" s="174" t="str">
        <f>серпень!D479</f>
        <v>разом сума тис. грн+абонплата</v>
      </c>
      <c r="E556" s="52"/>
      <c r="F556" s="52">
        <f>F554+F555</f>
        <v>2.0430000000000001</v>
      </c>
      <c r="G556" s="52">
        <f t="shared" ref="G556:K556" si="629">G554+G555</f>
        <v>1.2290000000000001</v>
      </c>
      <c r="H556" s="52">
        <f t="shared" si="629"/>
        <v>1.276</v>
      </c>
      <c r="I556" s="52">
        <f t="shared" si="629"/>
        <v>1.627</v>
      </c>
      <c r="J556" s="52">
        <f t="shared" si="629"/>
        <v>1.2789999999999999</v>
      </c>
      <c r="K556" s="52">
        <f t="shared" si="629"/>
        <v>0.747</v>
      </c>
      <c r="L556" s="69">
        <f t="shared" si="622"/>
        <v>8.2010000000000005</v>
      </c>
      <c r="M556" s="69">
        <f t="shared" si="623"/>
        <v>1.367</v>
      </c>
      <c r="N556" s="52">
        <f>N554+N555</f>
        <v>2.036</v>
      </c>
      <c r="O556" s="52">
        <f t="shared" ref="O556" si="630">O554+O555</f>
        <v>1.9339999999999999</v>
      </c>
      <c r="P556" s="52">
        <f t="shared" ref="P556" si="631">P554+P555</f>
        <v>1.7470000000000001</v>
      </c>
      <c r="Q556" s="52">
        <f t="shared" ref="Q556" si="632">Q554+Q555</f>
        <v>1.7809999999999999</v>
      </c>
      <c r="R556" s="52">
        <f t="shared" ref="R556" si="633">R554+R555</f>
        <v>1.67</v>
      </c>
      <c r="S556" s="52">
        <f t="shared" ref="S556" si="634">S554+S555</f>
        <v>1.0229999999999999</v>
      </c>
      <c r="T556" s="69">
        <f t="shared" si="625"/>
        <v>10.191000000000001</v>
      </c>
      <c r="U556" s="69">
        <f t="shared" si="626"/>
        <v>18.391999999999999</v>
      </c>
      <c r="V556" s="69">
        <f t="shared" ref="V556" si="635">V554+V555</f>
        <v>19.949000000000002</v>
      </c>
      <c r="W556" s="52">
        <f t="shared" si="628"/>
        <v>1.5569999999999999</v>
      </c>
    </row>
    <row r="557" spans="1:28" s="130" customFormat="1" ht="17.55" customHeight="1">
      <c r="A557" s="673"/>
      <c r="B557" s="581"/>
      <c r="C557" s="581"/>
      <c r="D557" s="174" t="str">
        <f>серпень!D480</f>
        <v>дотація</v>
      </c>
      <c r="E557" s="56"/>
      <c r="F557" s="52">
        <f>F572+F602</f>
        <v>0</v>
      </c>
      <c r="G557" s="52">
        <f t="shared" ref="G557:K557" si="636">G572+G602</f>
        <v>0</v>
      </c>
      <c r="H557" s="52">
        <f t="shared" si="636"/>
        <v>0</v>
      </c>
      <c r="I557" s="52">
        <f t="shared" si="636"/>
        <v>0</v>
      </c>
      <c r="J557" s="52">
        <f t="shared" si="636"/>
        <v>0</v>
      </c>
      <c r="K557" s="52">
        <f t="shared" si="636"/>
        <v>0</v>
      </c>
      <c r="L557" s="69">
        <f>SUM(F557:K557)</f>
        <v>0</v>
      </c>
      <c r="M557" s="69">
        <f>L557/6</f>
        <v>0</v>
      </c>
      <c r="N557" s="52">
        <f>N572+N602</f>
        <v>0</v>
      </c>
      <c r="O557" s="52">
        <f t="shared" ref="O557:S557" si="637">O572+O602</f>
        <v>0</v>
      </c>
      <c r="P557" s="52">
        <f t="shared" si="637"/>
        <v>0</v>
      </c>
      <c r="Q557" s="52">
        <f t="shared" si="637"/>
        <v>0</v>
      </c>
      <c r="R557" s="52">
        <f t="shared" si="637"/>
        <v>0</v>
      </c>
      <c r="S557" s="52">
        <f t="shared" si="637"/>
        <v>0</v>
      </c>
      <c r="T557" s="69">
        <f t="shared" si="625"/>
        <v>0</v>
      </c>
      <c r="U557" s="69">
        <f t="shared" si="626"/>
        <v>0</v>
      </c>
      <c r="V557" s="69">
        <f t="shared" ref="V557" si="638">V572+V602</f>
        <v>0</v>
      </c>
      <c r="W557" s="52">
        <f>V557-U557</f>
        <v>0</v>
      </c>
    </row>
    <row r="558" spans="1:28" s="130" customFormat="1" ht="18" customHeight="1">
      <c r="A558" s="673"/>
      <c r="B558" s="581"/>
      <c r="C558" s="581"/>
      <c r="D558" s="174" t="str">
        <f>серпень!D481</f>
        <v>місцевий (план), тис.грн</v>
      </c>
      <c r="E558" s="56"/>
      <c r="F558" s="52">
        <f>F573+F588+F603+F618</f>
        <v>0</v>
      </c>
      <c r="G558" s="52">
        <f t="shared" ref="G558:K558" si="639">G573+G588+G603+G618</f>
        <v>2.04</v>
      </c>
      <c r="H558" s="52">
        <f t="shared" si="639"/>
        <v>1.56</v>
      </c>
      <c r="I558" s="52">
        <f t="shared" si="639"/>
        <v>1.3109999999999999</v>
      </c>
      <c r="J558" s="52">
        <f t="shared" si="639"/>
        <v>1.7470000000000001</v>
      </c>
      <c r="K558" s="52">
        <f t="shared" si="639"/>
        <v>1.9330000000000001</v>
      </c>
      <c r="L558" s="69">
        <f>SUM(F558:K558)</f>
        <v>8.5909999999999993</v>
      </c>
      <c r="M558" s="69">
        <f>L558/6</f>
        <v>1.4319999999999999</v>
      </c>
      <c r="N558" s="52">
        <f>N573+N588+N603+N618</f>
        <v>3.0000000000000001E-3</v>
      </c>
      <c r="O558" s="52">
        <f t="shared" ref="O558:S558" si="640">O573+O588+O603+O618</f>
        <v>1.7470000000000001</v>
      </c>
      <c r="P558" s="52">
        <f t="shared" si="640"/>
        <v>3.6779999999999999</v>
      </c>
      <c r="Q558" s="52">
        <f t="shared" si="640"/>
        <v>1.7470000000000001</v>
      </c>
      <c r="R558" s="52">
        <f t="shared" si="640"/>
        <v>1.7809999999999999</v>
      </c>
      <c r="S558" s="52">
        <f t="shared" si="640"/>
        <v>2.4020000000000001</v>
      </c>
      <c r="T558" s="69">
        <f>SUM(N558:S558)</f>
        <v>11.358000000000001</v>
      </c>
      <c r="U558" s="69">
        <f>T558+L558</f>
        <v>19.949000000000002</v>
      </c>
      <c r="V558" s="69">
        <f t="shared" ref="V558" si="641">V573+V588+V603+V618</f>
        <v>19.949000000000002</v>
      </c>
      <c r="W558" s="52">
        <f>V558-U558</f>
        <v>0</v>
      </c>
    </row>
    <row r="559" spans="1:28" s="48" customFormat="1" ht="18" customHeight="1">
      <c r="A559" s="673"/>
      <c r="B559" s="581"/>
      <c r="C559" s="581"/>
      <c r="D559" s="178" t="str">
        <f>серпень!D482</f>
        <v>касові нат.п-ки 2025</v>
      </c>
      <c r="E559" s="11"/>
      <c r="F559" s="11">
        <f t="shared" ref="F559:K559" si="642">F574+F604</f>
        <v>0</v>
      </c>
      <c r="G559" s="11">
        <f t="shared" si="642"/>
        <v>0</v>
      </c>
      <c r="H559" s="11">
        <f t="shared" si="642"/>
        <v>17.8</v>
      </c>
      <c r="I559" s="11">
        <f t="shared" si="642"/>
        <v>7</v>
      </c>
      <c r="J559" s="11">
        <f t="shared" si="642"/>
        <v>8.8000000000000007</v>
      </c>
      <c r="K559" s="11">
        <f t="shared" si="642"/>
        <v>11</v>
      </c>
      <c r="L559" s="65">
        <f>SUM(F559:K559)</f>
        <v>44.6</v>
      </c>
      <c r="M559" s="65">
        <f>L559/6</f>
        <v>7.4</v>
      </c>
      <c r="N559" s="11">
        <f t="shared" ref="N559:S559" si="643">N574+N604</f>
        <v>0</v>
      </c>
      <c r="O559" s="11">
        <f t="shared" si="643"/>
        <v>11</v>
      </c>
      <c r="P559" s="11">
        <f t="shared" si="643"/>
        <v>10</v>
      </c>
      <c r="Q559" s="11">
        <f t="shared" si="643"/>
        <v>8.8000000000000007</v>
      </c>
      <c r="R559" s="11">
        <f t="shared" si="643"/>
        <v>9.1</v>
      </c>
      <c r="S559" s="11">
        <f t="shared" si="643"/>
        <v>14.4</v>
      </c>
      <c r="T559" s="65">
        <f>SUM(N559:S559)</f>
        <v>53.3</v>
      </c>
      <c r="U559" s="65">
        <f>T559+L559</f>
        <v>97.9</v>
      </c>
      <c r="V559" s="38">
        <f>V574+V604</f>
        <v>101.9</v>
      </c>
      <c r="W559" s="38">
        <f>V559-U559</f>
        <v>4</v>
      </c>
      <c r="X559" s="47">
        <f>U552-U559</f>
        <v>-0.1</v>
      </c>
    </row>
    <row r="560" spans="1:28" s="51" customFormat="1" ht="18" customHeight="1">
      <c r="A560" s="673"/>
      <c r="B560" s="581"/>
      <c r="C560" s="581"/>
      <c r="D560" s="187" t="str">
        <f>серпень!D483</f>
        <v>тариф, грн.</v>
      </c>
      <c r="E560" s="49" t="e">
        <f t="shared" ref="E560:W560" si="644">E561/E559*1000</f>
        <v>#DIV/0!</v>
      </c>
      <c r="F560" s="49" t="e">
        <f t="shared" si="644"/>
        <v>#DIV/0!</v>
      </c>
      <c r="G560" s="49" t="e">
        <f t="shared" si="644"/>
        <v>#DIV/0!</v>
      </c>
      <c r="H560" s="49">
        <f t="shared" si="644"/>
        <v>183.65199999999999</v>
      </c>
      <c r="I560" s="49">
        <f t="shared" si="644"/>
        <v>182.143</v>
      </c>
      <c r="J560" s="49">
        <f t="shared" si="644"/>
        <v>184.886</v>
      </c>
      <c r="K560" s="49">
        <f t="shared" si="644"/>
        <v>184.727</v>
      </c>
      <c r="L560" s="49">
        <f t="shared" si="644"/>
        <v>183.92400000000001</v>
      </c>
      <c r="M560" s="49">
        <f t="shared" si="644"/>
        <v>184.73</v>
      </c>
      <c r="N560" s="49" t="e">
        <f t="shared" si="644"/>
        <v>#DIV/0!</v>
      </c>
      <c r="O560" s="49">
        <f t="shared" si="644"/>
        <v>184.90899999999999</v>
      </c>
      <c r="P560" s="49">
        <f t="shared" si="644"/>
        <v>193.4</v>
      </c>
      <c r="Q560" s="49">
        <f t="shared" si="644"/>
        <v>198.523</v>
      </c>
      <c r="R560" s="49">
        <f t="shared" si="644"/>
        <v>195.714</v>
      </c>
      <c r="S560" s="49">
        <f t="shared" si="644"/>
        <v>187.43100000000001</v>
      </c>
      <c r="T560" s="49">
        <f t="shared" si="644"/>
        <v>191.16300000000001</v>
      </c>
      <c r="U560" s="49">
        <f t="shared" si="644"/>
        <v>187.86500000000001</v>
      </c>
      <c r="V560" s="49">
        <f t="shared" si="644"/>
        <v>195.77</v>
      </c>
      <c r="W560" s="49">
        <f t="shared" si="644"/>
        <v>389.25</v>
      </c>
      <c r="X560" s="59"/>
    </row>
    <row r="561" spans="1:28" s="126" customFormat="1" ht="18" customHeight="1">
      <c r="A561" s="673"/>
      <c r="B561" s="581"/>
      <c r="C561" s="581"/>
      <c r="D561" s="198" t="str">
        <f>серпень!D484</f>
        <v>касові видатки, тис.грн.</v>
      </c>
      <c r="E561" s="71"/>
      <c r="F561" s="61">
        <f>F576+F591+F606+F621</f>
        <v>0</v>
      </c>
      <c r="G561" s="61">
        <f t="shared" ref="G561:K561" si="645">G576+G591+G606+G621</f>
        <v>0</v>
      </c>
      <c r="H561" s="61">
        <f t="shared" si="645"/>
        <v>3.2690000000000001</v>
      </c>
      <c r="I561" s="61">
        <f t="shared" si="645"/>
        <v>1.2749999999999999</v>
      </c>
      <c r="J561" s="61">
        <f t="shared" si="645"/>
        <v>1.627</v>
      </c>
      <c r="K561" s="61">
        <f t="shared" si="645"/>
        <v>2.032</v>
      </c>
      <c r="L561" s="61">
        <f>SUM(F561:K561)</f>
        <v>8.2029999999999994</v>
      </c>
      <c r="M561" s="61">
        <f>L561/6</f>
        <v>1.367</v>
      </c>
      <c r="N561" s="61">
        <f>N576+N591+N606+N621</f>
        <v>-6.0000000000000001E-3</v>
      </c>
      <c r="O561" s="61">
        <f t="shared" ref="O561:S561" si="646">O576+O591+O606+O621</f>
        <v>2.0339999999999998</v>
      </c>
      <c r="P561" s="61">
        <f t="shared" si="646"/>
        <v>1.9339999999999999</v>
      </c>
      <c r="Q561" s="61">
        <f t="shared" si="646"/>
        <v>1.7470000000000001</v>
      </c>
      <c r="R561" s="61">
        <f t="shared" si="646"/>
        <v>1.7809999999999999</v>
      </c>
      <c r="S561" s="61">
        <f t="shared" si="646"/>
        <v>2.6989999999999998</v>
      </c>
      <c r="T561" s="61">
        <f>SUM(N561:S561)</f>
        <v>10.189</v>
      </c>
      <c r="U561" s="61">
        <f>T561+L561</f>
        <v>18.391999999999999</v>
      </c>
      <c r="V561" s="61">
        <f t="shared" ref="V561" si="647">V576+V591+V606+V621</f>
        <v>19.949000000000002</v>
      </c>
      <c r="W561" s="72">
        <f>V561-U561</f>
        <v>1.5569999999999999</v>
      </c>
      <c r="X561" s="63">
        <f>U556-U561</f>
        <v>0</v>
      </c>
    </row>
    <row r="562" spans="1:28" s="126" customFormat="1" ht="18" customHeight="1">
      <c r="A562" s="673"/>
      <c r="B562" s="581"/>
      <c r="C562" s="581"/>
      <c r="D562" s="201" t="str">
        <f>серпень!D485</f>
        <v>дотація</v>
      </c>
      <c r="E562" s="71"/>
      <c r="F562" s="61">
        <f t="shared" ref="F562:K563" si="648">F577+F592+F607+F622</f>
        <v>0</v>
      </c>
      <c r="G562" s="61">
        <f t="shared" si="648"/>
        <v>0</v>
      </c>
      <c r="H562" s="61">
        <f t="shared" si="648"/>
        <v>0</v>
      </c>
      <c r="I562" s="61">
        <f t="shared" si="648"/>
        <v>0</v>
      </c>
      <c r="J562" s="61">
        <f t="shared" si="648"/>
        <v>0</v>
      </c>
      <c r="K562" s="61">
        <f t="shared" si="648"/>
        <v>0</v>
      </c>
      <c r="L562" s="61">
        <f>SUM(F562:K562)</f>
        <v>0</v>
      </c>
      <c r="M562" s="61">
        <f>L562/6</f>
        <v>0</v>
      </c>
      <c r="N562" s="61">
        <f t="shared" ref="N562:S562" si="649">N577+N592+N607+N622</f>
        <v>0</v>
      </c>
      <c r="O562" s="61">
        <f t="shared" si="649"/>
        <v>0</v>
      </c>
      <c r="P562" s="61">
        <f t="shared" si="649"/>
        <v>0</v>
      </c>
      <c r="Q562" s="61">
        <f t="shared" si="649"/>
        <v>0</v>
      </c>
      <c r="R562" s="61">
        <f t="shared" si="649"/>
        <v>0</v>
      </c>
      <c r="S562" s="61">
        <f t="shared" si="649"/>
        <v>0</v>
      </c>
      <c r="T562" s="61">
        <f>SUM(N562:S562)</f>
        <v>0</v>
      </c>
      <c r="U562" s="61">
        <f>T562+L562</f>
        <v>0</v>
      </c>
      <c r="V562" s="61">
        <f t="shared" ref="V562" si="650">V577+V592+V607+V622</f>
        <v>0</v>
      </c>
      <c r="W562" s="72">
        <f>V562-U562</f>
        <v>0</v>
      </c>
      <c r="X562" s="63">
        <f>U557-U562</f>
        <v>0</v>
      </c>
    </row>
    <row r="563" spans="1:28" s="126" customFormat="1" ht="18" customHeight="1">
      <c r="A563" s="673"/>
      <c r="B563" s="581"/>
      <c r="C563" s="581"/>
      <c r="D563" s="201" t="str">
        <f>серпень!D486</f>
        <v xml:space="preserve">місцевий </v>
      </c>
      <c r="E563" s="71"/>
      <c r="F563" s="61">
        <f t="shared" si="648"/>
        <v>0</v>
      </c>
      <c r="G563" s="61">
        <f t="shared" si="648"/>
        <v>0</v>
      </c>
      <c r="H563" s="61">
        <f t="shared" si="648"/>
        <v>3.2690000000000001</v>
      </c>
      <c r="I563" s="61">
        <f t="shared" si="648"/>
        <v>1.2749999999999999</v>
      </c>
      <c r="J563" s="61">
        <f t="shared" si="648"/>
        <v>1.627</v>
      </c>
      <c r="K563" s="61">
        <f t="shared" si="648"/>
        <v>2.032</v>
      </c>
      <c r="L563" s="61">
        <f>SUM(F563:K563)</f>
        <v>8.2029999999999994</v>
      </c>
      <c r="M563" s="61">
        <f>L563/6</f>
        <v>1.367</v>
      </c>
      <c r="N563" s="61">
        <f t="shared" ref="N563:S563" si="651">N578+N593+N608+N623</f>
        <v>-6.0000000000000001E-3</v>
      </c>
      <c r="O563" s="61">
        <f t="shared" si="651"/>
        <v>2.0339999999999998</v>
      </c>
      <c r="P563" s="61">
        <f t="shared" si="651"/>
        <v>1.9339999999999999</v>
      </c>
      <c r="Q563" s="61">
        <f t="shared" si="651"/>
        <v>1.7470000000000001</v>
      </c>
      <c r="R563" s="61">
        <f t="shared" si="651"/>
        <v>1.7809999999999999</v>
      </c>
      <c r="S563" s="61">
        <f t="shared" si="651"/>
        <v>2.6989999999999998</v>
      </c>
      <c r="T563" s="61">
        <f>SUM(N563:S563)</f>
        <v>10.189</v>
      </c>
      <c r="U563" s="61">
        <f>T563+L563</f>
        <v>18.391999999999999</v>
      </c>
      <c r="V563" s="61">
        <f t="shared" ref="V563" si="652">V578+V593+V608+V623</f>
        <v>19.949000000000002</v>
      </c>
      <c r="W563" s="72">
        <f>V563-U563</f>
        <v>1.5569999999999999</v>
      </c>
      <c r="X563" s="63">
        <f>U558-U563</f>
        <v>1.5569999999999999</v>
      </c>
    </row>
    <row r="564" spans="1:28" s="43" customFormat="1" ht="18" customHeight="1">
      <c r="A564" s="673"/>
      <c r="B564" s="581"/>
      <c r="C564" s="581"/>
      <c r="D564" s="202" t="str">
        <f>серпень!D487</f>
        <v>план</v>
      </c>
      <c r="E564" s="42"/>
      <c r="F564" s="42">
        <f>F557+F558</f>
        <v>0</v>
      </c>
      <c r="G564" s="42">
        <f t="shared" ref="G564:K564" si="653">G557+G558</f>
        <v>2.04</v>
      </c>
      <c r="H564" s="42">
        <f t="shared" si="653"/>
        <v>1.56</v>
      </c>
      <c r="I564" s="42">
        <f t="shared" si="653"/>
        <v>1.3109999999999999</v>
      </c>
      <c r="J564" s="42">
        <f t="shared" si="653"/>
        <v>1.7470000000000001</v>
      </c>
      <c r="K564" s="42">
        <f t="shared" si="653"/>
        <v>1.9330000000000001</v>
      </c>
      <c r="L564" s="42">
        <f>SUM(F564:K564)</f>
        <v>8.5909999999999993</v>
      </c>
      <c r="M564" s="42">
        <f>L564/6</f>
        <v>1.4319999999999999</v>
      </c>
      <c r="N564" s="42">
        <f>N557+N558</f>
        <v>3.0000000000000001E-3</v>
      </c>
      <c r="O564" s="42">
        <f t="shared" ref="O564:S564" si="654">O557+O558</f>
        <v>1.7470000000000001</v>
      </c>
      <c r="P564" s="42">
        <f t="shared" si="654"/>
        <v>3.6779999999999999</v>
      </c>
      <c r="Q564" s="42">
        <f t="shared" si="654"/>
        <v>1.7470000000000001</v>
      </c>
      <c r="R564" s="42">
        <f t="shared" si="654"/>
        <v>1.7809999999999999</v>
      </c>
      <c r="S564" s="42">
        <f t="shared" si="654"/>
        <v>2.4020000000000001</v>
      </c>
      <c r="T564" s="42">
        <f>SUM(N564:S564)</f>
        <v>11.358000000000001</v>
      </c>
      <c r="U564" s="42">
        <f>T564+L564</f>
        <v>19.949000000000002</v>
      </c>
      <c r="V564" s="42">
        <f t="shared" ref="V564" si="655">V557+V558</f>
        <v>19.949000000000002</v>
      </c>
      <c r="W564" s="42">
        <f>V564-U564</f>
        <v>0</v>
      </c>
    </row>
    <row r="565" spans="1:28" s="43" customFormat="1" ht="18" customHeight="1">
      <c r="A565" s="673"/>
      <c r="B565" s="581"/>
      <c r="C565" s="581"/>
      <c r="D565" s="202" t="str">
        <f>серпень!D488</f>
        <v xml:space="preserve">відхилення </v>
      </c>
      <c r="E565" s="42"/>
      <c r="F565" s="42">
        <f t="shared" ref="F565:K566" si="656">F580+F610</f>
        <v>0</v>
      </c>
      <c r="G565" s="42">
        <f t="shared" si="656"/>
        <v>-2.0339999999999998</v>
      </c>
      <c r="H565" s="42">
        <f t="shared" si="656"/>
        <v>1.7030000000000001</v>
      </c>
      <c r="I565" s="42">
        <f t="shared" si="656"/>
        <v>-3.5999999999999997E-2</v>
      </c>
      <c r="J565" s="42">
        <f t="shared" si="656"/>
        <v>-0.12</v>
      </c>
      <c r="K565" s="42">
        <f t="shared" si="656"/>
        <v>9.9000000000000005E-2</v>
      </c>
      <c r="L565" s="42"/>
      <c r="M565" s="42"/>
      <c r="N565" s="42">
        <f t="shared" ref="N565:S566" si="657">N580+N610</f>
        <v>-7.0000000000000001E-3</v>
      </c>
      <c r="O565" s="42">
        <f t="shared" si="657"/>
        <v>0.28899999999999998</v>
      </c>
      <c r="P565" s="42">
        <f t="shared" si="657"/>
        <v>-1.742</v>
      </c>
      <c r="Q565" s="42">
        <f t="shared" si="657"/>
        <v>0</v>
      </c>
      <c r="R565" s="42">
        <f t="shared" si="657"/>
        <v>0</v>
      </c>
      <c r="S565" s="42">
        <f t="shared" si="657"/>
        <v>0.29299999999999998</v>
      </c>
      <c r="T565" s="42"/>
      <c r="U565" s="42"/>
      <c r="V565" s="42"/>
      <c r="W565" s="42"/>
    </row>
    <row r="566" spans="1:28" s="43" customFormat="1" ht="18" customHeight="1">
      <c r="A566" s="673"/>
      <c r="B566" s="581"/>
      <c r="C566" s="581"/>
      <c r="D566" s="202" t="str">
        <f>серпень!D489</f>
        <v>відхилення з наростаючим</v>
      </c>
      <c r="E566" s="42"/>
      <c r="F566" s="42">
        <f t="shared" si="656"/>
        <v>0</v>
      </c>
      <c r="G566" s="42">
        <f t="shared" si="656"/>
        <v>-2.0339999999999998</v>
      </c>
      <c r="H566" s="42">
        <f t="shared" si="656"/>
        <v>-0.33100000000000002</v>
      </c>
      <c r="I566" s="42">
        <f t="shared" si="656"/>
        <v>-0.36699999999999999</v>
      </c>
      <c r="J566" s="42">
        <f t="shared" si="656"/>
        <v>-0.48699999999999999</v>
      </c>
      <c r="K566" s="42">
        <f t="shared" si="656"/>
        <v>-0.38800000000000001</v>
      </c>
      <c r="L566" s="42"/>
      <c r="M566" s="42"/>
      <c r="N566" s="42">
        <f t="shared" si="657"/>
        <v>-0.39500000000000002</v>
      </c>
      <c r="O566" s="42">
        <f t="shared" si="657"/>
        <v>-0.106</v>
      </c>
      <c r="P566" s="42">
        <f t="shared" si="657"/>
        <v>-1.8480000000000001</v>
      </c>
      <c r="Q566" s="42">
        <f t="shared" si="657"/>
        <v>-1.8480000000000001</v>
      </c>
      <c r="R566" s="42">
        <f t="shared" si="657"/>
        <v>-1.8480000000000001</v>
      </c>
      <c r="S566" s="42">
        <f t="shared" si="657"/>
        <v>-1.5549999999999999</v>
      </c>
      <c r="T566" s="42"/>
      <c r="U566" s="42"/>
      <c r="V566" s="42"/>
      <c r="W566" s="42"/>
    </row>
    <row r="567" spans="1:28" s="55" customFormat="1" ht="18" customHeight="1">
      <c r="A567" s="673"/>
      <c r="B567" s="581" t="s">
        <v>63</v>
      </c>
      <c r="C567" s="581"/>
      <c r="D567" s="178" t="str">
        <f>серпень!D490</f>
        <v>факт. нат.п-ки 2023</v>
      </c>
      <c r="E567" s="11"/>
      <c r="F567" s="82">
        <v>4.4000000000000004</v>
      </c>
      <c r="G567" s="82">
        <v>4.4000000000000004</v>
      </c>
      <c r="H567" s="82">
        <v>4.5</v>
      </c>
      <c r="I567" s="82">
        <v>4.4000000000000004</v>
      </c>
      <c r="J567" s="82">
        <v>4.4000000000000004</v>
      </c>
      <c r="K567" s="82">
        <v>4.8</v>
      </c>
      <c r="L567" s="125">
        <f>SUM(F567:K567)</f>
        <v>26.9</v>
      </c>
      <c r="M567" s="125">
        <f>L567/6</f>
        <v>4.4829999999999997</v>
      </c>
      <c r="N567" s="82">
        <v>4.4000000000000004</v>
      </c>
      <c r="O567" s="82">
        <v>5.5</v>
      </c>
      <c r="P567" s="82">
        <v>4.4000000000000004</v>
      </c>
      <c r="Q567" s="82">
        <v>4.4000000000000004</v>
      </c>
      <c r="R567" s="82">
        <v>4.4000000000000004</v>
      </c>
      <c r="S567" s="82">
        <v>5.5</v>
      </c>
      <c r="T567" s="125">
        <f>SUM(N567:S567)</f>
        <v>28.6</v>
      </c>
      <c r="U567" s="125">
        <f>T567+L567</f>
        <v>55.5</v>
      </c>
      <c r="V567" s="524"/>
      <c r="W567" s="505"/>
      <c r="X567" s="47"/>
      <c r="Y567" s="48"/>
      <c r="Z567" s="48"/>
      <c r="AA567" s="48"/>
      <c r="AB567" s="48"/>
    </row>
    <row r="568" spans="1:28" s="48" customFormat="1" ht="18" customHeight="1">
      <c r="A568" s="673"/>
      <c r="B568" s="581"/>
      <c r="C568" s="581"/>
      <c r="D568" s="178" t="str">
        <f>серпень!D491</f>
        <v>факт. нат.п-ки 2024</v>
      </c>
      <c r="E568" s="11"/>
      <c r="F568" s="82">
        <v>4.4000000000000004</v>
      </c>
      <c r="G568" s="82">
        <v>4.5</v>
      </c>
      <c r="H568" s="82">
        <v>3.3</v>
      </c>
      <c r="I568" s="82">
        <v>4.4000000000000004</v>
      </c>
      <c r="J568" s="82">
        <v>5.5</v>
      </c>
      <c r="K568" s="82">
        <v>4.4000000000000004</v>
      </c>
      <c r="L568" s="125">
        <f>SUM(F568:K568)</f>
        <v>26.5</v>
      </c>
      <c r="M568" s="125">
        <f>L568/6</f>
        <v>4.4169999999999998</v>
      </c>
      <c r="N568" s="349">
        <v>4.4000000000000004</v>
      </c>
      <c r="O568" s="349">
        <v>5.5</v>
      </c>
      <c r="P568" s="349">
        <v>4.4000000000000004</v>
      </c>
      <c r="Q568" s="349">
        <v>5</v>
      </c>
      <c r="R568" s="349">
        <v>3.3</v>
      </c>
      <c r="S568" s="349">
        <v>2.7</v>
      </c>
      <c r="T568" s="125">
        <f>SUM(N568:S568)</f>
        <v>25.3</v>
      </c>
      <c r="U568" s="125">
        <f>T568+L568</f>
        <v>51.8</v>
      </c>
      <c r="V568" s="524">
        <v>50.5</v>
      </c>
      <c r="W568" s="505"/>
      <c r="X568" s="47"/>
    </row>
    <row r="569" spans="1:28" s="48" customFormat="1" ht="18" customHeight="1">
      <c r="A569" s="673"/>
      <c r="B569" s="581"/>
      <c r="C569" s="581"/>
      <c r="D569" s="178" t="str">
        <f>серпень!D492</f>
        <v>факт. нат.п-ки 2025</v>
      </c>
      <c r="E569" s="11"/>
      <c r="F569" s="82">
        <v>5.5</v>
      </c>
      <c r="G569" s="82">
        <v>4.4000000000000004</v>
      </c>
      <c r="H569" s="82">
        <v>3.9689999999999999</v>
      </c>
      <c r="I569" s="82">
        <v>4.4000000000000004</v>
      </c>
      <c r="J569" s="82">
        <f>5.5-4.334</f>
        <v>1.1659999999999999</v>
      </c>
      <c r="K569" s="82">
        <v>4.4000000000000004</v>
      </c>
      <c r="L569" s="125">
        <f>SUM(F569:K569)</f>
        <v>23.835000000000001</v>
      </c>
      <c r="M569" s="125">
        <f>L569/6</f>
        <v>3.9729999999999999</v>
      </c>
      <c r="N569" s="349">
        <v>5.5</v>
      </c>
      <c r="O569" s="349">
        <v>5.5</v>
      </c>
      <c r="P569" s="349">
        <v>4.4000000000000004</v>
      </c>
      <c r="Q569" s="349">
        <v>5</v>
      </c>
      <c r="R569" s="349">
        <v>5.8070000000000004</v>
      </c>
      <c r="S569" s="349">
        <v>4.4000000000000004</v>
      </c>
      <c r="T569" s="125">
        <f>SUM(N569:S569)</f>
        <v>30.606999999999999</v>
      </c>
      <c r="U569" s="125">
        <f>T569+L569</f>
        <v>54.442</v>
      </c>
      <c r="V569" s="349">
        <v>56</v>
      </c>
      <c r="W569" s="505">
        <f>V569-U569</f>
        <v>1.5580000000000001</v>
      </c>
      <c r="X569" s="47"/>
    </row>
    <row r="570" spans="1:28" s="51" customFormat="1" ht="18" customHeight="1">
      <c r="A570" s="673"/>
      <c r="B570" s="581"/>
      <c r="C570" s="581"/>
      <c r="D570" s="187" t="str">
        <f>серпень!D493</f>
        <v>тариф, грн.</v>
      </c>
      <c r="E570" s="49" t="e">
        <f t="shared" ref="E570:K570" si="658">E571/E569*1000</f>
        <v>#DIV/0!</v>
      </c>
      <c r="F570" s="49">
        <f t="shared" si="658"/>
        <v>168.18199999999999</v>
      </c>
      <c r="G570" s="49">
        <f t="shared" si="658"/>
        <v>168.40899999999999</v>
      </c>
      <c r="H570" s="49">
        <f t="shared" si="658"/>
        <v>168.05199999999999</v>
      </c>
      <c r="I570" s="49">
        <f t="shared" si="658"/>
        <v>166.81800000000001</v>
      </c>
      <c r="J570" s="49">
        <f t="shared" si="658"/>
        <v>145.798</v>
      </c>
      <c r="K570" s="49">
        <f t="shared" si="658"/>
        <v>169.31800000000001</v>
      </c>
      <c r="L570" s="68">
        <f>L571/L569*1000</f>
        <v>167.065</v>
      </c>
      <c r="M570" s="68">
        <f>M571/M569*1000</f>
        <v>167.12799999999999</v>
      </c>
      <c r="N570" s="68">
        <f t="shared" ref="N570:O570" si="659">N571/N569*1000</f>
        <v>168.18199999999999</v>
      </c>
      <c r="O570" s="68">
        <f t="shared" si="659"/>
        <v>169.45500000000001</v>
      </c>
      <c r="P570" s="68">
        <v>169.88</v>
      </c>
      <c r="Q570" s="68">
        <v>169.88</v>
      </c>
      <c r="R570" s="68">
        <v>169.88</v>
      </c>
      <c r="S570" s="68">
        <v>169.88</v>
      </c>
      <c r="T570" s="68">
        <f>T571/T569*1000</f>
        <v>169.27500000000001</v>
      </c>
      <c r="U570" s="68">
        <f>U571/U569*1000</f>
        <v>168.30799999999999</v>
      </c>
      <c r="V570" s="68">
        <f>V571/V569*1000</f>
        <v>169.429</v>
      </c>
      <c r="W570" s="14">
        <f>W571/W569*1000</f>
        <v>208.601</v>
      </c>
      <c r="X570" s="59"/>
    </row>
    <row r="571" spans="1:28" s="130" customFormat="1" ht="18" customHeight="1">
      <c r="A571" s="673"/>
      <c r="B571" s="581"/>
      <c r="C571" s="581"/>
      <c r="D571" s="191" t="str">
        <f>серпень!D494</f>
        <v>сума, тис.грн.</v>
      </c>
      <c r="E571" s="52"/>
      <c r="F571" s="52">
        <v>0.92500000000000004</v>
      </c>
      <c r="G571" s="52">
        <v>0.74099999999999999</v>
      </c>
      <c r="H571" s="52">
        <v>0.66700000000000004</v>
      </c>
      <c r="I571" s="52">
        <v>0.73399999999999999</v>
      </c>
      <c r="J571" s="52">
        <f>0.923-0.753</f>
        <v>0.17</v>
      </c>
      <c r="K571" s="52">
        <v>0.745</v>
      </c>
      <c r="L571" s="69">
        <f>SUM(F571:K571)</f>
        <v>3.9820000000000002</v>
      </c>
      <c r="M571" s="69">
        <f>L571/6</f>
        <v>0.66400000000000003</v>
      </c>
      <c r="N571" s="52">
        <f>0.923+0.002</f>
        <v>0.92500000000000004</v>
      </c>
      <c r="O571" s="52">
        <v>0.93200000000000005</v>
      </c>
      <c r="P571" s="52">
        <f t="shared" ref="P571" si="660">P569*P570/1000-0.002</f>
        <v>0.745</v>
      </c>
      <c r="Q571" s="52">
        <f t="shared" ref="Q571" si="661">Q569*Q570/1000-0.002</f>
        <v>0.84699999999999998</v>
      </c>
      <c r="R571" s="52">
        <f t="shared" ref="R571" si="662">R569*R570/1000</f>
        <v>0.98599999999999999</v>
      </c>
      <c r="S571" s="52">
        <f>S569*S570/1000-0.001</f>
        <v>0.746</v>
      </c>
      <c r="T571" s="69">
        <f>SUM(N571:S571)</f>
        <v>5.181</v>
      </c>
      <c r="U571" s="69">
        <f>T571+L571</f>
        <v>9.1630000000000003</v>
      </c>
      <c r="V571" s="70">
        <f>V572+V573</f>
        <v>9.4879999999999995</v>
      </c>
      <c r="W571" s="53">
        <f>V571-U571</f>
        <v>0.32500000000000001</v>
      </c>
    </row>
    <row r="572" spans="1:28" s="130" customFormat="1" ht="18" customHeight="1">
      <c r="A572" s="673"/>
      <c r="B572" s="581"/>
      <c r="C572" s="581"/>
      <c r="D572" s="174" t="str">
        <f>серпень!D495</f>
        <v>дотація</v>
      </c>
      <c r="E572" s="56"/>
      <c r="F572" s="52"/>
      <c r="G572" s="52"/>
      <c r="H572" s="52"/>
      <c r="I572" s="52"/>
      <c r="J572" s="52"/>
      <c r="K572" s="52"/>
      <c r="L572" s="69">
        <f>SUM(F572:K572)</f>
        <v>0</v>
      </c>
      <c r="M572" s="69">
        <f>L572/6</f>
        <v>0</v>
      </c>
      <c r="N572" s="52"/>
      <c r="O572" s="52"/>
      <c r="P572" s="52"/>
      <c r="Q572" s="52"/>
      <c r="R572" s="52"/>
      <c r="S572" s="52"/>
      <c r="T572" s="69">
        <f>SUM(N572:S572)</f>
        <v>0</v>
      </c>
      <c r="U572" s="69">
        <f>T572+L572</f>
        <v>0</v>
      </c>
      <c r="V572" s="70"/>
      <c r="W572" s="53">
        <f>V572-U572</f>
        <v>0</v>
      </c>
    </row>
    <row r="573" spans="1:28" s="130" customFormat="1" ht="18" customHeight="1">
      <c r="A573" s="673"/>
      <c r="B573" s="581"/>
      <c r="C573" s="581"/>
      <c r="D573" s="174" t="str">
        <f>серпень!D496</f>
        <v>місцевий (план), тис.грн</v>
      </c>
      <c r="E573" s="56"/>
      <c r="F573" s="52">
        <f>0.17-0.17</f>
        <v>0</v>
      </c>
      <c r="G573" s="52">
        <f>0.745+0.291</f>
        <v>1.036</v>
      </c>
      <c r="H573" s="52">
        <v>0.76200000000000001</v>
      </c>
      <c r="I573" s="52">
        <v>0.55900000000000005</v>
      </c>
      <c r="J573" s="52">
        <v>0.745</v>
      </c>
      <c r="K573" s="52">
        <v>0.93100000000000005</v>
      </c>
      <c r="L573" s="69">
        <f>SUM(F573:K573)</f>
        <v>4.0330000000000004</v>
      </c>
      <c r="M573" s="69">
        <f>L573/6</f>
        <v>0.67200000000000004</v>
      </c>
      <c r="N573" s="52">
        <f>0.745-0.744</f>
        <v>1E-3</v>
      </c>
      <c r="O573" s="52">
        <v>0.745</v>
      </c>
      <c r="P573" s="52">
        <f>0.932+0.744</f>
        <v>1.6759999999999999</v>
      </c>
      <c r="Q573" s="52">
        <v>0.745</v>
      </c>
      <c r="R573" s="52">
        <v>0.84699999999999998</v>
      </c>
      <c r="S573" s="52">
        <f>1.733-0.001-0.291</f>
        <v>1.4410000000000001</v>
      </c>
      <c r="T573" s="69">
        <f>SUM(N573:S573)</f>
        <v>5.4550000000000001</v>
      </c>
      <c r="U573" s="69">
        <f>T573+L573</f>
        <v>9.4879999999999995</v>
      </c>
      <c r="V573" s="70">
        <f>9.513-0.025</f>
        <v>9.4879999999999995</v>
      </c>
      <c r="W573" s="53">
        <f>V573-U573</f>
        <v>0</v>
      </c>
    </row>
    <row r="574" spans="1:28" s="48" customFormat="1" ht="18" customHeight="1">
      <c r="A574" s="673"/>
      <c r="B574" s="581"/>
      <c r="C574" s="581"/>
      <c r="D574" s="178" t="str">
        <f>серпень!D497</f>
        <v>касові нат.п-ки 2025</v>
      </c>
      <c r="E574" s="11"/>
      <c r="F574" s="82">
        <v>0</v>
      </c>
      <c r="G574" s="82">
        <v>0</v>
      </c>
      <c r="H574" s="82">
        <v>9.9</v>
      </c>
      <c r="I574" s="82">
        <v>4</v>
      </c>
      <c r="J574" s="82">
        <v>4.4000000000000004</v>
      </c>
      <c r="K574" s="82">
        <v>5.5</v>
      </c>
      <c r="L574" s="125">
        <f>SUM(F574:K574)</f>
        <v>23.8</v>
      </c>
      <c r="M574" s="125">
        <f>L574/6</f>
        <v>3.9670000000000001</v>
      </c>
      <c r="N574" s="349">
        <f>-6/169.318</f>
        <v>-3.5000000000000003E-2</v>
      </c>
      <c r="O574" s="349">
        <v>5.5</v>
      </c>
      <c r="P574" s="349">
        <f>5.5+0.07</f>
        <v>5.57</v>
      </c>
      <c r="Q574" s="349">
        <v>4.4000000000000004</v>
      </c>
      <c r="R574" s="349">
        <v>5</v>
      </c>
      <c r="S574" s="349">
        <f>R569+S569</f>
        <v>10.207000000000001</v>
      </c>
      <c r="T574" s="125">
        <f>SUM(N574:S574)</f>
        <v>30.641999999999999</v>
      </c>
      <c r="U574" s="125">
        <f>T574+L574</f>
        <v>54.442</v>
      </c>
      <c r="V574" s="349">
        <f>V569</f>
        <v>56</v>
      </c>
      <c r="W574" s="505">
        <f>V574-U574</f>
        <v>1.5580000000000001</v>
      </c>
      <c r="X574" s="47">
        <f>U569-U574</f>
        <v>0</v>
      </c>
    </row>
    <row r="575" spans="1:28" s="51" customFormat="1" ht="18" customHeight="1">
      <c r="A575" s="673"/>
      <c r="B575" s="581"/>
      <c r="C575" s="581"/>
      <c r="D575" s="187" t="str">
        <f>серпень!D498</f>
        <v>тариф, грн.</v>
      </c>
      <c r="E575" s="49" t="e">
        <f t="shared" ref="E575:K575" si="663">E576/E574*1000</f>
        <v>#DIV/0!</v>
      </c>
      <c r="F575" s="49" t="e">
        <f t="shared" si="663"/>
        <v>#DIV/0!</v>
      </c>
      <c r="G575" s="49" t="e">
        <f t="shared" si="663"/>
        <v>#DIV/0!</v>
      </c>
      <c r="H575" s="49">
        <f t="shared" si="663"/>
        <v>167.98</v>
      </c>
      <c r="I575" s="49">
        <f t="shared" si="663"/>
        <v>166.5</v>
      </c>
      <c r="J575" s="49">
        <f t="shared" si="663"/>
        <v>166.81800000000001</v>
      </c>
      <c r="K575" s="49">
        <f t="shared" si="663"/>
        <v>167.81800000000001</v>
      </c>
      <c r="L575" s="68">
        <f>L576/L574*1000</f>
        <v>167.47900000000001</v>
      </c>
      <c r="M575" s="68">
        <f>M576/M574*1000</f>
        <v>167.381</v>
      </c>
      <c r="N575" s="68">
        <f t="shared" ref="N575:P575" si="664">N576/N574*1000</f>
        <v>171.429</v>
      </c>
      <c r="O575" s="68">
        <f t="shared" si="664"/>
        <v>168.18199999999999</v>
      </c>
      <c r="P575" s="68">
        <f t="shared" si="664"/>
        <v>167.32499999999999</v>
      </c>
      <c r="Q575" s="68">
        <v>169.88</v>
      </c>
      <c r="R575" s="68">
        <v>169.88</v>
      </c>
      <c r="S575" s="68">
        <v>169.88</v>
      </c>
      <c r="T575" s="68">
        <f>T576/T574*1000</f>
        <v>168.95099999999999</v>
      </c>
      <c r="U575" s="68">
        <f>U576/U574*1000</f>
        <v>168.30799999999999</v>
      </c>
      <c r="V575" s="68">
        <f>V576/V574*1000</f>
        <v>169.429</v>
      </c>
      <c r="W575" s="14">
        <f>W576/W574*1000</f>
        <v>208.601</v>
      </c>
      <c r="X575" s="59"/>
    </row>
    <row r="576" spans="1:28" s="126" customFormat="1" ht="18" customHeight="1">
      <c r="A576" s="673"/>
      <c r="B576" s="581"/>
      <c r="C576" s="581"/>
      <c r="D576" s="198" t="str">
        <f>серпень!D499</f>
        <v>касові видатки, тис.грн.</v>
      </c>
      <c r="E576" s="71"/>
      <c r="F576" s="61">
        <v>0</v>
      </c>
      <c r="G576" s="61">
        <v>0</v>
      </c>
      <c r="H576" s="61">
        <v>1.663</v>
      </c>
      <c r="I576" s="61">
        <f>0.672-0.006</f>
        <v>0.66600000000000004</v>
      </c>
      <c r="J576" s="61">
        <v>0.73399999999999999</v>
      </c>
      <c r="K576" s="61">
        <v>0.92300000000000004</v>
      </c>
      <c r="L576" s="61">
        <f>SUM(F576:K576)</f>
        <v>3.9860000000000002</v>
      </c>
      <c r="M576" s="61">
        <f>L576/6</f>
        <v>0.66400000000000003</v>
      </c>
      <c r="N576" s="61">
        <f>-5.5/1000</f>
        <v>-6.0000000000000001E-3</v>
      </c>
      <c r="O576" s="61">
        <f>0.923+0.002</f>
        <v>0.92500000000000004</v>
      </c>
      <c r="P576" s="61">
        <v>0.93200000000000005</v>
      </c>
      <c r="Q576" s="61">
        <f t="shared" ref="Q576" si="665">Q574*Q575/1000-0.002</f>
        <v>0.745</v>
      </c>
      <c r="R576" s="61">
        <f t="shared" ref="R576" si="666">R574*R575/1000-0.002</f>
        <v>0.84699999999999998</v>
      </c>
      <c r="S576" s="61">
        <f>S574*S575/1000</f>
        <v>1.734</v>
      </c>
      <c r="T576" s="61">
        <f>SUM(N576:S576)</f>
        <v>5.1769999999999996</v>
      </c>
      <c r="U576" s="61">
        <f>T576+L576</f>
        <v>9.1630000000000003</v>
      </c>
      <c r="V576" s="61">
        <f>V571</f>
        <v>9.4879999999999995</v>
      </c>
      <c r="W576" s="72">
        <f>V576-U576</f>
        <v>0.32500000000000001</v>
      </c>
      <c r="X576" s="63">
        <f>U571-U576</f>
        <v>0</v>
      </c>
    </row>
    <row r="577" spans="1:28" s="126" customFormat="1" ht="18" customHeight="1">
      <c r="A577" s="673"/>
      <c r="B577" s="581"/>
      <c r="C577" s="581"/>
      <c r="D577" s="201" t="str">
        <f>серпень!D500</f>
        <v>дотація</v>
      </c>
      <c r="E577" s="71"/>
      <c r="F577" s="61"/>
      <c r="G577" s="61"/>
      <c r="H577" s="61"/>
      <c r="I577" s="61"/>
      <c r="J577" s="61"/>
      <c r="K577" s="61"/>
      <c r="L577" s="61">
        <f>SUM(F577:K577)</f>
        <v>0</v>
      </c>
      <c r="M577" s="61">
        <f>L577/6</f>
        <v>0</v>
      </c>
      <c r="N577" s="61"/>
      <c r="O577" s="61"/>
      <c r="P577" s="61"/>
      <c r="Q577" s="61"/>
      <c r="R577" s="61"/>
      <c r="S577" s="61"/>
      <c r="T577" s="61">
        <f>SUM(N577:S577)</f>
        <v>0</v>
      </c>
      <c r="U577" s="61">
        <f>T577+L577</f>
        <v>0</v>
      </c>
      <c r="V577" s="61">
        <f>V572</f>
        <v>0</v>
      </c>
      <c r="W577" s="72">
        <f>V577-U577</f>
        <v>0</v>
      </c>
      <c r="X577" s="63">
        <f>U572-U577</f>
        <v>0</v>
      </c>
    </row>
    <row r="578" spans="1:28" s="126" customFormat="1" ht="18" customHeight="1">
      <c r="A578" s="673"/>
      <c r="B578" s="581"/>
      <c r="C578" s="581"/>
      <c r="D578" s="201" t="str">
        <f>серпень!D501</f>
        <v xml:space="preserve">місцевий </v>
      </c>
      <c r="E578" s="71"/>
      <c r="F578" s="61">
        <f t="shared" ref="F578:K578" si="667">F576-F577</f>
        <v>0</v>
      </c>
      <c r="G578" s="61">
        <f t="shared" si="667"/>
        <v>0</v>
      </c>
      <c r="H578" s="61">
        <f t="shared" si="667"/>
        <v>1.663</v>
      </c>
      <c r="I578" s="61">
        <f t="shared" si="667"/>
        <v>0.66600000000000004</v>
      </c>
      <c r="J578" s="61">
        <f t="shared" si="667"/>
        <v>0.73399999999999999</v>
      </c>
      <c r="K578" s="61">
        <f t="shared" si="667"/>
        <v>0.92300000000000004</v>
      </c>
      <c r="L578" s="61">
        <f>SUM(F578:K578)</f>
        <v>3.9860000000000002</v>
      </c>
      <c r="M578" s="61">
        <f>L578/6</f>
        <v>0.66400000000000003</v>
      </c>
      <c r="N578" s="61">
        <f t="shared" ref="N578:S578" si="668">N576-N577</f>
        <v>-6.0000000000000001E-3</v>
      </c>
      <c r="O578" s="61">
        <f t="shared" si="668"/>
        <v>0.92500000000000004</v>
      </c>
      <c r="P578" s="61">
        <f t="shared" si="668"/>
        <v>0.93200000000000005</v>
      </c>
      <c r="Q578" s="61">
        <f t="shared" si="668"/>
        <v>0.745</v>
      </c>
      <c r="R578" s="61">
        <f t="shared" si="668"/>
        <v>0.84699999999999998</v>
      </c>
      <c r="S578" s="61">
        <f t="shared" si="668"/>
        <v>1.734</v>
      </c>
      <c r="T578" s="61">
        <f>SUM(N578:S578)</f>
        <v>5.1769999999999996</v>
      </c>
      <c r="U578" s="61">
        <f>T578+L578</f>
        <v>9.1630000000000003</v>
      </c>
      <c r="V578" s="61">
        <f>V573</f>
        <v>9.4879999999999995</v>
      </c>
      <c r="W578" s="72">
        <f>V578-U578</f>
        <v>0.32500000000000001</v>
      </c>
      <c r="X578" s="63">
        <f>U573-U578</f>
        <v>0.32500000000000001</v>
      </c>
    </row>
    <row r="579" spans="1:28" s="43" customFormat="1" ht="18" customHeight="1">
      <c r="A579" s="673"/>
      <c r="B579" s="581"/>
      <c r="C579" s="581"/>
      <c r="D579" s="202" t="str">
        <f>серпень!D502</f>
        <v>план</v>
      </c>
      <c r="E579" s="42"/>
      <c r="F579" s="42">
        <f>F573+F572</f>
        <v>0</v>
      </c>
      <c r="G579" s="42">
        <f t="shared" ref="G579:K579" si="669">G573+G572</f>
        <v>1.036</v>
      </c>
      <c r="H579" s="42">
        <f t="shared" si="669"/>
        <v>0.76200000000000001</v>
      </c>
      <c r="I579" s="42">
        <f t="shared" si="669"/>
        <v>0.55900000000000005</v>
      </c>
      <c r="J579" s="42">
        <f t="shared" si="669"/>
        <v>0.745</v>
      </c>
      <c r="K579" s="42">
        <f t="shared" si="669"/>
        <v>0.93100000000000005</v>
      </c>
      <c r="L579" s="42">
        <f>SUM(F579:K579)</f>
        <v>4.0330000000000004</v>
      </c>
      <c r="M579" s="42">
        <f>L579/6</f>
        <v>0.67200000000000004</v>
      </c>
      <c r="N579" s="42">
        <f>N573+N572</f>
        <v>1E-3</v>
      </c>
      <c r="O579" s="42">
        <f>O573+O572</f>
        <v>0.745</v>
      </c>
      <c r="P579" s="42">
        <f t="shared" ref="P579:S579" si="670">P573+P572</f>
        <v>1.6759999999999999</v>
      </c>
      <c r="Q579" s="42">
        <f t="shared" si="670"/>
        <v>0.745</v>
      </c>
      <c r="R579" s="42">
        <f t="shared" si="670"/>
        <v>0.84699999999999998</v>
      </c>
      <c r="S579" s="42">
        <f t="shared" si="670"/>
        <v>1.4410000000000001</v>
      </c>
      <c r="T579" s="42">
        <f>SUM(N579:S579)</f>
        <v>5.4550000000000001</v>
      </c>
      <c r="U579" s="42">
        <f>T579+L579</f>
        <v>9.4879999999999995</v>
      </c>
      <c r="V579" s="42">
        <f>V576</f>
        <v>9.4879999999999995</v>
      </c>
      <c r="W579" s="42">
        <f>V579-U579</f>
        <v>0</v>
      </c>
    </row>
    <row r="580" spans="1:28" s="43" customFormat="1" ht="18" customHeight="1">
      <c r="A580" s="673"/>
      <c r="B580" s="581"/>
      <c r="C580" s="581"/>
      <c r="D580" s="202" t="str">
        <f>серпень!D503</f>
        <v xml:space="preserve">відхилення </v>
      </c>
      <c r="E580" s="42"/>
      <c r="F580" s="42">
        <f>F576-F579</f>
        <v>0</v>
      </c>
      <c r="G580" s="42">
        <f t="shared" ref="G580:K580" si="671">G576-G579</f>
        <v>-1.036</v>
      </c>
      <c r="H580" s="42">
        <f t="shared" si="671"/>
        <v>0.90100000000000002</v>
      </c>
      <c r="I580" s="42">
        <f t="shared" si="671"/>
        <v>0.107</v>
      </c>
      <c r="J580" s="42">
        <f t="shared" si="671"/>
        <v>-1.0999999999999999E-2</v>
      </c>
      <c r="K580" s="42">
        <f t="shared" si="671"/>
        <v>-8.0000000000000002E-3</v>
      </c>
      <c r="L580" s="42"/>
      <c r="M580" s="42"/>
      <c r="N580" s="42">
        <f t="shared" ref="N580:S580" si="672">N576-N579</f>
        <v>-7.0000000000000001E-3</v>
      </c>
      <c r="O580" s="42">
        <f>O576-O579</f>
        <v>0.18</v>
      </c>
      <c r="P580" s="42">
        <f t="shared" si="672"/>
        <v>-0.74399999999999999</v>
      </c>
      <c r="Q580" s="42">
        <f t="shared" si="672"/>
        <v>0</v>
      </c>
      <c r="R580" s="42">
        <f t="shared" si="672"/>
        <v>0</v>
      </c>
      <c r="S580" s="42">
        <f t="shared" si="672"/>
        <v>0.29299999999999998</v>
      </c>
      <c r="T580" s="42"/>
      <c r="U580" s="42"/>
      <c r="V580" s="42"/>
      <c r="W580" s="42"/>
    </row>
    <row r="581" spans="1:28" s="43" customFormat="1" ht="18" customHeight="1">
      <c r="A581" s="673"/>
      <c r="B581" s="581"/>
      <c r="C581" s="581"/>
      <c r="D581" s="202" t="str">
        <f>серпень!D504</f>
        <v>відхилення з наростаючим</v>
      </c>
      <c r="E581" s="42"/>
      <c r="F581" s="42">
        <f>F580</f>
        <v>0</v>
      </c>
      <c r="G581" s="42">
        <f>G580+F581</f>
        <v>-1.036</v>
      </c>
      <c r="H581" s="42">
        <f>H580+G581</f>
        <v>-0.13500000000000001</v>
      </c>
      <c r="I581" s="42">
        <f>I580+H581</f>
        <v>-2.8000000000000001E-2</v>
      </c>
      <c r="J581" s="42">
        <f>J580+I581</f>
        <v>-3.9E-2</v>
      </c>
      <c r="K581" s="42">
        <f>K580+J581</f>
        <v>-4.7E-2</v>
      </c>
      <c r="L581" s="42"/>
      <c r="M581" s="42"/>
      <c r="N581" s="42">
        <f>N580+K581</f>
        <v>-5.3999999999999999E-2</v>
      </c>
      <c r="O581" s="42">
        <f>O580+N581</f>
        <v>0.126</v>
      </c>
      <c r="P581" s="42">
        <f>P580+O581</f>
        <v>-0.61799999999999999</v>
      </c>
      <c r="Q581" s="42">
        <f>Q580+P581</f>
        <v>-0.61799999999999999</v>
      </c>
      <c r="R581" s="42">
        <f>R580+Q581</f>
        <v>-0.61799999999999999</v>
      </c>
      <c r="S581" s="42">
        <f>S580+R581</f>
        <v>-0.32500000000000001</v>
      </c>
      <c r="T581" s="42"/>
      <c r="U581" s="42"/>
      <c r="V581" s="42"/>
      <c r="W581" s="42"/>
    </row>
    <row r="582" spans="1:28" s="55" customFormat="1" ht="18" customHeight="1">
      <c r="A582" s="673"/>
      <c r="B582" s="692" t="s">
        <v>138</v>
      </c>
      <c r="C582" s="577"/>
      <c r="D582" s="178" t="str">
        <f>серпень!D505</f>
        <v>факт. нат.п-ки 2023</v>
      </c>
      <c r="E582" s="11"/>
      <c r="F582" s="12"/>
      <c r="G582" s="12"/>
      <c r="H582" s="12"/>
      <c r="I582" s="12"/>
      <c r="J582" s="12"/>
      <c r="K582" s="12"/>
      <c r="L582" s="65">
        <f>SUM(F582:K582)</f>
        <v>0</v>
      </c>
      <c r="M582" s="65">
        <f>L582/6</f>
        <v>0</v>
      </c>
      <c r="N582" s="12"/>
      <c r="O582" s="12"/>
      <c r="P582" s="12"/>
      <c r="Q582" s="12"/>
      <c r="R582" s="12"/>
      <c r="S582" s="12"/>
      <c r="T582" s="65">
        <f>SUM(N582:S582)</f>
        <v>0</v>
      </c>
      <c r="U582" s="65">
        <f>T582+L582</f>
        <v>0</v>
      </c>
      <c r="V582" s="67"/>
      <c r="W582" s="38"/>
      <c r="X582" s="47"/>
      <c r="Y582" s="48"/>
      <c r="Z582" s="48"/>
      <c r="AA582" s="48"/>
      <c r="AB582" s="48"/>
    </row>
    <row r="583" spans="1:28" s="48" customFormat="1" ht="18" customHeight="1">
      <c r="A583" s="673"/>
      <c r="B583" s="576"/>
      <c r="C583" s="577"/>
      <c r="D583" s="178" t="str">
        <f>серпень!D506</f>
        <v>факт. нат.п-ки 2024</v>
      </c>
      <c r="E583" s="11"/>
      <c r="F583" s="12"/>
      <c r="G583" s="12"/>
      <c r="H583" s="12"/>
      <c r="I583" s="12"/>
      <c r="J583" s="12"/>
      <c r="K583" s="12"/>
      <c r="L583" s="65">
        <f>SUM(F583:K583)</f>
        <v>0</v>
      </c>
      <c r="M583" s="65">
        <f>L583/6</f>
        <v>0</v>
      </c>
      <c r="N583" s="11"/>
      <c r="O583" s="11"/>
      <c r="P583" s="11"/>
      <c r="Q583" s="11"/>
      <c r="R583" s="11"/>
      <c r="S583" s="11"/>
      <c r="T583" s="65">
        <f>SUM(N583:S583)</f>
        <v>0</v>
      </c>
      <c r="U583" s="65">
        <f>T583+L583</f>
        <v>0</v>
      </c>
      <c r="V583" s="67"/>
      <c r="W583" s="38"/>
      <c r="X583" s="47"/>
    </row>
    <row r="584" spans="1:28" s="48" customFormat="1" ht="18" customHeight="1">
      <c r="A584" s="673"/>
      <c r="B584" s="576"/>
      <c r="C584" s="577"/>
      <c r="D584" s="178" t="str">
        <f>серпень!D507</f>
        <v>факт. нат.п-ки 2025</v>
      </c>
      <c r="E584" s="11"/>
      <c r="F584" s="12">
        <v>1</v>
      </c>
      <c r="G584" s="12">
        <v>1</v>
      </c>
      <c r="H584" s="12">
        <v>1</v>
      </c>
      <c r="I584" s="12">
        <v>1</v>
      </c>
      <c r="J584" s="12">
        <v>1</v>
      </c>
      <c r="K584" s="12">
        <v>1</v>
      </c>
      <c r="L584" s="65">
        <f>SUM(F584:K584)</f>
        <v>6</v>
      </c>
      <c r="M584" s="65">
        <f>L584/6</f>
        <v>1</v>
      </c>
      <c r="N584" s="11">
        <v>1</v>
      </c>
      <c r="O584" s="11">
        <v>1</v>
      </c>
      <c r="P584" s="11">
        <v>1</v>
      </c>
      <c r="Q584" s="11">
        <v>1</v>
      </c>
      <c r="R584" s="11">
        <v>1</v>
      </c>
      <c r="S584" s="11">
        <v>1</v>
      </c>
      <c r="T584" s="65">
        <f>SUM(N584:S584)</f>
        <v>6</v>
      </c>
      <c r="U584" s="65">
        <f>T584+L584</f>
        <v>12</v>
      </c>
      <c r="V584" s="11">
        <v>12</v>
      </c>
      <c r="W584" s="38">
        <f>V584-U584</f>
        <v>0</v>
      </c>
      <c r="X584" s="47"/>
    </row>
    <row r="585" spans="1:28" s="51" customFormat="1" ht="18" customHeight="1">
      <c r="A585" s="673"/>
      <c r="B585" s="576"/>
      <c r="C585" s="577"/>
      <c r="D585" s="187" t="str">
        <f>серпень!D508</f>
        <v>тариф, грн.</v>
      </c>
      <c r="E585" s="49" t="e">
        <f t="shared" ref="E585:H585" si="673">E586/E584*1000</f>
        <v>#DIV/0!</v>
      </c>
      <c r="F585" s="49">
        <f t="shared" si="673"/>
        <v>3</v>
      </c>
      <c r="G585" s="49">
        <f t="shared" si="673"/>
        <v>2</v>
      </c>
      <c r="H585" s="49">
        <f t="shared" si="673"/>
        <v>2</v>
      </c>
      <c r="I585" s="49">
        <v>2.1</v>
      </c>
      <c r="J585" s="49">
        <v>2.1</v>
      </c>
      <c r="K585" s="49">
        <v>2.1</v>
      </c>
      <c r="L585" s="68">
        <f>L586/L584*1000</f>
        <v>2.1669999999999998</v>
      </c>
      <c r="M585" s="68">
        <f>M586/M584*1000</f>
        <v>2</v>
      </c>
      <c r="N585" s="49">
        <v>2.1</v>
      </c>
      <c r="O585" s="49">
        <v>2.1</v>
      </c>
      <c r="P585" s="49">
        <v>2.1</v>
      </c>
      <c r="Q585" s="49">
        <v>2.1</v>
      </c>
      <c r="R585" s="49">
        <v>2.1</v>
      </c>
      <c r="S585" s="49">
        <v>2.1</v>
      </c>
      <c r="T585" s="68">
        <f>T586/T584*1000</f>
        <v>2</v>
      </c>
      <c r="U585" s="68">
        <f>U586/U584*1000</f>
        <v>2.0830000000000002</v>
      </c>
      <c r="V585" s="68">
        <f>V586/V584*1000</f>
        <v>2.0830000000000002</v>
      </c>
      <c r="W585" s="14" t="e">
        <f>W586/W584*1000</f>
        <v>#DIV/0!</v>
      </c>
      <c r="X585" s="59"/>
    </row>
    <row r="586" spans="1:28" s="130" customFormat="1" ht="18" customHeight="1">
      <c r="A586" s="673"/>
      <c r="B586" s="576"/>
      <c r="C586" s="577"/>
      <c r="D586" s="191" t="str">
        <f>серпень!D509</f>
        <v>сума, тис.грн.</v>
      </c>
      <c r="E586" s="52"/>
      <c r="F586" s="52">
        <v>3.0000000000000001E-3</v>
      </c>
      <c r="G586" s="52">
        <v>2E-3</v>
      </c>
      <c r="H586" s="52">
        <v>2E-3</v>
      </c>
      <c r="I586" s="52">
        <f t="shared" ref="I586:K586" si="674">I584*I585/1000</f>
        <v>2E-3</v>
      </c>
      <c r="J586" s="52">
        <f t="shared" si="674"/>
        <v>2E-3</v>
      </c>
      <c r="K586" s="52">
        <f t="shared" si="674"/>
        <v>2E-3</v>
      </c>
      <c r="L586" s="69">
        <f>SUM(F586:K586)</f>
        <v>1.2999999999999999E-2</v>
      </c>
      <c r="M586" s="69">
        <f>L586/6</f>
        <v>2E-3</v>
      </c>
      <c r="N586" s="52">
        <f>N584*N585/1000</f>
        <v>2E-3</v>
      </c>
      <c r="O586" s="52">
        <f t="shared" ref="O586:R586" si="675">O584*O585/1000</f>
        <v>2E-3</v>
      </c>
      <c r="P586" s="52">
        <f t="shared" si="675"/>
        <v>2E-3</v>
      </c>
      <c r="Q586" s="52">
        <f t="shared" si="675"/>
        <v>2E-3</v>
      </c>
      <c r="R586" s="52">
        <f t="shared" si="675"/>
        <v>2E-3</v>
      </c>
      <c r="S586" s="52">
        <f>S584*S585/1000</f>
        <v>2E-3</v>
      </c>
      <c r="T586" s="69">
        <f>SUM(N586:S586)</f>
        <v>1.2E-2</v>
      </c>
      <c r="U586" s="69">
        <f>T586+L586</f>
        <v>2.5000000000000001E-2</v>
      </c>
      <c r="V586" s="70">
        <f>V587+V588</f>
        <v>2.5000000000000001E-2</v>
      </c>
      <c r="W586" s="53">
        <f>V586-U586</f>
        <v>0</v>
      </c>
    </row>
    <row r="587" spans="1:28" s="130" customFormat="1" ht="18" customHeight="1">
      <c r="A587" s="673"/>
      <c r="B587" s="576"/>
      <c r="C587" s="577"/>
      <c r="D587" s="174" t="str">
        <f>серпень!D510</f>
        <v>дотація</v>
      </c>
      <c r="E587" s="56"/>
      <c r="F587" s="52"/>
      <c r="G587" s="52"/>
      <c r="H587" s="52"/>
      <c r="I587" s="52"/>
      <c r="J587" s="52"/>
      <c r="K587" s="52"/>
      <c r="L587" s="69">
        <f>SUM(F587:K587)</f>
        <v>0</v>
      </c>
      <c r="M587" s="69">
        <f>L587/6</f>
        <v>0</v>
      </c>
      <c r="N587" s="52"/>
      <c r="O587" s="52"/>
      <c r="P587" s="52"/>
      <c r="Q587" s="52"/>
      <c r="R587" s="52"/>
      <c r="S587" s="52"/>
      <c r="T587" s="69">
        <f>SUM(N587:S587)</f>
        <v>0</v>
      </c>
      <c r="U587" s="69">
        <f>T587+L587</f>
        <v>0</v>
      </c>
      <c r="V587" s="70"/>
      <c r="W587" s="53">
        <f>V587-U587</f>
        <v>0</v>
      </c>
    </row>
    <row r="588" spans="1:28" s="130" customFormat="1" ht="18" customHeight="1">
      <c r="A588" s="673"/>
      <c r="B588" s="576"/>
      <c r="C588" s="577"/>
      <c r="D588" s="174" t="str">
        <f>серпень!D511</f>
        <v>місцевий (план), тис.грн</v>
      </c>
      <c r="E588" s="56"/>
      <c r="F588" s="52"/>
      <c r="G588" s="52">
        <v>3.0000000000000001E-3</v>
      </c>
      <c r="H588" s="52">
        <v>2E-3</v>
      </c>
      <c r="I588" s="52">
        <v>2E-3</v>
      </c>
      <c r="J588" s="52">
        <v>2E-3</v>
      </c>
      <c r="K588" s="52">
        <v>2E-3</v>
      </c>
      <c r="L588" s="69">
        <f>SUM(F588:K588)</f>
        <v>1.0999999999999999E-2</v>
      </c>
      <c r="M588" s="69">
        <f>L588/6</f>
        <v>2E-3</v>
      </c>
      <c r="N588" s="52">
        <f>0.002-0.002</f>
        <v>0</v>
      </c>
      <c r="O588" s="52">
        <v>2E-3</v>
      </c>
      <c r="P588" s="52">
        <f>0.002+0.002</f>
        <v>4.0000000000000001E-3</v>
      </c>
      <c r="Q588" s="52">
        <v>2E-3</v>
      </c>
      <c r="R588" s="52">
        <v>2E-3</v>
      </c>
      <c r="S588" s="52">
        <v>4.0000000000000001E-3</v>
      </c>
      <c r="T588" s="69">
        <f>SUM(N588:S588)</f>
        <v>1.4E-2</v>
      </c>
      <c r="U588" s="69">
        <f>T588+L588</f>
        <v>2.5000000000000001E-2</v>
      </c>
      <c r="V588" s="70">
        <v>2.5000000000000001E-2</v>
      </c>
      <c r="W588" s="53">
        <f>V588-U588</f>
        <v>0</v>
      </c>
    </row>
    <row r="589" spans="1:28" s="48" customFormat="1" ht="18" customHeight="1">
      <c r="A589" s="673"/>
      <c r="B589" s="576"/>
      <c r="C589" s="577"/>
      <c r="D589" s="178" t="str">
        <f>серпень!D512</f>
        <v>касові нат.п-ки 2025</v>
      </c>
      <c r="E589" s="11"/>
      <c r="F589" s="12"/>
      <c r="G589" s="12">
        <v>0</v>
      </c>
      <c r="H589" s="12">
        <v>2</v>
      </c>
      <c r="I589" s="12">
        <v>1</v>
      </c>
      <c r="J589" s="12">
        <v>1</v>
      </c>
      <c r="K589" s="12">
        <v>1</v>
      </c>
      <c r="L589" s="65">
        <f>SUM(F589:K589)</f>
        <v>5</v>
      </c>
      <c r="M589" s="65">
        <f>L589/6</f>
        <v>0.8</v>
      </c>
      <c r="N589" s="12">
        <v>0</v>
      </c>
      <c r="O589" s="12">
        <v>1</v>
      </c>
      <c r="P589" s="12">
        <v>1</v>
      </c>
      <c r="Q589" s="12">
        <v>1</v>
      </c>
      <c r="R589" s="12">
        <v>1</v>
      </c>
      <c r="S589" s="12">
        <v>3</v>
      </c>
      <c r="T589" s="65">
        <f>SUM(N589:S589)</f>
        <v>7</v>
      </c>
      <c r="U589" s="65">
        <f>T589+L589</f>
        <v>12</v>
      </c>
      <c r="V589" s="11">
        <v>12</v>
      </c>
      <c r="W589" s="38">
        <f>V589-U589</f>
        <v>0</v>
      </c>
      <c r="X589" s="47">
        <f>U584-U589</f>
        <v>0</v>
      </c>
    </row>
    <row r="590" spans="1:28" s="51" customFormat="1" ht="18" customHeight="1">
      <c r="A590" s="673"/>
      <c r="B590" s="576"/>
      <c r="C590" s="577"/>
      <c r="D590" s="187" t="str">
        <f>серпень!D513</f>
        <v>тариф, грн.</v>
      </c>
      <c r="E590" s="49" t="e">
        <f t="shared" ref="E590:H590" si="676">E591/E589*1000</f>
        <v>#DIV/0!</v>
      </c>
      <c r="F590" s="49" t="e">
        <f t="shared" si="676"/>
        <v>#DIV/0!</v>
      </c>
      <c r="G590" s="49" t="e">
        <f t="shared" si="676"/>
        <v>#DIV/0!</v>
      </c>
      <c r="H590" s="49">
        <f t="shared" si="676"/>
        <v>2.5</v>
      </c>
      <c r="I590" s="49">
        <v>2.1</v>
      </c>
      <c r="J590" s="49">
        <v>2.1</v>
      </c>
      <c r="K590" s="49">
        <v>2.1</v>
      </c>
      <c r="L590" s="68">
        <f>L591/L589*1000</f>
        <v>2.2000000000000002</v>
      </c>
      <c r="M590" s="68">
        <f>M591/M589*1000</f>
        <v>2.5</v>
      </c>
      <c r="N590" s="68">
        <v>2.1</v>
      </c>
      <c r="O590" s="68">
        <v>2.1</v>
      </c>
      <c r="P590" s="68">
        <v>2.1</v>
      </c>
      <c r="Q590" s="68">
        <v>2.1</v>
      </c>
      <c r="R590" s="68">
        <v>2.1</v>
      </c>
      <c r="S590" s="68">
        <v>2.1</v>
      </c>
      <c r="T590" s="68">
        <f>T591/T589*1000</f>
        <v>2</v>
      </c>
      <c r="U590" s="68">
        <f>U591/U589*1000</f>
        <v>2.0830000000000002</v>
      </c>
      <c r="V590" s="68">
        <f>V591/V589*1000</f>
        <v>2.0830000000000002</v>
      </c>
      <c r="W590" s="14" t="e">
        <f>W591/W589*1000</f>
        <v>#DIV/0!</v>
      </c>
      <c r="X590" s="59"/>
    </row>
    <row r="591" spans="1:28" s="126" customFormat="1" ht="18" customHeight="1">
      <c r="A591" s="673"/>
      <c r="B591" s="576"/>
      <c r="C591" s="577"/>
      <c r="D591" s="198" t="str">
        <f>серпень!D514</f>
        <v>касові видатки, тис.грн.</v>
      </c>
      <c r="E591" s="71"/>
      <c r="F591" s="61">
        <v>0</v>
      </c>
      <c r="G591" s="61">
        <v>0</v>
      </c>
      <c r="H591" s="61">
        <v>5.0000000000000001E-3</v>
      </c>
      <c r="I591" s="61">
        <f t="shared" ref="I591" si="677">I589*I590/1000</f>
        <v>2E-3</v>
      </c>
      <c r="J591" s="61">
        <f t="shared" ref="J591" si="678">J589*J590/1000</f>
        <v>2E-3</v>
      </c>
      <c r="K591" s="61">
        <f t="shared" ref="K591" si="679">K589*K590/1000</f>
        <v>2E-3</v>
      </c>
      <c r="L591" s="61">
        <f>SUM(F591:K591)</f>
        <v>1.0999999999999999E-2</v>
      </c>
      <c r="M591" s="61">
        <f>L591/6</f>
        <v>2E-3</v>
      </c>
      <c r="N591" s="61">
        <v>0</v>
      </c>
      <c r="O591" s="61">
        <v>0</v>
      </c>
      <c r="P591" s="61">
        <f t="shared" ref="P591" si="680">P589*P590/1000</f>
        <v>2E-3</v>
      </c>
      <c r="Q591" s="61">
        <f t="shared" ref="Q591" si="681">Q589*Q590/1000</f>
        <v>2E-3</v>
      </c>
      <c r="R591" s="61">
        <f t="shared" ref="R591" si="682">R589*R590/1000</f>
        <v>2E-3</v>
      </c>
      <c r="S591" s="61">
        <f>S589*S590/1000+0.002</f>
        <v>8.0000000000000002E-3</v>
      </c>
      <c r="T591" s="61">
        <f>SUM(N591:S591)</f>
        <v>1.4E-2</v>
      </c>
      <c r="U591" s="61">
        <f>T591+L591</f>
        <v>2.5000000000000001E-2</v>
      </c>
      <c r="V591" s="61">
        <f>V586</f>
        <v>2.5000000000000001E-2</v>
      </c>
      <c r="W591" s="72">
        <f>V591-U591</f>
        <v>0</v>
      </c>
      <c r="X591" s="63">
        <f>U586-U591</f>
        <v>0</v>
      </c>
    </row>
    <row r="592" spans="1:28" s="126" customFormat="1" ht="18" customHeight="1">
      <c r="A592" s="673"/>
      <c r="B592" s="576"/>
      <c r="C592" s="577"/>
      <c r="D592" s="201" t="str">
        <f>серпень!D515</f>
        <v>дотація</v>
      </c>
      <c r="E592" s="71"/>
      <c r="F592" s="61"/>
      <c r="G592" s="61"/>
      <c r="H592" s="61"/>
      <c r="I592" s="61"/>
      <c r="J592" s="61"/>
      <c r="K592" s="61"/>
      <c r="L592" s="61">
        <f>SUM(F592:K592)</f>
        <v>0</v>
      </c>
      <c r="M592" s="61">
        <f>L592/6</f>
        <v>0</v>
      </c>
      <c r="N592" s="61"/>
      <c r="O592" s="61"/>
      <c r="P592" s="61"/>
      <c r="Q592" s="61"/>
      <c r="R592" s="61"/>
      <c r="S592" s="61"/>
      <c r="T592" s="61">
        <f>SUM(N592:S592)</f>
        <v>0</v>
      </c>
      <c r="U592" s="61">
        <f>T592+L592</f>
        <v>0</v>
      </c>
      <c r="V592" s="61">
        <f>V587</f>
        <v>0</v>
      </c>
      <c r="W592" s="72">
        <f>V592-U592</f>
        <v>0</v>
      </c>
      <c r="X592" s="63">
        <f>U587-U592</f>
        <v>0</v>
      </c>
    </row>
    <row r="593" spans="1:28" s="126" customFormat="1" ht="18" customHeight="1">
      <c r="A593" s="673"/>
      <c r="B593" s="576"/>
      <c r="C593" s="577"/>
      <c r="D593" s="201" t="str">
        <f>серпень!D516</f>
        <v xml:space="preserve">місцевий </v>
      </c>
      <c r="E593" s="71"/>
      <c r="F593" s="61">
        <f t="shared" ref="F593:K593" si="683">F591-F592</f>
        <v>0</v>
      </c>
      <c r="G593" s="61">
        <f t="shared" si="683"/>
        <v>0</v>
      </c>
      <c r="H593" s="61">
        <f t="shared" si="683"/>
        <v>5.0000000000000001E-3</v>
      </c>
      <c r="I593" s="61">
        <f t="shared" si="683"/>
        <v>2E-3</v>
      </c>
      <c r="J593" s="61">
        <f t="shared" si="683"/>
        <v>2E-3</v>
      </c>
      <c r="K593" s="61">
        <f t="shared" si="683"/>
        <v>2E-3</v>
      </c>
      <c r="L593" s="61">
        <f>SUM(F593:K593)</f>
        <v>1.0999999999999999E-2</v>
      </c>
      <c r="M593" s="61">
        <f>L593/6</f>
        <v>2E-3</v>
      </c>
      <c r="N593" s="61">
        <f t="shared" ref="N593:S593" si="684">N591-N592</f>
        <v>0</v>
      </c>
      <c r="O593" s="61">
        <f t="shared" si="684"/>
        <v>0</v>
      </c>
      <c r="P593" s="61">
        <f t="shared" si="684"/>
        <v>2E-3</v>
      </c>
      <c r="Q593" s="61">
        <f t="shared" si="684"/>
        <v>2E-3</v>
      </c>
      <c r="R593" s="61">
        <f t="shared" si="684"/>
        <v>2E-3</v>
      </c>
      <c r="S593" s="61">
        <f t="shared" si="684"/>
        <v>8.0000000000000002E-3</v>
      </c>
      <c r="T593" s="61">
        <f>SUM(N593:S593)</f>
        <v>1.4E-2</v>
      </c>
      <c r="U593" s="61">
        <f>T593+L593</f>
        <v>2.5000000000000001E-2</v>
      </c>
      <c r="V593" s="61">
        <f>V588</f>
        <v>2.5000000000000001E-2</v>
      </c>
      <c r="W593" s="72">
        <f>V593-U593</f>
        <v>0</v>
      </c>
      <c r="X593" s="63">
        <f>U588-U593</f>
        <v>0</v>
      </c>
    </row>
    <row r="594" spans="1:28" s="43" customFormat="1" ht="18" customHeight="1">
      <c r="A594" s="673"/>
      <c r="B594" s="576"/>
      <c r="C594" s="577"/>
      <c r="D594" s="202" t="str">
        <f>серпень!D517</f>
        <v>план</v>
      </c>
      <c r="E594" s="42"/>
      <c r="F594" s="42">
        <f>F588+F587</f>
        <v>0</v>
      </c>
      <c r="G594" s="42">
        <f t="shared" ref="G594:K594" si="685">G588+G587</f>
        <v>3.0000000000000001E-3</v>
      </c>
      <c r="H594" s="42">
        <f t="shared" si="685"/>
        <v>2E-3</v>
      </c>
      <c r="I594" s="42">
        <f t="shared" si="685"/>
        <v>2E-3</v>
      </c>
      <c r="J594" s="42">
        <f t="shared" si="685"/>
        <v>2E-3</v>
      </c>
      <c r="K594" s="42">
        <f t="shared" si="685"/>
        <v>2E-3</v>
      </c>
      <c r="L594" s="42">
        <f>SUM(F594:K594)</f>
        <v>1.0999999999999999E-2</v>
      </c>
      <c r="M594" s="42">
        <f>L594/6</f>
        <v>2E-3</v>
      </c>
      <c r="N594" s="42">
        <f>N588+N587</f>
        <v>0</v>
      </c>
      <c r="O594" s="42">
        <f t="shared" ref="O594:S594" si="686">O588+O587</f>
        <v>2E-3</v>
      </c>
      <c r="P594" s="42">
        <f t="shared" si="686"/>
        <v>4.0000000000000001E-3</v>
      </c>
      <c r="Q594" s="42">
        <f t="shared" si="686"/>
        <v>2E-3</v>
      </c>
      <c r="R594" s="42">
        <f t="shared" si="686"/>
        <v>2E-3</v>
      </c>
      <c r="S594" s="42">
        <f t="shared" si="686"/>
        <v>4.0000000000000001E-3</v>
      </c>
      <c r="T594" s="42">
        <f>SUM(N594:S594)</f>
        <v>1.4E-2</v>
      </c>
      <c r="U594" s="42">
        <f>T594+L594</f>
        <v>2.5000000000000001E-2</v>
      </c>
      <c r="V594" s="42">
        <f>V591</f>
        <v>2.5000000000000001E-2</v>
      </c>
      <c r="W594" s="42">
        <f>V594-U594</f>
        <v>0</v>
      </c>
    </row>
    <row r="595" spans="1:28" s="43" customFormat="1" ht="18" customHeight="1">
      <c r="A595" s="673"/>
      <c r="B595" s="576"/>
      <c r="C595" s="577"/>
      <c r="D595" s="202" t="str">
        <f>серпень!D518</f>
        <v xml:space="preserve">відхилення </v>
      </c>
      <c r="E595" s="42"/>
      <c r="F595" s="42">
        <f t="shared" ref="F595:K595" si="687">F591-F594</f>
        <v>0</v>
      </c>
      <c r="G595" s="42">
        <f t="shared" si="687"/>
        <v>-3.0000000000000001E-3</v>
      </c>
      <c r="H595" s="42">
        <f t="shared" si="687"/>
        <v>3.0000000000000001E-3</v>
      </c>
      <c r="I595" s="42">
        <f t="shared" si="687"/>
        <v>0</v>
      </c>
      <c r="J595" s="42">
        <f t="shared" si="687"/>
        <v>0</v>
      </c>
      <c r="K595" s="42">
        <f t="shared" si="687"/>
        <v>0</v>
      </c>
      <c r="L595" s="42"/>
      <c r="M595" s="42"/>
      <c r="N595" s="42">
        <f t="shared" ref="N595:S595" si="688">N591-N594</f>
        <v>0</v>
      </c>
      <c r="O595" s="42">
        <f t="shared" si="688"/>
        <v>-2E-3</v>
      </c>
      <c r="P595" s="42">
        <f t="shared" si="688"/>
        <v>-2E-3</v>
      </c>
      <c r="Q595" s="42">
        <f t="shared" si="688"/>
        <v>0</v>
      </c>
      <c r="R595" s="42">
        <f t="shared" si="688"/>
        <v>0</v>
      </c>
      <c r="S595" s="42">
        <f t="shared" si="688"/>
        <v>4.0000000000000001E-3</v>
      </c>
      <c r="T595" s="42"/>
      <c r="U595" s="42"/>
      <c r="V595" s="42"/>
      <c r="W595" s="42"/>
    </row>
    <row r="596" spans="1:28" s="43" customFormat="1" ht="18" customHeight="1">
      <c r="A596" s="673"/>
      <c r="B596" s="576"/>
      <c r="C596" s="577"/>
      <c r="D596" s="202" t="str">
        <f>серпень!D519</f>
        <v>відхилення з наростаючим</v>
      </c>
      <c r="E596" s="42"/>
      <c r="F596" s="42">
        <f>F595</f>
        <v>0</v>
      </c>
      <c r="G596" s="42">
        <f>G595+F596</f>
        <v>-3.0000000000000001E-3</v>
      </c>
      <c r="H596" s="42">
        <f>H595+G596</f>
        <v>0</v>
      </c>
      <c r="I596" s="42">
        <f>I595+H596</f>
        <v>0</v>
      </c>
      <c r="J596" s="42">
        <f>J595+I596</f>
        <v>0</v>
      </c>
      <c r="K596" s="42">
        <f>K595+J596</f>
        <v>0</v>
      </c>
      <c r="L596" s="42"/>
      <c r="M596" s="42"/>
      <c r="N596" s="42">
        <f>N595+K596</f>
        <v>0</v>
      </c>
      <c r="O596" s="42">
        <f>O595+N596</f>
        <v>-2E-3</v>
      </c>
      <c r="P596" s="42">
        <f>P595+O596</f>
        <v>-4.0000000000000001E-3</v>
      </c>
      <c r="Q596" s="42">
        <f>Q595+P596</f>
        <v>-4.0000000000000001E-3</v>
      </c>
      <c r="R596" s="42">
        <f>R595+Q596</f>
        <v>-4.0000000000000001E-3</v>
      </c>
      <c r="S596" s="42">
        <f>S595+R596</f>
        <v>0</v>
      </c>
      <c r="T596" s="42"/>
      <c r="U596" s="42"/>
      <c r="V596" s="42"/>
      <c r="W596" s="42"/>
    </row>
    <row r="597" spans="1:28" s="55" customFormat="1" ht="18" customHeight="1">
      <c r="A597" s="673"/>
      <c r="B597" s="581" t="s">
        <v>64</v>
      </c>
      <c r="C597" s="581"/>
      <c r="D597" s="178" t="str">
        <f>серпень!D520</f>
        <v>факт. нат.п-ки 2023</v>
      </c>
      <c r="E597" s="11"/>
      <c r="F597" s="82">
        <v>4.0999999999999996</v>
      </c>
      <c r="G597" s="82">
        <v>3.8</v>
      </c>
      <c r="H597" s="82">
        <v>3.5</v>
      </c>
      <c r="I597" s="82">
        <v>4.4000000000000004</v>
      </c>
      <c r="J597" s="82">
        <v>2.5</v>
      </c>
      <c r="K597" s="82">
        <v>4</v>
      </c>
      <c r="L597" s="125">
        <f>SUM(F597:K597)</f>
        <v>22.3</v>
      </c>
      <c r="M597" s="125">
        <f>L597/6</f>
        <v>3.7170000000000001</v>
      </c>
      <c r="N597" s="82">
        <v>4.4000000000000004</v>
      </c>
      <c r="O597" s="82">
        <v>5.5</v>
      </c>
      <c r="P597" s="82">
        <v>4.07</v>
      </c>
      <c r="Q597" s="82">
        <v>4.0999999999999996</v>
      </c>
      <c r="R597" s="82">
        <v>4.8</v>
      </c>
      <c r="S597" s="82">
        <v>1.7</v>
      </c>
      <c r="T597" s="125">
        <f>SUM(N597:S597)</f>
        <v>24.57</v>
      </c>
      <c r="U597" s="125">
        <f>T597+L597</f>
        <v>46.87</v>
      </c>
      <c r="V597" s="505"/>
      <c r="W597" s="505"/>
      <c r="X597" s="47"/>
      <c r="Y597" s="48"/>
      <c r="Z597" s="48"/>
      <c r="AA597" s="48"/>
      <c r="AB597" s="48"/>
    </row>
    <row r="598" spans="1:28" s="48" customFormat="1" ht="18" customHeight="1">
      <c r="A598" s="673"/>
      <c r="B598" s="581"/>
      <c r="C598" s="581"/>
      <c r="D598" s="178" t="str">
        <f>серпень!D521</f>
        <v>факт. нат.п-ки 2024</v>
      </c>
      <c r="E598" s="11"/>
      <c r="F598" s="82">
        <v>4.4000000000000004</v>
      </c>
      <c r="G598" s="82">
        <v>3.5</v>
      </c>
      <c r="H598" s="82">
        <v>3.3</v>
      </c>
      <c r="I598" s="82">
        <v>4.4000000000000004</v>
      </c>
      <c r="J598" s="82">
        <v>5.5</v>
      </c>
      <c r="K598" s="82">
        <v>4.4000000000000004</v>
      </c>
      <c r="L598" s="125">
        <f>SUM(F598:K598)</f>
        <v>25.5</v>
      </c>
      <c r="M598" s="125">
        <f>L598/6</f>
        <v>4.25</v>
      </c>
      <c r="N598" s="82">
        <v>4.4000000000000004</v>
      </c>
      <c r="O598" s="82">
        <v>5.5</v>
      </c>
      <c r="P598" s="82">
        <v>4.4000000000000004</v>
      </c>
      <c r="Q598" s="82">
        <v>5.5</v>
      </c>
      <c r="R598" s="82">
        <v>4</v>
      </c>
      <c r="S598" s="82">
        <v>1.2</v>
      </c>
      <c r="T598" s="125">
        <f>SUM(N598:S598)</f>
        <v>25</v>
      </c>
      <c r="U598" s="125">
        <f>T598+L598</f>
        <v>50.5</v>
      </c>
      <c r="V598" s="505">
        <v>41.2</v>
      </c>
      <c r="W598" s="505"/>
      <c r="X598" s="47"/>
    </row>
    <row r="599" spans="1:28" s="48" customFormat="1" ht="18" customHeight="1">
      <c r="A599" s="673"/>
      <c r="B599" s="581"/>
      <c r="C599" s="581"/>
      <c r="D599" s="178" t="str">
        <f>серпень!D522</f>
        <v>факт. нат.п-ки 2025</v>
      </c>
      <c r="E599" s="11"/>
      <c r="F599" s="82">
        <v>5.5</v>
      </c>
      <c r="G599" s="82">
        <v>2.4</v>
      </c>
      <c r="H599" s="82">
        <v>3</v>
      </c>
      <c r="I599" s="82">
        <v>4.4000000000000004</v>
      </c>
      <c r="J599" s="82">
        <v>5.46</v>
      </c>
      <c r="K599" s="82">
        <v>0</v>
      </c>
      <c r="L599" s="125">
        <f>SUM(F599:K599)</f>
        <v>20.76</v>
      </c>
      <c r="M599" s="125">
        <f>L599/6</f>
        <v>3.46</v>
      </c>
      <c r="N599" s="82">
        <v>5.4729999999999999</v>
      </c>
      <c r="O599" s="82">
        <v>4.4000000000000004</v>
      </c>
      <c r="P599" s="82">
        <v>4.4000000000000004</v>
      </c>
      <c r="Q599" s="82">
        <v>4.0999999999999996</v>
      </c>
      <c r="R599" s="82">
        <v>3</v>
      </c>
      <c r="S599" s="82">
        <v>1.2</v>
      </c>
      <c r="T599" s="125">
        <f>SUM(N599:S599)</f>
        <v>22.573</v>
      </c>
      <c r="U599" s="125">
        <f>T599+L599</f>
        <v>43.332999999999998</v>
      </c>
      <c r="V599" s="349">
        <v>45.9</v>
      </c>
      <c r="W599" s="505">
        <f>V599-U599</f>
        <v>2.5670000000000002</v>
      </c>
      <c r="X599" s="47"/>
    </row>
    <row r="600" spans="1:28" s="51" customFormat="1" ht="18" customHeight="1">
      <c r="A600" s="673"/>
      <c r="B600" s="581"/>
      <c r="C600" s="581"/>
      <c r="D600" s="187" t="str">
        <f>серпень!D523</f>
        <v>тариф, грн.</v>
      </c>
      <c r="E600" s="49" t="e">
        <f>E601/E599*1000</f>
        <v>#DIV/0!</v>
      </c>
      <c r="F600" s="49">
        <f t="shared" ref="F600:K600" si="689">F601/F599*1000</f>
        <v>202.18199999999999</v>
      </c>
      <c r="G600" s="49">
        <f t="shared" si="689"/>
        <v>201.667</v>
      </c>
      <c r="H600" s="49">
        <f t="shared" si="689"/>
        <v>201.667</v>
      </c>
      <c r="I600" s="49">
        <f t="shared" si="689"/>
        <v>202.04499999999999</v>
      </c>
      <c r="J600" s="49">
        <f t="shared" si="689"/>
        <v>202.381</v>
      </c>
      <c r="K600" s="49" t="e">
        <f t="shared" si="689"/>
        <v>#DIV/0!</v>
      </c>
      <c r="L600" s="68">
        <f>L601/L599*1000</f>
        <v>202.071</v>
      </c>
      <c r="M600" s="68">
        <f>M601/M599*1000</f>
        <v>202.023</v>
      </c>
      <c r="N600" s="68">
        <f t="shared" ref="N600:O600" si="690">N601/N599*1000</f>
        <v>202.26599999999999</v>
      </c>
      <c r="O600" s="68">
        <f t="shared" si="690"/>
        <v>226.81800000000001</v>
      </c>
      <c r="P600" s="68">
        <v>227.36699999999999</v>
      </c>
      <c r="Q600" s="68">
        <v>227.36699999999999</v>
      </c>
      <c r="R600" s="68">
        <v>227.36699999999999</v>
      </c>
      <c r="S600" s="68">
        <v>227.36699999999999</v>
      </c>
      <c r="T600" s="68">
        <f>T601/T599*1000</f>
        <v>220.88300000000001</v>
      </c>
      <c r="U600" s="68">
        <f>U601/U599*1000</f>
        <v>211.87100000000001</v>
      </c>
      <c r="V600" s="68">
        <f>V601/V599*1000</f>
        <v>226.81899999999999</v>
      </c>
      <c r="W600" s="14">
        <f>W601/W599*1000</f>
        <v>479.15899999999999</v>
      </c>
      <c r="X600" s="59"/>
    </row>
    <row r="601" spans="1:28" s="130" customFormat="1" ht="18" customHeight="1">
      <c r="A601" s="673"/>
      <c r="B601" s="581"/>
      <c r="C601" s="581"/>
      <c r="D601" s="191" t="str">
        <f>серпень!D524</f>
        <v>сума, тис.грн.</v>
      </c>
      <c r="E601" s="52"/>
      <c r="F601" s="52">
        <v>1.1120000000000001</v>
      </c>
      <c r="G601" s="52">
        <v>0.48399999999999999</v>
      </c>
      <c r="H601" s="52">
        <v>0.60499999999999998</v>
      </c>
      <c r="I601" s="52">
        <v>0.88900000000000001</v>
      </c>
      <c r="J601" s="52">
        <v>1.105</v>
      </c>
      <c r="K601" s="52">
        <v>0</v>
      </c>
      <c r="L601" s="69">
        <f>SUM(F601:K601)</f>
        <v>4.1950000000000003</v>
      </c>
      <c r="M601" s="69">
        <f>L601/6</f>
        <v>0.69899999999999995</v>
      </c>
      <c r="N601" s="52">
        <v>1.107</v>
      </c>
      <c r="O601" s="52">
        <v>0.998</v>
      </c>
      <c r="P601" s="52">
        <f t="shared" ref="P601" si="691">P599*P600/1000-0.002</f>
        <v>0.998</v>
      </c>
      <c r="Q601" s="52">
        <f t="shared" ref="Q601" si="692">Q599*Q600/1000-0.002</f>
        <v>0.93</v>
      </c>
      <c r="R601" s="52">
        <f t="shared" ref="R601" si="693">R599*R600/1000-0.002</f>
        <v>0.68</v>
      </c>
      <c r="S601" s="52">
        <f>S599*S600/1000+0.001-0.001</f>
        <v>0.27300000000000002</v>
      </c>
      <c r="T601" s="69">
        <f>SUM(N601:S601)</f>
        <v>4.9859999999999998</v>
      </c>
      <c r="U601" s="69">
        <f>T601+L601</f>
        <v>9.1809999999999992</v>
      </c>
      <c r="V601" s="70">
        <f>V602+V603</f>
        <v>10.411</v>
      </c>
      <c r="W601" s="53">
        <f>V601-U601</f>
        <v>1.23</v>
      </c>
    </row>
    <row r="602" spans="1:28" s="130" customFormat="1" ht="18" customHeight="1">
      <c r="A602" s="673"/>
      <c r="B602" s="581"/>
      <c r="C602" s="581"/>
      <c r="D602" s="174" t="str">
        <f>серпень!D525</f>
        <v>дотація</v>
      </c>
      <c r="E602" s="56"/>
      <c r="F602" s="52"/>
      <c r="G602" s="52"/>
      <c r="H602" s="52"/>
      <c r="I602" s="52"/>
      <c r="J602" s="52"/>
      <c r="K602" s="52"/>
      <c r="L602" s="69">
        <f>SUM(F602:K602)</f>
        <v>0</v>
      </c>
      <c r="M602" s="69">
        <f>L602/6</f>
        <v>0</v>
      </c>
      <c r="N602" s="52"/>
      <c r="O602" s="52"/>
      <c r="P602" s="52"/>
      <c r="Q602" s="52"/>
      <c r="R602" s="52"/>
      <c r="S602" s="52"/>
      <c r="T602" s="69">
        <f>SUM(N602:S602)</f>
        <v>0</v>
      </c>
      <c r="U602" s="69">
        <f>T602+L602</f>
        <v>0</v>
      </c>
      <c r="V602" s="70"/>
      <c r="W602" s="53">
        <f>V602-U602</f>
        <v>0</v>
      </c>
    </row>
    <row r="603" spans="1:28" s="130" customFormat="1" ht="18" customHeight="1">
      <c r="A603" s="673"/>
      <c r="B603" s="581"/>
      <c r="C603" s="581"/>
      <c r="D603" s="174" t="str">
        <f>серпень!D526</f>
        <v>місцевий (план), тис.грн</v>
      </c>
      <c r="E603" s="56"/>
      <c r="F603" s="52">
        <f>0.136-0.136</f>
        <v>0</v>
      </c>
      <c r="G603" s="52">
        <v>0.998</v>
      </c>
      <c r="H603" s="52">
        <v>0.79400000000000004</v>
      </c>
      <c r="I603" s="52">
        <v>0.748</v>
      </c>
      <c r="J603" s="52">
        <v>0.998</v>
      </c>
      <c r="K603" s="52">
        <v>0.998</v>
      </c>
      <c r="L603" s="69">
        <f>SUM(F603:K603)</f>
        <v>4.5359999999999996</v>
      </c>
      <c r="M603" s="69">
        <f>L603/6</f>
        <v>0.75600000000000001</v>
      </c>
      <c r="N603" s="52">
        <f>0.998-0.998</f>
        <v>0</v>
      </c>
      <c r="O603" s="52">
        <v>0.998</v>
      </c>
      <c r="P603" s="52">
        <f>0.998+0.998</f>
        <v>1.996</v>
      </c>
      <c r="Q603" s="52">
        <v>0.998</v>
      </c>
      <c r="R603" s="52">
        <v>0.93</v>
      </c>
      <c r="S603" s="52">
        <f>0.954-0.001</f>
        <v>0.95299999999999996</v>
      </c>
      <c r="T603" s="69">
        <f>SUM(N603:S603)</f>
        <v>5.875</v>
      </c>
      <c r="U603" s="69">
        <f>T603+L603</f>
        <v>10.411</v>
      </c>
      <c r="V603" s="70">
        <f>10.436-0.025</f>
        <v>10.411</v>
      </c>
      <c r="W603" s="53">
        <f>V603-U603</f>
        <v>0</v>
      </c>
    </row>
    <row r="604" spans="1:28" s="48" customFormat="1" ht="18" customHeight="1">
      <c r="A604" s="673"/>
      <c r="B604" s="581"/>
      <c r="C604" s="581"/>
      <c r="D604" s="178" t="str">
        <f>серпень!D527</f>
        <v>касові нат.п-ки 2025</v>
      </c>
      <c r="E604" s="11"/>
      <c r="F604" s="82"/>
      <c r="G604" s="82">
        <v>0</v>
      </c>
      <c r="H604" s="82">
        <v>7.9</v>
      </c>
      <c r="I604" s="82">
        <v>3</v>
      </c>
      <c r="J604" s="82">
        <v>4.4000000000000004</v>
      </c>
      <c r="K604" s="82">
        <v>5.46</v>
      </c>
      <c r="L604" s="125">
        <f>SUM(F604:K604)</f>
        <v>20.76</v>
      </c>
      <c r="M604" s="125">
        <f>L604/6</f>
        <v>3.46</v>
      </c>
      <c r="N604" s="82">
        <v>0</v>
      </c>
      <c r="O604" s="82">
        <v>5.4729999999999999</v>
      </c>
      <c r="P604" s="82">
        <v>4.4000000000000004</v>
      </c>
      <c r="Q604" s="82">
        <v>4.4000000000000004</v>
      </c>
      <c r="R604" s="82">
        <v>4.0999999999999996</v>
      </c>
      <c r="S604" s="82">
        <f>R599+S599</f>
        <v>4.2</v>
      </c>
      <c r="T604" s="125">
        <f>SUM(N604:S604)</f>
        <v>22.573</v>
      </c>
      <c r="U604" s="125">
        <f>T604+L604</f>
        <v>43.332999999999998</v>
      </c>
      <c r="V604" s="349">
        <f>V599</f>
        <v>45.9</v>
      </c>
      <c r="W604" s="505">
        <f>V604-U604</f>
        <v>2.5670000000000002</v>
      </c>
      <c r="X604" s="47">
        <f>U599-U604</f>
        <v>0</v>
      </c>
    </row>
    <row r="605" spans="1:28" s="51" customFormat="1" ht="18" customHeight="1">
      <c r="A605" s="673"/>
      <c r="B605" s="581"/>
      <c r="C605" s="581"/>
      <c r="D605" s="187" t="str">
        <f>серпень!D528</f>
        <v>тариф, грн.</v>
      </c>
      <c r="E605" s="49" t="e">
        <f t="shared" ref="E605:K605" si="694">E606/E604*1000</f>
        <v>#DIV/0!</v>
      </c>
      <c r="F605" s="49" t="e">
        <f t="shared" si="694"/>
        <v>#DIV/0!</v>
      </c>
      <c r="G605" s="49" t="e">
        <f t="shared" si="694"/>
        <v>#DIV/0!</v>
      </c>
      <c r="H605" s="49">
        <f t="shared" si="694"/>
        <v>202.02500000000001</v>
      </c>
      <c r="I605" s="49">
        <f t="shared" si="694"/>
        <v>201.667</v>
      </c>
      <c r="J605" s="49">
        <f t="shared" si="694"/>
        <v>202.04499999999999</v>
      </c>
      <c r="K605" s="49">
        <f t="shared" si="694"/>
        <v>202.381</v>
      </c>
      <c r="L605" s="68">
        <f>L606/L604*1000</f>
        <v>202.071</v>
      </c>
      <c r="M605" s="68">
        <f>M606/M604*1000</f>
        <v>202.023</v>
      </c>
      <c r="N605" s="68" t="e">
        <f t="shared" ref="N605:P605" si="695">N606/N604*1000</f>
        <v>#DIV/0!</v>
      </c>
      <c r="O605" s="68">
        <f t="shared" si="695"/>
        <v>202.26599999999999</v>
      </c>
      <c r="P605" s="68">
        <f t="shared" si="695"/>
        <v>226.81800000000001</v>
      </c>
      <c r="Q605" s="68">
        <v>227.36699999999999</v>
      </c>
      <c r="R605" s="68">
        <v>227.36699999999999</v>
      </c>
      <c r="S605" s="68">
        <v>227.36699999999999</v>
      </c>
      <c r="T605" s="68">
        <f>T606/T604*1000</f>
        <v>220.88300000000001</v>
      </c>
      <c r="U605" s="68">
        <f>U606/U604*1000</f>
        <v>211.87100000000001</v>
      </c>
      <c r="V605" s="68">
        <f>V606/V604*1000</f>
        <v>226.81899999999999</v>
      </c>
      <c r="W605" s="14">
        <f>W606/W604*1000</f>
        <v>479.15899999999999</v>
      </c>
      <c r="X605" s="59"/>
    </row>
    <row r="606" spans="1:28" s="126" customFormat="1" ht="18" customHeight="1">
      <c r="A606" s="673"/>
      <c r="B606" s="581"/>
      <c r="C606" s="581"/>
      <c r="D606" s="198" t="str">
        <f>серпень!D529</f>
        <v>касові видатки, тис.грн.</v>
      </c>
      <c r="E606" s="71"/>
      <c r="F606" s="61">
        <v>0</v>
      </c>
      <c r="G606" s="61">
        <v>0</v>
      </c>
      <c r="H606" s="61">
        <v>1.5960000000000001</v>
      </c>
      <c r="I606" s="61">
        <v>0.60499999999999998</v>
      </c>
      <c r="J606" s="61">
        <v>0.88900000000000001</v>
      </c>
      <c r="K606" s="61">
        <v>1.105</v>
      </c>
      <c r="L606" s="61">
        <f>SUM(F606:K606)</f>
        <v>4.1950000000000003</v>
      </c>
      <c r="M606" s="61">
        <f>L606/6</f>
        <v>0.69899999999999995</v>
      </c>
      <c r="N606" s="61">
        <v>0</v>
      </c>
      <c r="O606" s="61">
        <v>1.107</v>
      </c>
      <c r="P606" s="61">
        <v>0.998</v>
      </c>
      <c r="Q606" s="61">
        <f t="shared" ref="Q606" si="696">Q604*Q605/1000-0.002</f>
        <v>0.998</v>
      </c>
      <c r="R606" s="61">
        <f t="shared" ref="R606" si="697">R604*R605/1000-0.002</f>
        <v>0.93</v>
      </c>
      <c r="S606" s="61">
        <f>S604*S605/1000-0.001-0.001</f>
        <v>0.95299999999999996</v>
      </c>
      <c r="T606" s="61">
        <f>SUM(N606:S606)</f>
        <v>4.9859999999999998</v>
      </c>
      <c r="U606" s="61">
        <f>T606+L606</f>
        <v>9.1809999999999992</v>
      </c>
      <c r="V606" s="61">
        <f>V601</f>
        <v>10.411</v>
      </c>
      <c r="W606" s="72">
        <f>V606-U606</f>
        <v>1.23</v>
      </c>
      <c r="X606" s="63">
        <f>U601-U606</f>
        <v>0</v>
      </c>
    </row>
    <row r="607" spans="1:28" s="126" customFormat="1" ht="18" customHeight="1">
      <c r="A607" s="673"/>
      <c r="B607" s="581"/>
      <c r="C607" s="581"/>
      <c r="D607" s="201" t="str">
        <f>серпень!D530</f>
        <v>дотація</v>
      </c>
      <c r="E607" s="71"/>
      <c r="F607" s="61"/>
      <c r="G607" s="61"/>
      <c r="H607" s="61"/>
      <c r="I607" s="61"/>
      <c r="J607" s="61"/>
      <c r="K607" s="61"/>
      <c r="L607" s="61">
        <f>SUM(F607:K607)</f>
        <v>0</v>
      </c>
      <c r="M607" s="61">
        <f>L607/6</f>
        <v>0</v>
      </c>
      <c r="N607" s="61"/>
      <c r="O607" s="61"/>
      <c r="P607" s="61"/>
      <c r="Q607" s="61"/>
      <c r="R607" s="61"/>
      <c r="S607" s="61"/>
      <c r="T607" s="61">
        <f>SUM(N607:S607)</f>
        <v>0</v>
      </c>
      <c r="U607" s="61">
        <f>T607+L607</f>
        <v>0</v>
      </c>
      <c r="V607" s="61">
        <f>V602</f>
        <v>0</v>
      </c>
      <c r="W607" s="72">
        <f>V607-U607</f>
        <v>0</v>
      </c>
      <c r="X607" s="63">
        <f>U602-U607</f>
        <v>0</v>
      </c>
    </row>
    <row r="608" spans="1:28" s="126" customFormat="1" ht="18" customHeight="1">
      <c r="A608" s="673"/>
      <c r="B608" s="581"/>
      <c r="C608" s="581"/>
      <c r="D608" s="201" t="str">
        <f>серпень!D531</f>
        <v xml:space="preserve">місцевий </v>
      </c>
      <c r="E608" s="71"/>
      <c r="F608" s="61">
        <f t="shared" ref="F608:K608" si="698">F606-F607</f>
        <v>0</v>
      </c>
      <c r="G608" s="61">
        <f t="shared" si="698"/>
        <v>0</v>
      </c>
      <c r="H608" s="61">
        <f t="shared" si="698"/>
        <v>1.5960000000000001</v>
      </c>
      <c r="I608" s="61">
        <f t="shared" si="698"/>
        <v>0.60499999999999998</v>
      </c>
      <c r="J608" s="61">
        <f t="shared" si="698"/>
        <v>0.88900000000000001</v>
      </c>
      <c r="K608" s="61">
        <f t="shared" si="698"/>
        <v>1.105</v>
      </c>
      <c r="L608" s="61">
        <f>SUM(F608:K608)</f>
        <v>4.1950000000000003</v>
      </c>
      <c r="M608" s="61">
        <f>L608/6</f>
        <v>0.69899999999999995</v>
      </c>
      <c r="N608" s="61">
        <f t="shared" ref="N608:S608" si="699">N606-N607</f>
        <v>0</v>
      </c>
      <c r="O608" s="61">
        <f>O606-O607</f>
        <v>1.107</v>
      </c>
      <c r="P608" s="61">
        <f>P606-P607</f>
        <v>0.998</v>
      </c>
      <c r="Q608" s="61">
        <f t="shared" ref="Q608" si="700">Q606-Q607</f>
        <v>0.998</v>
      </c>
      <c r="R608" s="61">
        <f t="shared" si="699"/>
        <v>0.93</v>
      </c>
      <c r="S608" s="61">
        <f t="shared" si="699"/>
        <v>0.95299999999999996</v>
      </c>
      <c r="T608" s="61">
        <f>SUM(N608:S608)</f>
        <v>4.9859999999999998</v>
      </c>
      <c r="U608" s="61">
        <f>T608+L608</f>
        <v>9.1809999999999992</v>
      </c>
      <c r="V608" s="61">
        <f>V603</f>
        <v>10.411</v>
      </c>
      <c r="W608" s="72">
        <f>V608-U608</f>
        <v>1.23</v>
      </c>
      <c r="X608" s="63">
        <f>U603-U608</f>
        <v>1.23</v>
      </c>
    </row>
    <row r="609" spans="1:28" s="43" customFormat="1" ht="18" customHeight="1">
      <c r="A609" s="673"/>
      <c r="B609" s="581"/>
      <c r="C609" s="581"/>
      <c r="D609" s="202" t="str">
        <f>серпень!D532</f>
        <v>план</v>
      </c>
      <c r="E609" s="42"/>
      <c r="F609" s="42">
        <f>F603+F602</f>
        <v>0</v>
      </c>
      <c r="G609" s="42">
        <f t="shared" ref="G609:K609" si="701">G603+G602</f>
        <v>0.998</v>
      </c>
      <c r="H609" s="42">
        <f t="shared" si="701"/>
        <v>0.79400000000000004</v>
      </c>
      <c r="I609" s="42">
        <f t="shared" si="701"/>
        <v>0.748</v>
      </c>
      <c r="J609" s="42">
        <f t="shared" si="701"/>
        <v>0.998</v>
      </c>
      <c r="K609" s="42">
        <f t="shared" si="701"/>
        <v>0.998</v>
      </c>
      <c r="L609" s="42">
        <f>SUM(F609:K609)</f>
        <v>4.5359999999999996</v>
      </c>
      <c r="M609" s="42">
        <f>L609/6</f>
        <v>0.75600000000000001</v>
      </c>
      <c r="N609" s="42">
        <f>N603+N602</f>
        <v>0</v>
      </c>
      <c r="O609" s="42">
        <f t="shared" ref="O609:S609" si="702">O603+O602</f>
        <v>0.998</v>
      </c>
      <c r="P609" s="42">
        <f t="shared" si="702"/>
        <v>1.996</v>
      </c>
      <c r="Q609" s="42">
        <f t="shared" si="702"/>
        <v>0.998</v>
      </c>
      <c r="R609" s="42">
        <f t="shared" si="702"/>
        <v>0.93</v>
      </c>
      <c r="S609" s="42">
        <f t="shared" si="702"/>
        <v>0.95299999999999996</v>
      </c>
      <c r="T609" s="42">
        <f>SUM(N609:S609)</f>
        <v>5.875</v>
      </c>
      <c r="U609" s="42">
        <f>T609+L609</f>
        <v>10.411</v>
      </c>
      <c r="V609" s="42">
        <f>V606</f>
        <v>10.411</v>
      </c>
      <c r="W609" s="42">
        <f>V609-U609</f>
        <v>0</v>
      </c>
    </row>
    <row r="610" spans="1:28" s="43" customFormat="1" ht="18" customHeight="1">
      <c r="A610" s="673"/>
      <c r="B610" s="581"/>
      <c r="C610" s="581"/>
      <c r="D610" s="202" t="str">
        <f>серпень!D533</f>
        <v xml:space="preserve">відхилення </v>
      </c>
      <c r="E610" s="42"/>
      <c r="F610" s="42">
        <f t="shared" ref="F610:K610" si="703">F606-F609</f>
        <v>0</v>
      </c>
      <c r="G610" s="42">
        <f t="shared" si="703"/>
        <v>-0.998</v>
      </c>
      <c r="H610" s="42">
        <f t="shared" si="703"/>
        <v>0.80200000000000005</v>
      </c>
      <c r="I610" s="42">
        <f t="shared" si="703"/>
        <v>-0.14299999999999999</v>
      </c>
      <c r="J610" s="42">
        <f t="shared" si="703"/>
        <v>-0.109</v>
      </c>
      <c r="K610" s="42">
        <f t="shared" si="703"/>
        <v>0.107</v>
      </c>
      <c r="L610" s="42"/>
      <c r="M610" s="42"/>
      <c r="N610" s="42">
        <f t="shared" ref="N610:S610" si="704">N606-N609</f>
        <v>0</v>
      </c>
      <c r="O610" s="42">
        <f>O606-O609</f>
        <v>0.109</v>
      </c>
      <c r="P610" s="42">
        <f>P606-P609</f>
        <v>-0.998</v>
      </c>
      <c r="Q610" s="42">
        <f t="shared" ref="Q610" si="705">Q606-Q609</f>
        <v>0</v>
      </c>
      <c r="R610" s="42">
        <f t="shared" si="704"/>
        <v>0</v>
      </c>
      <c r="S610" s="42">
        <f t="shared" si="704"/>
        <v>0</v>
      </c>
      <c r="T610" s="42"/>
      <c r="U610" s="42"/>
      <c r="V610" s="42"/>
      <c r="W610" s="42"/>
    </row>
    <row r="611" spans="1:28" s="43" customFormat="1" ht="18" customHeight="1">
      <c r="A611" s="673"/>
      <c r="B611" s="581"/>
      <c r="C611" s="581"/>
      <c r="D611" s="202" t="str">
        <f>серпень!D534</f>
        <v>відхилення з наростаючим</v>
      </c>
      <c r="E611" s="42"/>
      <c r="F611" s="42">
        <f>F610</f>
        <v>0</v>
      </c>
      <c r="G611" s="42">
        <f>G610+F611</f>
        <v>-0.998</v>
      </c>
      <c r="H611" s="42">
        <f>H610+G611</f>
        <v>-0.19600000000000001</v>
      </c>
      <c r="I611" s="42">
        <f>I610+H611</f>
        <v>-0.33900000000000002</v>
      </c>
      <c r="J611" s="42">
        <f>J610+I611</f>
        <v>-0.44800000000000001</v>
      </c>
      <c r="K611" s="42">
        <f>K610+J611</f>
        <v>-0.34100000000000003</v>
      </c>
      <c r="L611" s="42"/>
      <c r="M611" s="42"/>
      <c r="N611" s="42">
        <f>N610+K611</f>
        <v>-0.34100000000000003</v>
      </c>
      <c r="O611" s="42">
        <f>O610+N611</f>
        <v>-0.23200000000000001</v>
      </c>
      <c r="P611" s="42">
        <f>P610+O611</f>
        <v>-1.23</v>
      </c>
      <c r="Q611" s="42">
        <f>Q610+P611</f>
        <v>-1.23</v>
      </c>
      <c r="R611" s="42">
        <f>R610+Q611</f>
        <v>-1.23</v>
      </c>
      <c r="S611" s="42">
        <f>S610+R611</f>
        <v>-1.23</v>
      </c>
      <c r="T611" s="42"/>
      <c r="U611" s="42"/>
      <c r="V611" s="42"/>
      <c r="W611" s="42"/>
    </row>
    <row r="612" spans="1:28" s="55" customFormat="1" ht="18" customHeight="1">
      <c r="A612" s="673"/>
      <c r="B612" s="654" t="s">
        <v>139</v>
      </c>
      <c r="C612" s="581"/>
      <c r="D612" s="178" t="str">
        <f>серпень!D535</f>
        <v>факт. нат.п-ки 2023</v>
      </c>
      <c r="E612" s="11"/>
      <c r="F612" s="12"/>
      <c r="G612" s="12"/>
      <c r="H612" s="12"/>
      <c r="I612" s="12"/>
      <c r="J612" s="12"/>
      <c r="K612" s="12"/>
      <c r="L612" s="65">
        <f>SUM(F612:K612)</f>
        <v>0</v>
      </c>
      <c r="M612" s="65">
        <f>L612/6</f>
        <v>0</v>
      </c>
      <c r="N612" s="12"/>
      <c r="O612" s="12"/>
      <c r="P612" s="12"/>
      <c r="Q612" s="12"/>
      <c r="R612" s="12"/>
      <c r="S612" s="12"/>
      <c r="T612" s="65">
        <f>SUM(N612:S612)</f>
        <v>0</v>
      </c>
      <c r="U612" s="65">
        <f>T612+L612</f>
        <v>0</v>
      </c>
      <c r="V612" s="46"/>
      <c r="W612" s="38"/>
      <c r="X612" s="47"/>
      <c r="Y612" s="48"/>
      <c r="Z612" s="48"/>
      <c r="AA612" s="48"/>
      <c r="AB612" s="48"/>
    </row>
    <row r="613" spans="1:28" s="48" customFormat="1" ht="18" customHeight="1">
      <c r="A613" s="673"/>
      <c r="B613" s="581"/>
      <c r="C613" s="581"/>
      <c r="D613" s="178" t="str">
        <f>серпень!D536</f>
        <v>факт. нат.п-ки 2024</v>
      </c>
      <c r="E613" s="11"/>
      <c r="F613" s="12"/>
      <c r="G613" s="12"/>
      <c r="H613" s="12"/>
      <c r="I613" s="12"/>
      <c r="J613" s="12"/>
      <c r="K613" s="12"/>
      <c r="L613" s="65">
        <f>SUM(F613:K613)</f>
        <v>0</v>
      </c>
      <c r="M613" s="65">
        <f>L613/6</f>
        <v>0</v>
      </c>
      <c r="N613" s="12"/>
      <c r="O613" s="12"/>
      <c r="P613" s="12"/>
      <c r="Q613" s="12"/>
      <c r="R613" s="12"/>
      <c r="S613" s="12"/>
      <c r="T613" s="65">
        <f>SUM(N613:S613)</f>
        <v>0</v>
      </c>
      <c r="U613" s="65">
        <f>T613+L613</f>
        <v>0</v>
      </c>
      <c r="V613" s="46"/>
      <c r="W613" s="38"/>
      <c r="X613" s="47"/>
    </row>
    <row r="614" spans="1:28" s="48" customFormat="1" ht="18" customHeight="1">
      <c r="A614" s="673"/>
      <c r="B614" s="581"/>
      <c r="C614" s="581"/>
      <c r="D614" s="178" t="str">
        <f>серпень!D537</f>
        <v>факт. нат.п-ки 2025</v>
      </c>
      <c r="E614" s="11"/>
      <c r="F614" s="12">
        <v>1</v>
      </c>
      <c r="G614" s="12">
        <v>1</v>
      </c>
      <c r="H614" s="12">
        <v>1</v>
      </c>
      <c r="I614" s="12">
        <v>1</v>
      </c>
      <c r="J614" s="12">
        <v>1</v>
      </c>
      <c r="K614" s="12">
        <v>0</v>
      </c>
      <c r="L614" s="65">
        <f>SUM(F614:K614)</f>
        <v>5</v>
      </c>
      <c r="M614" s="65">
        <f>L614/6</f>
        <v>0.8</v>
      </c>
      <c r="N614" s="12">
        <v>1</v>
      </c>
      <c r="O614" s="12">
        <v>1</v>
      </c>
      <c r="P614" s="12">
        <v>1</v>
      </c>
      <c r="Q614" s="12">
        <v>1</v>
      </c>
      <c r="R614" s="12">
        <v>1</v>
      </c>
      <c r="S614" s="12">
        <v>1</v>
      </c>
      <c r="T614" s="65">
        <f>SUM(N614:S614)</f>
        <v>6</v>
      </c>
      <c r="U614" s="65">
        <f>T614+L614</f>
        <v>11</v>
      </c>
      <c r="V614" s="11">
        <v>12</v>
      </c>
      <c r="W614" s="38">
        <f>V614-U614</f>
        <v>1</v>
      </c>
      <c r="X614" s="47"/>
    </row>
    <row r="615" spans="1:28" s="51" customFormat="1" ht="18" customHeight="1">
      <c r="A615" s="673"/>
      <c r="B615" s="581"/>
      <c r="C615" s="581"/>
      <c r="D615" s="187" t="str">
        <f>серпень!D538</f>
        <v>тариф, грн.</v>
      </c>
      <c r="E615" s="49" t="e">
        <f>E616/E614*1000</f>
        <v>#DIV/0!</v>
      </c>
      <c r="F615" s="49">
        <f t="shared" ref="F615:G615" si="706">F616/F614*1000</f>
        <v>3</v>
      </c>
      <c r="G615" s="49">
        <f t="shared" si="706"/>
        <v>2</v>
      </c>
      <c r="H615" s="49">
        <v>2.1</v>
      </c>
      <c r="I615" s="49">
        <v>2.1</v>
      </c>
      <c r="J615" s="49">
        <v>2.1</v>
      </c>
      <c r="K615" s="49">
        <v>2.1</v>
      </c>
      <c r="L615" s="68">
        <f>L616/L614*1000</f>
        <v>2.2000000000000002</v>
      </c>
      <c r="M615" s="68">
        <f>M616/M614*1000</f>
        <v>2.5</v>
      </c>
      <c r="N615" s="49">
        <v>2.1</v>
      </c>
      <c r="O615" s="49">
        <v>2.1</v>
      </c>
      <c r="P615" s="49">
        <v>2.1</v>
      </c>
      <c r="Q615" s="49">
        <v>2.1</v>
      </c>
      <c r="R615" s="49">
        <v>2.1</v>
      </c>
      <c r="S615" s="49">
        <v>2.1</v>
      </c>
      <c r="T615" s="68">
        <f>T616/T614*1000</f>
        <v>2</v>
      </c>
      <c r="U615" s="68">
        <f>U616/U614*1000</f>
        <v>2.0910000000000002</v>
      </c>
      <c r="V615" s="68">
        <f>V616/V614*1000</f>
        <v>2.0830000000000002</v>
      </c>
      <c r="W615" s="14">
        <f>W616/W614*1000</f>
        <v>2</v>
      </c>
      <c r="X615" s="59"/>
    </row>
    <row r="616" spans="1:28" s="130" customFormat="1" ht="18" customHeight="1">
      <c r="A616" s="673"/>
      <c r="B616" s="581"/>
      <c r="C616" s="581"/>
      <c r="D616" s="191" t="str">
        <f>серпень!D539</f>
        <v>сума, тис.грн.</v>
      </c>
      <c r="E616" s="52"/>
      <c r="F616" s="52">
        <v>3.0000000000000001E-3</v>
      </c>
      <c r="G616" s="52">
        <v>2E-3</v>
      </c>
      <c r="H616" s="52">
        <f t="shared" ref="H616:K616" si="707">H614*H615/1000</f>
        <v>2E-3</v>
      </c>
      <c r="I616" s="52">
        <f t="shared" si="707"/>
        <v>2E-3</v>
      </c>
      <c r="J616" s="52">
        <f t="shared" si="707"/>
        <v>2E-3</v>
      </c>
      <c r="K616" s="52">
        <f t="shared" si="707"/>
        <v>0</v>
      </c>
      <c r="L616" s="69">
        <f>SUM(F616:K616)</f>
        <v>1.0999999999999999E-2</v>
      </c>
      <c r="M616" s="69">
        <f>L616/6</f>
        <v>2E-3</v>
      </c>
      <c r="N616" s="52">
        <f t="shared" ref="N616" si="708">N614*N615/1000</f>
        <v>2E-3</v>
      </c>
      <c r="O616" s="52">
        <f t="shared" ref="O616" si="709">O614*O615/1000</f>
        <v>2E-3</v>
      </c>
      <c r="P616" s="52">
        <f t="shared" ref="P616" si="710">P614*P615/1000</f>
        <v>2E-3</v>
      </c>
      <c r="Q616" s="52">
        <f t="shared" ref="Q616" si="711">Q614*Q615/1000</f>
        <v>2E-3</v>
      </c>
      <c r="R616" s="52">
        <f t="shared" ref="R616" si="712">R614*R615/1000</f>
        <v>2E-3</v>
      </c>
      <c r="S616" s="52">
        <f>S614*S615/1000</f>
        <v>2E-3</v>
      </c>
      <c r="T616" s="69">
        <f>SUM(N616:S616)</f>
        <v>1.2E-2</v>
      </c>
      <c r="U616" s="69">
        <f>T616+L616</f>
        <v>2.3E-2</v>
      </c>
      <c r="V616" s="70">
        <f>V617+V618</f>
        <v>2.5000000000000001E-2</v>
      </c>
      <c r="W616" s="53">
        <f>V616-U616</f>
        <v>2E-3</v>
      </c>
    </row>
    <row r="617" spans="1:28" s="130" customFormat="1" ht="18" customHeight="1">
      <c r="A617" s="673"/>
      <c r="B617" s="581"/>
      <c r="C617" s="581"/>
      <c r="D617" s="174" t="str">
        <f>серпень!D540</f>
        <v>дотація</v>
      </c>
      <c r="E617" s="56"/>
      <c r="F617" s="52"/>
      <c r="G617" s="52"/>
      <c r="H617" s="52"/>
      <c r="I617" s="52"/>
      <c r="J617" s="52"/>
      <c r="K617" s="52"/>
      <c r="L617" s="69">
        <f>SUM(F617:K617)</f>
        <v>0</v>
      </c>
      <c r="M617" s="69">
        <f>L617/6</f>
        <v>0</v>
      </c>
      <c r="N617" s="52"/>
      <c r="O617" s="52"/>
      <c r="P617" s="52"/>
      <c r="Q617" s="52"/>
      <c r="R617" s="52"/>
      <c r="S617" s="52"/>
      <c r="T617" s="69">
        <f>SUM(N617:S617)</f>
        <v>0</v>
      </c>
      <c r="U617" s="69">
        <f>T617+L617</f>
        <v>0</v>
      </c>
      <c r="V617" s="70"/>
      <c r="W617" s="53">
        <f>V617-U617</f>
        <v>0</v>
      </c>
    </row>
    <row r="618" spans="1:28" s="130" customFormat="1" ht="18" customHeight="1">
      <c r="A618" s="673"/>
      <c r="B618" s="581"/>
      <c r="C618" s="581"/>
      <c r="D618" s="174" t="str">
        <f>серпень!D541</f>
        <v>місцевий (план), тис.грн</v>
      </c>
      <c r="E618" s="56"/>
      <c r="F618" s="52">
        <f>0.136-0.136</f>
        <v>0</v>
      </c>
      <c r="G618" s="52">
        <v>3.0000000000000001E-3</v>
      </c>
      <c r="H618" s="52">
        <v>2E-3</v>
      </c>
      <c r="I618" s="52">
        <v>2E-3</v>
      </c>
      <c r="J618" s="52">
        <v>2E-3</v>
      </c>
      <c r="K618" s="52">
        <v>2E-3</v>
      </c>
      <c r="L618" s="69">
        <f>SUM(F618:K618)</f>
        <v>1.0999999999999999E-2</v>
      </c>
      <c r="M618" s="69">
        <f>L618/6</f>
        <v>2E-3</v>
      </c>
      <c r="N618" s="52">
        <v>2E-3</v>
      </c>
      <c r="O618" s="52">
        <v>2E-3</v>
      </c>
      <c r="P618" s="52">
        <v>2E-3</v>
      </c>
      <c r="Q618" s="52">
        <v>2E-3</v>
      </c>
      <c r="R618" s="52">
        <v>2E-3</v>
      </c>
      <c r="S618" s="52">
        <v>4.0000000000000001E-3</v>
      </c>
      <c r="T618" s="69">
        <f>SUM(N618:S618)</f>
        <v>1.4E-2</v>
      </c>
      <c r="U618" s="69">
        <f>T618+L618</f>
        <v>2.5000000000000001E-2</v>
      </c>
      <c r="V618" s="70">
        <v>2.5000000000000001E-2</v>
      </c>
      <c r="W618" s="53">
        <f>V618-U618</f>
        <v>0</v>
      </c>
    </row>
    <row r="619" spans="1:28" s="48" customFormat="1" ht="18" customHeight="1">
      <c r="A619" s="673"/>
      <c r="B619" s="581"/>
      <c r="C619" s="581"/>
      <c r="D619" s="178" t="str">
        <f>серпень!D542</f>
        <v>касові нат.п-ки 2025</v>
      </c>
      <c r="E619" s="11"/>
      <c r="F619" s="12"/>
      <c r="G619" s="12">
        <v>0</v>
      </c>
      <c r="H619" s="12">
        <v>2</v>
      </c>
      <c r="I619" s="12">
        <v>1</v>
      </c>
      <c r="J619" s="12">
        <v>1</v>
      </c>
      <c r="K619" s="12">
        <v>1</v>
      </c>
      <c r="L619" s="65">
        <f>SUM(F619:K619)</f>
        <v>5</v>
      </c>
      <c r="M619" s="65">
        <f>L619/6</f>
        <v>0.8</v>
      </c>
      <c r="N619" s="12">
        <v>0</v>
      </c>
      <c r="O619" s="12">
        <v>1</v>
      </c>
      <c r="P619" s="12">
        <v>1</v>
      </c>
      <c r="Q619" s="12">
        <v>1</v>
      </c>
      <c r="R619" s="12">
        <v>1</v>
      </c>
      <c r="S619" s="12">
        <v>2</v>
      </c>
      <c r="T619" s="65">
        <f>SUM(N619:S619)</f>
        <v>6</v>
      </c>
      <c r="U619" s="65">
        <f>T619+L619</f>
        <v>11</v>
      </c>
      <c r="V619" s="11">
        <f>V614</f>
        <v>12</v>
      </c>
      <c r="W619" s="38">
        <f>V619-U619</f>
        <v>1</v>
      </c>
      <c r="X619" s="47">
        <f>U614-U619</f>
        <v>0</v>
      </c>
    </row>
    <row r="620" spans="1:28" s="51" customFormat="1" ht="18" customHeight="1">
      <c r="A620" s="673"/>
      <c r="B620" s="581"/>
      <c r="C620" s="581"/>
      <c r="D620" s="187" t="str">
        <f>серпень!D543</f>
        <v>тариф, грн.</v>
      </c>
      <c r="E620" s="49" t="e">
        <f t="shared" ref="E620" si="713">E621/E619*1000</f>
        <v>#DIV/0!</v>
      </c>
      <c r="F620" s="49" t="e">
        <v>#DIV/0!</v>
      </c>
      <c r="G620" s="49">
        <v>2.1</v>
      </c>
      <c r="H620" s="49">
        <v>2.1</v>
      </c>
      <c r="I620" s="49">
        <v>2.1</v>
      </c>
      <c r="J620" s="49">
        <v>2.1</v>
      </c>
      <c r="K620" s="49">
        <v>2.1</v>
      </c>
      <c r="L620" s="68">
        <f>L621/L619*1000</f>
        <v>2.2000000000000002</v>
      </c>
      <c r="M620" s="68">
        <f>M621/M619*1000</f>
        <v>2.5</v>
      </c>
      <c r="N620" s="68">
        <v>2.1</v>
      </c>
      <c r="O620" s="68">
        <v>2.1</v>
      </c>
      <c r="P620" s="68">
        <v>2.1</v>
      </c>
      <c r="Q620" s="68">
        <v>2.1</v>
      </c>
      <c r="R620" s="68">
        <v>2.1</v>
      </c>
      <c r="S620" s="68">
        <v>2.1</v>
      </c>
      <c r="T620" s="68">
        <f>T621/T619*1000</f>
        <v>2</v>
      </c>
      <c r="U620" s="68">
        <f>U621/U619*1000</f>
        <v>2.0910000000000002</v>
      </c>
      <c r="V620" s="68">
        <f>V621/V619*1000</f>
        <v>2.0830000000000002</v>
      </c>
      <c r="W620" s="14">
        <f>W621/W619*1000</f>
        <v>2</v>
      </c>
      <c r="X620" s="59"/>
    </row>
    <row r="621" spans="1:28" s="126" customFormat="1" ht="18" customHeight="1">
      <c r="A621" s="673"/>
      <c r="B621" s="581"/>
      <c r="C621" s="581"/>
      <c r="D621" s="198" t="str">
        <f>серпень!D544</f>
        <v>касові видатки, тис.грн.</v>
      </c>
      <c r="E621" s="71"/>
      <c r="F621" s="61">
        <v>0</v>
      </c>
      <c r="G621" s="61">
        <v>0</v>
      </c>
      <c r="H621" s="61">
        <v>5.0000000000000001E-3</v>
      </c>
      <c r="I621" s="61">
        <f t="shared" ref="I621" si="714">I619*I620/1000</f>
        <v>2E-3</v>
      </c>
      <c r="J621" s="61">
        <f t="shared" ref="J621" si="715">J619*J620/1000</f>
        <v>2E-3</v>
      </c>
      <c r="K621" s="61">
        <f t="shared" ref="K621" si="716">K619*K620/1000</f>
        <v>2E-3</v>
      </c>
      <c r="L621" s="61">
        <f>SUM(F621:K621)</f>
        <v>1.0999999999999999E-2</v>
      </c>
      <c r="M621" s="61">
        <f>L621/6</f>
        <v>2E-3</v>
      </c>
      <c r="N621" s="61">
        <v>0</v>
      </c>
      <c r="O621" s="61">
        <f t="shared" ref="O621" si="717">O619*O620/1000</f>
        <v>2E-3</v>
      </c>
      <c r="P621" s="61">
        <f t="shared" ref="P621" si="718">P619*P620/1000</f>
        <v>2E-3</v>
      </c>
      <c r="Q621" s="61">
        <f t="shared" ref="Q621" si="719">Q619*Q620/1000</f>
        <v>2E-3</v>
      </c>
      <c r="R621" s="61">
        <f t="shared" ref="R621" si="720">R619*R620/1000</f>
        <v>2E-3</v>
      </c>
      <c r="S621" s="61">
        <f>S619*S620/1000</f>
        <v>4.0000000000000001E-3</v>
      </c>
      <c r="T621" s="61">
        <f>SUM(N621:S621)</f>
        <v>1.2E-2</v>
      </c>
      <c r="U621" s="61">
        <f>T621+L621</f>
        <v>2.3E-2</v>
      </c>
      <c r="V621" s="61">
        <f>V616</f>
        <v>2.5000000000000001E-2</v>
      </c>
      <c r="W621" s="72">
        <f>V621-U621</f>
        <v>2E-3</v>
      </c>
      <c r="X621" s="63">
        <f>U616-U621</f>
        <v>0</v>
      </c>
    </row>
    <row r="622" spans="1:28" s="126" customFormat="1" ht="18" customHeight="1">
      <c r="A622" s="673"/>
      <c r="B622" s="581"/>
      <c r="C622" s="581"/>
      <c r="D622" s="201" t="str">
        <f>серпень!D545</f>
        <v>дотація</v>
      </c>
      <c r="E622" s="71"/>
      <c r="F622" s="61"/>
      <c r="G622" s="61"/>
      <c r="H622" s="61"/>
      <c r="I622" s="61"/>
      <c r="J622" s="61"/>
      <c r="K622" s="61"/>
      <c r="L622" s="61">
        <f>SUM(F622:K622)</f>
        <v>0</v>
      </c>
      <c r="M622" s="61">
        <f>L622/6</f>
        <v>0</v>
      </c>
      <c r="N622" s="61"/>
      <c r="O622" s="61"/>
      <c r="P622" s="61"/>
      <c r="Q622" s="61"/>
      <c r="R622" s="61"/>
      <c r="S622" s="61"/>
      <c r="T622" s="61">
        <f>SUM(N622:S622)</f>
        <v>0</v>
      </c>
      <c r="U622" s="61">
        <f>T622+L622</f>
        <v>0</v>
      </c>
      <c r="V622" s="61">
        <f>V617</f>
        <v>0</v>
      </c>
      <c r="W622" s="72">
        <f>V622-U622</f>
        <v>0</v>
      </c>
      <c r="X622" s="63">
        <f>U617-U622</f>
        <v>0</v>
      </c>
    </row>
    <row r="623" spans="1:28" s="126" customFormat="1" ht="18" customHeight="1">
      <c r="A623" s="673"/>
      <c r="B623" s="581"/>
      <c r="C623" s="581"/>
      <c r="D623" s="201" t="str">
        <f>серпень!D546</f>
        <v xml:space="preserve">місцевий </v>
      </c>
      <c r="E623" s="71"/>
      <c r="F623" s="61">
        <f t="shared" ref="F623:K623" si="721">F621-F622</f>
        <v>0</v>
      </c>
      <c r="G623" s="61">
        <f t="shared" si="721"/>
        <v>0</v>
      </c>
      <c r="H623" s="61">
        <f t="shared" si="721"/>
        <v>5.0000000000000001E-3</v>
      </c>
      <c r="I623" s="61">
        <f t="shared" si="721"/>
        <v>2E-3</v>
      </c>
      <c r="J623" s="61">
        <f t="shared" si="721"/>
        <v>2E-3</v>
      </c>
      <c r="K623" s="61">
        <f t="shared" si="721"/>
        <v>2E-3</v>
      </c>
      <c r="L623" s="61">
        <f>SUM(F623:K623)</f>
        <v>1.0999999999999999E-2</v>
      </c>
      <c r="M623" s="61">
        <f>L623/6</f>
        <v>2E-3</v>
      </c>
      <c r="N623" s="61">
        <f t="shared" ref="N623" si="722">N621-N622</f>
        <v>0</v>
      </c>
      <c r="O623" s="61">
        <f>O621-O622</f>
        <v>2E-3</v>
      </c>
      <c r="P623" s="61">
        <f>P621-P622</f>
        <v>2E-3</v>
      </c>
      <c r="Q623" s="61">
        <f t="shared" ref="Q623:S623" si="723">Q621-Q622</f>
        <v>2E-3</v>
      </c>
      <c r="R623" s="61">
        <f t="shared" si="723"/>
        <v>2E-3</v>
      </c>
      <c r="S623" s="61">
        <f t="shared" si="723"/>
        <v>4.0000000000000001E-3</v>
      </c>
      <c r="T623" s="61">
        <f>SUM(N623:S623)</f>
        <v>1.2E-2</v>
      </c>
      <c r="U623" s="61">
        <f>T623+L623</f>
        <v>2.3E-2</v>
      </c>
      <c r="V623" s="61">
        <f>V618</f>
        <v>2.5000000000000001E-2</v>
      </c>
      <c r="W623" s="72">
        <f>V623-U623</f>
        <v>2E-3</v>
      </c>
      <c r="X623" s="63">
        <f>U618-U623</f>
        <v>2E-3</v>
      </c>
    </row>
    <row r="624" spans="1:28" s="43" customFormat="1" ht="18" customHeight="1">
      <c r="A624" s="673"/>
      <c r="B624" s="581"/>
      <c r="C624" s="581"/>
      <c r="D624" s="202" t="str">
        <f>серпень!D547</f>
        <v>план</v>
      </c>
      <c r="E624" s="42"/>
      <c r="F624" s="42">
        <f>F618+F617</f>
        <v>0</v>
      </c>
      <c r="G624" s="42">
        <f t="shared" ref="G624:K624" si="724">G618+G617</f>
        <v>3.0000000000000001E-3</v>
      </c>
      <c r="H624" s="42">
        <f t="shared" si="724"/>
        <v>2E-3</v>
      </c>
      <c r="I624" s="42">
        <f t="shared" si="724"/>
        <v>2E-3</v>
      </c>
      <c r="J624" s="42">
        <f t="shared" si="724"/>
        <v>2E-3</v>
      </c>
      <c r="K624" s="42">
        <f t="shared" si="724"/>
        <v>2E-3</v>
      </c>
      <c r="L624" s="42">
        <f>SUM(F624:K624)</f>
        <v>1.0999999999999999E-2</v>
      </c>
      <c r="M624" s="42">
        <f>L624/6</f>
        <v>2E-3</v>
      </c>
      <c r="N624" s="42">
        <f>N618+N617</f>
        <v>2E-3</v>
      </c>
      <c r="O624" s="42">
        <f t="shared" ref="O624:S624" si="725">O618+O617</f>
        <v>2E-3</v>
      </c>
      <c r="P624" s="42">
        <f t="shared" si="725"/>
        <v>2E-3</v>
      </c>
      <c r="Q624" s="42">
        <f t="shared" si="725"/>
        <v>2E-3</v>
      </c>
      <c r="R624" s="42">
        <f t="shared" si="725"/>
        <v>2E-3</v>
      </c>
      <c r="S624" s="42">
        <f t="shared" si="725"/>
        <v>4.0000000000000001E-3</v>
      </c>
      <c r="T624" s="42">
        <f>SUM(N624:S624)</f>
        <v>1.4E-2</v>
      </c>
      <c r="U624" s="42">
        <f>T624+L624</f>
        <v>2.5000000000000001E-2</v>
      </c>
      <c r="V624" s="42">
        <f>V621</f>
        <v>2.5000000000000001E-2</v>
      </c>
      <c r="W624" s="42">
        <f>V624-U624</f>
        <v>0</v>
      </c>
    </row>
    <row r="625" spans="1:28" s="43" customFormat="1" ht="18" customHeight="1">
      <c r="A625" s="673"/>
      <c r="B625" s="581"/>
      <c r="C625" s="581"/>
      <c r="D625" s="202" t="str">
        <f>серпень!D548</f>
        <v xml:space="preserve">відхилення </v>
      </c>
      <c r="E625" s="42"/>
      <c r="F625" s="42">
        <f t="shared" ref="F625:K625" si="726">F621-F624</f>
        <v>0</v>
      </c>
      <c r="G625" s="42">
        <f t="shared" si="726"/>
        <v>-3.0000000000000001E-3</v>
      </c>
      <c r="H625" s="42">
        <f t="shared" si="726"/>
        <v>3.0000000000000001E-3</v>
      </c>
      <c r="I625" s="42">
        <f t="shared" si="726"/>
        <v>0</v>
      </c>
      <c r="J625" s="42">
        <f t="shared" si="726"/>
        <v>0</v>
      </c>
      <c r="K625" s="42">
        <f t="shared" si="726"/>
        <v>0</v>
      </c>
      <c r="L625" s="42"/>
      <c r="M625" s="42"/>
      <c r="N625" s="42">
        <f t="shared" ref="N625" si="727">N621-N624</f>
        <v>-2E-3</v>
      </c>
      <c r="O625" s="42">
        <f>O621-O624</f>
        <v>0</v>
      </c>
      <c r="P625" s="42">
        <f>P621-P624</f>
        <v>0</v>
      </c>
      <c r="Q625" s="42">
        <f t="shared" ref="Q625:S625" si="728">Q621-Q624</f>
        <v>0</v>
      </c>
      <c r="R625" s="42">
        <f t="shared" si="728"/>
        <v>0</v>
      </c>
      <c r="S625" s="42">
        <f t="shared" si="728"/>
        <v>0</v>
      </c>
      <c r="T625" s="42"/>
      <c r="U625" s="42"/>
      <c r="V625" s="42"/>
      <c r="W625" s="42"/>
    </row>
    <row r="626" spans="1:28" s="43" customFormat="1" ht="18" customHeight="1">
      <c r="A626" s="673"/>
      <c r="B626" s="581"/>
      <c r="C626" s="581"/>
      <c r="D626" s="202" t="str">
        <f>серпень!D549</f>
        <v>відхилення з наростаючим</v>
      </c>
      <c r="E626" s="42"/>
      <c r="F626" s="42">
        <f>F625</f>
        <v>0</v>
      </c>
      <c r="G626" s="42">
        <f>G625+F626</f>
        <v>-3.0000000000000001E-3</v>
      </c>
      <c r="H626" s="42">
        <f>H625+G626</f>
        <v>0</v>
      </c>
      <c r="I626" s="42">
        <f>I625+H626</f>
        <v>0</v>
      </c>
      <c r="J626" s="42">
        <f>J625+I626</f>
        <v>0</v>
      </c>
      <c r="K626" s="42">
        <f>K625+J626</f>
        <v>0</v>
      </c>
      <c r="L626" s="42"/>
      <c r="M626" s="42"/>
      <c r="N626" s="42">
        <f>N625+K626</f>
        <v>-2E-3</v>
      </c>
      <c r="O626" s="42">
        <f>O625+N626</f>
        <v>-2E-3</v>
      </c>
      <c r="P626" s="42">
        <f>P625+O626</f>
        <v>-2E-3</v>
      </c>
      <c r="Q626" s="42">
        <f>Q625+P626</f>
        <v>-2E-3</v>
      </c>
      <c r="R626" s="42">
        <f>R625+Q626</f>
        <v>-2E-3</v>
      </c>
      <c r="S626" s="42">
        <f>S625+R626</f>
        <v>-2E-3</v>
      </c>
      <c r="T626" s="42"/>
      <c r="U626" s="42"/>
      <c r="V626" s="42"/>
      <c r="W626" s="42"/>
    </row>
    <row r="627" spans="1:28" s="55" customFormat="1" ht="18" hidden="1" customHeight="1">
      <c r="A627" s="673"/>
      <c r="B627" s="581" t="s">
        <v>66</v>
      </c>
      <c r="C627" s="581"/>
      <c r="D627" s="178" t="str">
        <f>серпень!D550</f>
        <v>факт. нат.п-ки 2023</v>
      </c>
      <c r="E627" s="11"/>
      <c r="F627" s="12">
        <f t="shared" ref="F627:K629" si="729">F644+F674</f>
        <v>0</v>
      </c>
      <c r="G627" s="12">
        <f t="shared" si="729"/>
        <v>0</v>
      </c>
      <c r="H627" s="12">
        <f t="shared" si="729"/>
        <v>0</v>
      </c>
      <c r="I627" s="12">
        <f t="shared" si="729"/>
        <v>0</v>
      </c>
      <c r="J627" s="12">
        <f t="shared" si="729"/>
        <v>0</v>
      </c>
      <c r="K627" s="12">
        <f t="shared" si="729"/>
        <v>0</v>
      </c>
      <c r="L627" s="65">
        <f>SUM(F627:K627)</f>
        <v>0</v>
      </c>
      <c r="M627" s="65">
        <f>L627/6</f>
        <v>0</v>
      </c>
      <c r="N627" s="12">
        <f t="shared" ref="N627:S629" si="730">N644+N674</f>
        <v>0</v>
      </c>
      <c r="O627" s="12">
        <f t="shared" si="730"/>
        <v>0</v>
      </c>
      <c r="P627" s="12">
        <f t="shared" si="730"/>
        <v>0</v>
      </c>
      <c r="Q627" s="12">
        <f t="shared" si="730"/>
        <v>0</v>
      </c>
      <c r="R627" s="12">
        <f t="shared" si="730"/>
        <v>0</v>
      </c>
      <c r="S627" s="12">
        <f t="shared" si="730"/>
        <v>0</v>
      </c>
      <c r="T627" s="65">
        <f>SUM(N627:S627)</f>
        <v>0</v>
      </c>
      <c r="U627" s="65">
        <f>T627+L627</f>
        <v>0</v>
      </c>
      <c r="V627" s="75">
        <f>V644+V674</f>
        <v>0</v>
      </c>
      <c r="W627" s="38">
        <f>V627-U627</f>
        <v>0</v>
      </c>
      <c r="X627" s="47"/>
      <c r="Y627" s="48"/>
      <c r="Z627" s="48"/>
      <c r="AA627" s="48"/>
      <c r="AB627" s="48"/>
    </row>
    <row r="628" spans="1:28" s="48" customFormat="1" ht="18" hidden="1" customHeight="1">
      <c r="A628" s="673"/>
      <c r="B628" s="581"/>
      <c r="C628" s="581"/>
      <c r="D628" s="178" t="str">
        <f>серпень!D551</f>
        <v>факт. нат.п-ки 2024</v>
      </c>
      <c r="E628" s="11"/>
      <c r="F628" s="12">
        <f t="shared" si="729"/>
        <v>0</v>
      </c>
      <c r="G628" s="12">
        <f t="shared" si="729"/>
        <v>0</v>
      </c>
      <c r="H628" s="12">
        <f t="shared" si="729"/>
        <v>0</v>
      </c>
      <c r="I628" s="12">
        <f t="shared" si="729"/>
        <v>0</v>
      </c>
      <c r="J628" s="12">
        <f t="shared" si="729"/>
        <v>0</v>
      </c>
      <c r="K628" s="12">
        <f t="shared" si="729"/>
        <v>0</v>
      </c>
      <c r="L628" s="65">
        <f>SUM(F628:K628)</f>
        <v>0</v>
      </c>
      <c r="M628" s="65">
        <f>L628/6</f>
        <v>0</v>
      </c>
      <c r="N628" s="12">
        <f t="shared" si="730"/>
        <v>0</v>
      </c>
      <c r="O628" s="12">
        <f t="shared" si="730"/>
        <v>0</v>
      </c>
      <c r="P628" s="12">
        <f t="shared" si="730"/>
        <v>0</v>
      </c>
      <c r="Q628" s="12">
        <f t="shared" si="730"/>
        <v>0</v>
      </c>
      <c r="R628" s="12">
        <f t="shared" si="730"/>
        <v>0</v>
      </c>
      <c r="S628" s="12">
        <f t="shared" si="730"/>
        <v>0</v>
      </c>
      <c r="T628" s="65">
        <f>SUM(N628:S628)</f>
        <v>0</v>
      </c>
      <c r="U628" s="65">
        <f>T628+L628</f>
        <v>0</v>
      </c>
      <c r="V628" s="75">
        <f>V645+V675</f>
        <v>0</v>
      </c>
      <c r="W628" s="38">
        <f>V628-U628</f>
        <v>0</v>
      </c>
      <c r="X628" s="47"/>
    </row>
    <row r="629" spans="1:28" s="48" customFormat="1" ht="18" hidden="1" customHeight="1">
      <c r="A629" s="673"/>
      <c r="B629" s="581"/>
      <c r="C629" s="581"/>
      <c r="D629" s="178" t="str">
        <f>серпень!D552</f>
        <v>факт. нат.п-ки 2025</v>
      </c>
      <c r="E629" s="11"/>
      <c r="F629" s="12">
        <f t="shared" si="729"/>
        <v>0</v>
      </c>
      <c r="G629" s="12">
        <f t="shared" si="729"/>
        <v>0</v>
      </c>
      <c r="H629" s="12">
        <f t="shared" si="729"/>
        <v>0</v>
      </c>
      <c r="I629" s="12">
        <f t="shared" si="729"/>
        <v>0</v>
      </c>
      <c r="J629" s="12">
        <f t="shared" si="729"/>
        <v>0</v>
      </c>
      <c r="K629" s="12">
        <f t="shared" si="729"/>
        <v>0</v>
      </c>
      <c r="L629" s="65">
        <f>SUM(F629:K629)</f>
        <v>0</v>
      </c>
      <c r="M629" s="65">
        <f>L629/6</f>
        <v>0</v>
      </c>
      <c r="N629" s="12">
        <f t="shared" si="730"/>
        <v>0</v>
      </c>
      <c r="O629" s="12">
        <f t="shared" si="730"/>
        <v>0</v>
      </c>
      <c r="P629" s="12">
        <f t="shared" si="730"/>
        <v>0</v>
      </c>
      <c r="Q629" s="12">
        <f t="shared" si="730"/>
        <v>0</v>
      </c>
      <c r="R629" s="12">
        <f t="shared" si="730"/>
        <v>0</v>
      </c>
      <c r="S629" s="12">
        <f t="shared" si="730"/>
        <v>0</v>
      </c>
      <c r="T629" s="65">
        <f>SUM(N629:S629)</f>
        <v>0</v>
      </c>
      <c r="U629" s="65">
        <f>T629+L629</f>
        <v>0</v>
      </c>
      <c r="V629" s="75">
        <f>V646+V676</f>
        <v>0</v>
      </c>
      <c r="W629" s="38">
        <f>V629-U629</f>
        <v>0</v>
      </c>
      <c r="X629" s="47"/>
    </row>
    <row r="630" spans="1:28" s="51" customFormat="1" ht="18" hidden="1" customHeight="1">
      <c r="A630" s="673"/>
      <c r="B630" s="581"/>
      <c r="C630" s="581"/>
      <c r="D630" s="187" t="str">
        <f>серпень!D553</f>
        <v>тариф, грн.</v>
      </c>
      <c r="E630" s="49"/>
      <c r="F630" s="49" t="e">
        <f t="shared" ref="F630:W630" si="731">F631/F629*1000</f>
        <v>#DIV/0!</v>
      </c>
      <c r="G630" s="49" t="e">
        <f t="shared" si="731"/>
        <v>#DIV/0!</v>
      </c>
      <c r="H630" s="49" t="e">
        <f t="shared" si="731"/>
        <v>#DIV/0!</v>
      </c>
      <c r="I630" s="49" t="e">
        <f t="shared" si="731"/>
        <v>#DIV/0!</v>
      </c>
      <c r="J630" s="49" t="e">
        <f t="shared" si="731"/>
        <v>#DIV/0!</v>
      </c>
      <c r="K630" s="49" t="e">
        <f t="shared" si="731"/>
        <v>#DIV/0!</v>
      </c>
      <c r="L630" s="49" t="e">
        <f t="shared" si="731"/>
        <v>#DIV/0!</v>
      </c>
      <c r="M630" s="49" t="e">
        <f t="shared" si="731"/>
        <v>#DIV/0!</v>
      </c>
      <c r="N630" s="49" t="e">
        <f t="shared" si="731"/>
        <v>#DIV/0!</v>
      </c>
      <c r="O630" s="49" t="e">
        <f t="shared" si="731"/>
        <v>#DIV/0!</v>
      </c>
      <c r="P630" s="49" t="e">
        <f t="shared" si="731"/>
        <v>#DIV/0!</v>
      </c>
      <c r="Q630" s="49" t="e">
        <f t="shared" si="731"/>
        <v>#DIV/0!</v>
      </c>
      <c r="R630" s="49" t="e">
        <f t="shared" si="731"/>
        <v>#DIV/0!</v>
      </c>
      <c r="S630" s="49" t="e">
        <f t="shared" si="731"/>
        <v>#DIV/0!</v>
      </c>
      <c r="T630" s="49" t="e">
        <f t="shared" si="731"/>
        <v>#DIV/0!</v>
      </c>
      <c r="U630" s="49" t="e">
        <f t="shared" si="731"/>
        <v>#DIV/0!</v>
      </c>
      <c r="V630" s="49" t="e">
        <f t="shared" si="731"/>
        <v>#DIV/0!</v>
      </c>
      <c r="W630" s="49" t="e">
        <f t="shared" si="731"/>
        <v>#DIV/0!</v>
      </c>
      <c r="X630" s="59"/>
    </row>
    <row r="631" spans="1:28" s="130" customFormat="1" ht="18" hidden="1" customHeight="1">
      <c r="A631" s="673"/>
      <c r="B631" s="581"/>
      <c r="C631" s="581"/>
      <c r="D631" s="191" t="str">
        <f>серпень!D554</f>
        <v>сума, тис.грн.</v>
      </c>
      <c r="E631" s="52"/>
      <c r="F631" s="52">
        <f t="shared" ref="F631:K631" si="732">F648+F678</f>
        <v>0</v>
      </c>
      <c r="G631" s="52">
        <f t="shared" si="732"/>
        <v>0</v>
      </c>
      <c r="H631" s="52">
        <f t="shared" si="732"/>
        <v>0</v>
      </c>
      <c r="I631" s="52">
        <f t="shared" si="732"/>
        <v>0</v>
      </c>
      <c r="J631" s="52">
        <f t="shared" si="732"/>
        <v>0</v>
      </c>
      <c r="K631" s="52">
        <f t="shared" si="732"/>
        <v>0</v>
      </c>
      <c r="L631" s="69">
        <f>SUM(F631:K631)</f>
        <v>0</v>
      </c>
      <c r="M631" s="69">
        <f>L631/6</f>
        <v>0</v>
      </c>
      <c r="N631" s="52">
        <f t="shared" ref="N631:S631" si="733">N648+N678</f>
        <v>0</v>
      </c>
      <c r="O631" s="52">
        <f t="shared" si="733"/>
        <v>0</v>
      </c>
      <c r="P631" s="52">
        <f t="shared" si="733"/>
        <v>0</v>
      </c>
      <c r="Q631" s="52">
        <f t="shared" si="733"/>
        <v>0</v>
      </c>
      <c r="R631" s="52">
        <f t="shared" si="733"/>
        <v>0</v>
      </c>
      <c r="S631" s="52">
        <f t="shared" si="733"/>
        <v>0</v>
      </c>
      <c r="T631" s="69">
        <f>SUM(N631:S631)</f>
        <v>0</v>
      </c>
      <c r="U631" s="69">
        <f>T631+L631</f>
        <v>0</v>
      </c>
      <c r="V631" s="69">
        <f>V648+V678</f>
        <v>0</v>
      </c>
      <c r="W631" s="52">
        <f>V631-U631</f>
        <v>0</v>
      </c>
    </row>
    <row r="632" spans="1:28" s="130" customFormat="1" ht="18" hidden="1" customHeight="1">
      <c r="A632" s="673"/>
      <c r="B632" s="581"/>
      <c r="C632" s="581"/>
      <c r="D632" s="174" t="str">
        <f>серпень!D555</f>
        <v>абоненська плата, тис.грн.</v>
      </c>
      <c r="E632" s="52"/>
      <c r="F632" s="52">
        <f>F663+F693</f>
        <v>0</v>
      </c>
      <c r="G632" s="52">
        <f t="shared" ref="G632:K632" si="734">G663+G693</f>
        <v>0</v>
      </c>
      <c r="H632" s="52">
        <f t="shared" si="734"/>
        <v>0</v>
      </c>
      <c r="I632" s="52">
        <f t="shared" si="734"/>
        <v>0</v>
      </c>
      <c r="J632" s="52">
        <f t="shared" si="734"/>
        <v>0</v>
      </c>
      <c r="K632" s="52">
        <f t="shared" si="734"/>
        <v>0</v>
      </c>
      <c r="L632" s="69">
        <f t="shared" ref="L632:L634" si="735">SUM(F632:K632)</f>
        <v>0</v>
      </c>
      <c r="M632" s="69">
        <f t="shared" ref="M632:M634" si="736">L632/6</f>
        <v>0</v>
      </c>
      <c r="N632" s="52">
        <f>N663+N693</f>
        <v>0</v>
      </c>
      <c r="O632" s="52">
        <f t="shared" ref="O632:S632" si="737">O663+O693</f>
        <v>0</v>
      </c>
      <c r="P632" s="52">
        <f t="shared" si="737"/>
        <v>0</v>
      </c>
      <c r="Q632" s="52">
        <f t="shared" si="737"/>
        <v>0</v>
      </c>
      <c r="R632" s="52">
        <f t="shared" si="737"/>
        <v>0</v>
      </c>
      <c r="S632" s="52">
        <f t="shared" si="737"/>
        <v>0</v>
      </c>
      <c r="T632" s="69">
        <f t="shared" ref="T632:T633" si="738">SUM(N632:S632)</f>
        <v>0</v>
      </c>
      <c r="U632" s="69">
        <f t="shared" ref="U632:U633" si="739">T632+L632</f>
        <v>0</v>
      </c>
      <c r="V632" s="69">
        <f t="shared" ref="V632" si="740">V663+V693</f>
        <v>0</v>
      </c>
      <c r="W632" s="52">
        <f t="shared" ref="W632:W634" si="741">V632-U632</f>
        <v>0</v>
      </c>
    </row>
    <row r="633" spans="1:28" s="130" customFormat="1" ht="18" hidden="1" customHeight="1">
      <c r="A633" s="673"/>
      <c r="B633" s="581"/>
      <c r="C633" s="581"/>
      <c r="D633" s="174" t="str">
        <f>серпень!D556</f>
        <v>разом сума тис. грн+абонплата</v>
      </c>
      <c r="E633" s="52"/>
      <c r="F633" s="52">
        <f>F631+F632</f>
        <v>0</v>
      </c>
      <c r="G633" s="52">
        <f t="shared" ref="G633:K633" si="742">G631+G632</f>
        <v>0</v>
      </c>
      <c r="H633" s="52">
        <f t="shared" si="742"/>
        <v>0</v>
      </c>
      <c r="I633" s="52">
        <f t="shared" si="742"/>
        <v>0</v>
      </c>
      <c r="J633" s="52">
        <f t="shared" si="742"/>
        <v>0</v>
      </c>
      <c r="K633" s="52">
        <f t="shared" si="742"/>
        <v>0</v>
      </c>
      <c r="L633" s="69">
        <f t="shared" si="735"/>
        <v>0</v>
      </c>
      <c r="M633" s="69">
        <f t="shared" si="736"/>
        <v>0</v>
      </c>
      <c r="N633" s="52">
        <f>N631+N632</f>
        <v>0</v>
      </c>
      <c r="O633" s="52">
        <f t="shared" ref="O633" si="743">O631+O632</f>
        <v>0</v>
      </c>
      <c r="P633" s="52">
        <f t="shared" ref="P633" si="744">P631+P632</f>
        <v>0</v>
      </c>
      <c r="Q633" s="52">
        <f t="shared" ref="Q633" si="745">Q631+Q632</f>
        <v>0</v>
      </c>
      <c r="R633" s="52">
        <f t="shared" ref="R633" si="746">R631+R632</f>
        <v>0</v>
      </c>
      <c r="S633" s="52">
        <f t="shared" ref="S633" si="747">S631+S632</f>
        <v>0</v>
      </c>
      <c r="T633" s="69">
        <f t="shared" si="738"/>
        <v>0</v>
      </c>
      <c r="U633" s="69">
        <f t="shared" si="739"/>
        <v>0</v>
      </c>
      <c r="V633" s="69">
        <f t="shared" ref="V633" si="748">V631+V632</f>
        <v>0</v>
      </c>
      <c r="W633" s="52">
        <f t="shared" si="741"/>
        <v>0</v>
      </c>
    </row>
    <row r="634" spans="1:28" s="130" customFormat="1" ht="18" hidden="1" customHeight="1">
      <c r="A634" s="673"/>
      <c r="B634" s="581"/>
      <c r="C634" s="581"/>
      <c r="D634" s="174" t="str">
        <f>серпень!D557</f>
        <v>дотація</v>
      </c>
      <c r="E634" s="56"/>
      <c r="F634" s="52">
        <f>F649+F679</f>
        <v>0</v>
      </c>
      <c r="G634" s="52">
        <f t="shared" ref="G634:K634" si="749">G649+G679</f>
        <v>0</v>
      </c>
      <c r="H634" s="52">
        <f t="shared" si="749"/>
        <v>0</v>
      </c>
      <c r="I634" s="52">
        <f t="shared" si="749"/>
        <v>0</v>
      </c>
      <c r="J634" s="52">
        <f t="shared" si="749"/>
        <v>0</v>
      </c>
      <c r="K634" s="52">
        <f t="shared" si="749"/>
        <v>0</v>
      </c>
      <c r="L634" s="69">
        <f t="shared" si="735"/>
        <v>0</v>
      </c>
      <c r="M634" s="69">
        <f t="shared" si="736"/>
        <v>0</v>
      </c>
      <c r="N634" s="52">
        <f>N649+N679</f>
        <v>0</v>
      </c>
      <c r="O634" s="52">
        <f t="shared" ref="O634:S634" si="750">O649+O679</f>
        <v>0</v>
      </c>
      <c r="P634" s="52">
        <f t="shared" si="750"/>
        <v>0</v>
      </c>
      <c r="Q634" s="52">
        <f t="shared" si="750"/>
        <v>0</v>
      </c>
      <c r="R634" s="52">
        <f t="shared" si="750"/>
        <v>0</v>
      </c>
      <c r="S634" s="52">
        <f t="shared" si="750"/>
        <v>0</v>
      </c>
      <c r="T634" s="69">
        <f>SUM(N634:S634)</f>
        <v>0</v>
      </c>
      <c r="U634" s="69">
        <f>T634+L634</f>
        <v>0</v>
      </c>
      <c r="V634" s="69">
        <f t="shared" ref="V634" si="751">V649+V679</f>
        <v>0</v>
      </c>
      <c r="W634" s="52">
        <f t="shared" si="741"/>
        <v>0</v>
      </c>
    </row>
    <row r="635" spans="1:28" s="130" customFormat="1" ht="18" hidden="1" customHeight="1">
      <c r="A635" s="673"/>
      <c r="B635" s="581"/>
      <c r="C635" s="581"/>
      <c r="D635" s="174" t="str">
        <f>серпень!D558</f>
        <v>місцевий (план), тис.грн</v>
      </c>
      <c r="E635" s="56"/>
      <c r="F635" s="52">
        <f>F650+F665+F680+F695</f>
        <v>0</v>
      </c>
      <c r="G635" s="52">
        <f t="shared" ref="G635:K635" si="752">G650+G665+G680+G695</f>
        <v>0</v>
      </c>
      <c r="H635" s="52">
        <f t="shared" si="752"/>
        <v>0</v>
      </c>
      <c r="I635" s="52">
        <f t="shared" si="752"/>
        <v>0</v>
      </c>
      <c r="J635" s="52">
        <f t="shared" si="752"/>
        <v>0</v>
      </c>
      <c r="K635" s="52">
        <f t="shared" si="752"/>
        <v>0</v>
      </c>
      <c r="L635" s="69">
        <f>SUM(F635:K635)</f>
        <v>0</v>
      </c>
      <c r="M635" s="69">
        <f>L635/6</f>
        <v>0</v>
      </c>
      <c r="N635" s="52">
        <f>N650+N665+N680+N695</f>
        <v>0</v>
      </c>
      <c r="O635" s="52">
        <f t="shared" ref="O635:S635" si="753">O650+O665+O680+O695</f>
        <v>0</v>
      </c>
      <c r="P635" s="52">
        <f t="shared" si="753"/>
        <v>0</v>
      </c>
      <c r="Q635" s="52">
        <f t="shared" si="753"/>
        <v>0</v>
      </c>
      <c r="R635" s="52">
        <f t="shared" si="753"/>
        <v>0</v>
      </c>
      <c r="S635" s="52">
        <f t="shared" si="753"/>
        <v>0</v>
      </c>
      <c r="T635" s="69">
        <f>SUM(N635:S635)</f>
        <v>0</v>
      </c>
      <c r="U635" s="69">
        <f>T635+L635</f>
        <v>0</v>
      </c>
      <c r="V635" s="69">
        <f t="shared" ref="V635" si="754">V650+V665+V680+V695</f>
        <v>0</v>
      </c>
      <c r="W635" s="52">
        <f>V635-U635</f>
        <v>0</v>
      </c>
    </row>
    <row r="636" spans="1:28" s="48" customFormat="1" ht="18" hidden="1" customHeight="1">
      <c r="A636" s="673"/>
      <c r="B636" s="581"/>
      <c r="C636" s="581"/>
      <c r="D636" s="178" t="str">
        <f>серпень!D559</f>
        <v>касові нат.п-ки 2025</v>
      </c>
      <c r="E636" s="11"/>
      <c r="F636" s="11">
        <f t="shared" ref="F636:K636" si="755">F651+F681</f>
        <v>0</v>
      </c>
      <c r="G636" s="11">
        <f t="shared" si="755"/>
        <v>0</v>
      </c>
      <c r="H636" s="11">
        <f t="shared" si="755"/>
        <v>0</v>
      </c>
      <c r="I636" s="11">
        <f t="shared" si="755"/>
        <v>0</v>
      </c>
      <c r="J636" s="11">
        <f t="shared" si="755"/>
        <v>0</v>
      </c>
      <c r="K636" s="11">
        <f t="shared" si="755"/>
        <v>0</v>
      </c>
      <c r="L636" s="65">
        <f>SUM(F636:K636)</f>
        <v>0</v>
      </c>
      <c r="M636" s="65">
        <f>L636/6</f>
        <v>0</v>
      </c>
      <c r="N636" s="11">
        <f t="shared" ref="N636:S636" si="756">N651+N681</f>
        <v>0</v>
      </c>
      <c r="O636" s="11">
        <f t="shared" si="756"/>
        <v>0</v>
      </c>
      <c r="P636" s="11">
        <f t="shared" si="756"/>
        <v>0</v>
      </c>
      <c r="Q636" s="11">
        <f t="shared" si="756"/>
        <v>0</v>
      </c>
      <c r="R636" s="11">
        <f t="shared" si="756"/>
        <v>0</v>
      </c>
      <c r="S636" s="11">
        <f t="shared" si="756"/>
        <v>0</v>
      </c>
      <c r="T636" s="65">
        <f>SUM(N636:S636)</f>
        <v>0</v>
      </c>
      <c r="U636" s="65">
        <f>T636+L636</f>
        <v>0</v>
      </c>
      <c r="V636" s="38">
        <f>V651+V681</f>
        <v>0</v>
      </c>
      <c r="W636" s="38">
        <f>V636-U636</f>
        <v>0</v>
      </c>
      <c r="X636" s="47">
        <f>U629-U636</f>
        <v>0</v>
      </c>
    </row>
    <row r="637" spans="1:28" s="51" customFormat="1" ht="18" hidden="1" customHeight="1">
      <c r="A637" s="673"/>
      <c r="B637" s="581"/>
      <c r="C637" s="581"/>
      <c r="D637" s="187" t="str">
        <f>серпень!D560</f>
        <v>тариф, грн.</v>
      </c>
      <c r="E637" s="49" t="e">
        <f>E638/E636*1000</f>
        <v>#DIV/0!</v>
      </c>
      <c r="F637" s="49" t="e">
        <f t="shared" ref="F637:W637" si="757">F638/F636*1000</f>
        <v>#DIV/0!</v>
      </c>
      <c r="G637" s="49" t="e">
        <f t="shared" si="757"/>
        <v>#DIV/0!</v>
      </c>
      <c r="H637" s="49" t="e">
        <f t="shared" si="757"/>
        <v>#DIV/0!</v>
      </c>
      <c r="I637" s="49" t="e">
        <f t="shared" si="757"/>
        <v>#DIV/0!</v>
      </c>
      <c r="J637" s="49" t="e">
        <f t="shared" si="757"/>
        <v>#DIV/0!</v>
      </c>
      <c r="K637" s="49" t="e">
        <f t="shared" si="757"/>
        <v>#DIV/0!</v>
      </c>
      <c r="L637" s="49" t="e">
        <f t="shared" si="757"/>
        <v>#DIV/0!</v>
      </c>
      <c r="M637" s="49" t="e">
        <f t="shared" si="757"/>
        <v>#DIV/0!</v>
      </c>
      <c r="N637" s="49" t="e">
        <f t="shared" si="757"/>
        <v>#DIV/0!</v>
      </c>
      <c r="O637" s="49" t="e">
        <f t="shared" si="757"/>
        <v>#DIV/0!</v>
      </c>
      <c r="P637" s="49" t="e">
        <f t="shared" si="757"/>
        <v>#DIV/0!</v>
      </c>
      <c r="Q637" s="49" t="e">
        <f t="shared" si="757"/>
        <v>#DIV/0!</v>
      </c>
      <c r="R637" s="49" t="e">
        <f t="shared" si="757"/>
        <v>#DIV/0!</v>
      </c>
      <c r="S637" s="49" t="e">
        <f t="shared" si="757"/>
        <v>#DIV/0!</v>
      </c>
      <c r="T637" s="49" t="e">
        <f t="shared" si="757"/>
        <v>#DIV/0!</v>
      </c>
      <c r="U637" s="49" t="e">
        <f t="shared" si="757"/>
        <v>#DIV/0!</v>
      </c>
      <c r="V637" s="49" t="e">
        <f t="shared" si="757"/>
        <v>#DIV/0!</v>
      </c>
      <c r="W637" s="49" t="e">
        <f t="shared" si="757"/>
        <v>#DIV/0!</v>
      </c>
      <c r="X637" s="59"/>
    </row>
    <row r="638" spans="1:28" s="126" customFormat="1" ht="18" hidden="1" customHeight="1">
      <c r="A638" s="673"/>
      <c r="B638" s="581"/>
      <c r="C638" s="581"/>
      <c r="D638" s="198" t="str">
        <f>серпень!D561</f>
        <v>касові видатки, тис.грн.</v>
      </c>
      <c r="E638" s="71"/>
      <c r="F638" s="61">
        <f t="shared" ref="F638:K643" si="758">F653+F683</f>
        <v>0</v>
      </c>
      <c r="G638" s="61">
        <f t="shared" si="758"/>
        <v>0</v>
      </c>
      <c r="H638" s="61">
        <f t="shared" si="758"/>
        <v>0</v>
      </c>
      <c r="I638" s="61">
        <f t="shared" si="758"/>
        <v>0</v>
      </c>
      <c r="J638" s="61">
        <f t="shared" si="758"/>
        <v>0</v>
      </c>
      <c r="K638" s="61">
        <f t="shared" si="758"/>
        <v>0</v>
      </c>
      <c r="L638" s="61">
        <f>SUM(F638:K638)</f>
        <v>0</v>
      </c>
      <c r="M638" s="61">
        <f>L638/6</f>
        <v>0</v>
      </c>
      <c r="N638" s="61">
        <f t="shared" ref="N638:S643" si="759">N653+N683</f>
        <v>0</v>
      </c>
      <c r="O638" s="61">
        <f t="shared" si="759"/>
        <v>0</v>
      </c>
      <c r="P638" s="61">
        <f t="shared" si="759"/>
        <v>0</v>
      </c>
      <c r="Q638" s="61">
        <f t="shared" si="759"/>
        <v>0</v>
      </c>
      <c r="R638" s="61">
        <f t="shared" si="759"/>
        <v>0</v>
      </c>
      <c r="S638" s="61">
        <f t="shared" si="759"/>
        <v>0</v>
      </c>
      <c r="T638" s="61">
        <f>SUM(N638:S638)</f>
        <v>0</v>
      </c>
      <c r="U638" s="61">
        <f>T638+L638</f>
        <v>0</v>
      </c>
      <c r="V638" s="61">
        <f>V653+V683</f>
        <v>0</v>
      </c>
      <c r="W638" s="72">
        <f>V638-U638</f>
        <v>0</v>
      </c>
      <c r="X638" s="63">
        <f>U631-U638</f>
        <v>0</v>
      </c>
    </row>
    <row r="639" spans="1:28" s="126" customFormat="1" ht="18" hidden="1" customHeight="1">
      <c r="A639" s="673"/>
      <c r="B639" s="581"/>
      <c r="C639" s="581"/>
      <c r="D639" s="201" t="str">
        <f>серпень!D562</f>
        <v>дотація</v>
      </c>
      <c r="E639" s="71"/>
      <c r="F639" s="61">
        <f t="shared" si="758"/>
        <v>0</v>
      </c>
      <c r="G639" s="61">
        <f t="shared" si="758"/>
        <v>0</v>
      </c>
      <c r="H639" s="61">
        <f t="shared" si="758"/>
        <v>0</v>
      </c>
      <c r="I639" s="61">
        <f t="shared" si="758"/>
        <v>0</v>
      </c>
      <c r="J639" s="61">
        <f t="shared" si="758"/>
        <v>0</v>
      </c>
      <c r="K639" s="61">
        <f t="shared" si="758"/>
        <v>0</v>
      </c>
      <c r="L639" s="61">
        <f>SUM(F639:K639)</f>
        <v>0</v>
      </c>
      <c r="M639" s="61">
        <f>L639/6</f>
        <v>0</v>
      </c>
      <c r="N639" s="61">
        <f t="shared" si="759"/>
        <v>0</v>
      </c>
      <c r="O639" s="61">
        <f t="shared" si="759"/>
        <v>0</v>
      </c>
      <c r="P639" s="61">
        <f t="shared" si="759"/>
        <v>0</v>
      </c>
      <c r="Q639" s="61">
        <f t="shared" si="759"/>
        <v>0</v>
      </c>
      <c r="R639" s="61">
        <f t="shared" si="759"/>
        <v>0</v>
      </c>
      <c r="S639" s="61">
        <f t="shared" si="759"/>
        <v>0</v>
      </c>
      <c r="T639" s="61">
        <f>SUM(N639:S639)</f>
        <v>0</v>
      </c>
      <c r="U639" s="61">
        <f>T639+L639</f>
        <v>0</v>
      </c>
      <c r="V639" s="61">
        <f>V654+V684</f>
        <v>0</v>
      </c>
      <c r="W639" s="72">
        <f>V639-U639</f>
        <v>0</v>
      </c>
      <c r="X639" s="63"/>
    </row>
    <row r="640" spans="1:28" s="126" customFormat="1" ht="18" hidden="1" customHeight="1">
      <c r="A640" s="673"/>
      <c r="B640" s="581"/>
      <c r="C640" s="581"/>
      <c r="D640" s="201" t="str">
        <f>серпень!D563</f>
        <v xml:space="preserve">місцевий </v>
      </c>
      <c r="E640" s="71"/>
      <c r="F640" s="61">
        <f t="shared" si="758"/>
        <v>0</v>
      </c>
      <c r="G640" s="61">
        <f t="shared" si="758"/>
        <v>0</v>
      </c>
      <c r="H640" s="61">
        <f t="shared" si="758"/>
        <v>0</v>
      </c>
      <c r="I640" s="61">
        <f t="shared" si="758"/>
        <v>0</v>
      </c>
      <c r="J640" s="61">
        <f t="shared" si="758"/>
        <v>0</v>
      </c>
      <c r="K640" s="61">
        <f t="shared" si="758"/>
        <v>0</v>
      </c>
      <c r="L640" s="61">
        <f>SUM(F640:K640)</f>
        <v>0</v>
      </c>
      <c r="M640" s="61">
        <f>L640/6</f>
        <v>0</v>
      </c>
      <c r="N640" s="61">
        <f t="shared" si="759"/>
        <v>0</v>
      </c>
      <c r="O640" s="61">
        <f t="shared" si="759"/>
        <v>0</v>
      </c>
      <c r="P640" s="61">
        <f t="shared" si="759"/>
        <v>0</v>
      </c>
      <c r="Q640" s="61">
        <f t="shared" si="759"/>
        <v>0</v>
      </c>
      <c r="R640" s="61">
        <f t="shared" si="759"/>
        <v>0</v>
      </c>
      <c r="S640" s="61">
        <f t="shared" si="759"/>
        <v>0</v>
      </c>
      <c r="T640" s="61">
        <f>SUM(N640:S640)</f>
        <v>0</v>
      </c>
      <c r="U640" s="61">
        <f>T640+L640</f>
        <v>0</v>
      </c>
      <c r="V640" s="61">
        <f>V655+V685</f>
        <v>0</v>
      </c>
      <c r="W640" s="72">
        <f>V640-U640</f>
        <v>0</v>
      </c>
      <c r="X640" s="63">
        <f>U635-U640</f>
        <v>0</v>
      </c>
    </row>
    <row r="641" spans="1:28" s="43" customFormat="1" ht="18" hidden="1" customHeight="1">
      <c r="A641" s="673"/>
      <c r="B641" s="581"/>
      <c r="C641" s="581"/>
      <c r="D641" s="202" t="str">
        <f>серпень!D564</f>
        <v>план</v>
      </c>
      <c r="E641" s="42"/>
      <c r="F641" s="42">
        <f t="shared" si="758"/>
        <v>0</v>
      </c>
      <c r="G641" s="42">
        <f t="shared" si="758"/>
        <v>0</v>
      </c>
      <c r="H641" s="42">
        <f t="shared" si="758"/>
        <v>0</v>
      </c>
      <c r="I641" s="42">
        <f t="shared" si="758"/>
        <v>0</v>
      </c>
      <c r="J641" s="42">
        <f t="shared" si="758"/>
        <v>0</v>
      </c>
      <c r="K641" s="42">
        <f t="shared" si="758"/>
        <v>0</v>
      </c>
      <c r="L641" s="42">
        <f>SUM(F641:K641)</f>
        <v>0</v>
      </c>
      <c r="M641" s="42">
        <f>L641/6</f>
        <v>0</v>
      </c>
      <c r="N641" s="42">
        <f t="shared" si="759"/>
        <v>0</v>
      </c>
      <c r="O641" s="42">
        <f t="shared" si="759"/>
        <v>0</v>
      </c>
      <c r="P641" s="42">
        <f t="shared" si="759"/>
        <v>0</v>
      </c>
      <c r="Q641" s="42">
        <f t="shared" si="759"/>
        <v>0</v>
      </c>
      <c r="R641" s="42">
        <f t="shared" si="759"/>
        <v>0</v>
      </c>
      <c r="S641" s="42">
        <f t="shared" si="759"/>
        <v>0</v>
      </c>
      <c r="T641" s="42">
        <f>SUM(N641:S641)</f>
        <v>0</v>
      </c>
      <c r="U641" s="42">
        <f>T641+L641</f>
        <v>0</v>
      </c>
      <c r="V641" s="42">
        <f>V656+V686</f>
        <v>0</v>
      </c>
      <c r="W641" s="42">
        <f>V641-U641</f>
        <v>0</v>
      </c>
    </row>
    <row r="642" spans="1:28" s="43" customFormat="1" ht="18" hidden="1" customHeight="1">
      <c r="A642" s="673"/>
      <c r="B642" s="581"/>
      <c r="C642" s="581"/>
      <c r="D642" s="202" t="str">
        <f>серпень!D565</f>
        <v xml:space="preserve">відхилення </v>
      </c>
      <c r="E642" s="42"/>
      <c r="F642" s="42">
        <f t="shared" si="758"/>
        <v>0</v>
      </c>
      <c r="G642" s="42">
        <f t="shared" si="758"/>
        <v>0</v>
      </c>
      <c r="H642" s="42">
        <f t="shared" si="758"/>
        <v>0</v>
      </c>
      <c r="I642" s="42">
        <f t="shared" si="758"/>
        <v>0</v>
      </c>
      <c r="J642" s="42">
        <f t="shared" si="758"/>
        <v>0</v>
      </c>
      <c r="K642" s="42">
        <f t="shared" si="758"/>
        <v>0</v>
      </c>
      <c r="L642" s="42"/>
      <c r="M642" s="42"/>
      <c r="N642" s="42">
        <f t="shared" si="759"/>
        <v>0</v>
      </c>
      <c r="O642" s="42">
        <f t="shared" si="759"/>
        <v>0</v>
      </c>
      <c r="P642" s="42">
        <f t="shared" si="759"/>
        <v>0</v>
      </c>
      <c r="Q642" s="42">
        <f t="shared" si="759"/>
        <v>0</v>
      </c>
      <c r="R642" s="42">
        <f t="shared" si="759"/>
        <v>0</v>
      </c>
      <c r="S642" s="42">
        <f t="shared" si="759"/>
        <v>0</v>
      </c>
      <c r="T642" s="42"/>
      <c r="U642" s="42"/>
      <c r="V642" s="42"/>
      <c r="W642" s="42"/>
    </row>
    <row r="643" spans="1:28" s="43" customFormat="1" ht="18" hidden="1" customHeight="1">
      <c r="A643" s="673"/>
      <c r="B643" s="581"/>
      <c r="C643" s="581"/>
      <c r="D643" s="202" t="str">
        <f>серпень!D566</f>
        <v>відхилення з наростаючим</v>
      </c>
      <c r="E643" s="42"/>
      <c r="F643" s="42">
        <f t="shared" si="758"/>
        <v>0</v>
      </c>
      <c r="G643" s="42">
        <f t="shared" si="758"/>
        <v>0</v>
      </c>
      <c r="H643" s="42">
        <f t="shared" si="758"/>
        <v>0</v>
      </c>
      <c r="I643" s="42">
        <f t="shared" si="758"/>
        <v>0</v>
      </c>
      <c r="J643" s="42">
        <f t="shared" si="758"/>
        <v>0</v>
      </c>
      <c r="K643" s="42">
        <f t="shared" si="758"/>
        <v>0</v>
      </c>
      <c r="L643" s="42"/>
      <c r="M643" s="42"/>
      <c r="N643" s="42">
        <f t="shared" si="759"/>
        <v>0</v>
      </c>
      <c r="O643" s="42">
        <f t="shared" si="759"/>
        <v>0</v>
      </c>
      <c r="P643" s="42">
        <f t="shared" si="759"/>
        <v>0</v>
      </c>
      <c r="Q643" s="42">
        <f t="shared" si="759"/>
        <v>0</v>
      </c>
      <c r="R643" s="42">
        <f t="shared" si="759"/>
        <v>0</v>
      </c>
      <c r="S643" s="42">
        <f t="shared" si="759"/>
        <v>0</v>
      </c>
      <c r="T643" s="42"/>
      <c r="U643" s="42"/>
      <c r="V643" s="42"/>
      <c r="W643" s="42"/>
    </row>
    <row r="644" spans="1:28" s="55" customFormat="1" ht="20.05" hidden="1" customHeight="1">
      <c r="A644" s="673"/>
      <c r="B644" s="581" t="s">
        <v>67</v>
      </c>
      <c r="C644" s="581"/>
      <c r="D644" s="178" t="str">
        <f>серпень!D567</f>
        <v>факт. нат.п-ки 2023</v>
      </c>
      <c r="E644" s="11"/>
      <c r="F644" s="12"/>
      <c r="G644" s="12"/>
      <c r="H644" s="12"/>
      <c r="I644" s="12"/>
      <c r="J644" s="12"/>
      <c r="K644" s="12"/>
      <c r="L644" s="65">
        <f>SUM(F644:K644)</f>
        <v>0</v>
      </c>
      <c r="M644" s="65">
        <f>L644/6</f>
        <v>0</v>
      </c>
      <c r="N644" s="12"/>
      <c r="O644" s="12"/>
      <c r="P644" s="12"/>
      <c r="Q644" s="12"/>
      <c r="R644" s="12"/>
      <c r="S644" s="12"/>
      <c r="T644" s="65">
        <f>SUM(N644:S644)</f>
        <v>0</v>
      </c>
      <c r="U644" s="66">
        <f>T644+L644</f>
        <v>0</v>
      </c>
      <c r="V644" s="67"/>
      <c r="W644" s="38">
        <f>V644-U644</f>
        <v>0</v>
      </c>
      <c r="X644" s="47"/>
      <c r="Y644" s="48"/>
      <c r="Z644" s="48"/>
      <c r="AA644" s="48"/>
      <c r="AB644" s="48"/>
    </row>
    <row r="645" spans="1:28" s="48" customFormat="1" ht="18" hidden="1" customHeight="1">
      <c r="A645" s="673"/>
      <c r="B645" s="581"/>
      <c r="C645" s="581"/>
      <c r="D645" s="178" t="str">
        <f>серпень!D568</f>
        <v>факт. нат.п-ки 2024</v>
      </c>
      <c r="E645" s="11"/>
      <c r="F645" s="12"/>
      <c r="G645" s="12"/>
      <c r="H645" s="12"/>
      <c r="I645" s="12"/>
      <c r="J645" s="12"/>
      <c r="K645" s="12"/>
      <c r="L645" s="65">
        <f>SUM(F645:K645)</f>
        <v>0</v>
      </c>
      <c r="M645" s="65">
        <f>L645/6</f>
        <v>0</v>
      </c>
      <c r="N645" s="11"/>
      <c r="O645" s="11"/>
      <c r="P645" s="11"/>
      <c r="Q645" s="11"/>
      <c r="R645" s="11"/>
      <c r="S645" s="11"/>
      <c r="T645" s="65">
        <f>SUM(N645:S645)</f>
        <v>0</v>
      </c>
      <c r="U645" s="66">
        <f>T645+L645</f>
        <v>0</v>
      </c>
      <c r="V645" s="67"/>
      <c r="W645" s="38">
        <f>V645-U645</f>
        <v>0</v>
      </c>
      <c r="X645" s="47"/>
    </row>
    <row r="646" spans="1:28" s="48" customFormat="1" ht="18" hidden="1" customHeight="1">
      <c r="A646" s="673"/>
      <c r="B646" s="581"/>
      <c r="C646" s="581"/>
      <c r="D646" s="178" t="str">
        <f>серпень!D569</f>
        <v>факт. нат.п-ки 2025</v>
      </c>
      <c r="E646" s="11"/>
      <c r="F646" s="12"/>
      <c r="G646" s="12"/>
      <c r="H646" s="12"/>
      <c r="I646" s="12"/>
      <c r="J646" s="12"/>
      <c r="K646" s="12"/>
      <c r="L646" s="65">
        <f>SUM(F646:K646)</f>
        <v>0</v>
      </c>
      <c r="M646" s="65">
        <f>L646/6</f>
        <v>0</v>
      </c>
      <c r="N646" s="12"/>
      <c r="O646" s="12"/>
      <c r="P646" s="12"/>
      <c r="Q646" s="12"/>
      <c r="R646" s="12"/>
      <c r="S646" s="11"/>
      <c r="T646" s="65">
        <f>SUM(N646:S646)</f>
        <v>0</v>
      </c>
      <c r="U646" s="66">
        <f>T646+L646</f>
        <v>0</v>
      </c>
      <c r="V646" s="11"/>
      <c r="W646" s="38">
        <f>V646-U646</f>
        <v>0</v>
      </c>
      <c r="X646" s="47"/>
    </row>
    <row r="647" spans="1:28" s="51" customFormat="1" ht="18" hidden="1" customHeight="1">
      <c r="A647" s="673"/>
      <c r="B647" s="581"/>
      <c r="C647" s="581"/>
      <c r="D647" s="187" t="str">
        <f>серпень!D570</f>
        <v>тариф, грн.</v>
      </c>
      <c r="E647" s="49"/>
      <c r="F647" s="49">
        <v>127.2</v>
      </c>
      <c r="G647" s="49">
        <v>127.2</v>
      </c>
      <c r="H647" s="49">
        <v>127.2</v>
      </c>
      <c r="I647" s="49">
        <v>127.2</v>
      </c>
      <c r="J647" s="49">
        <v>127.2</v>
      </c>
      <c r="K647" s="49">
        <v>127.2</v>
      </c>
      <c r="L647" s="49" t="e">
        <f>L648/L646*1000</f>
        <v>#DIV/0!</v>
      </c>
      <c r="M647" s="49" t="e">
        <f>M648/M646*1000</f>
        <v>#DIV/0!</v>
      </c>
      <c r="N647" s="49">
        <v>127.2</v>
      </c>
      <c r="O647" s="49">
        <v>127.2</v>
      </c>
      <c r="P647" s="49">
        <v>127.2</v>
      </c>
      <c r="Q647" s="49">
        <v>127.2</v>
      </c>
      <c r="R647" s="49">
        <v>127.2</v>
      </c>
      <c r="S647" s="49">
        <v>127.2</v>
      </c>
      <c r="T647" s="49" t="e">
        <f>T648/T646*1000</f>
        <v>#DIV/0!</v>
      </c>
      <c r="U647" s="49" t="e">
        <f>U648/U646*1000</f>
        <v>#DIV/0!</v>
      </c>
      <c r="V647" s="68" t="e">
        <f>V648/V646*1000</f>
        <v>#DIV/0!</v>
      </c>
      <c r="W647" s="14" t="e">
        <f>W648/W646*1000</f>
        <v>#DIV/0!</v>
      </c>
      <c r="X647" s="59"/>
    </row>
    <row r="648" spans="1:28" s="130" customFormat="1" ht="18" hidden="1" customHeight="1">
      <c r="A648" s="673"/>
      <c r="B648" s="581"/>
      <c r="C648" s="581"/>
      <c r="D648" s="191" t="str">
        <f>серпень!D571</f>
        <v>сума, тис.грн.</v>
      </c>
      <c r="E648" s="52"/>
      <c r="F648" s="52">
        <f t="shared" ref="F648:K648" si="760">F646*F647/1000</f>
        <v>0</v>
      </c>
      <c r="G648" s="52">
        <f t="shared" si="760"/>
        <v>0</v>
      </c>
      <c r="H648" s="52">
        <f t="shared" si="760"/>
        <v>0</v>
      </c>
      <c r="I648" s="52">
        <f t="shared" si="760"/>
        <v>0</v>
      </c>
      <c r="J648" s="52">
        <f t="shared" si="760"/>
        <v>0</v>
      </c>
      <c r="K648" s="52">
        <f t="shared" si="760"/>
        <v>0</v>
      </c>
      <c r="L648" s="69">
        <f>SUM(F648:K648)</f>
        <v>0</v>
      </c>
      <c r="M648" s="69">
        <f>L648/6</f>
        <v>0</v>
      </c>
      <c r="N648" s="52">
        <f t="shared" ref="N648:S648" si="761">N646*N647/1000</f>
        <v>0</v>
      </c>
      <c r="O648" s="52">
        <f t="shared" si="761"/>
        <v>0</v>
      </c>
      <c r="P648" s="52">
        <f t="shared" si="761"/>
        <v>0</v>
      </c>
      <c r="Q648" s="52">
        <f t="shared" si="761"/>
        <v>0</v>
      </c>
      <c r="R648" s="52">
        <f t="shared" si="761"/>
        <v>0</v>
      </c>
      <c r="S648" s="52">
        <f t="shared" si="761"/>
        <v>0</v>
      </c>
      <c r="T648" s="69">
        <f>SUM(N648:S648)</f>
        <v>0</v>
      </c>
      <c r="U648" s="69">
        <f>T648+L648</f>
        <v>0</v>
      </c>
      <c r="V648" s="70">
        <f>V649+V650</f>
        <v>0</v>
      </c>
      <c r="W648" s="53">
        <f>V648-U648</f>
        <v>0</v>
      </c>
    </row>
    <row r="649" spans="1:28" s="130" customFormat="1" ht="18" hidden="1" customHeight="1">
      <c r="A649" s="673"/>
      <c r="B649" s="581"/>
      <c r="C649" s="581"/>
      <c r="D649" s="174" t="str">
        <f>серпень!D572</f>
        <v>дотація</v>
      </c>
      <c r="E649" s="56"/>
      <c r="F649" s="52"/>
      <c r="G649" s="52"/>
      <c r="H649" s="52"/>
      <c r="I649" s="52"/>
      <c r="J649" s="52"/>
      <c r="K649" s="52"/>
      <c r="L649" s="69">
        <f>SUM(F649:K649)</f>
        <v>0</v>
      </c>
      <c r="M649" s="69">
        <f>L649/6</f>
        <v>0</v>
      </c>
      <c r="N649" s="52"/>
      <c r="O649" s="52"/>
      <c r="P649" s="52"/>
      <c r="Q649" s="52"/>
      <c r="R649" s="52"/>
      <c r="S649" s="52"/>
      <c r="T649" s="69">
        <f>SUM(N649:S649)</f>
        <v>0</v>
      </c>
      <c r="U649" s="69">
        <f>T649+L649</f>
        <v>0</v>
      </c>
      <c r="V649" s="70">
        <v>0</v>
      </c>
      <c r="W649" s="53">
        <f>V649-U649</f>
        <v>0</v>
      </c>
    </row>
    <row r="650" spans="1:28" s="130" customFormat="1" ht="18" hidden="1" customHeight="1">
      <c r="A650" s="673"/>
      <c r="B650" s="581"/>
      <c r="C650" s="581"/>
      <c r="D650" s="174" t="str">
        <f>серпень!D573</f>
        <v>місцевий (план), тис.грн</v>
      </c>
      <c r="E650" s="56"/>
      <c r="F650" s="52"/>
      <c r="G650" s="52"/>
      <c r="H650" s="52"/>
      <c r="I650" s="52"/>
      <c r="J650" s="52"/>
      <c r="K650" s="52"/>
      <c r="L650" s="69">
        <f>SUM(F650:K650)</f>
        <v>0</v>
      </c>
      <c r="M650" s="69">
        <f>L650/6</f>
        <v>0</v>
      </c>
      <c r="N650" s="52"/>
      <c r="O650" s="52"/>
      <c r="P650" s="52"/>
      <c r="Q650" s="52"/>
      <c r="R650" s="52"/>
      <c r="S650" s="52"/>
      <c r="T650" s="69">
        <f>SUM(N650:S650)</f>
        <v>0</v>
      </c>
      <c r="U650" s="69">
        <f>T650+L650</f>
        <v>0</v>
      </c>
      <c r="V650" s="70"/>
      <c r="W650" s="53">
        <f>V650-U650</f>
        <v>0</v>
      </c>
    </row>
    <row r="651" spans="1:28" s="48" customFormat="1" ht="18" hidden="1" customHeight="1">
      <c r="A651" s="673"/>
      <c r="B651" s="581"/>
      <c r="C651" s="581"/>
      <c r="D651" s="178" t="str">
        <f>серпень!D574</f>
        <v>касові нат.п-ки 2025</v>
      </c>
      <c r="E651" s="11"/>
      <c r="F651" s="11"/>
      <c r="G651" s="11"/>
      <c r="H651" s="11"/>
      <c r="I651" s="11"/>
      <c r="J651" s="11"/>
      <c r="K651" s="11"/>
      <c r="L651" s="65">
        <f>SUM(F651:K651)</f>
        <v>0</v>
      </c>
      <c r="M651" s="65">
        <f>L651/6</f>
        <v>0</v>
      </c>
      <c r="N651" s="11"/>
      <c r="O651" s="11"/>
      <c r="P651" s="11"/>
      <c r="Q651" s="11"/>
      <c r="R651" s="11"/>
      <c r="S651" s="11"/>
      <c r="T651" s="65">
        <f>SUM(N651:S651)</f>
        <v>0</v>
      </c>
      <c r="U651" s="65">
        <f>T651+L651</f>
        <v>0</v>
      </c>
      <c r="V651" s="11">
        <f>V646</f>
        <v>0</v>
      </c>
      <c r="W651" s="38">
        <f>V651-U651</f>
        <v>0</v>
      </c>
      <c r="X651" s="47">
        <f>U646-U651</f>
        <v>0</v>
      </c>
    </row>
    <row r="652" spans="1:28" s="51" customFormat="1" ht="18" hidden="1" customHeight="1">
      <c r="A652" s="673"/>
      <c r="B652" s="581"/>
      <c r="C652" s="581"/>
      <c r="D652" s="187" t="str">
        <f>серпень!D575</f>
        <v>тариф, грн.</v>
      </c>
      <c r="E652" s="49" t="e">
        <f>E653/E651*1000</f>
        <v>#DIV/0!</v>
      </c>
      <c r="F652" s="49">
        <v>127.2</v>
      </c>
      <c r="G652" s="49">
        <v>127.2</v>
      </c>
      <c r="H652" s="49">
        <v>127.2</v>
      </c>
      <c r="I652" s="49">
        <v>127.2</v>
      </c>
      <c r="J652" s="49">
        <v>127.2</v>
      </c>
      <c r="K652" s="49">
        <v>127.2</v>
      </c>
      <c r="L652" s="49" t="e">
        <f>L653/L651*1000</f>
        <v>#DIV/0!</v>
      </c>
      <c r="M652" s="49" t="e">
        <f>M653/M651*1000</f>
        <v>#DIV/0!</v>
      </c>
      <c r="N652" s="49">
        <v>127.2</v>
      </c>
      <c r="O652" s="49">
        <v>127.2</v>
      </c>
      <c r="P652" s="49">
        <v>127.2</v>
      </c>
      <c r="Q652" s="49">
        <v>127.2</v>
      </c>
      <c r="R652" s="49">
        <v>127.2</v>
      </c>
      <c r="S652" s="49">
        <v>127.2</v>
      </c>
      <c r="T652" s="49" t="e">
        <f>T653/T651*1000</f>
        <v>#DIV/0!</v>
      </c>
      <c r="U652" s="49" t="e">
        <f>U653/U651*1000</f>
        <v>#DIV/0!</v>
      </c>
      <c r="V652" s="68" t="e">
        <f>V653/V651*1000</f>
        <v>#DIV/0!</v>
      </c>
      <c r="W652" s="14" t="e">
        <f>W653/W651*1000</f>
        <v>#DIV/0!</v>
      </c>
      <c r="X652" s="59"/>
    </row>
    <row r="653" spans="1:28" s="126" customFormat="1" ht="18" hidden="1" customHeight="1">
      <c r="A653" s="673"/>
      <c r="B653" s="581"/>
      <c r="C653" s="581"/>
      <c r="D653" s="198" t="str">
        <f>серпень!D576</f>
        <v>касові видатки, тис.грн.</v>
      </c>
      <c r="E653" s="71"/>
      <c r="F653" s="61">
        <f t="shared" ref="F653:K653" si="762">F651*F652/1000</f>
        <v>0</v>
      </c>
      <c r="G653" s="61">
        <f t="shared" si="762"/>
        <v>0</v>
      </c>
      <c r="H653" s="61">
        <f t="shared" si="762"/>
        <v>0</v>
      </c>
      <c r="I653" s="61">
        <f t="shared" si="762"/>
        <v>0</v>
      </c>
      <c r="J653" s="61">
        <f t="shared" si="762"/>
        <v>0</v>
      </c>
      <c r="K653" s="61">
        <f t="shared" si="762"/>
        <v>0</v>
      </c>
      <c r="L653" s="61">
        <f>SUM(F653:K653)</f>
        <v>0</v>
      </c>
      <c r="M653" s="61">
        <f>L653/6</f>
        <v>0</v>
      </c>
      <c r="N653" s="61">
        <f t="shared" ref="N653:S653" si="763">N651*N652/1000</f>
        <v>0</v>
      </c>
      <c r="O653" s="61">
        <f t="shared" si="763"/>
        <v>0</v>
      </c>
      <c r="P653" s="61">
        <f t="shared" si="763"/>
        <v>0</v>
      </c>
      <c r="Q653" s="61">
        <f t="shared" si="763"/>
        <v>0</v>
      </c>
      <c r="R653" s="61">
        <f t="shared" si="763"/>
        <v>0</v>
      </c>
      <c r="S653" s="61">
        <f t="shared" si="763"/>
        <v>0</v>
      </c>
      <c r="T653" s="61">
        <f>SUM(N653:S653)</f>
        <v>0</v>
      </c>
      <c r="U653" s="61">
        <f>T653+L653</f>
        <v>0</v>
      </c>
      <c r="V653" s="61">
        <f>V648</f>
        <v>0</v>
      </c>
      <c r="W653" s="72">
        <f>V653-U653</f>
        <v>0</v>
      </c>
      <c r="X653" s="63">
        <f>U648-U653</f>
        <v>0</v>
      </c>
    </row>
    <row r="654" spans="1:28" s="126" customFormat="1" ht="18" hidden="1" customHeight="1">
      <c r="A654" s="673"/>
      <c r="B654" s="581"/>
      <c r="C654" s="581"/>
      <c r="D654" s="201" t="str">
        <f>серпень!D577</f>
        <v>дотація</v>
      </c>
      <c r="E654" s="71"/>
      <c r="F654" s="61"/>
      <c r="G654" s="61"/>
      <c r="H654" s="61"/>
      <c r="I654" s="61"/>
      <c r="J654" s="61"/>
      <c r="K654" s="61"/>
      <c r="L654" s="61">
        <f>SUM(F654:K654)</f>
        <v>0</v>
      </c>
      <c r="M654" s="61">
        <f>L654/6</f>
        <v>0</v>
      </c>
      <c r="N654" s="61"/>
      <c r="O654" s="61"/>
      <c r="P654" s="61"/>
      <c r="Q654" s="61"/>
      <c r="R654" s="61"/>
      <c r="S654" s="61"/>
      <c r="T654" s="61">
        <f>SUM(N654:S654)</f>
        <v>0</v>
      </c>
      <c r="U654" s="61">
        <f>T654+L654</f>
        <v>0</v>
      </c>
      <c r="V654" s="61">
        <f>V649</f>
        <v>0</v>
      </c>
      <c r="W654" s="72">
        <f>V654-U654</f>
        <v>0</v>
      </c>
      <c r="X654" s="63"/>
    </row>
    <row r="655" spans="1:28" s="126" customFormat="1" ht="18" hidden="1" customHeight="1">
      <c r="A655" s="673"/>
      <c r="B655" s="581"/>
      <c r="C655" s="581"/>
      <c r="D655" s="201" t="str">
        <f>серпень!D578</f>
        <v xml:space="preserve">місцевий </v>
      </c>
      <c r="E655" s="71"/>
      <c r="F655" s="61">
        <f t="shared" ref="F655:K655" si="764">F653-F654</f>
        <v>0</v>
      </c>
      <c r="G655" s="61">
        <f t="shared" si="764"/>
        <v>0</v>
      </c>
      <c r="H655" s="61">
        <f t="shared" si="764"/>
        <v>0</v>
      </c>
      <c r="I655" s="61">
        <f t="shared" si="764"/>
        <v>0</v>
      </c>
      <c r="J655" s="61">
        <f t="shared" si="764"/>
        <v>0</v>
      </c>
      <c r="K655" s="61">
        <f t="shared" si="764"/>
        <v>0</v>
      </c>
      <c r="L655" s="61">
        <f>SUM(F655:K655)</f>
        <v>0</v>
      </c>
      <c r="M655" s="61">
        <f>L655/6</f>
        <v>0</v>
      </c>
      <c r="N655" s="61">
        <f t="shared" ref="N655:S655" si="765">N653-N654</f>
        <v>0</v>
      </c>
      <c r="O655" s="61">
        <f t="shared" si="765"/>
        <v>0</v>
      </c>
      <c r="P655" s="61">
        <f t="shared" si="765"/>
        <v>0</v>
      </c>
      <c r="Q655" s="61">
        <f t="shared" si="765"/>
        <v>0</v>
      </c>
      <c r="R655" s="61">
        <f t="shared" si="765"/>
        <v>0</v>
      </c>
      <c r="S655" s="61">
        <f t="shared" si="765"/>
        <v>0</v>
      </c>
      <c r="T655" s="61">
        <f>SUM(N655:S655)</f>
        <v>0</v>
      </c>
      <c r="U655" s="61">
        <f>T655+L655</f>
        <v>0</v>
      </c>
      <c r="V655" s="61">
        <f>V650</f>
        <v>0</v>
      </c>
      <c r="W655" s="72">
        <f>V655-U655</f>
        <v>0</v>
      </c>
      <c r="X655" s="63">
        <f>U650-U655</f>
        <v>0</v>
      </c>
    </row>
    <row r="656" spans="1:28" s="43" customFormat="1" ht="18" hidden="1" customHeight="1">
      <c r="A656" s="673"/>
      <c r="B656" s="581"/>
      <c r="C656" s="581"/>
      <c r="D656" s="202" t="str">
        <f>серпень!D579</f>
        <v>план</v>
      </c>
      <c r="E656" s="42"/>
      <c r="F656" s="42">
        <f t="shared" ref="F656:K656" si="766">F650</f>
        <v>0</v>
      </c>
      <c r="G656" s="42">
        <f t="shared" si="766"/>
        <v>0</v>
      </c>
      <c r="H656" s="42">
        <f t="shared" si="766"/>
        <v>0</v>
      </c>
      <c r="I656" s="42">
        <f t="shared" si="766"/>
        <v>0</v>
      </c>
      <c r="J656" s="42">
        <f t="shared" si="766"/>
        <v>0</v>
      </c>
      <c r="K656" s="42">
        <f t="shared" si="766"/>
        <v>0</v>
      </c>
      <c r="L656" s="42">
        <f>SUM(F656:K656)</f>
        <v>0</v>
      </c>
      <c r="M656" s="42">
        <f>L656/6</f>
        <v>0</v>
      </c>
      <c r="N656" s="42">
        <f t="shared" ref="N656:S656" si="767">N650+N649</f>
        <v>0</v>
      </c>
      <c r="O656" s="42">
        <f t="shared" si="767"/>
        <v>0</v>
      </c>
      <c r="P656" s="42">
        <f t="shared" si="767"/>
        <v>0</v>
      </c>
      <c r="Q656" s="42">
        <f t="shared" si="767"/>
        <v>0</v>
      </c>
      <c r="R656" s="42">
        <f t="shared" si="767"/>
        <v>0</v>
      </c>
      <c r="S656" s="42">
        <f t="shared" si="767"/>
        <v>0</v>
      </c>
      <c r="T656" s="42">
        <f>SUM(N656:S656)</f>
        <v>0</v>
      </c>
      <c r="U656" s="42">
        <f>T656+L656</f>
        <v>0</v>
      </c>
      <c r="V656" s="42">
        <f>V653</f>
        <v>0</v>
      </c>
      <c r="W656" s="42">
        <f>V656-U656</f>
        <v>0</v>
      </c>
    </row>
    <row r="657" spans="1:28" s="43" customFormat="1" ht="18" hidden="1" customHeight="1">
      <c r="A657" s="673"/>
      <c r="B657" s="581"/>
      <c r="C657" s="581"/>
      <c r="D657" s="202" t="str">
        <f>серпень!D580</f>
        <v xml:space="preserve">відхилення </v>
      </c>
      <c r="E657" s="42"/>
      <c r="F657" s="42">
        <f t="shared" ref="F657:K657" si="768">F653-F656</f>
        <v>0</v>
      </c>
      <c r="G657" s="42">
        <f t="shared" si="768"/>
        <v>0</v>
      </c>
      <c r="H657" s="42">
        <f t="shared" si="768"/>
        <v>0</v>
      </c>
      <c r="I657" s="42">
        <f t="shared" si="768"/>
        <v>0</v>
      </c>
      <c r="J657" s="42">
        <f t="shared" si="768"/>
        <v>0</v>
      </c>
      <c r="K657" s="42">
        <f t="shared" si="768"/>
        <v>0</v>
      </c>
      <c r="L657" s="42"/>
      <c r="M657" s="42"/>
      <c r="N657" s="42">
        <f t="shared" ref="N657:S657" si="769">N653-N656</f>
        <v>0</v>
      </c>
      <c r="O657" s="42">
        <f t="shared" si="769"/>
        <v>0</v>
      </c>
      <c r="P657" s="42">
        <f t="shared" si="769"/>
        <v>0</v>
      </c>
      <c r="Q657" s="42">
        <f t="shared" si="769"/>
        <v>0</v>
      </c>
      <c r="R657" s="42">
        <f t="shared" si="769"/>
        <v>0</v>
      </c>
      <c r="S657" s="42">
        <f t="shared" si="769"/>
        <v>0</v>
      </c>
      <c r="T657" s="42"/>
      <c r="U657" s="42"/>
      <c r="V657" s="42"/>
      <c r="W657" s="42"/>
    </row>
    <row r="658" spans="1:28" s="43" customFormat="1" ht="18" hidden="1" customHeight="1">
      <c r="A658" s="673"/>
      <c r="B658" s="581"/>
      <c r="C658" s="581"/>
      <c r="D658" s="202" t="str">
        <f>серпень!D581</f>
        <v>відхилення з наростаючим</v>
      </c>
      <c r="E658" s="42"/>
      <c r="F658" s="42">
        <f>F657</f>
        <v>0</v>
      </c>
      <c r="G658" s="42">
        <f>G657+F658</f>
        <v>0</v>
      </c>
      <c r="H658" s="42">
        <f>H657+G658</f>
        <v>0</v>
      </c>
      <c r="I658" s="42">
        <f>I657+H658</f>
        <v>0</v>
      </c>
      <c r="J658" s="42">
        <f>J657+I658</f>
        <v>0</v>
      </c>
      <c r="K658" s="42">
        <f>K657+J658</f>
        <v>0</v>
      </c>
      <c r="L658" s="42"/>
      <c r="M658" s="42"/>
      <c r="N658" s="42">
        <f>N657+K658</f>
        <v>0</v>
      </c>
      <c r="O658" s="42">
        <f>O657+N658</f>
        <v>0</v>
      </c>
      <c r="P658" s="42">
        <f>P657+O658</f>
        <v>0</v>
      </c>
      <c r="Q658" s="42">
        <f>Q657+P658</f>
        <v>0</v>
      </c>
      <c r="R658" s="42">
        <f>R657+Q658</f>
        <v>0</v>
      </c>
      <c r="S658" s="42">
        <f>S657+R658</f>
        <v>0</v>
      </c>
      <c r="T658" s="42"/>
      <c r="U658" s="42"/>
      <c r="V658" s="42"/>
      <c r="W658" s="42"/>
    </row>
    <row r="659" spans="1:28" s="55" customFormat="1" ht="20.05" hidden="1" customHeight="1">
      <c r="A659" s="673"/>
      <c r="B659" s="654" t="s">
        <v>140</v>
      </c>
      <c r="C659" s="581"/>
      <c r="D659" s="178" t="str">
        <f>серпень!D582</f>
        <v>факт. нат.п-ки 2023</v>
      </c>
      <c r="E659" s="11"/>
      <c r="F659" s="12"/>
      <c r="G659" s="12"/>
      <c r="H659" s="12"/>
      <c r="I659" s="12"/>
      <c r="J659" s="12"/>
      <c r="K659" s="12"/>
      <c r="L659" s="65">
        <f>SUM(F659:K659)</f>
        <v>0</v>
      </c>
      <c r="M659" s="65">
        <f>L659/6</f>
        <v>0</v>
      </c>
      <c r="N659" s="12"/>
      <c r="O659" s="12"/>
      <c r="P659" s="12"/>
      <c r="Q659" s="12"/>
      <c r="R659" s="12"/>
      <c r="S659" s="12"/>
      <c r="T659" s="65">
        <f>SUM(N659:S659)</f>
        <v>0</v>
      </c>
      <c r="U659" s="66">
        <f>T659+L659</f>
        <v>0</v>
      </c>
      <c r="V659" s="67"/>
      <c r="W659" s="38">
        <f>V659-U659</f>
        <v>0</v>
      </c>
      <c r="X659" s="47"/>
      <c r="Y659" s="48"/>
      <c r="Z659" s="48"/>
      <c r="AA659" s="48"/>
      <c r="AB659" s="48"/>
    </row>
    <row r="660" spans="1:28" s="48" customFormat="1" ht="18" hidden="1" customHeight="1">
      <c r="A660" s="673"/>
      <c r="B660" s="581"/>
      <c r="C660" s="581"/>
      <c r="D660" s="178" t="str">
        <f>серпень!D583</f>
        <v>факт. нат.п-ки 2024</v>
      </c>
      <c r="E660" s="11"/>
      <c r="F660" s="12"/>
      <c r="G660" s="12"/>
      <c r="H660" s="12"/>
      <c r="I660" s="12"/>
      <c r="J660" s="12"/>
      <c r="K660" s="12"/>
      <c r="L660" s="65">
        <f>SUM(F660:K660)</f>
        <v>0</v>
      </c>
      <c r="M660" s="65">
        <f>L660/6</f>
        <v>0</v>
      </c>
      <c r="N660" s="11"/>
      <c r="O660" s="11"/>
      <c r="P660" s="11"/>
      <c r="Q660" s="11"/>
      <c r="R660" s="11"/>
      <c r="S660" s="11"/>
      <c r="T660" s="65">
        <f>SUM(N660:S660)</f>
        <v>0</v>
      </c>
      <c r="U660" s="66">
        <f>T660+L660</f>
        <v>0</v>
      </c>
      <c r="V660" s="67"/>
      <c r="W660" s="38">
        <f>V660-U660</f>
        <v>0</v>
      </c>
      <c r="X660" s="47"/>
    </row>
    <row r="661" spans="1:28" s="48" customFormat="1" ht="18" hidden="1" customHeight="1">
      <c r="A661" s="673"/>
      <c r="B661" s="581"/>
      <c r="C661" s="581"/>
      <c r="D661" s="178" t="str">
        <f>серпень!D584</f>
        <v>факт. нат.п-ки 2025</v>
      </c>
      <c r="E661" s="11"/>
      <c r="F661" s="12"/>
      <c r="G661" s="12"/>
      <c r="H661" s="12"/>
      <c r="I661" s="12"/>
      <c r="J661" s="12"/>
      <c r="K661" s="12"/>
      <c r="L661" s="65">
        <f>SUM(F661:K661)</f>
        <v>0</v>
      </c>
      <c r="M661" s="65">
        <f>L661/6</f>
        <v>0</v>
      </c>
      <c r="N661" s="12"/>
      <c r="O661" s="12"/>
      <c r="P661" s="12"/>
      <c r="Q661" s="12"/>
      <c r="R661" s="12"/>
      <c r="S661" s="11"/>
      <c r="T661" s="65">
        <f>SUM(N661:S661)</f>
        <v>0</v>
      </c>
      <c r="U661" s="66">
        <f>T661+L661</f>
        <v>0</v>
      </c>
      <c r="V661" s="11"/>
      <c r="W661" s="38">
        <f>V661-U661</f>
        <v>0</v>
      </c>
      <c r="X661" s="47"/>
    </row>
    <row r="662" spans="1:28" s="51" customFormat="1" ht="18" hidden="1" customHeight="1">
      <c r="A662" s="673"/>
      <c r="B662" s="581"/>
      <c r="C662" s="581"/>
      <c r="D662" s="187" t="str">
        <f>серпень!D585</f>
        <v>тариф, грн.</v>
      </c>
      <c r="E662" s="49"/>
      <c r="F662" s="49">
        <v>0</v>
      </c>
      <c r="G662" s="49">
        <v>0</v>
      </c>
      <c r="H662" s="49">
        <v>0</v>
      </c>
      <c r="I662" s="49">
        <v>0</v>
      </c>
      <c r="J662" s="49">
        <v>0</v>
      </c>
      <c r="K662" s="49">
        <v>0</v>
      </c>
      <c r="L662" s="49" t="e">
        <f>L663/L661*1000</f>
        <v>#DIV/0!</v>
      </c>
      <c r="M662" s="49" t="e">
        <f>M663/M661*1000</f>
        <v>#DIV/0!</v>
      </c>
      <c r="N662" s="49">
        <v>0</v>
      </c>
      <c r="O662" s="49">
        <v>0</v>
      </c>
      <c r="P662" s="49">
        <v>0</v>
      </c>
      <c r="Q662" s="49">
        <v>0</v>
      </c>
      <c r="R662" s="49">
        <v>0</v>
      </c>
      <c r="S662" s="49">
        <v>0</v>
      </c>
      <c r="T662" s="49" t="e">
        <f>T663/T661*1000</f>
        <v>#DIV/0!</v>
      </c>
      <c r="U662" s="49" t="e">
        <f>U663/U661*1000</f>
        <v>#DIV/0!</v>
      </c>
      <c r="V662" s="68" t="e">
        <f>V663/V661*1000</f>
        <v>#DIV/0!</v>
      </c>
      <c r="W662" s="14" t="e">
        <f>W663/W661*1000</f>
        <v>#DIV/0!</v>
      </c>
      <c r="X662" s="59"/>
    </row>
    <row r="663" spans="1:28" s="130" customFormat="1" ht="18" hidden="1" customHeight="1">
      <c r="A663" s="673"/>
      <c r="B663" s="581"/>
      <c r="C663" s="581"/>
      <c r="D663" s="191" t="str">
        <f>серпень!D586</f>
        <v>сума, тис.грн.</v>
      </c>
      <c r="E663" s="52"/>
      <c r="F663" s="52">
        <f>F661*F662/1000</f>
        <v>0</v>
      </c>
      <c r="G663" s="52">
        <f t="shared" ref="G663:K663" si="770">G661*G662/1000</f>
        <v>0</v>
      </c>
      <c r="H663" s="52">
        <f t="shared" si="770"/>
        <v>0</v>
      </c>
      <c r="I663" s="52">
        <f t="shared" si="770"/>
        <v>0</v>
      </c>
      <c r="J663" s="52">
        <f t="shared" si="770"/>
        <v>0</v>
      </c>
      <c r="K663" s="52">
        <f t="shared" si="770"/>
        <v>0</v>
      </c>
      <c r="L663" s="69">
        <f>SUM(F663:K663)</f>
        <v>0</v>
      </c>
      <c r="M663" s="69">
        <f>L663/6</f>
        <v>0</v>
      </c>
      <c r="N663" s="52">
        <f>N661*N662/1000</f>
        <v>0</v>
      </c>
      <c r="O663" s="52">
        <f t="shared" ref="O663" si="771">O661*O662/1000</f>
        <v>0</v>
      </c>
      <c r="P663" s="52">
        <f t="shared" ref="P663" si="772">P661*P662/1000</f>
        <v>0</v>
      </c>
      <c r="Q663" s="52">
        <f t="shared" ref="Q663" si="773">Q661*Q662/1000</f>
        <v>0</v>
      </c>
      <c r="R663" s="52">
        <f t="shared" ref="R663" si="774">R661*R662/1000</f>
        <v>0</v>
      </c>
      <c r="S663" s="52">
        <f t="shared" ref="S663" si="775">S661*S662/1000</f>
        <v>0</v>
      </c>
      <c r="T663" s="69">
        <f>SUM(N663:S663)</f>
        <v>0</v>
      </c>
      <c r="U663" s="69">
        <f>T663+L663</f>
        <v>0</v>
      </c>
      <c r="V663" s="70">
        <f>V664+V665</f>
        <v>0</v>
      </c>
      <c r="W663" s="53">
        <f>V663-U663</f>
        <v>0</v>
      </c>
    </row>
    <row r="664" spans="1:28" s="130" customFormat="1" ht="18" hidden="1" customHeight="1">
      <c r="A664" s="673"/>
      <c r="B664" s="581"/>
      <c r="C664" s="581"/>
      <c r="D664" s="174" t="str">
        <f>серпень!D587</f>
        <v>дотація</v>
      </c>
      <c r="E664" s="56"/>
      <c r="F664" s="52"/>
      <c r="G664" s="52"/>
      <c r="H664" s="52"/>
      <c r="I664" s="52"/>
      <c r="J664" s="52"/>
      <c r="K664" s="52"/>
      <c r="L664" s="69">
        <f>SUM(F664:K664)</f>
        <v>0</v>
      </c>
      <c r="M664" s="69">
        <f>L664/6</f>
        <v>0</v>
      </c>
      <c r="N664" s="52"/>
      <c r="O664" s="52"/>
      <c r="P664" s="52"/>
      <c r="Q664" s="52"/>
      <c r="R664" s="52"/>
      <c r="S664" s="52"/>
      <c r="T664" s="69">
        <f>SUM(N664:S664)</f>
        <v>0</v>
      </c>
      <c r="U664" s="69">
        <f>T664+L664</f>
        <v>0</v>
      </c>
      <c r="V664" s="70">
        <v>0</v>
      </c>
      <c r="W664" s="53">
        <f>V664-U664</f>
        <v>0</v>
      </c>
    </row>
    <row r="665" spans="1:28" s="130" customFormat="1" ht="18" hidden="1" customHeight="1">
      <c r="A665" s="673"/>
      <c r="B665" s="581"/>
      <c r="C665" s="581"/>
      <c r="D665" s="174" t="str">
        <f>серпень!D588</f>
        <v>місцевий (план), тис.грн</v>
      </c>
      <c r="E665" s="56"/>
      <c r="F665" s="52"/>
      <c r="G665" s="52"/>
      <c r="H665" s="52"/>
      <c r="I665" s="52"/>
      <c r="J665" s="52"/>
      <c r="K665" s="52"/>
      <c r="L665" s="69">
        <f>SUM(F665:K665)</f>
        <v>0</v>
      </c>
      <c r="M665" s="69">
        <f>L665/6</f>
        <v>0</v>
      </c>
      <c r="N665" s="52"/>
      <c r="O665" s="52"/>
      <c r="P665" s="52"/>
      <c r="Q665" s="52"/>
      <c r="R665" s="52"/>
      <c r="S665" s="52"/>
      <c r="T665" s="69">
        <f>SUM(N665:S665)</f>
        <v>0</v>
      </c>
      <c r="U665" s="69">
        <f>T665+L665</f>
        <v>0</v>
      </c>
      <c r="V665" s="70"/>
      <c r="W665" s="53">
        <f>V665-U665</f>
        <v>0</v>
      </c>
    </row>
    <row r="666" spans="1:28" s="48" customFormat="1" ht="18" hidden="1" customHeight="1">
      <c r="A666" s="673"/>
      <c r="B666" s="581"/>
      <c r="C666" s="581"/>
      <c r="D666" s="178" t="str">
        <f>серпень!D589</f>
        <v>касові нат.п-ки 2025</v>
      </c>
      <c r="E666" s="11"/>
      <c r="F666" s="11"/>
      <c r="G666" s="11"/>
      <c r="H666" s="11"/>
      <c r="I666" s="11"/>
      <c r="J666" s="11"/>
      <c r="K666" s="11"/>
      <c r="L666" s="65">
        <f>SUM(F666:K666)</f>
        <v>0</v>
      </c>
      <c r="M666" s="65">
        <f>L666/6</f>
        <v>0</v>
      </c>
      <c r="N666" s="11"/>
      <c r="O666" s="11"/>
      <c r="P666" s="11"/>
      <c r="Q666" s="11"/>
      <c r="R666" s="11"/>
      <c r="S666" s="11"/>
      <c r="T666" s="65">
        <f>SUM(N666:S666)</f>
        <v>0</v>
      </c>
      <c r="U666" s="65">
        <f>T666+L666</f>
        <v>0</v>
      </c>
      <c r="V666" s="11">
        <f>V661</f>
        <v>0</v>
      </c>
      <c r="W666" s="38">
        <f>V666-U666</f>
        <v>0</v>
      </c>
      <c r="X666" s="47">
        <f>U661-U666</f>
        <v>0</v>
      </c>
    </row>
    <row r="667" spans="1:28" s="51" customFormat="1" ht="18" hidden="1" customHeight="1">
      <c r="A667" s="673"/>
      <c r="B667" s="581"/>
      <c r="C667" s="581"/>
      <c r="D667" s="187" t="str">
        <f>серпень!D590</f>
        <v>тариф, грн.</v>
      </c>
      <c r="E667" s="49" t="e">
        <f>E668/E666*1000</f>
        <v>#DIV/0!</v>
      </c>
      <c r="F667" s="49">
        <v>0</v>
      </c>
      <c r="G667" s="49">
        <v>0</v>
      </c>
      <c r="H667" s="49">
        <v>0</v>
      </c>
      <c r="I667" s="49">
        <v>0</v>
      </c>
      <c r="J667" s="49">
        <v>0</v>
      </c>
      <c r="K667" s="49">
        <v>0</v>
      </c>
      <c r="L667" s="49" t="e">
        <f>L668/L666*1000</f>
        <v>#DIV/0!</v>
      </c>
      <c r="M667" s="49" t="e">
        <f>M668/M666*1000</f>
        <v>#DIV/0!</v>
      </c>
      <c r="N667" s="49">
        <v>0</v>
      </c>
      <c r="O667" s="49">
        <v>0</v>
      </c>
      <c r="P667" s="49">
        <v>0</v>
      </c>
      <c r="Q667" s="49">
        <v>0</v>
      </c>
      <c r="R667" s="49">
        <v>0</v>
      </c>
      <c r="S667" s="49">
        <v>0</v>
      </c>
      <c r="T667" s="49" t="e">
        <f>T668/T666*1000</f>
        <v>#DIV/0!</v>
      </c>
      <c r="U667" s="49" t="e">
        <f>U668/U666*1000</f>
        <v>#DIV/0!</v>
      </c>
      <c r="V667" s="68" t="e">
        <f>V668/V666*1000</f>
        <v>#DIV/0!</v>
      </c>
      <c r="W667" s="14" t="e">
        <f>W668/W666*1000</f>
        <v>#DIV/0!</v>
      </c>
      <c r="X667" s="59"/>
    </row>
    <row r="668" spans="1:28" s="126" customFormat="1" ht="18" hidden="1" customHeight="1">
      <c r="A668" s="673"/>
      <c r="B668" s="581"/>
      <c r="C668" s="581"/>
      <c r="D668" s="198" t="str">
        <f>серпень!D591</f>
        <v>касові видатки, тис.грн.</v>
      </c>
      <c r="E668" s="71"/>
      <c r="F668" s="61">
        <f>F666*F667/1000</f>
        <v>0</v>
      </c>
      <c r="G668" s="61">
        <f t="shared" ref="G668" si="776">G666*G667/1000</f>
        <v>0</v>
      </c>
      <c r="H668" s="61">
        <f t="shared" ref="H668" si="777">H666*H667/1000</f>
        <v>0</v>
      </c>
      <c r="I668" s="61">
        <f t="shared" ref="I668" si="778">I666*I667/1000</f>
        <v>0</v>
      </c>
      <c r="J668" s="61">
        <f t="shared" ref="J668" si="779">J666*J667/1000</f>
        <v>0</v>
      </c>
      <c r="K668" s="61">
        <f t="shared" ref="K668" si="780">K666*K667/1000</f>
        <v>0</v>
      </c>
      <c r="L668" s="61">
        <f>SUM(F668:K668)</f>
        <v>0</v>
      </c>
      <c r="M668" s="61">
        <f>L668/6</f>
        <v>0</v>
      </c>
      <c r="N668" s="61">
        <f>N666*N667/1000</f>
        <v>0</v>
      </c>
      <c r="O668" s="61">
        <f t="shared" ref="O668" si="781">O666*O667/1000</f>
        <v>0</v>
      </c>
      <c r="P668" s="61">
        <f t="shared" ref="P668" si="782">P666*P667/1000</f>
        <v>0</v>
      </c>
      <c r="Q668" s="61">
        <f t="shared" ref="Q668" si="783">Q666*Q667/1000</f>
        <v>0</v>
      </c>
      <c r="R668" s="61">
        <f t="shared" ref="R668" si="784">R666*R667/1000</f>
        <v>0</v>
      </c>
      <c r="S668" s="61">
        <f t="shared" ref="S668" si="785">S666*S667/1000</f>
        <v>0</v>
      </c>
      <c r="T668" s="61">
        <f>SUM(N668:S668)</f>
        <v>0</v>
      </c>
      <c r="U668" s="61">
        <f>T668+L668</f>
        <v>0</v>
      </c>
      <c r="V668" s="61">
        <f>V663</f>
        <v>0</v>
      </c>
      <c r="W668" s="72">
        <f>V668-U668</f>
        <v>0</v>
      </c>
      <c r="X668" s="63">
        <f>U663-U668</f>
        <v>0</v>
      </c>
    </row>
    <row r="669" spans="1:28" s="126" customFormat="1" ht="18" hidden="1" customHeight="1">
      <c r="A669" s="673"/>
      <c r="B669" s="581"/>
      <c r="C669" s="581"/>
      <c r="D669" s="201" t="str">
        <f>серпень!D592</f>
        <v>дотація</v>
      </c>
      <c r="E669" s="71"/>
      <c r="F669" s="61"/>
      <c r="G669" s="61"/>
      <c r="H669" s="61"/>
      <c r="I669" s="61"/>
      <c r="J669" s="61"/>
      <c r="K669" s="61"/>
      <c r="L669" s="61">
        <f>SUM(F669:K669)</f>
        <v>0</v>
      </c>
      <c r="M669" s="61">
        <f>L669/6</f>
        <v>0</v>
      </c>
      <c r="N669" s="61"/>
      <c r="O669" s="61"/>
      <c r="P669" s="61"/>
      <c r="Q669" s="61"/>
      <c r="R669" s="61"/>
      <c r="S669" s="61"/>
      <c r="T669" s="61">
        <f>SUM(N669:S669)</f>
        <v>0</v>
      </c>
      <c r="U669" s="61">
        <f>T669+L669</f>
        <v>0</v>
      </c>
      <c r="V669" s="61">
        <f>V664</f>
        <v>0</v>
      </c>
      <c r="W669" s="72">
        <f>V669-U669</f>
        <v>0</v>
      </c>
      <c r="X669" s="63"/>
    </row>
    <row r="670" spans="1:28" s="126" customFormat="1" ht="18" hidden="1" customHeight="1">
      <c r="A670" s="673"/>
      <c r="B670" s="581"/>
      <c r="C670" s="581"/>
      <c r="D670" s="201" t="str">
        <f>серпень!D593</f>
        <v xml:space="preserve">місцевий </v>
      </c>
      <c r="E670" s="71"/>
      <c r="F670" s="61">
        <f t="shared" ref="F670:K670" si="786">F668-F669</f>
        <v>0</v>
      </c>
      <c r="G670" s="61">
        <f t="shared" si="786"/>
        <v>0</v>
      </c>
      <c r="H670" s="61">
        <f t="shared" si="786"/>
        <v>0</v>
      </c>
      <c r="I670" s="61">
        <f t="shared" si="786"/>
        <v>0</v>
      </c>
      <c r="J670" s="61">
        <f t="shared" si="786"/>
        <v>0</v>
      </c>
      <c r="K670" s="61">
        <f t="shared" si="786"/>
        <v>0</v>
      </c>
      <c r="L670" s="61">
        <f>SUM(F670:K670)</f>
        <v>0</v>
      </c>
      <c r="M670" s="61">
        <f>L670/6</f>
        <v>0</v>
      </c>
      <c r="N670" s="61">
        <f t="shared" ref="N670:S670" si="787">N668-N669</f>
        <v>0</v>
      </c>
      <c r="O670" s="61">
        <f t="shared" si="787"/>
        <v>0</v>
      </c>
      <c r="P670" s="61">
        <f t="shared" si="787"/>
        <v>0</v>
      </c>
      <c r="Q670" s="61">
        <f t="shared" si="787"/>
        <v>0</v>
      </c>
      <c r="R670" s="61">
        <f t="shared" si="787"/>
        <v>0</v>
      </c>
      <c r="S670" s="61">
        <f t="shared" si="787"/>
        <v>0</v>
      </c>
      <c r="T670" s="61">
        <f>SUM(N670:S670)</f>
        <v>0</v>
      </c>
      <c r="U670" s="61">
        <f>T670+L670</f>
        <v>0</v>
      </c>
      <c r="V670" s="61">
        <f>V665</f>
        <v>0</v>
      </c>
      <c r="W670" s="72">
        <f>V670-U670</f>
        <v>0</v>
      </c>
      <c r="X670" s="63">
        <f>U665-U670</f>
        <v>0</v>
      </c>
    </row>
    <row r="671" spans="1:28" s="43" customFormat="1" ht="18" hidden="1" customHeight="1">
      <c r="A671" s="673"/>
      <c r="B671" s="581"/>
      <c r="C671" s="581"/>
      <c r="D671" s="202" t="str">
        <f>серпень!D594</f>
        <v>план</v>
      </c>
      <c r="E671" s="42"/>
      <c r="F671" s="42">
        <f t="shared" ref="F671:K671" si="788">F665</f>
        <v>0</v>
      </c>
      <c r="G671" s="42">
        <f t="shared" si="788"/>
        <v>0</v>
      </c>
      <c r="H671" s="42">
        <f t="shared" si="788"/>
        <v>0</v>
      </c>
      <c r="I671" s="42">
        <f t="shared" si="788"/>
        <v>0</v>
      </c>
      <c r="J671" s="42">
        <f t="shared" si="788"/>
        <v>0</v>
      </c>
      <c r="K671" s="42">
        <f t="shared" si="788"/>
        <v>0</v>
      </c>
      <c r="L671" s="42">
        <f>SUM(F671:K671)</f>
        <v>0</v>
      </c>
      <c r="M671" s="42">
        <f>L671/6</f>
        <v>0</v>
      </c>
      <c r="N671" s="42">
        <f t="shared" ref="N671:S671" si="789">N665+N664</f>
        <v>0</v>
      </c>
      <c r="O671" s="42">
        <f t="shared" si="789"/>
        <v>0</v>
      </c>
      <c r="P671" s="42">
        <f t="shared" si="789"/>
        <v>0</v>
      </c>
      <c r="Q671" s="42">
        <f t="shared" si="789"/>
        <v>0</v>
      </c>
      <c r="R671" s="42">
        <f t="shared" si="789"/>
        <v>0</v>
      </c>
      <c r="S671" s="42">
        <f t="shared" si="789"/>
        <v>0</v>
      </c>
      <c r="T671" s="42">
        <f>SUM(N671:S671)</f>
        <v>0</v>
      </c>
      <c r="U671" s="42">
        <f>T671+L671</f>
        <v>0</v>
      </c>
      <c r="V671" s="42">
        <f>V668</f>
        <v>0</v>
      </c>
      <c r="W671" s="42">
        <f>V671-U671</f>
        <v>0</v>
      </c>
    </row>
    <row r="672" spans="1:28" s="43" customFormat="1" ht="18" hidden="1" customHeight="1">
      <c r="A672" s="673"/>
      <c r="B672" s="581"/>
      <c r="C672" s="581"/>
      <c r="D672" s="202" t="str">
        <f>серпень!D595</f>
        <v xml:space="preserve">відхилення </v>
      </c>
      <c r="E672" s="42"/>
      <c r="F672" s="42">
        <f t="shared" ref="F672:K672" si="790">F668-F671</f>
        <v>0</v>
      </c>
      <c r="G672" s="42">
        <f t="shared" si="790"/>
        <v>0</v>
      </c>
      <c r="H672" s="42">
        <f t="shared" si="790"/>
        <v>0</v>
      </c>
      <c r="I672" s="42">
        <f t="shared" si="790"/>
        <v>0</v>
      </c>
      <c r="J672" s="42">
        <f t="shared" si="790"/>
        <v>0</v>
      </c>
      <c r="K672" s="42">
        <f t="shared" si="790"/>
        <v>0</v>
      </c>
      <c r="L672" s="42"/>
      <c r="M672" s="42"/>
      <c r="N672" s="42">
        <f t="shared" ref="N672:S672" si="791">N668-N671</f>
        <v>0</v>
      </c>
      <c r="O672" s="42">
        <f t="shared" si="791"/>
        <v>0</v>
      </c>
      <c r="P672" s="42">
        <f t="shared" si="791"/>
        <v>0</v>
      </c>
      <c r="Q672" s="42">
        <f t="shared" si="791"/>
        <v>0</v>
      </c>
      <c r="R672" s="42">
        <f t="shared" si="791"/>
        <v>0</v>
      </c>
      <c r="S672" s="42">
        <f t="shared" si="791"/>
        <v>0</v>
      </c>
      <c r="T672" s="42"/>
      <c r="U672" s="42"/>
      <c r="V672" s="42"/>
      <c r="W672" s="42"/>
    </row>
    <row r="673" spans="1:28" s="43" customFormat="1" ht="18" hidden="1" customHeight="1">
      <c r="A673" s="673"/>
      <c r="B673" s="581"/>
      <c r="C673" s="581"/>
      <c r="D673" s="202" t="str">
        <f>серпень!D596</f>
        <v>відхилення з наростаючим</v>
      </c>
      <c r="E673" s="42"/>
      <c r="F673" s="42">
        <f>F672</f>
        <v>0</v>
      </c>
      <c r="G673" s="42">
        <f>G672+F673</f>
        <v>0</v>
      </c>
      <c r="H673" s="42">
        <f>H672+G673</f>
        <v>0</v>
      </c>
      <c r="I673" s="42">
        <f>I672+H673</f>
        <v>0</v>
      </c>
      <c r="J673" s="42">
        <f>J672+I673</f>
        <v>0</v>
      </c>
      <c r="K673" s="42">
        <f>K672+J673</f>
        <v>0</v>
      </c>
      <c r="L673" s="42"/>
      <c r="M673" s="42"/>
      <c r="N673" s="42">
        <f>N672+K673</f>
        <v>0</v>
      </c>
      <c r="O673" s="42">
        <f>O672+N673</f>
        <v>0</v>
      </c>
      <c r="P673" s="42">
        <f>P672+O673</f>
        <v>0</v>
      </c>
      <c r="Q673" s="42">
        <f>Q672+P673</f>
        <v>0</v>
      </c>
      <c r="R673" s="42">
        <f>R672+Q673</f>
        <v>0</v>
      </c>
      <c r="S673" s="42">
        <f>S672+R673</f>
        <v>0</v>
      </c>
      <c r="T673" s="42"/>
      <c r="U673" s="42"/>
      <c r="V673" s="42"/>
      <c r="W673" s="42"/>
    </row>
    <row r="674" spans="1:28" s="55" customFormat="1" ht="17.55" hidden="1" customHeight="1">
      <c r="A674" s="673"/>
      <c r="B674" s="581" t="s">
        <v>68</v>
      </c>
      <c r="C674" s="581"/>
      <c r="D674" s="178" t="str">
        <f>серпень!D597</f>
        <v>факт. нат.п-ки 2023</v>
      </c>
      <c r="E674" s="11"/>
      <c r="F674" s="12"/>
      <c r="G674" s="12"/>
      <c r="H674" s="12"/>
      <c r="I674" s="12"/>
      <c r="J674" s="12"/>
      <c r="K674" s="12"/>
      <c r="L674" s="65">
        <f>SUM(F674:K674)</f>
        <v>0</v>
      </c>
      <c r="M674" s="65">
        <f>L674/6</f>
        <v>0</v>
      </c>
      <c r="N674" s="12"/>
      <c r="O674" s="12"/>
      <c r="P674" s="12"/>
      <c r="Q674" s="12"/>
      <c r="R674" s="12"/>
      <c r="S674" s="12"/>
      <c r="T674" s="65">
        <f>SUM(N674:S674)</f>
        <v>0</v>
      </c>
      <c r="U674" s="66">
        <f>T674+L674</f>
        <v>0</v>
      </c>
      <c r="V674" s="67"/>
      <c r="W674" s="38">
        <f>V674-U674</f>
        <v>0</v>
      </c>
      <c r="X674" s="47"/>
      <c r="Y674" s="48"/>
      <c r="Z674" s="48"/>
      <c r="AA674" s="48"/>
      <c r="AB674" s="48"/>
    </row>
    <row r="675" spans="1:28" s="48" customFormat="1" ht="18" hidden="1" customHeight="1">
      <c r="A675" s="673"/>
      <c r="B675" s="581"/>
      <c r="C675" s="581"/>
      <c r="D675" s="178" t="str">
        <f>серпень!D598</f>
        <v>факт. нат.п-ки 2024</v>
      </c>
      <c r="E675" s="11"/>
      <c r="F675" s="12"/>
      <c r="G675" s="12"/>
      <c r="H675" s="12"/>
      <c r="I675" s="12"/>
      <c r="J675" s="12"/>
      <c r="K675" s="12"/>
      <c r="L675" s="65">
        <f>SUM(F675:K675)</f>
        <v>0</v>
      </c>
      <c r="M675" s="65">
        <f>L675/6</f>
        <v>0</v>
      </c>
      <c r="N675" s="11"/>
      <c r="O675" s="11"/>
      <c r="P675" s="11"/>
      <c r="Q675" s="11"/>
      <c r="R675" s="11"/>
      <c r="S675" s="11"/>
      <c r="T675" s="65">
        <f>SUM(N675:S675)</f>
        <v>0</v>
      </c>
      <c r="U675" s="66">
        <f>T675+L675</f>
        <v>0</v>
      </c>
      <c r="V675" s="67"/>
      <c r="W675" s="38">
        <f>V675-U675</f>
        <v>0</v>
      </c>
      <c r="X675" s="47"/>
    </row>
    <row r="676" spans="1:28" s="48" customFormat="1" ht="18" hidden="1" customHeight="1">
      <c r="A676" s="673"/>
      <c r="B676" s="581"/>
      <c r="C676" s="581"/>
      <c r="D676" s="178" t="str">
        <f>серпень!D599</f>
        <v>факт. нат.п-ки 2025</v>
      </c>
      <c r="E676" s="11"/>
      <c r="F676" s="12"/>
      <c r="G676" s="12"/>
      <c r="H676" s="12"/>
      <c r="I676" s="12"/>
      <c r="J676" s="12"/>
      <c r="K676" s="12"/>
      <c r="L676" s="65">
        <f>SUM(F676:K676)</f>
        <v>0</v>
      </c>
      <c r="M676" s="65">
        <f>L676/6</f>
        <v>0</v>
      </c>
      <c r="N676" s="12"/>
      <c r="O676" s="12"/>
      <c r="P676" s="12"/>
      <c r="Q676" s="12"/>
      <c r="R676" s="12"/>
      <c r="S676" s="11"/>
      <c r="T676" s="65">
        <f>SUM(N676:S676)</f>
        <v>0</v>
      </c>
      <c r="U676" s="66">
        <f>T676+L676</f>
        <v>0</v>
      </c>
      <c r="V676" s="11"/>
      <c r="W676" s="38">
        <f>V676-U676</f>
        <v>0</v>
      </c>
      <c r="X676" s="47"/>
    </row>
    <row r="677" spans="1:28" s="51" customFormat="1" ht="18" hidden="1" customHeight="1">
      <c r="A677" s="673"/>
      <c r="B677" s="581"/>
      <c r="C677" s="581"/>
      <c r="D677" s="187" t="str">
        <f>серпень!D600</f>
        <v>тариф, грн.</v>
      </c>
      <c r="E677" s="49"/>
      <c r="F677" s="49">
        <v>0</v>
      </c>
      <c r="G677" s="49">
        <v>0</v>
      </c>
      <c r="H677" s="49">
        <v>0</v>
      </c>
      <c r="I677" s="49">
        <v>0</v>
      </c>
      <c r="J677" s="49">
        <v>0</v>
      </c>
      <c r="K677" s="49">
        <v>0</v>
      </c>
      <c r="L677" s="49" t="e">
        <f>L678/L676*1000</f>
        <v>#DIV/0!</v>
      </c>
      <c r="M677" s="49" t="e">
        <f>M678/M676*1000</f>
        <v>#DIV/0!</v>
      </c>
      <c r="N677" s="49">
        <v>0</v>
      </c>
      <c r="O677" s="49">
        <v>0</v>
      </c>
      <c r="P677" s="49">
        <v>0</v>
      </c>
      <c r="Q677" s="49">
        <v>0</v>
      </c>
      <c r="R677" s="49">
        <v>0</v>
      </c>
      <c r="S677" s="49">
        <v>0</v>
      </c>
      <c r="T677" s="49" t="e">
        <f>T678/T676*1000</f>
        <v>#DIV/0!</v>
      </c>
      <c r="U677" s="49" t="e">
        <f>U678/U676*1000</f>
        <v>#DIV/0!</v>
      </c>
      <c r="V677" s="68" t="e">
        <f>V678/V676*1000</f>
        <v>#DIV/0!</v>
      </c>
      <c r="W677" s="14" t="e">
        <f>W678/W676*1000</f>
        <v>#DIV/0!</v>
      </c>
      <c r="X677" s="59"/>
    </row>
    <row r="678" spans="1:28" s="130" customFormat="1" ht="18" hidden="1" customHeight="1">
      <c r="A678" s="673"/>
      <c r="B678" s="581"/>
      <c r="C678" s="581"/>
      <c r="D678" s="191" t="str">
        <f>серпень!D601</f>
        <v>сума, тис.грн.</v>
      </c>
      <c r="E678" s="52"/>
      <c r="F678" s="52">
        <f>F676*F677/1000</f>
        <v>0</v>
      </c>
      <c r="G678" s="52">
        <f t="shared" ref="G678" si="792">G676*G677/1000</f>
        <v>0</v>
      </c>
      <c r="H678" s="52">
        <f t="shared" ref="H678" si="793">H676*H677/1000</f>
        <v>0</v>
      </c>
      <c r="I678" s="52">
        <f t="shared" ref="I678" si="794">I676*I677/1000</f>
        <v>0</v>
      </c>
      <c r="J678" s="52">
        <f t="shared" ref="J678" si="795">J676*J677/1000</f>
        <v>0</v>
      </c>
      <c r="K678" s="52">
        <f t="shared" ref="K678" si="796">K676*K677/1000</f>
        <v>0</v>
      </c>
      <c r="L678" s="69">
        <f>SUM(F678:K678)</f>
        <v>0</v>
      </c>
      <c r="M678" s="69">
        <f>L678/6</f>
        <v>0</v>
      </c>
      <c r="N678" s="52">
        <f>N676*N677/1000</f>
        <v>0</v>
      </c>
      <c r="O678" s="52">
        <f t="shared" ref="O678" si="797">O676*O677/1000</f>
        <v>0</v>
      </c>
      <c r="P678" s="52">
        <f t="shared" ref="P678" si="798">P676*P677/1000</f>
        <v>0</v>
      </c>
      <c r="Q678" s="52">
        <f t="shared" ref="Q678" si="799">Q676*Q677/1000</f>
        <v>0</v>
      </c>
      <c r="R678" s="52">
        <f t="shared" ref="R678" si="800">R676*R677/1000</f>
        <v>0</v>
      </c>
      <c r="S678" s="52">
        <f t="shared" ref="S678" si="801">S676*S677/1000</f>
        <v>0</v>
      </c>
      <c r="T678" s="69">
        <f>SUM(N678:S678)</f>
        <v>0</v>
      </c>
      <c r="U678" s="69">
        <f>T678+L678</f>
        <v>0</v>
      </c>
      <c r="V678" s="70">
        <f>V679+V680</f>
        <v>0</v>
      </c>
      <c r="W678" s="53">
        <f>V678-U678</f>
        <v>0</v>
      </c>
    </row>
    <row r="679" spans="1:28" s="130" customFormat="1" ht="18" hidden="1" customHeight="1">
      <c r="A679" s="673"/>
      <c r="B679" s="581"/>
      <c r="C679" s="581"/>
      <c r="D679" s="174" t="str">
        <f>серпень!D602</f>
        <v>дотація</v>
      </c>
      <c r="E679" s="56"/>
      <c r="F679" s="52"/>
      <c r="G679" s="52"/>
      <c r="H679" s="52"/>
      <c r="I679" s="52"/>
      <c r="J679" s="52"/>
      <c r="K679" s="52"/>
      <c r="L679" s="69">
        <f>SUM(F679:K679)</f>
        <v>0</v>
      </c>
      <c r="M679" s="69">
        <f>L679/6</f>
        <v>0</v>
      </c>
      <c r="N679" s="52"/>
      <c r="O679" s="52"/>
      <c r="P679" s="52"/>
      <c r="Q679" s="52"/>
      <c r="R679" s="52"/>
      <c r="S679" s="52"/>
      <c r="T679" s="69">
        <f>SUM(N679:S679)</f>
        <v>0</v>
      </c>
      <c r="U679" s="69">
        <f>T679+L679</f>
        <v>0</v>
      </c>
      <c r="V679" s="70">
        <v>0</v>
      </c>
      <c r="W679" s="53">
        <f>V679-U679</f>
        <v>0</v>
      </c>
    </row>
    <row r="680" spans="1:28" s="130" customFormat="1" ht="18" hidden="1" customHeight="1">
      <c r="A680" s="673"/>
      <c r="B680" s="581"/>
      <c r="C680" s="581"/>
      <c r="D680" s="174" t="str">
        <f>серпень!D603</f>
        <v>місцевий (план), тис.грн</v>
      </c>
      <c r="E680" s="56"/>
      <c r="F680" s="52"/>
      <c r="G680" s="52"/>
      <c r="H680" s="52"/>
      <c r="I680" s="52"/>
      <c r="J680" s="52"/>
      <c r="K680" s="52"/>
      <c r="L680" s="69">
        <f>SUM(F680:K680)</f>
        <v>0</v>
      </c>
      <c r="M680" s="69">
        <f>L680/6</f>
        <v>0</v>
      </c>
      <c r="N680" s="52"/>
      <c r="O680" s="52"/>
      <c r="P680" s="52"/>
      <c r="Q680" s="52"/>
      <c r="R680" s="52"/>
      <c r="S680" s="52"/>
      <c r="T680" s="69">
        <f>SUM(N680:S680)</f>
        <v>0</v>
      </c>
      <c r="U680" s="69">
        <f>T680+L680</f>
        <v>0</v>
      </c>
      <c r="V680" s="70"/>
      <c r="W680" s="53">
        <f>V680-U680</f>
        <v>0</v>
      </c>
    </row>
    <row r="681" spans="1:28" s="48" customFormat="1" ht="18" hidden="1" customHeight="1">
      <c r="A681" s="673"/>
      <c r="B681" s="581"/>
      <c r="C681" s="581"/>
      <c r="D681" s="178" t="str">
        <f>серпень!D604</f>
        <v>касові нат.п-ки 2025</v>
      </c>
      <c r="E681" s="11"/>
      <c r="F681" s="11"/>
      <c r="G681" s="11"/>
      <c r="H681" s="11"/>
      <c r="I681" s="11"/>
      <c r="J681" s="11"/>
      <c r="K681" s="11"/>
      <c r="L681" s="65">
        <f>SUM(F681:K681)</f>
        <v>0</v>
      </c>
      <c r="M681" s="65">
        <f>L681/6</f>
        <v>0</v>
      </c>
      <c r="N681" s="11"/>
      <c r="O681" s="11"/>
      <c r="P681" s="11"/>
      <c r="Q681" s="11"/>
      <c r="R681" s="11"/>
      <c r="S681" s="11"/>
      <c r="T681" s="65">
        <f>SUM(N681:S681)</f>
        <v>0</v>
      </c>
      <c r="U681" s="65">
        <f>T681+L681</f>
        <v>0</v>
      </c>
      <c r="V681" s="11">
        <f>V676</f>
        <v>0</v>
      </c>
      <c r="W681" s="38">
        <f>V681-U681</f>
        <v>0</v>
      </c>
      <c r="X681" s="47">
        <f>U676-U681</f>
        <v>0</v>
      </c>
    </row>
    <row r="682" spans="1:28" s="51" customFormat="1" ht="18" hidden="1" customHeight="1">
      <c r="A682" s="673"/>
      <c r="B682" s="581"/>
      <c r="C682" s="581"/>
      <c r="D682" s="187" t="str">
        <f>серпень!D605</f>
        <v>тариф, грн.</v>
      </c>
      <c r="E682" s="49" t="e">
        <f>E683/E681*1000</f>
        <v>#DIV/0!</v>
      </c>
      <c r="F682" s="49">
        <v>0</v>
      </c>
      <c r="G682" s="49">
        <v>0</v>
      </c>
      <c r="H682" s="49">
        <v>0</v>
      </c>
      <c r="I682" s="49">
        <v>0</v>
      </c>
      <c r="J682" s="49">
        <v>0</v>
      </c>
      <c r="K682" s="49">
        <v>0</v>
      </c>
      <c r="L682" s="49" t="e">
        <f>L683/L681*1000</f>
        <v>#DIV/0!</v>
      </c>
      <c r="M682" s="49" t="e">
        <f>M683/M681*1000</f>
        <v>#DIV/0!</v>
      </c>
      <c r="N682" s="49">
        <v>0</v>
      </c>
      <c r="O682" s="49">
        <v>0</v>
      </c>
      <c r="P682" s="49">
        <v>0</v>
      </c>
      <c r="Q682" s="49">
        <v>0</v>
      </c>
      <c r="R682" s="49">
        <v>0</v>
      </c>
      <c r="S682" s="49">
        <v>0</v>
      </c>
      <c r="T682" s="49" t="e">
        <f>T683/T681*1000</f>
        <v>#DIV/0!</v>
      </c>
      <c r="U682" s="49" t="e">
        <f>U683/U681*1000</f>
        <v>#DIV/0!</v>
      </c>
      <c r="V682" s="68" t="e">
        <f>V683/V681*1000</f>
        <v>#DIV/0!</v>
      </c>
      <c r="W682" s="14" t="e">
        <f>W683/W681*1000</f>
        <v>#DIV/0!</v>
      </c>
      <c r="X682" s="59"/>
    </row>
    <row r="683" spans="1:28" s="126" customFormat="1" ht="18" hidden="1" customHeight="1">
      <c r="A683" s="673"/>
      <c r="B683" s="581"/>
      <c r="C683" s="581"/>
      <c r="D683" s="198" t="str">
        <f>серпень!D606</f>
        <v>касові видатки, тис.грн.</v>
      </c>
      <c r="E683" s="71"/>
      <c r="F683" s="61">
        <f>F681*F682/1000</f>
        <v>0</v>
      </c>
      <c r="G683" s="61">
        <f t="shared" ref="G683" si="802">G681*G682/1000</f>
        <v>0</v>
      </c>
      <c r="H683" s="61">
        <f t="shared" ref="H683" si="803">H681*H682/1000</f>
        <v>0</v>
      </c>
      <c r="I683" s="61">
        <f t="shared" ref="I683" si="804">I681*I682/1000</f>
        <v>0</v>
      </c>
      <c r="J683" s="61">
        <f t="shared" ref="J683" si="805">J681*J682/1000</f>
        <v>0</v>
      </c>
      <c r="K683" s="61">
        <f t="shared" ref="K683" si="806">K681*K682/1000</f>
        <v>0</v>
      </c>
      <c r="L683" s="61">
        <f>SUM(F683:K683)</f>
        <v>0</v>
      </c>
      <c r="M683" s="61">
        <f>L683/6</f>
        <v>0</v>
      </c>
      <c r="N683" s="61">
        <f>N681*N682/1000</f>
        <v>0</v>
      </c>
      <c r="O683" s="61">
        <f t="shared" ref="O683" si="807">O681*O682/1000</f>
        <v>0</v>
      </c>
      <c r="P683" s="61">
        <f t="shared" ref="P683" si="808">P681*P682/1000</f>
        <v>0</v>
      </c>
      <c r="Q683" s="61">
        <f t="shared" ref="Q683" si="809">Q681*Q682/1000</f>
        <v>0</v>
      </c>
      <c r="R683" s="61">
        <f t="shared" ref="R683" si="810">R681*R682/1000</f>
        <v>0</v>
      </c>
      <c r="S683" s="61">
        <f t="shared" ref="S683" si="811">S681*S682/1000</f>
        <v>0</v>
      </c>
      <c r="T683" s="61">
        <f>SUM(N683:S683)</f>
        <v>0</v>
      </c>
      <c r="U683" s="61">
        <f>T683+L683</f>
        <v>0</v>
      </c>
      <c r="V683" s="61">
        <f>V678</f>
        <v>0</v>
      </c>
      <c r="W683" s="72">
        <f>V683-U683</f>
        <v>0</v>
      </c>
      <c r="X683" s="63">
        <f>U678-U683</f>
        <v>0</v>
      </c>
    </row>
    <row r="684" spans="1:28" s="126" customFormat="1" ht="18" hidden="1" customHeight="1">
      <c r="A684" s="673"/>
      <c r="B684" s="581"/>
      <c r="C684" s="581"/>
      <c r="D684" s="201" t="str">
        <f>серпень!D607</f>
        <v>дотація</v>
      </c>
      <c r="E684" s="71"/>
      <c r="F684" s="61"/>
      <c r="G684" s="61"/>
      <c r="H684" s="61"/>
      <c r="I684" s="61"/>
      <c r="J684" s="61"/>
      <c r="K684" s="61"/>
      <c r="L684" s="61">
        <f>SUM(F684:K684)</f>
        <v>0</v>
      </c>
      <c r="M684" s="61">
        <f>L684/6</f>
        <v>0</v>
      </c>
      <c r="N684" s="61"/>
      <c r="O684" s="61"/>
      <c r="P684" s="61"/>
      <c r="Q684" s="61"/>
      <c r="R684" s="61"/>
      <c r="S684" s="61"/>
      <c r="T684" s="61">
        <f>SUM(N684:S684)</f>
        <v>0</v>
      </c>
      <c r="U684" s="61">
        <f>T684+L684</f>
        <v>0</v>
      </c>
      <c r="V684" s="61">
        <f>V679</f>
        <v>0</v>
      </c>
      <c r="W684" s="72">
        <f>V684-U684</f>
        <v>0</v>
      </c>
      <c r="X684" s="63"/>
    </row>
    <row r="685" spans="1:28" s="126" customFormat="1" ht="18" hidden="1" customHeight="1">
      <c r="A685" s="673"/>
      <c r="B685" s="581"/>
      <c r="C685" s="581"/>
      <c r="D685" s="201" t="str">
        <f>серпень!D608</f>
        <v xml:space="preserve">місцевий </v>
      </c>
      <c r="E685" s="71"/>
      <c r="F685" s="61">
        <f t="shared" ref="F685:K685" si="812">F683-F684</f>
        <v>0</v>
      </c>
      <c r="G685" s="61">
        <f t="shared" si="812"/>
        <v>0</v>
      </c>
      <c r="H685" s="61">
        <f t="shared" si="812"/>
        <v>0</v>
      </c>
      <c r="I685" s="61">
        <f t="shared" si="812"/>
        <v>0</v>
      </c>
      <c r="J685" s="61">
        <f t="shared" si="812"/>
        <v>0</v>
      </c>
      <c r="K685" s="61">
        <f t="shared" si="812"/>
        <v>0</v>
      </c>
      <c r="L685" s="61">
        <f>SUM(F685:K685)</f>
        <v>0</v>
      </c>
      <c r="M685" s="61">
        <f>L685/6</f>
        <v>0</v>
      </c>
      <c r="N685" s="61">
        <f t="shared" ref="N685:S685" si="813">N683-N684</f>
        <v>0</v>
      </c>
      <c r="O685" s="61">
        <f t="shared" si="813"/>
        <v>0</v>
      </c>
      <c r="P685" s="61">
        <f t="shared" si="813"/>
        <v>0</v>
      </c>
      <c r="Q685" s="61">
        <f t="shared" si="813"/>
        <v>0</v>
      </c>
      <c r="R685" s="61">
        <f t="shared" si="813"/>
        <v>0</v>
      </c>
      <c r="S685" s="61">
        <f t="shared" si="813"/>
        <v>0</v>
      </c>
      <c r="T685" s="61">
        <f>SUM(N685:S685)</f>
        <v>0</v>
      </c>
      <c r="U685" s="61">
        <f>T685+L685</f>
        <v>0</v>
      </c>
      <c r="V685" s="61">
        <f>V680</f>
        <v>0</v>
      </c>
      <c r="W685" s="72">
        <f>V685-U685</f>
        <v>0</v>
      </c>
      <c r="X685" s="63">
        <f>U680-U685</f>
        <v>0</v>
      </c>
    </row>
    <row r="686" spans="1:28" s="43" customFormat="1" ht="18" hidden="1" customHeight="1">
      <c r="A686" s="673"/>
      <c r="B686" s="581"/>
      <c r="C686" s="581"/>
      <c r="D686" s="202" t="str">
        <f>серпень!D609</f>
        <v>план</v>
      </c>
      <c r="E686" s="42"/>
      <c r="F686" s="42">
        <f t="shared" ref="F686:K686" si="814">F680</f>
        <v>0</v>
      </c>
      <c r="G686" s="42">
        <f t="shared" si="814"/>
        <v>0</v>
      </c>
      <c r="H686" s="42">
        <f t="shared" si="814"/>
        <v>0</v>
      </c>
      <c r="I686" s="42">
        <f t="shared" si="814"/>
        <v>0</v>
      </c>
      <c r="J686" s="42">
        <f t="shared" si="814"/>
        <v>0</v>
      </c>
      <c r="K686" s="42">
        <f t="shared" si="814"/>
        <v>0</v>
      </c>
      <c r="L686" s="42">
        <f>SUM(F686:K686)</f>
        <v>0</v>
      </c>
      <c r="M686" s="42">
        <f>L686/6</f>
        <v>0</v>
      </c>
      <c r="N686" s="42">
        <f t="shared" ref="N686:S686" si="815">N680+N679</f>
        <v>0</v>
      </c>
      <c r="O686" s="42">
        <f t="shared" si="815"/>
        <v>0</v>
      </c>
      <c r="P686" s="42">
        <f t="shared" si="815"/>
        <v>0</v>
      </c>
      <c r="Q686" s="42">
        <f t="shared" si="815"/>
        <v>0</v>
      </c>
      <c r="R686" s="42">
        <f t="shared" si="815"/>
        <v>0</v>
      </c>
      <c r="S686" s="42">
        <f t="shared" si="815"/>
        <v>0</v>
      </c>
      <c r="T686" s="42">
        <f>SUM(N686:S686)</f>
        <v>0</v>
      </c>
      <c r="U686" s="42">
        <f>T686+L686</f>
        <v>0</v>
      </c>
      <c r="V686" s="42">
        <f>V683</f>
        <v>0</v>
      </c>
      <c r="W686" s="42">
        <f>V686-U686</f>
        <v>0</v>
      </c>
    </row>
    <row r="687" spans="1:28" s="43" customFormat="1" ht="18" hidden="1" customHeight="1">
      <c r="A687" s="673"/>
      <c r="B687" s="581"/>
      <c r="C687" s="581"/>
      <c r="D687" s="202" t="str">
        <f>серпень!D610</f>
        <v xml:space="preserve">відхилення </v>
      </c>
      <c r="E687" s="42"/>
      <c r="F687" s="42">
        <f t="shared" ref="F687:K687" si="816">F683-F686</f>
        <v>0</v>
      </c>
      <c r="G687" s="42">
        <f t="shared" si="816"/>
        <v>0</v>
      </c>
      <c r="H687" s="42">
        <f t="shared" si="816"/>
        <v>0</v>
      </c>
      <c r="I687" s="42">
        <f t="shared" si="816"/>
        <v>0</v>
      </c>
      <c r="J687" s="42">
        <f t="shared" si="816"/>
        <v>0</v>
      </c>
      <c r="K687" s="42">
        <f t="shared" si="816"/>
        <v>0</v>
      </c>
      <c r="L687" s="42"/>
      <c r="M687" s="42"/>
      <c r="N687" s="42">
        <f t="shared" ref="N687:S687" si="817">N683-N686</f>
        <v>0</v>
      </c>
      <c r="O687" s="42">
        <f t="shared" si="817"/>
        <v>0</v>
      </c>
      <c r="P687" s="42">
        <f t="shared" si="817"/>
        <v>0</v>
      </c>
      <c r="Q687" s="42">
        <f t="shared" si="817"/>
        <v>0</v>
      </c>
      <c r="R687" s="42">
        <f t="shared" si="817"/>
        <v>0</v>
      </c>
      <c r="S687" s="42">
        <f t="shared" si="817"/>
        <v>0</v>
      </c>
      <c r="T687" s="42"/>
      <c r="U687" s="42"/>
      <c r="V687" s="42"/>
      <c r="W687" s="42"/>
    </row>
    <row r="688" spans="1:28" s="43" customFormat="1" ht="18" hidden="1" customHeight="1">
      <c r="A688" s="673"/>
      <c r="B688" s="581"/>
      <c r="C688" s="581"/>
      <c r="D688" s="202" t="str">
        <f>серпень!D611</f>
        <v>відхилення з наростаючим</v>
      </c>
      <c r="E688" s="42"/>
      <c r="F688" s="42">
        <f>F687</f>
        <v>0</v>
      </c>
      <c r="G688" s="42">
        <f>G687+F688</f>
        <v>0</v>
      </c>
      <c r="H688" s="42">
        <f>H687+G688</f>
        <v>0</v>
      </c>
      <c r="I688" s="42">
        <f>I687+H688</f>
        <v>0</v>
      </c>
      <c r="J688" s="42">
        <f>J687+I688</f>
        <v>0</v>
      </c>
      <c r="K688" s="42">
        <f>K687+J688</f>
        <v>0</v>
      </c>
      <c r="L688" s="42"/>
      <c r="M688" s="42"/>
      <c r="N688" s="42">
        <f>N687+K688</f>
        <v>0</v>
      </c>
      <c r="O688" s="42">
        <f>O687+N688</f>
        <v>0</v>
      </c>
      <c r="P688" s="42">
        <f>P687+O688</f>
        <v>0</v>
      </c>
      <c r="Q688" s="42">
        <f>Q687+P688</f>
        <v>0</v>
      </c>
      <c r="R688" s="42">
        <f>R687+Q688</f>
        <v>0</v>
      </c>
      <c r="S688" s="42">
        <f>S687+R688</f>
        <v>0</v>
      </c>
      <c r="T688" s="42"/>
      <c r="U688" s="42"/>
      <c r="V688" s="42"/>
      <c r="W688" s="42"/>
    </row>
    <row r="689" spans="1:28" s="55" customFormat="1" ht="17.55" hidden="1" customHeight="1">
      <c r="A689" s="673"/>
      <c r="B689" s="654" t="s">
        <v>141</v>
      </c>
      <c r="C689" s="581"/>
      <c r="D689" s="178" t="str">
        <f>серпень!D612</f>
        <v>факт. нат.п-ки 2023</v>
      </c>
      <c r="E689" s="11"/>
      <c r="F689" s="12"/>
      <c r="G689" s="12"/>
      <c r="H689" s="12"/>
      <c r="I689" s="12"/>
      <c r="J689" s="12"/>
      <c r="K689" s="12"/>
      <c r="L689" s="65">
        <f>SUM(F689:K689)</f>
        <v>0</v>
      </c>
      <c r="M689" s="65">
        <f>L689/6</f>
        <v>0</v>
      </c>
      <c r="N689" s="12"/>
      <c r="O689" s="12"/>
      <c r="P689" s="12"/>
      <c r="Q689" s="12"/>
      <c r="R689" s="12"/>
      <c r="S689" s="12"/>
      <c r="T689" s="65">
        <f>SUM(N689:S689)</f>
        <v>0</v>
      </c>
      <c r="U689" s="66">
        <f>T689+L689</f>
        <v>0</v>
      </c>
      <c r="V689" s="67"/>
      <c r="W689" s="38">
        <f>V689-U689</f>
        <v>0</v>
      </c>
      <c r="X689" s="47"/>
      <c r="Y689" s="48"/>
      <c r="Z689" s="48"/>
      <c r="AA689" s="48"/>
      <c r="AB689" s="48"/>
    </row>
    <row r="690" spans="1:28" s="48" customFormat="1" ht="18" hidden="1" customHeight="1">
      <c r="A690" s="673"/>
      <c r="B690" s="581"/>
      <c r="C690" s="581"/>
      <c r="D690" s="178" t="str">
        <f>серпень!D613</f>
        <v>факт. нат.п-ки 2024</v>
      </c>
      <c r="E690" s="11"/>
      <c r="F690" s="12"/>
      <c r="G690" s="12"/>
      <c r="H690" s="12"/>
      <c r="I690" s="12"/>
      <c r="J690" s="12"/>
      <c r="K690" s="12"/>
      <c r="L690" s="65">
        <f>SUM(F690:K690)</f>
        <v>0</v>
      </c>
      <c r="M690" s="65">
        <f>L690/6</f>
        <v>0</v>
      </c>
      <c r="N690" s="11"/>
      <c r="O690" s="11"/>
      <c r="P690" s="11"/>
      <c r="Q690" s="11"/>
      <c r="R690" s="11"/>
      <c r="S690" s="11"/>
      <c r="T690" s="65">
        <f>SUM(N690:S690)</f>
        <v>0</v>
      </c>
      <c r="U690" s="66">
        <f>T690+L690</f>
        <v>0</v>
      </c>
      <c r="V690" s="67"/>
      <c r="W690" s="38">
        <f>V690-U690</f>
        <v>0</v>
      </c>
      <c r="X690" s="47"/>
    </row>
    <row r="691" spans="1:28" s="48" customFormat="1" ht="18" hidden="1" customHeight="1">
      <c r="A691" s="673"/>
      <c r="B691" s="581"/>
      <c r="C691" s="581"/>
      <c r="D691" s="178" t="str">
        <f>серпень!D614</f>
        <v>факт. нат.п-ки 2025</v>
      </c>
      <c r="E691" s="11"/>
      <c r="F691" s="12"/>
      <c r="G691" s="12"/>
      <c r="H691" s="12"/>
      <c r="I691" s="12"/>
      <c r="J691" s="12"/>
      <c r="K691" s="12"/>
      <c r="L691" s="65">
        <f>SUM(F691:K691)</f>
        <v>0</v>
      </c>
      <c r="M691" s="65">
        <f>L691/6</f>
        <v>0</v>
      </c>
      <c r="N691" s="12"/>
      <c r="O691" s="12"/>
      <c r="P691" s="12"/>
      <c r="Q691" s="12"/>
      <c r="R691" s="12"/>
      <c r="S691" s="11"/>
      <c r="T691" s="65">
        <f>SUM(N691:S691)</f>
        <v>0</v>
      </c>
      <c r="U691" s="66">
        <f>T691+L691</f>
        <v>0</v>
      </c>
      <c r="V691" s="11"/>
      <c r="W691" s="38">
        <f>V691-U691</f>
        <v>0</v>
      </c>
      <c r="X691" s="47"/>
    </row>
    <row r="692" spans="1:28" s="51" customFormat="1" ht="18" hidden="1" customHeight="1">
      <c r="A692" s="673"/>
      <c r="B692" s="581"/>
      <c r="C692" s="581"/>
      <c r="D692" s="187" t="str">
        <f>серпень!D615</f>
        <v>тариф, грн.</v>
      </c>
      <c r="E692" s="49"/>
      <c r="F692" s="49">
        <v>0</v>
      </c>
      <c r="G692" s="49">
        <v>0</v>
      </c>
      <c r="H692" s="49">
        <v>0</v>
      </c>
      <c r="I692" s="49">
        <v>0</v>
      </c>
      <c r="J692" s="49">
        <v>0</v>
      </c>
      <c r="K692" s="49">
        <v>0</v>
      </c>
      <c r="L692" s="49" t="e">
        <f>L693/L691*1000</f>
        <v>#DIV/0!</v>
      </c>
      <c r="M692" s="49" t="e">
        <f>M693/M691*1000</f>
        <v>#DIV/0!</v>
      </c>
      <c r="N692" s="49">
        <v>0</v>
      </c>
      <c r="O692" s="49">
        <v>0</v>
      </c>
      <c r="P692" s="49">
        <v>0</v>
      </c>
      <c r="Q692" s="49">
        <v>0</v>
      </c>
      <c r="R692" s="49">
        <v>0</v>
      </c>
      <c r="S692" s="49">
        <v>0</v>
      </c>
      <c r="T692" s="49" t="e">
        <f>T693/T691*1000</f>
        <v>#DIV/0!</v>
      </c>
      <c r="U692" s="49" t="e">
        <f>U693/U691*1000</f>
        <v>#DIV/0!</v>
      </c>
      <c r="V692" s="68" t="e">
        <f>V693/V691*1000</f>
        <v>#DIV/0!</v>
      </c>
      <c r="W692" s="14" t="e">
        <f>W693/W691*1000</f>
        <v>#DIV/0!</v>
      </c>
      <c r="X692" s="59"/>
    </row>
    <row r="693" spans="1:28" s="130" customFormat="1" ht="18" hidden="1" customHeight="1">
      <c r="A693" s="673"/>
      <c r="B693" s="581"/>
      <c r="C693" s="581"/>
      <c r="D693" s="191" t="str">
        <f>серпень!D616</f>
        <v>сума, тис.грн.</v>
      </c>
      <c r="E693" s="52"/>
      <c r="F693" s="52">
        <f>F691*F692/1000</f>
        <v>0</v>
      </c>
      <c r="G693" s="52">
        <f t="shared" ref="G693" si="818">G691*G692/1000</f>
        <v>0</v>
      </c>
      <c r="H693" s="52">
        <f t="shared" ref="H693" si="819">H691*H692/1000</f>
        <v>0</v>
      </c>
      <c r="I693" s="52">
        <f t="shared" ref="I693" si="820">I691*I692/1000</f>
        <v>0</v>
      </c>
      <c r="J693" s="52">
        <f t="shared" ref="J693" si="821">J691*J692/1000</f>
        <v>0</v>
      </c>
      <c r="K693" s="52">
        <f t="shared" ref="K693" si="822">K691*K692/1000</f>
        <v>0</v>
      </c>
      <c r="L693" s="69">
        <f>SUM(F693:K693)</f>
        <v>0</v>
      </c>
      <c r="M693" s="69">
        <f>L693/6</f>
        <v>0</v>
      </c>
      <c r="N693" s="52">
        <f>N691*N692/1000</f>
        <v>0</v>
      </c>
      <c r="O693" s="52">
        <f t="shared" ref="O693" si="823">O691*O692/1000</f>
        <v>0</v>
      </c>
      <c r="P693" s="52">
        <f t="shared" ref="P693" si="824">P691*P692/1000</f>
        <v>0</v>
      </c>
      <c r="Q693" s="52">
        <f t="shared" ref="Q693" si="825">Q691*Q692/1000</f>
        <v>0</v>
      </c>
      <c r="R693" s="52">
        <f t="shared" ref="R693" si="826">R691*R692/1000</f>
        <v>0</v>
      </c>
      <c r="S693" s="52">
        <f t="shared" ref="S693" si="827">S691*S692/1000</f>
        <v>0</v>
      </c>
      <c r="T693" s="69">
        <f>SUM(N693:S693)</f>
        <v>0</v>
      </c>
      <c r="U693" s="69">
        <f>T693+L693</f>
        <v>0</v>
      </c>
      <c r="V693" s="70">
        <f>V694+V695</f>
        <v>0</v>
      </c>
      <c r="W693" s="53">
        <f>V693-U693</f>
        <v>0</v>
      </c>
    </row>
    <row r="694" spans="1:28" s="130" customFormat="1" ht="18" hidden="1" customHeight="1">
      <c r="A694" s="673"/>
      <c r="B694" s="581"/>
      <c r="C694" s="581"/>
      <c r="D694" s="174" t="str">
        <f>серпень!D617</f>
        <v>дотація</v>
      </c>
      <c r="E694" s="56"/>
      <c r="F694" s="52"/>
      <c r="G694" s="52"/>
      <c r="H694" s="52"/>
      <c r="I694" s="52"/>
      <c r="J694" s="52"/>
      <c r="K694" s="52"/>
      <c r="L694" s="69">
        <f>SUM(F694:K694)</f>
        <v>0</v>
      </c>
      <c r="M694" s="69">
        <f>L694/6</f>
        <v>0</v>
      </c>
      <c r="N694" s="52"/>
      <c r="O694" s="52"/>
      <c r="P694" s="52"/>
      <c r="Q694" s="52"/>
      <c r="R694" s="52"/>
      <c r="S694" s="52"/>
      <c r="T694" s="69">
        <f>SUM(N694:S694)</f>
        <v>0</v>
      </c>
      <c r="U694" s="69">
        <f>T694+L694</f>
        <v>0</v>
      </c>
      <c r="V694" s="70">
        <v>0</v>
      </c>
      <c r="W694" s="53">
        <f>V694-U694</f>
        <v>0</v>
      </c>
    </row>
    <row r="695" spans="1:28" s="130" customFormat="1" ht="18" hidden="1" customHeight="1">
      <c r="A695" s="673"/>
      <c r="B695" s="581"/>
      <c r="C695" s="581"/>
      <c r="D695" s="174" t="str">
        <f>серпень!D618</f>
        <v>місцевий (план), тис.грн</v>
      </c>
      <c r="E695" s="56"/>
      <c r="F695" s="52"/>
      <c r="G695" s="52"/>
      <c r="H695" s="52"/>
      <c r="I695" s="52"/>
      <c r="J695" s="52"/>
      <c r="K695" s="52"/>
      <c r="L695" s="69">
        <f>SUM(F695:K695)</f>
        <v>0</v>
      </c>
      <c r="M695" s="69">
        <f>L695/6</f>
        <v>0</v>
      </c>
      <c r="N695" s="52"/>
      <c r="O695" s="52"/>
      <c r="P695" s="52"/>
      <c r="Q695" s="52"/>
      <c r="R695" s="52"/>
      <c r="S695" s="52"/>
      <c r="T695" s="69">
        <f>SUM(N695:S695)</f>
        <v>0</v>
      </c>
      <c r="U695" s="69">
        <f>T695+L695</f>
        <v>0</v>
      </c>
      <c r="V695" s="70"/>
      <c r="W695" s="53">
        <f>V695-U695</f>
        <v>0</v>
      </c>
    </row>
    <row r="696" spans="1:28" s="48" customFormat="1" ht="18" hidden="1" customHeight="1">
      <c r="A696" s="673"/>
      <c r="B696" s="581"/>
      <c r="C696" s="581"/>
      <c r="D696" s="178" t="str">
        <f>серпень!D619</f>
        <v>касові нат.п-ки 2025</v>
      </c>
      <c r="E696" s="11"/>
      <c r="F696" s="11"/>
      <c r="G696" s="11"/>
      <c r="H696" s="11"/>
      <c r="I696" s="11"/>
      <c r="J696" s="11"/>
      <c r="K696" s="11"/>
      <c r="L696" s="65">
        <f>SUM(F696:K696)</f>
        <v>0</v>
      </c>
      <c r="M696" s="65">
        <f>L696/6</f>
        <v>0</v>
      </c>
      <c r="N696" s="11"/>
      <c r="O696" s="11"/>
      <c r="P696" s="11"/>
      <c r="Q696" s="11"/>
      <c r="R696" s="11"/>
      <c r="S696" s="11"/>
      <c r="T696" s="65">
        <f>SUM(N696:S696)</f>
        <v>0</v>
      </c>
      <c r="U696" s="65">
        <f>T696+L696</f>
        <v>0</v>
      </c>
      <c r="V696" s="11">
        <f>V691</f>
        <v>0</v>
      </c>
      <c r="W696" s="38">
        <f>V696-U696</f>
        <v>0</v>
      </c>
      <c r="X696" s="47">
        <f>U691-U696</f>
        <v>0</v>
      </c>
    </row>
    <row r="697" spans="1:28" s="51" customFormat="1" ht="18" hidden="1" customHeight="1">
      <c r="A697" s="673"/>
      <c r="B697" s="581"/>
      <c r="C697" s="581"/>
      <c r="D697" s="187" t="str">
        <f>серпень!D620</f>
        <v>тариф, грн.</v>
      </c>
      <c r="E697" s="49" t="e">
        <f>E698/E696*1000</f>
        <v>#DIV/0!</v>
      </c>
      <c r="F697" s="49">
        <v>0</v>
      </c>
      <c r="G697" s="49">
        <v>0</v>
      </c>
      <c r="H697" s="49">
        <v>0</v>
      </c>
      <c r="I697" s="49">
        <v>0</v>
      </c>
      <c r="J697" s="49">
        <v>0</v>
      </c>
      <c r="K697" s="49">
        <v>0</v>
      </c>
      <c r="L697" s="49" t="e">
        <f>L698/L696*1000</f>
        <v>#DIV/0!</v>
      </c>
      <c r="M697" s="49" t="e">
        <f>M698/M696*1000</f>
        <v>#DIV/0!</v>
      </c>
      <c r="N697" s="49">
        <v>0</v>
      </c>
      <c r="O697" s="49">
        <v>0</v>
      </c>
      <c r="P697" s="49">
        <v>0</v>
      </c>
      <c r="Q697" s="49">
        <v>0</v>
      </c>
      <c r="R697" s="49">
        <v>0</v>
      </c>
      <c r="S697" s="49">
        <v>0</v>
      </c>
      <c r="T697" s="49" t="e">
        <f>T698/T696*1000</f>
        <v>#DIV/0!</v>
      </c>
      <c r="U697" s="49" t="e">
        <f>U698/U696*1000</f>
        <v>#DIV/0!</v>
      </c>
      <c r="V697" s="68" t="e">
        <f>V698/V696*1000</f>
        <v>#DIV/0!</v>
      </c>
      <c r="W697" s="14" t="e">
        <f>W698/W696*1000</f>
        <v>#DIV/0!</v>
      </c>
      <c r="X697" s="59"/>
    </row>
    <row r="698" spans="1:28" s="126" customFormat="1" ht="18" hidden="1" customHeight="1">
      <c r="A698" s="673"/>
      <c r="B698" s="581"/>
      <c r="C698" s="581"/>
      <c r="D698" s="198" t="str">
        <f>серпень!D621</f>
        <v>касові видатки, тис.грн.</v>
      </c>
      <c r="E698" s="71"/>
      <c r="F698" s="61">
        <f>F696*F697/1000</f>
        <v>0</v>
      </c>
      <c r="G698" s="61">
        <f t="shared" ref="G698" si="828">G696*G697/1000</f>
        <v>0</v>
      </c>
      <c r="H698" s="61">
        <f t="shared" ref="H698" si="829">H696*H697/1000</f>
        <v>0</v>
      </c>
      <c r="I698" s="61">
        <f t="shared" ref="I698" si="830">I696*I697/1000</f>
        <v>0</v>
      </c>
      <c r="J698" s="61">
        <f t="shared" ref="J698" si="831">J696*J697/1000</f>
        <v>0</v>
      </c>
      <c r="K698" s="61">
        <f t="shared" ref="K698" si="832">K696*K697/1000</f>
        <v>0</v>
      </c>
      <c r="L698" s="61">
        <f>SUM(F698:K698)</f>
        <v>0</v>
      </c>
      <c r="M698" s="61">
        <f>L698/6</f>
        <v>0</v>
      </c>
      <c r="N698" s="61">
        <f>N696*N697/1000</f>
        <v>0</v>
      </c>
      <c r="O698" s="61">
        <f t="shared" ref="O698" si="833">O696*O697/1000</f>
        <v>0</v>
      </c>
      <c r="P698" s="61">
        <f t="shared" ref="P698" si="834">P696*P697/1000</f>
        <v>0</v>
      </c>
      <c r="Q698" s="61">
        <f t="shared" ref="Q698" si="835">Q696*Q697/1000</f>
        <v>0</v>
      </c>
      <c r="R698" s="61">
        <f t="shared" ref="R698" si="836">R696*R697/1000</f>
        <v>0</v>
      </c>
      <c r="S698" s="61">
        <f t="shared" ref="S698" si="837">S696*S697/1000</f>
        <v>0</v>
      </c>
      <c r="T698" s="61">
        <f>SUM(N698:S698)</f>
        <v>0</v>
      </c>
      <c r="U698" s="61">
        <f>T698+L698</f>
        <v>0</v>
      </c>
      <c r="V698" s="61">
        <f>V693</f>
        <v>0</v>
      </c>
      <c r="W698" s="72">
        <f>V698-U698</f>
        <v>0</v>
      </c>
      <c r="X698" s="63">
        <f>U693-U698</f>
        <v>0</v>
      </c>
    </row>
    <row r="699" spans="1:28" s="126" customFormat="1" ht="18" hidden="1" customHeight="1">
      <c r="A699" s="673"/>
      <c r="B699" s="581"/>
      <c r="C699" s="581"/>
      <c r="D699" s="201" t="str">
        <f>серпень!D622</f>
        <v>дотація</v>
      </c>
      <c r="E699" s="71"/>
      <c r="F699" s="61"/>
      <c r="G699" s="61"/>
      <c r="H699" s="61"/>
      <c r="I699" s="61"/>
      <c r="J699" s="61"/>
      <c r="K699" s="61"/>
      <c r="L699" s="61">
        <f>SUM(F699:K699)</f>
        <v>0</v>
      </c>
      <c r="M699" s="61">
        <f>L699/6</f>
        <v>0</v>
      </c>
      <c r="N699" s="61"/>
      <c r="O699" s="61"/>
      <c r="P699" s="61"/>
      <c r="Q699" s="61"/>
      <c r="R699" s="61"/>
      <c r="S699" s="61"/>
      <c r="T699" s="61">
        <f>SUM(N699:S699)</f>
        <v>0</v>
      </c>
      <c r="U699" s="61">
        <f>T699+L699</f>
        <v>0</v>
      </c>
      <c r="V699" s="61">
        <f>V694</f>
        <v>0</v>
      </c>
      <c r="W699" s="72">
        <f>V699-U699</f>
        <v>0</v>
      </c>
      <c r="X699" s="63"/>
    </row>
    <row r="700" spans="1:28" s="126" customFormat="1" ht="18" hidden="1" customHeight="1">
      <c r="A700" s="673"/>
      <c r="B700" s="581"/>
      <c r="C700" s="581"/>
      <c r="D700" s="201" t="str">
        <f>серпень!D623</f>
        <v xml:space="preserve">місцевий </v>
      </c>
      <c r="E700" s="71"/>
      <c r="F700" s="61">
        <f t="shared" ref="F700:K700" si="838">F698-F699</f>
        <v>0</v>
      </c>
      <c r="G700" s="61">
        <f t="shared" si="838"/>
        <v>0</v>
      </c>
      <c r="H700" s="61">
        <f t="shared" si="838"/>
        <v>0</v>
      </c>
      <c r="I700" s="61">
        <f t="shared" si="838"/>
        <v>0</v>
      </c>
      <c r="J700" s="61">
        <f t="shared" si="838"/>
        <v>0</v>
      </c>
      <c r="K700" s="61">
        <f t="shared" si="838"/>
        <v>0</v>
      </c>
      <c r="L700" s="61">
        <f>SUM(F700:K700)</f>
        <v>0</v>
      </c>
      <c r="M700" s="61">
        <f>L700/6</f>
        <v>0</v>
      </c>
      <c r="N700" s="61">
        <f t="shared" ref="N700:S700" si="839">N698-N699</f>
        <v>0</v>
      </c>
      <c r="O700" s="61">
        <f t="shared" si="839"/>
        <v>0</v>
      </c>
      <c r="P700" s="61">
        <f t="shared" si="839"/>
        <v>0</v>
      </c>
      <c r="Q700" s="61">
        <f t="shared" si="839"/>
        <v>0</v>
      </c>
      <c r="R700" s="61">
        <f t="shared" si="839"/>
        <v>0</v>
      </c>
      <c r="S700" s="61">
        <f t="shared" si="839"/>
        <v>0</v>
      </c>
      <c r="T700" s="61">
        <f>SUM(N700:S700)</f>
        <v>0</v>
      </c>
      <c r="U700" s="61">
        <f>T700+L700</f>
        <v>0</v>
      </c>
      <c r="V700" s="61">
        <f>V695</f>
        <v>0</v>
      </c>
      <c r="W700" s="72">
        <f>V700-U700</f>
        <v>0</v>
      </c>
      <c r="X700" s="63">
        <f>U695-U700</f>
        <v>0</v>
      </c>
    </row>
    <row r="701" spans="1:28" s="43" customFormat="1" ht="18" hidden="1" customHeight="1">
      <c r="A701" s="673"/>
      <c r="B701" s="581"/>
      <c r="C701" s="581"/>
      <c r="D701" s="202" t="str">
        <f>серпень!D624</f>
        <v>план</v>
      </c>
      <c r="E701" s="42"/>
      <c r="F701" s="42">
        <f t="shared" ref="F701:K701" si="840">F695</f>
        <v>0</v>
      </c>
      <c r="G701" s="42">
        <f t="shared" si="840"/>
        <v>0</v>
      </c>
      <c r="H701" s="42">
        <f t="shared" si="840"/>
        <v>0</v>
      </c>
      <c r="I701" s="42">
        <f t="shared" si="840"/>
        <v>0</v>
      </c>
      <c r="J701" s="42">
        <f t="shared" si="840"/>
        <v>0</v>
      </c>
      <c r="K701" s="42">
        <f t="shared" si="840"/>
        <v>0</v>
      </c>
      <c r="L701" s="42">
        <f>SUM(F701:K701)</f>
        <v>0</v>
      </c>
      <c r="M701" s="42">
        <f>L701/6</f>
        <v>0</v>
      </c>
      <c r="N701" s="42">
        <f t="shared" ref="N701:S701" si="841">N695+N694</f>
        <v>0</v>
      </c>
      <c r="O701" s="42">
        <f t="shared" si="841"/>
        <v>0</v>
      </c>
      <c r="P701" s="42">
        <f t="shared" si="841"/>
        <v>0</v>
      </c>
      <c r="Q701" s="42">
        <f t="shared" si="841"/>
        <v>0</v>
      </c>
      <c r="R701" s="42">
        <f t="shared" si="841"/>
        <v>0</v>
      </c>
      <c r="S701" s="42">
        <f t="shared" si="841"/>
        <v>0</v>
      </c>
      <c r="T701" s="42">
        <f>SUM(N701:S701)</f>
        <v>0</v>
      </c>
      <c r="U701" s="42">
        <f>T701+L701</f>
        <v>0</v>
      </c>
      <c r="V701" s="42">
        <f>V698</f>
        <v>0</v>
      </c>
      <c r="W701" s="42">
        <f>V701-U701</f>
        <v>0</v>
      </c>
    </row>
    <row r="702" spans="1:28" s="43" customFormat="1" ht="18" hidden="1" customHeight="1">
      <c r="A702" s="673"/>
      <c r="B702" s="581"/>
      <c r="C702" s="581"/>
      <c r="D702" s="202" t="str">
        <f>серпень!D625</f>
        <v xml:space="preserve">відхилення </v>
      </c>
      <c r="E702" s="42"/>
      <c r="F702" s="42">
        <f t="shared" ref="F702:K702" si="842">F698-F701</f>
        <v>0</v>
      </c>
      <c r="G702" s="42">
        <f t="shared" si="842"/>
        <v>0</v>
      </c>
      <c r="H702" s="42">
        <f t="shared" si="842"/>
        <v>0</v>
      </c>
      <c r="I702" s="42">
        <f t="shared" si="842"/>
        <v>0</v>
      </c>
      <c r="J702" s="42">
        <f t="shared" si="842"/>
        <v>0</v>
      </c>
      <c r="K702" s="42">
        <f t="shared" si="842"/>
        <v>0</v>
      </c>
      <c r="L702" s="42"/>
      <c r="M702" s="42"/>
      <c r="N702" s="42">
        <f t="shared" ref="N702:S702" si="843">N698-N701</f>
        <v>0</v>
      </c>
      <c r="O702" s="42">
        <f t="shared" si="843"/>
        <v>0</v>
      </c>
      <c r="P702" s="42">
        <f t="shared" si="843"/>
        <v>0</v>
      </c>
      <c r="Q702" s="42">
        <f t="shared" si="843"/>
        <v>0</v>
      </c>
      <c r="R702" s="42">
        <f t="shared" si="843"/>
        <v>0</v>
      </c>
      <c r="S702" s="42">
        <f t="shared" si="843"/>
        <v>0</v>
      </c>
      <c r="T702" s="42"/>
      <c r="U702" s="42"/>
      <c r="V702" s="42"/>
      <c r="W702" s="42"/>
    </row>
    <row r="703" spans="1:28" s="43" customFormat="1" ht="18" hidden="1" customHeight="1">
      <c r="A703" s="673"/>
      <c r="B703" s="581"/>
      <c r="C703" s="581"/>
      <c r="D703" s="202" t="str">
        <f>серпень!D626</f>
        <v>відхилення з наростаючим</v>
      </c>
      <c r="E703" s="42"/>
      <c r="F703" s="42">
        <f>F702</f>
        <v>0</v>
      </c>
      <c r="G703" s="42">
        <f>G702+F703</f>
        <v>0</v>
      </c>
      <c r="H703" s="42">
        <f>H702+G703</f>
        <v>0</v>
      </c>
      <c r="I703" s="42">
        <f>I702+H703</f>
        <v>0</v>
      </c>
      <c r="J703" s="42">
        <f>J702+I703</f>
        <v>0</v>
      </c>
      <c r="K703" s="42">
        <f>K702+J703</f>
        <v>0</v>
      </c>
      <c r="L703" s="42"/>
      <c r="M703" s="42"/>
      <c r="N703" s="42">
        <f>N702+K703</f>
        <v>0</v>
      </c>
      <c r="O703" s="42">
        <f>O702+N703</f>
        <v>0</v>
      </c>
      <c r="P703" s="42">
        <f>P702+O703</f>
        <v>0</v>
      </c>
      <c r="Q703" s="42">
        <f>Q702+P703</f>
        <v>0</v>
      </c>
      <c r="R703" s="42">
        <f>R702+Q703</f>
        <v>0</v>
      </c>
      <c r="S703" s="42">
        <f>S702+R703</f>
        <v>0</v>
      </c>
      <c r="T703" s="42"/>
      <c r="U703" s="42"/>
      <c r="V703" s="42"/>
      <c r="W703" s="42"/>
    </row>
    <row r="704" spans="1:28" s="47" customFormat="1" ht="18" hidden="1" customHeight="1">
      <c r="A704" s="673"/>
      <c r="B704" s="585" t="s">
        <v>88</v>
      </c>
      <c r="C704" s="586"/>
      <c r="D704" s="178" t="str">
        <f>серпень!D627</f>
        <v>факт. нат.п-ки 2023</v>
      </c>
      <c r="E704" s="11"/>
      <c r="F704" s="12">
        <f>F719+F734</f>
        <v>0</v>
      </c>
      <c r="G704" s="12">
        <f t="shared" ref="G704:K704" si="844">G719+G734</f>
        <v>0</v>
      </c>
      <c r="H704" s="12">
        <f t="shared" si="844"/>
        <v>0</v>
      </c>
      <c r="I704" s="12">
        <f t="shared" si="844"/>
        <v>0</v>
      </c>
      <c r="J704" s="12">
        <f t="shared" si="844"/>
        <v>0</v>
      </c>
      <c r="K704" s="12">
        <f t="shared" si="844"/>
        <v>0</v>
      </c>
      <c r="L704" s="65">
        <f>SUM(F704:K704)</f>
        <v>0</v>
      </c>
      <c r="M704" s="65">
        <f>L704/6</f>
        <v>0</v>
      </c>
      <c r="N704" s="12">
        <f>N719+N734</f>
        <v>0</v>
      </c>
      <c r="O704" s="12">
        <f t="shared" ref="O704:S704" si="845">O719+O734</f>
        <v>0</v>
      </c>
      <c r="P704" s="12">
        <f t="shared" si="845"/>
        <v>0</v>
      </c>
      <c r="Q704" s="12">
        <f t="shared" si="845"/>
        <v>0</v>
      </c>
      <c r="R704" s="12">
        <f t="shared" si="845"/>
        <v>0</v>
      </c>
      <c r="S704" s="12">
        <f t="shared" si="845"/>
        <v>0</v>
      </c>
      <c r="T704" s="65">
        <f>SUM(N704:S704)</f>
        <v>0</v>
      </c>
      <c r="U704" s="66">
        <f>T704+L704</f>
        <v>0</v>
      </c>
      <c r="V704" s="67"/>
      <c r="W704" s="38">
        <f>V704-U704</f>
        <v>0</v>
      </c>
    </row>
    <row r="705" spans="1:23" s="47" customFormat="1" ht="18" hidden="1" customHeight="1">
      <c r="A705" s="673"/>
      <c r="B705" s="587"/>
      <c r="C705" s="588"/>
      <c r="D705" s="178" t="str">
        <f>серпень!D628</f>
        <v>факт. нат.п-ки 2024</v>
      </c>
      <c r="E705" s="11"/>
      <c r="F705" s="12">
        <f t="shared" ref="F705:K706" si="846">F720+F735</f>
        <v>0</v>
      </c>
      <c r="G705" s="12">
        <f t="shared" si="846"/>
        <v>0</v>
      </c>
      <c r="H705" s="12">
        <f t="shared" si="846"/>
        <v>0</v>
      </c>
      <c r="I705" s="12">
        <f t="shared" si="846"/>
        <v>0</v>
      </c>
      <c r="J705" s="12">
        <f t="shared" si="846"/>
        <v>0</v>
      </c>
      <c r="K705" s="12">
        <f t="shared" si="846"/>
        <v>0</v>
      </c>
      <c r="L705" s="65">
        <f>SUM(F705:K705)</f>
        <v>0</v>
      </c>
      <c r="M705" s="65">
        <f>L705/6</f>
        <v>0</v>
      </c>
      <c r="N705" s="11">
        <f t="shared" ref="N705:S705" si="847">N720+N735</f>
        <v>0</v>
      </c>
      <c r="O705" s="11">
        <f t="shared" si="847"/>
        <v>0</v>
      </c>
      <c r="P705" s="11">
        <f t="shared" si="847"/>
        <v>0</v>
      </c>
      <c r="Q705" s="11">
        <f t="shared" si="847"/>
        <v>0</v>
      </c>
      <c r="R705" s="11">
        <f t="shared" si="847"/>
        <v>0</v>
      </c>
      <c r="S705" s="11">
        <f t="shared" si="847"/>
        <v>0</v>
      </c>
      <c r="T705" s="65">
        <f>SUM(N705:S705)</f>
        <v>0</v>
      </c>
      <c r="U705" s="66">
        <f>T705+L705</f>
        <v>0</v>
      </c>
      <c r="V705" s="67"/>
      <c r="W705" s="38">
        <f>V705-U705</f>
        <v>0</v>
      </c>
    </row>
    <row r="706" spans="1:23" s="47" customFormat="1" ht="18" hidden="1" customHeight="1">
      <c r="A706" s="673"/>
      <c r="B706" s="587"/>
      <c r="C706" s="588"/>
      <c r="D706" s="178" t="str">
        <f>серпень!D629</f>
        <v>факт. нат.п-ки 2025</v>
      </c>
      <c r="E706" s="11"/>
      <c r="F706" s="12">
        <f t="shared" si="846"/>
        <v>0</v>
      </c>
      <c r="G706" s="12">
        <f t="shared" si="846"/>
        <v>0</v>
      </c>
      <c r="H706" s="12">
        <f t="shared" si="846"/>
        <v>0</v>
      </c>
      <c r="I706" s="12">
        <f t="shared" si="846"/>
        <v>0</v>
      </c>
      <c r="J706" s="12">
        <f t="shared" si="846"/>
        <v>0</v>
      </c>
      <c r="K706" s="12">
        <f t="shared" si="846"/>
        <v>0</v>
      </c>
      <c r="L706" s="65">
        <f>SUM(F706:K706)</f>
        <v>0</v>
      </c>
      <c r="M706" s="65">
        <f>L706/6</f>
        <v>0</v>
      </c>
      <c r="N706" s="12">
        <f t="shared" ref="N706:S706" si="848">N721+N736</f>
        <v>0</v>
      </c>
      <c r="O706" s="12">
        <f t="shared" si="848"/>
        <v>0</v>
      </c>
      <c r="P706" s="12">
        <f t="shared" si="848"/>
        <v>0</v>
      </c>
      <c r="Q706" s="12">
        <f t="shared" si="848"/>
        <v>0</v>
      </c>
      <c r="R706" s="12">
        <f t="shared" si="848"/>
        <v>0</v>
      </c>
      <c r="S706" s="11">
        <f t="shared" si="848"/>
        <v>0</v>
      </c>
      <c r="T706" s="65">
        <f>SUM(N706:S706)</f>
        <v>0</v>
      </c>
      <c r="U706" s="66">
        <f>T706+L706</f>
        <v>0</v>
      </c>
      <c r="V706" s="11"/>
      <c r="W706" s="38">
        <f>V706-U706</f>
        <v>0</v>
      </c>
    </row>
    <row r="707" spans="1:23" s="47" customFormat="1" ht="18" hidden="1" customHeight="1">
      <c r="A707" s="673"/>
      <c r="B707" s="587"/>
      <c r="C707" s="588"/>
      <c r="D707" s="187" t="str">
        <f>серпень!D630</f>
        <v>тариф, грн.</v>
      </c>
      <c r="E707" s="49"/>
      <c r="F707" s="49" t="e">
        <f>F708/F706*1000</f>
        <v>#DIV/0!</v>
      </c>
      <c r="G707" s="49" t="e">
        <f t="shared" ref="G707:J707" si="849">G708/G706*1000</f>
        <v>#DIV/0!</v>
      </c>
      <c r="H707" s="49" t="e">
        <f t="shared" si="849"/>
        <v>#DIV/0!</v>
      </c>
      <c r="I707" s="49" t="e">
        <f t="shared" si="849"/>
        <v>#DIV/0!</v>
      </c>
      <c r="J707" s="49" t="e">
        <f t="shared" si="849"/>
        <v>#DIV/0!</v>
      </c>
      <c r="K707" s="49" t="e">
        <f>K708/K706*1000</f>
        <v>#DIV/0!</v>
      </c>
      <c r="L707" s="49" t="e">
        <f>L708/L706*1000</f>
        <v>#DIV/0!</v>
      </c>
      <c r="M707" s="49" t="e">
        <f>M708/M706*1000</f>
        <v>#DIV/0!</v>
      </c>
      <c r="N707" s="49" t="e">
        <f>N708/N706*1000</f>
        <v>#DIV/0!</v>
      </c>
      <c r="O707" s="49" t="e">
        <f t="shared" ref="O707" si="850">O708/O706*1000</f>
        <v>#DIV/0!</v>
      </c>
      <c r="P707" s="49" t="e">
        <f t="shared" ref="P707" si="851">P708/P706*1000</f>
        <v>#DIV/0!</v>
      </c>
      <c r="Q707" s="49" t="e">
        <f t="shared" ref="Q707" si="852">Q708/Q706*1000</f>
        <v>#DIV/0!</v>
      </c>
      <c r="R707" s="49" t="e">
        <f t="shared" ref="R707" si="853">R708/R706*1000</f>
        <v>#DIV/0!</v>
      </c>
      <c r="S707" s="49" t="e">
        <f>S708/S706*1000</f>
        <v>#DIV/0!</v>
      </c>
      <c r="T707" s="49" t="e">
        <f>T708/T706*1000</f>
        <v>#DIV/0!</v>
      </c>
      <c r="U707" s="49" t="e">
        <f>U708/U706*1000</f>
        <v>#DIV/0!</v>
      </c>
      <c r="V707" s="68" t="e">
        <f>V708/V706*1000</f>
        <v>#DIV/0!</v>
      </c>
      <c r="W707" s="14" t="e">
        <f>W708/W706*1000</f>
        <v>#DIV/0!</v>
      </c>
    </row>
    <row r="708" spans="1:23" s="47" customFormat="1" ht="18" hidden="1" customHeight="1">
      <c r="A708" s="673"/>
      <c r="B708" s="587"/>
      <c r="C708" s="588"/>
      <c r="D708" s="191" t="str">
        <f>серпень!D631</f>
        <v>сума, тис.грн.</v>
      </c>
      <c r="E708" s="52"/>
      <c r="F708" s="52">
        <f>F723+F738</f>
        <v>0</v>
      </c>
      <c r="G708" s="52">
        <f t="shared" ref="G708:K708" si="854">G723+G738</f>
        <v>0</v>
      </c>
      <c r="H708" s="52">
        <f t="shared" si="854"/>
        <v>0</v>
      </c>
      <c r="I708" s="52">
        <f t="shared" si="854"/>
        <v>0</v>
      </c>
      <c r="J708" s="52">
        <f t="shared" si="854"/>
        <v>0</v>
      </c>
      <c r="K708" s="52">
        <f t="shared" si="854"/>
        <v>0</v>
      </c>
      <c r="L708" s="69">
        <f>SUM(F708:K708)</f>
        <v>0</v>
      </c>
      <c r="M708" s="69">
        <f>L708/6</f>
        <v>0</v>
      </c>
      <c r="N708" s="52">
        <f>N723+N738</f>
        <v>0</v>
      </c>
      <c r="O708" s="52">
        <f t="shared" ref="O708:S708" si="855">O723+O738</f>
        <v>0</v>
      </c>
      <c r="P708" s="52">
        <f t="shared" si="855"/>
        <v>0</v>
      </c>
      <c r="Q708" s="52">
        <f t="shared" si="855"/>
        <v>0</v>
      </c>
      <c r="R708" s="52">
        <f t="shared" si="855"/>
        <v>0</v>
      </c>
      <c r="S708" s="52">
        <f t="shared" si="855"/>
        <v>0</v>
      </c>
      <c r="T708" s="69">
        <f>SUM(N708:S708)</f>
        <v>0</v>
      </c>
      <c r="U708" s="69">
        <f>T708+L708</f>
        <v>0</v>
      </c>
      <c r="V708" s="70">
        <f t="shared" ref="V708" si="856">V723+V738</f>
        <v>0</v>
      </c>
      <c r="W708" s="53">
        <f>V708-U708</f>
        <v>0</v>
      </c>
    </row>
    <row r="709" spans="1:23" s="47" customFormat="1" ht="18" hidden="1" customHeight="1">
      <c r="A709" s="673"/>
      <c r="B709" s="587"/>
      <c r="C709" s="588"/>
      <c r="D709" s="174" t="str">
        <f>серпень!D632</f>
        <v>дотація</v>
      </c>
      <c r="E709" s="56"/>
      <c r="F709" s="52">
        <f t="shared" ref="F709:K710" si="857">F724+F739</f>
        <v>0</v>
      </c>
      <c r="G709" s="52">
        <f t="shared" si="857"/>
        <v>0</v>
      </c>
      <c r="H709" s="52">
        <f t="shared" si="857"/>
        <v>0</v>
      </c>
      <c r="I709" s="52">
        <f t="shared" si="857"/>
        <v>0</v>
      </c>
      <c r="J709" s="52">
        <f t="shared" si="857"/>
        <v>0</v>
      </c>
      <c r="K709" s="52">
        <f t="shared" si="857"/>
        <v>0</v>
      </c>
      <c r="L709" s="69">
        <f>SUM(F709:K709)</f>
        <v>0</v>
      </c>
      <c r="M709" s="69">
        <f>L709/6</f>
        <v>0</v>
      </c>
      <c r="N709" s="52">
        <f t="shared" ref="N709:S709" si="858">N724+N739</f>
        <v>0</v>
      </c>
      <c r="O709" s="52">
        <f t="shared" si="858"/>
        <v>0</v>
      </c>
      <c r="P709" s="52">
        <f t="shared" si="858"/>
        <v>0</v>
      </c>
      <c r="Q709" s="52">
        <f t="shared" si="858"/>
        <v>0</v>
      </c>
      <c r="R709" s="52">
        <f t="shared" si="858"/>
        <v>0</v>
      </c>
      <c r="S709" s="52">
        <f t="shared" si="858"/>
        <v>0</v>
      </c>
      <c r="T709" s="69">
        <f>SUM(N709:S709)</f>
        <v>0</v>
      </c>
      <c r="U709" s="69">
        <f>T709+L709</f>
        <v>0</v>
      </c>
      <c r="V709" s="70">
        <f t="shared" ref="V709" si="859">V724+V739</f>
        <v>0</v>
      </c>
      <c r="W709" s="53">
        <f>V709-U709</f>
        <v>0</v>
      </c>
    </row>
    <row r="710" spans="1:23" s="47" customFormat="1" ht="18" hidden="1" customHeight="1">
      <c r="A710" s="673"/>
      <c r="B710" s="587"/>
      <c r="C710" s="588"/>
      <c r="D710" s="174" t="str">
        <f>серпень!D633</f>
        <v>місцевий (план), тис.грн</v>
      </c>
      <c r="E710" s="56"/>
      <c r="F710" s="52">
        <f t="shared" si="857"/>
        <v>0</v>
      </c>
      <c r="G710" s="52">
        <f t="shared" si="857"/>
        <v>0</v>
      </c>
      <c r="H710" s="52">
        <f t="shared" si="857"/>
        <v>0</v>
      </c>
      <c r="I710" s="52">
        <f t="shared" si="857"/>
        <v>0</v>
      </c>
      <c r="J710" s="52">
        <f t="shared" si="857"/>
        <v>0</v>
      </c>
      <c r="K710" s="52">
        <f t="shared" si="857"/>
        <v>0</v>
      </c>
      <c r="L710" s="69">
        <f>SUM(F710:K710)</f>
        <v>0</v>
      </c>
      <c r="M710" s="69">
        <f>L710/6</f>
        <v>0</v>
      </c>
      <c r="N710" s="52">
        <f t="shared" ref="N710:S711" si="860">N725+N740</f>
        <v>0</v>
      </c>
      <c r="O710" s="52">
        <f t="shared" si="860"/>
        <v>0</v>
      </c>
      <c r="P710" s="52">
        <f t="shared" si="860"/>
        <v>0</v>
      </c>
      <c r="Q710" s="52">
        <f t="shared" si="860"/>
        <v>0</v>
      </c>
      <c r="R710" s="52">
        <f t="shared" si="860"/>
        <v>0</v>
      </c>
      <c r="S710" s="52">
        <f t="shared" si="860"/>
        <v>0</v>
      </c>
      <c r="T710" s="69">
        <f>SUM(N710:S710)</f>
        <v>0</v>
      </c>
      <c r="U710" s="69">
        <f>T710+L710</f>
        <v>0</v>
      </c>
      <c r="V710" s="70">
        <f t="shared" ref="V710" si="861">V725+V740</f>
        <v>0</v>
      </c>
      <c r="W710" s="53">
        <f>V710-U710</f>
        <v>0</v>
      </c>
    </row>
    <row r="711" spans="1:23" s="47" customFormat="1" ht="18" hidden="1" customHeight="1">
      <c r="A711" s="673"/>
      <c r="B711" s="587"/>
      <c r="C711" s="588"/>
      <c r="D711" s="178" t="str">
        <f>серпень!D634</f>
        <v>касові нат.п-ки 2025</v>
      </c>
      <c r="E711" s="11"/>
      <c r="F711" s="11">
        <f>F726+F741</f>
        <v>0</v>
      </c>
      <c r="G711" s="11">
        <f t="shared" ref="G711:K711" si="862">G726+G741</f>
        <v>0</v>
      </c>
      <c r="H711" s="11">
        <f t="shared" si="862"/>
        <v>0</v>
      </c>
      <c r="I711" s="11">
        <f t="shared" si="862"/>
        <v>0</v>
      </c>
      <c r="J711" s="11">
        <f t="shared" si="862"/>
        <v>0</v>
      </c>
      <c r="K711" s="11">
        <f t="shared" si="862"/>
        <v>0</v>
      </c>
      <c r="L711" s="65">
        <f>SUM(F711:K711)</f>
        <v>0</v>
      </c>
      <c r="M711" s="65">
        <f>L711/6</f>
        <v>0</v>
      </c>
      <c r="N711" s="11">
        <f>N726+N741</f>
        <v>0</v>
      </c>
      <c r="O711" s="11">
        <f t="shared" si="860"/>
        <v>0</v>
      </c>
      <c r="P711" s="11">
        <f t="shared" si="860"/>
        <v>0</v>
      </c>
      <c r="Q711" s="11">
        <f t="shared" si="860"/>
        <v>0</v>
      </c>
      <c r="R711" s="11">
        <f t="shared" si="860"/>
        <v>0</v>
      </c>
      <c r="S711" s="11">
        <f t="shared" si="860"/>
        <v>0</v>
      </c>
      <c r="T711" s="65">
        <f>SUM(N711:S711)</f>
        <v>0</v>
      </c>
      <c r="U711" s="65">
        <f>T711+L711</f>
        <v>0</v>
      </c>
      <c r="V711" s="11">
        <f>V706</f>
        <v>0</v>
      </c>
      <c r="W711" s="38">
        <f>V711-U711</f>
        <v>0</v>
      </c>
    </row>
    <row r="712" spans="1:23" s="47" customFormat="1" ht="18" hidden="1" customHeight="1">
      <c r="A712" s="673"/>
      <c r="B712" s="587"/>
      <c r="C712" s="588"/>
      <c r="D712" s="187" t="str">
        <f>серпень!D635</f>
        <v>тариф, грн.</v>
      </c>
      <c r="E712" s="49" t="e">
        <f>E713/E711*1000</f>
        <v>#DIV/0!</v>
      </c>
      <c r="F712" s="49" t="e">
        <f>F713/F711*1000</f>
        <v>#DIV/0!</v>
      </c>
      <c r="G712" s="49" t="e">
        <f t="shared" ref="G712" si="863">G713/G711*1000</f>
        <v>#DIV/0!</v>
      </c>
      <c r="H712" s="49" t="e">
        <f t="shared" ref="H712" si="864">H713/H711*1000</f>
        <v>#DIV/0!</v>
      </c>
      <c r="I712" s="49" t="e">
        <f t="shared" ref="I712" si="865">I713/I711*1000</f>
        <v>#DIV/0!</v>
      </c>
      <c r="J712" s="49" t="e">
        <f t="shared" ref="J712" si="866">J713/J711*1000</f>
        <v>#DIV/0!</v>
      </c>
      <c r="K712" s="49" t="e">
        <f>K713/K711*1000</f>
        <v>#DIV/0!</v>
      </c>
      <c r="L712" s="49" t="e">
        <f>L713/L711*1000</f>
        <v>#DIV/0!</v>
      </c>
      <c r="M712" s="49" t="e">
        <f>M713/M711*1000</f>
        <v>#DIV/0!</v>
      </c>
      <c r="N712" s="49" t="e">
        <f>N713/N711*1000</f>
        <v>#DIV/0!</v>
      </c>
      <c r="O712" s="49" t="e">
        <f t="shared" ref="O712" si="867">O713/O711*1000</f>
        <v>#DIV/0!</v>
      </c>
      <c r="P712" s="49" t="e">
        <f t="shared" ref="P712" si="868">P713/P711*1000</f>
        <v>#DIV/0!</v>
      </c>
      <c r="Q712" s="49" t="e">
        <f t="shared" ref="Q712" si="869">Q713/Q711*1000</f>
        <v>#DIV/0!</v>
      </c>
      <c r="R712" s="49" t="e">
        <f t="shared" ref="R712" si="870">R713/R711*1000</f>
        <v>#DIV/0!</v>
      </c>
      <c r="S712" s="49" t="e">
        <f>S713/S711*1000</f>
        <v>#DIV/0!</v>
      </c>
      <c r="T712" s="49" t="e">
        <f>T713/T711*1000</f>
        <v>#DIV/0!</v>
      </c>
      <c r="U712" s="49" t="e">
        <f>U713/U711*1000</f>
        <v>#DIV/0!</v>
      </c>
      <c r="V712" s="68" t="e">
        <f>V713/V711*1000</f>
        <v>#DIV/0!</v>
      </c>
      <c r="W712" s="14" t="e">
        <f>W713/W711*1000</f>
        <v>#DIV/0!</v>
      </c>
    </row>
    <row r="713" spans="1:23" s="47" customFormat="1" ht="18" hidden="1" customHeight="1">
      <c r="A713" s="673"/>
      <c r="B713" s="587"/>
      <c r="C713" s="588"/>
      <c r="D713" s="198" t="str">
        <f>серпень!D636</f>
        <v>касові видатки, тис.грн.</v>
      </c>
      <c r="E713" s="71"/>
      <c r="F713" s="61">
        <f>F728+F743</f>
        <v>0</v>
      </c>
      <c r="G713" s="61">
        <f t="shared" ref="G713:K713" si="871">G728+G743</f>
        <v>0</v>
      </c>
      <c r="H713" s="61">
        <f t="shared" si="871"/>
        <v>0</v>
      </c>
      <c r="I713" s="61">
        <f t="shared" si="871"/>
        <v>0</v>
      </c>
      <c r="J713" s="61">
        <f t="shared" si="871"/>
        <v>0</v>
      </c>
      <c r="K713" s="61">
        <f t="shared" si="871"/>
        <v>0</v>
      </c>
      <c r="L713" s="61">
        <f>SUM(F713:K713)</f>
        <v>0</v>
      </c>
      <c r="M713" s="61">
        <f>L713/6</f>
        <v>0</v>
      </c>
      <c r="N713" s="61">
        <f>N728+N743</f>
        <v>0</v>
      </c>
      <c r="O713" s="61">
        <f t="shared" ref="O713:S713" si="872">O728+O743</f>
        <v>0</v>
      </c>
      <c r="P713" s="61">
        <f t="shared" si="872"/>
        <v>0</v>
      </c>
      <c r="Q713" s="61">
        <f t="shared" si="872"/>
        <v>0</v>
      </c>
      <c r="R713" s="61">
        <f t="shared" si="872"/>
        <v>0</v>
      </c>
      <c r="S713" s="61">
        <f t="shared" si="872"/>
        <v>0</v>
      </c>
      <c r="T713" s="61">
        <f>SUM(N713:S713)</f>
        <v>0</v>
      </c>
      <c r="U713" s="61">
        <f>T713+L713</f>
        <v>0</v>
      </c>
      <c r="V713" s="61">
        <f t="shared" ref="V713" si="873">V728+V743</f>
        <v>0</v>
      </c>
      <c r="W713" s="72">
        <f>V713-U713</f>
        <v>0</v>
      </c>
    </row>
    <row r="714" spans="1:23" s="47" customFormat="1" ht="18" hidden="1" customHeight="1">
      <c r="A714" s="673"/>
      <c r="B714" s="587"/>
      <c r="C714" s="588"/>
      <c r="D714" s="201" t="str">
        <f>серпень!D637</f>
        <v>дотація</v>
      </c>
      <c r="E714" s="71"/>
      <c r="F714" s="61">
        <f t="shared" ref="F714:K715" si="874">F729+F744</f>
        <v>0</v>
      </c>
      <c r="G714" s="61">
        <f t="shared" si="874"/>
        <v>0</v>
      </c>
      <c r="H714" s="61">
        <f t="shared" si="874"/>
        <v>0</v>
      </c>
      <c r="I714" s="61">
        <f t="shared" si="874"/>
        <v>0</v>
      </c>
      <c r="J714" s="61">
        <f t="shared" si="874"/>
        <v>0</v>
      </c>
      <c r="K714" s="61">
        <f t="shared" si="874"/>
        <v>0</v>
      </c>
      <c r="L714" s="61">
        <f>SUM(F714:K714)</f>
        <v>0</v>
      </c>
      <c r="M714" s="61">
        <f>L714/6</f>
        <v>0</v>
      </c>
      <c r="N714" s="61">
        <f t="shared" ref="N714:S714" si="875">N729+N744</f>
        <v>0</v>
      </c>
      <c r="O714" s="61">
        <f t="shared" si="875"/>
        <v>0</v>
      </c>
      <c r="P714" s="61">
        <f t="shared" si="875"/>
        <v>0</v>
      </c>
      <c r="Q714" s="61">
        <f t="shared" si="875"/>
        <v>0</v>
      </c>
      <c r="R714" s="61">
        <f t="shared" si="875"/>
        <v>0</v>
      </c>
      <c r="S714" s="61">
        <f t="shared" si="875"/>
        <v>0</v>
      </c>
      <c r="T714" s="61">
        <f>SUM(N714:S714)</f>
        <v>0</v>
      </c>
      <c r="U714" s="61">
        <f>T714+L714</f>
        <v>0</v>
      </c>
      <c r="V714" s="61">
        <f t="shared" ref="V714" si="876">V729+V744</f>
        <v>0</v>
      </c>
      <c r="W714" s="72">
        <f>V714-U714</f>
        <v>0</v>
      </c>
    </row>
    <row r="715" spans="1:23" s="47" customFormat="1" ht="18" hidden="1" customHeight="1">
      <c r="A715" s="673"/>
      <c r="B715" s="587"/>
      <c r="C715" s="588"/>
      <c r="D715" s="201" t="str">
        <f>серпень!D638</f>
        <v xml:space="preserve">місцевий </v>
      </c>
      <c r="E715" s="71"/>
      <c r="F715" s="61">
        <f t="shared" si="874"/>
        <v>0</v>
      </c>
      <c r="G715" s="61">
        <f t="shared" si="874"/>
        <v>0</v>
      </c>
      <c r="H715" s="61">
        <f t="shared" si="874"/>
        <v>0</v>
      </c>
      <c r="I715" s="61">
        <f t="shared" si="874"/>
        <v>0</v>
      </c>
      <c r="J715" s="61">
        <f t="shared" si="874"/>
        <v>0</v>
      </c>
      <c r="K715" s="61">
        <f t="shared" si="874"/>
        <v>0</v>
      </c>
      <c r="L715" s="61">
        <f>SUM(F715:K715)</f>
        <v>0</v>
      </c>
      <c r="M715" s="61">
        <f>L715/6</f>
        <v>0</v>
      </c>
      <c r="N715" s="61">
        <f t="shared" ref="N715:S715" si="877">N730+N745</f>
        <v>0</v>
      </c>
      <c r="O715" s="61">
        <f t="shared" si="877"/>
        <v>0</v>
      </c>
      <c r="P715" s="61">
        <f t="shared" si="877"/>
        <v>0</v>
      </c>
      <c r="Q715" s="61">
        <f t="shared" si="877"/>
        <v>0</v>
      </c>
      <c r="R715" s="61">
        <f t="shared" si="877"/>
        <v>0</v>
      </c>
      <c r="S715" s="61">
        <f t="shared" si="877"/>
        <v>0</v>
      </c>
      <c r="T715" s="61">
        <f>SUM(N715:S715)</f>
        <v>0</v>
      </c>
      <c r="U715" s="61">
        <f>T715+L715</f>
        <v>0</v>
      </c>
      <c r="V715" s="61">
        <f t="shared" ref="V715" si="878">V730+V745</f>
        <v>0</v>
      </c>
      <c r="W715" s="72">
        <f>V715-U715</f>
        <v>0</v>
      </c>
    </row>
    <row r="716" spans="1:23" s="47" customFormat="1" ht="18" hidden="1" customHeight="1">
      <c r="A716" s="673"/>
      <c r="B716" s="587"/>
      <c r="C716" s="588"/>
      <c r="D716" s="202" t="str">
        <f>серпень!D639</f>
        <v>план</v>
      </c>
      <c r="E716" s="42"/>
      <c r="F716" s="42">
        <f t="shared" ref="F716:K716" si="879">F710</f>
        <v>0</v>
      </c>
      <c r="G716" s="42">
        <f t="shared" si="879"/>
        <v>0</v>
      </c>
      <c r="H716" s="42">
        <f t="shared" si="879"/>
        <v>0</v>
      </c>
      <c r="I716" s="42">
        <f t="shared" si="879"/>
        <v>0</v>
      </c>
      <c r="J716" s="42">
        <f t="shared" si="879"/>
        <v>0</v>
      </c>
      <c r="K716" s="42">
        <f t="shared" si="879"/>
        <v>0</v>
      </c>
      <c r="L716" s="42">
        <f>SUM(F716:K716)</f>
        <v>0</v>
      </c>
      <c r="M716" s="42">
        <f>L716/6</f>
        <v>0</v>
      </c>
      <c r="N716" s="42">
        <f t="shared" ref="N716:S716" si="880">N710+N709</f>
        <v>0</v>
      </c>
      <c r="O716" s="42">
        <f t="shared" si="880"/>
        <v>0</v>
      </c>
      <c r="P716" s="42">
        <f t="shared" si="880"/>
        <v>0</v>
      </c>
      <c r="Q716" s="42">
        <f t="shared" si="880"/>
        <v>0</v>
      </c>
      <c r="R716" s="42">
        <f t="shared" si="880"/>
        <v>0</v>
      </c>
      <c r="S716" s="42">
        <f t="shared" si="880"/>
        <v>0</v>
      </c>
      <c r="T716" s="42">
        <f>SUM(N716:S716)</f>
        <v>0</v>
      </c>
      <c r="U716" s="42">
        <f>T716+L716</f>
        <v>0</v>
      </c>
      <c r="V716" s="42">
        <f>V713</f>
        <v>0</v>
      </c>
      <c r="W716" s="42">
        <f>V716-U716</f>
        <v>0</v>
      </c>
    </row>
    <row r="717" spans="1:23" s="47" customFormat="1" ht="18" hidden="1" customHeight="1">
      <c r="A717" s="673"/>
      <c r="B717" s="587"/>
      <c r="C717" s="588"/>
      <c r="D717" s="202" t="str">
        <f>серпень!D640</f>
        <v xml:space="preserve">відхилення </v>
      </c>
      <c r="E717" s="42"/>
      <c r="F717" s="42">
        <f t="shared" ref="F717:K717" si="881">F713-F716</f>
        <v>0</v>
      </c>
      <c r="G717" s="42">
        <f t="shared" si="881"/>
        <v>0</v>
      </c>
      <c r="H717" s="42">
        <f t="shared" si="881"/>
        <v>0</v>
      </c>
      <c r="I717" s="42">
        <f t="shared" si="881"/>
        <v>0</v>
      </c>
      <c r="J717" s="42">
        <f t="shared" si="881"/>
        <v>0</v>
      </c>
      <c r="K717" s="42">
        <f t="shared" si="881"/>
        <v>0</v>
      </c>
      <c r="L717" s="42"/>
      <c r="M717" s="42"/>
      <c r="N717" s="42">
        <f t="shared" ref="N717:S717" si="882">N713-N716</f>
        <v>0</v>
      </c>
      <c r="O717" s="42">
        <f t="shared" si="882"/>
        <v>0</v>
      </c>
      <c r="P717" s="42">
        <f t="shared" si="882"/>
        <v>0</v>
      </c>
      <c r="Q717" s="42">
        <f t="shared" si="882"/>
        <v>0</v>
      </c>
      <c r="R717" s="42">
        <f t="shared" si="882"/>
        <v>0</v>
      </c>
      <c r="S717" s="42">
        <f t="shared" si="882"/>
        <v>0</v>
      </c>
      <c r="T717" s="42"/>
      <c r="U717" s="42"/>
      <c r="V717" s="42"/>
      <c r="W717" s="42"/>
    </row>
    <row r="718" spans="1:23" s="47" customFormat="1" ht="18" hidden="1" customHeight="1">
      <c r="A718" s="673"/>
      <c r="B718" s="589"/>
      <c r="C718" s="590"/>
      <c r="D718" s="202" t="str">
        <f>серпень!D641</f>
        <v>відхилення з наростаючим</v>
      </c>
      <c r="E718" s="42"/>
      <c r="F718" s="42">
        <f>F717</f>
        <v>0</v>
      </c>
      <c r="G718" s="42">
        <f>G717+F718</f>
        <v>0</v>
      </c>
      <c r="H718" s="42">
        <f>H717+G718</f>
        <v>0</v>
      </c>
      <c r="I718" s="42">
        <f>I717+H718</f>
        <v>0</v>
      </c>
      <c r="J718" s="42">
        <f>J717+I718</f>
        <v>0</v>
      </c>
      <c r="K718" s="42">
        <f>K717+J718</f>
        <v>0</v>
      </c>
      <c r="L718" s="42"/>
      <c r="M718" s="42"/>
      <c r="N718" s="42">
        <f>N717+K718</f>
        <v>0</v>
      </c>
      <c r="O718" s="42">
        <f>O717+N718</f>
        <v>0</v>
      </c>
      <c r="P718" s="42">
        <f>P717+O718</f>
        <v>0</v>
      </c>
      <c r="Q718" s="42">
        <f>Q717+P718</f>
        <v>0</v>
      </c>
      <c r="R718" s="42">
        <f>R717+Q718</f>
        <v>0</v>
      </c>
      <c r="S718" s="42">
        <f>S717+R718</f>
        <v>0</v>
      </c>
      <c r="T718" s="42"/>
      <c r="U718" s="42"/>
      <c r="V718" s="42"/>
      <c r="W718" s="42"/>
    </row>
    <row r="719" spans="1:23" s="47" customFormat="1" ht="18" hidden="1" customHeight="1">
      <c r="A719" s="673"/>
      <c r="B719" s="580" t="s">
        <v>125</v>
      </c>
      <c r="C719" s="575"/>
      <c r="D719" s="178" t="str">
        <f>серпень!D642</f>
        <v>факт. нат.п-ки 2023</v>
      </c>
      <c r="E719" s="11"/>
      <c r="F719" s="12"/>
      <c r="G719" s="12"/>
      <c r="H719" s="12"/>
      <c r="I719" s="12"/>
      <c r="J719" s="12"/>
      <c r="K719" s="12"/>
      <c r="L719" s="65">
        <f>SUM(F719:K719)</f>
        <v>0</v>
      </c>
      <c r="M719" s="65">
        <f>L719/6</f>
        <v>0</v>
      </c>
      <c r="N719" s="12"/>
      <c r="O719" s="12"/>
      <c r="P719" s="12"/>
      <c r="Q719" s="12"/>
      <c r="R719" s="12"/>
      <c r="S719" s="12"/>
      <c r="T719" s="65">
        <f>SUM(N719:S719)</f>
        <v>0</v>
      </c>
      <c r="U719" s="66">
        <f>T719+L719</f>
        <v>0</v>
      </c>
      <c r="V719" s="67"/>
      <c r="W719" s="38">
        <f>V719-U719</f>
        <v>0</v>
      </c>
    </row>
    <row r="720" spans="1:23" s="47" customFormat="1" ht="18" hidden="1" customHeight="1">
      <c r="A720" s="673"/>
      <c r="B720" s="576"/>
      <c r="C720" s="577"/>
      <c r="D720" s="178" t="str">
        <f>серпень!D643</f>
        <v>факт. нат.п-ки 2024</v>
      </c>
      <c r="E720" s="11"/>
      <c r="F720" s="12"/>
      <c r="G720" s="12"/>
      <c r="H720" s="12"/>
      <c r="I720" s="12"/>
      <c r="J720" s="12"/>
      <c r="K720" s="12"/>
      <c r="L720" s="65">
        <f>SUM(F720:K720)</f>
        <v>0</v>
      </c>
      <c r="M720" s="65">
        <f>L720/6</f>
        <v>0</v>
      </c>
      <c r="N720" s="11"/>
      <c r="O720" s="11"/>
      <c r="P720" s="11"/>
      <c r="Q720" s="11"/>
      <c r="R720" s="11"/>
      <c r="S720" s="11"/>
      <c r="T720" s="65">
        <f>SUM(N720:S720)</f>
        <v>0</v>
      </c>
      <c r="U720" s="66">
        <f>T720+L720</f>
        <v>0</v>
      </c>
      <c r="V720" s="67"/>
      <c r="W720" s="38">
        <f>V720-U720</f>
        <v>0</v>
      </c>
    </row>
    <row r="721" spans="1:23" s="47" customFormat="1" ht="18" hidden="1" customHeight="1">
      <c r="A721" s="673"/>
      <c r="B721" s="576"/>
      <c r="C721" s="577"/>
      <c r="D721" s="178" t="str">
        <f>серпень!D644</f>
        <v>факт. нат.п-ки 2025</v>
      </c>
      <c r="E721" s="11"/>
      <c r="F721" s="12"/>
      <c r="G721" s="12"/>
      <c r="H721" s="12"/>
      <c r="I721" s="12"/>
      <c r="J721" s="12"/>
      <c r="K721" s="12"/>
      <c r="L721" s="65">
        <f>SUM(F721:K721)</f>
        <v>0</v>
      </c>
      <c r="M721" s="65">
        <f>L721/6</f>
        <v>0</v>
      </c>
      <c r="N721" s="12"/>
      <c r="O721" s="12"/>
      <c r="P721" s="12"/>
      <c r="Q721" s="12"/>
      <c r="R721" s="12"/>
      <c r="S721" s="11"/>
      <c r="T721" s="65">
        <f>SUM(N721:S721)</f>
        <v>0</v>
      </c>
      <c r="U721" s="66">
        <f>T721+L721</f>
        <v>0</v>
      </c>
      <c r="V721" s="11"/>
      <c r="W721" s="38">
        <f>V721-U721</f>
        <v>0</v>
      </c>
    </row>
    <row r="722" spans="1:23" s="47" customFormat="1" ht="18" hidden="1" customHeight="1">
      <c r="A722" s="673"/>
      <c r="B722" s="576"/>
      <c r="C722" s="577"/>
      <c r="D722" s="187" t="str">
        <f>серпень!D645</f>
        <v>тариф, грн.</v>
      </c>
      <c r="E722" s="49"/>
      <c r="F722" s="49">
        <v>6900</v>
      </c>
      <c r="G722" s="49">
        <v>6900</v>
      </c>
      <c r="H722" s="49">
        <v>6900</v>
      </c>
      <c r="I722" s="49">
        <v>6900</v>
      </c>
      <c r="J722" s="49">
        <v>6900</v>
      </c>
      <c r="K722" s="49">
        <v>6900</v>
      </c>
      <c r="L722" s="49" t="e">
        <f>L723/L721*1000</f>
        <v>#DIV/0!</v>
      </c>
      <c r="M722" s="49" t="e">
        <f>M723/M721*1000</f>
        <v>#DIV/0!</v>
      </c>
      <c r="N722" s="49">
        <v>6900</v>
      </c>
      <c r="O722" s="49">
        <v>6900</v>
      </c>
      <c r="P722" s="49">
        <v>6900</v>
      </c>
      <c r="Q722" s="49">
        <v>6900</v>
      </c>
      <c r="R722" s="49">
        <v>6900</v>
      </c>
      <c r="S722" s="49">
        <v>6900</v>
      </c>
      <c r="T722" s="49" t="e">
        <f>T723/T721*1000</f>
        <v>#DIV/0!</v>
      </c>
      <c r="U722" s="49" t="e">
        <f>U723/U721*1000</f>
        <v>#DIV/0!</v>
      </c>
      <c r="V722" s="68" t="e">
        <f>V723/V721*1000</f>
        <v>#DIV/0!</v>
      </c>
      <c r="W722" s="14" t="e">
        <f>W723/W721*1000</f>
        <v>#DIV/0!</v>
      </c>
    </row>
    <row r="723" spans="1:23" s="47" customFormat="1" ht="18" hidden="1" customHeight="1">
      <c r="A723" s="673"/>
      <c r="B723" s="576"/>
      <c r="C723" s="577"/>
      <c r="D723" s="191" t="str">
        <f>серпень!D646</f>
        <v>сума, тис.грн.</v>
      </c>
      <c r="E723" s="52"/>
      <c r="F723" s="52">
        <f t="shared" ref="F723:K723" si="883">F721*F722/1000</f>
        <v>0</v>
      </c>
      <c r="G723" s="52">
        <f t="shared" si="883"/>
        <v>0</v>
      </c>
      <c r="H723" s="52">
        <f t="shared" si="883"/>
        <v>0</v>
      </c>
      <c r="I723" s="52">
        <f t="shared" si="883"/>
        <v>0</v>
      </c>
      <c r="J723" s="52">
        <f t="shared" si="883"/>
        <v>0</v>
      </c>
      <c r="K723" s="52">
        <f t="shared" si="883"/>
        <v>0</v>
      </c>
      <c r="L723" s="69">
        <f>SUM(F723:K723)</f>
        <v>0</v>
      </c>
      <c r="M723" s="69">
        <f>L723/6</f>
        <v>0</v>
      </c>
      <c r="N723" s="52">
        <f t="shared" ref="N723:S723" si="884">N721*N722/1000</f>
        <v>0</v>
      </c>
      <c r="O723" s="52">
        <f t="shared" si="884"/>
        <v>0</v>
      </c>
      <c r="P723" s="52">
        <f t="shared" si="884"/>
        <v>0</v>
      </c>
      <c r="Q723" s="52">
        <f t="shared" si="884"/>
        <v>0</v>
      </c>
      <c r="R723" s="52">
        <f t="shared" si="884"/>
        <v>0</v>
      </c>
      <c r="S723" s="52">
        <f t="shared" si="884"/>
        <v>0</v>
      </c>
      <c r="T723" s="69">
        <f>SUM(N723:S723)</f>
        <v>0</v>
      </c>
      <c r="U723" s="69">
        <f>T723+L723</f>
        <v>0</v>
      </c>
      <c r="V723" s="70">
        <f>V724+V725</f>
        <v>0</v>
      </c>
      <c r="W723" s="53">
        <f>V723-U723</f>
        <v>0</v>
      </c>
    </row>
    <row r="724" spans="1:23" s="47" customFormat="1" ht="18" hidden="1" customHeight="1">
      <c r="A724" s="673"/>
      <c r="B724" s="576"/>
      <c r="C724" s="577"/>
      <c r="D724" s="174" t="str">
        <f>серпень!D647</f>
        <v>дотація</v>
      </c>
      <c r="E724" s="56"/>
      <c r="F724" s="52"/>
      <c r="G724" s="52"/>
      <c r="H724" s="52"/>
      <c r="I724" s="52"/>
      <c r="J724" s="52"/>
      <c r="K724" s="52"/>
      <c r="L724" s="69">
        <f>SUM(F724:K724)</f>
        <v>0</v>
      </c>
      <c r="M724" s="69">
        <f>L724/6</f>
        <v>0</v>
      </c>
      <c r="N724" s="52"/>
      <c r="O724" s="52"/>
      <c r="P724" s="52"/>
      <c r="Q724" s="52"/>
      <c r="R724" s="52"/>
      <c r="S724" s="52"/>
      <c r="T724" s="69">
        <f>SUM(N724:S724)</f>
        <v>0</v>
      </c>
      <c r="U724" s="69">
        <f>T724+L724</f>
        <v>0</v>
      </c>
      <c r="V724" s="70">
        <v>0</v>
      </c>
      <c r="W724" s="53">
        <f>V724-U724</f>
        <v>0</v>
      </c>
    </row>
    <row r="725" spans="1:23" s="47" customFormat="1" ht="18" hidden="1" customHeight="1">
      <c r="A725" s="673"/>
      <c r="B725" s="576"/>
      <c r="C725" s="577"/>
      <c r="D725" s="174" t="str">
        <f>серпень!D648</f>
        <v>місцевий (план), тис.грн</v>
      </c>
      <c r="E725" s="56"/>
      <c r="F725" s="52"/>
      <c r="G725" s="52"/>
      <c r="H725" s="52"/>
      <c r="I725" s="52"/>
      <c r="J725" s="52"/>
      <c r="K725" s="52"/>
      <c r="L725" s="69">
        <f>SUM(F725:K725)</f>
        <v>0</v>
      </c>
      <c r="M725" s="69">
        <f>L725/6</f>
        <v>0</v>
      </c>
      <c r="N725" s="52"/>
      <c r="O725" s="52"/>
      <c r="P725" s="52"/>
      <c r="Q725" s="52"/>
      <c r="R725" s="52"/>
      <c r="S725" s="52"/>
      <c r="T725" s="69">
        <f>SUM(N725:S725)</f>
        <v>0</v>
      </c>
      <c r="U725" s="69">
        <f>T725+L725</f>
        <v>0</v>
      </c>
      <c r="V725" s="70"/>
      <c r="W725" s="53">
        <f>V725-U725</f>
        <v>0</v>
      </c>
    </row>
    <row r="726" spans="1:23" s="47" customFormat="1" ht="18" hidden="1" customHeight="1">
      <c r="A726" s="673"/>
      <c r="B726" s="576"/>
      <c r="C726" s="577"/>
      <c r="D726" s="178" t="str">
        <f>серпень!D649</f>
        <v>касові нат.п-ки 2025</v>
      </c>
      <c r="E726" s="11"/>
      <c r="F726" s="11"/>
      <c r="G726" s="11"/>
      <c r="H726" s="11"/>
      <c r="I726" s="11"/>
      <c r="J726" s="11"/>
      <c r="K726" s="11"/>
      <c r="L726" s="65">
        <f>SUM(F726:K726)</f>
        <v>0</v>
      </c>
      <c r="M726" s="65">
        <f>L726/6</f>
        <v>0</v>
      </c>
      <c r="N726" s="11"/>
      <c r="O726" s="11"/>
      <c r="P726" s="11"/>
      <c r="Q726" s="11"/>
      <c r="R726" s="11"/>
      <c r="S726" s="11"/>
      <c r="T726" s="65">
        <f>SUM(N726:S726)</f>
        <v>0</v>
      </c>
      <c r="U726" s="65">
        <f>T726+L726</f>
        <v>0</v>
      </c>
      <c r="V726" s="11">
        <f>V721</f>
        <v>0</v>
      </c>
      <c r="W726" s="38">
        <f>V726-U726</f>
        <v>0</v>
      </c>
    </row>
    <row r="727" spans="1:23" s="47" customFormat="1" ht="18" hidden="1" customHeight="1">
      <c r="A727" s="673"/>
      <c r="B727" s="576"/>
      <c r="C727" s="577"/>
      <c r="D727" s="187" t="str">
        <f>серпень!D650</f>
        <v>тариф, грн.</v>
      </c>
      <c r="E727" s="49" t="e">
        <f>E728/E726*1000</f>
        <v>#DIV/0!</v>
      </c>
      <c r="F727" s="49">
        <v>6900</v>
      </c>
      <c r="G727" s="49">
        <v>6900</v>
      </c>
      <c r="H727" s="49">
        <v>6900</v>
      </c>
      <c r="I727" s="49">
        <v>6900</v>
      </c>
      <c r="J727" s="49">
        <v>6900</v>
      </c>
      <c r="K727" s="49">
        <v>6900</v>
      </c>
      <c r="L727" s="49" t="e">
        <f>L728/L726*1000</f>
        <v>#DIV/0!</v>
      </c>
      <c r="M727" s="49" t="e">
        <f>M728/M726*1000</f>
        <v>#DIV/0!</v>
      </c>
      <c r="N727" s="49">
        <v>6900</v>
      </c>
      <c r="O727" s="49">
        <v>6900</v>
      </c>
      <c r="P727" s="49">
        <v>6900</v>
      </c>
      <c r="Q727" s="49">
        <v>6900</v>
      </c>
      <c r="R727" s="49">
        <v>6900</v>
      </c>
      <c r="S727" s="49">
        <v>6900</v>
      </c>
      <c r="T727" s="49" t="e">
        <f>T728/T726*1000</f>
        <v>#DIV/0!</v>
      </c>
      <c r="U727" s="49" t="e">
        <f>U728/U726*1000</f>
        <v>#DIV/0!</v>
      </c>
      <c r="V727" s="68" t="e">
        <f>V728/V726*1000</f>
        <v>#DIV/0!</v>
      </c>
      <c r="W727" s="14" t="e">
        <f>W728/W726*1000</f>
        <v>#DIV/0!</v>
      </c>
    </row>
    <row r="728" spans="1:23" s="47" customFormat="1" ht="18" hidden="1" customHeight="1">
      <c r="A728" s="673"/>
      <c r="B728" s="576"/>
      <c r="C728" s="577"/>
      <c r="D728" s="198" t="str">
        <f>серпень!D651</f>
        <v>касові видатки, тис.грн.</v>
      </c>
      <c r="E728" s="71"/>
      <c r="F728" s="61">
        <f t="shared" ref="F728:K728" si="885">F726*F727/1000</f>
        <v>0</v>
      </c>
      <c r="G728" s="61">
        <f t="shared" si="885"/>
        <v>0</v>
      </c>
      <c r="H728" s="61">
        <f t="shared" si="885"/>
        <v>0</v>
      </c>
      <c r="I728" s="61">
        <f t="shared" si="885"/>
        <v>0</v>
      </c>
      <c r="J728" s="61">
        <f t="shared" si="885"/>
        <v>0</v>
      </c>
      <c r="K728" s="61">
        <f t="shared" si="885"/>
        <v>0</v>
      </c>
      <c r="L728" s="61">
        <f>SUM(F728:K728)</f>
        <v>0</v>
      </c>
      <c r="M728" s="61">
        <f>L728/6</f>
        <v>0</v>
      </c>
      <c r="N728" s="61">
        <f t="shared" ref="N728:S728" si="886">N726*N727/1000</f>
        <v>0</v>
      </c>
      <c r="O728" s="61">
        <f t="shared" si="886"/>
        <v>0</v>
      </c>
      <c r="P728" s="61">
        <f t="shared" si="886"/>
        <v>0</v>
      </c>
      <c r="Q728" s="61">
        <f t="shared" si="886"/>
        <v>0</v>
      </c>
      <c r="R728" s="61">
        <f t="shared" si="886"/>
        <v>0</v>
      </c>
      <c r="S728" s="61">
        <f t="shared" si="886"/>
        <v>0</v>
      </c>
      <c r="T728" s="61">
        <f>SUM(N728:S728)</f>
        <v>0</v>
      </c>
      <c r="U728" s="61">
        <f>T728+L728</f>
        <v>0</v>
      </c>
      <c r="V728" s="61">
        <f>V723</f>
        <v>0</v>
      </c>
      <c r="W728" s="72">
        <f>V728-U728</f>
        <v>0</v>
      </c>
    </row>
    <row r="729" spans="1:23" s="47" customFormat="1" ht="18" hidden="1" customHeight="1">
      <c r="A729" s="673"/>
      <c r="B729" s="576"/>
      <c r="C729" s="577"/>
      <c r="D729" s="201" t="str">
        <f>серпень!D652</f>
        <v>дотація</v>
      </c>
      <c r="E729" s="71"/>
      <c r="F729" s="61"/>
      <c r="G729" s="61"/>
      <c r="H729" s="61"/>
      <c r="I729" s="61"/>
      <c r="J729" s="61"/>
      <c r="K729" s="61"/>
      <c r="L729" s="61">
        <f>SUM(F729:K729)</f>
        <v>0</v>
      </c>
      <c r="M729" s="61">
        <f>L729/6</f>
        <v>0</v>
      </c>
      <c r="N729" s="61"/>
      <c r="O729" s="61"/>
      <c r="P729" s="61"/>
      <c r="Q729" s="61"/>
      <c r="R729" s="61"/>
      <c r="S729" s="61"/>
      <c r="T729" s="61">
        <f>SUM(N729:S729)</f>
        <v>0</v>
      </c>
      <c r="U729" s="61">
        <f>T729+L729</f>
        <v>0</v>
      </c>
      <c r="V729" s="61">
        <f>V724</f>
        <v>0</v>
      </c>
      <c r="W729" s="72">
        <f>V729-U729</f>
        <v>0</v>
      </c>
    </row>
    <row r="730" spans="1:23" s="47" customFormat="1" ht="18" hidden="1" customHeight="1">
      <c r="A730" s="673"/>
      <c r="B730" s="576"/>
      <c r="C730" s="577"/>
      <c r="D730" s="201" t="str">
        <f>серпень!D653</f>
        <v xml:space="preserve">місцевий </v>
      </c>
      <c r="E730" s="71"/>
      <c r="F730" s="61">
        <f t="shared" ref="F730:K730" si="887">F728-F729</f>
        <v>0</v>
      </c>
      <c r="G730" s="61">
        <f t="shared" si="887"/>
        <v>0</v>
      </c>
      <c r="H730" s="61">
        <f t="shared" si="887"/>
        <v>0</v>
      </c>
      <c r="I730" s="61">
        <f t="shared" si="887"/>
        <v>0</v>
      </c>
      <c r="J730" s="61">
        <f t="shared" si="887"/>
        <v>0</v>
      </c>
      <c r="K730" s="61">
        <f t="shared" si="887"/>
        <v>0</v>
      </c>
      <c r="L730" s="61">
        <f>SUM(F730:K730)</f>
        <v>0</v>
      </c>
      <c r="M730" s="61">
        <f>L730/6</f>
        <v>0</v>
      </c>
      <c r="N730" s="61">
        <f t="shared" ref="N730:S730" si="888">N728-N729</f>
        <v>0</v>
      </c>
      <c r="O730" s="61">
        <f t="shared" si="888"/>
        <v>0</v>
      </c>
      <c r="P730" s="61">
        <f t="shared" si="888"/>
        <v>0</v>
      </c>
      <c r="Q730" s="61">
        <f t="shared" si="888"/>
        <v>0</v>
      </c>
      <c r="R730" s="61">
        <f t="shared" si="888"/>
        <v>0</v>
      </c>
      <c r="S730" s="61">
        <f t="shared" si="888"/>
        <v>0</v>
      </c>
      <c r="T730" s="61">
        <f>SUM(N730:S730)</f>
        <v>0</v>
      </c>
      <c r="U730" s="61">
        <f>T730+L730</f>
        <v>0</v>
      </c>
      <c r="V730" s="61">
        <f>V725</f>
        <v>0</v>
      </c>
      <c r="W730" s="72">
        <f>V730-U730</f>
        <v>0</v>
      </c>
    </row>
    <row r="731" spans="1:23" s="47" customFormat="1" ht="18" hidden="1" customHeight="1">
      <c r="A731" s="673"/>
      <c r="B731" s="576"/>
      <c r="C731" s="577"/>
      <c r="D731" s="202" t="str">
        <f>серпень!D654</f>
        <v>план</v>
      </c>
      <c r="E731" s="42"/>
      <c r="F731" s="42">
        <f t="shared" ref="F731:K731" si="889">F725</f>
        <v>0</v>
      </c>
      <c r="G731" s="42">
        <f t="shared" si="889"/>
        <v>0</v>
      </c>
      <c r="H731" s="42">
        <f t="shared" si="889"/>
        <v>0</v>
      </c>
      <c r="I731" s="42">
        <f t="shared" si="889"/>
        <v>0</v>
      </c>
      <c r="J731" s="42">
        <f t="shared" si="889"/>
        <v>0</v>
      </c>
      <c r="K731" s="42">
        <f t="shared" si="889"/>
        <v>0</v>
      </c>
      <c r="L731" s="42">
        <f>SUM(F731:K731)</f>
        <v>0</v>
      </c>
      <c r="M731" s="42">
        <f>L731/6</f>
        <v>0</v>
      </c>
      <c r="N731" s="42">
        <f t="shared" ref="N731:S731" si="890">N725+N724</f>
        <v>0</v>
      </c>
      <c r="O731" s="42">
        <f t="shared" si="890"/>
        <v>0</v>
      </c>
      <c r="P731" s="42">
        <f t="shared" si="890"/>
        <v>0</v>
      </c>
      <c r="Q731" s="42">
        <f t="shared" si="890"/>
        <v>0</v>
      </c>
      <c r="R731" s="42">
        <f t="shared" si="890"/>
        <v>0</v>
      </c>
      <c r="S731" s="42">
        <f t="shared" si="890"/>
        <v>0</v>
      </c>
      <c r="T731" s="42">
        <f>SUM(N731:S731)</f>
        <v>0</v>
      </c>
      <c r="U731" s="42">
        <f>T731+L731</f>
        <v>0</v>
      </c>
      <c r="V731" s="42">
        <f>V728</f>
        <v>0</v>
      </c>
      <c r="W731" s="42">
        <f>V731-U731</f>
        <v>0</v>
      </c>
    </row>
    <row r="732" spans="1:23" s="47" customFormat="1" ht="18" hidden="1" customHeight="1">
      <c r="A732" s="673"/>
      <c r="B732" s="576"/>
      <c r="C732" s="577"/>
      <c r="D732" s="202" t="str">
        <f>серпень!D655</f>
        <v xml:space="preserve">відхилення </v>
      </c>
      <c r="E732" s="42"/>
      <c r="F732" s="42">
        <f t="shared" ref="F732:K732" si="891">F728-F731</f>
        <v>0</v>
      </c>
      <c r="G732" s="42">
        <f t="shared" si="891"/>
        <v>0</v>
      </c>
      <c r="H732" s="42">
        <f t="shared" si="891"/>
        <v>0</v>
      </c>
      <c r="I732" s="42">
        <f t="shared" si="891"/>
        <v>0</v>
      </c>
      <c r="J732" s="42">
        <f t="shared" si="891"/>
        <v>0</v>
      </c>
      <c r="K732" s="42">
        <f t="shared" si="891"/>
        <v>0</v>
      </c>
      <c r="L732" s="42"/>
      <c r="M732" s="42"/>
      <c r="N732" s="42">
        <f t="shared" ref="N732:S732" si="892">N728-N731</f>
        <v>0</v>
      </c>
      <c r="O732" s="42">
        <f t="shared" si="892"/>
        <v>0</v>
      </c>
      <c r="P732" s="42">
        <f t="shared" si="892"/>
        <v>0</v>
      </c>
      <c r="Q732" s="42">
        <f t="shared" si="892"/>
        <v>0</v>
      </c>
      <c r="R732" s="42">
        <f t="shared" si="892"/>
        <v>0</v>
      </c>
      <c r="S732" s="42">
        <f t="shared" si="892"/>
        <v>0</v>
      </c>
      <c r="T732" s="42"/>
      <c r="U732" s="42"/>
      <c r="V732" s="42"/>
      <c r="W732" s="42"/>
    </row>
    <row r="733" spans="1:23" s="47" customFormat="1" ht="18" hidden="1" customHeight="1">
      <c r="A733" s="673"/>
      <c r="B733" s="578"/>
      <c r="C733" s="579"/>
      <c r="D733" s="202" t="str">
        <f>серпень!D656</f>
        <v>відхилення з наростаючим</v>
      </c>
      <c r="E733" s="42"/>
      <c r="F733" s="42">
        <f>F732</f>
        <v>0</v>
      </c>
      <c r="G733" s="42">
        <f>G732+F733</f>
        <v>0</v>
      </c>
      <c r="H733" s="42">
        <f>H732+G733</f>
        <v>0</v>
      </c>
      <c r="I733" s="42">
        <f>I732+H733</f>
        <v>0</v>
      </c>
      <c r="J733" s="42">
        <f>J732+I733</f>
        <v>0</v>
      </c>
      <c r="K733" s="42">
        <f>K732+J733</f>
        <v>0</v>
      </c>
      <c r="L733" s="42"/>
      <c r="M733" s="42"/>
      <c r="N733" s="42">
        <f>N732+K733</f>
        <v>0</v>
      </c>
      <c r="O733" s="42">
        <f>O732+N733</f>
        <v>0</v>
      </c>
      <c r="P733" s="42">
        <f>P732+O733</f>
        <v>0</v>
      </c>
      <c r="Q733" s="42">
        <f>Q732+P733</f>
        <v>0</v>
      </c>
      <c r="R733" s="42">
        <f>R732+Q733</f>
        <v>0</v>
      </c>
      <c r="S733" s="42">
        <f>S732+R733</f>
        <v>0</v>
      </c>
      <c r="T733" s="42"/>
      <c r="U733" s="42"/>
      <c r="V733" s="42"/>
      <c r="W733" s="42"/>
    </row>
    <row r="734" spans="1:23" s="47" customFormat="1" ht="18" hidden="1" customHeight="1">
      <c r="A734" s="673"/>
      <c r="B734" s="580" t="s">
        <v>124</v>
      </c>
      <c r="C734" s="575"/>
      <c r="D734" s="178" t="str">
        <f>серпень!D657</f>
        <v>факт. нат.п-ки 2023</v>
      </c>
      <c r="E734" s="11"/>
      <c r="F734" s="12"/>
      <c r="G734" s="12"/>
      <c r="H734" s="12"/>
      <c r="I734" s="12"/>
      <c r="J734" s="12"/>
      <c r="K734" s="12"/>
      <c r="L734" s="65">
        <f>SUM(F734:K734)</f>
        <v>0</v>
      </c>
      <c r="M734" s="65">
        <f>L734/6</f>
        <v>0</v>
      </c>
      <c r="N734" s="12"/>
      <c r="O734" s="12"/>
      <c r="P734" s="12"/>
      <c r="Q734" s="12"/>
      <c r="R734" s="12"/>
      <c r="S734" s="12"/>
      <c r="T734" s="65">
        <f>SUM(N734:S734)</f>
        <v>0</v>
      </c>
      <c r="U734" s="66">
        <f>T734+L734</f>
        <v>0</v>
      </c>
      <c r="V734" s="67"/>
      <c r="W734" s="38">
        <f>V734-U734</f>
        <v>0</v>
      </c>
    </row>
    <row r="735" spans="1:23" s="47" customFormat="1" ht="18" hidden="1" customHeight="1">
      <c r="A735" s="673"/>
      <c r="B735" s="576"/>
      <c r="C735" s="577"/>
      <c r="D735" s="178" t="str">
        <f>серпень!D658</f>
        <v>факт. нат.п-ки 2024</v>
      </c>
      <c r="E735" s="11"/>
      <c r="F735" s="12"/>
      <c r="G735" s="12"/>
      <c r="H735" s="12"/>
      <c r="I735" s="12"/>
      <c r="J735" s="12"/>
      <c r="K735" s="12"/>
      <c r="L735" s="65">
        <f>SUM(F735:K735)</f>
        <v>0</v>
      </c>
      <c r="M735" s="65">
        <f>L735/6</f>
        <v>0</v>
      </c>
      <c r="N735" s="11"/>
      <c r="O735" s="11"/>
      <c r="P735" s="11"/>
      <c r="Q735" s="11"/>
      <c r="R735" s="11"/>
      <c r="S735" s="11"/>
      <c r="T735" s="65">
        <f>SUM(N735:S735)</f>
        <v>0</v>
      </c>
      <c r="U735" s="66">
        <f>T735+L735</f>
        <v>0</v>
      </c>
      <c r="V735" s="67"/>
      <c r="W735" s="38">
        <f>V735-U735</f>
        <v>0</v>
      </c>
    </row>
    <row r="736" spans="1:23" s="47" customFormat="1" ht="18" hidden="1" customHeight="1">
      <c r="A736" s="673"/>
      <c r="B736" s="576"/>
      <c r="C736" s="577"/>
      <c r="D736" s="178" t="str">
        <f>серпень!D659</f>
        <v>факт. нат.п-ки 2025</v>
      </c>
      <c r="E736" s="11"/>
      <c r="F736" s="12"/>
      <c r="G736" s="12"/>
      <c r="H736" s="12"/>
      <c r="I736" s="12"/>
      <c r="J736" s="12"/>
      <c r="K736" s="12"/>
      <c r="L736" s="65">
        <f>SUM(F736:K736)</f>
        <v>0</v>
      </c>
      <c r="M736" s="65">
        <f>L736/6</f>
        <v>0</v>
      </c>
      <c r="N736" s="12"/>
      <c r="O736" s="12"/>
      <c r="P736" s="12"/>
      <c r="Q736" s="12"/>
      <c r="R736" s="12"/>
      <c r="S736" s="11"/>
      <c r="T736" s="65">
        <f>SUM(N736:S736)</f>
        <v>0</v>
      </c>
      <c r="U736" s="66">
        <f>T736+L736</f>
        <v>0</v>
      </c>
      <c r="V736" s="11"/>
      <c r="W736" s="38">
        <f>V736-U736</f>
        <v>0</v>
      </c>
    </row>
    <row r="737" spans="1:23" s="47" customFormat="1" ht="18" hidden="1" customHeight="1">
      <c r="A737" s="673"/>
      <c r="B737" s="576"/>
      <c r="C737" s="577"/>
      <c r="D737" s="187" t="str">
        <f>серпень!D660</f>
        <v>тариф, грн.</v>
      </c>
      <c r="E737" s="49"/>
      <c r="F737" s="49">
        <v>6900</v>
      </c>
      <c r="G737" s="49">
        <v>6900</v>
      </c>
      <c r="H737" s="49">
        <v>6900</v>
      </c>
      <c r="I737" s="49">
        <v>6900</v>
      </c>
      <c r="J737" s="49">
        <v>6900</v>
      </c>
      <c r="K737" s="49">
        <v>6900</v>
      </c>
      <c r="L737" s="49" t="e">
        <f>L738/L736*1000</f>
        <v>#DIV/0!</v>
      </c>
      <c r="M737" s="49" t="e">
        <f>M738/M736*1000</f>
        <v>#DIV/0!</v>
      </c>
      <c r="N737" s="49">
        <v>6900</v>
      </c>
      <c r="O737" s="49">
        <v>6900</v>
      </c>
      <c r="P737" s="49">
        <v>6900</v>
      </c>
      <c r="Q737" s="49">
        <v>6900</v>
      </c>
      <c r="R737" s="49">
        <v>6900</v>
      </c>
      <c r="S737" s="49">
        <v>6900</v>
      </c>
      <c r="T737" s="49" t="e">
        <f>T738/T736*1000</f>
        <v>#DIV/0!</v>
      </c>
      <c r="U737" s="49" t="e">
        <f>U738/U736*1000</f>
        <v>#DIV/0!</v>
      </c>
      <c r="V737" s="68" t="e">
        <f>V738/V736*1000</f>
        <v>#DIV/0!</v>
      </c>
      <c r="W737" s="14" t="e">
        <f>W738/W736*1000</f>
        <v>#DIV/0!</v>
      </c>
    </row>
    <row r="738" spans="1:23" s="47" customFormat="1" ht="18" hidden="1" customHeight="1">
      <c r="A738" s="673"/>
      <c r="B738" s="576"/>
      <c r="C738" s="577"/>
      <c r="D738" s="191" t="str">
        <f>серпень!D661</f>
        <v>сума, тис.грн.</v>
      </c>
      <c r="E738" s="52"/>
      <c r="F738" s="52">
        <f t="shared" ref="F738:K738" si="893">F736*F737/1000</f>
        <v>0</v>
      </c>
      <c r="G738" s="52">
        <f t="shared" si="893"/>
        <v>0</v>
      </c>
      <c r="H738" s="52">
        <f t="shared" si="893"/>
        <v>0</v>
      </c>
      <c r="I738" s="52">
        <f t="shared" si="893"/>
        <v>0</v>
      </c>
      <c r="J738" s="52">
        <f t="shared" si="893"/>
        <v>0</v>
      </c>
      <c r="K738" s="52">
        <f t="shared" si="893"/>
        <v>0</v>
      </c>
      <c r="L738" s="69">
        <f>SUM(F738:K738)</f>
        <v>0</v>
      </c>
      <c r="M738" s="69">
        <f>L738/6</f>
        <v>0</v>
      </c>
      <c r="N738" s="52">
        <f t="shared" ref="N738:S738" si="894">N736*N737/1000</f>
        <v>0</v>
      </c>
      <c r="O738" s="52">
        <f t="shared" si="894"/>
        <v>0</v>
      </c>
      <c r="P738" s="52">
        <f t="shared" si="894"/>
        <v>0</v>
      </c>
      <c r="Q738" s="52">
        <f t="shared" si="894"/>
        <v>0</v>
      </c>
      <c r="R738" s="52">
        <f t="shared" si="894"/>
        <v>0</v>
      </c>
      <c r="S738" s="52">
        <f t="shared" si="894"/>
        <v>0</v>
      </c>
      <c r="T738" s="69">
        <f>SUM(N738:S738)</f>
        <v>0</v>
      </c>
      <c r="U738" s="69">
        <f>T738+L738</f>
        <v>0</v>
      </c>
      <c r="V738" s="70">
        <f>V739+V740</f>
        <v>0</v>
      </c>
      <c r="W738" s="53">
        <f>V738-U738</f>
        <v>0</v>
      </c>
    </row>
    <row r="739" spans="1:23" s="47" customFormat="1" ht="18" hidden="1" customHeight="1">
      <c r="A739" s="673"/>
      <c r="B739" s="576"/>
      <c r="C739" s="577"/>
      <c r="D739" s="174" t="str">
        <f>серпень!D662</f>
        <v>дотація</v>
      </c>
      <c r="E739" s="56"/>
      <c r="F739" s="52"/>
      <c r="G739" s="52"/>
      <c r="H739" s="52"/>
      <c r="I739" s="52"/>
      <c r="J739" s="52"/>
      <c r="K739" s="52"/>
      <c r="L739" s="69">
        <f>SUM(F739:K739)</f>
        <v>0</v>
      </c>
      <c r="M739" s="69">
        <f>L739/6</f>
        <v>0</v>
      </c>
      <c r="N739" s="52"/>
      <c r="O739" s="52"/>
      <c r="P739" s="52"/>
      <c r="Q739" s="52"/>
      <c r="R739" s="52"/>
      <c r="S739" s="52"/>
      <c r="T739" s="69">
        <f>SUM(N739:S739)</f>
        <v>0</v>
      </c>
      <c r="U739" s="69">
        <f>T739+L739</f>
        <v>0</v>
      </c>
      <c r="V739" s="70">
        <v>0</v>
      </c>
      <c r="W739" s="53">
        <f>V739-U739</f>
        <v>0</v>
      </c>
    </row>
    <row r="740" spans="1:23" s="47" customFormat="1" ht="18" hidden="1" customHeight="1">
      <c r="A740" s="673"/>
      <c r="B740" s="576"/>
      <c r="C740" s="577"/>
      <c r="D740" s="174" t="str">
        <f>серпень!D663</f>
        <v>місцевий (план), тис.грн</v>
      </c>
      <c r="E740" s="56"/>
      <c r="F740" s="52"/>
      <c r="G740" s="52"/>
      <c r="H740" s="52"/>
      <c r="I740" s="52"/>
      <c r="J740" s="52"/>
      <c r="K740" s="52"/>
      <c r="L740" s="69">
        <f>SUM(F740:K740)</f>
        <v>0</v>
      </c>
      <c r="M740" s="69">
        <f>L740/6</f>
        <v>0</v>
      </c>
      <c r="N740" s="52"/>
      <c r="O740" s="52"/>
      <c r="P740" s="52"/>
      <c r="Q740" s="52"/>
      <c r="R740" s="52"/>
      <c r="S740" s="52"/>
      <c r="T740" s="69">
        <f>SUM(N740:S740)</f>
        <v>0</v>
      </c>
      <c r="U740" s="69">
        <f>T740+L740</f>
        <v>0</v>
      </c>
      <c r="V740" s="70"/>
      <c r="W740" s="53">
        <f>V740-U740</f>
        <v>0</v>
      </c>
    </row>
    <row r="741" spans="1:23" s="47" customFormat="1" ht="18" hidden="1" customHeight="1">
      <c r="A741" s="673"/>
      <c r="B741" s="576"/>
      <c r="C741" s="577"/>
      <c r="D741" s="178" t="str">
        <f>серпень!D664</f>
        <v>касові нат.п-ки 2025</v>
      </c>
      <c r="E741" s="11"/>
      <c r="F741" s="11"/>
      <c r="G741" s="11"/>
      <c r="H741" s="11"/>
      <c r="I741" s="11"/>
      <c r="J741" s="11"/>
      <c r="K741" s="11"/>
      <c r="L741" s="65">
        <f>SUM(F741:K741)</f>
        <v>0</v>
      </c>
      <c r="M741" s="65">
        <f>L741/6</f>
        <v>0</v>
      </c>
      <c r="N741" s="11"/>
      <c r="O741" s="11"/>
      <c r="P741" s="11"/>
      <c r="Q741" s="11"/>
      <c r="R741" s="11"/>
      <c r="S741" s="11"/>
      <c r="T741" s="65">
        <f>SUM(N741:S741)</f>
        <v>0</v>
      </c>
      <c r="U741" s="65">
        <f>T741+L741</f>
        <v>0</v>
      </c>
      <c r="V741" s="11">
        <f>V736</f>
        <v>0</v>
      </c>
      <c r="W741" s="38">
        <f>V741-U741</f>
        <v>0</v>
      </c>
    </row>
    <row r="742" spans="1:23" s="47" customFormat="1" ht="18" hidden="1" customHeight="1">
      <c r="A742" s="673"/>
      <c r="B742" s="576"/>
      <c r="C742" s="577"/>
      <c r="D742" s="187" t="str">
        <f>серпень!D665</f>
        <v>тариф, грн.</v>
      </c>
      <c r="E742" s="49" t="e">
        <f>E743/E741*1000</f>
        <v>#DIV/0!</v>
      </c>
      <c r="F742" s="49">
        <v>6900</v>
      </c>
      <c r="G742" s="49">
        <v>6900</v>
      </c>
      <c r="H742" s="49">
        <v>6900</v>
      </c>
      <c r="I742" s="49">
        <v>6900</v>
      </c>
      <c r="J742" s="49">
        <v>6900</v>
      </c>
      <c r="K742" s="49">
        <v>6900</v>
      </c>
      <c r="L742" s="49" t="e">
        <f>L743/L741*1000</f>
        <v>#DIV/0!</v>
      </c>
      <c r="M742" s="49" t="e">
        <f>M743/M741*1000</f>
        <v>#DIV/0!</v>
      </c>
      <c r="N742" s="49">
        <v>6900</v>
      </c>
      <c r="O742" s="49">
        <v>6900</v>
      </c>
      <c r="P742" s="49">
        <v>6900</v>
      </c>
      <c r="Q742" s="49">
        <v>6900</v>
      </c>
      <c r="R742" s="49">
        <v>6900</v>
      </c>
      <c r="S742" s="49">
        <v>6900</v>
      </c>
      <c r="T742" s="49" t="e">
        <f>T743/T741*1000</f>
        <v>#DIV/0!</v>
      </c>
      <c r="U742" s="49" t="e">
        <f>U743/U741*1000</f>
        <v>#DIV/0!</v>
      </c>
      <c r="V742" s="68" t="e">
        <f>V743/V741*1000</f>
        <v>#DIV/0!</v>
      </c>
      <c r="W742" s="14" t="e">
        <f>W743/W741*1000</f>
        <v>#DIV/0!</v>
      </c>
    </row>
    <row r="743" spans="1:23" s="47" customFormat="1" ht="18" hidden="1" customHeight="1">
      <c r="A743" s="673"/>
      <c r="B743" s="576"/>
      <c r="C743" s="577"/>
      <c r="D743" s="198" t="str">
        <f>серпень!D666</f>
        <v>касові видатки, тис.грн.</v>
      </c>
      <c r="E743" s="71"/>
      <c r="F743" s="61">
        <f t="shared" ref="F743:K743" si="895">F741*F742/1000</f>
        <v>0</v>
      </c>
      <c r="G743" s="61">
        <f t="shared" si="895"/>
        <v>0</v>
      </c>
      <c r="H743" s="61">
        <f t="shared" si="895"/>
        <v>0</v>
      </c>
      <c r="I743" s="61">
        <f t="shared" si="895"/>
        <v>0</v>
      </c>
      <c r="J743" s="61">
        <f t="shared" si="895"/>
        <v>0</v>
      </c>
      <c r="K743" s="61">
        <f t="shared" si="895"/>
        <v>0</v>
      </c>
      <c r="L743" s="61">
        <f>SUM(F743:K743)</f>
        <v>0</v>
      </c>
      <c r="M743" s="61">
        <f>L743/6</f>
        <v>0</v>
      </c>
      <c r="N743" s="61">
        <f t="shared" ref="N743:S743" si="896">N741*N742/1000</f>
        <v>0</v>
      </c>
      <c r="O743" s="61">
        <f t="shared" si="896"/>
        <v>0</v>
      </c>
      <c r="P743" s="61">
        <f t="shared" si="896"/>
        <v>0</v>
      </c>
      <c r="Q743" s="61">
        <f t="shared" si="896"/>
        <v>0</v>
      </c>
      <c r="R743" s="61">
        <f t="shared" si="896"/>
        <v>0</v>
      </c>
      <c r="S743" s="61">
        <f t="shared" si="896"/>
        <v>0</v>
      </c>
      <c r="T743" s="61">
        <f>SUM(N743:S743)</f>
        <v>0</v>
      </c>
      <c r="U743" s="61">
        <f>T743+L743</f>
        <v>0</v>
      </c>
      <c r="V743" s="61">
        <f>V738</f>
        <v>0</v>
      </c>
      <c r="W743" s="72">
        <f>V743-U743</f>
        <v>0</v>
      </c>
    </row>
    <row r="744" spans="1:23" s="47" customFormat="1" ht="18" hidden="1" customHeight="1">
      <c r="A744" s="673"/>
      <c r="B744" s="576"/>
      <c r="C744" s="577"/>
      <c r="D744" s="201" t="str">
        <f>серпень!D667</f>
        <v>дотація</v>
      </c>
      <c r="E744" s="71"/>
      <c r="F744" s="61"/>
      <c r="G744" s="61"/>
      <c r="H744" s="61"/>
      <c r="I744" s="61"/>
      <c r="J744" s="61"/>
      <c r="K744" s="61"/>
      <c r="L744" s="61">
        <f>SUM(F744:K744)</f>
        <v>0</v>
      </c>
      <c r="M744" s="61">
        <f>L744/6</f>
        <v>0</v>
      </c>
      <c r="N744" s="61"/>
      <c r="O744" s="61"/>
      <c r="P744" s="61"/>
      <c r="Q744" s="61"/>
      <c r="R744" s="61"/>
      <c r="S744" s="61"/>
      <c r="T744" s="61">
        <f>SUM(N744:S744)</f>
        <v>0</v>
      </c>
      <c r="U744" s="61">
        <f>T744+L744</f>
        <v>0</v>
      </c>
      <c r="V744" s="61">
        <f>V739</f>
        <v>0</v>
      </c>
      <c r="W744" s="72">
        <f>V744-U744</f>
        <v>0</v>
      </c>
    </row>
    <row r="745" spans="1:23" s="47" customFormat="1" ht="18" hidden="1" customHeight="1">
      <c r="A745" s="673"/>
      <c r="B745" s="576"/>
      <c r="C745" s="577"/>
      <c r="D745" s="201" t="str">
        <f>серпень!D668</f>
        <v xml:space="preserve">місцевий </v>
      </c>
      <c r="E745" s="71"/>
      <c r="F745" s="61">
        <f t="shared" ref="F745:K745" si="897">F743-F744</f>
        <v>0</v>
      </c>
      <c r="G745" s="61">
        <f t="shared" si="897"/>
        <v>0</v>
      </c>
      <c r="H745" s="61">
        <f t="shared" si="897"/>
        <v>0</v>
      </c>
      <c r="I745" s="61">
        <f t="shared" si="897"/>
        <v>0</v>
      </c>
      <c r="J745" s="61">
        <f t="shared" si="897"/>
        <v>0</v>
      </c>
      <c r="K745" s="61">
        <f t="shared" si="897"/>
        <v>0</v>
      </c>
      <c r="L745" s="61">
        <f>SUM(F745:K745)</f>
        <v>0</v>
      </c>
      <c r="M745" s="61">
        <f>L745/6</f>
        <v>0</v>
      </c>
      <c r="N745" s="61">
        <f t="shared" ref="N745:S745" si="898">N743-N744</f>
        <v>0</v>
      </c>
      <c r="O745" s="61">
        <f t="shared" si="898"/>
        <v>0</v>
      </c>
      <c r="P745" s="61">
        <f t="shared" si="898"/>
        <v>0</v>
      </c>
      <c r="Q745" s="61">
        <f t="shared" si="898"/>
        <v>0</v>
      </c>
      <c r="R745" s="61">
        <f t="shared" si="898"/>
        <v>0</v>
      </c>
      <c r="S745" s="61">
        <f t="shared" si="898"/>
        <v>0</v>
      </c>
      <c r="T745" s="61">
        <f>SUM(N745:S745)</f>
        <v>0</v>
      </c>
      <c r="U745" s="61">
        <f>T745+L745</f>
        <v>0</v>
      </c>
      <c r="V745" s="61">
        <f>V740</f>
        <v>0</v>
      </c>
      <c r="W745" s="72">
        <f>V745-U745</f>
        <v>0</v>
      </c>
    </row>
    <row r="746" spans="1:23" s="47" customFormat="1" ht="18" hidden="1" customHeight="1">
      <c r="A746" s="673"/>
      <c r="B746" s="576"/>
      <c r="C746" s="577"/>
      <c r="D746" s="202" t="str">
        <f>серпень!D669</f>
        <v>план</v>
      </c>
      <c r="E746" s="42"/>
      <c r="F746" s="42">
        <f t="shared" ref="F746:K746" si="899">F740</f>
        <v>0</v>
      </c>
      <c r="G746" s="42">
        <f t="shared" si="899"/>
        <v>0</v>
      </c>
      <c r="H746" s="42">
        <f t="shared" si="899"/>
        <v>0</v>
      </c>
      <c r="I746" s="42">
        <f t="shared" si="899"/>
        <v>0</v>
      </c>
      <c r="J746" s="42">
        <f t="shared" si="899"/>
        <v>0</v>
      </c>
      <c r="K746" s="42">
        <f t="shared" si="899"/>
        <v>0</v>
      </c>
      <c r="L746" s="42">
        <f>SUM(F746:K746)</f>
        <v>0</v>
      </c>
      <c r="M746" s="42">
        <f>L746/6</f>
        <v>0</v>
      </c>
      <c r="N746" s="42">
        <f t="shared" ref="N746:S746" si="900">N740+N739</f>
        <v>0</v>
      </c>
      <c r="O746" s="42">
        <f t="shared" si="900"/>
        <v>0</v>
      </c>
      <c r="P746" s="42">
        <f t="shared" si="900"/>
        <v>0</v>
      </c>
      <c r="Q746" s="42">
        <f t="shared" si="900"/>
        <v>0</v>
      </c>
      <c r="R746" s="42">
        <f t="shared" si="900"/>
        <v>0</v>
      </c>
      <c r="S746" s="42">
        <f t="shared" si="900"/>
        <v>0</v>
      </c>
      <c r="T746" s="42">
        <f>SUM(N746:S746)</f>
        <v>0</v>
      </c>
      <c r="U746" s="42">
        <f>T746+L746</f>
        <v>0</v>
      </c>
      <c r="V746" s="42">
        <f>V743</f>
        <v>0</v>
      </c>
      <c r="W746" s="42">
        <f>V746-U746</f>
        <v>0</v>
      </c>
    </row>
    <row r="747" spans="1:23" s="47" customFormat="1" ht="18" hidden="1" customHeight="1">
      <c r="A747" s="673"/>
      <c r="B747" s="576"/>
      <c r="C747" s="577"/>
      <c r="D747" s="202" t="str">
        <f>серпень!D670</f>
        <v xml:space="preserve">відхилення </v>
      </c>
      <c r="E747" s="42"/>
      <c r="F747" s="42">
        <f t="shared" ref="F747:K747" si="901">F743-F746</f>
        <v>0</v>
      </c>
      <c r="G747" s="42">
        <f t="shared" si="901"/>
        <v>0</v>
      </c>
      <c r="H747" s="42">
        <f t="shared" si="901"/>
        <v>0</v>
      </c>
      <c r="I747" s="42">
        <f t="shared" si="901"/>
        <v>0</v>
      </c>
      <c r="J747" s="42">
        <f t="shared" si="901"/>
        <v>0</v>
      </c>
      <c r="K747" s="42">
        <f t="shared" si="901"/>
        <v>0</v>
      </c>
      <c r="L747" s="42"/>
      <c r="M747" s="42"/>
      <c r="N747" s="42">
        <f t="shared" ref="N747:S747" si="902">N743-N746</f>
        <v>0</v>
      </c>
      <c r="O747" s="42">
        <f t="shared" si="902"/>
        <v>0</v>
      </c>
      <c r="P747" s="42">
        <f t="shared" si="902"/>
        <v>0</v>
      </c>
      <c r="Q747" s="42">
        <f t="shared" si="902"/>
        <v>0</v>
      </c>
      <c r="R747" s="42">
        <f t="shared" si="902"/>
        <v>0</v>
      </c>
      <c r="S747" s="42">
        <f t="shared" si="902"/>
        <v>0</v>
      </c>
      <c r="T747" s="42"/>
      <c r="U747" s="42"/>
      <c r="V747" s="42"/>
      <c r="W747" s="42"/>
    </row>
    <row r="748" spans="1:23" s="47" customFormat="1" ht="18" hidden="1" customHeight="1">
      <c r="A748" s="673"/>
      <c r="B748" s="578"/>
      <c r="C748" s="579"/>
      <c r="D748" s="202" t="str">
        <f>серпень!D671</f>
        <v>відхилення з наростаючим</v>
      </c>
      <c r="E748" s="42"/>
      <c r="F748" s="42">
        <f>F747</f>
        <v>0</v>
      </c>
      <c r="G748" s="42">
        <f>G747+F748</f>
        <v>0</v>
      </c>
      <c r="H748" s="42">
        <f>H747+G748</f>
        <v>0</v>
      </c>
      <c r="I748" s="42">
        <f>I747+H748</f>
        <v>0</v>
      </c>
      <c r="J748" s="42">
        <f>J747+I748</f>
        <v>0</v>
      </c>
      <c r="K748" s="42">
        <f>K747+J748</f>
        <v>0</v>
      </c>
      <c r="L748" s="42"/>
      <c r="M748" s="42"/>
      <c r="N748" s="42">
        <f>N747+K748</f>
        <v>0</v>
      </c>
      <c r="O748" s="42">
        <f>O747+N748</f>
        <v>0</v>
      </c>
      <c r="P748" s="42">
        <f>P747+O748</f>
        <v>0</v>
      </c>
      <c r="Q748" s="42">
        <f>Q747+P748</f>
        <v>0</v>
      </c>
      <c r="R748" s="42">
        <f>R747+Q748</f>
        <v>0</v>
      </c>
      <c r="S748" s="42">
        <f>S747+R748</f>
        <v>0</v>
      </c>
      <c r="T748" s="42"/>
      <c r="U748" s="42"/>
      <c r="V748" s="42"/>
      <c r="W748" s="42"/>
    </row>
    <row r="749" spans="1:23">
      <c r="L749" s="15"/>
      <c r="M749" s="15"/>
      <c r="N749" s="15"/>
      <c r="T749" s="15"/>
      <c r="U749" s="15"/>
    </row>
    <row r="750" spans="1:23">
      <c r="L750" s="15"/>
      <c r="M750" s="15"/>
      <c r="N750" s="15"/>
      <c r="T750" s="15"/>
      <c r="U750" s="15"/>
    </row>
    <row r="751" spans="1:23">
      <c r="L751" s="15"/>
      <c r="M751" s="15"/>
      <c r="N751" s="15"/>
      <c r="T751" s="15"/>
      <c r="U751" s="15"/>
    </row>
    <row r="752" spans="1:23">
      <c r="L752" s="15"/>
      <c r="M752" s="15"/>
      <c r="N752" s="15"/>
      <c r="T752" s="15"/>
      <c r="U752" s="15"/>
    </row>
    <row r="753" spans="12:21">
      <c r="L753" s="15"/>
      <c r="M753" s="15"/>
      <c r="N753" s="15"/>
      <c r="T753" s="15"/>
      <c r="U753" s="15"/>
    </row>
    <row r="754" spans="12:21">
      <c r="L754" s="15"/>
      <c r="M754" s="15"/>
      <c r="N754" s="15"/>
      <c r="T754" s="15"/>
      <c r="U754" s="15"/>
    </row>
    <row r="755" spans="12:21">
      <c r="L755" s="15"/>
      <c r="M755" s="15"/>
      <c r="N755" s="15"/>
      <c r="T755" s="15"/>
      <c r="U755" s="15"/>
    </row>
    <row r="756" spans="12:21">
      <c r="L756" s="15"/>
      <c r="M756" s="15"/>
      <c r="N756" s="15"/>
      <c r="T756" s="15"/>
      <c r="U756" s="15"/>
    </row>
    <row r="757" spans="12:21">
      <c r="L757" s="15"/>
      <c r="M757" s="15"/>
      <c r="N757" s="15"/>
      <c r="T757" s="15"/>
      <c r="U757" s="15"/>
    </row>
    <row r="758" spans="12:21">
      <c r="L758" s="15"/>
      <c r="M758" s="15"/>
      <c r="N758" s="15"/>
      <c r="T758" s="15"/>
      <c r="U758" s="15"/>
    </row>
    <row r="759" spans="12:21">
      <c r="L759" s="15"/>
      <c r="M759" s="15"/>
      <c r="N759" s="15"/>
      <c r="T759" s="15"/>
      <c r="U759" s="15"/>
    </row>
    <row r="760" spans="12:21">
      <c r="L760" s="15"/>
      <c r="M760" s="15"/>
      <c r="N760" s="15"/>
      <c r="T760" s="15"/>
      <c r="U760" s="15"/>
    </row>
    <row r="761" spans="12:21">
      <c r="L761" s="15"/>
      <c r="M761" s="15"/>
      <c r="N761" s="15"/>
      <c r="T761" s="15"/>
      <c r="U761" s="15"/>
    </row>
    <row r="762" spans="12:21">
      <c r="L762" s="15"/>
      <c r="M762" s="15"/>
      <c r="N762" s="15"/>
      <c r="T762" s="15"/>
      <c r="U762" s="15"/>
    </row>
    <row r="763" spans="12:21">
      <c r="L763" s="15"/>
      <c r="M763" s="15"/>
      <c r="N763" s="15"/>
      <c r="T763" s="15"/>
      <c r="U763" s="15"/>
    </row>
    <row r="764" spans="12:21">
      <c r="L764" s="15"/>
      <c r="M764" s="15"/>
      <c r="N764" s="15"/>
      <c r="T764" s="15"/>
      <c r="U764" s="15"/>
    </row>
    <row r="765" spans="12:21">
      <c r="L765" s="15"/>
      <c r="M765" s="15"/>
      <c r="N765" s="15"/>
      <c r="T765" s="15"/>
      <c r="U765" s="15"/>
    </row>
    <row r="766" spans="12:21">
      <c r="L766" s="15"/>
      <c r="M766" s="15"/>
      <c r="N766" s="15"/>
      <c r="T766" s="15"/>
      <c r="U766" s="15"/>
    </row>
    <row r="767" spans="12:21">
      <c r="L767" s="15"/>
      <c r="M767" s="15"/>
      <c r="N767" s="15"/>
      <c r="T767" s="15"/>
      <c r="U767" s="15"/>
    </row>
    <row r="768" spans="12:21">
      <c r="L768" s="15"/>
      <c r="M768" s="15"/>
      <c r="N768" s="15"/>
      <c r="T768" s="15"/>
      <c r="U768" s="15"/>
    </row>
    <row r="769" spans="12:21">
      <c r="L769" s="15"/>
      <c r="M769" s="15"/>
      <c r="N769" s="15"/>
      <c r="T769" s="15"/>
      <c r="U769" s="15"/>
    </row>
    <row r="770" spans="12:21">
      <c r="L770" s="15"/>
      <c r="M770" s="15"/>
      <c r="N770" s="15"/>
      <c r="T770" s="15"/>
      <c r="U770" s="15"/>
    </row>
    <row r="771" spans="12:21">
      <c r="L771" s="15"/>
      <c r="M771" s="15"/>
      <c r="N771" s="15"/>
      <c r="T771" s="15"/>
      <c r="U771" s="15"/>
    </row>
    <row r="772" spans="12:21">
      <c r="L772" s="15"/>
      <c r="M772" s="15"/>
      <c r="N772" s="15"/>
      <c r="T772" s="15"/>
      <c r="U772" s="15"/>
    </row>
    <row r="773" spans="12:21">
      <c r="L773" s="15"/>
      <c r="M773" s="15"/>
      <c r="N773" s="15"/>
      <c r="T773" s="15"/>
      <c r="U773" s="15"/>
    </row>
    <row r="774" spans="12:21">
      <c r="L774" s="15"/>
      <c r="M774" s="15"/>
      <c r="N774" s="15"/>
      <c r="T774" s="15"/>
      <c r="U774" s="15"/>
    </row>
    <row r="775" spans="12:21">
      <c r="L775" s="15"/>
      <c r="M775" s="15"/>
      <c r="N775" s="15"/>
      <c r="T775" s="15"/>
      <c r="U775" s="15"/>
    </row>
    <row r="776" spans="12:21">
      <c r="L776" s="15"/>
      <c r="M776" s="15"/>
      <c r="N776" s="15"/>
      <c r="T776" s="15"/>
      <c r="U776" s="15"/>
    </row>
    <row r="777" spans="12:21">
      <c r="L777" s="15"/>
      <c r="M777" s="15"/>
      <c r="N777" s="15"/>
      <c r="T777" s="15"/>
      <c r="U777" s="15"/>
    </row>
    <row r="778" spans="12:21">
      <c r="L778" s="15"/>
      <c r="M778" s="15"/>
      <c r="N778" s="15"/>
      <c r="T778" s="15"/>
      <c r="U778" s="15"/>
    </row>
    <row r="779" spans="12:21">
      <c r="L779" s="15"/>
      <c r="M779" s="15"/>
      <c r="N779" s="15"/>
      <c r="T779" s="15"/>
      <c r="U779" s="15"/>
    </row>
    <row r="780" spans="12:21">
      <c r="L780" s="15"/>
      <c r="M780" s="15"/>
      <c r="N780" s="15"/>
      <c r="T780" s="15"/>
      <c r="U780" s="15"/>
    </row>
    <row r="781" spans="12:21">
      <c r="L781" s="15"/>
      <c r="M781" s="15"/>
      <c r="N781" s="15"/>
      <c r="T781" s="15"/>
      <c r="U781" s="15"/>
    </row>
    <row r="782" spans="12:21">
      <c r="L782" s="15"/>
      <c r="M782" s="15"/>
      <c r="N782" s="15"/>
      <c r="T782" s="15"/>
      <c r="U782" s="15"/>
    </row>
    <row r="783" spans="12:21">
      <c r="L783" s="15"/>
      <c r="M783" s="15"/>
      <c r="N783" s="15"/>
      <c r="T783" s="15"/>
      <c r="U783" s="15"/>
    </row>
    <row r="784" spans="12:21">
      <c r="L784" s="15"/>
      <c r="M784" s="15"/>
      <c r="N784" s="15"/>
      <c r="T784" s="15"/>
      <c r="U784" s="15"/>
    </row>
    <row r="785" spans="12:21">
      <c r="L785" s="15"/>
      <c r="M785" s="15"/>
      <c r="N785" s="15"/>
      <c r="T785" s="15"/>
      <c r="U785" s="15"/>
    </row>
    <row r="786" spans="12:21">
      <c r="L786" s="15"/>
      <c r="M786" s="15"/>
      <c r="N786" s="15"/>
      <c r="T786" s="15"/>
      <c r="U786" s="15"/>
    </row>
    <row r="787" spans="12:21">
      <c r="L787" s="15"/>
      <c r="M787" s="15"/>
      <c r="N787" s="15"/>
      <c r="T787" s="15"/>
      <c r="U787" s="15"/>
    </row>
    <row r="788" spans="12:21">
      <c r="L788" s="15"/>
      <c r="M788" s="15"/>
      <c r="N788" s="15"/>
      <c r="T788" s="15"/>
      <c r="U788" s="15"/>
    </row>
    <row r="789" spans="12:21">
      <c r="L789" s="15"/>
      <c r="M789" s="15"/>
      <c r="N789" s="15"/>
      <c r="T789" s="15"/>
      <c r="U789" s="15"/>
    </row>
    <row r="790" spans="12:21">
      <c r="L790" s="15"/>
      <c r="M790" s="15"/>
      <c r="N790" s="15"/>
      <c r="T790" s="15"/>
      <c r="U790" s="15"/>
    </row>
    <row r="791" spans="12:21">
      <c r="L791" s="15"/>
      <c r="M791" s="15"/>
      <c r="N791" s="15"/>
      <c r="T791" s="15"/>
      <c r="U791" s="15"/>
    </row>
    <row r="792" spans="12:21">
      <c r="L792" s="15"/>
      <c r="M792" s="15"/>
      <c r="N792" s="15"/>
      <c r="T792" s="15"/>
      <c r="U792" s="15"/>
    </row>
    <row r="793" spans="12:21">
      <c r="L793" s="15"/>
      <c r="M793" s="15"/>
      <c r="N793" s="15"/>
      <c r="T793" s="15"/>
      <c r="U793" s="15"/>
    </row>
    <row r="794" spans="12:21">
      <c r="L794" s="15"/>
      <c r="M794" s="15"/>
      <c r="N794" s="15"/>
      <c r="T794" s="15"/>
      <c r="U794" s="15"/>
    </row>
    <row r="795" spans="12:21">
      <c r="L795" s="15"/>
      <c r="M795" s="15"/>
      <c r="N795" s="15"/>
      <c r="T795" s="15"/>
      <c r="U795" s="15"/>
    </row>
    <row r="796" spans="12:21">
      <c r="L796" s="15"/>
      <c r="M796" s="15"/>
      <c r="N796" s="15"/>
      <c r="T796" s="15"/>
      <c r="U796" s="15"/>
    </row>
    <row r="797" spans="12:21">
      <c r="L797" s="15"/>
      <c r="M797" s="15"/>
      <c r="N797" s="15"/>
      <c r="T797" s="15"/>
      <c r="U797" s="15"/>
    </row>
    <row r="798" spans="12:21">
      <c r="L798" s="15"/>
      <c r="M798" s="15"/>
      <c r="N798" s="15"/>
      <c r="T798" s="15"/>
      <c r="U798" s="15"/>
    </row>
    <row r="799" spans="12:21">
      <c r="L799" s="15"/>
      <c r="M799" s="15"/>
      <c r="N799" s="15"/>
      <c r="T799" s="15"/>
      <c r="U799" s="15"/>
    </row>
    <row r="800" spans="12:21">
      <c r="L800" s="15"/>
      <c r="M800" s="15"/>
      <c r="N800" s="15"/>
      <c r="T800" s="15"/>
      <c r="U800" s="15"/>
    </row>
    <row r="801" spans="12:21">
      <c r="L801" s="15"/>
      <c r="M801" s="15"/>
      <c r="N801" s="15"/>
      <c r="T801" s="15"/>
      <c r="U801" s="15"/>
    </row>
    <row r="802" spans="12:21">
      <c r="L802" s="15"/>
      <c r="M802" s="15"/>
      <c r="N802" s="15"/>
      <c r="T802" s="15"/>
      <c r="U802" s="15"/>
    </row>
    <row r="803" spans="12:21">
      <c r="L803" s="15"/>
      <c r="M803" s="15"/>
      <c r="N803" s="15"/>
      <c r="T803" s="15"/>
      <c r="U803" s="15"/>
    </row>
    <row r="804" spans="12:21">
      <c r="L804" s="15"/>
      <c r="M804" s="15"/>
      <c r="N804" s="15"/>
      <c r="T804" s="15"/>
      <c r="U804" s="15"/>
    </row>
    <row r="805" spans="12:21">
      <c r="L805" s="15"/>
      <c r="M805" s="15"/>
      <c r="N805" s="15"/>
      <c r="T805" s="15"/>
      <c r="U805" s="15"/>
    </row>
    <row r="806" spans="12:21">
      <c r="L806" s="15"/>
      <c r="M806" s="15"/>
      <c r="N806" s="15"/>
      <c r="T806" s="15"/>
      <c r="U806" s="15"/>
    </row>
    <row r="807" spans="12:21">
      <c r="L807" s="15"/>
      <c r="M807" s="15"/>
      <c r="N807" s="15"/>
      <c r="T807" s="15"/>
      <c r="U807" s="15"/>
    </row>
    <row r="808" spans="12:21">
      <c r="L808" s="15"/>
      <c r="M808" s="15"/>
      <c r="N808" s="15"/>
      <c r="T808" s="15"/>
      <c r="U808" s="15"/>
    </row>
    <row r="809" spans="12:21">
      <c r="L809" s="15"/>
      <c r="M809" s="15"/>
      <c r="N809" s="15"/>
      <c r="T809" s="15"/>
      <c r="U809" s="15"/>
    </row>
    <row r="810" spans="12:21">
      <c r="L810" s="15"/>
      <c r="M810" s="15"/>
      <c r="N810" s="15"/>
      <c r="T810" s="15"/>
      <c r="U810" s="15"/>
    </row>
    <row r="811" spans="12:21">
      <c r="L811" s="15"/>
      <c r="M811" s="15"/>
      <c r="N811" s="15"/>
      <c r="T811" s="15"/>
      <c r="U811" s="15"/>
    </row>
    <row r="812" spans="12:21">
      <c r="L812" s="15"/>
      <c r="M812" s="15"/>
      <c r="N812" s="15"/>
      <c r="T812" s="15"/>
      <c r="U812" s="15"/>
    </row>
    <row r="813" spans="12:21">
      <c r="L813" s="15"/>
      <c r="M813" s="15"/>
      <c r="N813" s="15"/>
      <c r="T813" s="15"/>
      <c r="U813" s="15"/>
    </row>
    <row r="814" spans="12:21">
      <c r="L814" s="15"/>
      <c r="M814" s="15"/>
      <c r="N814" s="15"/>
      <c r="T814" s="15"/>
      <c r="U814" s="15"/>
    </row>
    <row r="815" spans="12:21">
      <c r="L815" s="15"/>
      <c r="M815" s="15"/>
      <c r="N815" s="15"/>
      <c r="T815" s="15"/>
      <c r="U815" s="15"/>
    </row>
    <row r="816" spans="12:21">
      <c r="L816" s="15"/>
      <c r="M816" s="15"/>
      <c r="N816" s="15"/>
      <c r="T816" s="15"/>
      <c r="U816" s="15"/>
    </row>
    <row r="817" spans="12:21">
      <c r="L817" s="15"/>
      <c r="M817" s="15"/>
      <c r="N817" s="15"/>
      <c r="T817" s="15"/>
      <c r="U817" s="15"/>
    </row>
    <row r="818" spans="12:21">
      <c r="L818" s="15"/>
      <c r="M818" s="15"/>
      <c r="N818" s="15"/>
      <c r="T818" s="15"/>
      <c r="U818" s="15"/>
    </row>
    <row r="819" spans="12:21">
      <c r="L819" s="15"/>
      <c r="M819" s="15"/>
      <c r="N819" s="15"/>
      <c r="T819" s="15"/>
      <c r="U819" s="15"/>
    </row>
    <row r="820" spans="12:21">
      <c r="L820" s="15"/>
      <c r="M820" s="15"/>
      <c r="N820" s="15"/>
      <c r="T820" s="15"/>
      <c r="U820" s="15"/>
    </row>
    <row r="821" spans="12:21">
      <c r="L821" s="15"/>
      <c r="M821" s="15"/>
      <c r="N821" s="15"/>
      <c r="T821" s="15"/>
      <c r="U821" s="15"/>
    </row>
    <row r="822" spans="12:21">
      <c r="L822" s="15"/>
      <c r="M822" s="15"/>
      <c r="N822" s="15"/>
      <c r="T822" s="15"/>
      <c r="U822" s="15"/>
    </row>
    <row r="823" spans="12:21">
      <c r="L823" s="15"/>
      <c r="M823" s="15"/>
      <c r="N823" s="15"/>
      <c r="T823" s="15"/>
      <c r="U823" s="15"/>
    </row>
    <row r="824" spans="12:21">
      <c r="L824" s="15"/>
      <c r="M824" s="15"/>
      <c r="N824" s="15"/>
      <c r="T824" s="15"/>
      <c r="U824" s="15"/>
    </row>
    <row r="825" spans="12:21">
      <c r="L825" s="15"/>
      <c r="M825" s="15"/>
      <c r="N825" s="15"/>
      <c r="T825" s="15"/>
      <c r="U825" s="15"/>
    </row>
    <row r="826" spans="12:21">
      <c r="L826" s="15"/>
      <c r="M826" s="15"/>
      <c r="N826" s="15"/>
      <c r="T826" s="15"/>
      <c r="U826" s="15"/>
    </row>
    <row r="827" spans="12:21">
      <c r="L827" s="15"/>
      <c r="M827" s="15"/>
      <c r="N827" s="15"/>
      <c r="T827" s="15"/>
      <c r="U827" s="15"/>
    </row>
    <row r="828" spans="12:21">
      <c r="L828" s="15"/>
      <c r="M828" s="15"/>
      <c r="N828" s="15"/>
      <c r="T828" s="15"/>
      <c r="U828" s="15"/>
    </row>
    <row r="829" spans="12:21">
      <c r="L829" s="15"/>
      <c r="M829" s="15"/>
      <c r="N829" s="15"/>
      <c r="T829" s="15"/>
      <c r="U829" s="15"/>
    </row>
    <row r="830" spans="12:21">
      <c r="L830" s="15"/>
      <c r="M830" s="15"/>
      <c r="N830" s="15"/>
      <c r="T830" s="15"/>
      <c r="U830" s="15"/>
    </row>
    <row r="831" spans="12:21">
      <c r="L831" s="15"/>
      <c r="M831" s="15"/>
      <c r="N831" s="15"/>
      <c r="T831" s="15"/>
      <c r="U831" s="15"/>
    </row>
    <row r="832" spans="12:21">
      <c r="L832" s="15"/>
      <c r="M832" s="15"/>
      <c r="N832" s="15"/>
      <c r="T832" s="15"/>
      <c r="U832" s="15"/>
    </row>
    <row r="833" spans="12:21">
      <c r="L833" s="15"/>
      <c r="M833" s="15"/>
      <c r="N833" s="15"/>
      <c r="T833" s="15"/>
      <c r="U833" s="15"/>
    </row>
    <row r="834" spans="12:21">
      <c r="L834" s="15"/>
      <c r="M834" s="15"/>
      <c r="N834" s="15"/>
      <c r="T834" s="15"/>
      <c r="U834" s="15"/>
    </row>
    <row r="835" spans="12:21">
      <c r="L835" s="15"/>
      <c r="M835" s="15"/>
      <c r="N835" s="15"/>
      <c r="T835" s="15"/>
      <c r="U835" s="15"/>
    </row>
    <row r="836" spans="12:21">
      <c r="L836" s="15"/>
      <c r="M836" s="15"/>
      <c r="N836" s="15"/>
      <c r="T836" s="15"/>
      <c r="U836" s="15"/>
    </row>
    <row r="837" spans="12:21">
      <c r="L837" s="15"/>
      <c r="M837" s="15"/>
      <c r="N837" s="15"/>
      <c r="T837" s="15"/>
      <c r="U837" s="15"/>
    </row>
    <row r="838" spans="12:21">
      <c r="L838" s="15"/>
      <c r="M838" s="15"/>
      <c r="N838" s="15"/>
      <c r="T838" s="15"/>
      <c r="U838" s="15"/>
    </row>
    <row r="839" spans="12:21">
      <c r="L839" s="15"/>
      <c r="M839" s="15"/>
      <c r="N839" s="15"/>
      <c r="T839" s="15"/>
      <c r="U839" s="15"/>
    </row>
    <row r="840" spans="12:21">
      <c r="L840" s="15"/>
      <c r="M840" s="15"/>
      <c r="N840" s="15"/>
      <c r="T840" s="15"/>
      <c r="U840" s="15"/>
    </row>
    <row r="841" spans="12:21">
      <c r="L841" s="15"/>
      <c r="M841" s="15"/>
      <c r="N841" s="15"/>
      <c r="T841" s="15"/>
      <c r="U841" s="15"/>
    </row>
    <row r="842" spans="12:21">
      <c r="L842" s="15"/>
      <c r="M842" s="15"/>
      <c r="N842" s="15"/>
      <c r="T842" s="15"/>
      <c r="U842" s="15"/>
    </row>
    <row r="843" spans="12:21">
      <c r="L843" s="15"/>
      <c r="M843" s="15"/>
      <c r="N843" s="15"/>
      <c r="T843" s="15"/>
      <c r="U843" s="15"/>
    </row>
    <row r="844" spans="12:21">
      <c r="L844" s="15"/>
      <c r="M844" s="15"/>
      <c r="N844" s="15"/>
      <c r="T844" s="15"/>
      <c r="U844" s="15"/>
    </row>
    <row r="845" spans="12:21">
      <c r="L845" s="15"/>
      <c r="M845" s="15"/>
      <c r="N845" s="15"/>
      <c r="T845" s="15"/>
      <c r="U845" s="15"/>
    </row>
    <row r="846" spans="12:21">
      <c r="L846" s="15"/>
      <c r="M846" s="15"/>
      <c r="N846" s="15"/>
      <c r="T846" s="15"/>
      <c r="U846" s="15"/>
    </row>
    <row r="847" spans="12:21">
      <c r="L847" s="15"/>
      <c r="M847" s="15"/>
      <c r="N847" s="15"/>
      <c r="T847" s="15"/>
      <c r="U847" s="15"/>
    </row>
    <row r="848" spans="12:21">
      <c r="L848" s="15"/>
      <c r="M848" s="15"/>
      <c r="N848" s="15"/>
      <c r="T848" s="15"/>
      <c r="U848" s="15"/>
    </row>
    <row r="849" spans="12:21">
      <c r="L849" s="15"/>
      <c r="M849" s="15"/>
      <c r="N849" s="15"/>
      <c r="T849" s="15"/>
      <c r="U849" s="15"/>
    </row>
    <row r="850" spans="12:21">
      <c r="L850" s="15"/>
      <c r="M850" s="15"/>
      <c r="N850" s="15"/>
      <c r="T850" s="15"/>
      <c r="U850" s="15"/>
    </row>
    <row r="851" spans="12:21">
      <c r="L851" s="15"/>
      <c r="M851" s="15"/>
      <c r="N851" s="15"/>
      <c r="T851" s="15"/>
      <c r="U851" s="15"/>
    </row>
    <row r="852" spans="12:21">
      <c r="L852" s="15"/>
      <c r="M852" s="15"/>
      <c r="N852" s="15"/>
      <c r="T852" s="15"/>
      <c r="U852" s="15"/>
    </row>
    <row r="853" spans="12:21">
      <c r="L853" s="15"/>
      <c r="M853" s="15"/>
      <c r="N853" s="15"/>
      <c r="T853" s="15"/>
      <c r="U853" s="15"/>
    </row>
    <row r="854" spans="12:21">
      <c r="L854" s="15"/>
      <c r="M854" s="15"/>
      <c r="N854" s="15"/>
      <c r="T854" s="15"/>
      <c r="U854" s="15"/>
    </row>
    <row r="855" spans="12:21">
      <c r="L855" s="15"/>
      <c r="M855" s="15"/>
      <c r="N855" s="15"/>
      <c r="T855" s="15"/>
      <c r="U855" s="15"/>
    </row>
    <row r="856" spans="12:21">
      <c r="L856" s="15"/>
      <c r="M856" s="15"/>
      <c r="N856" s="15"/>
      <c r="T856" s="15"/>
      <c r="U856" s="15"/>
    </row>
    <row r="857" spans="12:21">
      <c r="L857" s="15"/>
      <c r="M857" s="15"/>
      <c r="N857" s="15"/>
      <c r="T857" s="15"/>
      <c r="U857" s="15"/>
    </row>
    <row r="858" spans="12:21">
      <c r="L858" s="15"/>
      <c r="M858" s="15"/>
      <c r="N858" s="15"/>
      <c r="T858" s="15"/>
      <c r="U858" s="15"/>
    </row>
    <row r="859" spans="12:21">
      <c r="L859" s="15"/>
      <c r="M859" s="15"/>
      <c r="N859" s="15"/>
      <c r="T859" s="15"/>
      <c r="U859" s="15"/>
    </row>
    <row r="860" spans="12:21">
      <c r="L860" s="15"/>
      <c r="M860" s="15"/>
      <c r="N860" s="15"/>
      <c r="T860" s="15"/>
      <c r="U860" s="15"/>
    </row>
    <row r="861" spans="12:21">
      <c r="L861" s="15"/>
      <c r="M861" s="15"/>
      <c r="N861" s="15"/>
      <c r="T861" s="15"/>
      <c r="U861" s="15"/>
    </row>
    <row r="862" spans="12:21">
      <c r="L862" s="15"/>
      <c r="M862" s="15"/>
      <c r="N862" s="15"/>
      <c r="T862" s="15"/>
      <c r="U862" s="15"/>
    </row>
    <row r="863" spans="12:21">
      <c r="L863" s="15"/>
      <c r="M863" s="15"/>
      <c r="N863" s="15"/>
      <c r="T863" s="15"/>
      <c r="U863" s="15"/>
    </row>
    <row r="864" spans="12:21">
      <c r="L864" s="15"/>
      <c r="M864" s="15"/>
      <c r="N864" s="15"/>
      <c r="T864" s="15"/>
      <c r="U864" s="15"/>
    </row>
    <row r="865" spans="12:21">
      <c r="L865" s="15"/>
      <c r="M865" s="15"/>
      <c r="N865" s="15"/>
      <c r="T865" s="15"/>
      <c r="U865" s="15"/>
    </row>
    <row r="866" spans="12:21">
      <c r="L866" s="15"/>
      <c r="M866" s="15"/>
      <c r="N866" s="15"/>
      <c r="T866" s="15"/>
      <c r="U866" s="15"/>
    </row>
    <row r="867" spans="12:21">
      <c r="L867" s="15"/>
      <c r="M867" s="15"/>
      <c r="N867" s="15"/>
      <c r="T867" s="15"/>
      <c r="U867" s="15"/>
    </row>
    <row r="868" spans="12:21">
      <c r="L868" s="15"/>
      <c r="M868" s="15"/>
      <c r="N868" s="15"/>
      <c r="T868" s="15"/>
      <c r="U868" s="15"/>
    </row>
    <row r="869" spans="12:21">
      <c r="L869" s="15"/>
      <c r="M869" s="15"/>
      <c r="N869" s="15"/>
      <c r="T869" s="15"/>
      <c r="U869" s="15"/>
    </row>
    <row r="870" spans="12:21">
      <c r="L870" s="15"/>
      <c r="M870" s="15"/>
      <c r="N870" s="15"/>
      <c r="T870" s="15"/>
      <c r="U870" s="15"/>
    </row>
    <row r="871" spans="12:21">
      <c r="L871" s="15"/>
      <c r="M871" s="15"/>
      <c r="N871" s="15"/>
      <c r="T871" s="15"/>
      <c r="U871" s="15"/>
    </row>
    <row r="872" spans="12:21">
      <c r="L872" s="15"/>
      <c r="M872" s="15"/>
      <c r="N872" s="15"/>
      <c r="T872" s="15"/>
      <c r="U872" s="15"/>
    </row>
    <row r="873" spans="12:21">
      <c r="L873" s="15"/>
      <c r="M873" s="15"/>
      <c r="N873" s="15"/>
      <c r="T873" s="15"/>
      <c r="U873" s="15"/>
    </row>
    <row r="874" spans="12:21">
      <c r="L874" s="15"/>
      <c r="M874" s="15"/>
      <c r="N874" s="15"/>
      <c r="T874" s="15"/>
      <c r="U874" s="15"/>
    </row>
    <row r="875" spans="12:21">
      <c r="L875" s="15"/>
      <c r="M875" s="15"/>
      <c r="N875" s="15"/>
      <c r="T875" s="15"/>
      <c r="U875" s="15"/>
    </row>
    <row r="876" spans="12:21">
      <c r="L876" s="15"/>
      <c r="M876" s="15"/>
      <c r="N876" s="15"/>
      <c r="T876" s="15"/>
      <c r="U876" s="15"/>
    </row>
    <row r="877" spans="12:21">
      <c r="L877" s="15"/>
      <c r="M877" s="15"/>
      <c r="N877" s="15"/>
      <c r="T877" s="15"/>
      <c r="U877" s="15"/>
    </row>
    <row r="878" spans="12:21">
      <c r="L878" s="15"/>
      <c r="M878" s="15"/>
      <c r="N878" s="15"/>
      <c r="T878" s="15"/>
      <c r="U878" s="15"/>
    </row>
    <row r="879" spans="12:21">
      <c r="L879" s="15"/>
      <c r="M879" s="15"/>
      <c r="N879" s="15"/>
      <c r="T879" s="15"/>
      <c r="U879" s="15"/>
    </row>
    <row r="880" spans="12:21">
      <c r="L880" s="15"/>
      <c r="M880" s="15"/>
      <c r="N880" s="15"/>
      <c r="T880" s="15"/>
      <c r="U880" s="15"/>
    </row>
    <row r="881" spans="12:21">
      <c r="L881" s="15"/>
      <c r="M881" s="15"/>
      <c r="N881" s="15"/>
      <c r="T881" s="15"/>
      <c r="U881" s="15"/>
    </row>
    <row r="882" spans="12:21">
      <c r="L882" s="15"/>
      <c r="M882" s="15"/>
      <c r="N882" s="15"/>
      <c r="T882" s="15"/>
      <c r="U882" s="15"/>
    </row>
    <row r="883" spans="12:21">
      <c r="L883" s="15"/>
      <c r="M883" s="15"/>
      <c r="N883" s="15"/>
      <c r="T883" s="15"/>
      <c r="U883" s="15"/>
    </row>
    <row r="884" spans="12:21">
      <c r="L884" s="15"/>
      <c r="M884" s="15"/>
      <c r="N884" s="15"/>
      <c r="T884" s="15"/>
      <c r="U884" s="15"/>
    </row>
    <row r="885" spans="12:21">
      <c r="L885" s="15"/>
      <c r="M885" s="15"/>
      <c r="N885" s="15"/>
      <c r="T885" s="15"/>
      <c r="U885" s="15"/>
    </row>
    <row r="886" spans="12:21">
      <c r="L886" s="15"/>
      <c r="M886" s="15"/>
      <c r="N886" s="15"/>
      <c r="T886" s="15"/>
      <c r="U886" s="15"/>
    </row>
    <row r="887" spans="12:21">
      <c r="L887" s="15"/>
      <c r="M887" s="15"/>
      <c r="N887" s="15"/>
      <c r="T887" s="15"/>
      <c r="U887" s="15"/>
    </row>
    <row r="888" spans="12:21">
      <c r="L888" s="15"/>
      <c r="M888" s="15"/>
      <c r="N888" s="15"/>
      <c r="T888" s="15"/>
      <c r="U888" s="15"/>
    </row>
    <row r="889" spans="12:21">
      <c r="L889" s="15"/>
      <c r="M889" s="15"/>
      <c r="N889" s="15"/>
      <c r="T889" s="15"/>
      <c r="U889" s="15"/>
    </row>
    <row r="890" spans="12:21">
      <c r="L890" s="15"/>
      <c r="M890" s="15"/>
      <c r="N890" s="15"/>
      <c r="T890" s="15"/>
      <c r="U890" s="15"/>
    </row>
    <row r="891" spans="12:21">
      <c r="L891" s="15"/>
      <c r="M891" s="15"/>
      <c r="N891" s="15"/>
      <c r="T891" s="15"/>
      <c r="U891" s="15"/>
    </row>
    <row r="892" spans="12:21">
      <c r="L892" s="15"/>
      <c r="M892" s="15"/>
      <c r="N892" s="15"/>
      <c r="T892" s="15"/>
      <c r="U892" s="15"/>
    </row>
    <row r="893" spans="12:21">
      <c r="L893" s="15"/>
      <c r="M893" s="15"/>
      <c r="N893" s="15"/>
      <c r="T893" s="15"/>
      <c r="U893" s="15"/>
    </row>
    <row r="894" spans="12:21">
      <c r="L894" s="15"/>
      <c r="M894" s="15"/>
      <c r="N894" s="15"/>
      <c r="T894" s="15"/>
      <c r="U894" s="15"/>
    </row>
    <row r="895" spans="12:21">
      <c r="L895" s="15"/>
      <c r="M895" s="15"/>
      <c r="N895" s="15"/>
      <c r="T895" s="15"/>
      <c r="U895" s="15"/>
    </row>
    <row r="896" spans="12:21">
      <c r="L896" s="15"/>
      <c r="M896" s="15"/>
      <c r="N896" s="15"/>
      <c r="T896" s="15"/>
      <c r="U896" s="15"/>
    </row>
    <row r="897" spans="12:21">
      <c r="L897" s="15"/>
      <c r="M897" s="15"/>
      <c r="N897" s="15"/>
      <c r="T897" s="15"/>
      <c r="U897" s="15"/>
    </row>
    <row r="898" spans="12:21">
      <c r="L898" s="15"/>
      <c r="M898" s="15"/>
      <c r="N898" s="15"/>
      <c r="T898" s="15"/>
      <c r="U898" s="15"/>
    </row>
    <row r="899" spans="12:21">
      <c r="L899" s="15"/>
      <c r="M899" s="15"/>
      <c r="N899" s="15"/>
      <c r="T899" s="15"/>
      <c r="U899" s="15"/>
    </row>
    <row r="900" spans="12:21">
      <c r="L900" s="15"/>
      <c r="M900" s="15"/>
      <c r="N900" s="15"/>
      <c r="T900" s="15"/>
      <c r="U900" s="15"/>
    </row>
    <row r="901" spans="12:21">
      <c r="L901" s="15"/>
      <c r="M901" s="15"/>
      <c r="N901" s="15"/>
      <c r="T901" s="15"/>
      <c r="U901" s="15"/>
    </row>
    <row r="902" spans="12:21">
      <c r="L902" s="15"/>
      <c r="M902" s="15"/>
      <c r="N902" s="15"/>
      <c r="T902" s="15"/>
      <c r="U902" s="15"/>
    </row>
    <row r="903" spans="12:21">
      <c r="L903" s="15"/>
      <c r="M903" s="15"/>
      <c r="N903" s="15"/>
      <c r="T903" s="15"/>
      <c r="U903" s="15"/>
    </row>
    <row r="904" spans="12:21">
      <c r="L904" s="15"/>
      <c r="M904" s="15"/>
      <c r="N904" s="15"/>
      <c r="T904" s="15"/>
      <c r="U904" s="15"/>
    </row>
    <row r="905" spans="12:21">
      <c r="L905" s="15"/>
      <c r="M905" s="15"/>
      <c r="N905" s="15"/>
      <c r="T905" s="15"/>
      <c r="U905" s="15"/>
    </row>
    <row r="906" spans="12:21">
      <c r="L906" s="15"/>
      <c r="M906" s="15"/>
      <c r="N906" s="15"/>
      <c r="T906" s="15"/>
      <c r="U906" s="15"/>
    </row>
    <row r="907" spans="12:21">
      <c r="L907" s="15"/>
      <c r="M907" s="15"/>
      <c r="N907" s="15"/>
      <c r="T907" s="15"/>
      <c r="U907" s="15"/>
    </row>
    <row r="908" spans="12:21">
      <c r="L908" s="15"/>
      <c r="M908" s="15"/>
      <c r="N908" s="15"/>
      <c r="T908" s="15"/>
      <c r="U908" s="15"/>
    </row>
    <row r="909" spans="12:21">
      <c r="L909" s="15"/>
      <c r="M909" s="15"/>
      <c r="N909" s="15"/>
      <c r="T909" s="15"/>
      <c r="U909" s="15"/>
    </row>
    <row r="910" spans="12:21">
      <c r="L910" s="15"/>
      <c r="M910" s="15"/>
      <c r="N910" s="15"/>
      <c r="T910" s="15"/>
      <c r="U910" s="15"/>
    </row>
    <row r="911" spans="12:21">
      <c r="L911" s="15"/>
      <c r="M911" s="15"/>
      <c r="N911" s="15"/>
      <c r="T911" s="15"/>
      <c r="U911" s="15"/>
    </row>
    <row r="912" spans="12:21">
      <c r="L912" s="15"/>
      <c r="M912" s="15"/>
      <c r="N912" s="15"/>
      <c r="T912" s="15"/>
      <c r="U912" s="15"/>
    </row>
    <row r="913" spans="12:21">
      <c r="L913" s="15"/>
      <c r="M913" s="15"/>
      <c r="N913" s="15"/>
      <c r="T913" s="15"/>
      <c r="U913" s="15"/>
    </row>
    <row r="914" spans="12:21">
      <c r="L914" s="15"/>
      <c r="M914" s="15"/>
      <c r="N914" s="15"/>
      <c r="T914" s="15"/>
      <c r="U914" s="15"/>
    </row>
    <row r="915" spans="12:21">
      <c r="L915" s="15"/>
      <c r="M915" s="15"/>
      <c r="N915" s="15"/>
      <c r="T915" s="15"/>
      <c r="U915" s="15"/>
    </row>
    <row r="916" spans="12:21">
      <c r="L916" s="15"/>
      <c r="M916" s="15"/>
      <c r="N916" s="15"/>
      <c r="T916" s="15"/>
      <c r="U916" s="15"/>
    </row>
    <row r="917" spans="12:21">
      <c r="L917" s="15"/>
      <c r="M917" s="15"/>
      <c r="N917" s="15"/>
      <c r="T917" s="15"/>
      <c r="U917" s="15"/>
    </row>
    <row r="918" spans="12:21">
      <c r="L918" s="15"/>
      <c r="M918" s="15"/>
      <c r="N918" s="15"/>
      <c r="T918" s="15"/>
      <c r="U918" s="15"/>
    </row>
    <row r="919" spans="12:21">
      <c r="L919" s="15"/>
      <c r="M919" s="15"/>
      <c r="N919" s="15"/>
      <c r="T919" s="15"/>
      <c r="U919" s="15"/>
    </row>
    <row r="920" spans="12:21">
      <c r="L920" s="15"/>
      <c r="M920" s="15"/>
      <c r="N920" s="15"/>
      <c r="T920" s="15"/>
      <c r="U920" s="15"/>
    </row>
    <row r="921" spans="12:21">
      <c r="L921" s="15"/>
      <c r="M921" s="15"/>
      <c r="N921" s="15"/>
      <c r="T921" s="15"/>
      <c r="U921" s="15"/>
    </row>
    <row r="922" spans="12:21">
      <c r="L922" s="15"/>
      <c r="M922" s="15"/>
      <c r="N922" s="15"/>
      <c r="T922" s="15"/>
      <c r="U922" s="15"/>
    </row>
    <row r="923" spans="12:21">
      <c r="L923" s="15"/>
      <c r="M923" s="15"/>
      <c r="N923" s="15"/>
      <c r="T923" s="15"/>
      <c r="U923" s="15"/>
    </row>
    <row r="924" spans="12:21">
      <c r="L924" s="15"/>
      <c r="M924" s="15"/>
      <c r="N924" s="15"/>
      <c r="T924" s="15"/>
      <c r="U924" s="15"/>
    </row>
    <row r="925" spans="12:21">
      <c r="L925" s="15"/>
      <c r="M925" s="15"/>
      <c r="N925" s="15"/>
      <c r="T925" s="15"/>
      <c r="U925" s="15"/>
    </row>
    <row r="926" spans="12:21">
      <c r="L926" s="15"/>
      <c r="M926" s="15"/>
      <c r="N926" s="15"/>
      <c r="T926" s="15"/>
      <c r="U926" s="15"/>
    </row>
    <row r="927" spans="12:21">
      <c r="L927" s="15"/>
      <c r="M927" s="15"/>
      <c r="N927" s="15"/>
      <c r="T927" s="15"/>
      <c r="U927" s="15"/>
    </row>
    <row r="928" spans="12:21">
      <c r="L928" s="15"/>
      <c r="M928" s="15"/>
      <c r="N928" s="15"/>
      <c r="T928" s="15"/>
      <c r="U928" s="15"/>
    </row>
    <row r="929" spans="12:21">
      <c r="L929" s="15"/>
      <c r="M929" s="15"/>
      <c r="N929" s="15"/>
      <c r="T929" s="15"/>
      <c r="U929" s="15"/>
    </row>
    <row r="930" spans="12:21">
      <c r="L930" s="15"/>
      <c r="M930" s="15"/>
      <c r="N930" s="15"/>
      <c r="T930" s="15"/>
      <c r="U930" s="15"/>
    </row>
    <row r="931" spans="12:21">
      <c r="L931" s="15"/>
      <c r="M931" s="15"/>
      <c r="N931" s="15"/>
      <c r="T931" s="15"/>
      <c r="U931" s="15"/>
    </row>
    <row r="932" spans="12:21">
      <c r="L932" s="15"/>
      <c r="M932" s="15"/>
      <c r="N932" s="15"/>
      <c r="T932" s="15"/>
      <c r="U932" s="15"/>
    </row>
    <row r="933" spans="12:21">
      <c r="L933" s="15"/>
      <c r="M933" s="15"/>
      <c r="N933" s="15"/>
      <c r="T933" s="15"/>
      <c r="U933" s="15"/>
    </row>
    <row r="934" spans="12:21">
      <c r="L934" s="15"/>
      <c r="M934" s="15"/>
      <c r="N934" s="15"/>
      <c r="T934" s="15"/>
      <c r="U934" s="15"/>
    </row>
    <row r="935" spans="12:21">
      <c r="L935" s="15"/>
      <c r="M935" s="15"/>
      <c r="N935" s="15"/>
      <c r="T935" s="15"/>
      <c r="U935" s="15"/>
    </row>
    <row r="936" spans="12:21">
      <c r="L936" s="15"/>
      <c r="M936" s="15"/>
      <c r="N936" s="15"/>
      <c r="T936" s="15"/>
      <c r="U936" s="15"/>
    </row>
    <row r="937" spans="12:21">
      <c r="L937" s="15"/>
      <c r="M937" s="15"/>
      <c r="N937" s="15"/>
      <c r="T937" s="15"/>
      <c r="U937" s="15"/>
    </row>
    <row r="938" spans="12:21">
      <c r="L938" s="15"/>
      <c r="M938" s="15"/>
      <c r="N938" s="15"/>
      <c r="T938" s="15"/>
      <c r="U938" s="15"/>
    </row>
    <row r="939" spans="12:21">
      <c r="L939" s="15"/>
      <c r="M939" s="15"/>
      <c r="N939" s="15"/>
      <c r="T939" s="15"/>
      <c r="U939" s="15"/>
    </row>
    <row r="940" spans="12:21">
      <c r="L940" s="15"/>
      <c r="M940" s="15"/>
      <c r="N940" s="15"/>
      <c r="T940" s="15"/>
      <c r="U940" s="15"/>
    </row>
    <row r="941" spans="12:21">
      <c r="L941" s="15"/>
      <c r="M941" s="15"/>
      <c r="N941" s="15"/>
      <c r="T941" s="15"/>
      <c r="U941" s="15"/>
    </row>
    <row r="942" spans="12:21">
      <c r="L942" s="15"/>
      <c r="M942" s="15"/>
      <c r="N942" s="15"/>
      <c r="T942" s="15"/>
      <c r="U942" s="15"/>
    </row>
    <row r="943" spans="12:21">
      <c r="L943" s="15"/>
      <c r="M943" s="15"/>
      <c r="N943" s="15"/>
      <c r="T943" s="15"/>
      <c r="U943" s="15"/>
    </row>
    <row r="944" spans="12:21">
      <c r="L944" s="15"/>
      <c r="M944" s="15"/>
      <c r="N944" s="15"/>
      <c r="T944" s="15"/>
      <c r="U944" s="15"/>
    </row>
    <row r="945" spans="12:21">
      <c r="L945" s="15"/>
      <c r="M945" s="15"/>
      <c r="N945" s="15"/>
      <c r="T945" s="15"/>
      <c r="U945" s="15"/>
    </row>
    <row r="946" spans="12:21">
      <c r="L946" s="15"/>
      <c r="M946" s="15"/>
      <c r="N946" s="15"/>
      <c r="T946" s="15"/>
      <c r="U946" s="15"/>
    </row>
    <row r="947" spans="12:21">
      <c r="L947" s="15"/>
      <c r="M947" s="15"/>
      <c r="N947" s="15"/>
      <c r="T947" s="15"/>
      <c r="U947" s="15"/>
    </row>
    <row r="948" spans="12:21">
      <c r="L948" s="15"/>
      <c r="M948" s="15"/>
      <c r="N948" s="15"/>
      <c r="T948" s="15"/>
      <c r="U948" s="15"/>
    </row>
    <row r="949" spans="12:21">
      <c r="L949" s="15"/>
      <c r="M949" s="15"/>
      <c r="N949" s="15"/>
      <c r="T949" s="15"/>
      <c r="U949" s="15"/>
    </row>
    <row r="950" spans="12:21">
      <c r="L950" s="15"/>
      <c r="M950" s="15"/>
      <c r="N950" s="15"/>
      <c r="T950" s="15"/>
      <c r="U950" s="15"/>
    </row>
    <row r="951" spans="12:21">
      <c r="L951" s="15"/>
      <c r="M951" s="15"/>
      <c r="N951" s="15"/>
      <c r="T951" s="15"/>
      <c r="U951" s="15"/>
    </row>
    <row r="952" spans="12:21">
      <c r="L952" s="15"/>
      <c r="M952" s="15"/>
      <c r="N952" s="15"/>
      <c r="T952" s="15"/>
      <c r="U952" s="15"/>
    </row>
    <row r="953" spans="12:21">
      <c r="L953" s="15"/>
      <c r="M953" s="15"/>
      <c r="N953" s="15"/>
      <c r="T953" s="15"/>
      <c r="U953" s="15"/>
    </row>
    <row r="954" spans="12:21">
      <c r="L954" s="15"/>
      <c r="M954" s="15"/>
      <c r="N954" s="15"/>
      <c r="T954" s="15"/>
      <c r="U954" s="15"/>
    </row>
    <row r="955" spans="12:21">
      <c r="L955" s="15"/>
      <c r="M955" s="15"/>
      <c r="N955" s="15"/>
      <c r="T955" s="15"/>
      <c r="U955" s="15"/>
    </row>
    <row r="956" spans="12:21">
      <c r="L956" s="15"/>
      <c r="M956" s="15"/>
      <c r="N956" s="15"/>
      <c r="T956" s="15"/>
      <c r="U956" s="15"/>
    </row>
    <row r="957" spans="12:21">
      <c r="L957" s="15"/>
      <c r="M957" s="15"/>
      <c r="N957" s="15"/>
      <c r="T957" s="15"/>
      <c r="U957" s="15"/>
    </row>
    <row r="958" spans="12:21">
      <c r="L958" s="15"/>
      <c r="M958" s="15"/>
      <c r="N958" s="15"/>
      <c r="T958" s="15"/>
      <c r="U958" s="15"/>
    </row>
    <row r="959" spans="12:21">
      <c r="L959" s="15"/>
      <c r="M959" s="15"/>
      <c r="N959" s="15"/>
      <c r="T959" s="15"/>
      <c r="U959" s="15"/>
    </row>
    <row r="960" spans="12:21">
      <c r="L960" s="15"/>
      <c r="M960" s="15"/>
      <c r="N960" s="15"/>
      <c r="T960" s="15"/>
      <c r="U960" s="15"/>
    </row>
    <row r="961" spans="12:21">
      <c r="L961" s="15"/>
      <c r="M961" s="15"/>
      <c r="N961" s="15"/>
      <c r="T961" s="15"/>
      <c r="U961" s="15"/>
    </row>
    <row r="962" spans="12:21">
      <c r="L962" s="15"/>
      <c r="M962" s="15"/>
      <c r="N962" s="15"/>
      <c r="T962" s="15"/>
      <c r="U962" s="15"/>
    </row>
    <row r="963" spans="12:21">
      <c r="L963" s="15"/>
      <c r="M963" s="15"/>
      <c r="N963" s="15"/>
      <c r="T963" s="15"/>
      <c r="U963" s="15"/>
    </row>
    <row r="964" spans="12:21">
      <c r="L964" s="15"/>
      <c r="M964" s="15"/>
      <c r="N964" s="15"/>
      <c r="T964" s="15"/>
      <c r="U964" s="15"/>
    </row>
    <row r="965" spans="12:21">
      <c r="L965" s="15"/>
      <c r="M965" s="15"/>
      <c r="N965" s="15"/>
      <c r="T965" s="15"/>
      <c r="U965" s="15"/>
    </row>
    <row r="966" spans="12:21">
      <c r="L966" s="15"/>
      <c r="M966" s="15"/>
      <c r="N966" s="15"/>
      <c r="T966" s="15"/>
      <c r="U966" s="15"/>
    </row>
    <row r="967" spans="12:21">
      <c r="L967" s="15"/>
      <c r="M967" s="15"/>
      <c r="N967" s="15"/>
      <c r="T967" s="15"/>
      <c r="U967" s="15"/>
    </row>
    <row r="968" spans="12:21">
      <c r="L968" s="15"/>
      <c r="M968" s="15"/>
      <c r="N968" s="15"/>
      <c r="T968" s="15"/>
      <c r="U968" s="15"/>
    </row>
    <row r="969" spans="12:21">
      <c r="L969" s="15"/>
      <c r="M969" s="15"/>
      <c r="N969" s="15"/>
      <c r="T969" s="15"/>
      <c r="U969" s="15"/>
    </row>
    <row r="970" spans="12:21">
      <c r="L970" s="15"/>
      <c r="M970" s="15"/>
      <c r="N970" s="15"/>
      <c r="T970" s="15"/>
      <c r="U970" s="15"/>
    </row>
    <row r="971" spans="12:21">
      <c r="L971" s="15"/>
      <c r="M971" s="15"/>
      <c r="N971" s="15"/>
      <c r="T971" s="15"/>
      <c r="U971" s="15"/>
    </row>
    <row r="972" spans="12:21">
      <c r="L972" s="15"/>
      <c r="M972" s="15"/>
      <c r="N972" s="15"/>
      <c r="T972" s="15"/>
      <c r="U972" s="15"/>
    </row>
    <row r="973" spans="12:21">
      <c r="L973" s="15"/>
      <c r="M973" s="15"/>
      <c r="N973" s="15"/>
      <c r="T973" s="15"/>
      <c r="U973" s="15"/>
    </row>
    <row r="974" spans="12:21">
      <c r="L974" s="15"/>
      <c r="M974" s="15"/>
      <c r="N974" s="15"/>
      <c r="T974" s="15"/>
      <c r="U974" s="15"/>
    </row>
    <row r="975" spans="12:21">
      <c r="L975" s="15"/>
      <c r="M975" s="15"/>
      <c r="N975" s="15"/>
      <c r="T975" s="15"/>
      <c r="U975" s="15"/>
    </row>
    <row r="976" spans="12:21">
      <c r="L976" s="15"/>
      <c r="M976" s="15"/>
      <c r="N976" s="15"/>
      <c r="T976" s="15"/>
      <c r="U976" s="15"/>
    </row>
    <row r="977" spans="12:21">
      <c r="L977" s="15"/>
      <c r="M977" s="15"/>
      <c r="N977" s="15"/>
      <c r="T977" s="15"/>
      <c r="U977" s="15"/>
    </row>
    <row r="978" spans="12:21">
      <c r="L978" s="15"/>
      <c r="M978" s="15"/>
      <c r="N978" s="15"/>
      <c r="T978" s="15"/>
      <c r="U978" s="15"/>
    </row>
    <row r="979" spans="12:21">
      <c r="L979" s="15"/>
      <c r="M979" s="15"/>
      <c r="N979" s="15"/>
      <c r="T979" s="15"/>
      <c r="U979" s="15"/>
    </row>
    <row r="980" spans="12:21">
      <c r="L980" s="15"/>
      <c r="M980" s="15"/>
      <c r="N980" s="15"/>
      <c r="T980" s="15"/>
      <c r="U980" s="15"/>
    </row>
    <row r="981" spans="12:21">
      <c r="L981" s="15"/>
      <c r="M981" s="15"/>
      <c r="N981" s="15"/>
      <c r="T981" s="15"/>
      <c r="U981" s="15"/>
    </row>
    <row r="982" spans="12:21">
      <c r="L982" s="15"/>
      <c r="M982" s="15"/>
      <c r="N982" s="15"/>
      <c r="T982" s="15"/>
      <c r="U982" s="15"/>
    </row>
    <row r="983" spans="12:21">
      <c r="L983" s="15"/>
      <c r="M983" s="15"/>
      <c r="N983" s="15"/>
      <c r="T983" s="15"/>
      <c r="U983" s="15"/>
    </row>
    <row r="984" spans="12:21">
      <c r="L984" s="15"/>
      <c r="M984" s="15"/>
      <c r="N984" s="15"/>
      <c r="T984" s="15"/>
      <c r="U984" s="15"/>
    </row>
    <row r="985" spans="12:21">
      <c r="L985" s="15"/>
      <c r="M985" s="15"/>
      <c r="N985" s="15"/>
      <c r="T985" s="15"/>
      <c r="U985" s="15"/>
    </row>
    <row r="986" spans="12:21">
      <c r="L986" s="15"/>
      <c r="M986" s="15"/>
      <c r="N986" s="15"/>
      <c r="T986" s="15"/>
      <c r="U986" s="15"/>
    </row>
    <row r="987" spans="12:21">
      <c r="L987" s="15"/>
      <c r="M987" s="15"/>
      <c r="N987" s="15"/>
      <c r="T987" s="15"/>
      <c r="U987" s="15"/>
    </row>
    <row r="988" spans="12:21">
      <c r="L988" s="15"/>
      <c r="M988" s="15"/>
      <c r="N988" s="15"/>
      <c r="T988" s="15"/>
      <c r="U988" s="15"/>
    </row>
    <row r="989" spans="12:21">
      <c r="L989" s="15"/>
      <c r="M989" s="15"/>
      <c r="N989" s="15"/>
      <c r="T989" s="15"/>
      <c r="U989" s="15"/>
    </row>
    <row r="990" spans="12:21">
      <c r="L990" s="15"/>
      <c r="M990" s="15"/>
      <c r="N990" s="15"/>
      <c r="T990" s="15"/>
      <c r="U990" s="15"/>
    </row>
    <row r="991" spans="12:21">
      <c r="L991" s="15"/>
      <c r="M991" s="15"/>
      <c r="N991" s="15"/>
      <c r="T991" s="15"/>
      <c r="U991" s="15"/>
    </row>
    <row r="992" spans="12:21">
      <c r="L992" s="15"/>
      <c r="M992" s="15"/>
      <c r="N992" s="15"/>
      <c r="T992" s="15"/>
      <c r="U992" s="15"/>
    </row>
    <row r="993" spans="12:21">
      <c r="L993" s="15"/>
      <c r="M993" s="15"/>
      <c r="N993" s="15"/>
      <c r="T993" s="15"/>
      <c r="U993" s="15"/>
    </row>
    <row r="994" spans="12:21">
      <c r="L994" s="15"/>
      <c r="M994" s="15"/>
      <c r="N994" s="15"/>
      <c r="T994" s="15"/>
      <c r="U994" s="15"/>
    </row>
    <row r="995" spans="12:21">
      <c r="L995" s="15"/>
      <c r="M995" s="15"/>
      <c r="N995" s="15"/>
      <c r="T995" s="15"/>
      <c r="U995" s="15"/>
    </row>
    <row r="996" spans="12:21">
      <c r="L996" s="15"/>
      <c r="M996" s="15"/>
      <c r="N996" s="15"/>
      <c r="T996" s="15"/>
      <c r="U996" s="15"/>
    </row>
    <row r="997" spans="12:21">
      <c r="L997" s="15"/>
      <c r="M997" s="15"/>
      <c r="N997" s="15"/>
      <c r="T997" s="15"/>
      <c r="U997" s="15"/>
    </row>
    <row r="998" spans="12:21">
      <c r="L998" s="15"/>
      <c r="M998" s="15"/>
      <c r="N998" s="15"/>
      <c r="T998" s="15"/>
      <c r="U998" s="15"/>
    </row>
    <row r="999" spans="12:21">
      <c r="L999" s="15"/>
      <c r="M999" s="15"/>
      <c r="N999" s="15"/>
      <c r="T999" s="15"/>
      <c r="U999" s="15"/>
    </row>
    <row r="1000" spans="12:21">
      <c r="L1000" s="15"/>
      <c r="M1000" s="15"/>
      <c r="N1000" s="15"/>
      <c r="T1000" s="15"/>
      <c r="U1000" s="15"/>
    </row>
    <row r="1001" spans="12:21">
      <c r="L1001" s="15"/>
      <c r="M1001" s="15"/>
      <c r="N1001" s="15"/>
      <c r="T1001" s="15"/>
      <c r="U1001" s="15"/>
    </row>
    <row r="1002" spans="12:21">
      <c r="L1002" s="15"/>
      <c r="M1002" s="15"/>
      <c r="N1002" s="15"/>
      <c r="T1002" s="15"/>
      <c r="U1002" s="15"/>
    </row>
    <row r="1003" spans="12:21">
      <c r="L1003" s="15"/>
      <c r="M1003" s="15"/>
      <c r="N1003" s="15"/>
      <c r="T1003" s="15"/>
      <c r="U1003" s="15"/>
    </row>
    <row r="1004" spans="12:21">
      <c r="L1004" s="15"/>
      <c r="M1004" s="15"/>
      <c r="N1004" s="15"/>
      <c r="T1004" s="15"/>
      <c r="U1004" s="15"/>
    </row>
    <row r="1005" spans="12:21">
      <c r="L1005" s="15"/>
      <c r="M1005" s="15"/>
      <c r="N1005" s="15"/>
      <c r="T1005" s="15"/>
      <c r="U1005" s="15"/>
    </row>
    <row r="1006" spans="12:21">
      <c r="L1006" s="15"/>
      <c r="M1006" s="15"/>
      <c r="N1006" s="15"/>
      <c r="T1006" s="15"/>
      <c r="U1006" s="15"/>
    </row>
    <row r="1007" spans="12:21">
      <c r="L1007" s="15"/>
      <c r="M1007" s="15"/>
      <c r="N1007" s="15"/>
      <c r="T1007" s="15"/>
      <c r="U1007" s="15"/>
    </row>
    <row r="1008" spans="12:21">
      <c r="L1008" s="15"/>
      <c r="M1008" s="15"/>
      <c r="N1008" s="15"/>
      <c r="T1008" s="15"/>
      <c r="U1008" s="15"/>
    </row>
    <row r="1009" spans="12:21">
      <c r="L1009" s="15"/>
      <c r="M1009" s="15"/>
      <c r="N1009" s="15"/>
      <c r="T1009" s="15"/>
      <c r="U1009" s="15"/>
    </row>
    <row r="1010" spans="12:21">
      <c r="L1010" s="15"/>
      <c r="M1010" s="15"/>
      <c r="N1010" s="15"/>
      <c r="T1010" s="15"/>
      <c r="U1010" s="15"/>
    </row>
    <row r="1011" spans="12:21">
      <c r="L1011" s="15"/>
      <c r="M1011" s="15"/>
      <c r="N1011" s="15"/>
      <c r="T1011" s="15"/>
      <c r="U1011" s="15"/>
    </row>
    <row r="1012" spans="12:21">
      <c r="L1012" s="15"/>
      <c r="M1012" s="15"/>
      <c r="N1012" s="15"/>
      <c r="T1012" s="15"/>
      <c r="U1012" s="15"/>
    </row>
    <row r="1013" spans="12:21">
      <c r="L1013" s="15"/>
      <c r="M1013" s="15"/>
      <c r="N1013" s="15"/>
      <c r="T1013" s="15"/>
      <c r="U1013" s="15"/>
    </row>
    <row r="1014" spans="12:21">
      <c r="L1014" s="15"/>
      <c r="M1014" s="15"/>
      <c r="N1014" s="15"/>
      <c r="T1014" s="15"/>
      <c r="U1014" s="15"/>
    </row>
    <row r="1015" spans="12:21">
      <c r="L1015" s="15"/>
      <c r="M1015" s="15"/>
      <c r="N1015" s="15"/>
      <c r="T1015" s="15"/>
      <c r="U1015" s="15"/>
    </row>
    <row r="1016" spans="12:21">
      <c r="L1016" s="15"/>
      <c r="M1016" s="15"/>
      <c r="N1016" s="15"/>
      <c r="T1016" s="15"/>
      <c r="U1016" s="15"/>
    </row>
    <row r="1017" spans="12:21">
      <c r="L1017" s="15"/>
      <c r="M1017" s="15"/>
      <c r="N1017" s="15"/>
      <c r="T1017" s="15"/>
      <c r="U1017" s="15"/>
    </row>
    <row r="1018" spans="12:21">
      <c r="L1018" s="15"/>
      <c r="M1018" s="15"/>
      <c r="N1018" s="15"/>
      <c r="T1018" s="15"/>
      <c r="U1018" s="15"/>
    </row>
    <row r="1019" spans="12:21">
      <c r="L1019" s="15"/>
      <c r="M1019" s="15"/>
      <c r="N1019" s="15"/>
      <c r="T1019" s="15"/>
      <c r="U1019" s="15"/>
    </row>
    <row r="1020" spans="12:21">
      <c r="L1020" s="15"/>
      <c r="M1020" s="15"/>
      <c r="N1020" s="15"/>
      <c r="T1020" s="15"/>
      <c r="U1020" s="15"/>
    </row>
    <row r="1021" spans="12:21">
      <c r="L1021" s="15"/>
      <c r="M1021" s="15"/>
      <c r="N1021" s="15"/>
      <c r="T1021" s="15"/>
      <c r="U1021" s="15"/>
    </row>
    <row r="1022" spans="12:21">
      <c r="L1022" s="15"/>
      <c r="M1022" s="15"/>
      <c r="N1022" s="15"/>
      <c r="T1022" s="15"/>
      <c r="U1022" s="15"/>
    </row>
    <row r="1023" spans="12:21">
      <c r="L1023" s="15"/>
      <c r="M1023" s="15"/>
      <c r="N1023" s="15"/>
      <c r="T1023" s="15"/>
      <c r="U1023" s="15"/>
    </row>
    <row r="1024" spans="12:21">
      <c r="L1024" s="15"/>
      <c r="M1024" s="15"/>
      <c r="N1024" s="15"/>
      <c r="T1024" s="15"/>
      <c r="U1024" s="15"/>
    </row>
    <row r="1025" spans="12:21">
      <c r="L1025" s="15"/>
      <c r="M1025" s="15"/>
      <c r="N1025" s="15"/>
      <c r="T1025" s="15"/>
      <c r="U1025" s="15"/>
    </row>
    <row r="1026" spans="12:21">
      <c r="L1026" s="15"/>
      <c r="M1026" s="15"/>
      <c r="N1026" s="15"/>
      <c r="T1026" s="15"/>
      <c r="U1026" s="15"/>
    </row>
    <row r="1027" spans="12:21">
      <c r="L1027" s="15"/>
      <c r="M1027" s="15"/>
      <c r="N1027" s="15"/>
      <c r="T1027" s="15"/>
      <c r="U1027" s="15"/>
    </row>
    <row r="1028" spans="12:21">
      <c r="L1028" s="15"/>
      <c r="M1028" s="15"/>
      <c r="N1028" s="15"/>
      <c r="T1028" s="15"/>
      <c r="U1028" s="15"/>
    </row>
    <row r="1029" spans="12:21">
      <c r="L1029" s="15"/>
      <c r="M1029" s="15"/>
      <c r="N1029" s="15"/>
      <c r="T1029" s="15"/>
      <c r="U1029" s="15"/>
    </row>
    <row r="1030" spans="12:21">
      <c r="L1030" s="15"/>
      <c r="M1030" s="15"/>
      <c r="N1030" s="15"/>
      <c r="T1030" s="15"/>
      <c r="U1030" s="15"/>
    </row>
    <row r="1031" spans="12:21">
      <c r="L1031" s="15"/>
      <c r="M1031" s="15"/>
      <c r="N1031" s="15"/>
      <c r="T1031" s="15"/>
      <c r="U1031" s="15"/>
    </row>
    <row r="1032" spans="12:21">
      <c r="L1032" s="15"/>
      <c r="M1032" s="15"/>
      <c r="N1032" s="15"/>
      <c r="T1032" s="15"/>
      <c r="U1032" s="15"/>
    </row>
    <row r="1033" spans="12:21">
      <c r="L1033" s="15"/>
      <c r="M1033" s="15"/>
      <c r="N1033" s="15"/>
      <c r="T1033" s="15"/>
      <c r="U1033" s="15"/>
    </row>
    <row r="1034" spans="12:21">
      <c r="L1034" s="15"/>
      <c r="M1034" s="15"/>
      <c r="N1034" s="15"/>
      <c r="T1034" s="15"/>
      <c r="U1034" s="15"/>
    </row>
    <row r="1035" spans="12:21">
      <c r="L1035" s="15"/>
      <c r="M1035" s="15"/>
      <c r="N1035" s="15"/>
      <c r="T1035" s="15"/>
      <c r="U1035" s="15"/>
    </row>
    <row r="1036" spans="12:21">
      <c r="L1036" s="15"/>
      <c r="M1036" s="15"/>
      <c r="N1036" s="15"/>
      <c r="T1036" s="15"/>
      <c r="U1036" s="15"/>
    </row>
    <row r="1037" spans="12:21">
      <c r="L1037" s="15"/>
      <c r="M1037" s="15"/>
      <c r="N1037" s="15"/>
      <c r="T1037" s="15"/>
      <c r="U1037" s="15"/>
    </row>
    <row r="1038" spans="12:21">
      <c r="L1038" s="15"/>
      <c r="M1038" s="15"/>
      <c r="N1038" s="15"/>
      <c r="T1038" s="15"/>
      <c r="U1038" s="15"/>
    </row>
    <row r="1039" spans="12:21">
      <c r="L1039" s="15"/>
      <c r="M1039" s="15"/>
      <c r="N1039" s="15"/>
      <c r="T1039" s="15"/>
      <c r="U1039" s="15"/>
    </row>
    <row r="1040" spans="12:21">
      <c r="L1040" s="15"/>
      <c r="M1040" s="15"/>
      <c r="N1040" s="15"/>
      <c r="T1040" s="15"/>
      <c r="U1040" s="15"/>
    </row>
    <row r="1041" spans="12:21">
      <c r="L1041" s="15"/>
      <c r="M1041" s="15"/>
      <c r="N1041" s="15"/>
      <c r="T1041" s="15"/>
      <c r="U1041" s="15"/>
    </row>
    <row r="1042" spans="12:21">
      <c r="L1042" s="15"/>
      <c r="M1042" s="15"/>
      <c r="N1042" s="15"/>
      <c r="T1042" s="15"/>
      <c r="U1042" s="15"/>
    </row>
    <row r="1043" spans="12:21">
      <c r="L1043" s="15"/>
      <c r="M1043" s="15"/>
      <c r="N1043" s="15"/>
      <c r="T1043" s="15"/>
      <c r="U1043" s="15"/>
    </row>
    <row r="1044" spans="12:21">
      <c r="L1044" s="15"/>
      <c r="M1044" s="15"/>
      <c r="N1044" s="15"/>
      <c r="T1044" s="15"/>
      <c r="U1044" s="15"/>
    </row>
    <row r="1045" spans="12:21">
      <c r="L1045" s="15"/>
      <c r="M1045" s="15"/>
      <c r="N1045" s="15"/>
      <c r="T1045" s="15"/>
      <c r="U1045" s="15"/>
    </row>
    <row r="1046" spans="12:21">
      <c r="L1046" s="15"/>
      <c r="M1046" s="15"/>
      <c r="N1046" s="15"/>
      <c r="T1046" s="15"/>
      <c r="U1046" s="15"/>
    </row>
    <row r="1047" spans="12:21">
      <c r="L1047" s="15"/>
      <c r="M1047" s="15"/>
      <c r="N1047" s="15"/>
      <c r="T1047" s="15"/>
      <c r="U1047" s="15"/>
    </row>
    <row r="1048" spans="12:21">
      <c r="L1048" s="15"/>
      <c r="M1048" s="15"/>
      <c r="N1048" s="15"/>
      <c r="T1048" s="15"/>
      <c r="U1048" s="15"/>
    </row>
    <row r="1049" spans="12:21">
      <c r="L1049" s="15"/>
      <c r="M1049" s="15"/>
      <c r="N1049" s="15"/>
      <c r="T1049" s="15"/>
      <c r="U1049" s="15"/>
    </row>
    <row r="1050" spans="12:21">
      <c r="L1050" s="15"/>
      <c r="M1050" s="15"/>
      <c r="N1050" s="15"/>
      <c r="T1050" s="15"/>
      <c r="U1050" s="15"/>
    </row>
    <row r="1051" spans="12:21">
      <c r="L1051" s="15"/>
      <c r="M1051" s="15"/>
      <c r="N1051" s="15"/>
      <c r="T1051" s="15"/>
      <c r="U1051" s="15"/>
    </row>
    <row r="1052" spans="12:21">
      <c r="L1052" s="15"/>
      <c r="M1052" s="15"/>
      <c r="N1052" s="15"/>
      <c r="T1052" s="15"/>
      <c r="U1052" s="15"/>
    </row>
    <row r="1053" spans="12:21">
      <c r="L1053" s="15"/>
      <c r="M1053" s="15"/>
      <c r="N1053" s="15"/>
      <c r="T1053" s="15"/>
      <c r="U1053" s="15"/>
    </row>
    <row r="1054" spans="12:21">
      <c r="L1054" s="15"/>
      <c r="M1054" s="15"/>
      <c r="N1054" s="15"/>
      <c r="T1054" s="15"/>
      <c r="U1054" s="15"/>
    </row>
    <row r="1055" spans="12:21">
      <c r="L1055" s="15"/>
      <c r="M1055" s="15"/>
      <c r="N1055" s="15"/>
      <c r="T1055" s="15"/>
      <c r="U1055" s="15"/>
    </row>
    <row r="1056" spans="12:21">
      <c r="L1056" s="15"/>
      <c r="M1056" s="15"/>
      <c r="N1056" s="15"/>
      <c r="T1056" s="15"/>
      <c r="U1056" s="15"/>
    </row>
    <row r="1057" spans="12:21">
      <c r="L1057" s="15"/>
      <c r="M1057" s="15"/>
      <c r="N1057" s="15"/>
      <c r="T1057" s="15"/>
      <c r="U1057" s="15"/>
    </row>
    <row r="1058" spans="12:21">
      <c r="L1058" s="15"/>
      <c r="M1058" s="15"/>
      <c r="N1058" s="15"/>
      <c r="T1058" s="15"/>
      <c r="U1058" s="15"/>
    </row>
    <row r="1059" spans="12:21">
      <c r="L1059" s="15"/>
      <c r="M1059" s="15"/>
      <c r="N1059" s="15"/>
      <c r="T1059" s="15"/>
      <c r="U1059" s="15"/>
    </row>
    <row r="1060" spans="12:21">
      <c r="L1060" s="15"/>
      <c r="M1060" s="15"/>
      <c r="N1060" s="15"/>
      <c r="T1060" s="15"/>
      <c r="U1060" s="15"/>
    </row>
    <row r="1061" spans="12:21">
      <c r="L1061" s="15"/>
      <c r="M1061" s="15"/>
      <c r="N1061" s="15"/>
      <c r="T1061" s="15"/>
      <c r="U1061" s="15"/>
    </row>
    <row r="1062" spans="12:21">
      <c r="L1062" s="15"/>
      <c r="M1062" s="15"/>
      <c r="N1062" s="15"/>
      <c r="T1062" s="15"/>
      <c r="U1062" s="15"/>
    </row>
    <row r="1063" spans="12:21">
      <c r="L1063" s="15"/>
      <c r="M1063" s="15"/>
      <c r="N1063" s="15"/>
      <c r="T1063" s="15"/>
      <c r="U1063" s="15"/>
    </row>
    <row r="1064" spans="12:21">
      <c r="L1064" s="15"/>
      <c r="M1064" s="15"/>
      <c r="N1064" s="15"/>
      <c r="T1064" s="15"/>
      <c r="U1064" s="15"/>
    </row>
    <row r="1065" spans="12:21">
      <c r="L1065" s="15"/>
      <c r="M1065" s="15"/>
      <c r="N1065" s="15"/>
      <c r="T1065" s="15"/>
      <c r="U1065" s="15"/>
    </row>
    <row r="1066" spans="12:21">
      <c r="L1066" s="15"/>
      <c r="M1066" s="15"/>
      <c r="N1066" s="15"/>
      <c r="T1066" s="15"/>
      <c r="U1066" s="15"/>
    </row>
    <row r="1067" spans="12:21">
      <c r="L1067" s="15"/>
      <c r="M1067" s="15"/>
      <c r="N1067" s="15"/>
      <c r="T1067" s="15"/>
      <c r="U1067" s="15"/>
    </row>
    <row r="1068" spans="12:21">
      <c r="L1068" s="15"/>
      <c r="M1068" s="15"/>
      <c r="N1068" s="15"/>
      <c r="T1068" s="15"/>
      <c r="U1068" s="15"/>
    </row>
    <row r="1069" spans="12:21">
      <c r="L1069" s="15"/>
      <c r="M1069" s="15"/>
      <c r="N1069" s="15"/>
      <c r="T1069" s="15"/>
      <c r="U1069" s="15"/>
    </row>
    <row r="1070" spans="12:21">
      <c r="L1070" s="15"/>
      <c r="M1070" s="15"/>
      <c r="N1070" s="15"/>
      <c r="T1070" s="15"/>
      <c r="U1070" s="15"/>
    </row>
    <row r="1071" spans="12:21">
      <c r="L1071" s="15"/>
      <c r="M1071" s="15"/>
      <c r="N1071" s="15"/>
      <c r="T1071" s="15"/>
      <c r="U1071" s="15"/>
    </row>
    <row r="1072" spans="12:21">
      <c r="L1072" s="15"/>
      <c r="M1072" s="15"/>
      <c r="N1072" s="15"/>
      <c r="T1072" s="15"/>
      <c r="U1072" s="15"/>
    </row>
    <row r="1073" spans="12:21">
      <c r="L1073" s="15"/>
      <c r="M1073" s="15"/>
      <c r="N1073" s="15"/>
      <c r="T1073" s="15"/>
      <c r="U1073" s="15"/>
    </row>
    <row r="1074" spans="12:21">
      <c r="L1074" s="15"/>
      <c r="M1074" s="15"/>
      <c r="N1074" s="15"/>
      <c r="T1074" s="15"/>
      <c r="U1074" s="15"/>
    </row>
    <row r="1075" spans="12:21">
      <c r="L1075" s="15"/>
      <c r="M1075" s="15"/>
      <c r="N1075" s="15"/>
      <c r="T1075" s="15"/>
      <c r="U1075" s="15"/>
    </row>
    <row r="1076" spans="12:21">
      <c r="L1076" s="15"/>
      <c r="M1076" s="15"/>
      <c r="N1076" s="15"/>
      <c r="T1076" s="15"/>
      <c r="U1076" s="15"/>
    </row>
    <row r="1077" spans="12:21">
      <c r="L1077" s="15"/>
      <c r="M1077" s="15"/>
      <c r="N1077" s="15"/>
      <c r="T1077" s="15"/>
      <c r="U1077" s="15"/>
    </row>
    <row r="1078" spans="12:21">
      <c r="L1078" s="15"/>
      <c r="M1078" s="15"/>
      <c r="N1078" s="15"/>
      <c r="T1078" s="15"/>
      <c r="U1078" s="15"/>
    </row>
    <row r="1079" spans="12:21">
      <c r="L1079" s="15"/>
      <c r="M1079" s="15"/>
      <c r="N1079" s="15"/>
      <c r="T1079" s="15"/>
      <c r="U1079" s="15"/>
    </row>
    <row r="1080" spans="12:21">
      <c r="L1080" s="15"/>
      <c r="M1080" s="15"/>
      <c r="N1080" s="15"/>
      <c r="T1080" s="15"/>
      <c r="U1080" s="15"/>
    </row>
    <row r="1081" spans="12:21">
      <c r="L1081" s="15"/>
      <c r="M1081" s="15"/>
      <c r="N1081" s="15"/>
      <c r="T1081" s="15"/>
      <c r="U1081" s="15"/>
    </row>
    <row r="1082" spans="12:21">
      <c r="L1082" s="15"/>
      <c r="M1082" s="15"/>
      <c r="N1082" s="15"/>
      <c r="T1082" s="15"/>
      <c r="U1082" s="15"/>
    </row>
    <row r="1083" spans="12:21">
      <c r="L1083" s="15"/>
      <c r="M1083" s="15"/>
      <c r="N1083" s="15"/>
      <c r="T1083" s="15"/>
      <c r="U1083" s="15"/>
    </row>
    <row r="1084" spans="12:21">
      <c r="L1084" s="15"/>
      <c r="M1084" s="15"/>
      <c r="N1084" s="15"/>
      <c r="T1084" s="15"/>
      <c r="U1084" s="15"/>
    </row>
    <row r="1085" spans="12:21">
      <c r="L1085" s="15"/>
      <c r="M1085" s="15"/>
      <c r="N1085" s="15"/>
      <c r="T1085" s="15"/>
      <c r="U1085" s="15"/>
    </row>
    <row r="1086" spans="12:21">
      <c r="L1086" s="15"/>
      <c r="M1086" s="15"/>
      <c r="N1086" s="15"/>
      <c r="T1086" s="15"/>
      <c r="U1086" s="15"/>
    </row>
    <row r="1087" spans="12:21">
      <c r="L1087" s="15"/>
      <c r="M1087" s="15"/>
      <c r="N1087" s="15"/>
      <c r="T1087" s="15"/>
      <c r="U1087" s="15"/>
    </row>
    <row r="1088" spans="12:21">
      <c r="L1088" s="15"/>
      <c r="M1088" s="15"/>
      <c r="N1088" s="15"/>
      <c r="T1088" s="15"/>
      <c r="U1088" s="15"/>
    </row>
    <row r="1089" spans="12:21">
      <c r="L1089" s="15"/>
      <c r="M1089" s="15"/>
      <c r="N1089" s="15"/>
      <c r="T1089" s="15"/>
      <c r="U1089" s="15"/>
    </row>
    <row r="1090" spans="12:21">
      <c r="L1090" s="15"/>
      <c r="M1090" s="15"/>
      <c r="N1090" s="15"/>
      <c r="T1090" s="15"/>
      <c r="U1090" s="15"/>
    </row>
    <row r="1091" spans="12:21">
      <c r="L1091" s="15"/>
      <c r="M1091" s="15"/>
      <c r="N1091" s="15"/>
      <c r="T1091" s="15"/>
      <c r="U1091" s="15"/>
    </row>
    <row r="1092" spans="12:21">
      <c r="L1092" s="15"/>
      <c r="M1092" s="15"/>
      <c r="N1092" s="15"/>
      <c r="T1092" s="15"/>
      <c r="U1092" s="15"/>
    </row>
    <row r="1093" spans="12:21">
      <c r="L1093" s="15"/>
      <c r="M1093" s="15"/>
      <c r="N1093" s="15"/>
      <c r="T1093" s="15"/>
      <c r="U1093" s="15"/>
    </row>
    <row r="1094" spans="12:21">
      <c r="L1094" s="15"/>
      <c r="M1094" s="15"/>
      <c r="N1094" s="15"/>
      <c r="T1094" s="15"/>
      <c r="U1094" s="15"/>
    </row>
    <row r="1095" spans="12:21">
      <c r="L1095" s="15"/>
      <c r="M1095" s="15"/>
      <c r="N1095" s="15"/>
      <c r="T1095" s="15"/>
      <c r="U1095" s="15"/>
    </row>
    <row r="1096" spans="12:21">
      <c r="L1096" s="15"/>
      <c r="M1096" s="15"/>
      <c r="N1096" s="15"/>
      <c r="T1096" s="15"/>
      <c r="U1096" s="15"/>
    </row>
    <row r="1097" spans="12:21">
      <c r="L1097" s="15"/>
      <c r="M1097" s="15"/>
      <c r="N1097" s="15"/>
      <c r="T1097" s="15"/>
      <c r="U1097" s="15"/>
    </row>
    <row r="1098" spans="12:21">
      <c r="L1098" s="15"/>
      <c r="M1098" s="15"/>
      <c r="N1098" s="15"/>
      <c r="T1098" s="15"/>
      <c r="U1098" s="15"/>
    </row>
    <row r="1099" spans="12:21">
      <c r="L1099" s="15"/>
      <c r="M1099" s="15"/>
      <c r="N1099" s="15"/>
      <c r="T1099" s="15"/>
      <c r="U1099" s="15"/>
    </row>
    <row r="1100" spans="12:21">
      <c r="L1100" s="15"/>
      <c r="M1100" s="15"/>
      <c r="N1100" s="15"/>
      <c r="T1100" s="15"/>
      <c r="U1100" s="15"/>
    </row>
    <row r="1101" spans="12:21">
      <c r="L1101" s="15"/>
      <c r="M1101" s="15"/>
      <c r="N1101" s="15"/>
      <c r="T1101" s="15"/>
      <c r="U1101" s="15"/>
    </row>
    <row r="1102" spans="12:21">
      <c r="L1102" s="15"/>
      <c r="M1102" s="15"/>
      <c r="N1102" s="15"/>
      <c r="T1102" s="15"/>
      <c r="U1102" s="15"/>
    </row>
    <row r="1103" spans="12:21">
      <c r="L1103" s="15"/>
      <c r="M1103" s="15"/>
      <c r="N1103" s="15"/>
      <c r="T1103" s="15"/>
      <c r="U1103" s="15"/>
    </row>
    <row r="1104" spans="12:21">
      <c r="L1104" s="15"/>
      <c r="M1104" s="15"/>
      <c r="N1104" s="15"/>
      <c r="T1104" s="15"/>
      <c r="U1104" s="15"/>
    </row>
    <row r="1105" spans="12:21">
      <c r="L1105" s="15"/>
      <c r="M1105" s="15"/>
      <c r="N1105" s="15"/>
      <c r="T1105" s="15"/>
      <c r="U1105" s="15"/>
    </row>
    <row r="1106" spans="12:21">
      <c r="L1106" s="15"/>
      <c r="M1106" s="15"/>
      <c r="N1106" s="15"/>
      <c r="T1106" s="15"/>
      <c r="U1106" s="15"/>
    </row>
    <row r="1107" spans="12:21">
      <c r="L1107" s="15"/>
      <c r="M1107" s="15"/>
      <c r="N1107" s="15"/>
      <c r="T1107" s="15"/>
      <c r="U1107" s="15"/>
    </row>
    <row r="1108" spans="12:21">
      <c r="L1108" s="15"/>
      <c r="M1108" s="15"/>
      <c r="N1108" s="15"/>
      <c r="T1108" s="15"/>
      <c r="U1108" s="15"/>
    </row>
    <row r="1109" spans="12:21">
      <c r="L1109" s="15"/>
      <c r="M1109" s="15"/>
      <c r="N1109" s="15"/>
      <c r="T1109" s="15"/>
      <c r="U1109" s="15"/>
    </row>
    <row r="1110" spans="12:21">
      <c r="L1110" s="15"/>
      <c r="M1110" s="15"/>
      <c r="N1110" s="15"/>
      <c r="T1110" s="15"/>
      <c r="U1110" s="15"/>
    </row>
    <row r="1111" spans="12:21">
      <c r="L1111" s="15"/>
      <c r="M1111" s="15"/>
      <c r="N1111" s="15"/>
      <c r="T1111" s="15"/>
      <c r="U1111" s="15"/>
    </row>
    <row r="1112" spans="12:21">
      <c r="L1112" s="15"/>
      <c r="M1112" s="15"/>
      <c r="N1112" s="15"/>
      <c r="T1112" s="15"/>
      <c r="U1112" s="15"/>
    </row>
    <row r="1113" spans="12:21">
      <c r="L1113" s="15"/>
      <c r="M1113" s="15"/>
      <c r="N1113" s="15"/>
      <c r="T1113" s="15"/>
      <c r="U1113" s="15"/>
    </row>
    <row r="1114" spans="12:21">
      <c r="L1114" s="15"/>
      <c r="M1114" s="15"/>
      <c r="N1114" s="15"/>
      <c r="T1114" s="15"/>
      <c r="U1114" s="15"/>
    </row>
    <row r="1115" spans="12:21">
      <c r="L1115" s="15"/>
      <c r="M1115" s="15"/>
      <c r="N1115" s="15"/>
      <c r="T1115" s="15"/>
      <c r="U1115" s="15"/>
    </row>
    <row r="1116" spans="12:21">
      <c r="L1116" s="15"/>
      <c r="M1116" s="15"/>
      <c r="N1116" s="15"/>
      <c r="T1116" s="15"/>
      <c r="U1116" s="15"/>
    </row>
    <row r="1117" spans="12:21">
      <c r="L1117" s="15"/>
      <c r="M1117" s="15"/>
      <c r="N1117" s="15"/>
      <c r="T1117" s="15"/>
      <c r="U1117" s="15"/>
    </row>
    <row r="1118" spans="12:21">
      <c r="L1118" s="15"/>
      <c r="M1118" s="15"/>
      <c r="N1118" s="15"/>
      <c r="T1118" s="15"/>
      <c r="U1118" s="15"/>
    </row>
    <row r="1119" spans="12:21">
      <c r="L1119" s="15"/>
      <c r="M1119" s="15"/>
      <c r="N1119" s="15"/>
      <c r="T1119" s="15"/>
      <c r="U1119" s="15"/>
    </row>
    <row r="1120" spans="12:21">
      <c r="L1120" s="15"/>
      <c r="M1120" s="15"/>
      <c r="N1120" s="15"/>
      <c r="T1120" s="15"/>
      <c r="U1120" s="15"/>
    </row>
    <row r="1121" spans="12:21">
      <c r="L1121" s="15"/>
      <c r="M1121" s="15"/>
      <c r="N1121" s="15"/>
      <c r="T1121" s="15"/>
      <c r="U1121" s="15"/>
    </row>
    <row r="1122" spans="12:21">
      <c r="L1122" s="15"/>
      <c r="M1122" s="15"/>
      <c r="N1122" s="15"/>
      <c r="T1122" s="15"/>
      <c r="U1122" s="15"/>
    </row>
    <row r="1123" spans="12:21">
      <c r="L1123" s="15"/>
      <c r="M1123" s="15"/>
      <c r="N1123" s="15"/>
      <c r="T1123" s="15"/>
      <c r="U1123" s="15"/>
    </row>
    <row r="1124" spans="12:21">
      <c r="L1124" s="15"/>
      <c r="M1124" s="15"/>
      <c r="N1124" s="15"/>
      <c r="T1124" s="15"/>
      <c r="U1124" s="15"/>
    </row>
    <row r="1125" spans="12:21">
      <c r="L1125" s="15"/>
      <c r="M1125" s="15"/>
      <c r="N1125" s="15"/>
      <c r="T1125" s="15"/>
      <c r="U1125" s="15"/>
    </row>
    <row r="1126" spans="12:21">
      <c r="L1126" s="15"/>
      <c r="M1126" s="15"/>
      <c r="N1126" s="15"/>
      <c r="T1126" s="15"/>
      <c r="U1126" s="15"/>
    </row>
    <row r="1127" spans="12:21">
      <c r="L1127" s="15"/>
      <c r="M1127" s="15"/>
      <c r="N1127" s="15"/>
      <c r="T1127" s="15"/>
      <c r="U1127" s="15"/>
    </row>
    <row r="1128" spans="12:21">
      <c r="L1128" s="15"/>
      <c r="M1128" s="15"/>
      <c r="N1128" s="15"/>
      <c r="T1128" s="15"/>
      <c r="U1128" s="15"/>
    </row>
    <row r="1129" spans="12:21">
      <c r="L1129" s="15"/>
      <c r="M1129" s="15"/>
      <c r="N1129" s="15"/>
      <c r="T1129" s="15"/>
      <c r="U1129" s="15"/>
    </row>
    <row r="1130" spans="12:21">
      <c r="L1130" s="15"/>
      <c r="M1130" s="15"/>
      <c r="N1130" s="15"/>
      <c r="T1130" s="15"/>
      <c r="U1130" s="15"/>
    </row>
    <row r="1131" spans="12:21">
      <c r="L1131" s="15"/>
      <c r="M1131" s="15"/>
      <c r="N1131" s="15"/>
      <c r="T1131" s="15"/>
      <c r="U1131" s="15"/>
    </row>
    <row r="1132" spans="12:21">
      <c r="L1132" s="15"/>
      <c r="M1132" s="15"/>
      <c r="N1132" s="15"/>
      <c r="T1132" s="15"/>
      <c r="U1132" s="15"/>
    </row>
    <row r="1133" spans="12:21">
      <c r="L1133" s="15"/>
      <c r="M1133" s="15"/>
      <c r="N1133" s="15"/>
      <c r="T1133" s="15"/>
      <c r="U1133" s="15"/>
    </row>
    <row r="1134" spans="12:21">
      <c r="L1134" s="15"/>
      <c r="M1134" s="15"/>
      <c r="N1134" s="15"/>
      <c r="T1134" s="15"/>
      <c r="U1134" s="15"/>
    </row>
    <row r="1135" spans="12:21">
      <c r="L1135" s="15"/>
      <c r="M1135" s="15"/>
      <c r="N1135" s="15"/>
      <c r="T1135" s="15"/>
      <c r="U1135" s="15"/>
    </row>
    <row r="1136" spans="12:21">
      <c r="L1136" s="15"/>
      <c r="M1136" s="15"/>
      <c r="N1136" s="15"/>
      <c r="T1136" s="15"/>
      <c r="U1136" s="15"/>
    </row>
    <row r="1137" spans="12:21">
      <c r="L1137" s="15"/>
      <c r="M1137" s="15"/>
      <c r="N1137" s="15"/>
      <c r="T1137" s="15"/>
      <c r="U1137" s="15"/>
    </row>
    <row r="1138" spans="12:21">
      <c r="L1138" s="15"/>
      <c r="M1138" s="15"/>
      <c r="N1138" s="15"/>
      <c r="T1138" s="15"/>
      <c r="U1138" s="15"/>
    </row>
    <row r="1139" spans="12:21">
      <c r="L1139" s="15"/>
      <c r="M1139" s="15"/>
      <c r="N1139" s="15"/>
      <c r="T1139" s="15"/>
      <c r="U1139" s="15"/>
    </row>
    <row r="1140" spans="12:21">
      <c r="L1140" s="15"/>
      <c r="M1140" s="15"/>
      <c r="N1140" s="15"/>
      <c r="T1140" s="15"/>
      <c r="U1140" s="15"/>
    </row>
    <row r="1141" spans="12:21">
      <c r="L1141" s="15"/>
      <c r="M1141" s="15"/>
      <c r="N1141" s="15"/>
      <c r="T1141" s="15"/>
      <c r="U1141" s="15"/>
    </row>
    <row r="1142" spans="12:21">
      <c r="L1142" s="15"/>
      <c r="M1142" s="15"/>
      <c r="N1142" s="15"/>
      <c r="T1142" s="15"/>
      <c r="U1142" s="15"/>
    </row>
    <row r="1143" spans="12:21">
      <c r="L1143" s="15"/>
      <c r="M1143" s="15"/>
      <c r="N1143" s="15"/>
      <c r="T1143" s="15"/>
      <c r="U1143" s="15"/>
    </row>
    <row r="1144" spans="12:21">
      <c r="L1144" s="15"/>
      <c r="M1144" s="15"/>
      <c r="N1144" s="15"/>
      <c r="T1144" s="15"/>
      <c r="U1144" s="15"/>
    </row>
    <row r="1145" spans="12:21">
      <c r="L1145" s="15"/>
      <c r="M1145" s="15"/>
      <c r="N1145" s="15"/>
      <c r="T1145" s="15"/>
      <c r="U1145" s="15"/>
    </row>
    <row r="1146" spans="12:21">
      <c r="L1146" s="15"/>
      <c r="M1146" s="15"/>
      <c r="N1146" s="15"/>
      <c r="T1146" s="15"/>
      <c r="U1146" s="15"/>
    </row>
    <row r="1147" spans="12:21">
      <c r="L1147" s="15"/>
      <c r="M1147" s="15"/>
      <c r="N1147" s="15"/>
      <c r="T1147" s="15"/>
      <c r="U1147" s="15"/>
    </row>
    <row r="1148" spans="12:21">
      <c r="L1148" s="15"/>
      <c r="M1148" s="15"/>
      <c r="N1148" s="15"/>
      <c r="T1148" s="15"/>
      <c r="U1148" s="15"/>
    </row>
    <row r="1149" spans="12:21">
      <c r="L1149" s="15"/>
      <c r="M1149" s="15"/>
      <c r="N1149" s="15"/>
      <c r="T1149" s="15"/>
      <c r="U1149" s="15"/>
    </row>
    <row r="1150" spans="12:21">
      <c r="L1150" s="15"/>
      <c r="M1150" s="15"/>
      <c r="N1150" s="15"/>
      <c r="T1150" s="15"/>
      <c r="U1150" s="15"/>
    </row>
    <row r="1151" spans="12:21">
      <c r="L1151" s="15"/>
      <c r="M1151" s="15"/>
      <c r="N1151" s="15"/>
      <c r="T1151" s="15"/>
      <c r="U1151" s="15"/>
    </row>
    <row r="1152" spans="12:21">
      <c r="L1152" s="15"/>
      <c r="M1152" s="15"/>
      <c r="N1152" s="15"/>
      <c r="T1152" s="15"/>
      <c r="U1152" s="15"/>
    </row>
    <row r="1153" spans="12:21">
      <c r="L1153" s="15"/>
      <c r="M1153" s="15"/>
      <c r="N1153" s="15"/>
      <c r="T1153" s="15"/>
      <c r="U1153" s="15"/>
    </row>
    <row r="1154" spans="12:21">
      <c r="L1154" s="15"/>
      <c r="M1154" s="15"/>
      <c r="N1154" s="15"/>
      <c r="T1154" s="15"/>
      <c r="U1154" s="15"/>
    </row>
    <row r="1155" spans="12:21">
      <c r="L1155" s="15"/>
      <c r="M1155" s="15"/>
      <c r="N1155" s="15"/>
      <c r="T1155" s="15"/>
      <c r="U1155" s="15"/>
    </row>
    <row r="1156" spans="12:21">
      <c r="L1156" s="15"/>
      <c r="M1156" s="15"/>
      <c r="N1156" s="15"/>
      <c r="T1156" s="15"/>
      <c r="U1156" s="15"/>
    </row>
    <row r="1157" spans="12:21">
      <c r="L1157" s="15"/>
      <c r="M1157" s="15"/>
      <c r="N1157" s="15"/>
      <c r="T1157" s="15"/>
      <c r="U1157" s="15"/>
    </row>
    <row r="1158" spans="12:21">
      <c r="L1158" s="15"/>
      <c r="M1158" s="15"/>
      <c r="N1158" s="15"/>
      <c r="T1158" s="15"/>
      <c r="U1158" s="15"/>
    </row>
    <row r="1159" spans="12:21">
      <c r="L1159" s="15"/>
      <c r="M1159" s="15"/>
      <c r="N1159" s="15"/>
      <c r="T1159" s="15"/>
      <c r="U1159" s="15"/>
    </row>
    <row r="1160" spans="12:21">
      <c r="L1160" s="15"/>
      <c r="M1160" s="15"/>
      <c r="N1160" s="15"/>
      <c r="T1160" s="15"/>
      <c r="U1160" s="15"/>
    </row>
    <row r="1161" spans="12:21">
      <c r="L1161" s="15"/>
      <c r="M1161" s="15"/>
      <c r="N1161" s="15"/>
      <c r="T1161" s="15"/>
      <c r="U1161" s="15"/>
    </row>
    <row r="1162" spans="12:21">
      <c r="L1162" s="15"/>
      <c r="M1162" s="15"/>
      <c r="N1162" s="15"/>
      <c r="T1162" s="15"/>
      <c r="U1162" s="15"/>
    </row>
    <row r="1163" spans="12:21">
      <c r="L1163" s="15"/>
      <c r="M1163" s="15"/>
      <c r="N1163" s="15"/>
      <c r="T1163" s="15"/>
      <c r="U1163" s="15"/>
    </row>
    <row r="1164" spans="12:21">
      <c r="L1164" s="15"/>
      <c r="M1164" s="15"/>
      <c r="N1164" s="15"/>
      <c r="T1164" s="15"/>
      <c r="U1164" s="15"/>
    </row>
    <row r="1165" spans="12:21">
      <c r="L1165" s="15"/>
      <c r="M1165" s="15"/>
      <c r="N1165" s="15"/>
      <c r="T1165" s="15"/>
      <c r="U1165" s="15"/>
    </row>
    <row r="1166" spans="12:21">
      <c r="L1166" s="15"/>
      <c r="M1166" s="15"/>
      <c r="N1166" s="15"/>
      <c r="T1166" s="15"/>
      <c r="U1166" s="15"/>
    </row>
    <row r="1167" spans="12:21">
      <c r="L1167" s="15"/>
      <c r="M1167" s="15"/>
      <c r="N1167" s="15"/>
      <c r="T1167" s="15"/>
      <c r="U1167" s="15"/>
    </row>
    <row r="1168" spans="12:21">
      <c r="L1168" s="15"/>
      <c r="M1168" s="15"/>
      <c r="N1168" s="15"/>
      <c r="T1168" s="15"/>
      <c r="U1168" s="15"/>
    </row>
    <row r="1169" spans="12:21">
      <c r="L1169" s="15"/>
      <c r="M1169" s="15"/>
      <c r="N1169" s="15"/>
      <c r="T1169" s="15"/>
      <c r="U1169" s="15"/>
    </row>
    <row r="1170" spans="12:21">
      <c r="L1170" s="15"/>
      <c r="M1170" s="15"/>
      <c r="N1170" s="15"/>
      <c r="T1170" s="15"/>
      <c r="U1170" s="15"/>
    </row>
    <row r="1171" spans="12:21">
      <c r="L1171" s="15"/>
      <c r="M1171" s="15"/>
      <c r="N1171" s="15"/>
      <c r="T1171" s="15"/>
      <c r="U1171" s="15"/>
    </row>
    <row r="1172" spans="12:21">
      <c r="L1172" s="15"/>
      <c r="M1172" s="15"/>
      <c r="N1172" s="15"/>
      <c r="T1172" s="15"/>
      <c r="U1172" s="15"/>
    </row>
    <row r="1173" spans="12:21">
      <c r="L1173" s="15"/>
      <c r="M1173" s="15"/>
      <c r="N1173" s="15"/>
      <c r="T1173" s="15"/>
      <c r="U1173" s="15"/>
    </row>
    <row r="1174" spans="12:21">
      <c r="L1174" s="15"/>
      <c r="M1174" s="15"/>
      <c r="N1174" s="15"/>
      <c r="T1174" s="15"/>
      <c r="U1174" s="15"/>
    </row>
    <row r="1175" spans="12:21">
      <c r="L1175" s="15"/>
      <c r="M1175" s="15"/>
      <c r="N1175" s="15"/>
      <c r="T1175" s="15"/>
      <c r="U1175" s="15"/>
    </row>
    <row r="1176" spans="12:21">
      <c r="L1176" s="15"/>
      <c r="M1176" s="15"/>
      <c r="N1176" s="15"/>
      <c r="T1176" s="15"/>
      <c r="U1176" s="15"/>
    </row>
    <row r="1177" spans="12:21">
      <c r="L1177" s="15"/>
      <c r="M1177" s="15"/>
      <c r="N1177" s="15"/>
      <c r="T1177" s="15"/>
      <c r="U1177" s="15"/>
    </row>
    <row r="1178" spans="12:21">
      <c r="L1178" s="15"/>
      <c r="M1178" s="15"/>
      <c r="N1178" s="15"/>
      <c r="T1178" s="15"/>
      <c r="U1178" s="15"/>
    </row>
    <row r="1179" spans="12:21">
      <c r="L1179" s="15"/>
      <c r="M1179" s="15"/>
      <c r="N1179" s="15"/>
      <c r="T1179" s="15"/>
      <c r="U1179" s="15"/>
    </row>
    <row r="1180" spans="12:21">
      <c r="L1180" s="15"/>
      <c r="M1180" s="15"/>
      <c r="N1180" s="15"/>
      <c r="T1180" s="15"/>
      <c r="U1180" s="15"/>
    </row>
    <row r="1181" spans="12:21">
      <c r="L1181" s="15"/>
      <c r="M1181" s="15"/>
      <c r="N1181" s="15"/>
      <c r="T1181" s="15"/>
      <c r="U1181" s="15"/>
    </row>
    <row r="1182" spans="12:21">
      <c r="L1182" s="15"/>
      <c r="M1182" s="15"/>
      <c r="N1182" s="15"/>
      <c r="T1182" s="15"/>
      <c r="U1182" s="15"/>
    </row>
    <row r="1183" spans="12:21">
      <c r="L1183" s="15"/>
      <c r="M1183" s="15"/>
      <c r="N1183" s="15"/>
      <c r="T1183" s="15"/>
      <c r="U1183" s="15"/>
    </row>
    <row r="1184" spans="12:21">
      <c r="L1184" s="15"/>
      <c r="M1184" s="15"/>
      <c r="N1184" s="15"/>
      <c r="T1184" s="15"/>
      <c r="U1184" s="15"/>
    </row>
    <row r="1185" spans="12:21">
      <c r="L1185" s="15"/>
      <c r="M1185" s="15"/>
      <c r="N1185" s="15"/>
      <c r="T1185" s="15"/>
      <c r="U1185" s="15"/>
    </row>
    <row r="1186" spans="12:21">
      <c r="L1186" s="15"/>
      <c r="M1186" s="15"/>
      <c r="N1186" s="15"/>
      <c r="T1186" s="15"/>
      <c r="U1186" s="15"/>
    </row>
    <row r="1187" spans="12:21">
      <c r="L1187" s="15"/>
      <c r="M1187" s="15"/>
      <c r="N1187" s="15"/>
      <c r="T1187" s="15"/>
      <c r="U1187" s="15"/>
    </row>
    <row r="1188" spans="12:21">
      <c r="L1188" s="15"/>
      <c r="M1188" s="15"/>
      <c r="N1188" s="15"/>
      <c r="T1188" s="15"/>
      <c r="U1188" s="15"/>
    </row>
    <row r="1189" spans="12:21">
      <c r="L1189" s="15"/>
      <c r="M1189" s="15"/>
      <c r="N1189" s="15"/>
      <c r="T1189" s="15"/>
      <c r="U1189" s="15"/>
    </row>
    <row r="1190" spans="12:21">
      <c r="L1190" s="15"/>
      <c r="M1190" s="15"/>
      <c r="N1190" s="15"/>
      <c r="T1190" s="15"/>
      <c r="U1190" s="15"/>
    </row>
    <row r="1191" spans="12:21">
      <c r="L1191" s="15"/>
      <c r="M1191" s="15"/>
      <c r="N1191" s="15"/>
      <c r="T1191" s="15"/>
      <c r="U1191" s="15"/>
    </row>
    <row r="1192" spans="12:21">
      <c r="L1192" s="15"/>
      <c r="M1192" s="15"/>
      <c r="N1192" s="15"/>
      <c r="T1192" s="15"/>
      <c r="U1192" s="15"/>
    </row>
    <row r="1193" spans="12:21">
      <c r="L1193" s="15"/>
      <c r="M1193" s="15"/>
      <c r="N1193" s="15"/>
      <c r="T1193" s="15"/>
      <c r="U1193" s="15"/>
    </row>
    <row r="1194" spans="12:21">
      <c r="L1194" s="15"/>
      <c r="M1194" s="15"/>
      <c r="N1194" s="15"/>
      <c r="T1194" s="15"/>
      <c r="U1194" s="15"/>
    </row>
    <row r="1195" spans="12:21">
      <c r="L1195" s="15"/>
      <c r="M1195" s="15"/>
      <c r="N1195" s="15"/>
      <c r="T1195" s="15"/>
      <c r="U1195" s="15"/>
    </row>
    <row r="1196" spans="12:21">
      <c r="L1196" s="15"/>
      <c r="M1196" s="15"/>
      <c r="N1196" s="15"/>
      <c r="T1196" s="15"/>
      <c r="U1196" s="15"/>
    </row>
    <row r="1197" spans="12:21">
      <c r="L1197" s="15"/>
      <c r="M1197" s="15"/>
      <c r="N1197" s="15"/>
      <c r="T1197" s="15"/>
      <c r="U1197" s="15"/>
    </row>
    <row r="1198" spans="12:21">
      <c r="L1198" s="15"/>
      <c r="M1198" s="15"/>
      <c r="N1198" s="15"/>
      <c r="T1198" s="15"/>
      <c r="U1198" s="15"/>
    </row>
    <row r="1199" spans="12:21">
      <c r="L1199" s="15"/>
      <c r="M1199" s="15"/>
      <c r="N1199" s="15"/>
      <c r="T1199" s="15"/>
      <c r="U1199" s="15"/>
    </row>
    <row r="1200" spans="12:21">
      <c r="L1200" s="15"/>
      <c r="M1200" s="15"/>
      <c r="N1200" s="15"/>
      <c r="T1200" s="15"/>
      <c r="U1200" s="15"/>
    </row>
    <row r="1201" spans="12:21">
      <c r="L1201" s="15"/>
      <c r="M1201" s="15"/>
      <c r="N1201" s="15"/>
      <c r="T1201" s="15"/>
      <c r="U1201" s="15"/>
    </row>
    <row r="1202" spans="12:21">
      <c r="L1202" s="15"/>
      <c r="M1202" s="15"/>
      <c r="N1202" s="15"/>
      <c r="T1202" s="15"/>
      <c r="U1202" s="15"/>
    </row>
    <row r="1203" spans="12:21">
      <c r="L1203" s="15"/>
      <c r="M1203" s="15"/>
      <c r="N1203" s="15"/>
      <c r="T1203" s="15"/>
      <c r="U1203" s="15"/>
    </row>
    <row r="1204" spans="12:21">
      <c r="L1204" s="15"/>
      <c r="M1204" s="15"/>
      <c r="N1204" s="15"/>
      <c r="T1204" s="15"/>
      <c r="U1204" s="15"/>
    </row>
    <row r="1205" spans="12:21">
      <c r="L1205" s="15"/>
      <c r="M1205" s="15"/>
      <c r="N1205" s="15"/>
      <c r="T1205" s="15"/>
      <c r="U1205" s="15"/>
    </row>
    <row r="1206" spans="12:21">
      <c r="L1206" s="15"/>
      <c r="M1206" s="15"/>
      <c r="N1206" s="15"/>
      <c r="T1206" s="15"/>
      <c r="U1206" s="15"/>
    </row>
    <row r="1207" spans="12:21">
      <c r="L1207" s="15"/>
      <c r="M1207" s="15"/>
      <c r="N1207" s="15"/>
      <c r="T1207" s="15"/>
      <c r="U1207" s="15"/>
    </row>
    <row r="1208" spans="12:21">
      <c r="L1208" s="15"/>
      <c r="M1208" s="15"/>
      <c r="N1208" s="15"/>
      <c r="T1208" s="15"/>
      <c r="U1208" s="15"/>
    </row>
    <row r="1209" spans="12:21">
      <c r="L1209" s="15"/>
      <c r="M1209" s="15"/>
      <c r="N1209" s="15"/>
      <c r="T1209" s="15"/>
      <c r="U1209" s="15"/>
    </row>
    <row r="1210" spans="12:21">
      <c r="L1210" s="15"/>
      <c r="M1210" s="15"/>
      <c r="N1210" s="15"/>
      <c r="T1210" s="15"/>
      <c r="U1210" s="15"/>
    </row>
    <row r="1211" spans="12:21">
      <c r="L1211" s="15"/>
      <c r="M1211" s="15"/>
      <c r="N1211" s="15"/>
      <c r="T1211" s="15"/>
      <c r="U1211" s="15"/>
    </row>
    <row r="1212" spans="12:21">
      <c r="L1212" s="15"/>
      <c r="M1212" s="15"/>
      <c r="N1212" s="15"/>
      <c r="T1212" s="15"/>
      <c r="U1212" s="15"/>
    </row>
    <row r="1213" spans="12:21">
      <c r="L1213" s="15"/>
      <c r="M1213" s="15"/>
      <c r="N1213" s="15"/>
      <c r="T1213" s="15"/>
      <c r="U1213" s="15"/>
    </row>
    <row r="1214" spans="12:21">
      <c r="L1214" s="15"/>
      <c r="M1214" s="15"/>
      <c r="N1214" s="15"/>
      <c r="T1214" s="15"/>
      <c r="U1214" s="15"/>
    </row>
    <row r="1215" spans="12:21">
      <c r="L1215" s="15"/>
      <c r="M1215" s="15"/>
      <c r="N1215" s="15"/>
      <c r="T1215" s="15"/>
      <c r="U1215" s="15"/>
    </row>
    <row r="1216" spans="12:21">
      <c r="L1216" s="15"/>
      <c r="M1216" s="15"/>
      <c r="N1216" s="15"/>
      <c r="T1216" s="15"/>
      <c r="U1216" s="15"/>
    </row>
    <row r="1217" spans="12:21">
      <c r="L1217" s="15"/>
      <c r="M1217" s="15"/>
      <c r="N1217" s="15"/>
      <c r="T1217" s="15"/>
      <c r="U1217" s="15"/>
    </row>
    <row r="1218" spans="12:21">
      <c r="L1218" s="15"/>
      <c r="M1218" s="15"/>
      <c r="N1218" s="15"/>
      <c r="T1218" s="15"/>
      <c r="U1218" s="15"/>
    </row>
    <row r="1219" spans="12:21">
      <c r="L1219" s="15"/>
      <c r="M1219" s="15"/>
      <c r="N1219" s="15"/>
      <c r="T1219" s="15"/>
      <c r="U1219" s="15"/>
    </row>
    <row r="1220" spans="12:21">
      <c r="L1220" s="15"/>
      <c r="M1220" s="15"/>
      <c r="N1220" s="15"/>
      <c r="T1220" s="15"/>
      <c r="U1220" s="15"/>
    </row>
    <row r="1221" spans="12:21">
      <c r="L1221" s="15"/>
      <c r="M1221" s="15"/>
      <c r="N1221" s="15"/>
      <c r="T1221" s="15"/>
      <c r="U1221" s="15"/>
    </row>
    <row r="1222" spans="12:21">
      <c r="L1222" s="15"/>
      <c r="M1222" s="15"/>
      <c r="N1222" s="15"/>
      <c r="T1222" s="15"/>
      <c r="U1222" s="15"/>
    </row>
    <row r="1223" spans="12:21">
      <c r="L1223" s="15"/>
      <c r="M1223" s="15"/>
      <c r="N1223" s="15"/>
      <c r="T1223" s="15"/>
      <c r="U1223" s="15"/>
    </row>
    <row r="1224" spans="12:21">
      <c r="L1224" s="15"/>
      <c r="M1224" s="15"/>
      <c r="N1224" s="15"/>
      <c r="T1224" s="15"/>
      <c r="U1224" s="15"/>
    </row>
    <row r="1225" spans="12:21">
      <c r="L1225" s="15"/>
      <c r="M1225" s="15"/>
      <c r="N1225" s="15"/>
      <c r="T1225" s="15"/>
      <c r="U1225" s="15"/>
    </row>
    <row r="1226" spans="12:21">
      <c r="L1226" s="15"/>
      <c r="M1226" s="15"/>
      <c r="N1226" s="15"/>
      <c r="T1226" s="15"/>
      <c r="U1226" s="15"/>
    </row>
    <row r="1227" spans="12:21">
      <c r="L1227" s="15"/>
      <c r="M1227" s="15"/>
      <c r="N1227" s="15"/>
      <c r="T1227" s="15"/>
      <c r="U1227" s="15"/>
    </row>
    <row r="1228" spans="12:21">
      <c r="L1228" s="15"/>
      <c r="M1228" s="15"/>
      <c r="N1228" s="15"/>
      <c r="T1228" s="15"/>
      <c r="U1228" s="15"/>
    </row>
    <row r="1229" spans="12:21">
      <c r="L1229" s="15"/>
      <c r="M1229" s="15"/>
      <c r="N1229" s="15"/>
      <c r="T1229" s="15"/>
      <c r="U1229" s="15"/>
    </row>
    <row r="1230" spans="12:21">
      <c r="L1230" s="15"/>
      <c r="M1230" s="15"/>
      <c r="N1230" s="15"/>
      <c r="T1230" s="15"/>
      <c r="U1230" s="15"/>
    </row>
    <row r="1231" spans="12:21">
      <c r="L1231" s="15"/>
      <c r="M1231" s="15"/>
      <c r="N1231" s="15"/>
      <c r="T1231" s="15"/>
      <c r="U1231" s="15"/>
    </row>
    <row r="1232" spans="12:21">
      <c r="L1232" s="15"/>
      <c r="M1232" s="15"/>
      <c r="N1232" s="15"/>
      <c r="T1232" s="15"/>
      <c r="U1232" s="15"/>
    </row>
    <row r="1233" spans="12:21">
      <c r="L1233" s="15"/>
      <c r="M1233" s="15"/>
      <c r="N1233" s="15"/>
      <c r="T1233" s="15"/>
      <c r="U1233" s="15"/>
    </row>
    <row r="1234" spans="12:21">
      <c r="L1234" s="15"/>
      <c r="M1234" s="15"/>
      <c r="N1234" s="15"/>
      <c r="T1234" s="15"/>
      <c r="U1234" s="15"/>
    </row>
    <row r="1235" spans="12:21">
      <c r="L1235" s="15"/>
      <c r="M1235" s="15"/>
      <c r="N1235" s="15"/>
      <c r="T1235" s="15"/>
      <c r="U1235" s="15"/>
    </row>
    <row r="1236" spans="12:21">
      <c r="L1236" s="15"/>
      <c r="M1236" s="15"/>
      <c r="N1236" s="15"/>
      <c r="T1236" s="15"/>
      <c r="U1236" s="15"/>
    </row>
    <row r="1237" spans="12:21">
      <c r="L1237" s="15"/>
      <c r="M1237" s="15"/>
      <c r="N1237" s="15"/>
      <c r="T1237" s="15"/>
      <c r="U1237" s="15"/>
    </row>
    <row r="1238" spans="12:21">
      <c r="L1238" s="15"/>
      <c r="M1238" s="15"/>
      <c r="N1238" s="15"/>
      <c r="T1238" s="15"/>
      <c r="U1238" s="15"/>
    </row>
    <row r="1239" spans="12:21">
      <c r="L1239" s="15"/>
      <c r="M1239" s="15"/>
      <c r="N1239" s="15"/>
      <c r="T1239" s="15"/>
      <c r="U1239" s="15"/>
    </row>
    <row r="1240" spans="12:21">
      <c r="L1240" s="15"/>
      <c r="M1240" s="15"/>
      <c r="N1240" s="15"/>
      <c r="T1240" s="15"/>
      <c r="U1240" s="15"/>
    </row>
    <row r="1241" spans="12:21">
      <c r="L1241" s="15"/>
      <c r="M1241" s="15"/>
      <c r="N1241" s="15"/>
      <c r="T1241" s="15"/>
      <c r="U1241" s="15"/>
    </row>
    <row r="1242" spans="12:21">
      <c r="L1242" s="15"/>
      <c r="M1242" s="15"/>
      <c r="N1242" s="15"/>
      <c r="T1242" s="15"/>
      <c r="U1242" s="15"/>
    </row>
    <row r="1243" spans="12:21">
      <c r="L1243" s="15"/>
      <c r="M1243" s="15"/>
      <c r="N1243" s="15"/>
      <c r="T1243" s="15"/>
      <c r="U1243" s="15"/>
    </row>
    <row r="1244" spans="12:21">
      <c r="L1244" s="15"/>
      <c r="M1244" s="15"/>
      <c r="N1244" s="15"/>
      <c r="T1244" s="15"/>
      <c r="U1244" s="15"/>
    </row>
    <row r="1245" spans="12:21">
      <c r="L1245" s="15"/>
      <c r="M1245" s="15"/>
      <c r="N1245" s="15"/>
      <c r="T1245" s="15"/>
      <c r="U1245" s="15"/>
    </row>
    <row r="1246" spans="12:21">
      <c r="L1246" s="15"/>
      <c r="M1246" s="15"/>
      <c r="N1246" s="15"/>
      <c r="T1246" s="15"/>
      <c r="U1246" s="15"/>
    </row>
    <row r="1247" spans="12:21">
      <c r="L1247" s="15"/>
      <c r="M1247" s="15"/>
      <c r="N1247" s="15"/>
      <c r="T1247" s="15"/>
      <c r="U1247" s="15"/>
    </row>
    <row r="1248" spans="12:21">
      <c r="L1248" s="15"/>
      <c r="M1248" s="15"/>
      <c r="N1248" s="15"/>
      <c r="T1248" s="15"/>
      <c r="U1248" s="15"/>
    </row>
    <row r="1249" spans="12:21">
      <c r="L1249" s="15"/>
      <c r="M1249" s="15"/>
      <c r="N1249" s="15"/>
      <c r="T1249" s="15"/>
      <c r="U1249" s="15"/>
    </row>
    <row r="1250" spans="12:21">
      <c r="L1250" s="15"/>
      <c r="M1250" s="15"/>
      <c r="N1250" s="15"/>
      <c r="T1250" s="15"/>
      <c r="U1250" s="15"/>
    </row>
    <row r="1251" spans="12:21">
      <c r="L1251" s="15"/>
      <c r="M1251" s="15"/>
      <c r="N1251" s="15"/>
      <c r="T1251" s="15"/>
      <c r="U1251" s="15"/>
    </row>
    <row r="1252" spans="12:21">
      <c r="L1252" s="15"/>
      <c r="M1252" s="15"/>
      <c r="N1252" s="15"/>
      <c r="T1252" s="15"/>
      <c r="U1252" s="15"/>
    </row>
    <row r="1253" spans="12:21">
      <c r="L1253" s="15"/>
      <c r="M1253" s="15"/>
      <c r="N1253" s="15"/>
      <c r="T1253" s="15"/>
      <c r="U1253" s="15"/>
    </row>
    <row r="1254" spans="12:21">
      <c r="L1254" s="15"/>
      <c r="M1254" s="15"/>
      <c r="N1254" s="15"/>
      <c r="T1254" s="15"/>
      <c r="U1254" s="15"/>
    </row>
    <row r="1255" spans="12:21">
      <c r="L1255" s="15"/>
      <c r="M1255" s="15"/>
      <c r="N1255" s="15"/>
      <c r="T1255" s="15"/>
      <c r="U1255" s="15"/>
    </row>
    <row r="1256" spans="12:21">
      <c r="L1256" s="15"/>
      <c r="M1256" s="15"/>
      <c r="N1256" s="15"/>
      <c r="T1256" s="15"/>
      <c r="U1256" s="15"/>
    </row>
    <row r="1257" spans="12:21">
      <c r="L1257" s="15"/>
      <c r="M1257" s="15"/>
      <c r="N1257" s="15"/>
      <c r="T1257" s="15"/>
      <c r="U1257" s="15"/>
    </row>
    <row r="1258" spans="12:21">
      <c r="L1258" s="15"/>
      <c r="M1258" s="15"/>
      <c r="N1258" s="15"/>
      <c r="T1258" s="15"/>
      <c r="U1258" s="15"/>
    </row>
    <row r="1259" spans="12:21">
      <c r="L1259" s="15"/>
      <c r="M1259" s="15"/>
      <c r="N1259" s="15"/>
      <c r="T1259" s="15"/>
      <c r="U1259" s="15"/>
    </row>
    <row r="1260" spans="12:21">
      <c r="L1260" s="15"/>
      <c r="M1260" s="15"/>
      <c r="N1260" s="15"/>
      <c r="T1260" s="15"/>
      <c r="U1260" s="15"/>
    </row>
    <row r="1261" spans="12:21">
      <c r="L1261" s="15"/>
      <c r="M1261" s="15"/>
      <c r="N1261" s="15"/>
      <c r="T1261" s="15"/>
      <c r="U1261" s="15"/>
    </row>
    <row r="1262" spans="12:21">
      <c r="L1262" s="15"/>
      <c r="M1262" s="15"/>
      <c r="N1262" s="15"/>
      <c r="T1262" s="15"/>
      <c r="U1262" s="15"/>
    </row>
    <row r="1263" spans="12:21">
      <c r="L1263" s="15"/>
      <c r="M1263" s="15"/>
      <c r="N1263" s="15"/>
      <c r="T1263" s="15"/>
      <c r="U1263" s="15"/>
    </row>
    <row r="1264" spans="12:21">
      <c r="L1264" s="15"/>
      <c r="M1264" s="15"/>
      <c r="N1264" s="15"/>
      <c r="T1264" s="15"/>
      <c r="U1264" s="15"/>
    </row>
    <row r="1265" spans="12:21">
      <c r="L1265" s="15"/>
      <c r="M1265" s="15"/>
      <c r="N1265" s="15"/>
      <c r="T1265" s="15"/>
      <c r="U1265" s="15"/>
    </row>
    <row r="1266" spans="12:21">
      <c r="L1266" s="15"/>
      <c r="M1266" s="15"/>
      <c r="N1266" s="15"/>
      <c r="T1266" s="15"/>
      <c r="U1266" s="15"/>
    </row>
    <row r="1267" spans="12:21">
      <c r="L1267" s="15"/>
      <c r="M1267" s="15"/>
      <c r="N1267" s="15"/>
      <c r="T1267" s="15"/>
      <c r="U1267" s="15"/>
    </row>
    <row r="1268" spans="12:21">
      <c r="L1268" s="15"/>
      <c r="M1268" s="15"/>
      <c r="N1268" s="15"/>
      <c r="T1268" s="15"/>
      <c r="U1268" s="15"/>
    </row>
    <row r="1269" spans="12:21">
      <c r="L1269" s="15"/>
      <c r="M1269" s="15"/>
      <c r="N1269" s="15"/>
      <c r="T1269" s="15"/>
      <c r="U1269" s="15"/>
    </row>
    <row r="1270" spans="12:21">
      <c r="L1270" s="15"/>
      <c r="M1270" s="15"/>
      <c r="N1270" s="15"/>
      <c r="T1270" s="15"/>
      <c r="U1270" s="15"/>
    </row>
    <row r="1271" spans="12:21">
      <c r="L1271" s="15"/>
      <c r="M1271" s="15"/>
      <c r="N1271" s="15"/>
      <c r="T1271" s="15"/>
      <c r="U1271" s="15"/>
    </row>
    <row r="1272" spans="12:21">
      <c r="L1272" s="15"/>
      <c r="M1272" s="15"/>
      <c r="N1272" s="15"/>
      <c r="T1272" s="15"/>
      <c r="U1272" s="15"/>
    </row>
    <row r="1273" spans="12:21">
      <c r="L1273" s="15"/>
      <c r="M1273" s="15"/>
      <c r="N1273" s="15"/>
      <c r="T1273" s="15"/>
      <c r="U1273" s="15"/>
    </row>
    <row r="1274" spans="12:21">
      <c r="L1274" s="15"/>
      <c r="M1274" s="15"/>
      <c r="N1274" s="15"/>
      <c r="T1274" s="15"/>
      <c r="U1274" s="15"/>
    </row>
    <row r="1275" spans="12:21">
      <c r="L1275" s="15"/>
      <c r="M1275" s="15"/>
      <c r="N1275" s="15"/>
      <c r="T1275" s="15"/>
      <c r="U1275" s="15"/>
    </row>
    <row r="1276" spans="12:21">
      <c r="L1276" s="15"/>
      <c r="M1276" s="15"/>
      <c r="N1276" s="15"/>
      <c r="T1276" s="15"/>
      <c r="U1276" s="15"/>
    </row>
    <row r="1277" spans="12:21">
      <c r="L1277" s="15"/>
      <c r="M1277" s="15"/>
      <c r="N1277" s="15"/>
      <c r="T1277" s="15"/>
      <c r="U1277" s="15"/>
    </row>
    <row r="1278" spans="12:21">
      <c r="L1278" s="15"/>
      <c r="M1278" s="15"/>
      <c r="N1278" s="15"/>
      <c r="T1278" s="15"/>
      <c r="U1278" s="15"/>
    </row>
    <row r="1279" spans="12:21">
      <c r="L1279" s="15"/>
      <c r="M1279" s="15"/>
      <c r="N1279" s="15"/>
      <c r="T1279" s="15"/>
      <c r="U1279" s="15"/>
    </row>
    <row r="1280" spans="12:21">
      <c r="L1280" s="15"/>
      <c r="M1280" s="15"/>
      <c r="N1280" s="15"/>
      <c r="T1280" s="15"/>
      <c r="U1280" s="15"/>
    </row>
    <row r="1281" spans="12:21">
      <c r="L1281" s="15"/>
      <c r="M1281" s="15"/>
      <c r="N1281" s="15"/>
      <c r="T1281" s="15"/>
      <c r="U1281" s="15"/>
    </row>
    <row r="1282" spans="12:21">
      <c r="L1282" s="15"/>
      <c r="M1282" s="15"/>
      <c r="N1282" s="15"/>
      <c r="T1282" s="15"/>
      <c r="U1282" s="15"/>
    </row>
    <row r="1283" spans="12:21">
      <c r="L1283" s="15"/>
      <c r="M1283" s="15"/>
      <c r="N1283" s="15"/>
      <c r="T1283" s="15"/>
      <c r="U1283" s="15"/>
    </row>
    <row r="1284" spans="12:21">
      <c r="L1284" s="15"/>
      <c r="M1284" s="15"/>
      <c r="N1284" s="15"/>
      <c r="T1284" s="15"/>
      <c r="U1284" s="15"/>
    </row>
    <row r="1285" spans="12:21">
      <c r="L1285" s="15"/>
      <c r="M1285" s="15"/>
      <c r="N1285" s="15"/>
      <c r="T1285" s="15"/>
      <c r="U1285" s="15"/>
    </row>
    <row r="1286" spans="12:21">
      <c r="L1286" s="15"/>
      <c r="M1286" s="15"/>
      <c r="N1286" s="15"/>
      <c r="T1286" s="15"/>
      <c r="U1286" s="15"/>
    </row>
    <row r="1287" spans="12:21">
      <c r="L1287" s="15"/>
      <c r="M1287" s="15"/>
      <c r="N1287" s="15"/>
      <c r="T1287" s="15"/>
      <c r="U1287" s="15"/>
    </row>
    <row r="1288" spans="12:21">
      <c r="L1288" s="15"/>
      <c r="M1288" s="15"/>
      <c r="N1288" s="15"/>
      <c r="T1288" s="15"/>
      <c r="U1288" s="15"/>
    </row>
    <row r="1289" spans="12:21">
      <c r="L1289" s="15"/>
      <c r="M1289" s="15"/>
      <c r="N1289" s="15"/>
      <c r="T1289" s="15"/>
      <c r="U1289" s="15"/>
    </row>
    <row r="1290" spans="12:21">
      <c r="L1290" s="15"/>
      <c r="M1290" s="15"/>
      <c r="N1290" s="15"/>
      <c r="T1290" s="15"/>
      <c r="U1290" s="15"/>
    </row>
    <row r="1291" spans="12:21">
      <c r="L1291" s="15"/>
      <c r="M1291" s="15"/>
      <c r="N1291" s="15"/>
      <c r="T1291" s="15"/>
      <c r="U1291" s="15"/>
    </row>
    <row r="1292" spans="12:21">
      <c r="L1292" s="15"/>
      <c r="M1292" s="15"/>
      <c r="N1292" s="15"/>
      <c r="T1292" s="15"/>
      <c r="U1292" s="15"/>
    </row>
    <row r="1293" spans="12:21">
      <c r="L1293" s="15"/>
      <c r="M1293" s="15"/>
      <c r="N1293" s="15"/>
      <c r="T1293" s="15"/>
      <c r="U1293" s="15"/>
    </row>
    <row r="1294" spans="12:21">
      <c r="L1294" s="15"/>
      <c r="M1294" s="15"/>
      <c r="N1294" s="15"/>
      <c r="T1294" s="15"/>
      <c r="U1294" s="15"/>
    </row>
    <row r="1295" spans="12:21">
      <c r="L1295" s="15"/>
      <c r="M1295" s="15"/>
      <c r="N1295" s="15"/>
      <c r="T1295" s="15"/>
      <c r="U1295" s="15"/>
    </row>
    <row r="1296" spans="12:21">
      <c r="L1296" s="15"/>
      <c r="M1296" s="15"/>
      <c r="N1296" s="15"/>
      <c r="T1296" s="15"/>
      <c r="U1296" s="15"/>
    </row>
    <row r="1297" spans="12:21">
      <c r="L1297" s="15"/>
      <c r="M1297" s="15"/>
      <c r="N1297" s="15"/>
      <c r="T1297" s="15"/>
      <c r="U1297" s="15"/>
    </row>
    <row r="1298" spans="12:21">
      <c r="L1298" s="15"/>
      <c r="M1298" s="15"/>
      <c r="N1298" s="15"/>
      <c r="T1298" s="15"/>
      <c r="U1298" s="15"/>
    </row>
    <row r="1299" spans="12:21">
      <c r="L1299" s="15"/>
      <c r="M1299" s="15"/>
      <c r="N1299" s="15"/>
      <c r="T1299" s="15"/>
      <c r="U1299" s="15"/>
    </row>
    <row r="1300" spans="12:21">
      <c r="L1300" s="15"/>
      <c r="M1300" s="15"/>
      <c r="N1300" s="15"/>
      <c r="T1300" s="15"/>
      <c r="U1300" s="15"/>
    </row>
    <row r="1301" spans="12:21">
      <c r="L1301" s="15"/>
      <c r="M1301" s="15"/>
      <c r="N1301" s="15"/>
      <c r="T1301" s="15"/>
      <c r="U1301" s="15"/>
    </row>
    <row r="1302" spans="12:21">
      <c r="L1302" s="15"/>
      <c r="M1302" s="15"/>
      <c r="N1302" s="15"/>
      <c r="T1302" s="15"/>
      <c r="U1302" s="15"/>
    </row>
    <row r="1303" spans="12:21">
      <c r="L1303" s="15"/>
      <c r="M1303" s="15"/>
      <c r="N1303" s="15"/>
      <c r="T1303" s="15"/>
      <c r="U1303" s="15"/>
    </row>
    <row r="1304" spans="12:21">
      <c r="L1304" s="15"/>
      <c r="M1304" s="15"/>
      <c r="N1304" s="15"/>
      <c r="T1304" s="15"/>
      <c r="U1304" s="15"/>
    </row>
    <row r="1305" spans="12:21">
      <c r="L1305" s="15"/>
      <c r="M1305" s="15"/>
      <c r="N1305" s="15"/>
      <c r="T1305" s="15"/>
      <c r="U1305" s="15"/>
    </row>
    <row r="1306" spans="12:21">
      <c r="L1306" s="15"/>
      <c r="M1306" s="15"/>
      <c r="N1306" s="15"/>
      <c r="T1306" s="15"/>
      <c r="U1306" s="15"/>
    </row>
    <row r="1307" spans="12:21">
      <c r="L1307" s="15"/>
      <c r="M1307" s="15"/>
      <c r="N1307" s="15"/>
      <c r="T1307" s="15"/>
      <c r="U1307" s="15"/>
    </row>
    <row r="1308" spans="12:21">
      <c r="L1308" s="15"/>
      <c r="M1308" s="15"/>
      <c r="N1308" s="15"/>
      <c r="T1308" s="15"/>
      <c r="U1308" s="15"/>
    </row>
    <row r="1309" spans="12:21">
      <c r="L1309" s="15"/>
      <c r="M1309" s="15"/>
      <c r="N1309" s="15"/>
      <c r="T1309" s="15"/>
      <c r="U1309" s="15"/>
    </row>
    <row r="1310" spans="12:21">
      <c r="L1310" s="15"/>
      <c r="M1310" s="15"/>
      <c r="N1310" s="15"/>
      <c r="T1310" s="15"/>
      <c r="U1310" s="15"/>
    </row>
    <row r="1311" spans="12:21">
      <c r="L1311" s="15"/>
      <c r="M1311" s="15"/>
      <c r="N1311" s="15"/>
      <c r="T1311" s="15"/>
      <c r="U1311" s="15"/>
    </row>
    <row r="1312" spans="12:21">
      <c r="L1312" s="15"/>
      <c r="M1312" s="15"/>
      <c r="N1312" s="15"/>
      <c r="T1312" s="15"/>
      <c r="U1312" s="15"/>
    </row>
    <row r="1313" spans="12:21">
      <c r="L1313" s="15"/>
      <c r="M1313" s="15"/>
      <c r="N1313" s="15"/>
      <c r="T1313" s="15"/>
      <c r="U1313" s="15"/>
    </row>
    <row r="1314" spans="12:21">
      <c r="L1314" s="15"/>
      <c r="M1314" s="15"/>
      <c r="N1314" s="15"/>
      <c r="T1314" s="15"/>
      <c r="U1314" s="15"/>
    </row>
    <row r="1315" spans="12:21">
      <c r="L1315" s="15"/>
      <c r="M1315" s="15"/>
      <c r="N1315" s="15"/>
      <c r="T1315" s="15"/>
      <c r="U1315" s="15"/>
    </row>
    <row r="1316" spans="12:21">
      <c r="L1316" s="15"/>
      <c r="M1316" s="15"/>
      <c r="N1316" s="15"/>
      <c r="T1316" s="15"/>
      <c r="U1316" s="15"/>
    </row>
    <row r="1317" spans="12:21">
      <c r="L1317" s="15"/>
      <c r="M1317" s="15"/>
      <c r="N1317" s="15"/>
      <c r="T1317" s="15"/>
      <c r="U1317" s="15"/>
    </row>
    <row r="1318" spans="12:21">
      <c r="L1318" s="15"/>
      <c r="M1318" s="15"/>
      <c r="N1318" s="15"/>
      <c r="T1318" s="15"/>
      <c r="U1318" s="15"/>
    </row>
    <row r="1319" spans="12:21">
      <c r="L1319" s="15"/>
      <c r="M1319" s="15"/>
      <c r="N1319" s="15"/>
      <c r="T1319" s="15"/>
      <c r="U1319" s="15"/>
    </row>
    <row r="1320" spans="12:21">
      <c r="L1320" s="15"/>
      <c r="M1320" s="15"/>
      <c r="N1320" s="15"/>
      <c r="T1320" s="15"/>
      <c r="U1320" s="15"/>
    </row>
    <row r="1321" spans="12:21">
      <c r="L1321" s="15"/>
      <c r="M1321" s="15"/>
      <c r="N1321" s="15"/>
      <c r="T1321" s="15"/>
      <c r="U1321" s="15"/>
    </row>
    <row r="1322" spans="12:21">
      <c r="L1322" s="15"/>
      <c r="M1322" s="15"/>
      <c r="N1322" s="15"/>
      <c r="T1322" s="15"/>
      <c r="U1322" s="15"/>
    </row>
    <row r="1323" spans="12:21">
      <c r="L1323" s="15"/>
      <c r="M1323" s="15"/>
      <c r="N1323" s="15"/>
      <c r="T1323" s="15"/>
      <c r="U1323" s="15"/>
    </row>
    <row r="1324" spans="12:21">
      <c r="L1324" s="15"/>
      <c r="M1324" s="15"/>
      <c r="N1324" s="15"/>
      <c r="T1324" s="15"/>
      <c r="U1324" s="15"/>
    </row>
    <row r="1325" spans="12:21">
      <c r="L1325" s="15"/>
      <c r="M1325" s="15"/>
      <c r="N1325" s="15"/>
      <c r="T1325" s="15"/>
      <c r="U1325" s="15"/>
    </row>
    <row r="1326" spans="12:21">
      <c r="L1326" s="15"/>
      <c r="M1326" s="15"/>
      <c r="N1326" s="15"/>
      <c r="T1326" s="15"/>
      <c r="U1326" s="15"/>
    </row>
    <row r="1327" spans="12:21">
      <c r="L1327" s="15"/>
      <c r="M1327" s="15"/>
      <c r="N1327" s="15"/>
      <c r="T1327" s="15"/>
      <c r="U1327" s="15"/>
    </row>
    <row r="1328" spans="12:21">
      <c r="L1328" s="15"/>
      <c r="M1328" s="15"/>
      <c r="N1328" s="15"/>
      <c r="T1328" s="15"/>
      <c r="U1328" s="15"/>
    </row>
    <row r="1329" spans="12:21">
      <c r="L1329" s="15"/>
      <c r="M1329" s="15"/>
      <c r="N1329" s="15"/>
      <c r="T1329" s="15"/>
      <c r="U1329" s="15"/>
    </row>
    <row r="1330" spans="12:21">
      <c r="L1330" s="15"/>
      <c r="M1330" s="15"/>
      <c r="N1330" s="15"/>
      <c r="T1330" s="15"/>
      <c r="U1330" s="15"/>
    </row>
    <row r="1331" spans="12:21">
      <c r="L1331" s="15"/>
      <c r="M1331" s="15"/>
      <c r="N1331" s="15"/>
      <c r="T1331" s="15"/>
      <c r="U1331" s="15"/>
    </row>
    <row r="1332" spans="12:21">
      <c r="L1332" s="15"/>
      <c r="M1332" s="15"/>
      <c r="N1332" s="15"/>
      <c r="T1332" s="15"/>
      <c r="U1332" s="15"/>
    </row>
    <row r="1333" spans="12:21">
      <c r="L1333" s="15"/>
      <c r="M1333" s="15"/>
      <c r="N1333" s="15"/>
      <c r="T1333" s="15"/>
      <c r="U1333" s="15"/>
    </row>
    <row r="1334" spans="12:21">
      <c r="L1334" s="15"/>
      <c r="M1334" s="15"/>
      <c r="N1334" s="15"/>
      <c r="T1334" s="15"/>
      <c r="U1334" s="15"/>
    </row>
    <row r="1335" spans="12:21">
      <c r="L1335" s="15"/>
      <c r="M1335" s="15"/>
      <c r="N1335" s="15"/>
      <c r="T1335" s="15"/>
      <c r="U1335" s="15"/>
    </row>
    <row r="1336" spans="12:21">
      <c r="L1336" s="15"/>
      <c r="M1336" s="15"/>
      <c r="N1336" s="15"/>
      <c r="T1336" s="15"/>
      <c r="U1336" s="15"/>
    </row>
    <row r="1337" spans="12:21">
      <c r="L1337" s="15"/>
      <c r="M1337" s="15"/>
      <c r="N1337" s="15"/>
      <c r="T1337" s="15"/>
      <c r="U1337" s="15"/>
    </row>
    <row r="1338" spans="12:21">
      <c r="L1338" s="15"/>
      <c r="M1338" s="15"/>
      <c r="N1338" s="15"/>
      <c r="T1338" s="15"/>
      <c r="U1338" s="15"/>
    </row>
    <row r="1339" spans="12:21">
      <c r="L1339" s="15"/>
      <c r="M1339" s="15"/>
      <c r="N1339" s="15"/>
      <c r="T1339" s="15"/>
      <c r="U1339" s="15"/>
    </row>
    <row r="1340" spans="12:21">
      <c r="L1340" s="15"/>
      <c r="M1340" s="15"/>
      <c r="N1340" s="15"/>
      <c r="T1340" s="15"/>
      <c r="U1340" s="15"/>
    </row>
    <row r="1341" spans="12:21">
      <c r="L1341" s="15"/>
      <c r="M1341" s="15"/>
      <c r="N1341" s="15"/>
      <c r="T1341" s="15"/>
      <c r="U1341" s="15"/>
    </row>
    <row r="1342" spans="12:21">
      <c r="L1342" s="15"/>
      <c r="M1342" s="15"/>
      <c r="N1342" s="15"/>
      <c r="T1342" s="15"/>
      <c r="U1342" s="15"/>
    </row>
    <row r="1343" spans="12:21">
      <c r="L1343" s="15"/>
      <c r="M1343" s="15"/>
      <c r="N1343" s="15"/>
      <c r="T1343" s="15"/>
      <c r="U1343" s="15"/>
    </row>
    <row r="1344" spans="12:21">
      <c r="L1344" s="15"/>
      <c r="M1344" s="15"/>
      <c r="N1344" s="15"/>
      <c r="T1344" s="15"/>
      <c r="U1344" s="15"/>
    </row>
    <row r="1345" spans="12:21">
      <c r="L1345" s="15"/>
      <c r="M1345" s="15"/>
      <c r="N1345" s="15"/>
      <c r="T1345" s="15"/>
      <c r="U1345" s="15"/>
    </row>
    <row r="1346" spans="12:21">
      <c r="L1346" s="15"/>
      <c r="M1346" s="15"/>
      <c r="N1346" s="15"/>
      <c r="T1346" s="15"/>
      <c r="U1346" s="15"/>
    </row>
    <row r="1347" spans="12:21">
      <c r="L1347" s="15"/>
      <c r="M1347" s="15"/>
      <c r="N1347" s="15"/>
      <c r="T1347" s="15"/>
      <c r="U1347" s="15"/>
    </row>
    <row r="1348" spans="12:21">
      <c r="L1348" s="15"/>
      <c r="M1348" s="15"/>
      <c r="N1348" s="15"/>
      <c r="T1348" s="15"/>
      <c r="U1348" s="15"/>
    </row>
    <row r="1349" spans="12:21">
      <c r="L1349" s="15"/>
      <c r="M1349" s="15"/>
      <c r="N1349" s="15"/>
      <c r="T1349" s="15"/>
      <c r="U1349" s="15"/>
    </row>
    <row r="1350" spans="12:21">
      <c r="L1350" s="15"/>
      <c r="M1350" s="15"/>
      <c r="N1350" s="15"/>
      <c r="T1350" s="15"/>
      <c r="U1350" s="15"/>
    </row>
    <row r="1351" spans="12:21">
      <c r="L1351" s="15"/>
      <c r="M1351" s="15"/>
      <c r="N1351" s="15"/>
      <c r="T1351" s="15"/>
      <c r="U1351" s="15"/>
    </row>
    <row r="1352" spans="12:21">
      <c r="L1352" s="15"/>
      <c r="M1352" s="15"/>
      <c r="N1352" s="15"/>
      <c r="T1352" s="15"/>
      <c r="U1352" s="15"/>
    </row>
    <row r="1353" spans="12:21">
      <c r="L1353" s="15"/>
      <c r="M1353" s="15"/>
      <c r="N1353" s="15"/>
      <c r="T1353" s="15"/>
      <c r="U1353" s="15"/>
    </row>
    <row r="1354" spans="12:21">
      <c r="L1354" s="15"/>
      <c r="M1354" s="15"/>
      <c r="N1354" s="15"/>
      <c r="T1354" s="15"/>
      <c r="U1354" s="15"/>
    </row>
    <row r="1355" spans="12:21">
      <c r="L1355" s="15"/>
      <c r="M1355" s="15"/>
      <c r="N1355" s="15"/>
      <c r="T1355" s="15"/>
      <c r="U1355" s="15"/>
    </row>
    <row r="1356" spans="12:21">
      <c r="L1356" s="15"/>
      <c r="M1356" s="15"/>
      <c r="N1356" s="15"/>
      <c r="T1356" s="15"/>
      <c r="U1356" s="15"/>
    </row>
    <row r="1357" spans="12:21">
      <c r="L1357" s="15"/>
      <c r="M1357" s="15"/>
      <c r="N1357" s="15"/>
      <c r="T1357" s="15"/>
      <c r="U1357" s="15"/>
    </row>
    <row r="1358" spans="12:21">
      <c r="L1358" s="15"/>
      <c r="M1358" s="15"/>
      <c r="N1358" s="15"/>
      <c r="T1358" s="15"/>
      <c r="U1358" s="15"/>
    </row>
    <row r="1359" spans="12:21">
      <c r="L1359" s="15"/>
      <c r="M1359" s="15"/>
      <c r="N1359" s="15"/>
      <c r="T1359" s="15"/>
      <c r="U1359" s="15"/>
    </row>
    <row r="1360" spans="12:21">
      <c r="L1360" s="15"/>
      <c r="M1360" s="15"/>
      <c r="N1360" s="15"/>
      <c r="T1360" s="15"/>
      <c r="U1360" s="15"/>
    </row>
    <row r="1361" spans="12:21">
      <c r="L1361" s="15"/>
      <c r="M1361" s="15"/>
      <c r="N1361" s="15"/>
      <c r="T1361" s="15"/>
      <c r="U1361" s="15"/>
    </row>
    <row r="1362" spans="12:21">
      <c r="L1362" s="15"/>
      <c r="M1362" s="15"/>
      <c r="N1362" s="15"/>
      <c r="T1362" s="15"/>
      <c r="U1362" s="15"/>
    </row>
    <row r="1363" spans="12:21">
      <c r="L1363" s="15"/>
      <c r="M1363" s="15"/>
      <c r="N1363" s="15"/>
      <c r="T1363" s="15"/>
      <c r="U1363" s="15"/>
    </row>
    <row r="1364" spans="12:21">
      <c r="L1364" s="15"/>
      <c r="M1364" s="15"/>
      <c r="N1364" s="15"/>
      <c r="T1364" s="15"/>
      <c r="U1364" s="15"/>
    </row>
    <row r="1365" spans="12:21">
      <c r="L1365" s="15"/>
      <c r="M1365" s="15"/>
      <c r="N1365" s="15"/>
      <c r="T1365" s="15"/>
      <c r="U1365" s="15"/>
    </row>
    <row r="1366" spans="12:21">
      <c r="L1366" s="15"/>
      <c r="M1366" s="15"/>
      <c r="N1366" s="15"/>
      <c r="T1366" s="15"/>
      <c r="U1366" s="15"/>
    </row>
    <row r="1367" spans="12:21">
      <c r="L1367" s="15"/>
      <c r="M1367" s="15"/>
      <c r="N1367" s="15"/>
      <c r="T1367" s="15"/>
      <c r="U1367" s="15"/>
    </row>
    <row r="1368" spans="12:21">
      <c r="L1368" s="15"/>
      <c r="M1368" s="15"/>
      <c r="N1368" s="15"/>
      <c r="T1368" s="15"/>
      <c r="U1368" s="15"/>
    </row>
    <row r="1369" spans="12:21">
      <c r="L1369" s="15"/>
      <c r="M1369" s="15"/>
      <c r="N1369" s="15"/>
      <c r="T1369" s="15"/>
      <c r="U1369" s="15"/>
    </row>
    <row r="1370" spans="12:21">
      <c r="L1370" s="15"/>
      <c r="M1370" s="15"/>
      <c r="N1370" s="15"/>
      <c r="T1370" s="15"/>
      <c r="U1370" s="15"/>
    </row>
    <row r="1371" spans="12:21">
      <c r="L1371" s="15"/>
      <c r="M1371" s="15"/>
      <c r="N1371" s="15"/>
      <c r="T1371" s="15"/>
      <c r="U1371" s="15"/>
    </row>
    <row r="1372" spans="12:21">
      <c r="L1372" s="15"/>
      <c r="M1372" s="15"/>
      <c r="N1372" s="15"/>
      <c r="T1372" s="15"/>
      <c r="U1372" s="15"/>
    </row>
    <row r="1373" spans="12:21">
      <c r="L1373" s="15"/>
      <c r="M1373" s="15"/>
      <c r="N1373" s="15"/>
      <c r="T1373" s="15"/>
      <c r="U1373" s="15"/>
    </row>
    <row r="1374" spans="12:21">
      <c r="L1374" s="15"/>
      <c r="M1374" s="15"/>
      <c r="N1374" s="15"/>
      <c r="T1374" s="15"/>
      <c r="U1374" s="15"/>
    </row>
    <row r="1375" spans="12:21">
      <c r="L1375" s="15"/>
      <c r="M1375" s="15"/>
      <c r="N1375" s="15"/>
      <c r="T1375" s="15"/>
      <c r="U1375" s="15"/>
    </row>
    <row r="1376" spans="12:21">
      <c r="L1376" s="15"/>
      <c r="M1376" s="15"/>
      <c r="N1376" s="15"/>
      <c r="T1376" s="15"/>
      <c r="U1376" s="15"/>
    </row>
    <row r="1377" spans="12:21">
      <c r="L1377" s="15"/>
      <c r="M1377" s="15"/>
      <c r="N1377" s="15"/>
      <c r="T1377" s="15"/>
      <c r="U1377" s="15"/>
    </row>
    <row r="1378" spans="12:21">
      <c r="L1378" s="15"/>
      <c r="M1378" s="15"/>
      <c r="N1378" s="15"/>
      <c r="T1378" s="15"/>
      <c r="U1378" s="15"/>
    </row>
    <row r="1379" spans="12:21">
      <c r="L1379" s="15"/>
      <c r="M1379" s="15"/>
      <c r="N1379" s="15"/>
      <c r="T1379" s="15"/>
      <c r="U1379" s="15"/>
    </row>
    <row r="1380" spans="12:21">
      <c r="L1380" s="15"/>
      <c r="M1380" s="15"/>
      <c r="N1380" s="15"/>
      <c r="T1380" s="15"/>
      <c r="U1380" s="15"/>
    </row>
    <row r="1381" spans="12:21">
      <c r="L1381" s="15"/>
      <c r="M1381" s="15"/>
      <c r="N1381" s="15"/>
      <c r="T1381" s="15"/>
      <c r="U1381" s="15"/>
    </row>
    <row r="1382" spans="12:21">
      <c r="L1382" s="15"/>
      <c r="M1382" s="15"/>
      <c r="N1382" s="15"/>
      <c r="T1382" s="15"/>
      <c r="U1382" s="15"/>
    </row>
    <row r="1383" spans="12:21">
      <c r="L1383" s="15"/>
      <c r="M1383" s="15"/>
      <c r="N1383" s="15"/>
      <c r="T1383" s="15"/>
      <c r="U1383" s="15"/>
    </row>
    <row r="1384" spans="12:21">
      <c r="L1384" s="15"/>
      <c r="M1384" s="15"/>
      <c r="N1384" s="15"/>
      <c r="T1384" s="15"/>
      <c r="U1384" s="15"/>
    </row>
    <row r="1385" spans="12:21">
      <c r="L1385" s="15"/>
      <c r="M1385" s="15"/>
      <c r="N1385" s="15"/>
      <c r="T1385" s="15"/>
      <c r="U1385" s="15"/>
    </row>
    <row r="1386" spans="12:21">
      <c r="L1386" s="15"/>
      <c r="M1386" s="15"/>
      <c r="N1386" s="15"/>
      <c r="T1386" s="15"/>
      <c r="U1386" s="15"/>
    </row>
    <row r="1387" spans="12:21">
      <c r="L1387" s="15"/>
      <c r="M1387" s="15"/>
      <c r="N1387" s="15"/>
      <c r="T1387" s="15"/>
      <c r="U1387" s="15"/>
    </row>
    <row r="1388" spans="12:21">
      <c r="L1388" s="15"/>
      <c r="M1388" s="15"/>
      <c r="N1388" s="15"/>
      <c r="T1388" s="15"/>
      <c r="U1388" s="15"/>
    </row>
    <row r="1389" spans="12:21">
      <c r="L1389" s="15"/>
      <c r="M1389" s="15"/>
      <c r="N1389" s="15"/>
      <c r="T1389" s="15"/>
      <c r="U1389" s="15"/>
    </row>
    <row r="1390" spans="12:21">
      <c r="L1390" s="15"/>
      <c r="M1390" s="15"/>
      <c r="N1390" s="15"/>
      <c r="T1390" s="15"/>
      <c r="U1390" s="15"/>
    </row>
    <row r="1391" spans="12:21">
      <c r="L1391" s="15"/>
      <c r="M1391" s="15"/>
      <c r="N1391" s="15"/>
      <c r="T1391" s="15"/>
      <c r="U1391" s="15"/>
    </row>
    <row r="1392" spans="12:21">
      <c r="L1392" s="15"/>
      <c r="M1392" s="15"/>
      <c r="N1392" s="15"/>
      <c r="T1392" s="15"/>
      <c r="U1392" s="15"/>
    </row>
    <row r="1393" spans="12:21">
      <c r="L1393" s="15"/>
      <c r="M1393" s="15"/>
      <c r="N1393" s="15"/>
      <c r="T1393" s="15"/>
      <c r="U1393" s="15"/>
    </row>
    <row r="1394" spans="12:21">
      <c r="L1394" s="15"/>
      <c r="M1394" s="15"/>
      <c r="N1394" s="15"/>
      <c r="T1394" s="15"/>
      <c r="U1394" s="15"/>
    </row>
    <row r="1395" spans="12:21">
      <c r="L1395" s="15"/>
      <c r="M1395" s="15"/>
      <c r="N1395" s="15"/>
      <c r="T1395" s="15"/>
      <c r="U1395" s="15"/>
    </row>
    <row r="1396" spans="12:21">
      <c r="L1396" s="15"/>
      <c r="M1396" s="15"/>
      <c r="N1396" s="15"/>
      <c r="T1396" s="15"/>
      <c r="U1396" s="15"/>
    </row>
    <row r="1397" spans="12:21">
      <c r="L1397" s="15"/>
      <c r="M1397" s="15"/>
      <c r="N1397" s="15"/>
      <c r="T1397" s="15"/>
      <c r="U1397" s="15"/>
    </row>
    <row r="1398" spans="12:21">
      <c r="L1398" s="15"/>
      <c r="M1398" s="15"/>
      <c r="N1398" s="15"/>
      <c r="T1398" s="15"/>
      <c r="U1398" s="15"/>
    </row>
    <row r="1399" spans="12:21">
      <c r="L1399" s="15"/>
      <c r="M1399" s="15"/>
      <c r="N1399" s="15"/>
      <c r="T1399" s="15"/>
      <c r="U1399" s="15"/>
    </row>
    <row r="1400" spans="12:21">
      <c r="L1400" s="15"/>
      <c r="M1400" s="15"/>
      <c r="N1400" s="15"/>
      <c r="T1400" s="15"/>
      <c r="U1400" s="15"/>
    </row>
    <row r="1401" spans="12:21">
      <c r="L1401" s="15"/>
      <c r="M1401" s="15"/>
      <c r="N1401" s="15"/>
      <c r="T1401" s="15"/>
      <c r="U1401" s="15"/>
    </row>
    <row r="1402" spans="12:21">
      <c r="L1402" s="15"/>
      <c r="M1402" s="15"/>
      <c r="N1402" s="15"/>
      <c r="T1402" s="15"/>
      <c r="U1402" s="15"/>
    </row>
    <row r="1403" spans="12:21">
      <c r="L1403" s="15"/>
      <c r="M1403" s="15"/>
      <c r="N1403" s="15"/>
      <c r="T1403" s="15"/>
      <c r="U1403" s="15"/>
    </row>
    <row r="1404" spans="12:21">
      <c r="L1404" s="15"/>
      <c r="M1404" s="15"/>
      <c r="N1404" s="15"/>
      <c r="T1404" s="15"/>
      <c r="U1404" s="15"/>
    </row>
    <row r="1405" spans="12:21">
      <c r="L1405" s="15"/>
      <c r="M1405" s="15"/>
      <c r="N1405" s="15"/>
      <c r="T1405" s="15"/>
      <c r="U1405" s="15"/>
    </row>
    <row r="1406" spans="12:21">
      <c r="L1406" s="15"/>
      <c r="M1406" s="15"/>
      <c r="N1406" s="15"/>
      <c r="T1406" s="15"/>
      <c r="U1406" s="15"/>
    </row>
    <row r="1407" spans="12:21">
      <c r="L1407" s="15"/>
      <c r="M1407" s="15"/>
      <c r="N1407" s="15"/>
      <c r="T1407" s="15"/>
      <c r="U1407" s="15"/>
    </row>
    <row r="1408" spans="12:21">
      <c r="L1408" s="15"/>
      <c r="M1408" s="15"/>
      <c r="N1408" s="15"/>
      <c r="T1408" s="15"/>
      <c r="U1408" s="15"/>
    </row>
    <row r="1409" spans="12:21">
      <c r="L1409" s="15"/>
      <c r="M1409" s="15"/>
      <c r="N1409" s="15"/>
      <c r="T1409" s="15"/>
      <c r="U1409" s="15"/>
    </row>
    <row r="1410" spans="12:21">
      <c r="L1410" s="15"/>
      <c r="M1410" s="15"/>
      <c r="N1410" s="15"/>
      <c r="T1410" s="15"/>
      <c r="U1410" s="15"/>
    </row>
    <row r="1411" spans="12:21">
      <c r="L1411" s="15"/>
      <c r="M1411" s="15"/>
      <c r="N1411" s="15"/>
      <c r="T1411" s="15"/>
      <c r="U1411" s="15"/>
    </row>
    <row r="1412" spans="12:21">
      <c r="L1412" s="15"/>
      <c r="M1412" s="15"/>
      <c r="N1412" s="15"/>
      <c r="T1412" s="15"/>
      <c r="U1412" s="15"/>
    </row>
    <row r="1413" spans="12:21">
      <c r="L1413" s="15"/>
      <c r="M1413" s="15"/>
      <c r="N1413" s="15"/>
      <c r="T1413" s="15"/>
      <c r="U1413" s="15"/>
    </row>
    <row r="1414" spans="12:21">
      <c r="L1414" s="15"/>
      <c r="M1414" s="15"/>
      <c r="N1414" s="15"/>
      <c r="T1414" s="15"/>
      <c r="U1414" s="15"/>
    </row>
    <row r="1415" spans="12:21">
      <c r="L1415" s="15"/>
      <c r="M1415" s="15"/>
      <c r="N1415" s="15"/>
      <c r="T1415" s="15"/>
      <c r="U1415" s="15"/>
    </row>
    <row r="1416" spans="12:21">
      <c r="L1416" s="15"/>
      <c r="M1416" s="15"/>
      <c r="N1416" s="15"/>
      <c r="T1416" s="15"/>
      <c r="U1416" s="15"/>
    </row>
    <row r="1417" spans="12:21">
      <c r="L1417" s="15"/>
      <c r="M1417" s="15"/>
      <c r="N1417" s="15"/>
      <c r="T1417" s="15"/>
      <c r="U1417" s="15"/>
    </row>
    <row r="1418" spans="12:21">
      <c r="L1418" s="15"/>
      <c r="M1418" s="15"/>
      <c r="N1418" s="15"/>
      <c r="T1418" s="15"/>
      <c r="U1418" s="15"/>
    </row>
    <row r="1419" spans="12:21">
      <c r="L1419" s="15"/>
      <c r="M1419" s="15"/>
      <c r="N1419" s="15"/>
      <c r="T1419" s="15"/>
      <c r="U1419" s="15"/>
    </row>
    <row r="1420" spans="12:21">
      <c r="L1420" s="15"/>
      <c r="M1420" s="15"/>
      <c r="N1420" s="15"/>
      <c r="T1420" s="15"/>
      <c r="U1420" s="15"/>
    </row>
    <row r="1421" spans="12:21">
      <c r="L1421" s="15"/>
      <c r="M1421" s="15"/>
      <c r="N1421" s="15"/>
      <c r="T1421" s="15"/>
      <c r="U1421" s="15"/>
    </row>
    <row r="1422" spans="12:21">
      <c r="L1422" s="15"/>
      <c r="M1422" s="15"/>
      <c r="N1422" s="15"/>
      <c r="T1422" s="15"/>
      <c r="U1422" s="15"/>
    </row>
    <row r="1423" spans="12:21">
      <c r="L1423" s="15"/>
      <c r="M1423" s="15"/>
      <c r="N1423" s="15"/>
      <c r="T1423" s="15"/>
      <c r="U1423" s="15"/>
    </row>
    <row r="1424" spans="12:21">
      <c r="L1424" s="15"/>
      <c r="M1424" s="15"/>
      <c r="N1424" s="15"/>
      <c r="T1424" s="15"/>
      <c r="U1424" s="15"/>
    </row>
    <row r="1425" spans="12:21">
      <c r="L1425" s="15"/>
      <c r="M1425" s="15"/>
      <c r="N1425" s="15"/>
      <c r="T1425" s="15"/>
      <c r="U1425" s="15"/>
    </row>
    <row r="1426" spans="12:21">
      <c r="L1426" s="15"/>
      <c r="M1426" s="15"/>
      <c r="N1426" s="15"/>
      <c r="T1426" s="15"/>
      <c r="U1426" s="15"/>
    </row>
    <row r="1427" spans="12:21">
      <c r="L1427" s="15"/>
      <c r="M1427" s="15"/>
      <c r="N1427" s="15"/>
      <c r="T1427" s="15"/>
      <c r="U1427" s="15"/>
    </row>
    <row r="1428" spans="12:21">
      <c r="L1428" s="15"/>
      <c r="M1428" s="15"/>
      <c r="N1428" s="15"/>
      <c r="T1428" s="15"/>
      <c r="U1428" s="15"/>
    </row>
    <row r="1429" spans="12:21">
      <c r="L1429" s="15"/>
      <c r="M1429" s="15"/>
      <c r="N1429" s="15"/>
      <c r="T1429" s="15"/>
      <c r="U1429" s="15"/>
    </row>
    <row r="1430" spans="12:21">
      <c r="L1430" s="15"/>
      <c r="M1430" s="15"/>
      <c r="N1430" s="15"/>
      <c r="T1430" s="15"/>
      <c r="U1430" s="15"/>
    </row>
    <row r="1431" spans="12:21">
      <c r="L1431" s="15"/>
      <c r="M1431" s="15"/>
      <c r="N1431" s="15"/>
      <c r="T1431" s="15"/>
      <c r="U1431" s="15"/>
    </row>
    <row r="1432" spans="12:21">
      <c r="L1432" s="15"/>
      <c r="M1432" s="15"/>
      <c r="N1432" s="15"/>
      <c r="T1432" s="15"/>
      <c r="U1432" s="15"/>
    </row>
    <row r="1433" spans="12:21">
      <c r="L1433" s="15"/>
      <c r="M1433" s="15"/>
      <c r="N1433" s="15"/>
      <c r="T1433" s="15"/>
      <c r="U1433" s="15"/>
    </row>
    <row r="1434" spans="12:21">
      <c r="L1434" s="15"/>
      <c r="M1434" s="15"/>
      <c r="N1434" s="15"/>
      <c r="T1434" s="15"/>
      <c r="U1434" s="15"/>
    </row>
    <row r="1435" spans="12:21">
      <c r="L1435" s="15"/>
      <c r="M1435" s="15"/>
      <c r="N1435" s="15"/>
      <c r="T1435" s="15"/>
      <c r="U1435" s="15"/>
    </row>
    <row r="1436" spans="12:21">
      <c r="L1436" s="15"/>
      <c r="M1436" s="15"/>
      <c r="N1436" s="15"/>
      <c r="T1436" s="15"/>
      <c r="U1436" s="15"/>
    </row>
    <row r="1437" spans="12:21">
      <c r="L1437" s="15"/>
      <c r="M1437" s="15"/>
      <c r="N1437" s="15"/>
      <c r="T1437" s="15"/>
      <c r="U1437" s="15"/>
    </row>
    <row r="1438" spans="12:21">
      <c r="L1438" s="15"/>
      <c r="M1438" s="15"/>
      <c r="N1438" s="15"/>
      <c r="T1438" s="15"/>
      <c r="U1438" s="15"/>
    </row>
    <row r="1439" spans="12:21">
      <c r="L1439" s="15"/>
      <c r="M1439" s="15"/>
      <c r="N1439" s="15"/>
      <c r="T1439" s="15"/>
      <c r="U1439" s="15"/>
    </row>
    <row r="1440" spans="12:21">
      <c r="L1440" s="15"/>
      <c r="M1440" s="15"/>
      <c r="N1440" s="15"/>
      <c r="T1440" s="15"/>
      <c r="U1440" s="15"/>
    </row>
    <row r="1441" spans="12:21">
      <c r="L1441" s="15"/>
      <c r="M1441" s="15"/>
      <c r="N1441" s="15"/>
      <c r="T1441" s="15"/>
      <c r="U1441" s="15"/>
    </row>
    <row r="1442" spans="12:21">
      <c r="L1442" s="15"/>
      <c r="M1442" s="15"/>
      <c r="N1442" s="15"/>
      <c r="T1442" s="15"/>
      <c r="U1442" s="15"/>
    </row>
    <row r="1443" spans="12:21">
      <c r="L1443" s="15"/>
      <c r="M1443" s="15"/>
      <c r="N1443" s="15"/>
      <c r="T1443" s="15"/>
      <c r="U1443" s="15"/>
    </row>
    <row r="1444" spans="12:21">
      <c r="L1444" s="15"/>
      <c r="M1444" s="15"/>
      <c r="N1444" s="15"/>
      <c r="T1444" s="15"/>
      <c r="U1444" s="15"/>
    </row>
    <row r="1445" spans="12:21">
      <c r="L1445" s="15"/>
      <c r="M1445" s="15"/>
      <c r="N1445" s="15"/>
      <c r="T1445" s="15"/>
      <c r="U1445" s="15"/>
    </row>
    <row r="1446" spans="12:21">
      <c r="L1446" s="15"/>
      <c r="M1446" s="15"/>
      <c r="N1446" s="15"/>
      <c r="T1446" s="15"/>
      <c r="U1446" s="15"/>
    </row>
    <row r="1447" spans="12:21">
      <c r="L1447" s="15"/>
      <c r="M1447" s="15"/>
      <c r="N1447" s="15"/>
      <c r="T1447" s="15"/>
      <c r="U1447" s="15"/>
    </row>
    <row r="1448" spans="12:21">
      <c r="L1448" s="15"/>
      <c r="M1448" s="15"/>
      <c r="N1448" s="15"/>
      <c r="T1448" s="15"/>
      <c r="U1448" s="15"/>
    </row>
    <row r="1449" spans="12:21">
      <c r="L1449" s="15"/>
      <c r="M1449" s="15"/>
      <c r="N1449" s="15"/>
      <c r="T1449" s="15"/>
      <c r="U1449" s="15"/>
    </row>
    <row r="1450" spans="12:21">
      <c r="L1450" s="15"/>
      <c r="M1450" s="15"/>
      <c r="N1450" s="15"/>
      <c r="T1450" s="15"/>
      <c r="U1450" s="15"/>
    </row>
    <row r="1451" spans="12:21">
      <c r="L1451" s="15"/>
      <c r="M1451" s="15"/>
      <c r="N1451" s="15"/>
      <c r="T1451" s="15"/>
      <c r="U1451" s="15"/>
    </row>
    <row r="1452" spans="12:21">
      <c r="L1452" s="15"/>
      <c r="M1452" s="15"/>
      <c r="N1452" s="15"/>
      <c r="T1452" s="15"/>
      <c r="U1452" s="15"/>
    </row>
    <row r="1453" spans="12:21">
      <c r="L1453" s="15"/>
      <c r="M1453" s="15"/>
      <c r="N1453" s="15"/>
      <c r="T1453" s="15"/>
      <c r="U1453" s="15"/>
    </row>
    <row r="1454" spans="12:21">
      <c r="L1454" s="15"/>
      <c r="M1454" s="15"/>
      <c r="N1454" s="15"/>
      <c r="T1454" s="15"/>
      <c r="U1454" s="15"/>
    </row>
    <row r="1455" spans="12:21">
      <c r="L1455" s="15"/>
      <c r="M1455" s="15"/>
      <c r="N1455" s="15"/>
      <c r="T1455" s="15"/>
      <c r="U1455" s="15"/>
    </row>
    <row r="1456" spans="12:21">
      <c r="L1456" s="15"/>
      <c r="M1456" s="15"/>
      <c r="N1456" s="15"/>
      <c r="T1456" s="15"/>
      <c r="U1456" s="15"/>
    </row>
    <row r="1457" spans="12:21">
      <c r="L1457" s="15"/>
      <c r="M1457" s="15"/>
      <c r="N1457" s="15"/>
      <c r="T1457" s="15"/>
      <c r="U1457" s="15"/>
    </row>
    <row r="1458" spans="12:21">
      <c r="L1458" s="15"/>
      <c r="M1458" s="15"/>
      <c r="N1458" s="15"/>
      <c r="T1458" s="15"/>
      <c r="U1458" s="15"/>
    </row>
    <row r="1459" spans="12:21">
      <c r="L1459" s="15"/>
      <c r="M1459" s="15"/>
      <c r="N1459" s="15"/>
      <c r="T1459" s="15"/>
      <c r="U1459" s="15"/>
    </row>
    <row r="1460" spans="12:21">
      <c r="L1460" s="15"/>
      <c r="M1460" s="15"/>
      <c r="N1460" s="15"/>
      <c r="T1460" s="15"/>
      <c r="U1460" s="15"/>
    </row>
    <row r="1461" spans="12:21">
      <c r="L1461" s="15"/>
      <c r="M1461" s="15"/>
      <c r="N1461" s="15"/>
      <c r="T1461" s="15"/>
      <c r="U1461" s="15"/>
    </row>
    <row r="1462" spans="12:21">
      <c r="L1462" s="15"/>
      <c r="M1462" s="15"/>
      <c r="N1462" s="15"/>
      <c r="T1462" s="15"/>
      <c r="U1462" s="15"/>
    </row>
    <row r="1463" spans="12:21">
      <c r="L1463" s="15"/>
      <c r="M1463" s="15"/>
      <c r="N1463" s="15"/>
      <c r="T1463" s="15"/>
      <c r="U1463" s="15"/>
    </row>
    <row r="1464" spans="12:21">
      <c r="L1464" s="15"/>
      <c r="M1464" s="15"/>
      <c r="N1464" s="15"/>
      <c r="T1464" s="15"/>
      <c r="U1464" s="15"/>
    </row>
    <row r="1465" spans="12:21">
      <c r="L1465" s="15"/>
      <c r="M1465" s="15"/>
      <c r="N1465" s="15"/>
      <c r="T1465" s="15"/>
      <c r="U1465" s="15"/>
    </row>
    <row r="1466" spans="12:21">
      <c r="L1466" s="15"/>
      <c r="M1466" s="15"/>
      <c r="N1466" s="15"/>
      <c r="T1466" s="15"/>
      <c r="U1466" s="15"/>
    </row>
    <row r="1467" spans="12:21">
      <c r="L1467" s="15"/>
      <c r="M1467" s="15"/>
      <c r="N1467" s="15"/>
      <c r="T1467" s="15"/>
      <c r="U1467" s="15"/>
    </row>
    <row r="1468" spans="12:21">
      <c r="L1468" s="15"/>
      <c r="M1468" s="15"/>
      <c r="N1468" s="15"/>
      <c r="T1468" s="15"/>
      <c r="U1468" s="15"/>
    </row>
    <row r="1469" spans="12:21">
      <c r="L1469" s="15"/>
      <c r="M1469" s="15"/>
      <c r="N1469" s="15"/>
      <c r="T1469" s="15"/>
      <c r="U1469" s="15"/>
    </row>
    <row r="1470" spans="12:21">
      <c r="L1470" s="15"/>
      <c r="M1470" s="15"/>
      <c r="N1470" s="15"/>
      <c r="T1470" s="15"/>
      <c r="U1470" s="15"/>
    </row>
    <row r="1471" spans="12:21">
      <c r="L1471" s="15"/>
      <c r="M1471" s="15"/>
      <c r="N1471" s="15"/>
      <c r="T1471" s="15"/>
      <c r="U1471" s="15"/>
    </row>
    <row r="1472" spans="12:21">
      <c r="L1472" s="15"/>
      <c r="M1472" s="15"/>
      <c r="N1472" s="15"/>
      <c r="T1472" s="15"/>
      <c r="U1472" s="15"/>
    </row>
    <row r="1473" spans="12:21">
      <c r="L1473" s="15"/>
      <c r="M1473" s="15"/>
      <c r="N1473" s="15"/>
      <c r="T1473" s="15"/>
      <c r="U1473" s="15"/>
    </row>
    <row r="1474" spans="12:21">
      <c r="L1474" s="15"/>
      <c r="M1474" s="15"/>
      <c r="N1474" s="15"/>
      <c r="T1474" s="15"/>
      <c r="U1474" s="15"/>
    </row>
    <row r="1475" spans="12:21">
      <c r="L1475" s="15"/>
      <c r="M1475" s="15"/>
      <c r="N1475" s="15"/>
      <c r="T1475" s="15"/>
      <c r="U1475" s="15"/>
    </row>
    <row r="1476" spans="12:21">
      <c r="L1476" s="15"/>
      <c r="M1476" s="15"/>
      <c r="N1476" s="15"/>
      <c r="T1476" s="15"/>
      <c r="U1476" s="15"/>
    </row>
    <row r="1477" spans="12:21">
      <c r="L1477" s="15"/>
      <c r="M1477" s="15"/>
      <c r="N1477" s="15"/>
      <c r="T1477" s="15"/>
      <c r="U1477" s="15"/>
    </row>
    <row r="1478" spans="12:21">
      <c r="L1478" s="15"/>
      <c r="M1478" s="15"/>
      <c r="N1478" s="15"/>
      <c r="T1478" s="15"/>
      <c r="U1478" s="15"/>
    </row>
    <row r="1479" spans="12:21">
      <c r="L1479" s="15"/>
      <c r="M1479" s="15"/>
      <c r="N1479" s="15"/>
      <c r="T1479" s="15"/>
      <c r="U1479" s="15"/>
    </row>
    <row r="1480" spans="12:21">
      <c r="L1480" s="15"/>
      <c r="M1480" s="15"/>
      <c r="N1480" s="15"/>
      <c r="T1480" s="15"/>
      <c r="U1480" s="15"/>
    </row>
    <row r="1481" spans="12:21">
      <c r="L1481" s="15"/>
      <c r="M1481" s="15"/>
      <c r="N1481" s="15"/>
      <c r="T1481" s="15"/>
      <c r="U1481" s="15"/>
    </row>
    <row r="1482" spans="12:21">
      <c r="L1482" s="15"/>
      <c r="M1482" s="15"/>
      <c r="N1482" s="15"/>
      <c r="T1482" s="15"/>
      <c r="U1482" s="15"/>
    </row>
    <row r="1483" spans="12:21">
      <c r="L1483" s="15"/>
      <c r="M1483" s="15"/>
      <c r="N1483" s="15"/>
      <c r="T1483" s="15"/>
      <c r="U1483" s="15"/>
    </row>
    <row r="1484" spans="12:21">
      <c r="L1484" s="15"/>
      <c r="M1484" s="15"/>
      <c r="N1484" s="15"/>
      <c r="T1484" s="15"/>
      <c r="U1484" s="15"/>
    </row>
    <row r="1485" spans="12:21">
      <c r="L1485" s="15"/>
      <c r="M1485" s="15"/>
      <c r="N1485" s="15"/>
      <c r="T1485" s="15"/>
      <c r="U1485" s="15"/>
    </row>
    <row r="1486" spans="12:21">
      <c r="L1486" s="15"/>
      <c r="M1486" s="15"/>
      <c r="N1486" s="15"/>
      <c r="T1486" s="15"/>
      <c r="U1486" s="15"/>
    </row>
    <row r="1487" spans="12:21">
      <c r="L1487" s="15"/>
      <c r="M1487" s="15"/>
      <c r="N1487" s="15"/>
      <c r="T1487" s="15"/>
      <c r="U1487" s="15"/>
    </row>
    <row r="1488" spans="12:21">
      <c r="L1488" s="15"/>
      <c r="M1488" s="15"/>
      <c r="N1488" s="15"/>
      <c r="T1488" s="15"/>
      <c r="U1488" s="15"/>
    </row>
    <row r="1489" spans="12:21">
      <c r="L1489" s="15"/>
      <c r="M1489" s="15"/>
      <c r="N1489" s="15"/>
      <c r="T1489" s="15"/>
      <c r="U1489" s="15"/>
    </row>
    <row r="1490" spans="12:21">
      <c r="L1490" s="15"/>
      <c r="M1490" s="15"/>
      <c r="N1490" s="15"/>
      <c r="T1490" s="15"/>
      <c r="U1490" s="15"/>
    </row>
    <row r="1491" spans="12:21">
      <c r="L1491" s="15"/>
      <c r="M1491" s="15"/>
      <c r="N1491" s="15"/>
      <c r="T1491" s="15"/>
      <c r="U1491" s="15"/>
    </row>
    <row r="1492" spans="12:21">
      <c r="L1492" s="15"/>
      <c r="M1492" s="15"/>
      <c r="N1492" s="15"/>
      <c r="T1492" s="15"/>
      <c r="U1492" s="15"/>
    </row>
    <row r="1493" spans="12:21">
      <c r="L1493" s="15"/>
      <c r="M1493" s="15"/>
      <c r="N1493" s="15"/>
      <c r="T1493" s="15"/>
      <c r="U1493" s="15"/>
    </row>
    <row r="1494" spans="12:21">
      <c r="L1494" s="15"/>
      <c r="M1494" s="15"/>
      <c r="N1494" s="15"/>
      <c r="T1494" s="15"/>
      <c r="U1494" s="15"/>
    </row>
    <row r="1495" spans="12:21">
      <c r="L1495" s="15"/>
      <c r="M1495" s="15"/>
      <c r="N1495" s="15"/>
      <c r="T1495" s="15"/>
      <c r="U1495" s="15"/>
    </row>
    <row r="1496" spans="12:21">
      <c r="L1496" s="15"/>
      <c r="M1496" s="15"/>
      <c r="N1496" s="15"/>
      <c r="T1496" s="15"/>
      <c r="U1496" s="15"/>
    </row>
    <row r="1497" spans="12:21">
      <c r="L1497" s="15"/>
      <c r="M1497" s="15"/>
      <c r="N1497" s="15"/>
      <c r="T1497" s="15"/>
      <c r="U1497" s="15"/>
    </row>
    <row r="1498" spans="12:21">
      <c r="L1498" s="15"/>
      <c r="M1498" s="15"/>
      <c r="N1498" s="15"/>
      <c r="T1498" s="15"/>
      <c r="U1498" s="15"/>
    </row>
    <row r="1499" spans="12:21">
      <c r="L1499" s="15"/>
      <c r="M1499" s="15"/>
      <c r="N1499" s="15"/>
      <c r="T1499" s="15"/>
      <c r="U1499" s="15"/>
    </row>
    <row r="1500" spans="12:21">
      <c r="L1500" s="15"/>
      <c r="M1500" s="15"/>
      <c r="N1500" s="15"/>
      <c r="T1500" s="15"/>
      <c r="U1500" s="15"/>
    </row>
    <row r="1501" spans="12:21">
      <c r="L1501" s="15"/>
      <c r="M1501" s="15"/>
      <c r="N1501" s="15"/>
      <c r="T1501" s="15"/>
      <c r="U1501" s="15"/>
    </row>
    <row r="1502" spans="12:21">
      <c r="L1502" s="15"/>
      <c r="M1502" s="15"/>
      <c r="N1502" s="15"/>
      <c r="T1502" s="15"/>
      <c r="U1502" s="15"/>
    </row>
    <row r="1503" spans="12:21">
      <c r="L1503" s="15"/>
      <c r="M1503" s="15"/>
      <c r="N1503" s="15"/>
      <c r="T1503" s="15"/>
      <c r="U1503" s="15"/>
    </row>
    <row r="1504" spans="12:21">
      <c r="L1504" s="15"/>
      <c r="M1504" s="15"/>
      <c r="N1504" s="15"/>
      <c r="T1504" s="15"/>
      <c r="U1504" s="15"/>
    </row>
    <row r="1505" spans="12:21">
      <c r="L1505" s="15"/>
      <c r="M1505" s="15"/>
      <c r="N1505" s="15"/>
      <c r="T1505" s="15"/>
      <c r="U1505" s="15"/>
    </row>
    <row r="1506" spans="12:21">
      <c r="L1506" s="15"/>
      <c r="M1506" s="15"/>
      <c r="N1506" s="15"/>
      <c r="T1506" s="15"/>
      <c r="U1506" s="15"/>
    </row>
    <row r="1507" spans="12:21">
      <c r="L1507" s="15"/>
      <c r="M1507" s="15"/>
      <c r="N1507" s="15"/>
      <c r="T1507" s="15"/>
      <c r="U1507" s="15"/>
    </row>
    <row r="1508" spans="12:21">
      <c r="L1508" s="15"/>
      <c r="M1508" s="15"/>
      <c r="N1508" s="15"/>
      <c r="T1508" s="15"/>
      <c r="U1508" s="15"/>
    </row>
    <row r="1509" spans="12:21">
      <c r="L1509" s="15"/>
      <c r="M1509" s="15"/>
      <c r="N1509" s="15"/>
      <c r="T1509" s="15"/>
      <c r="U1509" s="15"/>
    </row>
    <row r="1510" spans="12:21">
      <c r="L1510" s="15"/>
      <c r="M1510" s="15"/>
      <c r="N1510" s="15"/>
      <c r="T1510" s="15"/>
      <c r="U1510" s="15"/>
    </row>
    <row r="1511" spans="12:21">
      <c r="L1511" s="15"/>
      <c r="M1511" s="15"/>
      <c r="N1511" s="15"/>
      <c r="T1511" s="15"/>
      <c r="U1511" s="15"/>
    </row>
    <row r="1512" spans="12:21">
      <c r="L1512" s="15"/>
      <c r="M1512" s="15"/>
      <c r="N1512" s="15"/>
      <c r="T1512" s="15"/>
      <c r="U1512" s="15"/>
    </row>
    <row r="1513" spans="12:21">
      <c r="L1513" s="15"/>
      <c r="M1513" s="15"/>
      <c r="N1513" s="15"/>
      <c r="T1513" s="15"/>
      <c r="U1513" s="15"/>
    </row>
    <row r="1514" spans="12:21">
      <c r="L1514" s="15"/>
      <c r="M1514" s="15"/>
      <c r="N1514" s="15"/>
      <c r="T1514" s="15"/>
      <c r="U1514" s="15"/>
    </row>
    <row r="1515" spans="12:21">
      <c r="L1515" s="15"/>
      <c r="M1515" s="15"/>
      <c r="N1515" s="15"/>
      <c r="T1515" s="15"/>
      <c r="U1515" s="15"/>
    </row>
    <row r="1516" spans="12:21">
      <c r="L1516" s="15"/>
      <c r="M1516" s="15"/>
      <c r="N1516" s="15"/>
      <c r="T1516" s="15"/>
      <c r="U1516" s="15"/>
    </row>
    <row r="1517" spans="12:21">
      <c r="L1517" s="15"/>
      <c r="M1517" s="15"/>
      <c r="N1517" s="15"/>
      <c r="T1517" s="15"/>
      <c r="U1517" s="15"/>
    </row>
    <row r="1518" spans="12:21">
      <c r="L1518" s="15"/>
      <c r="M1518" s="15"/>
      <c r="N1518" s="15"/>
      <c r="T1518" s="15"/>
      <c r="U1518" s="15"/>
    </row>
    <row r="1519" spans="12:21">
      <c r="L1519" s="15"/>
      <c r="M1519" s="15"/>
      <c r="N1519" s="15"/>
      <c r="T1519" s="15"/>
      <c r="U1519" s="15"/>
    </row>
    <row r="1520" spans="12:21">
      <c r="L1520" s="15"/>
      <c r="M1520" s="15"/>
      <c r="N1520" s="15"/>
      <c r="T1520" s="15"/>
      <c r="U1520" s="15"/>
    </row>
    <row r="1521" spans="12:21">
      <c r="L1521" s="15"/>
      <c r="M1521" s="15"/>
      <c r="N1521" s="15"/>
      <c r="T1521" s="15"/>
      <c r="U1521" s="15"/>
    </row>
    <row r="1522" spans="12:21">
      <c r="L1522" s="15"/>
      <c r="M1522" s="15"/>
      <c r="N1522" s="15"/>
      <c r="T1522" s="15"/>
      <c r="U1522" s="15"/>
    </row>
    <row r="1523" spans="12:21">
      <c r="L1523" s="15"/>
      <c r="M1523" s="15"/>
      <c r="N1523" s="15"/>
      <c r="T1523" s="15"/>
      <c r="U1523" s="15"/>
    </row>
    <row r="1524" spans="12:21">
      <c r="L1524" s="15"/>
      <c r="M1524" s="15"/>
      <c r="N1524" s="15"/>
      <c r="T1524" s="15"/>
      <c r="U1524" s="15"/>
    </row>
    <row r="1525" spans="12:21">
      <c r="L1525" s="15"/>
      <c r="M1525" s="15"/>
      <c r="N1525" s="15"/>
      <c r="T1525" s="15"/>
      <c r="U1525" s="15"/>
    </row>
    <row r="1526" spans="12:21">
      <c r="L1526" s="15"/>
      <c r="M1526" s="15"/>
      <c r="N1526" s="15"/>
      <c r="T1526" s="15"/>
      <c r="U1526" s="15"/>
    </row>
    <row r="1527" spans="12:21">
      <c r="L1527" s="15"/>
      <c r="M1527" s="15"/>
      <c r="N1527" s="15"/>
      <c r="T1527" s="15"/>
      <c r="U1527" s="15"/>
    </row>
    <row r="1528" spans="12:21">
      <c r="L1528" s="15"/>
      <c r="M1528" s="15"/>
      <c r="N1528" s="15"/>
      <c r="T1528" s="15"/>
      <c r="U1528" s="15"/>
    </row>
    <row r="1529" spans="12:21">
      <c r="L1529" s="15"/>
      <c r="M1529" s="15"/>
      <c r="N1529" s="15"/>
      <c r="T1529" s="15"/>
      <c r="U1529" s="15"/>
    </row>
    <row r="1530" spans="12:21">
      <c r="L1530" s="15"/>
      <c r="M1530" s="15"/>
      <c r="N1530" s="15"/>
      <c r="T1530" s="15"/>
      <c r="U1530" s="15"/>
    </row>
    <row r="1531" spans="12:21">
      <c r="L1531" s="15"/>
      <c r="M1531" s="15"/>
      <c r="N1531" s="15"/>
      <c r="T1531" s="15"/>
      <c r="U1531" s="15"/>
    </row>
    <row r="1532" spans="12:21">
      <c r="L1532" s="15"/>
      <c r="M1532" s="15"/>
      <c r="N1532" s="15"/>
      <c r="T1532" s="15"/>
      <c r="U1532" s="15"/>
    </row>
    <row r="1533" spans="12:21">
      <c r="L1533" s="15"/>
      <c r="M1533" s="15"/>
      <c r="N1533" s="15"/>
      <c r="T1533" s="15"/>
      <c r="U1533" s="15"/>
    </row>
    <row r="1534" spans="12:21">
      <c r="L1534" s="15"/>
      <c r="M1534" s="15"/>
      <c r="N1534" s="15"/>
      <c r="T1534" s="15"/>
      <c r="U1534" s="15"/>
    </row>
    <row r="1535" spans="12:21">
      <c r="L1535" s="15"/>
      <c r="M1535" s="15"/>
      <c r="N1535" s="15"/>
      <c r="T1535" s="15"/>
      <c r="U1535" s="15"/>
    </row>
    <row r="1536" spans="12:21">
      <c r="L1536" s="15"/>
      <c r="M1536" s="15"/>
      <c r="N1536" s="15"/>
      <c r="T1536" s="15"/>
      <c r="U1536" s="15"/>
    </row>
    <row r="1537" spans="12:21">
      <c r="L1537" s="15"/>
      <c r="M1537" s="15"/>
      <c r="N1537" s="15"/>
      <c r="T1537" s="15"/>
      <c r="U1537" s="15"/>
    </row>
    <row r="1538" spans="12:21">
      <c r="L1538" s="15"/>
      <c r="M1538" s="15"/>
      <c r="N1538" s="15"/>
      <c r="T1538" s="15"/>
      <c r="U1538" s="15"/>
    </row>
    <row r="1539" spans="12:21">
      <c r="L1539" s="15"/>
      <c r="M1539" s="15"/>
      <c r="N1539" s="15"/>
      <c r="T1539" s="15"/>
      <c r="U1539" s="15"/>
    </row>
    <row r="1540" spans="12:21">
      <c r="L1540" s="15"/>
      <c r="M1540" s="15"/>
      <c r="N1540" s="15"/>
      <c r="T1540" s="15"/>
      <c r="U1540" s="15"/>
    </row>
    <row r="1541" spans="12:21">
      <c r="L1541" s="15"/>
      <c r="M1541" s="15"/>
      <c r="N1541" s="15"/>
      <c r="T1541" s="15"/>
      <c r="U1541" s="15"/>
    </row>
    <row r="1542" spans="12:21">
      <c r="L1542" s="15"/>
      <c r="M1542" s="15"/>
      <c r="N1542" s="15"/>
      <c r="T1542" s="15"/>
      <c r="U1542" s="15"/>
    </row>
    <row r="1543" spans="12:21">
      <c r="L1543" s="15"/>
      <c r="M1543" s="15"/>
      <c r="N1543" s="15"/>
      <c r="T1543" s="15"/>
      <c r="U1543" s="15"/>
    </row>
    <row r="1544" spans="12:21">
      <c r="L1544" s="15"/>
      <c r="M1544" s="15"/>
      <c r="N1544" s="15"/>
      <c r="T1544" s="15"/>
      <c r="U1544" s="15"/>
    </row>
    <row r="1545" spans="12:21">
      <c r="L1545" s="15"/>
      <c r="M1545" s="15"/>
      <c r="N1545" s="15"/>
      <c r="T1545" s="15"/>
      <c r="U1545" s="15"/>
    </row>
    <row r="1546" spans="12:21">
      <c r="L1546" s="15"/>
      <c r="M1546" s="15"/>
      <c r="N1546" s="15"/>
      <c r="T1546" s="15"/>
      <c r="U1546" s="15"/>
    </row>
    <row r="1547" spans="12:21">
      <c r="L1547" s="15"/>
      <c r="M1547" s="15"/>
      <c r="N1547" s="15"/>
      <c r="T1547" s="15"/>
      <c r="U1547" s="15"/>
    </row>
    <row r="1548" spans="12:21">
      <c r="L1548" s="15"/>
      <c r="M1548" s="15"/>
      <c r="N1548" s="15"/>
      <c r="T1548" s="15"/>
      <c r="U1548" s="15"/>
    </row>
    <row r="1549" spans="12:21">
      <c r="L1549" s="15"/>
      <c r="M1549" s="15"/>
      <c r="N1549" s="15"/>
      <c r="T1549" s="15"/>
      <c r="U1549" s="15"/>
    </row>
    <row r="1550" spans="12:21">
      <c r="L1550" s="15"/>
      <c r="M1550" s="15"/>
      <c r="N1550" s="15"/>
      <c r="T1550" s="15"/>
      <c r="U1550" s="15"/>
    </row>
    <row r="1551" spans="12:21">
      <c r="L1551" s="15"/>
      <c r="M1551" s="15"/>
      <c r="N1551" s="15"/>
      <c r="T1551" s="15"/>
      <c r="U1551" s="15"/>
    </row>
    <row r="1552" spans="12:21">
      <c r="L1552" s="15"/>
      <c r="M1552" s="15"/>
      <c r="N1552" s="15"/>
      <c r="T1552" s="15"/>
      <c r="U1552" s="15"/>
    </row>
    <row r="1553" spans="12:21">
      <c r="L1553" s="15"/>
      <c r="M1553" s="15"/>
      <c r="N1553" s="15"/>
      <c r="T1553" s="15"/>
      <c r="U1553" s="15"/>
    </row>
    <row r="1554" spans="12:21">
      <c r="L1554" s="15"/>
      <c r="M1554" s="15"/>
      <c r="N1554" s="15"/>
      <c r="T1554" s="15"/>
      <c r="U1554" s="15"/>
    </row>
    <row r="1555" spans="12:21">
      <c r="L1555" s="15"/>
      <c r="M1555" s="15"/>
      <c r="N1555" s="15"/>
      <c r="T1555" s="15"/>
      <c r="U1555" s="15"/>
    </row>
    <row r="1556" spans="12:21">
      <c r="L1556" s="15"/>
      <c r="M1556" s="15"/>
      <c r="N1556" s="15"/>
      <c r="T1556" s="15"/>
      <c r="U1556" s="15"/>
    </row>
    <row r="1557" spans="12:21">
      <c r="L1557" s="15"/>
      <c r="M1557" s="15"/>
      <c r="N1557" s="15"/>
      <c r="T1557" s="15"/>
      <c r="U1557" s="15"/>
    </row>
    <row r="1558" spans="12:21">
      <c r="L1558" s="15"/>
      <c r="M1558" s="15"/>
      <c r="N1558" s="15"/>
      <c r="T1558" s="15"/>
      <c r="U1558" s="15"/>
    </row>
    <row r="1559" spans="12:21">
      <c r="L1559" s="15"/>
      <c r="M1559" s="15"/>
      <c r="N1559" s="15"/>
      <c r="T1559" s="15"/>
      <c r="U1559" s="15"/>
    </row>
    <row r="1560" spans="12:21">
      <c r="L1560" s="15"/>
      <c r="M1560" s="15"/>
      <c r="N1560" s="15"/>
      <c r="T1560" s="15"/>
      <c r="U1560" s="15"/>
    </row>
    <row r="1561" spans="12:21">
      <c r="L1561" s="15"/>
      <c r="M1561" s="15"/>
      <c r="N1561" s="15"/>
      <c r="T1561" s="15"/>
      <c r="U1561" s="15"/>
    </row>
    <row r="1562" spans="12:21">
      <c r="L1562" s="15"/>
      <c r="M1562" s="15"/>
      <c r="N1562" s="15"/>
      <c r="T1562" s="15"/>
      <c r="U1562" s="15"/>
    </row>
    <row r="1563" spans="12:21">
      <c r="L1563" s="15"/>
      <c r="M1563" s="15"/>
      <c r="N1563" s="15"/>
      <c r="T1563" s="15"/>
      <c r="U1563" s="15"/>
    </row>
    <row r="1564" spans="12:21">
      <c r="L1564" s="15"/>
      <c r="M1564" s="15"/>
      <c r="N1564" s="15"/>
      <c r="T1564" s="15"/>
      <c r="U1564" s="15"/>
    </row>
    <row r="1565" spans="12:21">
      <c r="L1565" s="15"/>
      <c r="M1565" s="15"/>
      <c r="N1565" s="15"/>
      <c r="T1565" s="15"/>
      <c r="U1565" s="15"/>
    </row>
    <row r="1566" spans="12:21">
      <c r="L1566" s="15"/>
      <c r="M1566" s="15"/>
      <c r="N1566" s="15"/>
      <c r="T1566" s="15"/>
      <c r="U1566" s="15"/>
    </row>
    <row r="1567" spans="12:21">
      <c r="L1567" s="15"/>
      <c r="M1567" s="15"/>
      <c r="N1567" s="15"/>
      <c r="T1567" s="15"/>
      <c r="U1567" s="15"/>
    </row>
    <row r="1568" spans="12:21">
      <c r="L1568" s="15"/>
      <c r="M1568" s="15"/>
      <c r="N1568" s="15"/>
      <c r="T1568" s="15"/>
      <c r="U1568" s="15"/>
    </row>
    <row r="1569" spans="12:21">
      <c r="L1569" s="15"/>
      <c r="M1569" s="15"/>
      <c r="N1569" s="15"/>
      <c r="T1569" s="15"/>
      <c r="U1569" s="15"/>
    </row>
    <row r="1570" spans="12:21">
      <c r="L1570" s="15"/>
      <c r="M1570" s="15"/>
      <c r="N1570" s="15"/>
      <c r="T1570" s="15"/>
      <c r="U1570" s="15"/>
    </row>
    <row r="1571" spans="12:21">
      <c r="L1571" s="15"/>
      <c r="M1571" s="15"/>
      <c r="N1571" s="15"/>
      <c r="T1571" s="15"/>
      <c r="U1571" s="15"/>
    </row>
    <row r="1572" spans="12:21">
      <c r="L1572" s="15"/>
      <c r="M1572" s="15"/>
      <c r="N1572" s="15"/>
      <c r="T1572" s="15"/>
      <c r="U1572" s="15"/>
    </row>
    <row r="1573" spans="12:21">
      <c r="L1573" s="15"/>
      <c r="M1573" s="15"/>
      <c r="N1573" s="15"/>
      <c r="T1573" s="15"/>
      <c r="U1573" s="15"/>
    </row>
    <row r="1574" spans="12:21">
      <c r="L1574" s="15"/>
      <c r="M1574" s="15"/>
      <c r="N1574" s="15"/>
      <c r="T1574" s="15"/>
      <c r="U1574" s="15"/>
    </row>
    <row r="1575" spans="12:21">
      <c r="L1575" s="15"/>
      <c r="M1575" s="15"/>
      <c r="N1575" s="15"/>
      <c r="T1575" s="15"/>
      <c r="U1575" s="15"/>
    </row>
    <row r="1576" spans="12:21">
      <c r="L1576" s="15"/>
      <c r="M1576" s="15"/>
      <c r="N1576" s="15"/>
      <c r="T1576" s="15"/>
      <c r="U1576" s="15"/>
    </row>
    <row r="1577" spans="12:21">
      <c r="L1577" s="15"/>
      <c r="M1577" s="15"/>
      <c r="N1577" s="15"/>
      <c r="T1577" s="15"/>
      <c r="U1577" s="15"/>
    </row>
    <row r="1578" spans="12:21">
      <c r="L1578" s="15"/>
      <c r="M1578" s="15"/>
      <c r="N1578" s="15"/>
      <c r="T1578" s="15"/>
      <c r="U1578" s="15"/>
    </row>
    <row r="1579" spans="12:21">
      <c r="L1579" s="15"/>
      <c r="M1579" s="15"/>
      <c r="N1579" s="15"/>
      <c r="T1579" s="15"/>
      <c r="U1579" s="15"/>
    </row>
    <row r="1580" spans="12:21">
      <c r="L1580" s="15"/>
      <c r="M1580" s="15"/>
      <c r="N1580" s="15"/>
      <c r="T1580" s="15"/>
      <c r="U1580" s="15"/>
    </row>
    <row r="1581" spans="12:21">
      <c r="L1581" s="15"/>
      <c r="M1581" s="15"/>
      <c r="N1581" s="15"/>
      <c r="T1581" s="15"/>
      <c r="U1581" s="15"/>
    </row>
    <row r="1582" spans="12:21">
      <c r="L1582" s="15"/>
      <c r="M1582" s="15"/>
      <c r="N1582" s="15"/>
      <c r="T1582" s="15"/>
      <c r="U1582" s="15"/>
    </row>
    <row r="1583" spans="12:21">
      <c r="L1583" s="15"/>
      <c r="M1583" s="15"/>
      <c r="N1583" s="15"/>
      <c r="T1583" s="15"/>
      <c r="U1583" s="15"/>
    </row>
    <row r="1584" spans="12:21">
      <c r="L1584" s="15"/>
      <c r="M1584" s="15"/>
      <c r="N1584" s="15"/>
      <c r="T1584" s="15"/>
      <c r="U1584" s="15"/>
    </row>
    <row r="1585" spans="12:21">
      <c r="L1585" s="15"/>
      <c r="M1585" s="15"/>
      <c r="N1585" s="15"/>
      <c r="T1585" s="15"/>
      <c r="U1585" s="15"/>
    </row>
    <row r="1586" spans="12:21">
      <c r="L1586" s="15"/>
      <c r="M1586" s="15"/>
      <c r="N1586" s="15"/>
      <c r="T1586" s="15"/>
      <c r="U1586" s="15"/>
    </row>
    <row r="1587" spans="12:21">
      <c r="L1587" s="15"/>
      <c r="M1587" s="15"/>
      <c r="N1587" s="15"/>
      <c r="T1587" s="15"/>
      <c r="U1587" s="15"/>
    </row>
    <row r="1588" spans="12:21">
      <c r="L1588" s="15"/>
      <c r="M1588" s="15"/>
      <c r="N1588" s="15"/>
      <c r="T1588" s="15"/>
      <c r="U1588" s="15"/>
    </row>
    <row r="1589" spans="12:21">
      <c r="L1589" s="15"/>
      <c r="M1589" s="15"/>
      <c r="N1589" s="15"/>
      <c r="T1589" s="15"/>
      <c r="U1589" s="15"/>
    </row>
    <row r="1590" spans="12:21">
      <c r="L1590" s="15"/>
      <c r="M1590" s="15"/>
      <c r="N1590" s="15"/>
      <c r="T1590" s="15"/>
      <c r="U1590" s="15"/>
    </row>
    <row r="1591" spans="12:21">
      <c r="L1591" s="15"/>
      <c r="M1591" s="15"/>
      <c r="N1591" s="15"/>
      <c r="T1591" s="15"/>
      <c r="U1591" s="15"/>
    </row>
    <row r="1592" spans="12:21">
      <c r="L1592" s="15"/>
      <c r="M1592" s="15"/>
      <c r="N1592" s="15"/>
      <c r="T1592" s="15"/>
      <c r="U1592" s="15"/>
    </row>
    <row r="1593" spans="12:21">
      <c r="L1593" s="15"/>
      <c r="M1593" s="15"/>
      <c r="N1593" s="15"/>
      <c r="T1593" s="15"/>
      <c r="U1593" s="15"/>
    </row>
    <row r="1594" spans="12:21">
      <c r="L1594" s="15"/>
      <c r="M1594" s="15"/>
      <c r="N1594" s="15"/>
      <c r="T1594" s="15"/>
      <c r="U1594" s="15"/>
    </row>
    <row r="1595" spans="12:21">
      <c r="L1595" s="15"/>
      <c r="M1595" s="15"/>
      <c r="N1595" s="15"/>
      <c r="T1595" s="15"/>
      <c r="U1595" s="15"/>
    </row>
    <row r="1596" spans="12:21">
      <c r="L1596" s="15"/>
      <c r="M1596" s="15"/>
      <c r="N1596" s="15"/>
      <c r="T1596" s="15"/>
      <c r="U1596" s="15"/>
    </row>
    <row r="1597" spans="12:21">
      <c r="L1597" s="15"/>
      <c r="M1597" s="15"/>
      <c r="N1597" s="15"/>
      <c r="T1597" s="15"/>
      <c r="U1597" s="15"/>
    </row>
    <row r="1598" spans="12:21">
      <c r="L1598" s="15"/>
      <c r="M1598" s="15"/>
      <c r="N1598" s="15"/>
      <c r="T1598" s="15"/>
      <c r="U1598" s="15"/>
    </row>
    <row r="1599" spans="12:21">
      <c r="L1599" s="15"/>
      <c r="M1599" s="15"/>
      <c r="N1599" s="15"/>
      <c r="T1599" s="15"/>
      <c r="U1599" s="15"/>
    </row>
    <row r="1600" spans="12:21">
      <c r="L1600" s="15"/>
      <c r="M1600" s="15"/>
      <c r="N1600" s="15"/>
      <c r="T1600" s="15"/>
      <c r="U1600" s="15"/>
    </row>
    <row r="1601" spans="12:21">
      <c r="L1601" s="15"/>
      <c r="M1601" s="15"/>
      <c r="N1601" s="15"/>
      <c r="T1601" s="15"/>
      <c r="U1601" s="15"/>
    </row>
    <row r="1602" spans="12:21">
      <c r="L1602" s="15"/>
      <c r="M1602" s="15"/>
      <c r="N1602" s="15"/>
      <c r="T1602" s="15"/>
      <c r="U1602" s="15"/>
    </row>
    <row r="1603" spans="12:21">
      <c r="L1603" s="15"/>
      <c r="M1603" s="15"/>
      <c r="N1603" s="15"/>
      <c r="T1603" s="15"/>
      <c r="U1603" s="15"/>
    </row>
    <row r="1604" spans="12:21">
      <c r="L1604" s="15"/>
      <c r="M1604" s="15"/>
      <c r="N1604" s="15"/>
      <c r="T1604" s="15"/>
      <c r="U1604" s="15"/>
    </row>
    <row r="1605" spans="12:21">
      <c r="L1605" s="15"/>
      <c r="M1605" s="15"/>
      <c r="N1605" s="15"/>
      <c r="T1605" s="15"/>
      <c r="U1605" s="15"/>
    </row>
    <row r="1606" spans="12:21">
      <c r="L1606" s="15"/>
      <c r="M1606" s="15"/>
      <c r="N1606" s="15"/>
      <c r="T1606" s="15"/>
      <c r="U1606" s="15"/>
    </row>
    <row r="1607" spans="12:21">
      <c r="L1607" s="15"/>
      <c r="M1607" s="15"/>
      <c r="N1607" s="15"/>
      <c r="T1607" s="15"/>
      <c r="U1607" s="15"/>
    </row>
    <row r="1608" spans="12:21">
      <c r="L1608" s="15"/>
      <c r="M1608" s="15"/>
      <c r="N1608" s="15"/>
      <c r="T1608" s="15"/>
      <c r="U1608" s="15"/>
    </row>
    <row r="1609" spans="12:21">
      <c r="L1609" s="15"/>
      <c r="M1609" s="15"/>
      <c r="N1609" s="15"/>
      <c r="T1609" s="15"/>
      <c r="U1609" s="15"/>
    </row>
    <row r="1610" spans="12:21">
      <c r="L1610" s="15"/>
      <c r="M1610" s="15"/>
      <c r="N1610" s="15"/>
      <c r="T1610" s="15"/>
      <c r="U1610" s="15"/>
    </row>
    <row r="1611" spans="12:21">
      <c r="L1611" s="15"/>
      <c r="M1611" s="15"/>
      <c r="N1611" s="15"/>
      <c r="T1611" s="15"/>
      <c r="U1611" s="15"/>
    </row>
    <row r="1612" spans="12:21">
      <c r="L1612" s="15"/>
      <c r="M1612" s="15"/>
      <c r="N1612" s="15"/>
      <c r="T1612" s="15"/>
      <c r="U1612" s="15"/>
    </row>
    <row r="1613" spans="12:21">
      <c r="L1613" s="15"/>
      <c r="M1613" s="15"/>
      <c r="N1613" s="15"/>
      <c r="T1613" s="15"/>
      <c r="U1613" s="15"/>
    </row>
    <row r="1614" spans="12:21">
      <c r="L1614" s="15"/>
      <c r="M1614" s="15"/>
      <c r="N1614" s="15"/>
      <c r="T1614" s="15"/>
      <c r="U1614" s="15"/>
    </row>
    <row r="1615" spans="12:21">
      <c r="L1615" s="15"/>
      <c r="M1615" s="15"/>
      <c r="N1615" s="15"/>
      <c r="T1615" s="15"/>
      <c r="U1615" s="15"/>
    </row>
    <row r="1616" spans="12:21">
      <c r="L1616" s="15"/>
      <c r="M1616" s="15"/>
      <c r="N1616" s="15"/>
      <c r="T1616" s="15"/>
      <c r="U1616" s="15"/>
    </row>
    <row r="1617" spans="12:21">
      <c r="L1617" s="15"/>
      <c r="M1617" s="15"/>
      <c r="N1617" s="15"/>
      <c r="T1617" s="15"/>
      <c r="U1617" s="15"/>
    </row>
    <row r="1618" spans="12:21">
      <c r="L1618" s="15"/>
      <c r="M1618" s="15"/>
      <c r="N1618" s="15"/>
      <c r="T1618" s="15"/>
      <c r="U1618" s="15"/>
    </row>
    <row r="1619" spans="12:21">
      <c r="L1619" s="15"/>
      <c r="M1619" s="15"/>
      <c r="N1619" s="15"/>
      <c r="T1619" s="15"/>
      <c r="U1619" s="15"/>
    </row>
    <row r="1620" spans="12:21">
      <c r="L1620" s="15"/>
      <c r="M1620" s="15"/>
      <c r="N1620" s="15"/>
      <c r="T1620" s="15"/>
      <c r="U1620" s="15"/>
    </row>
    <row r="1621" spans="12:21">
      <c r="L1621" s="15"/>
      <c r="M1621" s="15"/>
      <c r="N1621" s="15"/>
      <c r="T1621" s="15"/>
      <c r="U1621" s="15"/>
    </row>
    <row r="1622" spans="12:21">
      <c r="L1622" s="15"/>
      <c r="M1622" s="15"/>
      <c r="N1622" s="15"/>
      <c r="T1622" s="15"/>
      <c r="U1622" s="15"/>
    </row>
    <row r="1623" spans="12:21">
      <c r="L1623" s="15"/>
      <c r="M1623" s="15"/>
      <c r="N1623" s="15"/>
      <c r="T1623" s="15"/>
      <c r="U1623" s="15"/>
    </row>
    <row r="1624" spans="12:21">
      <c r="L1624" s="15"/>
      <c r="M1624" s="15"/>
      <c r="N1624" s="15"/>
      <c r="T1624" s="15"/>
      <c r="U1624" s="15"/>
    </row>
    <row r="1625" spans="12:21">
      <c r="L1625" s="15"/>
      <c r="M1625" s="15"/>
      <c r="N1625" s="15"/>
      <c r="T1625" s="15"/>
      <c r="U1625" s="15"/>
    </row>
    <row r="1626" spans="12:21">
      <c r="L1626" s="15"/>
      <c r="M1626" s="15"/>
      <c r="N1626" s="15"/>
      <c r="T1626" s="15"/>
      <c r="U1626" s="15"/>
    </row>
    <row r="1627" spans="12:21">
      <c r="L1627" s="15"/>
      <c r="M1627" s="15"/>
      <c r="N1627" s="15"/>
      <c r="T1627" s="15"/>
      <c r="U1627" s="15"/>
    </row>
    <row r="1628" spans="12:21">
      <c r="L1628" s="15"/>
      <c r="M1628" s="15"/>
      <c r="N1628" s="15"/>
      <c r="T1628" s="15"/>
      <c r="U1628" s="15"/>
    </row>
    <row r="1629" spans="12:21">
      <c r="L1629" s="15"/>
      <c r="M1629" s="15"/>
      <c r="N1629" s="15"/>
      <c r="T1629" s="15"/>
      <c r="U1629" s="15"/>
    </row>
    <row r="1630" spans="12:21">
      <c r="L1630" s="15"/>
      <c r="M1630" s="15"/>
      <c r="N1630" s="15"/>
      <c r="T1630" s="15"/>
      <c r="U1630" s="15"/>
    </row>
    <row r="1631" spans="12:21">
      <c r="L1631" s="15"/>
      <c r="M1631" s="15"/>
      <c r="N1631" s="15"/>
      <c r="T1631" s="15"/>
      <c r="U1631" s="15"/>
    </row>
    <row r="1632" spans="12:21">
      <c r="L1632" s="15"/>
      <c r="M1632" s="15"/>
      <c r="N1632" s="15"/>
      <c r="T1632" s="15"/>
      <c r="U1632" s="15"/>
    </row>
    <row r="1633" spans="12:21">
      <c r="L1633" s="15"/>
      <c r="M1633" s="15"/>
      <c r="N1633" s="15"/>
      <c r="T1633" s="15"/>
      <c r="U1633" s="15"/>
    </row>
    <row r="1634" spans="12:21">
      <c r="L1634" s="15"/>
      <c r="M1634" s="15"/>
      <c r="N1634" s="15"/>
      <c r="T1634" s="15"/>
      <c r="U1634" s="15"/>
    </row>
    <row r="1635" spans="12:21">
      <c r="L1635" s="15"/>
      <c r="M1635" s="15"/>
      <c r="N1635" s="15"/>
      <c r="T1635" s="15"/>
      <c r="U1635" s="15"/>
    </row>
    <row r="1636" spans="12:21">
      <c r="L1636" s="15"/>
      <c r="M1636" s="15"/>
      <c r="N1636" s="15"/>
      <c r="T1636" s="15"/>
      <c r="U1636" s="15"/>
    </row>
    <row r="1637" spans="12:21">
      <c r="L1637" s="15"/>
      <c r="M1637" s="15"/>
      <c r="N1637" s="15"/>
      <c r="T1637" s="15"/>
      <c r="U1637" s="15"/>
    </row>
    <row r="1638" spans="12:21">
      <c r="L1638" s="15"/>
      <c r="M1638" s="15"/>
      <c r="N1638" s="15"/>
      <c r="T1638" s="15"/>
      <c r="U1638" s="15"/>
    </row>
    <row r="1639" spans="12:21">
      <c r="L1639" s="15"/>
      <c r="M1639" s="15"/>
      <c r="N1639" s="15"/>
      <c r="T1639" s="15"/>
      <c r="U1639" s="15"/>
    </row>
    <row r="1640" spans="12:21">
      <c r="L1640" s="15"/>
      <c r="M1640" s="15"/>
      <c r="N1640" s="15"/>
      <c r="T1640" s="15"/>
      <c r="U1640" s="15"/>
    </row>
    <row r="1641" spans="12:21">
      <c r="L1641" s="15"/>
      <c r="M1641" s="15"/>
      <c r="N1641" s="15"/>
      <c r="T1641" s="15"/>
      <c r="U1641" s="15"/>
    </row>
    <row r="1642" spans="12:21">
      <c r="L1642" s="15"/>
      <c r="M1642" s="15"/>
      <c r="N1642" s="15"/>
      <c r="T1642" s="15"/>
      <c r="U1642" s="15"/>
    </row>
    <row r="1643" spans="12:21">
      <c r="L1643" s="15"/>
      <c r="M1643" s="15"/>
      <c r="N1643" s="15"/>
      <c r="T1643" s="15"/>
      <c r="U1643" s="15"/>
    </row>
    <row r="1644" spans="12:21">
      <c r="L1644" s="15"/>
      <c r="M1644" s="15"/>
      <c r="N1644" s="15"/>
      <c r="T1644" s="15"/>
      <c r="U1644" s="15"/>
    </row>
    <row r="1645" spans="12:21">
      <c r="L1645" s="15"/>
      <c r="M1645" s="15"/>
      <c r="N1645" s="15"/>
      <c r="T1645" s="15"/>
      <c r="U1645" s="15"/>
    </row>
    <row r="1646" spans="12:21">
      <c r="L1646" s="15"/>
      <c r="M1646" s="15"/>
      <c r="N1646" s="15"/>
      <c r="T1646" s="15"/>
      <c r="U1646" s="15"/>
    </row>
    <row r="1647" spans="12:21">
      <c r="L1647" s="15"/>
      <c r="M1647" s="15"/>
      <c r="N1647" s="15"/>
      <c r="T1647" s="15"/>
      <c r="U1647" s="15"/>
    </row>
    <row r="1648" spans="12:21">
      <c r="L1648" s="15"/>
      <c r="M1648" s="15"/>
      <c r="N1648" s="15"/>
      <c r="T1648" s="15"/>
      <c r="U1648" s="15"/>
    </row>
    <row r="1649" spans="12:21">
      <c r="L1649" s="15"/>
      <c r="M1649" s="15"/>
      <c r="N1649" s="15"/>
      <c r="T1649" s="15"/>
      <c r="U1649" s="15"/>
    </row>
    <row r="1650" spans="12:21">
      <c r="L1650" s="15"/>
      <c r="M1650" s="15"/>
      <c r="N1650" s="15"/>
      <c r="T1650" s="15"/>
      <c r="U1650" s="15"/>
    </row>
    <row r="1651" spans="12:21">
      <c r="L1651" s="15"/>
      <c r="M1651" s="15"/>
      <c r="N1651" s="15"/>
      <c r="T1651" s="15"/>
      <c r="U1651" s="15"/>
    </row>
    <row r="1652" spans="12:21">
      <c r="L1652" s="15"/>
      <c r="M1652" s="15"/>
      <c r="N1652" s="15"/>
      <c r="T1652" s="15"/>
      <c r="U1652" s="15"/>
    </row>
    <row r="1653" spans="12:21">
      <c r="L1653" s="15"/>
      <c r="M1653" s="15"/>
      <c r="N1653" s="15"/>
      <c r="T1653" s="15"/>
      <c r="U1653" s="15"/>
    </row>
    <row r="1654" spans="12:21">
      <c r="L1654" s="15"/>
      <c r="M1654" s="15"/>
      <c r="N1654" s="15"/>
      <c r="T1654" s="15"/>
      <c r="U1654" s="15"/>
    </row>
    <row r="1655" spans="12:21">
      <c r="L1655" s="15"/>
      <c r="M1655" s="15"/>
      <c r="N1655" s="15"/>
      <c r="T1655" s="15"/>
      <c r="U1655" s="15"/>
    </row>
    <row r="1656" spans="12:21">
      <c r="L1656" s="15"/>
      <c r="M1656" s="15"/>
      <c r="N1656" s="15"/>
      <c r="T1656" s="15"/>
      <c r="U1656" s="15"/>
    </row>
    <row r="1657" spans="12:21">
      <c r="L1657" s="15"/>
      <c r="M1657" s="15"/>
      <c r="N1657" s="15"/>
      <c r="T1657" s="15"/>
      <c r="U1657" s="15"/>
    </row>
    <row r="1658" spans="12:21">
      <c r="L1658" s="15"/>
      <c r="M1658" s="15"/>
      <c r="N1658" s="15"/>
      <c r="T1658" s="15"/>
      <c r="U1658" s="15"/>
    </row>
    <row r="1659" spans="12:21">
      <c r="L1659" s="15"/>
      <c r="M1659" s="15"/>
      <c r="N1659" s="15"/>
      <c r="T1659" s="15"/>
      <c r="U1659" s="15"/>
    </row>
    <row r="1660" spans="12:21">
      <c r="L1660" s="15"/>
      <c r="M1660" s="15"/>
      <c r="N1660" s="15"/>
      <c r="T1660" s="15"/>
      <c r="U1660" s="15"/>
    </row>
    <row r="1661" spans="12:21">
      <c r="L1661" s="15"/>
      <c r="M1661" s="15"/>
      <c r="N1661" s="15"/>
      <c r="T1661" s="15"/>
      <c r="U1661" s="15"/>
    </row>
    <row r="1662" spans="12:21">
      <c r="L1662" s="15"/>
      <c r="M1662" s="15"/>
      <c r="N1662" s="15"/>
      <c r="T1662" s="15"/>
      <c r="U1662" s="15"/>
    </row>
    <row r="1663" spans="12:21">
      <c r="L1663" s="15"/>
      <c r="M1663" s="15"/>
      <c r="N1663" s="15"/>
      <c r="T1663" s="15"/>
      <c r="U1663" s="15"/>
    </row>
    <row r="1664" spans="12:21">
      <c r="L1664" s="15"/>
      <c r="M1664" s="15"/>
      <c r="N1664" s="15"/>
      <c r="T1664" s="15"/>
      <c r="U1664" s="15"/>
    </row>
    <row r="1665" spans="12:21">
      <c r="L1665" s="15"/>
      <c r="M1665" s="15"/>
      <c r="N1665" s="15"/>
      <c r="T1665" s="15"/>
      <c r="U1665" s="15"/>
    </row>
    <row r="1666" spans="12:21">
      <c r="L1666" s="15"/>
      <c r="M1666" s="15"/>
      <c r="N1666" s="15"/>
      <c r="T1666" s="15"/>
      <c r="U1666" s="15"/>
    </row>
    <row r="1667" spans="12:21">
      <c r="L1667" s="15"/>
      <c r="M1667" s="15"/>
      <c r="N1667" s="15"/>
      <c r="T1667" s="15"/>
      <c r="U1667" s="15"/>
    </row>
    <row r="1668" spans="12:21">
      <c r="L1668" s="15"/>
      <c r="M1668" s="15"/>
      <c r="N1668" s="15"/>
      <c r="T1668" s="15"/>
      <c r="U1668" s="15"/>
    </row>
    <row r="1669" spans="12:21">
      <c r="L1669" s="15"/>
      <c r="M1669" s="15"/>
      <c r="N1669" s="15"/>
      <c r="T1669" s="15"/>
      <c r="U1669" s="15"/>
    </row>
    <row r="1670" spans="12:21">
      <c r="L1670" s="15"/>
      <c r="M1670" s="15"/>
      <c r="N1670" s="15"/>
      <c r="T1670" s="15"/>
      <c r="U1670" s="15"/>
    </row>
    <row r="1671" spans="12:21">
      <c r="L1671" s="15"/>
      <c r="M1671" s="15"/>
      <c r="N1671" s="15"/>
      <c r="T1671" s="15"/>
      <c r="U1671" s="15"/>
    </row>
    <row r="1672" spans="12:21">
      <c r="L1672" s="15"/>
      <c r="M1672" s="15"/>
      <c r="N1672" s="15"/>
      <c r="T1672" s="15"/>
      <c r="U1672" s="15"/>
    </row>
    <row r="1673" spans="12:21">
      <c r="L1673" s="15"/>
      <c r="M1673" s="15"/>
      <c r="N1673" s="15"/>
      <c r="T1673" s="15"/>
      <c r="U1673" s="15"/>
    </row>
    <row r="1674" spans="12:21">
      <c r="L1674" s="15"/>
      <c r="M1674" s="15"/>
      <c r="N1674" s="15"/>
      <c r="T1674" s="15"/>
      <c r="U1674" s="15"/>
    </row>
    <row r="1675" spans="12:21">
      <c r="L1675" s="15"/>
      <c r="M1675" s="15"/>
      <c r="N1675" s="15"/>
      <c r="T1675" s="15"/>
      <c r="U1675" s="15"/>
    </row>
    <row r="1676" spans="12:21">
      <c r="L1676" s="15"/>
      <c r="M1676" s="15"/>
      <c r="N1676" s="15"/>
      <c r="T1676" s="15"/>
      <c r="U1676" s="15"/>
    </row>
    <row r="1677" spans="12:21">
      <c r="L1677" s="15"/>
      <c r="M1677" s="15"/>
      <c r="N1677" s="15"/>
      <c r="T1677" s="15"/>
      <c r="U1677" s="15"/>
    </row>
    <row r="1678" spans="12:21">
      <c r="L1678" s="15"/>
      <c r="M1678" s="15"/>
      <c r="N1678" s="15"/>
      <c r="T1678" s="15"/>
      <c r="U1678" s="15"/>
    </row>
    <row r="1679" spans="12:21">
      <c r="L1679" s="15"/>
      <c r="M1679" s="15"/>
      <c r="N1679" s="15"/>
      <c r="T1679" s="15"/>
      <c r="U1679" s="15"/>
    </row>
    <row r="1680" spans="12:21">
      <c r="L1680" s="15"/>
      <c r="M1680" s="15"/>
      <c r="N1680" s="15"/>
      <c r="T1680" s="15"/>
      <c r="U1680" s="15"/>
    </row>
    <row r="1681" spans="12:21">
      <c r="L1681" s="15"/>
      <c r="M1681" s="15"/>
      <c r="N1681" s="15"/>
      <c r="T1681" s="15"/>
      <c r="U1681" s="15"/>
    </row>
    <row r="1682" spans="12:21">
      <c r="L1682" s="15"/>
      <c r="M1682" s="15"/>
      <c r="N1682" s="15"/>
      <c r="T1682" s="15"/>
      <c r="U1682" s="15"/>
    </row>
    <row r="1683" spans="12:21">
      <c r="L1683" s="15"/>
      <c r="M1683" s="15"/>
      <c r="N1683" s="15"/>
      <c r="T1683" s="15"/>
      <c r="U1683" s="15"/>
    </row>
    <row r="1684" spans="12:21">
      <c r="L1684" s="15"/>
      <c r="M1684" s="15"/>
      <c r="N1684" s="15"/>
      <c r="T1684" s="15"/>
      <c r="U1684" s="15"/>
    </row>
    <row r="1685" spans="12:21">
      <c r="L1685" s="15"/>
      <c r="M1685" s="15"/>
      <c r="N1685" s="15"/>
      <c r="T1685" s="15"/>
      <c r="U1685" s="15"/>
    </row>
    <row r="1686" spans="12:21">
      <c r="L1686" s="15"/>
      <c r="M1686" s="15"/>
      <c r="N1686" s="15"/>
      <c r="T1686" s="15"/>
      <c r="U1686" s="15"/>
    </row>
    <row r="1687" spans="12:21">
      <c r="L1687" s="15"/>
      <c r="M1687" s="15"/>
      <c r="N1687" s="15"/>
      <c r="T1687" s="15"/>
      <c r="U1687" s="15"/>
    </row>
    <row r="1688" spans="12:21">
      <c r="L1688" s="15"/>
      <c r="M1688" s="15"/>
      <c r="N1688" s="15"/>
      <c r="T1688" s="15"/>
      <c r="U1688" s="15"/>
    </row>
    <row r="1689" spans="12:21">
      <c r="L1689" s="15"/>
      <c r="M1689" s="15"/>
      <c r="N1689" s="15"/>
      <c r="T1689" s="15"/>
      <c r="U1689" s="15"/>
    </row>
    <row r="1690" spans="12:21">
      <c r="L1690" s="15"/>
      <c r="M1690" s="15"/>
      <c r="N1690" s="15"/>
      <c r="T1690" s="15"/>
      <c r="U1690" s="15"/>
    </row>
    <row r="1691" spans="12:21">
      <c r="L1691" s="15"/>
      <c r="M1691" s="15"/>
      <c r="N1691" s="15"/>
      <c r="T1691" s="15"/>
      <c r="U1691" s="15"/>
    </row>
    <row r="1692" spans="12:21">
      <c r="L1692" s="15"/>
      <c r="M1692" s="15"/>
      <c r="N1692" s="15"/>
      <c r="T1692" s="15"/>
      <c r="U1692" s="15"/>
    </row>
    <row r="1693" spans="12:21">
      <c r="L1693" s="15"/>
      <c r="M1693" s="15"/>
      <c r="N1693" s="15"/>
      <c r="T1693" s="15"/>
      <c r="U1693" s="15"/>
    </row>
    <row r="1694" spans="12:21">
      <c r="L1694" s="15"/>
      <c r="M1694" s="15"/>
      <c r="N1694" s="15"/>
      <c r="T1694" s="15"/>
      <c r="U1694" s="15"/>
    </row>
    <row r="1695" spans="12:21">
      <c r="L1695" s="15"/>
      <c r="M1695" s="15"/>
      <c r="N1695" s="15"/>
      <c r="T1695" s="15"/>
      <c r="U1695" s="15"/>
    </row>
    <row r="1696" spans="12:21">
      <c r="L1696" s="15"/>
      <c r="M1696" s="15"/>
      <c r="N1696" s="15"/>
      <c r="T1696" s="15"/>
      <c r="U1696" s="15"/>
    </row>
    <row r="1697" spans="12:21">
      <c r="L1697" s="15"/>
      <c r="M1697" s="15"/>
      <c r="N1697" s="15"/>
      <c r="T1697" s="15"/>
      <c r="U1697" s="15"/>
    </row>
    <row r="1698" spans="12:21">
      <c r="L1698" s="15"/>
      <c r="M1698" s="15"/>
      <c r="N1698" s="15"/>
      <c r="T1698" s="15"/>
      <c r="U1698" s="15"/>
    </row>
    <row r="1699" spans="12:21">
      <c r="L1699" s="15"/>
      <c r="M1699" s="15"/>
      <c r="N1699" s="15"/>
      <c r="T1699" s="15"/>
      <c r="U1699" s="15"/>
    </row>
    <row r="1700" spans="12:21">
      <c r="L1700" s="15"/>
      <c r="M1700" s="15"/>
      <c r="N1700" s="15"/>
      <c r="T1700" s="15"/>
      <c r="U1700" s="15"/>
    </row>
    <row r="1701" spans="12:21">
      <c r="L1701" s="15"/>
      <c r="M1701" s="15"/>
      <c r="N1701" s="15"/>
      <c r="T1701" s="15"/>
      <c r="U1701" s="15"/>
    </row>
    <row r="1702" spans="12:21">
      <c r="L1702" s="15"/>
      <c r="M1702" s="15"/>
      <c r="N1702" s="15"/>
      <c r="T1702" s="15"/>
      <c r="U1702" s="15"/>
    </row>
    <row r="1703" spans="12:21">
      <c r="L1703" s="15"/>
      <c r="M1703" s="15"/>
      <c r="N1703" s="15"/>
      <c r="T1703" s="15"/>
      <c r="U1703" s="15"/>
    </row>
    <row r="1704" spans="12:21">
      <c r="L1704" s="15"/>
      <c r="M1704" s="15"/>
      <c r="N1704" s="15"/>
      <c r="T1704" s="15"/>
      <c r="U1704" s="15"/>
    </row>
    <row r="1705" spans="12:21">
      <c r="L1705" s="15"/>
      <c r="M1705" s="15"/>
      <c r="N1705" s="15"/>
      <c r="T1705" s="15"/>
      <c r="U1705" s="15"/>
    </row>
    <row r="1706" spans="12:21">
      <c r="L1706" s="15"/>
      <c r="M1706" s="15"/>
      <c r="N1706" s="15"/>
      <c r="T1706" s="15"/>
      <c r="U1706" s="15"/>
    </row>
    <row r="1707" spans="12:21">
      <c r="L1707" s="15"/>
      <c r="M1707" s="15"/>
      <c r="N1707" s="15"/>
      <c r="T1707" s="15"/>
      <c r="U1707" s="15"/>
    </row>
    <row r="1708" spans="12:21">
      <c r="L1708" s="15"/>
      <c r="M1708" s="15"/>
      <c r="N1708" s="15"/>
      <c r="T1708" s="15"/>
      <c r="U1708" s="15"/>
    </row>
    <row r="1709" spans="12:21">
      <c r="L1709" s="15"/>
      <c r="M1709" s="15"/>
      <c r="N1709" s="15"/>
      <c r="T1709" s="15"/>
      <c r="U1709" s="15"/>
    </row>
    <row r="1710" spans="12:21">
      <c r="L1710" s="15"/>
      <c r="M1710" s="15"/>
      <c r="N1710" s="15"/>
      <c r="T1710" s="15"/>
      <c r="U1710" s="15"/>
    </row>
    <row r="1711" spans="12:21">
      <c r="L1711" s="15"/>
      <c r="M1711" s="15"/>
      <c r="N1711" s="15"/>
      <c r="T1711" s="15"/>
      <c r="U1711" s="15"/>
    </row>
    <row r="1712" spans="12:21">
      <c r="L1712" s="15"/>
      <c r="M1712" s="15"/>
      <c r="N1712" s="15"/>
      <c r="T1712" s="15"/>
      <c r="U1712" s="15"/>
    </row>
    <row r="1713" spans="12:21">
      <c r="L1713" s="15"/>
      <c r="M1713" s="15"/>
      <c r="N1713" s="15"/>
      <c r="T1713" s="15"/>
      <c r="U1713" s="15"/>
    </row>
    <row r="1714" spans="12:21">
      <c r="L1714" s="15"/>
      <c r="M1714" s="15"/>
      <c r="N1714" s="15"/>
      <c r="T1714" s="15"/>
      <c r="U1714" s="15"/>
    </row>
    <row r="1715" spans="12:21">
      <c r="L1715" s="15"/>
      <c r="M1715" s="15"/>
      <c r="N1715" s="15"/>
      <c r="T1715" s="15"/>
      <c r="U1715" s="15"/>
    </row>
    <row r="1716" spans="12:21">
      <c r="L1716" s="15"/>
      <c r="M1716" s="15"/>
      <c r="N1716" s="15"/>
      <c r="T1716" s="15"/>
      <c r="U1716" s="15"/>
    </row>
    <row r="1717" spans="12:21">
      <c r="L1717" s="15"/>
      <c r="M1717" s="15"/>
      <c r="N1717" s="15"/>
      <c r="T1717" s="15"/>
      <c r="U1717" s="15"/>
    </row>
    <row r="1718" spans="12:21">
      <c r="L1718" s="15"/>
      <c r="M1718" s="15"/>
      <c r="N1718" s="15"/>
      <c r="T1718" s="15"/>
      <c r="U1718" s="15"/>
    </row>
    <row r="1719" spans="12:21">
      <c r="L1719" s="15"/>
      <c r="M1719" s="15"/>
      <c r="N1719" s="15"/>
      <c r="T1719" s="15"/>
      <c r="U1719" s="15"/>
    </row>
    <row r="1720" spans="12:21">
      <c r="L1720" s="15"/>
      <c r="M1720" s="15"/>
      <c r="N1720" s="15"/>
      <c r="T1720" s="15"/>
      <c r="U1720" s="15"/>
    </row>
    <row r="1721" spans="12:21">
      <c r="L1721" s="15"/>
      <c r="M1721" s="15"/>
      <c r="N1721" s="15"/>
      <c r="T1721" s="15"/>
      <c r="U1721" s="15"/>
    </row>
    <row r="1722" spans="12:21">
      <c r="L1722" s="15"/>
      <c r="M1722" s="15"/>
      <c r="N1722" s="15"/>
      <c r="T1722" s="15"/>
      <c r="U1722" s="15"/>
    </row>
    <row r="1723" spans="12:21">
      <c r="L1723" s="15"/>
      <c r="M1723" s="15"/>
      <c r="N1723" s="15"/>
      <c r="T1723" s="15"/>
      <c r="U1723" s="15"/>
    </row>
    <row r="1724" spans="12:21">
      <c r="L1724" s="15"/>
      <c r="M1724" s="15"/>
      <c r="N1724" s="15"/>
      <c r="T1724" s="15"/>
      <c r="U1724" s="15"/>
    </row>
    <row r="1725" spans="12:21">
      <c r="L1725" s="15"/>
      <c r="M1725" s="15"/>
      <c r="N1725" s="15"/>
      <c r="T1725" s="15"/>
      <c r="U1725" s="15"/>
    </row>
    <row r="1726" spans="12:21">
      <c r="L1726" s="15"/>
      <c r="M1726" s="15"/>
      <c r="N1726" s="15"/>
      <c r="T1726" s="15"/>
      <c r="U1726" s="15"/>
    </row>
    <row r="1727" spans="12:21">
      <c r="L1727" s="15"/>
      <c r="M1727" s="15"/>
      <c r="N1727" s="15"/>
      <c r="T1727" s="15"/>
      <c r="U1727" s="15"/>
    </row>
    <row r="1728" spans="12:21">
      <c r="L1728" s="15"/>
      <c r="M1728" s="15"/>
      <c r="N1728" s="15"/>
      <c r="T1728" s="15"/>
      <c r="U1728" s="15"/>
    </row>
    <row r="1729" spans="12:21">
      <c r="L1729" s="15"/>
      <c r="M1729" s="15"/>
      <c r="N1729" s="15"/>
      <c r="T1729" s="15"/>
      <c r="U1729" s="15"/>
    </row>
    <row r="1730" spans="12:21">
      <c r="L1730" s="15"/>
      <c r="M1730" s="15"/>
      <c r="N1730" s="15"/>
      <c r="T1730" s="15"/>
      <c r="U1730" s="15"/>
    </row>
    <row r="1731" spans="12:21">
      <c r="L1731" s="15"/>
      <c r="M1731" s="15"/>
      <c r="N1731" s="15"/>
      <c r="T1731" s="15"/>
      <c r="U1731" s="15"/>
    </row>
    <row r="1732" spans="12:21">
      <c r="L1732" s="15"/>
      <c r="M1732" s="15"/>
      <c r="N1732" s="15"/>
      <c r="T1732" s="15"/>
      <c r="U1732" s="15"/>
    </row>
    <row r="1733" spans="12:21">
      <c r="L1733" s="15"/>
      <c r="M1733" s="15"/>
      <c r="N1733" s="15"/>
      <c r="T1733" s="15"/>
      <c r="U1733" s="15"/>
    </row>
    <row r="1734" spans="12:21">
      <c r="L1734" s="15"/>
      <c r="M1734" s="15"/>
      <c r="N1734" s="15"/>
      <c r="T1734" s="15"/>
      <c r="U1734" s="15"/>
    </row>
    <row r="1735" spans="12:21">
      <c r="L1735" s="15"/>
      <c r="M1735" s="15"/>
      <c r="N1735" s="15"/>
      <c r="T1735" s="15"/>
      <c r="U1735" s="15"/>
    </row>
    <row r="1736" spans="12:21">
      <c r="L1736" s="15"/>
      <c r="M1736" s="15"/>
      <c r="N1736" s="15"/>
      <c r="T1736" s="15"/>
      <c r="U1736" s="15"/>
    </row>
    <row r="1737" spans="12:21">
      <c r="L1737" s="15"/>
      <c r="M1737" s="15"/>
      <c r="N1737" s="15"/>
      <c r="T1737" s="15"/>
      <c r="U1737" s="15"/>
    </row>
    <row r="1738" spans="12:21">
      <c r="L1738" s="15"/>
      <c r="M1738" s="15"/>
      <c r="N1738" s="15"/>
      <c r="T1738" s="15"/>
      <c r="U1738" s="15"/>
    </row>
    <row r="1739" spans="12:21">
      <c r="L1739" s="15"/>
      <c r="M1739" s="15"/>
      <c r="N1739" s="15"/>
      <c r="T1739" s="15"/>
      <c r="U1739" s="15"/>
    </row>
    <row r="1740" spans="12:21">
      <c r="L1740" s="15"/>
      <c r="M1740" s="15"/>
      <c r="N1740" s="15"/>
      <c r="T1740" s="15"/>
      <c r="U1740" s="15"/>
    </row>
    <row r="1741" spans="12:21">
      <c r="L1741" s="15"/>
      <c r="M1741" s="15"/>
      <c r="N1741" s="15"/>
      <c r="T1741" s="15"/>
      <c r="U1741" s="15"/>
    </row>
    <row r="1742" spans="12:21">
      <c r="L1742" s="15"/>
      <c r="M1742" s="15"/>
      <c r="N1742" s="15"/>
      <c r="T1742" s="15"/>
      <c r="U1742" s="15"/>
    </row>
    <row r="1743" spans="12:21">
      <c r="L1743" s="15"/>
      <c r="M1743" s="15"/>
      <c r="N1743" s="15"/>
      <c r="T1743" s="15"/>
      <c r="U1743" s="15"/>
    </row>
    <row r="1744" spans="12:21">
      <c r="L1744" s="15"/>
      <c r="M1744" s="15"/>
      <c r="N1744" s="15"/>
      <c r="T1744" s="15"/>
      <c r="U1744" s="15"/>
    </row>
    <row r="1745" spans="12:21">
      <c r="L1745" s="15"/>
      <c r="M1745" s="15"/>
      <c r="N1745" s="15"/>
      <c r="T1745" s="15"/>
      <c r="U1745" s="15"/>
    </row>
    <row r="1746" spans="12:21">
      <c r="L1746" s="15"/>
      <c r="M1746" s="15"/>
      <c r="N1746" s="15"/>
      <c r="T1746" s="15"/>
      <c r="U1746" s="15"/>
    </row>
    <row r="1747" spans="12:21">
      <c r="L1747" s="15"/>
      <c r="M1747" s="15"/>
      <c r="N1747" s="15"/>
      <c r="T1747" s="15"/>
      <c r="U1747" s="15"/>
    </row>
    <row r="1748" spans="12:21">
      <c r="L1748" s="15"/>
      <c r="M1748" s="15"/>
      <c r="N1748" s="15"/>
      <c r="T1748" s="15"/>
      <c r="U1748" s="15"/>
    </row>
    <row r="1749" spans="12:21">
      <c r="L1749" s="15"/>
      <c r="M1749" s="15"/>
      <c r="N1749" s="15"/>
      <c r="T1749" s="15"/>
      <c r="U1749" s="15"/>
    </row>
    <row r="1750" spans="12:21">
      <c r="L1750" s="15"/>
      <c r="M1750" s="15"/>
      <c r="N1750" s="15"/>
      <c r="T1750" s="15"/>
      <c r="U1750" s="15"/>
    </row>
    <row r="1751" spans="12:21">
      <c r="L1751" s="15"/>
      <c r="M1751" s="15"/>
      <c r="N1751" s="15"/>
      <c r="T1751" s="15"/>
      <c r="U1751" s="15"/>
    </row>
    <row r="1752" spans="12:21">
      <c r="L1752" s="15"/>
      <c r="M1752" s="15"/>
      <c r="N1752" s="15"/>
      <c r="T1752" s="15"/>
      <c r="U1752" s="15"/>
    </row>
    <row r="1753" spans="12:21">
      <c r="L1753" s="15"/>
      <c r="M1753" s="15"/>
      <c r="N1753" s="15"/>
      <c r="T1753" s="15"/>
      <c r="U1753" s="15"/>
    </row>
    <row r="1754" spans="12:21">
      <c r="L1754" s="15"/>
      <c r="M1754" s="15"/>
      <c r="N1754" s="15"/>
      <c r="T1754" s="15"/>
      <c r="U1754" s="15"/>
    </row>
    <row r="1755" spans="12:21">
      <c r="L1755" s="15"/>
      <c r="M1755" s="15"/>
      <c r="N1755" s="15"/>
      <c r="T1755" s="15"/>
      <c r="U1755" s="15"/>
    </row>
    <row r="1756" spans="12:21">
      <c r="L1756" s="15"/>
      <c r="M1756" s="15"/>
      <c r="N1756" s="15"/>
      <c r="T1756" s="15"/>
      <c r="U1756" s="15"/>
    </row>
    <row r="1757" spans="12:21">
      <c r="L1757" s="15"/>
      <c r="M1757" s="15"/>
      <c r="N1757" s="15"/>
      <c r="T1757" s="15"/>
      <c r="U1757" s="15"/>
    </row>
    <row r="1758" spans="12:21">
      <c r="L1758" s="15"/>
      <c r="M1758" s="15"/>
      <c r="N1758" s="15"/>
      <c r="T1758" s="15"/>
      <c r="U1758" s="15"/>
    </row>
    <row r="1759" spans="12:21">
      <c r="L1759" s="15"/>
      <c r="M1759" s="15"/>
      <c r="N1759" s="15"/>
      <c r="T1759" s="15"/>
      <c r="U1759" s="15"/>
    </row>
    <row r="1760" spans="12:21">
      <c r="L1760" s="15"/>
      <c r="M1760" s="15"/>
      <c r="N1760" s="15"/>
      <c r="T1760" s="15"/>
      <c r="U1760" s="15"/>
    </row>
    <row r="1761" spans="12:21">
      <c r="L1761" s="15"/>
      <c r="M1761" s="15"/>
      <c r="N1761" s="15"/>
      <c r="T1761" s="15"/>
      <c r="U1761" s="15"/>
    </row>
    <row r="1762" spans="12:21">
      <c r="L1762" s="15"/>
      <c r="M1762" s="15"/>
      <c r="N1762" s="15"/>
      <c r="T1762" s="15"/>
      <c r="U1762" s="15"/>
    </row>
    <row r="1763" spans="12:21">
      <c r="L1763" s="15"/>
      <c r="M1763" s="15"/>
      <c r="N1763" s="15"/>
      <c r="T1763" s="15"/>
      <c r="U1763" s="15"/>
    </row>
    <row r="1764" spans="12:21">
      <c r="L1764" s="15"/>
      <c r="M1764" s="15"/>
      <c r="N1764" s="15"/>
      <c r="T1764" s="15"/>
      <c r="U1764" s="15"/>
    </row>
    <row r="1765" spans="12:21">
      <c r="L1765" s="15"/>
      <c r="M1765" s="15"/>
      <c r="N1765" s="15"/>
      <c r="T1765" s="15"/>
      <c r="U1765" s="15"/>
    </row>
    <row r="1766" spans="12:21">
      <c r="L1766" s="15"/>
      <c r="M1766" s="15"/>
      <c r="N1766" s="15"/>
      <c r="T1766" s="15"/>
      <c r="U1766" s="15"/>
    </row>
    <row r="1767" spans="12:21">
      <c r="L1767" s="15"/>
      <c r="M1767" s="15"/>
      <c r="N1767" s="15"/>
      <c r="T1767" s="15"/>
      <c r="U1767" s="15"/>
    </row>
    <row r="1768" spans="12:21">
      <c r="L1768" s="15"/>
      <c r="M1768" s="15"/>
      <c r="N1768" s="15"/>
      <c r="T1768" s="15"/>
      <c r="U1768" s="15"/>
    </row>
    <row r="1769" spans="12:21">
      <c r="L1769" s="15"/>
      <c r="M1769" s="15"/>
      <c r="N1769" s="15"/>
      <c r="T1769" s="15"/>
      <c r="U1769" s="15"/>
    </row>
    <row r="1770" spans="12:21">
      <c r="L1770" s="15"/>
      <c r="M1770" s="15"/>
      <c r="N1770" s="15"/>
      <c r="T1770" s="15"/>
      <c r="U1770" s="15"/>
    </row>
    <row r="1771" spans="12:21">
      <c r="L1771" s="15"/>
      <c r="M1771" s="15"/>
      <c r="N1771" s="15"/>
      <c r="T1771" s="15"/>
      <c r="U1771" s="15"/>
    </row>
    <row r="1772" spans="12:21">
      <c r="L1772" s="15"/>
      <c r="M1772" s="15"/>
      <c r="N1772" s="15"/>
      <c r="T1772" s="15"/>
      <c r="U1772" s="15"/>
    </row>
    <row r="1773" spans="12:21">
      <c r="L1773" s="15"/>
      <c r="M1773" s="15"/>
      <c r="N1773" s="15"/>
      <c r="T1773" s="15"/>
      <c r="U1773" s="15"/>
    </row>
    <row r="1774" spans="12:21">
      <c r="L1774" s="15"/>
      <c r="M1774" s="15"/>
      <c r="N1774" s="15"/>
      <c r="T1774" s="15"/>
      <c r="U1774" s="15"/>
    </row>
    <row r="1775" spans="12:21">
      <c r="L1775" s="15"/>
      <c r="M1775" s="15"/>
      <c r="N1775" s="15"/>
      <c r="T1775" s="15"/>
      <c r="U1775" s="15"/>
    </row>
    <row r="1776" spans="12:21">
      <c r="L1776" s="15"/>
      <c r="M1776" s="15"/>
      <c r="N1776" s="15"/>
      <c r="T1776" s="15"/>
      <c r="U1776" s="15"/>
    </row>
    <row r="1777" spans="12:21">
      <c r="L1777" s="15"/>
      <c r="M1777" s="15"/>
      <c r="N1777" s="15"/>
      <c r="T1777" s="15"/>
      <c r="U1777" s="15"/>
    </row>
    <row r="1778" spans="12:21">
      <c r="L1778" s="15"/>
      <c r="M1778" s="15"/>
      <c r="N1778" s="15"/>
      <c r="T1778" s="15"/>
      <c r="U1778" s="15"/>
    </row>
    <row r="1779" spans="12:21">
      <c r="L1779" s="15"/>
      <c r="M1779" s="15"/>
      <c r="N1779" s="15"/>
      <c r="T1779" s="15"/>
      <c r="U1779" s="15"/>
    </row>
    <row r="1780" spans="12:21">
      <c r="L1780" s="15"/>
      <c r="M1780" s="15"/>
      <c r="N1780" s="15"/>
      <c r="T1780" s="15"/>
      <c r="U1780" s="15"/>
    </row>
    <row r="1781" spans="12:21">
      <c r="L1781" s="15"/>
      <c r="M1781" s="15"/>
      <c r="N1781" s="15"/>
      <c r="T1781" s="15"/>
      <c r="U1781" s="15"/>
    </row>
    <row r="1782" spans="12:21">
      <c r="L1782" s="15"/>
      <c r="M1782" s="15"/>
      <c r="N1782" s="15"/>
      <c r="T1782" s="15"/>
      <c r="U1782" s="15"/>
    </row>
    <row r="1783" spans="12:21">
      <c r="L1783" s="15"/>
      <c r="M1783" s="15"/>
      <c r="N1783" s="15"/>
      <c r="T1783" s="15"/>
      <c r="U1783" s="15"/>
    </row>
    <row r="1784" spans="12:21">
      <c r="L1784" s="15"/>
      <c r="M1784" s="15"/>
      <c r="N1784" s="15"/>
      <c r="T1784" s="15"/>
      <c r="U1784" s="15"/>
    </row>
    <row r="1785" spans="12:21">
      <c r="L1785" s="15"/>
      <c r="M1785" s="15"/>
      <c r="N1785" s="15"/>
      <c r="T1785" s="15"/>
      <c r="U1785" s="15"/>
    </row>
    <row r="1786" spans="12:21">
      <c r="L1786" s="15"/>
      <c r="M1786" s="15"/>
      <c r="N1786" s="15"/>
      <c r="T1786" s="15"/>
      <c r="U1786" s="15"/>
    </row>
    <row r="1787" spans="12:21">
      <c r="L1787" s="15"/>
      <c r="M1787" s="15"/>
      <c r="N1787" s="15"/>
      <c r="T1787" s="15"/>
      <c r="U1787" s="15"/>
    </row>
    <row r="1788" spans="12:21">
      <c r="L1788" s="15"/>
      <c r="M1788" s="15"/>
      <c r="N1788" s="15"/>
      <c r="T1788" s="15"/>
      <c r="U1788" s="15"/>
    </row>
    <row r="1789" spans="12:21">
      <c r="L1789" s="15"/>
      <c r="M1789" s="15"/>
      <c r="N1789" s="15"/>
      <c r="T1789" s="15"/>
      <c r="U1789" s="15"/>
    </row>
    <row r="1790" spans="12:21">
      <c r="L1790" s="15"/>
      <c r="M1790" s="15"/>
      <c r="N1790" s="15"/>
      <c r="T1790" s="15"/>
      <c r="U1790" s="15"/>
    </row>
    <row r="1791" spans="12:21">
      <c r="L1791" s="15"/>
      <c r="M1791" s="15"/>
      <c r="N1791" s="15"/>
      <c r="T1791" s="15"/>
      <c r="U1791" s="15"/>
    </row>
    <row r="1792" spans="12:21">
      <c r="L1792" s="15"/>
      <c r="M1792" s="15"/>
      <c r="N1792" s="15"/>
      <c r="T1792" s="15"/>
      <c r="U1792" s="15"/>
    </row>
    <row r="1793" spans="12:21">
      <c r="L1793" s="15"/>
      <c r="M1793" s="15"/>
      <c r="N1793" s="15"/>
      <c r="T1793" s="15"/>
      <c r="U1793" s="15"/>
    </row>
    <row r="1794" spans="12:21">
      <c r="L1794" s="15"/>
      <c r="M1794" s="15"/>
      <c r="N1794" s="15"/>
      <c r="T1794" s="15"/>
      <c r="U1794" s="15"/>
    </row>
    <row r="1795" spans="12:21">
      <c r="L1795" s="15"/>
      <c r="M1795" s="15"/>
      <c r="N1795" s="15"/>
      <c r="T1795" s="15"/>
      <c r="U1795" s="15"/>
    </row>
    <row r="1796" spans="12:21">
      <c r="L1796" s="15"/>
      <c r="M1796" s="15"/>
      <c r="N1796" s="15"/>
      <c r="T1796" s="15"/>
      <c r="U1796" s="15"/>
    </row>
    <row r="1797" spans="12:21">
      <c r="L1797" s="15"/>
      <c r="M1797" s="15"/>
      <c r="N1797" s="15"/>
      <c r="T1797" s="15"/>
      <c r="U1797" s="15"/>
    </row>
    <row r="1798" spans="12:21">
      <c r="L1798" s="15"/>
      <c r="M1798" s="15"/>
      <c r="N1798" s="15"/>
      <c r="T1798" s="15"/>
      <c r="U1798" s="15"/>
    </row>
    <row r="1799" spans="12:21">
      <c r="L1799" s="15"/>
      <c r="M1799" s="15"/>
      <c r="N1799" s="15"/>
      <c r="T1799" s="15"/>
      <c r="U1799" s="15"/>
    </row>
    <row r="1800" spans="12:21">
      <c r="L1800" s="15"/>
      <c r="M1800" s="15"/>
      <c r="N1800" s="15"/>
      <c r="T1800" s="15"/>
      <c r="U1800" s="15"/>
    </row>
    <row r="1801" spans="12:21">
      <c r="L1801" s="15"/>
      <c r="M1801" s="15"/>
      <c r="N1801" s="15"/>
      <c r="T1801" s="15"/>
      <c r="U1801" s="15"/>
    </row>
    <row r="1802" spans="12:21">
      <c r="L1802" s="15"/>
      <c r="M1802" s="15"/>
      <c r="N1802" s="15"/>
      <c r="T1802" s="15"/>
      <c r="U1802" s="15"/>
    </row>
    <row r="1803" spans="12:21">
      <c r="L1803" s="15"/>
      <c r="M1803" s="15"/>
      <c r="N1803" s="15"/>
      <c r="T1803" s="15"/>
      <c r="U1803" s="15"/>
    </row>
    <row r="1804" spans="12:21">
      <c r="L1804" s="15"/>
      <c r="M1804" s="15"/>
      <c r="N1804" s="15"/>
      <c r="T1804" s="15"/>
      <c r="U1804" s="15"/>
    </row>
    <row r="1805" spans="12:21">
      <c r="L1805" s="15"/>
      <c r="M1805" s="15"/>
      <c r="N1805" s="15"/>
      <c r="T1805" s="15"/>
      <c r="U1805" s="15"/>
    </row>
    <row r="1806" spans="12:21">
      <c r="L1806" s="15"/>
      <c r="M1806" s="15"/>
      <c r="N1806" s="15"/>
      <c r="T1806" s="15"/>
      <c r="U1806" s="15"/>
    </row>
    <row r="1807" spans="12:21">
      <c r="L1807" s="15"/>
      <c r="M1807" s="15"/>
      <c r="N1807" s="15"/>
      <c r="T1807" s="15"/>
      <c r="U1807" s="15"/>
    </row>
    <row r="1808" spans="12:21">
      <c r="L1808" s="15"/>
      <c r="M1808" s="15"/>
      <c r="N1808" s="15"/>
      <c r="T1808" s="15"/>
      <c r="U1808" s="15"/>
    </row>
    <row r="1809" spans="12:21">
      <c r="L1809" s="15"/>
      <c r="M1809" s="15"/>
      <c r="N1809" s="15"/>
      <c r="T1809" s="15"/>
      <c r="U1809" s="15"/>
    </row>
    <row r="1810" spans="12:21">
      <c r="L1810" s="15"/>
      <c r="M1810" s="15"/>
      <c r="N1810" s="15"/>
      <c r="T1810" s="15"/>
      <c r="U1810" s="15"/>
    </row>
    <row r="1811" spans="12:21">
      <c r="L1811" s="15"/>
      <c r="M1811" s="15"/>
      <c r="N1811" s="15"/>
      <c r="T1811" s="15"/>
      <c r="U1811" s="15"/>
    </row>
    <row r="1812" spans="12:21">
      <c r="L1812" s="15"/>
      <c r="M1812" s="15"/>
      <c r="N1812" s="15"/>
      <c r="T1812" s="15"/>
      <c r="U1812" s="15"/>
    </row>
    <row r="1813" spans="12:21">
      <c r="L1813" s="15"/>
      <c r="M1813" s="15"/>
      <c r="N1813" s="15"/>
      <c r="T1813" s="15"/>
      <c r="U1813" s="15"/>
    </row>
    <row r="1814" spans="12:21">
      <c r="L1814" s="15"/>
      <c r="M1814" s="15"/>
      <c r="N1814" s="15"/>
      <c r="T1814" s="15"/>
      <c r="U1814" s="15"/>
    </row>
    <row r="1815" spans="12:21">
      <c r="L1815" s="15"/>
      <c r="M1815" s="15"/>
      <c r="N1815" s="15"/>
      <c r="T1815" s="15"/>
      <c r="U1815" s="15"/>
    </row>
    <row r="1816" spans="12:21">
      <c r="L1816" s="15"/>
      <c r="M1816" s="15"/>
      <c r="N1816" s="15"/>
      <c r="T1816" s="15"/>
      <c r="U1816" s="15"/>
    </row>
    <row r="1817" spans="12:21">
      <c r="L1817" s="15"/>
      <c r="M1817" s="15"/>
      <c r="N1817" s="15"/>
      <c r="T1817" s="15"/>
      <c r="U1817" s="15"/>
    </row>
    <row r="1818" spans="12:21">
      <c r="L1818" s="15"/>
      <c r="M1818" s="15"/>
      <c r="N1818" s="15"/>
      <c r="T1818" s="15"/>
      <c r="U1818" s="15"/>
    </row>
    <row r="1819" spans="12:21">
      <c r="L1819" s="15"/>
      <c r="M1819" s="15"/>
      <c r="N1819" s="15"/>
      <c r="T1819" s="15"/>
      <c r="U1819" s="15"/>
    </row>
    <row r="1820" spans="12:21">
      <c r="L1820" s="15"/>
      <c r="M1820" s="15"/>
      <c r="N1820" s="15"/>
      <c r="T1820" s="15"/>
      <c r="U1820" s="15"/>
    </row>
    <row r="1821" spans="12:21">
      <c r="L1821" s="15"/>
      <c r="M1821" s="15"/>
      <c r="N1821" s="15"/>
      <c r="T1821" s="15"/>
      <c r="U1821" s="15"/>
    </row>
    <row r="1822" spans="12:21">
      <c r="L1822" s="15"/>
      <c r="M1822" s="15"/>
      <c r="N1822" s="15"/>
      <c r="T1822" s="15"/>
      <c r="U1822" s="15"/>
    </row>
    <row r="1823" spans="12:21">
      <c r="L1823" s="15"/>
      <c r="M1823" s="15"/>
      <c r="N1823" s="15"/>
      <c r="T1823" s="15"/>
      <c r="U1823" s="15"/>
    </row>
    <row r="1824" spans="12:21">
      <c r="L1824" s="15"/>
      <c r="M1824" s="15"/>
      <c r="N1824" s="15"/>
      <c r="T1824" s="15"/>
      <c r="U1824" s="15"/>
    </row>
    <row r="1825" spans="12:21">
      <c r="L1825" s="15"/>
      <c r="M1825" s="15"/>
      <c r="N1825" s="15"/>
      <c r="T1825" s="15"/>
      <c r="U1825" s="15"/>
    </row>
    <row r="1826" spans="12:21">
      <c r="L1826" s="15"/>
      <c r="M1826" s="15"/>
      <c r="N1826" s="15"/>
      <c r="T1826" s="15"/>
      <c r="U1826" s="15"/>
    </row>
    <row r="1827" spans="12:21">
      <c r="L1827" s="15"/>
      <c r="M1827" s="15"/>
      <c r="N1827" s="15"/>
      <c r="T1827" s="15"/>
      <c r="U1827" s="15"/>
    </row>
    <row r="1828" spans="12:21">
      <c r="L1828" s="15"/>
      <c r="M1828" s="15"/>
      <c r="N1828" s="15"/>
      <c r="T1828" s="15"/>
      <c r="U1828" s="15"/>
    </row>
    <row r="1829" spans="12:21">
      <c r="L1829" s="15"/>
      <c r="M1829" s="15"/>
      <c r="N1829" s="15"/>
      <c r="T1829" s="15"/>
      <c r="U1829" s="15"/>
    </row>
    <row r="1830" spans="12:21">
      <c r="L1830" s="15"/>
      <c r="M1830" s="15"/>
      <c r="N1830" s="15"/>
      <c r="T1830" s="15"/>
      <c r="U1830" s="15"/>
    </row>
    <row r="1831" spans="12:21">
      <c r="L1831" s="15"/>
      <c r="M1831" s="15"/>
      <c r="N1831" s="15"/>
      <c r="T1831" s="15"/>
      <c r="U1831" s="15"/>
    </row>
    <row r="1832" spans="12:21">
      <c r="L1832" s="15"/>
      <c r="M1832" s="15"/>
      <c r="N1832" s="15"/>
      <c r="T1832" s="15"/>
      <c r="U1832" s="15"/>
    </row>
    <row r="1833" spans="12:21">
      <c r="L1833" s="15"/>
      <c r="M1833" s="15"/>
      <c r="N1833" s="15"/>
      <c r="T1833" s="15"/>
      <c r="U1833" s="15"/>
    </row>
    <row r="1834" spans="12:21">
      <c r="L1834" s="15"/>
      <c r="M1834" s="15"/>
      <c r="N1834" s="15"/>
      <c r="T1834" s="15"/>
      <c r="U1834" s="15"/>
    </row>
    <row r="1835" spans="12:21">
      <c r="L1835" s="15"/>
      <c r="M1835" s="15"/>
      <c r="N1835" s="15"/>
      <c r="T1835" s="15"/>
      <c r="U1835" s="15"/>
    </row>
    <row r="1836" spans="12:21">
      <c r="L1836" s="15"/>
      <c r="M1836" s="15"/>
      <c r="N1836" s="15"/>
      <c r="T1836" s="15"/>
      <c r="U1836" s="15"/>
    </row>
    <row r="1837" spans="12:21">
      <c r="L1837" s="15"/>
      <c r="M1837" s="15"/>
      <c r="N1837" s="15"/>
      <c r="T1837" s="15"/>
      <c r="U1837" s="15"/>
    </row>
    <row r="1838" spans="12:21">
      <c r="L1838" s="15"/>
      <c r="M1838" s="15"/>
      <c r="N1838" s="15"/>
      <c r="T1838" s="15"/>
      <c r="U1838" s="15"/>
    </row>
    <row r="1839" spans="12:21">
      <c r="L1839" s="15"/>
      <c r="M1839" s="15"/>
      <c r="N1839" s="15"/>
      <c r="T1839" s="15"/>
      <c r="U1839" s="15"/>
    </row>
    <row r="1840" spans="12:21">
      <c r="L1840" s="15"/>
      <c r="M1840" s="15"/>
      <c r="N1840" s="15"/>
      <c r="T1840" s="15"/>
      <c r="U1840" s="15"/>
    </row>
    <row r="1841" spans="12:21">
      <c r="L1841" s="15"/>
      <c r="M1841" s="15"/>
      <c r="N1841" s="15"/>
      <c r="T1841" s="15"/>
      <c r="U1841" s="15"/>
    </row>
    <row r="1842" spans="12:21">
      <c r="L1842" s="15"/>
      <c r="M1842" s="15"/>
      <c r="N1842" s="15"/>
      <c r="T1842" s="15"/>
      <c r="U1842" s="15"/>
    </row>
    <row r="1843" spans="12:21">
      <c r="L1843" s="15"/>
      <c r="M1843" s="15"/>
      <c r="N1843" s="15"/>
      <c r="T1843" s="15"/>
      <c r="U1843" s="15"/>
    </row>
    <row r="1844" spans="12:21">
      <c r="L1844" s="15"/>
      <c r="M1844" s="15"/>
      <c r="N1844" s="15"/>
      <c r="T1844" s="15"/>
      <c r="U1844" s="15"/>
    </row>
    <row r="1845" spans="12:21">
      <c r="L1845" s="15"/>
      <c r="M1845" s="15"/>
      <c r="N1845" s="15"/>
      <c r="T1845" s="15"/>
      <c r="U1845" s="15"/>
    </row>
    <row r="1846" spans="12:21">
      <c r="L1846" s="15"/>
      <c r="M1846" s="15"/>
      <c r="N1846" s="15"/>
      <c r="T1846" s="15"/>
      <c r="U1846" s="15"/>
    </row>
    <row r="1847" spans="12:21">
      <c r="L1847" s="15"/>
      <c r="M1847" s="15"/>
      <c r="N1847" s="15"/>
      <c r="T1847" s="15"/>
      <c r="U1847" s="15"/>
    </row>
    <row r="1848" spans="12:21">
      <c r="L1848" s="15"/>
      <c r="M1848" s="15"/>
      <c r="N1848" s="15"/>
      <c r="T1848" s="15"/>
      <c r="U1848" s="15"/>
    </row>
    <row r="1849" spans="12:21">
      <c r="L1849" s="15"/>
      <c r="M1849" s="15"/>
      <c r="N1849" s="15"/>
      <c r="T1849" s="15"/>
      <c r="U1849" s="15"/>
    </row>
    <row r="1850" spans="12:21">
      <c r="L1850" s="15"/>
      <c r="M1850" s="15"/>
      <c r="N1850" s="15"/>
      <c r="T1850" s="15"/>
      <c r="U1850" s="15"/>
    </row>
    <row r="1851" spans="12:21">
      <c r="L1851" s="15"/>
      <c r="M1851" s="15"/>
      <c r="N1851" s="15"/>
      <c r="T1851" s="15"/>
      <c r="U1851" s="15"/>
    </row>
    <row r="1852" spans="12:21">
      <c r="L1852" s="15"/>
      <c r="M1852" s="15"/>
      <c r="N1852" s="15"/>
      <c r="T1852" s="15"/>
      <c r="U1852" s="15"/>
    </row>
    <row r="1853" spans="12:21">
      <c r="L1853" s="15"/>
      <c r="M1853" s="15"/>
      <c r="N1853" s="15"/>
      <c r="T1853" s="15"/>
      <c r="U1853" s="15"/>
    </row>
    <row r="1854" spans="12:21">
      <c r="L1854" s="15"/>
      <c r="M1854" s="15"/>
      <c r="N1854" s="15"/>
      <c r="T1854" s="15"/>
      <c r="U1854" s="15"/>
    </row>
    <row r="1855" spans="12:21">
      <c r="L1855" s="15"/>
      <c r="M1855" s="15"/>
      <c r="N1855" s="15"/>
      <c r="T1855" s="15"/>
      <c r="U1855" s="15"/>
    </row>
    <row r="1856" spans="12:21">
      <c r="L1856" s="15"/>
      <c r="M1856" s="15"/>
      <c r="N1856" s="15"/>
      <c r="T1856" s="15"/>
      <c r="U1856" s="15"/>
    </row>
    <row r="1857" spans="12:21">
      <c r="L1857" s="15"/>
      <c r="M1857" s="15"/>
      <c r="N1857" s="15"/>
      <c r="T1857" s="15"/>
      <c r="U1857" s="15"/>
    </row>
    <row r="1858" spans="12:21">
      <c r="L1858" s="15"/>
      <c r="M1858" s="15"/>
      <c r="N1858" s="15"/>
      <c r="T1858" s="15"/>
      <c r="U1858" s="15"/>
    </row>
    <row r="1859" spans="12:21">
      <c r="L1859" s="15"/>
      <c r="M1859" s="15"/>
      <c r="N1859" s="15"/>
      <c r="T1859" s="15"/>
      <c r="U1859" s="15"/>
    </row>
    <row r="1860" spans="12:21">
      <c r="L1860" s="15"/>
      <c r="M1860" s="15"/>
      <c r="N1860" s="15"/>
      <c r="T1860" s="15"/>
      <c r="U1860" s="15"/>
    </row>
    <row r="1861" spans="12:21">
      <c r="L1861" s="15"/>
      <c r="M1861" s="15"/>
      <c r="N1861" s="15"/>
      <c r="T1861" s="15"/>
      <c r="U1861" s="15"/>
    </row>
    <row r="1862" spans="12:21">
      <c r="L1862" s="15"/>
      <c r="M1862" s="15"/>
      <c r="N1862" s="15"/>
      <c r="T1862" s="15"/>
      <c r="U1862" s="15"/>
    </row>
    <row r="1863" spans="12:21">
      <c r="L1863" s="15"/>
      <c r="M1863" s="15"/>
      <c r="N1863" s="15"/>
      <c r="T1863" s="15"/>
      <c r="U1863" s="15"/>
    </row>
    <row r="1864" spans="12:21">
      <c r="L1864" s="15"/>
      <c r="M1864" s="15"/>
      <c r="N1864" s="15"/>
      <c r="T1864" s="15"/>
      <c r="U1864" s="15"/>
    </row>
    <row r="1865" spans="12:21">
      <c r="L1865" s="15"/>
      <c r="M1865" s="15"/>
      <c r="N1865" s="15"/>
      <c r="T1865" s="15"/>
      <c r="U1865" s="15"/>
    </row>
    <row r="1866" spans="12:21">
      <c r="L1866" s="15"/>
      <c r="M1866" s="15"/>
      <c r="N1866" s="15"/>
      <c r="T1866" s="15"/>
      <c r="U1866" s="15"/>
    </row>
    <row r="1867" spans="12:21">
      <c r="L1867" s="15"/>
      <c r="M1867" s="15"/>
      <c r="N1867" s="15"/>
      <c r="T1867" s="15"/>
      <c r="U1867" s="15"/>
    </row>
    <row r="1868" spans="12:21">
      <c r="L1868" s="15"/>
      <c r="M1868" s="15"/>
      <c r="N1868" s="15"/>
      <c r="T1868" s="15"/>
      <c r="U1868" s="15"/>
    </row>
    <row r="1869" spans="12:21">
      <c r="L1869" s="15"/>
      <c r="M1869" s="15"/>
      <c r="N1869" s="15"/>
      <c r="T1869" s="15"/>
      <c r="U1869" s="15"/>
    </row>
    <row r="1870" spans="12:21">
      <c r="L1870" s="15"/>
      <c r="M1870" s="15"/>
      <c r="N1870" s="15"/>
      <c r="T1870" s="15"/>
      <c r="U1870" s="15"/>
    </row>
    <row r="1871" spans="12:21">
      <c r="L1871" s="15"/>
      <c r="M1871" s="15"/>
      <c r="N1871" s="15"/>
      <c r="T1871" s="15"/>
      <c r="U1871" s="15"/>
    </row>
    <row r="1872" spans="12:21">
      <c r="L1872" s="15"/>
      <c r="M1872" s="15"/>
      <c r="N1872" s="15"/>
      <c r="T1872" s="15"/>
      <c r="U1872" s="15"/>
    </row>
    <row r="1873" spans="12:21">
      <c r="L1873" s="15"/>
      <c r="M1873" s="15"/>
      <c r="N1873" s="15"/>
      <c r="T1873" s="15"/>
      <c r="U1873" s="15"/>
    </row>
    <row r="1874" spans="12:21">
      <c r="L1874" s="15"/>
      <c r="M1874" s="15"/>
      <c r="N1874" s="15"/>
      <c r="T1874" s="15"/>
      <c r="U1874" s="15"/>
    </row>
    <row r="1875" spans="12:21">
      <c r="L1875" s="15"/>
      <c r="M1875" s="15"/>
      <c r="N1875" s="15"/>
      <c r="T1875" s="15"/>
      <c r="U1875" s="15"/>
    </row>
    <row r="1876" spans="12:21">
      <c r="L1876" s="15"/>
      <c r="M1876" s="15"/>
      <c r="N1876" s="15"/>
      <c r="T1876" s="15"/>
      <c r="U1876" s="15"/>
    </row>
    <row r="1877" spans="12:21">
      <c r="L1877" s="15"/>
      <c r="M1877" s="15"/>
      <c r="N1877" s="15"/>
      <c r="T1877" s="15"/>
      <c r="U1877" s="15"/>
    </row>
    <row r="1878" spans="12:21">
      <c r="L1878" s="15"/>
      <c r="M1878" s="15"/>
      <c r="N1878" s="15"/>
      <c r="T1878" s="15"/>
      <c r="U1878" s="15"/>
    </row>
    <row r="1879" spans="12:21">
      <c r="L1879" s="15"/>
      <c r="M1879" s="15"/>
      <c r="N1879" s="15"/>
      <c r="T1879" s="15"/>
      <c r="U1879" s="15"/>
    </row>
    <row r="1880" spans="12:21">
      <c r="L1880" s="15"/>
      <c r="M1880" s="15"/>
      <c r="N1880" s="15"/>
      <c r="T1880" s="15"/>
      <c r="U1880" s="15"/>
    </row>
    <row r="1881" spans="12:21">
      <c r="L1881" s="15"/>
      <c r="M1881" s="15"/>
      <c r="N1881" s="15"/>
      <c r="T1881" s="15"/>
      <c r="U1881" s="15"/>
    </row>
    <row r="1882" spans="12:21">
      <c r="L1882" s="15"/>
      <c r="M1882" s="15"/>
      <c r="N1882" s="15"/>
      <c r="T1882" s="15"/>
      <c r="U1882" s="15"/>
    </row>
    <row r="1883" spans="12:21">
      <c r="L1883" s="15"/>
      <c r="M1883" s="15"/>
      <c r="N1883" s="15"/>
      <c r="T1883" s="15"/>
      <c r="U1883" s="15"/>
    </row>
    <row r="1884" spans="12:21">
      <c r="L1884" s="15"/>
      <c r="M1884" s="15"/>
      <c r="N1884" s="15"/>
      <c r="T1884" s="15"/>
      <c r="U1884" s="15"/>
    </row>
    <row r="1885" spans="12:21">
      <c r="L1885" s="15"/>
      <c r="M1885" s="15"/>
      <c r="N1885" s="15"/>
      <c r="T1885" s="15"/>
      <c r="U1885" s="15"/>
    </row>
    <row r="1886" spans="12:21">
      <c r="L1886" s="15"/>
      <c r="M1886" s="15"/>
      <c r="N1886" s="15"/>
      <c r="T1886" s="15"/>
      <c r="U1886" s="15"/>
    </row>
    <row r="1887" spans="12:21">
      <c r="L1887" s="15"/>
      <c r="M1887" s="15"/>
      <c r="N1887" s="15"/>
      <c r="T1887" s="15"/>
      <c r="U1887" s="15"/>
    </row>
    <row r="1888" spans="12:21">
      <c r="L1888" s="15"/>
      <c r="M1888" s="15"/>
      <c r="N1888" s="15"/>
      <c r="T1888" s="15"/>
      <c r="U1888" s="15"/>
    </row>
    <row r="1889" spans="12:21">
      <c r="L1889" s="15"/>
      <c r="M1889" s="15"/>
      <c r="N1889" s="15"/>
      <c r="T1889" s="15"/>
      <c r="U1889" s="15"/>
    </row>
    <row r="1890" spans="12:21">
      <c r="L1890" s="15"/>
      <c r="M1890" s="15"/>
      <c r="N1890" s="15"/>
      <c r="T1890" s="15"/>
      <c r="U1890" s="15"/>
    </row>
    <row r="1891" spans="12:21">
      <c r="N1891" s="15"/>
    </row>
    <row r="1892" spans="12:21">
      <c r="N1892" s="15"/>
    </row>
    <row r="1893" spans="12:21">
      <c r="N1893" s="15"/>
    </row>
    <row r="1894" spans="12:21">
      <c r="N1894" s="15"/>
    </row>
    <row r="1895" spans="12:21">
      <c r="N1895" s="15"/>
    </row>
    <row r="1896" spans="12:21">
      <c r="N1896" s="15"/>
    </row>
    <row r="1897" spans="12:21">
      <c r="N1897" s="15"/>
    </row>
    <row r="1898" spans="12:21">
      <c r="N1898" s="15"/>
    </row>
    <row r="1899" spans="12:21">
      <c r="N1899" s="15"/>
    </row>
    <row r="1900" spans="12:21">
      <c r="N1900" s="15"/>
    </row>
    <row r="1901" spans="12:21">
      <c r="N1901" s="15"/>
    </row>
    <row r="1902" spans="12:21">
      <c r="N1902" s="15"/>
    </row>
    <row r="1903" spans="12:21">
      <c r="N1903" s="15"/>
    </row>
    <row r="1904" spans="12:21">
      <c r="N1904" s="15"/>
    </row>
    <row r="1905" spans="14:14">
      <c r="N1905" s="15"/>
    </row>
    <row r="1906" spans="14:14">
      <c r="N1906" s="15"/>
    </row>
  </sheetData>
  <mergeCells count="72">
    <mergeCell ref="A330:A346"/>
    <mergeCell ref="A347:A408"/>
    <mergeCell ref="C270:C284"/>
    <mergeCell ref="C300:C314"/>
    <mergeCell ref="C315:C329"/>
    <mergeCell ref="C285:C299"/>
    <mergeCell ref="B379:C393"/>
    <mergeCell ref="A253:A329"/>
    <mergeCell ref="B253:C269"/>
    <mergeCell ref="B270:B299"/>
    <mergeCell ref="A471:A515"/>
    <mergeCell ref="B441:C455"/>
    <mergeCell ref="B409:C425"/>
    <mergeCell ref="B426:C440"/>
    <mergeCell ref="B456:C470"/>
    <mergeCell ref="B471:C485"/>
    <mergeCell ref="B486:C500"/>
    <mergeCell ref="B501:C515"/>
    <mergeCell ref="A15:W15"/>
    <mergeCell ref="V13:V14"/>
    <mergeCell ref="C88:C102"/>
    <mergeCell ref="A19:C21"/>
    <mergeCell ref="A16:C18"/>
    <mergeCell ref="A13:C14"/>
    <mergeCell ref="A22:A207"/>
    <mergeCell ref="C133:C147"/>
    <mergeCell ref="C73:C87"/>
    <mergeCell ref="C103:C117"/>
    <mergeCell ref="C118:C132"/>
    <mergeCell ref="C148:C162"/>
    <mergeCell ref="B22:C38"/>
    <mergeCell ref="B39:C55"/>
    <mergeCell ref="B56:C72"/>
    <mergeCell ref="B73:B117"/>
    <mergeCell ref="V1:W1"/>
    <mergeCell ref="C6:W6"/>
    <mergeCell ref="C7:W7"/>
    <mergeCell ref="C8:W8"/>
    <mergeCell ref="D13:D14"/>
    <mergeCell ref="E13:E14"/>
    <mergeCell ref="F13:U13"/>
    <mergeCell ref="W13:W14"/>
    <mergeCell ref="B118:B162"/>
    <mergeCell ref="B163:C177"/>
    <mergeCell ref="B178:C192"/>
    <mergeCell ref="B193:C207"/>
    <mergeCell ref="B208:C222"/>
    <mergeCell ref="B223:C237"/>
    <mergeCell ref="B719:C733"/>
    <mergeCell ref="B734:C748"/>
    <mergeCell ref="B627:C643"/>
    <mergeCell ref="B516:C532"/>
    <mergeCell ref="B533:C549"/>
    <mergeCell ref="B550:C566"/>
    <mergeCell ref="B567:C581"/>
    <mergeCell ref="B597:C611"/>
    <mergeCell ref="A516:A748"/>
    <mergeCell ref="B238:C252"/>
    <mergeCell ref="B644:C658"/>
    <mergeCell ref="B674:C688"/>
    <mergeCell ref="B704:C718"/>
    <mergeCell ref="B300:B329"/>
    <mergeCell ref="B330:C346"/>
    <mergeCell ref="B347:C363"/>
    <mergeCell ref="B364:C378"/>
    <mergeCell ref="B394:C408"/>
    <mergeCell ref="B582:C596"/>
    <mergeCell ref="B612:C626"/>
    <mergeCell ref="B659:C673"/>
    <mergeCell ref="B689:C703"/>
    <mergeCell ref="A208:A252"/>
    <mergeCell ref="A409:A470"/>
  </mergeCells>
  <pageMargins left="0.19685039370078741" right="0.19685039370078741" top="0.19685039370078741" bottom="0.19685039370078741" header="0.19685039370078741" footer="0.19685039370078741"/>
  <pageSetup paperSize="9" scale="26" fitToHeight="2" orientation="portrait" r:id="rId1"/>
  <rowBreaks count="2" manualBreakCount="2">
    <brk id="363" max="22" man="1"/>
    <brk id="596" max="2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12</vt:i4>
      </vt:variant>
    </vt:vector>
  </HeadingPairs>
  <TitlesOfParts>
    <vt:vector size="26" baseType="lpstr">
      <vt:lpstr>серпень</vt:lpstr>
      <vt:lpstr>№2</vt:lpstr>
      <vt:lpstr>№5</vt:lpstr>
      <vt:lpstr>№ 6</vt:lpstr>
      <vt:lpstr>№14</vt:lpstr>
      <vt:lpstr>№ 20</vt:lpstr>
      <vt:lpstr>№ 23</vt:lpstr>
      <vt:lpstr>№27</vt:lpstr>
      <vt:lpstr>№ 31</vt:lpstr>
      <vt:lpstr>№ 34</vt:lpstr>
      <vt:lpstr>№ 41</vt:lpstr>
      <vt:lpstr>Тарифи </vt:lpstr>
      <vt:lpstr>потреба до кінця року</vt:lpstr>
      <vt:lpstr>потреба до кінця 2025року</vt:lpstr>
      <vt:lpstr>серпень!Заголовки_для_печати</vt:lpstr>
      <vt:lpstr>'№ 20'!Область_печати</vt:lpstr>
      <vt:lpstr>'№ 23'!Область_печати</vt:lpstr>
      <vt:lpstr>'№ 31'!Область_печати</vt:lpstr>
      <vt:lpstr>'№ 34'!Область_печати</vt:lpstr>
      <vt:lpstr>'№ 41'!Область_печати</vt:lpstr>
      <vt:lpstr>'№ 6'!Область_печати</vt:lpstr>
      <vt:lpstr>№14!Область_печати</vt:lpstr>
      <vt:lpstr>№2!Область_печати</vt:lpstr>
      <vt:lpstr>№27!Область_печати</vt:lpstr>
      <vt:lpstr>№5!Область_печати</vt:lpstr>
      <vt:lpstr>серпень!Область_печати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</cp:lastModifiedBy>
  <cp:lastPrinted>2025-06-30T09:49:24Z</cp:lastPrinted>
  <dcterms:created xsi:type="dcterms:W3CDTF">1996-10-08T23:32:33Z</dcterms:created>
  <dcterms:modified xsi:type="dcterms:W3CDTF">2025-09-16T07:38:48Z</dcterms:modified>
</cp:coreProperties>
</file>